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隊員一覧" sheetId="2" state="visible" r:id="rId2"/>
    <sheet xmlns:r="http://schemas.openxmlformats.org/officeDocument/2006/relationships" name="資格一覧" sheetId="3" state="visible" r:id="rId3"/>
    <sheet xmlns:r="http://schemas.openxmlformats.org/officeDocument/2006/relationships" name="経歴簿" sheetId="4" state="visible" r:id="rId4"/>
    <sheet xmlns:r="http://schemas.openxmlformats.org/officeDocument/2006/relationships" name="報告書" sheetId="5" state="visible" r:id="rId5"/>
    <sheet xmlns:r="http://schemas.openxmlformats.org/officeDocument/2006/relationships" name="CSV抽出" sheetId="6" state="visible" r:id="rId6"/>
    <sheet xmlns:r="http://schemas.openxmlformats.org/officeDocument/2006/relationships" name="事案" sheetId="7" state="visible" r:id="rId7"/>
    <sheet xmlns:r="http://schemas.openxmlformats.org/officeDocument/2006/relationships" name="潜水記録" sheetId="8" state="visible" r:id="rId8"/>
    <sheet xmlns:r="http://schemas.openxmlformats.org/officeDocument/2006/relationships" name="隊員マスタ" sheetId="9" state="visible" r:id="rId9"/>
    <sheet xmlns:r="http://schemas.openxmlformats.org/officeDocument/2006/relationships" name="資格研修記録" sheetId="10" state="visible" r:id="rId10"/>
    <sheet xmlns:r="http://schemas.openxmlformats.org/officeDocument/2006/relationships" name="潜水表" sheetId="11" state="visible" r:id="rId11"/>
    <sheet xmlns:r="http://schemas.openxmlformats.org/officeDocument/2006/relationships" name="選択肢" sheetId="12" state="visible" r:id="rId12"/>
  </sheets>
  <definedNames>
    <definedName name="L_所属">'選択肢'!$A$5:$A$20</definedName>
    <definedName name="L_在籍">'選択肢'!$B$5:$B$20</definedName>
    <definedName name="L_区分">'選択肢'!$C$5:$C$20</definedName>
    <definedName name="L_資格名">'選択肢'!$D$5:$D$20</definedName>
    <definedName name="L_種別">'選択肢'!$E$5:$E$20</definedName>
    <definedName name="L_地点">'選択肢'!$F$5:$F$20</definedName>
    <definedName name="L_有無">'選択肢'!$G$5:$G$20</definedName>
    <definedName name="L_抽出区分">'選択肢'!$H$5:$H$15</definedName>
    <definedName name="L_職員番号">'隊員マスタ'!$A$5:$A$204</definedName>
    <definedName name="L_事案ID">'事案'!$A$5:$A$1004</definedName>
    <definedName name="_xlnm._FilterDatabase" localSheetId="1" hidden="1">'隊員一覧'!$A$7:$M$207</definedName>
    <definedName name="_xlnm.Print_Titles" localSheetId="1">'隊員一覧'!$7:$7</definedName>
    <definedName name="_xlnm._FilterDatabase" localSheetId="2" hidden="1">'資格一覧'!$A$4:$L$204</definedName>
    <definedName name="_xlnm.Print_Titles" localSheetId="3">'経歴簿'!$9:$9</definedName>
    <definedName name="_xlnm.Print_Area" localSheetId="4">'報告書'!$A$1:$M$49</definedName>
    <definedName name="_xlnm._FilterDatabase" localSheetId="6" hidden="1">'事案'!$A$4:$P$1004</definedName>
    <definedName name="_xlnm._FilterDatabase" localSheetId="7" hidden="1">'潜水記録'!$A$4:$AW$3004</definedName>
    <definedName name="_xlnm._FilterDatabase" localSheetId="8" hidden="1">'隊員マスタ'!$A$4:$E$204</definedName>
    <definedName name="_xlnm._FilterDatabase" localSheetId="9" hidden="1">'資格研修記録'!$A$4:$H$1004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yyyy/m/d"/>
    <numFmt numFmtId="166" formatCode="0&quot;年度&quot;"/>
    <numFmt numFmtId="167" formatCode="0&quot;人&quot;"/>
    <numFmt numFmtId="168" formatCode="0&quot;本&quot;"/>
    <numFmt numFmtId="169" formatCode="0&quot;分&quot;"/>
    <numFmt numFmtId="170" formatCode="0&quot;m&quot;"/>
    <numFmt numFmtId="171" formatCode="0.0&quot;時間&quot;"/>
    <numFmt numFmtId="172" formatCode="0&quot;件&quot;"/>
  </numFmts>
  <fonts count="15">
    <font>
      <name val="Calibri"/>
      <family val="2"/>
      <color theme="1"/>
      <sz val="11"/>
      <scheme val="minor"/>
    </font>
    <font>
      <name val="游ゴシック"/>
      <b val="1"/>
      <color rgb="00000000"/>
      <sz val="18"/>
    </font>
    <font>
      <name val="游ゴシック"/>
      <color rgb="00000000"/>
      <sz val="10"/>
    </font>
    <font>
      <name val="游ゴシック"/>
      <b val="1"/>
      <color rgb="00000000"/>
      <sz val="10"/>
    </font>
    <font>
      <name val="游ゴシック"/>
      <color rgb="00000000"/>
      <sz val="10.5"/>
    </font>
    <font>
      <name val="游ゴシック"/>
      <color rgb="00000000"/>
      <sz val="9.5"/>
    </font>
    <font>
      <name val="游ゴシック"/>
      <color rgb="00000000"/>
      <sz val="9"/>
    </font>
    <font>
      <name val="游ゴシック"/>
      <b val="1"/>
      <color rgb="00000000"/>
      <sz val="9"/>
    </font>
    <font>
      <name val="游ゴシック"/>
      <b val="1"/>
      <color rgb="00000000"/>
      <sz val="20"/>
    </font>
    <font>
      <name val="游ゴシック"/>
      <b val="1"/>
      <color rgb="00000000"/>
      <sz val="11"/>
    </font>
    <font>
      <name val="游ゴシック"/>
      <b val="1"/>
      <color rgb="00000000"/>
      <sz val="12"/>
    </font>
    <font>
      <name val="游ゴシック"/>
      <color rgb="00000000"/>
      <sz val="11"/>
    </font>
    <font>
      <name val="游ゴシック"/>
      <color rgb="00000000"/>
      <sz val="8.5"/>
    </font>
    <font>
      <name val="游ゴシック"/>
      <b val="1"/>
      <color rgb="00000000"/>
      <sz val="9.5"/>
    </font>
    <font>
      <name val="游ゴシック"/>
      <b val="1"/>
      <color rgb="00000000"/>
      <sz val="10.5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bottom style="thick">
        <color rgb="00000000"/>
      </bottom>
    </border>
    <border>
      <bottom style="medium">
        <color rgb="00000000"/>
      </bottom>
    </border>
    <border>
      <left style="hair">
        <color rgb="00000000"/>
      </left>
      <right style="hair">
        <color rgb="00000000"/>
      </right>
      <top style="hair">
        <color rgb="00000000"/>
      </top>
      <bottom style="hair">
        <color rgb="00000000"/>
      </bottom>
    </border>
    <border>
      <bottom style="thin">
        <color rgb="00000000"/>
      </bottom>
    </border>
    <border>
      <bottom style="hair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1" applyAlignment="1" pivotButton="0" quotePrefix="0" xfId="0">
      <alignment vertical="bottom"/>
    </xf>
    <xf numFmtId="0" fontId="0" fillId="0" borderId="1" pivotButton="0" quotePrefix="0" xfId="0"/>
    <xf numFmtId="0" fontId="2" fillId="0" borderId="0" pivotButton="0" quotePrefix="0" xfId="0"/>
    <xf numFmtId="0" fontId="1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10" fillId="0" borderId="2" pivotButton="0" quotePrefix="0" xfId="0"/>
    <xf numFmtId="0" fontId="0" fillId="0" borderId="2" pivotButton="0" quotePrefix="0" xfId="0"/>
    <xf numFmtId="165" fontId="3" fillId="0" borderId="0" pivotButton="0" quotePrefix="0" xfId="0"/>
    <xf numFmtId="166" fontId="3" fillId="0" borderId="0" applyAlignment="1" pivotButton="0" quotePrefix="0" xfId="0">
      <alignment horizontal="left"/>
    </xf>
    <xf numFmtId="0" fontId="5" fillId="0" borderId="0" pivotButton="0" quotePrefix="0" xfId="0"/>
    <xf numFmtId="167" fontId="8" fillId="0" borderId="0" applyAlignment="1" pivotButton="0" quotePrefix="0" xfId="0">
      <alignment horizontal="left"/>
    </xf>
    <xf numFmtId="168" fontId="8" fillId="0" borderId="0" applyAlignment="1" pivotButton="0" quotePrefix="0" xfId="0">
      <alignment horizontal="left"/>
    </xf>
    <xf numFmtId="0" fontId="3" fillId="0" borderId="2" applyAlignment="1" pivotButton="0" quotePrefix="0" xfId="0">
      <alignment vertical="bottom" wrapText="1"/>
    </xf>
    <xf numFmtId="0" fontId="4" fillId="0" borderId="5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/>
    </xf>
    <xf numFmtId="165" fontId="4" fillId="0" borderId="5" applyAlignment="1" pivotButton="0" quotePrefix="0" xfId="0">
      <alignment vertical="center"/>
    </xf>
    <xf numFmtId="0" fontId="3" fillId="0" borderId="2" applyAlignment="1" pivotButton="0" quotePrefix="0" xfId="0">
      <alignment horizontal="center" vertical="bottom" wrapText="1"/>
    </xf>
    <xf numFmtId="165" fontId="9" fillId="0" borderId="0" applyAlignment="1" pivotButton="0" quotePrefix="0" xfId="0">
      <alignment horizontal="left"/>
    </xf>
    <xf numFmtId="49" fontId="10" fillId="0" borderId="6" applyAlignment="1" pivotButton="0" quotePrefix="0" xfId="0">
      <alignment horizontal="left"/>
    </xf>
    <xf numFmtId="0" fontId="6" fillId="0" borderId="0" pivotButton="0" quotePrefix="0" xfId="0"/>
    <xf numFmtId="0" fontId="9" fillId="0" borderId="0" applyAlignment="1" pivotButton="0" quotePrefix="0" xfId="0">
      <alignment horizontal="left"/>
    </xf>
    <xf numFmtId="168" fontId="9" fillId="0" borderId="0" applyAlignment="1" pivotButton="0" quotePrefix="0" xfId="0">
      <alignment horizontal="left"/>
    </xf>
    <xf numFmtId="169" fontId="9" fillId="0" borderId="0" applyAlignment="1" pivotButton="0" quotePrefix="0" xfId="0">
      <alignment horizontal="left"/>
    </xf>
    <xf numFmtId="170" fontId="9" fillId="0" borderId="0" applyAlignment="1" pivotButton="0" quotePrefix="0" xfId="0">
      <alignment horizontal="left"/>
    </xf>
    <xf numFmtId="171" fontId="9" fillId="0" borderId="0" applyAlignment="1" pivotButton="0" quotePrefix="0" xfId="0">
      <alignment horizontal="left"/>
    </xf>
    <xf numFmtId="0" fontId="5" fillId="0" borderId="0" applyAlignment="1" pivotButton="0" quotePrefix="0" xfId="0">
      <alignment vertical="center" wrapText="1"/>
    </xf>
    <xf numFmtId="165" fontId="9" fillId="0" borderId="0" applyAlignment="1" pivotButton="0" quotePrefix="0" xfId="0">
      <alignment horizontal="left" vertical="center" wrapText="1"/>
    </xf>
    <xf numFmtId="0" fontId="1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9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167" fontId="9" fillId="0" borderId="0" applyAlignment="1" pivotButton="0" quotePrefix="0" xfId="0">
      <alignment horizontal="left" vertical="center" wrapText="1"/>
    </xf>
    <xf numFmtId="168" fontId="9" fillId="0" borderId="0" applyAlignment="1" pivotButton="0" quotePrefix="0" xfId="0">
      <alignment horizontal="left" vertical="center" wrapText="1"/>
    </xf>
    <xf numFmtId="170" fontId="9" fillId="0" borderId="0" applyAlignment="1" pivotButton="0" quotePrefix="0" xfId="0">
      <alignment horizontal="left" vertical="center" wrapText="1"/>
    </xf>
    <xf numFmtId="20" fontId="4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vertical="center" wrapText="1"/>
    </xf>
    <xf numFmtId="0" fontId="0" fillId="0" borderId="4" pivotButton="0" quotePrefix="0" xfId="0"/>
    <xf numFmtId="0" fontId="11" fillId="0" borderId="0" applyAlignment="1" pivotButton="0" quotePrefix="0" xfId="0">
      <alignment vertical="bottom"/>
    </xf>
    <xf numFmtId="0" fontId="12" fillId="0" borderId="0" applyAlignment="1" pivotButton="0" quotePrefix="0" xfId="0">
      <alignment wrapText="1"/>
    </xf>
    <xf numFmtId="0" fontId="12" fillId="0" borderId="0" pivotButton="0" quotePrefix="0" xfId="0"/>
    <xf numFmtId="165" fontId="9" fillId="0" borderId="6" applyAlignment="1" pivotButton="0" quotePrefix="0" xfId="0">
      <alignment horizontal="left"/>
    </xf>
    <xf numFmtId="0" fontId="9" fillId="0" borderId="6" applyAlignment="1" pivotButton="0" quotePrefix="0" xfId="0">
      <alignment horizontal="left"/>
    </xf>
    <xf numFmtId="49" fontId="9" fillId="0" borderId="6" applyAlignment="1" pivotButton="0" quotePrefix="0" xfId="0">
      <alignment horizontal="left"/>
    </xf>
    <xf numFmtId="172" fontId="9" fillId="0" borderId="0" applyAlignment="1" pivotButton="0" quotePrefix="0" xfId="0">
      <alignment horizontal="left"/>
    </xf>
    <xf numFmtId="20" fontId="4" fillId="0" borderId="5" applyAlignment="1" pivotButton="0" quotePrefix="0" xfId="0">
      <alignment vertical="center"/>
    </xf>
    <xf numFmtId="0" fontId="4" fillId="0" borderId="3" pivotButton="0" quotePrefix="0" xfId="0"/>
    <xf numFmtId="165" fontId="4" fillId="0" borderId="3" pivotButton="0" quotePrefix="0" xfId="0"/>
    <xf numFmtId="0" fontId="4" fillId="0" borderId="0" applyAlignment="1" pivotButton="0" quotePrefix="0" xfId="0">
      <alignment horizontal="center"/>
    </xf>
    <xf numFmtId="0" fontId="7" fillId="0" borderId="0" pivotButton="0" quotePrefix="0" xfId="0"/>
    <xf numFmtId="0" fontId="7" fillId="0" borderId="4" pivotButton="0" quotePrefix="0" xfId="0"/>
    <xf numFmtId="49" fontId="4" fillId="0" borderId="3" pivotButton="0" quotePrefix="0" xfId="0"/>
    <xf numFmtId="20" fontId="4" fillId="0" borderId="3" pivotButton="0" quotePrefix="0" xfId="0"/>
    <xf numFmtId="0" fontId="13" fillId="0" borderId="0" pivotButton="0" quotePrefix="0" xfId="0"/>
    <xf numFmtId="0" fontId="4" fillId="0" borderId="5" pivotButton="0" quotePrefix="0" xfId="0"/>
    <xf numFmtId="0" fontId="10" fillId="0" borderId="0" pivotButton="0" quotePrefix="0" xfId="0"/>
    <xf numFmtId="0" fontId="13" fillId="0" borderId="2" pivotButton="0" quotePrefix="0" xfId="0"/>
    <xf numFmtId="0" fontId="13" fillId="0" borderId="2" applyAlignment="1" pivotButton="0" quotePrefix="0" xfId="0">
      <alignment horizontal="center"/>
    </xf>
    <xf numFmtId="0" fontId="3" fillId="0" borderId="0" pivotButton="0" quotePrefix="0" xfId="0"/>
    <xf numFmtId="0" fontId="4" fillId="0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49" fontId="4" fillId="0" borderId="3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dxfs count="1">
    <dxf>
      <font>
        <name val="游ゴシック"/>
        <b val="1"/>
        <color rgb="000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台帳</author>
  </authors>
  <commentList>
    <comment ref="G7" authorId="0" shapeId="0">
      <text>
        <t>有効な級を表示します（1級と2級の両方の記録があれば1級）。特殊も持っていれば「1級・特殊」。期限切れは「×」付きで太字。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4" customHeight="1">
      <c r="A1" s="1" t="inlineStr">
        <is>
          <t>潜水管理台帳 第2版</t>
        </is>
      </c>
      <c r="B1" s="2" t="n"/>
      <c r="C1" s="2" t="n"/>
      <c r="D1" s="2" t="n"/>
      <c r="E1" s="2" t="n"/>
      <c r="F1" s="2" t="n"/>
    </row>
    <row r="2">
      <c r="A2" s="3" t="inlineStr">
        <is>
          <t>宮古島市消防本部 潜水隊。Excel 2019対応。一覧と集計は数式だけで動き、マクロは取り込み・書き出し用。氏名・数値はすべて見本です。</t>
        </is>
      </c>
    </row>
    <row r="3">
      <c r="A3" s="4" t="inlineStr"/>
      <c r="B3" s="5" t="inlineStr"/>
    </row>
    <row r="4" ht="24" customHeight="1">
      <c r="A4" s="6" t="inlineStr">
        <is>
          <t>見る（自動）</t>
        </is>
      </c>
      <c r="B4" s="7" t="inlineStr"/>
    </row>
    <row r="5">
      <c r="A5" s="4" t="inlineStr">
        <is>
          <t>隊員一覧</t>
        </is>
      </c>
      <c r="B5" s="5" t="inlineStr">
        <is>
          <t>1人1行。免許・研修・小型船舶・潜水本数・ブランクを一覧表示。太字は要確認</t>
        </is>
      </c>
    </row>
    <row r="6">
      <c r="A6" s="4" t="inlineStr">
        <is>
          <t>資格一覧</t>
        </is>
      </c>
      <c r="B6" s="5" t="inlineStr">
        <is>
          <t>隊員×資格の○—表</t>
        </is>
      </c>
    </row>
    <row r="7">
      <c r="A7" s="4" t="inlineStr">
        <is>
          <t>経歴簿</t>
        </is>
      </c>
      <c r="B7" s="5" t="inlineStr">
        <is>
          <t>職員番号を選ぶと、その人の潜水歴と累計が並ぶ。PDFで出せる</t>
        </is>
      </c>
    </row>
    <row r="8">
      <c r="A8" s="4" t="inlineStr">
        <is>
          <t>報告書</t>
        </is>
      </c>
      <c r="B8" s="5" t="inlineStr">
        <is>
          <t>事案IDを選ぶと、潜水活動報告書が1枚にまとまる。PDFで出し、指揮者が確認して署名する</t>
        </is>
      </c>
    </row>
    <row r="9">
      <c r="A9" s="4" t="inlineStr">
        <is>
          <t>CSV抽出</t>
        </is>
      </c>
      <c r="B9" s="5" t="inlineStr">
        <is>
          <t>期間・区分・職員番号で潜水記録を絞り込み、CSVで出す</t>
        </is>
      </c>
    </row>
    <row r="10">
      <c r="A10" s="4" t="inlineStr"/>
      <c r="B10" s="5" t="inlineStr"/>
    </row>
    <row r="11" ht="24" customHeight="1">
      <c r="A11" s="6" t="inlineStr">
        <is>
          <t>入力する</t>
        </is>
      </c>
      <c r="B11" s="7" t="inlineStr"/>
    </row>
    <row r="12">
      <c r="A12" s="4" t="inlineStr">
        <is>
          <t>潜水記録・事案</t>
        </is>
      </c>
      <c r="B12" s="5" t="inlineStr">
        <is>
          <t>アプリのCSVを取り込むと自動で入る。手で入力もできる。右端（AL列から）はアプリの追加記録（記録ID・浮上開始時刻・安全停止など）</t>
        </is>
      </c>
    </row>
    <row r="13">
      <c r="A13" s="4" t="inlineStr">
        <is>
          <t>隊員マスタ</t>
        </is>
      </c>
      <c r="B13" s="5" t="inlineStr">
        <is>
          <t>1人1行。職員番号は重複不可（0で始まる番号もそのまま入る）。異動・退職しても行は消さず在籍状態を変える</t>
        </is>
      </c>
    </row>
    <row r="14">
      <c r="A14" s="4" t="inlineStr">
        <is>
          <t>資格研修記録</t>
        </is>
      </c>
      <c r="B14" s="5" t="inlineStr">
        <is>
          <t>1件1行。小型船舶は級ごとに1行（1級と特殊なら2行）</t>
        </is>
      </c>
    </row>
    <row r="15">
      <c r="A15" s="4" t="inlineStr">
        <is>
          <t>潜水表</t>
        </is>
      </c>
      <c r="B15" s="5" t="inlineStr">
        <is>
          <t>アプリの潜水表の正本。直したら2人で照合し［アプリ用に書き出す］</t>
        </is>
      </c>
    </row>
    <row r="16">
      <c r="A16" s="4" t="inlineStr">
        <is>
          <t>選択肢</t>
        </is>
      </c>
      <c r="B16" s="5" t="inlineStr">
        <is>
          <t>プルダウンの中身</t>
        </is>
      </c>
    </row>
    <row r="17">
      <c r="A17" s="4" t="inlineStr"/>
      <c r="B17" s="5" t="inlineStr"/>
    </row>
    <row r="18" ht="24" customHeight="1">
      <c r="A18" s="6" t="inlineStr">
        <is>
          <t>アプリの記録を取り込む</t>
        </is>
      </c>
      <c r="B18" s="7" t="inlineStr"/>
    </row>
    <row r="19">
      <c r="A19" s="4" t="inlineStr">
        <is>
          <t>1</t>
        </is>
      </c>
      <c r="B19" s="5" t="inlineStr">
        <is>
          <t>現場用スマホから届いたメールのCSVを、パソコンに保存する（ダブルクリックでExcelで開かない。開いて上書き保存すると文字や番号が変わるので、取り込めなくなる）</t>
        </is>
      </c>
    </row>
    <row r="20">
      <c r="A20" s="4" t="inlineStr">
        <is>
          <t>2</t>
        </is>
      </c>
      <c r="B20" s="5" t="inlineStr">
        <is>
          <t>潜水記録シートの［アプリのCSVを取り込む］→ CSVを選ぶ（複数選べる）</t>
        </is>
      </c>
    </row>
    <row r="21">
      <c r="A21" s="4" t="inlineStr">
        <is>
          <t>3</t>
        </is>
      </c>
      <c r="B21" s="5" t="inlineStr">
        <is>
          <t>同じ潜水（記録IDが同じ。記録IDのない古いCSVは 事案ID・職員番号・本数が同じ）は二重に入らない。CSVの記録更新日時が台帳より新しいときだけ上書き（更新）・削除する。同じか古いCSVを取り込み直しても、署で手で直した内容は変わらない。アプリで削除した記録は行が空き、記録IDだけ残る（古いCSVで戻らないように。まだ台帳にない記録の削除も、この印の行を作る）</t>
        </is>
      </c>
    </row>
    <row r="22">
      <c r="A22" s="4" t="inlineStr">
        <is>
          <t>4</t>
        </is>
      </c>
      <c r="B22" s="5" t="inlineStr">
        <is>
          <t>報告書シートで事案IDを選び［報告書をPDF］→ 印刷して指揮者が確認・署名する</t>
        </is>
      </c>
    </row>
    <row r="23">
      <c r="A23" s="4" t="inlineStr"/>
      <c r="B23" s="5" t="inlineStr"/>
    </row>
    <row r="24" ht="24" customHeight="1">
      <c r="A24" s="6" t="inlineStr">
        <is>
          <t>潜水表をアプリに送る</t>
        </is>
      </c>
      <c r="B24" s="7" t="inlineStr"/>
    </row>
    <row r="25">
      <c r="A25" s="4" t="inlineStr">
        <is>
          <t>1</t>
        </is>
      </c>
      <c r="B25" s="5" t="inlineStr">
        <is>
          <t>潜水表シートの数値を直し、2人で照合して「照合」欄を照合済みにする</t>
        </is>
      </c>
    </row>
    <row r="26">
      <c r="A26" s="4" t="inlineStr">
        <is>
          <t>2</t>
        </is>
      </c>
      <c r="B26" s="5" t="inlineStr">
        <is>
          <t>［アプリ用に書き出す］→「出力」フォルダに .json ができる</t>
        </is>
      </c>
    </row>
    <row r="27">
      <c r="A27" s="4" t="inlineStr">
        <is>
          <t>3</t>
        </is>
      </c>
      <c r="B27" s="5" t="inlineStr">
        <is>
          <t>その .json を現場用スマホへメールで送り、アプリの 潜水表 →［潜水表ファイルを読み込む］</t>
        </is>
      </c>
    </row>
    <row r="28">
      <c r="A28" s="4" t="inlineStr"/>
      <c r="B28" s="5" t="inlineStr"/>
    </row>
    <row r="29" ht="24" customHeight="1">
      <c r="A29" s="6" t="inlineStr">
        <is>
          <t>マクロの組み込み（初回だけ）</t>
        </is>
      </c>
      <c r="B29" s="7" t="inlineStr"/>
    </row>
    <row r="30">
      <c r="A30" s="4" t="inlineStr">
        <is>
          <t>1</t>
        </is>
      </c>
      <c r="B30" s="5" t="inlineStr">
        <is>
          <t>このファイルを［名前を付けて保存］→ 種類「Excel マクロ有効ブック（.xlsm）」。保存先はパソコンの中（例：ドキュメント）。OneDrive上のままではPDFや書き出しができない</t>
        </is>
      </c>
    </row>
    <row r="31">
      <c r="A31" s="4" t="inlineStr">
        <is>
          <t>2</t>
        </is>
      </c>
      <c r="B31" s="5" t="inlineStr">
        <is>
          <t>Alt＋F11 → 左のプロジェクト一覧で「VBAProject (潜水管理台帳.xlsm)」をクリックして選ぶ →［ファイル］→［ファイルのインポート］→ 潜水管理マクロ.bas（別のブックを選んだまま取り込むと、そのブックに入ってしまう）</t>
        </is>
      </c>
    </row>
    <row r="32">
      <c r="A32" s="4" t="inlineStr">
        <is>
          <t>3</t>
        </is>
      </c>
      <c r="B32" s="5" t="inlineStr">
        <is>
          <t>Alt＋F8 →「SetupButtons」を実行。各シートにボタンが付く</t>
        </is>
      </c>
    </row>
    <row r="33">
      <c r="A33" s="4" t="inlineStr">
        <is>
          <t>4</t>
        </is>
      </c>
      <c r="B33" s="5" t="inlineStr">
        <is>
          <t>上書き保存。次回から開くときに［コンテンツの有効化］</t>
        </is>
      </c>
    </row>
    <row r="34">
      <c r="A34" s="4" t="inlineStr"/>
      <c r="B34" s="5" t="inlineStr"/>
    </row>
    <row r="35" ht="24" customHeight="1">
      <c r="A35" s="6" t="inlineStr">
        <is>
          <t>注意</t>
        </is>
      </c>
      <c r="B35" s="7" t="inlineStr"/>
    </row>
    <row r="36">
      <c r="A36" s="4" t="inlineStr">
        <is>
          <t>判定</t>
        </is>
      </c>
      <c r="B36" s="5" t="inlineStr">
        <is>
          <t>アプリの判定（表の判定・グループなど）はNAUI潜水表による計算の目安。実際の判断は指揮者とダイブコンピュータを優先する</t>
        </is>
      </c>
    </row>
    <row r="37">
      <c r="A37" s="4" t="inlineStr">
        <is>
          <t>記録の保存</t>
        </is>
      </c>
      <c r="B37" s="5" t="inlineStr">
        <is>
          <t>作業の記録は5年間保存（高圧則 第20条の2）。潜水記録・事案の行は消さず、この台帳ごと保存しておく</t>
        </is>
      </c>
    </row>
    <row r="38">
      <c r="A38" s="4" t="inlineStr">
        <is>
          <t>CSVのメール</t>
        </is>
      </c>
      <c r="B38" s="5" t="inlineStr">
        <is>
          <t>メールの設定によっては、CSVの添付が消えたり迷惑メールに入ったりする。届いたら添付の有無と件数を確かめ、無いときはアプリから送り直す（アプリには記録が残っている）</t>
        </is>
      </c>
    </row>
    <row r="39">
      <c r="A39" s="4" t="inlineStr">
        <is>
          <t>Excelで開いたCSV</t>
        </is>
      </c>
      <c r="B39" s="5" t="inlineStr">
        <is>
          <t>Excelで開いて上書き保存したCSVは取り込まない（「Excelで保存し直したCSVです」と出る）。メールで届いた元のファイルを使う</t>
        </is>
      </c>
    </row>
    <row r="40">
      <c r="A40" s="4" t="inlineStr">
        <is>
          <t>上限</t>
        </is>
      </c>
      <c r="B40" s="5" t="inlineStr">
        <is>
          <t>隊員200人、資格研修記録1000件、潜水記録3000件、事案1000件まで。経歴簿は1人300本、報告書は1事案30本まで表示（超えるとPDFを作るときに知らせる）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07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6" customWidth="1" min="4" max="4"/>
    <col width="8" customWidth="1" min="5" max="5"/>
    <col width="9" customWidth="1" min="6" max="6"/>
    <col width="18" customWidth="1" min="7" max="7"/>
    <col width="8" customWidth="1" min="8" max="8"/>
    <col width="8" customWidth="1" min="9" max="9"/>
    <col width="10" customWidth="1" min="10" max="10"/>
    <col width="9" customWidth="1" min="11" max="11"/>
    <col width="11" customWidth="1" min="12" max="12"/>
    <col width="10" customWidth="1" min="13" max="13"/>
  </cols>
  <sheetData>
    <row r="1" ht="34" customHeight="1">
      <c r="A1" s="1" t="inlineStr">
        <is>
          <t>隊員一覧</t>
        </is>
      </c>
      <c r="B1" s="2" t="n"/>
      <c r="C1" s="2" t="n"/>
      <c r="D1" s="2" t="n"/>
    </row>
    <row r="2">
      <c r="A2" s="3" t="inlineStr">
        <is>
          <t>基準日</t>
        </is>
      </c>
      <c r="B2" s="8">
        <f>TODAY()</f>
        <v/>
      </c>
      <c r="C2" s="3" t="inlineStr">
        <is>
          <t>年度</t>
        </is>
      </c>
      <c r="D2" s="9">
        <f>YEAR(EDATE(B2,-3))</f>
        <v/>
      </c>
      <c r="F2" s="10" t="inlineStr">
        <is>
          <t>このシートは自動表示です。入力は「隊員マスタ」「資格研修記録」「潜水記録」へ。</t>
        </is>
      </c>
    </row>
    <row r="4">
      <c r="A4" s="10" t="inlineStr">
        <is>
          <t>在籍隊員</t>
        </is>
      </c>
      <c r="C4" s="10" t="inlineStr">
        <is>
          <t>潜水士免許 保有</t>
        </is>
      </c>
      <c r="F4" s="10" t="inlineStr">
        <is>
          <t>小型船舶 保有（有効）</t>
        </is>
      </c>
      <c r="H4" s="10" t="inlineStr">
        <is>
          <t>今年度 潜水本数</t>
        </is>
      </c>
    </row>
    <row r="5" ht="30" customHeight="1">
      <c r="A5" s="11">
        <f>COUNTIF($D$8:$D$207,"在籍")</f>
        <v/>
      </c>
      <c r="C5" s="11">
        <f>COUNTIFS($D$8:$D$207,"在籍",$E$8:$E$207,"有")</f>
        <v/>
      </c>
      <c r="F5" s="11">
        <f>SUMPRODUCT(($D$8:$D$207="在籍")*((((LEFT($G$8:$G$207,2)="1級")+(LEFT($G$8:$G$207,2)="2級")+ISNUMBER(SEARCH("・特殊",$G$8:$G$207))+($G$8:$G$207="特殊"))&gt;0)))</f>
        <v/>
      </c>
      <c r="H5" s="12">
        <f>COUNTIF('潜水記録'!$AF$5:$AF$3004,D2)</f>
        <v/>
      </c>
    </row>
    <row r="7" ht="32" customHeight="1">
      <c r="A7" s="13" t="inlineStr">
        <is>
          <t>職員番号</t>
        </is>
      </c>
      <c r="B7" s="13" t="inlineStr">
        <is>
          <t>氏名</t>
        </is>
      </c>
      <c r="C7" s="13" t="inlineStr">
        <is>
          <t>所属</t>
        </is>
      </c>
      <c r="D7" s="13" t="inlineStr">
        <is>
          <t>在籍</t>
        </is>
      </c>
      <c r="E7" s="13" t="inlineStr">
        <is>
          <t>潜水士免許</t>
        </is>
      </c>
      <c r="F7" s="13" t="inlineStr">
        <is>
          <t>水難救助研修</t>
        </is>
      </c>
      <c r="G7" s="13" t="inlineStr">
        <is>
          <t>小型船舶</t>
        </is>
      </c>
      <c r="H7" s="13" t="inlineStr">
        <is>
          <t>今年度 本数</t>
        </is>
      </c>
      <c r="I7" s="13" t="inlineStr">
        <is>
          <t>累計 本数</t>
        </is>
      </c>
      <c r="J7" s="13" t="inlineStr">
        <is>
          <t>累計 潜水時間(分)</t>
        </is>
      </c>
      <c r="K7" s="13" t="inlineStr">
        <is>
          <t>最大水深(m)</t>
        </is>
      </c>
      <c r="L7" s="13" t="inlineStr">
        <is>
          <t>最終潜水日</t>
        </is>
      </c>
      <c r="M7" s="13" t="inlineStr">
        <is>
          <t>最終潜水から(日)</t>
        </is>
      </c>
    </row>
    <row r="8">
      <c r="A8" s="14">
        <f>IF('隊員マスタ'!A5="","",'隊員マスタ'!A5)</f>
        <v/>
      </c>
      <c r="B8" s="14">
        <f>IF(A8="","",'隊員マスタ'!B5)</f>
        <v/>
      </c>
      <c r="C8" s="14">
        <f>IF(A8="","",'隊員マスタ'!C5)</f>
        <v/>
      </c>
      <c r="D8" s="15">
        <f>IF(A8="","",'隊員マスタ'!D5)</f>
        <v/>
      </c>
      <c r="E8" s="15">
        <f>IF(A8="","",IF(COUNTIFS('資格研修記録'!$A$5:$A$1004,A8,'資格研修記録'!$D$5:$D$1004,"潜水士免許")&gt;0,"有","無"))</f>
        <v/>
      </c>
      <c r="F8" s="15">
        <f>IF(A8="","",IF(COUNTIFS('資格研修記録'!$A$5:$A$1004,A8,'資格研修記録'!$D$5:$D$1004,"水難救助研修")&gt;0,"修了","—"))</f>
        <v/>
      </c>
      <c r="G8" s="14">
        <f>IF(A8="","",IF((IF((COUNTIFS('資格研修記録'!$A$5:$A$1004,A8,'資格研修記録'!$D$5:$D$1004,"小型船舶1級",'資格研修記録'!$F$5:$F$1004,"")+COUNTIFS('資格研修記録'!$A$5:$A$1004,A8,'資格研修記録'!$D$5:$D$1004,"小型船舶1級",'資格研修記録'!$F$5:$F$1004,"&gt;="&amp;TODAY()))&gt;0,"1級",IF((COUNTIFS('資格研修記録'!$A$5:$A$1004,A8,'資格研修記録'!$D$5:$D$1004,"小型船舶2級",'資格研修記録'!$F$5:$F$1004,"")+COUNTIFS('資格研修記録'!$A$5:$A$1004,A8,'資格研修記録'!$D$5:$D$1004,"小型船舶2級",'資格研修記録'!$F$5:$F$1004,"&gt;="&amp;TODAY()))&gt;0,"2級",IF(COUNTIFS('資格研修記録'!$A$5:$A$1004,A8,'資格研修記録'!$D$5:$D$1004,"小型船舶1級")+COUNTIFS('資格研修記録'!$A$5:$A$1004,A8,'資格研修記録'!$D$5:$D$1004,"小型船舶2級")&gt;0,"× 1・2級 期限切れ",""))))&amp;(IF((COUNTIFS('資格研修記録'!$A$5:$A$1004,A8,'資格研修記録'!$D$5:$D$1004,"小型船舶特殊",'資格研修記録'!$F$5:$F$1004,"")+COUNTIFS('資格研修記録'!$A$5:$A$1004,A8,'資格研修記録'!$D$5:$D$1004,"小型船舶特殊",'資格研修記録'!$F$5:$F$1004,"&gt;="&amp;TODAY()))&gt;0,"特殊",IF(COUNTIFS('資格研修記録'!$A$5:$A$1004,A8,'資格研修記録'!$D$5:$D$1004,"小型船舶特殊")&gt;0,"× 特殊 期限切れ","")))="","—",_xlfn.TEXTJOIN("・",TRUE,IF((COUNTIFS('資格研修記録'!$A$5:$A$1004,A8,'資格研修記録'!$D$5:$D$1004,"小型船舶1級",'資格研修記録'!$F$5:$F$1004,"")+COUNTIFS('資格研修記録'!$A$5:$A$1004,A8,'資格研修記録'!$D$5:$D$1004,"小型船舶1級",'資格研修記録'!$F$5:$F$1004,"&gt;="&amp;TODAY()))&gt;0,"1級",IF((COUNTIFS('資格研修記録'!$A$5:$A$1004,A8,'資格研修記録'!$D$5:$D$1004,"小型船舶2級",'資格研修記録'!$F$5:$F$1004,"")+COUNTIFS('資格研修記録'!$A$5:$A$1004,A8,'資格研修記録'!$D$5:$D$1004,"小型船舶2級",'資格研修記録'!$F$5:$F$1004,"&gt;="&amp;TODAY()))&gt;0,"2級",IF(COUNTIFS('資格研修記録'!$A$5:$A$1004,A8,'資格研修記録'!$D$5:$D$1004,"小型船舶1級")+COUNTIFS('資格研修記録'!$A$5:$A$1004,A8,'資格研修記録'!$D$5:$D$1004,"小型船舶2級")&gt;0,"× 1・2級 期限切れ",""))),IF((COUNTIFS('資格研修記録'!$A$5:$A$1004,A8,'資格研修記録'!$D$5:$D$1004,"小型船舶特殊",'資格研修記録'!$F$5:$F$1004,"")+COUNTIFS('資格研修記録'!$A$5:$A$1004,A8,'資格研修記録'!$D$5:$D$1004,"小型船舶特殊",'資格研修記録'!$F$5:$F$1004,"&gt;="&amp;TODAY()))&gt;0,"特殊",IF(COUNTIFS('資格研修記録'!$A$5:$A$1004,A8,'資格研修記録'!$D$5:$D$1004,"小型船舶特殊")&gt;0,"× 特殊 期限切れ","")))))</f>
        <v/>
      </c>
      <c r="H8" s="15">
        <f>IF(A8="","",COUNTIFS('潜水記録'!$B$5:$B$3004,A8,'潜水記録'!$AF$5:$AF$3004,$D$2))</f>
        <v/>
      </c>
      <c r="I8" s="15">
        <f>IF(A8="","",COUNTIF('潜水記録'!$B$5:$B$3004,A8))</f>
        <v/>
      </c>
      <c r="J8" s="15">
        <f>IF(A8="","",SUMIF('潜水記録'!$B$5:$B$3004,A8,'潜水記録'!$H$5:$H$3004))</f>
        <v/>
      </c>
      <c r="K8" s="15">
        <f>IF(A8="","",IF(I8=0,"",_xlfn.MAXIFS('潜水記録'!$G$5:$G$3004,'潜水記録'!$B$5:$B$3004,A8)))</f>
        <v/>
      </c>
      <c r="L8" s="16">
        <f>IF(A8="","",IF(I8=0,"",_xlfn.MAXIFS('潜水記録'!$A$5:$A$3004,'潜水記録'!$B$5:$B$3004,A8)))</f>
        <v/>
      </c>
      <c r="M8" s="15">
        <f>IF(L8="","",$B$2-L8)</f>
        <v/>
      </c>
    </row>
    <row r="9">
      <c r="A9" s="14">
        <f>IF('隊員マスタ'!A6="","",'隊員マスタ'!A6)</f>
        <v/>
      </c>
      <c r="B9" s="14">
        <f>IF(A9="","",'隊員マスタ'!B6)</f>
        <v/>
      </c>
      <c r="C9" s="14">
        <f>IF(A9="","",'隊員マスタ'!C6)</f>
        <v/>
      </c>
      <c r="D9" s="15">
        <f>IF(A9="","",'隊員マスタ'!D6)</f>
        <v/>
      </c>
      <c r="E9" s="15">
        <f>IF(A9="","",IF(COUNTIFS('資格研修記録'!$A$5:$A$1004,A9,'資格研修記録'!$D$5:$D$1004,"潜水士免許")&gt;0,"有","無"))</f>
        <v/>
      </c>
      <c r="F9" s="15">
        <f>IF(A9="","",IF(COUNTIFS('資格研修記録'!$A$5:$A$1004,A9,'資格研修記録'!$D$5:$D$1004,"水難救助研修")&gt;0,"修了","—"))</f>
        <v/>
      </c>
      <c r="G9" s="14">
        <f>IF(A9="","",IF((IF((COUNTIFS('資格研修記録'!$A$5:$A$1004,A9,'資格研修記録'!$D$5:$D$1004,"小型船舶1級",'資格研修記録'!$F$5:$F$1004,"")+COUNTIFS('資格研修記録'!$A$5:$A$1004,A9,'資格研修記録'!$D$5:$D$1004,"小型船舶1級",'資格研修記録'!$F$5:$F$1004,"&gt;="&amp;TODAY()))&gt;0,"1級",IF((COUNTIFS('資格研修記録'!$A$5:$A$1004,A9,'資格研修記録'!$D$5:$D$1004,"小型船舶2級",'資格研修記録'!$F$5:$F$1004,"")+COUNTIFS('資格研修記録'!$A$5:$A$1004,A9,'資格研修記録'!$D$5:$D$1004,"小型船舶2級",'資格研修記録'!$F$5:$F$1004,"&gt;="&amp;TODAY()))&gt;0,"2級",IF(COUNTIFS('資格研修記録'!$A$5:$A$1004,A9,'資格研修記録'!$D$5:$D$1004,"小型船舶1級")+COUNTIFS('資格研修記録'!$A$5:$A$1004,A9,'資格研修記録'!$D$5:$D$1004,"小型船舶2級")&gt;0,"× 1・2級 期限切れ",""))))&amp;(IF((COUNTIFS('資格研修記録'!$A$5:$A$1004,A9,'資格研修記録'!$D$5:$D$1004,"小型船舶特殊",'資格研修記録'!$F$5:$F$1004,"")+COUNTIFS('資格研修記録'!$A$5:$A$1004,A9,'資格研修記録'!$D$5:$D$1004,"小型船舶特殊",'資格研修記録'!$F$5:$F$1004,"&gt;="&amp;TODAY()))&gt;0,"特殊",IF(COUNTIFS('資格研修記録'!$A$5:$A$1004,A9,'資格研修記録'!$D$5:$D$1004,"小型船舶特殊")&gt;0,"× 特殊 期限切れ","")))="","—",_xlfn.TEXTJOIN("・",TRUE,IF((COUNTIFS('資格研修記録'!$A$5:$A$1004,A9,'資格研修記録'!$D$5:$D$1004,"小型船舶1級",'資格研修記録'!$F$5:$F$1004,"")+COUNTIFS('資格研修記録'!$A$5:$A$1004,A9,'資格研修記録'!$D$5:$D$1004,"小型船舶1級",'資格研修記録'!$F$5:$F$1004,"&gt;="&amp;TODAY()))&gt;0,"1級",IF((COUNTIFS('資格研修記録'!$A$5:$A$1004,A9,'資格研修記録'!$D$5:$D$1004,"小型船舶2級",'資格研修記録'!$F$5:$F$1004,"")+COUNTIFS('資格研修記録'!$A$5:$A$1004,A9,'資格研修記録'!$D$5:$D$1004,"小型船舶2級",'資格研修記録'!$F$5:$F$1004,"&gt;="&amp;TODAY()))&gt;0,"2級",IF(COUNTIFS('資格研修記録'!$A$5:$A$1004,A9,'資格研修記録'!$D$5:$D$1004,"小型船舶1級")+COUNTIFS('資格研修記録'!$A$5:$A$1004,A9,'資格研修記録'!$D$5:$D$1004,"小型船舶2級")&gt;0,"× 1・2級 期限切れ",""))),IF((COUNTIFS('資格研修記録'!$A$5:$A$1004,A9,'資格研修記録'!$D$5:$D$1004,"小型船舶特殊",'資格研修記録'!$F$5:$F$1004,"")+COUNTIFS('資格研修記録'!$A$5:$A$1004,A9,'資格研修記録'!$D$5:$D$1004,"小型船舶特殊",'資格研修記録'!$F$5:$F$1004,"&gt;="&amp;TODAY()))&gt;0,"特殊",IF(COUNTIFS('資格研修記録'!$A$5:$A$1004,A9,'資格研修記録'!$D$5:$D$1004,"小型船舶特殊")&gt;0,"× 特殊 期限切れ","")))))</f>
        <v/>
      </c>
      <c r="H9" s="15">
        <f>IF(A9="","",COUNTIFS('潜水記録'!$B$5:$B$3004,A9,'潜水記録'!$AF$5:$AF$3004,$D$2))</f>
        <v/>
      </c>
      <c r="I9" s="15">
        <f>IF(A9="","",COUNTIF('潜水記録'!$B$5:$B$3004,A9))</f>
        <v/>
      </c>
      <c r="J9" s="15">
        <f>IF(A9="","",SUMIF('潜水記録'!$B$5:$B$3004,A9,'潜水記録'!$H$5:$H$3004))</f>
        <v/>
      </c>
      <c r="K9" s="15">
        <f>IF(A9="","",IF(I9=0,"",_xlfn.MAXIFS('潜水記録'!$G$5:$G$3004,'潜水記録'!$B$5:$B$3004,A9)))</f>
        <v/>
      </c>
      <c r="L9" s="16">
        <f>IF(A9="","",IF(I9=0,"",_xlfn.MAXIFS('潜水記録'!$A$5:$A$3004,'潜水記録'!$B$5:$B$3004,A9)))</f>
        <v/>
      </c>
      <c r="M9" s="15">
        <f>IF(L9="","",$B$2-L9)</f>
        <v/>
      </c>
    </row>
    <row r="10">
      <c r="A10" s="14">
        <f>IF('隊員マスタ'!A7="","",'隊員マスタ'!A7)</f>
        <v/>
      </c>
      <c r="B10" s="14">
        <f>IF(A10="","",'隊員マスタ'!B7)</f>
        <v/>
      </c>
      <c r="C10" s="14">
        <f>IF(A10="","",'隊員マスタ'!C7)</f>
        <v/>
      </c>
      <c r="D10" s="15">
        <f>IF(A10="","",'隊員マスタ'!D7)</f>
        <v/>
      </c>
      <c r="E10" s="15">
        <f>IF(A10="","",IF(COUNTIFS('資格研修記録'!$A$5:$A$1004,A10,'資格研修記録'!$D$5:$D$1004,"潜水士免許")&gt;0,"有","無"))</f>
        <v/>
      </c>
      <c r="F10" s="15">
        <f>IF(A10="","",IF(COUNTIFS('資格研修記録'!$A$5:$A$1004,A10,'資格研修記録'!$D$5:$D$1004,"水難救助研修")&gt;0,"修了","—"))</f>
        <v/>
      </c>
      <c r="G10" s="14">
        <f>IF(A10="","",IF((IF((COUNTIFS('資格研修記録'!$A$5:$A$1004,A10,'資格研修記録'!$D$5:$D$1004,"小型船舶1級",'資格研修記録'!$F$5:$F$1004,"")+COUNTIFS('資格研修記録'!$A$5:$A$1004,A10,'資格研修記録'!$D$5:$D$1004,"小型船舶1級",'資格研修記録'!$F$5:$F$1004,"&gt;="&amp;TODAY()))&gt;0,"1級",IF((COUNTIFS('資格研修記録'!$A$5:$A$1004,A10,'資格研修記録'!$D$5:$D$1004,"小型船舶2級",'資格研修記録'!$F$5:$F$1004,"")+COUNTIFS('資格研修記録'!$A$5:$A$1004,A10,'資格研修記録'!$D$5:$D$1004,"小型船舶2級",'資格研修記録'!$F$5:$F$1004,"&gt;="&amp;TODAY()))&gt;0,"2級",IF(COUNTIFS('資格研修記録'!$A$5:$A$1004,A10,'資格研修記録'!$D$5:$D$1004,"小型船舶1級")+COUNTIFS('資格研修記録'!$A$5:$A$1004,A10,'資格研修記録'!$D$5:$D$1004,"小型船舶2級")&gt;0,"× 1・2級 期限切れ",""))))&amp;(IF((COUNTIFS('資格研修記録'!$A$5:$A$1004,A10,'資格研修記録'!$D$5:$D$1004,"小型船舶特殊",'資格研修記録'!$F$5:$F$1004,"")+COUNTIFS('資格研修記録'!$A$5:$A$1004,A10,'資格研修記録'!$D$5:$D$1004,"小型船舶特殊",'資格研修記録'!$F$5:$F$1004,"&gt;="&amp;TODAY()))&gt;0,"特殊",IF(COUNTIFS('資格研修記録'!$A$5:$A$1004,A10,'資格研修記録'!$D$5:$D$1004,"小型船舶特殊")&gt;0,"× 特殊 期限切れ","")))="","—",_xlfn.TEXTJOIN("・",TRUE,IF((COUNTIFS('資格研修記録'!$A$5:$A$1004,A10,'資格研修記録'!$D$5:$D$1004,"小型船舶1級",'資格研修記録'!$F$5:$F$1004,"")+COUNTIFS('資格研修記録'!$A$5:$A$1004,A10,'資格研修記録'!$D$5:$D$1004,"小型船舶1級",'資格研修記録'!$F$5:$F$1004,"&gt;="&amp;TODAY()))&gt;0,"1級",IF((COUNTIFS('資格研修記録'!$A$5:$A$1004,A10,'資格研修記録'!$D$5:$D$1004,"小型船舶2級",'資格研修記録'!$F$5:$F$1004,"")+COUNTIFS('資格研修記録'!$A$5:$A$1004,A10,'資格研修記録'!$D$5:$D$1004,"小型船舶2級",'資格研修記録'!$F$5:$F$1004,"&gt;="&amp;TODAY()))&gt;0,"2級",IF(COUNTIFS('資格研修記録'!$A$5:$A$1004,A10,'資格研修記録'!$D$5:$D$1004,"小型船舶1級")+COUNTIFS('資格研修記録'!$A$5:$A$1004,A10,'資格研修記録'!$D$5:$D$1004,"小型船舶2級")&gt;0,"× 1・2級 期限切れ",""))),IF((COUNTIFS('資格研修記録'!$A$5:$A$1004,A10,'資格研修記録'!$D$5:$D$1004,"小型船舶特殊",'資格研修記録'!$F$5:$F$1004,"")+COUNTIFS('資格研修記録'!$A$5:$A$1004,A10,'資格研修記録'!$D$5:$D$1004,"小型船舶特殊",'資格研修記録'!$F$5:$F$1004,"&gt;="&amp;TODAY()))&gt;0,"特殊",IF(COUNTIFS('資格研修記録'!$A$5:$A$1004,A10,'資格研修記録'!$D$5:$D$1004,"小型船舶特殊")&gt;0,"× 特殊 期限切れ","")))))</f>
        <v/>
      </c>
      <c r="H10" s="15">
        <f>IF(A10="","",COUNTIFS('潜水記録'!$B$5:$B$3004,A10,'潜水記録'!$AF$5:$AF$3004,$D$2))</f>
        <v/>
      </c>
      <c r="I10" s="15">
        <f>IF(A10="","",COUNTIF('潜水記録'!$B$5:$B$3004,A10))</f>
        <v/>
      </c>
      <c r="J10" s="15">
        <f>IF(A10="","",SUMIF('潜水記録'!$B$5:$B$3004,A10,'潜水記録'!$H$5:$H$3004))</f>
        <v/>
      </c>
      <c r="K10" s="15">
        <f>IF(A10="","",IF(I10=0,"",_xlfn.MAXIFS('潜水記録'!$G$5:$G$3004,'潜水記録'!$B$5:$B$3004,A10)))</f>
        <v/>
      </c>
      <c r="L10" s="16">
        <f>IF(A10="","",IF(I10=0,"",_xlfn.MAXIFS('潜水記録'!$A$5:$A$3004,'潜水記録'!$B$5:$B$3004,A10)))</f>
        <v/>
      </c>
      <c r="M10" s="15">
        <f>IF(L10="","",$B$2-L10)</f>
        <v/>
      </c>
    </row>
    <row r="11">
      <c r="A11" s="14">
        <f>IF('隊員マスタ'!A8="","",'隊員マスタ'!A8)</f>
        <v/>
      </c>
      <c r="B11" s="14">
        <f>IF(A11="","",'隊員マスタ'!B8)</f>
        <v/>
      </c>
      <c r="C11" s="14">
        <f>IF(A11="","",'隊員マスタ'!C8)</f>
        <v/>
      </c>
      <c r="D11" s="15">
        <f>IF(A11="","",'隊員マスタ'!D8)</f>
        <v/>
      </c>
      <c r="E11" s="15">
        <f>IF(A11="","",IF(COUNTIFS('資格研修記録'!$A$5:$A$1004,A11,'資格研修記録'!$D$5:$D$1004,"潜水士免許")&gt;0,"有","無"))</f>
        <v/>
      </c>
      <c r="F11" s="15">
        <f>IF(A11="","",IF(COUNTIFS('資格研修記録'!$A$5:$A$1004,A11,'資格研修記録'!$D$5:$D$1004,"水難救助研修")&gt;0,"修了","—"))</f>
        <v/>
      </c>
      <c r="G11" s="14">
        <f>IF(A11="","",IF((IF((COUNTIFS('資格研修記録'!$A$5:$A$1004,A11,'資格研修記録'!$D$5:$D$1004,"小型船舶1級",'資格研修記録'!$F$5:$F$1004,"")+COUNTIFS('資格研修記録'!$A$5:$A$1004,A11,'資格研修記録'!$D$5:$D$1004,"小型船舶1級",'資格研修記録'!$F$5:$F$1004,"&gt;="&amp;TODAY()))&gt;0,"1級",IF((COUNTIFS('資格研修記録'!$A$5:$A$1004,A11,'資格研修記録'!$D$5:$D$1004,"小型船舶2級",'資格研修記録'!$F$5:$F$1004,"")+COUNTIFS('資格研修記録'!$A$5:$A$1004,A11,'資格研修記録'!$D$5:$D$1004,"小型船舶2級",'資格研修記録'!$F$5:$F$1004,"&gt;="&amp;TODAY()))&gt;0,"2級",IF(COUNTIFS('資格研修記録'!$A$5:$A$1004,A11,'資格研修記録'!$D$5:$D$1004,"小型船舶1級")+COUNTIFS('資格研修記録'!$A$5:$A$1004,A11,'資格研修記録'!$D$5:$D$1004,"小型船舶2級")&gt;0,"× 1・2級 期限切れ",""))))&amp;(IF((COUNTIFS('資格研修記録'!$A$5:$A$1004,A11,'資格研修記録'!$D$5:$D$1004,"小型船舶特殊",'資格研修記録'!$F$5:$F$1004,"")+COUNTIFS('資格研修記録'!$A$5:$A$1004,A11,'資格研修記録'!$D$5:$D$1004,"小型船舶特殊",'資格研修記録'!$F$5:$F$1004,"&gt;="&amp;TODAY()))&gt;0,"特殊",IF(COUNTIFS('資格研修記録'!$A$5:$A$1004,A11,'資格研修記録'!$D$5:$D$1004,"小型船舶特殊")&gt;0,"× 特殊 期限切れ","")))="","—",_xlfn.TEXTJOIN("・",TRUE,IF((COUNTIFS('資格研修記録'!$A$5:$A$1004,A11,'資格研修記録'!$D$5:$D$1004,"小型船舶1級",'資格研修記録'!$F$5:$F$1004,"")+COUNTIFS('資格研修記録'!$A$5:$A$1004,A11,'資格研修記録'!$D$5:$D$1004,"小型船舶1級",'資格研修記録'!$F$5:$F$1004,"&gt;="&amp;TODAY()))&gt;0,"1級",IF((COUNTIFS('資格研修記録'!$A$5:$A$1004,A11,'資格研修記録'!$D$5:$D$1004,"小型船舶2級",'資格研修記録'!$F$5:$F$1004,"")+COUNTIFS('資格研修記録'!$A$5:$A$1004,A11,'資格研修記録'!$D$5:$D$1004,"小型船舶2級",'資格研修記録'!$F$5:$F$1004,"&gt;="&amp;TODAY()))&gt;0,"2級",IF(COUNTIFS('資格研修記録'!$A$5:$A$1004,A11,'資格研修記録'!$D$5:$D$1004,"小型船舶1級")+COUNTIFS('資格研修記録'!$A$5:$A$1004,A11,'資格研修記録'!$D$5:$D$1004,"小型船舶2級")&gt;0,"× 1・2級 期限切れ",""))),IF((COUNTIFS('資格研修記録'!$A$5:$A$1004,A11,'資格研修記録'!$D$5:$D$1004,"小型船舶特殊",'資格研修記録'!$F$5:$F$1004,"")+COUNTIFS('資格研修記録'!$A$5:$A$1004,A11,'資格研修記録'!$D$5:$D$1004,"小型船舶特殊",'資格研修記録'!$F$5:$F$1004,"&gt;="&amp;TODAY()))&gt;0,"特殊",IF(COUNTIFS('資格研修記録'!$A$5:$A$1004,A11,'資格研修記録'!$D$5:$D$1004,"小型船舶特殊")&gt;0,"× 特殊 期限切れ","")))))</f>
        <v/>
      </c>
      <c r="H11" s="15">
        <f>IF(A11="","",COUNTIFS('潜水記録'!$B$5:$B$3004,A11,'潜水記録'!$AF$5:$AF$3004,$D$2))</f>
        <v/>
      </c>
      <c r="I11" s="15">
        <f>IF(A11="","",COUNTIF('潜水記録'!$B$5:$B$3004,A11))</f>
        <v/>
      </c>
      <c r="J11" s="15">
        <f>IF(A11="","",SUMIF('潜水記録'!$B$5:$B$3004,A11,'潜水記録'!$H$5:$H$3004))</f>
        <v/>
      </c>
      <c r="K11" s="15">
        <f>IF(A11="","",IF(I11=0,"",_xlfn.MAXIFS('潜水記録'!$G$5:$G$3004,'潜水記録'!$B$5:$B$3004,A11)))</f>
        <v/>
      </c>
      <c r="L11" s="16">
        <f>IF(A11="","",IF(I11=0,"",_xlfn.MAXIFS('潜水記録'!$A$5:$A$3004,'潜水記録'!$B$5:$B$3004,A11)))</f>
        <v/>
      </c>
      <c r="M11" s="15">
        <f>IF(L11="","",$B$2-L11)</f>
        <v/>
      </c>
    </row>
    <row r="12">
      <c r="A12" s="14">
        <f>IF('隊員マスタ'!A9="","",'隊員マスタ'!A9)</f>
        <v/>
      </c>
      <c r="B12" s="14">
        <f>IF(A12="","",'隊員マスタ'!B9)</f>
        <v/>
      </c>
      <c r="C12" s="14">
        <f>IF(A12="","",'隊員マスタ'!C9)</f>
        <v/>
      </c>
      <c r="D12" s="15">
        <f>IF(A12="","",'隊員マスタ'!D9)</f>
        <v/>
      </c>
      <c r="E12" s="15">
        <f>IF(A12="","",IF(COUNTIFS('資格研修記録'!$A$5:$A$1004,A12,'資格研修記録'!$D$5:$D$1004,"潜水士免許")&gt;0,"有","無"))</f>
        <v/>
      </c>
      <c r="F12" s="15">
        <f>IF(A12="","",IF(COUNTIFS('資格研修記録'!$A$5:$A$1004,A12,'資格研修記録'!$D$5:$D$1004,"水難救助研修")&gt;0,"修了","—"))</f>
        <v/>
      </c>
      <c r="G12" s="14">
        <f>IF(A12="","",IF((IF((COUNTIFS('資格研修記録'!$A$5:$A$1004,A12,'資格研修記録'!$D$5:$D$1004,"小型船舶1級",'資格研修記録'!$F$5:$F$1004,"")+COUNTIFS('資格研修記録'!$A$5:$A$1004,A12,'資格研修記録'!$D$5:$D$1004,"小型船舶1級",'資格研修記録'!$F$5:$F$1004,"&gt;="&amp;TODAY()))&gt;0,"1級",IF((COUNTIFS('資格研修記録'!$A$5:$A$1004,A12,'資格研修記録'!$D$5:$D$1004,"小型船舶2級",'資格研修記録'!$F$5:$F$1004,"")+COUNTIFS('資格研修記録'!$A$5:$A$1004,A12,'資格研修記録'!$D$5:$D$1004,"小型船舶2級",'資格研修記録'!$F$5:$F$1004,"&gt;="&amp;TODAY()))&gt;0,"2級",IF(COUNTIFS('資格研修記録'!$A$5:$A$1004,A12,'資格研修記録'!$D$5:$D$1004,"小型船舶1級")+COUNTIFS('資格研修記録'!$A$5:$A$1004,A12,'資格研修記録'!$D$5:$D$1004,"小型船舶2級")&gt;0,"× 1・2級 期限切れ",""))))&amp;(IF((COUNTIFS('資格研修記録'!$A$5:$A$1004,A12,'資格研修記録'!$D$5:$D$1004,"小型船舶特殊",'資格研修記録'!$F$5:$F$1004,"")+COUNTIFS('資格研修記録'!$A$5:$A$1004,A12,'資格研修記録'!$D$5:$D$1004,"小型船舶特殊",'資格研修記録'!$F$5:$F$1004,"&gt;="&amp;TODAY()))&gt;0,"特殊",IF(COUNTIFS('資格研修記録'!$A$5:$A$1004,A12,'資格研修記録'!$D$5:$D$1004,"小型船舶特殊")&gt;0,"× 特殊 期限切れ","")))="","—",_xlfn.TEXTJOIN("・",TRUE,IF((COUNTIFS('資格研修記録'!$A$5:$A$1004,A12,'資格研修記録'!$D$5:$D$1004,"小型船舶1級",'資格研修記録'!$F$5:$F$1004,"")+COUNTIFS('資格研修記録'!$A$5:$A$1004,A12,'資格研修記録'!$D$5:$D$1004,"小型船舶1級",'資格研修記録'!$F$5:$F$1004,"&gt;="&amp;TODAY()))&gt;0,"1級",IF((COUNTIFS('資格研修記録'!$A$5:$A$1004,A12,'資格研修記録'!$D$5:$D$1004,"小型船舶2級",'資格研修記録'!$F$5:$F$1004,"")+COUNTIFS('資格研修記録'!$A$5:$A$1004,A12,'資格研修記録'!$D$5:$D$1004,"小型船舶2級",'資格研修記録'!$F$5:$F$1004,"&gt;="&amp;TODAY()))&gt;0,"2級",IF(COUNTIFS('資格研修記録'!$A$5:$A$1004,A12,'資格研修記録'!$D$5:$D$1004,"小型船舶1級")+COUNTIFS('資格研修記録'!$A$5:$A$1004,A12,'資格研修記録'!$D$5:$D$1004,"小型船舶2級")&gt;0,"× 1・2級 期限切れ",""))),IF((COUNTIFS('資格研修記録'!$A$5:$A$1004,A12,'資格研修記録'!$D$5:$D$1004,"小型船舶特殊",'資格研修記録'!$F$5:$F$1004,"")+COUNTIFS('資格研修記録'!$A$5:$A$1004,A12,'資格研修記録'!$D$5:$D$1004,"小型船舶特殊",'資格研修記録'!$F$5:$F$1004,"&gt;="&amp;TODAY()))&gt;0,"特殊",IF(COUNTIFS('資格研修記録'!$A$5:$A$1004,A12,'資格研修記録'!$D$5:$D$1004,"小型船舶特殊")&gt;0,"× 特殊 期限切れ","")))))</f>
        <v/>
      </c>
      <c r="H12" s="15">
        <f>IF(A12="","",COUNTIFS('潜水記録'!$B$5:$B$3004,A12,'潜水記録'!$AF$5:$AF$3004,$D$2))</f>
        <v/>
      </c>
      <c r="I12" s="15">
        <f>IF(A12="","",COUNTIF('潜水記録'!$B$5:$B$3004,A12))</f>
        <v/>
      </c>
      <c r="J12" s="15">
        <f>IF(A12="","",SUMIF('潜水記録'!$B$5:$B$3004,A12,'潜水記録'!$H$5:$H$3004))</f>
        <v/>
      </c>
      <c r="K12" s="15">
        <f>IF(A12="","",IF(I12=0,"",_xlfn.MAXIFS('潜水記録'!$G$5:$G$3004,'潜水記録'!$B$5:$B$3004,A12)))</f>
        <v/>
      </c>
      <c r="L12" s="16">
        <f>IF(A12="","",IF(I12=0,"",_xlfn.MAXIFS('潜水記録'!$A$5:$A$3004,'潜水記録'!$B$5:$B$3004,A12)))</f>
        <v/>
      </c>
      <c r="M12" s="15">
        <f>IF(L12="","",$B$2-L12)</f>
        <v/>
      </c>
    </row>
    <row r="13">
      <c r="A13" s="14">
        <f>IF('隊員マスタ'!A10="","",'隊員マスタ'!A10)</f>
        <v/>
      </c>
      <c r="B13" s="14">
        <f>IF(A13="","",'隊員マスタ'!B10)</f>
        <v/>
      </c>
      <c r="C13" s="14">
        <f>IF(A13="","",'隊員マスタ'!C10)</f>
        <v/>
      </c>
      <c r="D13" s="15">
        <f>IF(A13="","",'隊員マスタ'!D10)</f>
        <v/>
      </c>
      <c r="E13" s="15">
        <f>IF(A13="","",IF(COUNTIFS('資格研修記録'!$A$5:$A$1004,A13,'資格研修記録'!$D$5:$D$1004,"潜水士免許")&gt;0,"有","無"))</f>
        <v/>
      </c>
      <c r="F13" s="15">
        <f>IF(A13="","",IF(COUNTIFS('資格研修記録'!$A$5:$A$1004,A13,'資格研修記録'!$D$5:$D$1004,"水難救助研修")&gt;0,"修了","—"))</f>
        <v/>
      </c>
      <c r="G13" s="14">
        <f>IF(A13="","",IF((IF((COUNTIFS('資格研修記録'!$A$5:$A$1004,A13,'資格研修記録'!$D$5:$D$1004,"小型船舶1級",'資格研修記録'!$F$5:$F$1004,"")+COUNTIFS('資格研修記録'!$A$5:$A$1004,A13,'資格研修記録'!$D$5:$D$1004,"小型船舶1級",'資格研修記録'!$F$5:$F$1004,"&gt;="&amp;TODAY()))&gt;0,"1級",IF((COUNTIFS('資格研修記録'!$A$5:$A$1004,A13,'資格研修記録'!$D$5:$D$1004,"小型船舶2級",'資格研修記録'!$F$5:$F$1004,"")+COUNTIFS('資格研修記録'!$A$5:$A$1004,A13,'資格研修記録'!$D$5:$D$1004,"小型船舶2級",'資格研修記録'!$F$5:$F$1004,"&gt;="&amp;TODAY()))&gt;0,"2級",IF(COUNTIFS('資格研修記録'!$A$5:$A$1004,A13,'資格研修記録'!$D$5:$D$1004,"小型船舶1級")+COUNTIFS('資格研修記録'!$A$5:$A$1004,A13,'資格研修記録'!$D$5:$D$1004,"小型船舶2級")&gt;0,"× 1・2級 期限切れ",""))))&amp;(IF((COUNTIFS('資格研修記録'!$A$5:$A$1004,A13,'資格研修記録'!$D$5:$D$1004,"小型船舶特殊",'資格研修記録'!$F$5:$F$1004,"")+COUNTIFS('資格研修記録'!$A$5:$A$1004,A13,'資格研修記録'!$D$5:$D$1004,"小型船舶特殊",'資格研修記録'!$F$5:$F$1004,"&gt;="&amp;TODAY()))&gt;0,"特殊",IF(COUNTIFS('資格研修記録'!$A$5:$A$1004,A13,'資格研修記録'!$D$5:$D$1004,"小型船舶特殊")&gt;0,"× 特殊 期限切れ","")))="","—",_xlfn.TEXTJOIN("・",TRUE,IF((COUNTIFS('資格研修記録'!$A$5:$A$1004,A13,'資格研修記録'!$D$5:$D$1004,"小型船舶1級",'資格研修記録'!$F$5:$F$1004,"")+COUNTIFS('資格研修記録'!$A$5:$A$1004,A13,'資格研修記録'!$D$5:$D$1004,"小型船舶1級",'資格研修記録'!$F$5:$F$1004,"&gt;="&amp;TODAY()))&gt;0,"1級",IF((COUNTIFS('資格研修記録'!$A$5:$A$1004,A13,'資格研修記録'!$D$5:$D$1004,"小型船舶2級",'資格研修記録'!$F$5:$F$1004,"")+COUNTIFS('資格研修記録'!$A$5:$A$1004,A13,'資格研修記録'!$D$5:$D$1004,"小型船舶2級",'資格研修記録'!$F$5:$F$1004,"&gt;="&amp;TODAY()))&gt;0,"2級",IF(COUNTIFS('資格研修記録'!$A$5:$A$1004,A13,'資格研修記録'!$D$5:$D$1004,"小型船舶1級")+COUNTIFS('資格研修記録'!$A$5:$A$1004,A13,'資格研修記録'!$D$5:$D$1004,"小型船舶2級")&gt;0,"× 1・2級 期限切れ",""))),IF((COUNTIFS('資格研修記録'!$A$5:$A$1004,A13,'資格研修記録'!$D$5:$D$1004,"小型船舶特殊",'資格研修記録'!$F$5:$F$1004,"")+COUNTIFS('資格研修記録'!$A$5:$A$1004,A13,'資格研修記録'!$D$5:$D$1004,"小型船舶特殊",'資格研修記録'!$F$5:$F$1004,"&gt;="&amp;TODAY()))&gt;0,"特殊",IF(COUNTIFS('資格研修記録'!$A$5:$A$1004,A13,'資格研修記録'!$D$5:$D$1004,"小型船舶特殊")&gt;0,"× 特殊 期限切れ","")))))</f>
        <v/>
      </c>
      <c r="H13" s="15">
        <f>IF(A13="","",COUNTIFS('潜水記録'!$B$5:$B$3004,A13,'潜水記録'!$AF$5:$AF$3004,$D$2))</f>
        <v/>
      </c>
      <c r="I13" s="15">
        <f>IF(A13="","",COUNTIF('潜水記録'!$B$5:$B$3004,A13))</f>
        <v/>
      </c>
      <c r="J13" s="15">
        <f>IF(A13="","",SUMIF('潜水記録'!$B$5:$B$3004,A13,'潜水記録'!$H$5:$H$3004))</f>
        <v/>
      </c>
      <c r="K13" s="15">
        <f>IF(A13="","",IF(I13=0,"",_xlfn.MAXIFS('潜水記録'!$G$5:$G$3004,'潜水記録'!$B$5:$B$3004,A13)))</f>
        <v/>
      </c>
      <c r="L13" s="16">
        <f>IF(A13="","",IF(I13=0,"",_xlfn.MAXIFS('潜水記録'!$A$5:$A$3004,'潜水記録'!$B$5:$B$3004,A13)))</f>
        <v/>
      </c>
      <c r="M13" s="15">
        <f>IF(L13="","",$B$2-L13)</f>
        <v/>
      </c>
    </row>
    <row r="14">
      <c r="A14" s="14">
        <f>IF('隊員マスタ'!A11="","",'隊員マスタ'!A11)</f>
        <v/>
      </c>
      <c r="B14" s="14">
        <f>IF(A14="","",'隊員マスタ'!B11)</f>
        <v/>
      </c>
      <c r="C14" s="14">
        <f>IF(A14="","",'隊員マスタ'!C11)</f>
        <v/>
      </c>
      <c r="D14" s="15">
        <f>IF(A14="","",'隊員マスタ'!D11)</f>
        <v/>
      </c>
      <c r="E14" s="15">
        <f>IF(A14="","",IF(COUNTIFS('資格研修記録'!$A$5:$A$1004,A14,'資格研修記録'!$D$5:$D$1004,"潜水士免許")&gt;0,"有","無"))</f>
        <v/>
      </c>
      <c r="F14" s="15">
        <f>IF(A14="","",IF(COUNTIFS('資格研修記録'!$A$5:$A$1004,A14,'資格研修記録'!$D$5:$D$1004,"水難救助研修")&gt;0,"修了","—"))</f>
        <v/>
      </c>
      <c r="G14" s="14">
        <f>IF(A14="","",IF((IF((COUNTIFS('資格研修記録'!$A$5:$A$1004,A14,'資格研修記録'!$D$5:$D$1004,"小型船舶1級",'資格研修記録'!$F$5:$F$1004,"")+COUNTIFS('資格研修記録'!$A$5:$A$1004,A14,'資格研修記録'!$D$5:$D$1004,"小型船舶1級",'資格研修記録'!$F$5:$F$1004,"&gt;="&amp;TODAY()))&gt;0,"1級",IF((COUNTIFS('資格研修記録'!$A$5:$A$1004,A14,'資格研修記録'!$D$5:$D$1004,"小型船舶2級",'資格研修記録'!$F$5:$F$1004,"")+COUNTIFS('資格研修記録'!$A$5:$A$1004,A14,'資格研修記録'!$D$5:$D$1004,"小型船舶2級",'資格研修記録'!$F$5:$F$1004,"&gt;="&amp;TODAY()))&gt;0,"2級",IF(COUNTIFS('資格研修記録'!$A$5:$A$1004,A14,'資格研修記録'!$D$5:$D$1004,"小型船舶1級")+COUNTIFS('資格研修記録'!$A$5:$A$1004,A14,'資格研修記録'!$D$5:$D$1004,"小型船舶2級")&gt;0,"× 1・2級 期限切れ",""))))&amp;(IF((COUNTIFS('資格研修記録'!$A$5:$A$1004,A14,'資格研修記録'!$D$5:$D$1004,"小型船舶特殊",'資格研修記録'!$F$5:$F$1004,"")+COUNTIFS('資格研修記録'!$A$5:$A$1004,A14,'資格研修記録'!$D$5:$D$1004,"小型船舶特殊",'資格研修記録'!$F$5:$F$1004,"&gt;="&amp;TODAY()))&gt;0,"特殊",IF(COUNTIFS('資格研修記録'!$A$5:$A$1004,A14,'資格研修記録'!$D$5:$D$1004,"小型船舶特殊")&gt;0,"× 特殊 期限切れ","")))="","—",_xlfn.TEXTJOIN("・",TRUE,IF((COUNTIFS('資格研修記録'!$A$5:$A$1004,A14,'資格研修記録'!$D$5:$D$1004,"小型船舶1級",'資格研修記録'!$F$5:$F$1004,"")+COUNTIFS('資格研修記録'!$A$5:$A$1004,A14,'資格研修記録'!$D$5:$D$1004,"小型船舶1級",'資格研修記録'!$F$5:$F$1004,"&gt;="&amp;TODAY()))&gt;0,"1級",IF((COUNTIFS('資格研修記録'!$A$5:$A$1004,A14,'資格研修記録'!$D$5:$D$1004,"小型船舶2級",'資格研修記録'!$F$5:$F$1004,"")+COUNTIFS('資格研修記録'!$A$5:$A$1004,A14,'資格研修記録'!$D$5:$D$1004,"小型船舶2級",'資格研修記録'!$F$5:$F$1004,"&gt;="&amp;TODAY()))&gt;0,"2級",IF(COUNTIFS('資格研修記録'!$A$5:$A$1004,A14,'資格研修記録'!$D$5:$D$1004,"小型船舶1級")+COUNTIFS('資格研修記録'!$A$5:$A$1004,A14,'資格研修記録'!$D$5:$D$1004,"小型船舶2級")&gt;0,"× 1・2級 期限切れ",""))),IF((COUNTIFS('資格研修記録'!$A$5:$A$1004,A14,'資格研修記録'!$D$5:$D$1004,"小型船舶特殊",'資格研修記録'!$F$5:$F$1004,"")+COUNTIFS('資格研修記録'!$A$5:$A$1004,A14,'資格研修記録'!$D$5:$D$1004,"小型船舶特殊",'資格研修記録'!$F$5:$F$1004,"&gt;="&amp;TODAY()))&gt;0,"特殊",IF(COUNTIFS('資格研修記録'!$A$5:$A$1004,A14,'資格研修記録'!$D$5:$D$1004,"小型船舶特殊")&gt;0,"× 特殊 期限切れ","")))))</f>
        <v/>
      </c>
      <c r="H14" s="15">
        <f>IF(A14="","",COUNTIFS('潜水記録'!$B$5:$B$3004,A14,'潜水記録'!$AF$5:$AF$3004,$D$2))</f>
        <v/>
      </c>
      <c r="I14" s="15">
        <f>IF(A14="","",COUNTIF('潜水記録'!$B$5:$B$3004,A14))</f>
        <v/>
      </c>
      <c r="J14" s="15">
        <f>IF(A14="","",SUMIF('潜水記録'!$B$5:$B$3004,A14,'潜水記録'!$H$5:$H$3004))</f>
        <v/>
      </c>
      <c r="K14" s="15">
        <f>IF(A14="","",IF(I14=0,"",_xlfn.MAXIFS('潜水記録'!$G$5:$G$3004,'潜水記録'!$B$5:$B$3004,A14)))</f>
        <v/>
      </c>
      <c r="L14" s="16">
        <f>IF(A14="","",IF(I14=0,"",_xlfn.MAXIFS('潜水記録'!$A$5:$A$3004,'潜水記録'!$B$5:$B$3004,A14)))</f>
        <v/>
      </c>
      <c r="M14" s="15">
        <f>IF(L14="","",$B$2-L14)</f>
        <v/>
      </c>
    </row>
    <row r="15">
      <c r="A15" s="14">
        <f>IF('隊員マスタ'!A12="","",'隊員マスタ'!A12)</f>
        <v/>
      </c>
      <c r="B15" s="14">
        <f>IF(A15="","",'隊員マスタ'!B12)</f>
        <v/>
      </c>
      <c r="C15" s="14">
        <f>IF(A15="","",'隊員マスタ'!C12)</f>
        <v/>
      </c>
      <c r="D15" s="15">
        <f>IF(A15="","",'隊員マスタ'!D12)</f>
        <v/>
      </c>
      <c r="E15" s="15">
        <f>IF(A15="","",IF(COUNTIFS('資格研修記録'!$A$5:$A$1004,A15,'資格研修記録'!$D$5:$D$1004,"潜水士免許")&gt;0,"有","無"))</f>
        <v/>
      </c>
      <c r="F15" s="15">
        <f>IF(A15="","",IF(COUNTIFS('資格研修記録'!$A$5:$A$1004,A15,'資格研修記録'!$D$5:$D$1004,"水難救助研修")&gt;0,"修了","—"))</f>
        <v/>
      </c>
      <c r="G15" s="14">
        <f>IF(A15="","",IF((IF((COUNTIFS('資格研修記録'!$A$5:$A$1004,A15,'資格研修記録'!$D$5:$D$1004,"小型船舶1級",'資格研修記録'!$F$5:$F$1004,"")+COUNTIFS('資格研修記録'!$A$5:$A$1004,A15,'資格研修記録'!$D$5:$D$1004,"小型船舶1級",'資格研修記録'!$F$5:$F$1004,"&gt;="&amp;TODAY()))&gt;0,"1級",IF((COUNTIFS('資格研修記録'!$A$5:$A$1004,A15,'資格研修記録'!$D$5:$D$1004,"小型船舶2級",'資格研修記録'!$F$5:$F$1004,"")+COUNTIFS('資格研修記録'!$A$5:$A$1004,A15,'資格研修記録'!$D$5:$D$1004,"小型船舶2級",'資格研修記録'!$F$5:$F$1004,"&gt;="&amp;TODAY()))&gt;0,"2級",IF(COUNTIFS('資格研修記録'!$A$5:$A$1004,A15,'資格研修記録'!$D$5:$D$1004,"小型船舶1級")+COUNTIFS('資格研修記録'!$A$5:$A$1004,A15,'資格研修記録'!$D$5:$D$1004,"小型船舶2級")&gt;0,"× 1・2級 期限切れ",""))))&amp;(IF((COUNTIFS('資格研修記録'!$A$5:$A$1004,A15,'資格研修記録'!$D$5:$D$1004,"小型船舶特殊",'資格研修記録'!$F$5:$F$1004,"")+COUNTIFS('資格研修記録'!$A$5:$A$1004,A15,'資格研修記録'!$D$5:$D$1004,"小型船舶特殊",'資格研修記録'!$F$5:$F$1004,"&gt;="&amp;TODAY()))&gt;0,"特殊",IF(COUNTIFS('資格研修記録'!$A$5:$A$1004,A15,'資格研修記録'!$D$5:$D$1004,"小型船舶特殊")&gt;0,"× 特殊 期限切れ","")))="","—",_xlfn.TEXTJOIN("・",TRUE,IF((COUNTIFS('資格研修記録'!$A$5:$A$1004,A15,'資格研修記録'!$D$5:$D$1004,"小型船舶1級",'資格研修記録'!$F$5:$F$1004,"")+COUNTIFS('資格研修記録'!$A$5:$A$1004,A15,'資格研修記録'!$D$5:$D$1004,"小型船舶1級",'資格研修記録'!$F$5:$F$1004,"&gt;="&amp;TODAY()))&gt;0,"1級",IF((COUNTIFS('資格研修記録'!$A$5:$A$1004,A15,'資格研修記録'!$D$5:$D$1004,"小型船舶2級",'資格研修記録'!$F$5:$F$1004,"")+COUNTIFS('資格研修記録'!$A$5:$A$1004,A15,'資格研修記録'!$D$5:$D$1004,"小型船舶2級",'資格研修記録'!$F$5:$F$1004,"&gt;="&amp;TODAY()))&gt;0,"2級",IF(COUNTIFS('資格研修記録'!$A$5:$A$1004,A15,'資格研修記録'!$D$5:$D$1004,"小型船舶1級")+COUNTIFS('資格研修記録'!$A$5:$A$1004,A15,'資格研修記録'!$D$5:$D$1004,"小型船舶2級")&gt;0,"× 1・2級 期限切れ",""))),IF((COUNTIFS('資格研修記録'!$A$5:$A$1004,A15,'資格研修記録'!$D$5:$D$1004,"小型船舶特殊",'資格研修記録'!$F$5:$F$1004,"")+COUNTIFS('資格研修記録'!$A$5:$A$1004,A15,'資格研修記録'!$D$5:$D$1004,"小型船舶特殊",'資格研修記録'!$F$5:$F$1004,"&gt;="&amp;TODAY()))&gt;0,"特殊",IF(COUNTIFS('資格研修記録'!$A$5:$A$1004,A15,'資格研修記録'!$D$5:$D$1004,"小型船舶特殊")&gt;0,"× 特殊 期限切れ","")))))</f>
        <v/>
      </c>
      <c r="H15" s="15">
        <f>IF(A15="","",COUNTIFS('潜水記録'!$B$5:$B$3004,A15,'潜水記録'!$AF$5:$AF$3004,$D$2))</f>
        <v/>
      </c>
      <c r="I15" s="15">
        <f>IF(A15="","",COUNTIF('潜水記録'!$B$5:$B$3004,A15))</f>
        <v/>
      </c>
      <c r="J15" s="15">
        <f>IF(A15="","",SUMIF('潜水記録'!$B$5:$B$3004,A15,'潜水記録'!$H$5:$H$3004))</f>
        <v/>
      </c>
      <c r="K15" s="15">
        <f>IF(A15="","",IF(I15=0,"",_xlfn.MAXIFS('潜水記録'!$G$5:$G$3004,'潜水記録'!$B$5:$B$3004,A15)))</f>
        <v/>
      </c>
      <c r="L15" s="16">
        <f>IF(A15="","",IF(I15=0,"",_xlfn.MAXIFS('潜水記録'!$A$5:$A$3004,'潜水記録'!$B$5:$B$3004,A15)))</f>
        <v/>
      </c>
      <c r="M15" s="15">
        <f>IF(L15="","",$B$2-L15)</f>
        <v/>
      </c>
    </row>
    <row r="16">
      <c r="A16" s="14">
        <f>IF('隊員マスタ'!A13="","",'隊員マスタ'!A13)</f>
        <v/>
      </c>
      <c r="B16" s="14">
        <f>IF(A16="","",'隊員マスタ'!B13)</f>
        <v/>
      </c>
      <c r="C16" s="14">
        <f>IF(A16="","",'隊員マスタ'!C13)</f>
        <v/>
      </c>
      <c r="D16" s="15">
        <f>IF(A16="","",'隊員マスタ'!D13)</f>
        <v/>
      </c>
      <c r="E16" s="15">
        <f>IF(A16="","",IF(COUNTIFS('資格研修記録'!$A$5:$A$1004,A16,'資格研修記録'!$D$5:$D$1004,"潜水士免許")&gt;0,"有","無"))</f>
        <v/>
      </c>
      <c r="F16" s="15">
        <f>IF(A16="","",IF(COUNTIFS('資格研修記録'!$A$5:$A$1004,A16,'資格研修記録'!$D$5:$D$1004,"水難救助研修")&gt;0,"修了","—"))</f>
        <v/>
      </c>
      <c r="G16" s="14">
        <f>IF(A16="","",IF((IF((COUNTIFS('資格研修記録'!$A$5:$A$1004,A16,'資格研修記録'!$D$5:$D$1004,"小型船舶1級",'資格研修記録'!$F$5:$F$1004,"")+COUNTIFS('資格研修記録'!$A$5:$A$1004,A16,'資格研修記録'!$D$5:$D$1004,"小型船舶1級",'資格研修記録'!$F$5:$F$1004,"&gt;="&amp;TODAY()))&gt;0,"1級",IF((COUNTIFS('資格研修記録'!$A$5:$A$1004,A16,'資格研修記録'!$D$5:$D$1004,"小型船舶2級",'資格研修記録'!$F$5:$F$1004,"")+COUNTIFS('資格研修記録'!$A$5:$A$1004,A16,'資格研修記録'!$D$5:$D$1004,"小型船舶2級",'資格研修記録'!$F$5:$F$1004,"&gt;="&amp;TODAY()))&gt;0,"2級",IF(COUNTIFS('資格研修記録'!$A$5:$A$1004,A16,'資格研修記録'!$D$5:$D$1004,"小型船舶1級")+COUNTIFS('資格研修記録'!$A$5:$A$1004,A16,'資格研修記録'!$D$5:$D$1004,"小型船舶2級")&gt;0,"× 1・2級 期限切れ",""))))&amp;(IF((COUNTIFS('資格研修記録'!$A$5:$A$1004,A16,'資格研修記録'!$D$5:$D$1004,"小型船舶特殊",'資格研修記録'!$F$5:$F$1004,"")+COUNTIFS('資格研修記録'!$A$5:$A$1004,A16,'資格研修記録'!$D$5:$D$1004,"小型船舶特殊",'資格研修記録'!$F$5:$F$1004,"&gt;="&amp;TODAY()))&gt;0,"特殊",IF(COUNTIFS('資格研修記録'!$A$5:$A$1004,A16,'資格研修記録'!$D$5:$D$1004,"小型船舶特殊")&gt;0,"× 特殊 期限切れ","")))="","—",_xlfn.TEXTJOIN("・",TRUE,IF((COUNTIFS('資格研修記録'!$A$5:$A$1004,A16,'資格研修記録'!$D$5:$D$1004,"小型船舶1級",'資格研修記録'!$F$5:$F$1004,"")+COUNTIFS('資格研修記録'!$A$5:$A$1004,A16,'資格研修記録'!$D$5:$D$1004,"小型船舶1級",'資格研修記録'!$F$5:$F$1004,"&gt;="&amp;TODAY()))&gt;0,"1級",IF((COUNTIFS('資格研修記録'!$A$5:$A$1004,A16,'資格研修記録'!$D$5:$D$1004,"小型船舶2級",'資格研修記録'!$F$5:$F$1004,"")+COUNTIFS('資格研修記録'!$A$5:$A$1004,A16,'資格研修記録'!$D$5:$D$1004,"小型船舶2級",'資格研修記録'!$F$5:$F$1004,"&gt;="&amp;TODAY()))&gt;0,"2級",IF(COUNTIFS('資格研修記録'!$A$5:$A$1004,A16,'資格研修記録'!$D$5:$D$1004,"小型船舶1級")+COUNTIFS('資格研修記録'!$A$5:$A$1004,A16,'資格研修記録'!$D$5:$D$1004,"小型船舶2級")&gt;0,"× 1・2級 期限切れ",""))),IF((COUNTIFS('資格研修記録'!$A$5:$A$1004,A16,'資格研修記録'!$D$5:$D$1004,"小型船舶特殊",'資格研修記録'!$F$5:$F$1004,"")+COUNTIFS('資格研修記録'!$A$5:$A$1004,A16,'資格研修記録'!$D$5:$D$1004,"小型船舶特殊",'資格研修記録'!$F$5:$F$1004,"&gt;="&amp;TODAY()))&gt;0,"特殊",IF(COUNTIFS('資格研修記録'!$A$5:$A$1004,A16,'資格研修記録'!$D$5:$D$1004,"小型船舶特殊")&gt;0,"× 特殊 期限切れ","")))))</f>
        <v/>
      </c>
      <c r="H16" s="15">
        <f>IF(A16="","",COUNTIFS('潜水記録'!$B$5:$B$3004,A16,'潜水記録'!$AF$5:$AF$3004,$D$2))</f>
        <v/>
      </c>
      <c r="I16" s="15">
        <f>IF(A16="","",COUNTIF('潜水記録'!$B$5:$B$3004,A16))</f>
        <v/>
      </c>
      <c r="J16" s="15">
        <f>IF(A16="","",SUMIF('潜水記録'!$B$5:$B$3004,A16,'潜水記録'!$H$5:$H$3004))</f>
        <v/>
      </c>
      <c r="K16" s="15">
        <f>IF(A16="","",IF(I16=0,"",_xlfn.MAXIFS('潜水記録'!$G$5:$G$3004,'潜水記録'!$B$5:$B$3004,A16)))</f>
        <v/>
      </c>
      <c r="L16" s="16">
        <f>IF(A16="","",IF(I16=0,"",_xlfn.MAXIFS('潜水記録'!$A$5:$A$3004,'潜水記録'!$B$5:$B$3004,A16)))</f>
        <v/>
      </c>
      <c r="M16" s="15">
        <f>IF(L16="","",$B$2-L16)</f>
        <v/>
      </c>
    </row>
    <row r="17">
      <c r="A17" s="14">
        <f>IF('隊員マスタ'!A14="","",'隊員マスタ'!A14)</f>
        <v/>
      </c>
      <c r="B17" s="14">
        <f>IF(A17="","",'隊員マスタ'!B14)</f>
        <v/>
      </c>
      <c r="C17" s="14">
        <f>IF(A17="","",'隊員マスタ'!C14)</f>
        <v/>
      </c>
      <c r="D17" s="15">
        <f>IF(A17="","",'隊員マスタ'!D14)</f>
        <v/>
      </c>
      <c r="E17" s="15">
        <f>IF(A17="","",IF(COUNTIFS('資格研修記録'!$A$5:$A$1004,A17,'資格研修記録'!$D$5:$D$1004,"潜水士免許")&gt;0,"有","無"))</f>
        <v/>
      </c>
      <c r="F17" s="15">
        <f>IF(A17="","",IF(COUNTIFS('資格研修記録'!$A$5:$A$1004,A17,'資格研修記録'!$D$5:$D$1004,"水難救助研修")&gt;0,"修了","—"))</f>
        <v/>
      </c>
      <c r="G17" s="14">
        <f>IF(A17="","",IF((IF((COUNTIFS('資格研修記録'!$A$5:$A$1004,A17,'資格研修記録'!$D$5:$D$1004,"小型船舶1級",'資格研修記録'!$F$5:$F$1004,"")+COUNTIFS('資格研修記録'!$A$5:$A$1004,A17,'資格研修記録'!$D$5:$D$1004,"小型船舶1級",'資格研修記録'!$F$5:$F$1004,"&gt;="&amp;TODAY()))&gt;0,"1級",IF((COUNTIFS('資格研修記録'!$A$5:$A$1004,A17,'資格研修記録'!$D$5:$D$1004,"小型船舶2級",'資格研修記録'!$F$5:$F$1004,"")+COUNTIFS('資格研修記録'!$A$5:$A$1004,A17,'資格研修記録'!$D$5:$D$1004,"小型船舶2級",'資格研修記録'!$F$5:$F$1004,"&gt;="&amp;TODAY()))&gt;0,"2級",IF(COUNTIFS('資格研修記録'!$A$5:$A$1004,A17,'資格研修記録'!$D$5:$D$1004,"小型船舶1級")+COUNTIFS('資格研修記録'!$A$5:$A$1004,A17,'資格研修記録'!$D$5:$D$1004,"小型船舶2級")&gt;0,"× 1・2級 期限切れ",""))))&amp;(IF((COUNTIFS('資格研修記録'!$A$5:$A$1004,A17,'資格研修記録'!$D$5:$D$1004,"小型船舶特殊",'資格研修記録'!$F$5:$F$1004,"")+COUNTIFS('資格研修記録'!$A$5:$A$1004,A17,'資格研修記録'!$D$5:$D$1004,"小型船舶特殊",'資格研修記録'!$F$5:$F$1004,"&gt;="&amp;TODAY()))&gt;0,"特殊",IF(COUNTIFS('資格研修記録'!$A$5:$A$1004,A17,'資格研修記録'!$D$5:$D$1004,"小型船舶特殊")&gt;0,"× 特殊 期限切れ","")))="","—",_xlfn.TEXTJOIN("・",TRUE,IF((COUNTIFS('資格研修記録'!$A$5:$A$1004,A17,'資格研修記録'!$D$5:$D$1004,"小型船舶1級",'資格研修記録'!$F$5:$F$1004,"")+COUNTIFS('資格研修記録'!$A$5:$A$1004,A17,'資格研修記録'!$D$5:$D$1004,"小型船舶1級",'資格研修記録'!$F$5:$F$1004,"&gt;="&amp;TODAY()))&gt;0,"1級",IF((COUNTIFS('資格研修記録'!$A$5:$A$1004,A17,'資格研修記録'!$D$5:$D$1004,"小型船舶2級",'資格研修記録'!$F$5:$F$1004,"")+COUNTIFS('資格研修記録'!$A$5:$A$1004,A17,'資格研修記録'!$D$5:$D$1004,"小型船舶2級",'資格研修記録'!$F$5:$F$1004,"&gt;="&amp;TODAY()))&gt;0,"2級",IF(COUNTIFS('資格研修記録'!$A$5:$A$1004,A17,'資格研修記録'!$D$5:$D$1004,"小型船舶1級")+COUNTIFS('資格研修記録'!$A$5:$A$1004,A17,'資格研修記録'!$D$5:$D$1004,"小型船舶2級")&gt;0,"× 1・2級 期限切れ",""))),IF((COUNTIFS('資格研修記録'!$A$5:$A$1004,A17,'資格研修記録'!$D$5:$D$1004,"小型船舶特殊",'資格研修記録'!$F$5:$F$1004,"")+COUNTIFS('資格研修記録'!$A$5:$A$1004,A17,'資格研修記録'!$D$5:$D$1004,"小型船舶特殊",'資格研修記録'!$F$5:$F$1004,"&gt;="&amp;TODAY()))&gt;0,"特殊",IF(COUNTIFS('資格研修記録'!$A$5:$A$1004,A17,'資格研修記録'!$D$5:$D$1004,"小型船舶特殊")&gt;0,"× 特殊 期限切れ","")))))</f>
        <v/>
      </c>
      <c r="H17" s="15">
        <f>IF(A17="","",COUNTIFS('潜水記録'!$B$5:$B$3004,A17,'潜水記録'!$AF$5:$AF$3004,$D$2))</f>
        <v/>
      </c>
      <c r="I17" s="15">
        <f>IF(A17="","",COUNTIF('潜水記録'!$B$5:$B$3004,A17))</f>
        <v/>
      </c>
      <c r="J17" s="15">
        <f>IF(A17="","",SUMIF('潜水記録'!$B$5:$B$3004,A17,'潜水記録'!$H$5:$H$3004))</f>
        <v/>
      </c>
      <c r="K17" s="15">
        <f>IF(A17="","",IF(I17=0,"",_xlfn.MAXIFS('潜水記録'!$G$5:$G$3004,'潜水記録'!$B$5:$B$3004,A17)))</f>
        <v/>
      </c>
      <c r="L17" s="16">
        <f>IF(A17="","",IF(I17=0,"",_xlfn.MAXIFS('潜水記録'!$A$5:$A$3004,'潜水記録'!$B$5:$B$3004,A17)))</f>
        <v/>
      </c>
      <c r="M17" s="15">
        <f>IF(L17="","",$B$2-L17)</f>
        <v/>
      </c>
    </row>
    <row r="18">
      <c r="A18" s="14">
        <f>IF('隊員マスタ'!A15="","",'隊員マスタ'!A15)</f>
        <v/>
      </c>
      <c r="B18" s="14">
        <f>IF(A18="","",'隊員マスタ'!B15)</f>
        <v/>
      </c>
      <c r="C18" s="14">
        <f>IF(A18="","",'隊員マスタ'!C15)</f>
        <v/>
      </c>
      <c r="D18" s="15">
        <f>IF(A18="","",'隊員マスタ'!D15)</f>
        <v/>
      </c>
      <c r="E18" s="15">
        <f>IF(A18="","",IF(COUNTIFS('資格研修記録'!$A$5:$A$1004,A18,'資格研修記録'!$D$5:$D$1004,"潜水士免許")&gt;0,"有","無"))</f>
        <v/>
      </c>
      <c r="F18" s="15">
        <f>IF(A18="","",IF(COUNTIFS('資格研修記録'!$A$5:$A$1004,A18,'資格研修記録'!$D$5:$D$1004,"水難救助研修")&gt;0,"修了","—"))</f>
        <v/>
      </c>
      <c r="G18" s="14">
        <f>IF(A18="","",IF((IF((COUNTIFS('資格研修記録'!$A$5:$A$1004,A18,'資格研修記録'!$D$5:$D$1004,"小型船舶1級",'資格研修記録'!$F$5:$F$1004,"")+COUNTIFS('資格研修記録'!$A$5:$A$1004,A18,'資格研修記録'!$D$5:$D$1004,"小型船舶1級",'資格研修記録'!$F$5:$F$1004,"&gt;="&amp;TODAY()))&gt;0,"1級",IF((COUNTIFS('資格研修記録'!$A$5:$A$1004,A18,'資格研修記録'!$D$5:$D$1004,"小型船舶2級",'資格研修記録'!$F$5:$F$1004,"")+COUNTIFS('資格研修記録'!$A$5:$A$1004,A18,'資格研修記録'!$D$5:$D$1004,"小型船舶2級",'資格研修記録'!$F$5:$F$1004,"&gt;="&amp;TODAY()))&gt;0,"2級",IF(COUNTIFS('資格研修記録'!$A$5:$A$1004,A18,'資格研修記録'!$D$5:$D$1004,"小型船舶1級")+COUNTIFS('資格研修記録'!$A$5:$A$1004,A18,'資格研修記録'!$D$5:$D$1004,"小型船舶2級")&gt;0,"× 1・2級 期限切れ",""))))&amp;(IF((COUNTIFS('資格研修記録'!$A$5:$A$1004,A18,'資格研修記録'!$D$5:$D$1004,"小型船舶特殊",'資格研修記録'!$F$5:$F$1004,"")+COUNTIFS('資格研修記録'!$A$5:$A$1004,A18,'資格研修記録'!$D$5:$D$1004,"小型船舶特殊",'資格研修記録'!$F$5:$F$1004,"&gt;="&amp;TODAY()))&gt;0,"特殊",IF(COUNTIFS('資格研修記録'!$A$5:$A$1004,A18,'資格研修記録'!$D$5:$D$1004,"小型船舶特殊")&gt;0,"× 特殊 期限切れ","")))="","—",_xlfn.TEXTJOIN("・",TRUE,IF((COUNTIFS('資格研修記録'!$A$5:$A$1004,A18,'資格研修記録'!$D$5:$D$1004,"小型船舶1級",'資格研修記録'!$F$5:$F$1004,"")+COUNTIFS('資格研修記録'!$A$5:$A$1004,A18,'資格研修記録'!$D$5:$D$1004,"小型船舶1級",'資格研修記録'!$F$5:$F$1004,"&gt;="&amp;TODAY()))&gt;0,"1級",IF((COUNTIFS('資格研修記録'!$A$5:$A$1004,A18,'資格研修記録'!$D$5:$D$1004,"小型船舶2級",'資格研修記録'!$F$5:$F$1004,"")+COUNTIFS('資格研修記録'!$A$5:$A$1004,A18,'資格研修記録'!$D$5:$D$1004,"小型船舶2級",'資格研修記録'!$F$5:$F$1004,"&gt;="&amp;TODAY()))&gt;0,"2級",IF(COUNTIFS('資格研修記録'!$A$5:$A$1004,A18,'資格研修記録'!$D$5:$D$1004,"小型船舶1級")+COUNTIFS('資格研修記録'!$A$5:$A$1004,A18,'資格研修記録'!$D$5:$D$1004,"小型船舶2級")&gt;0,"× 1・2級 期限切れ",""))),IF((COUNTIFS('資格研修記録'!$A$5:$A$1004,A18,'資格研修記録'!$D$5:$D$1004,"小型船舶特殊",'資格研修記録'!$F$5:$F$1004,"")+COUNTIFS('資格研修記録'!$A$5:$A$1004,A18,'資格研修記録'!$D$5:$D$1004,"小型船舶特殊",'資格研修記録'!$F$5:$F$1004,"&gt;="&amp;TODAY()))&gt;0,"特殊",IF(COUNTIFS('資格研修記録'!$A$5:$A$1004,A18,'資格研修記録'!$D$5:$D$1004,"小型船舶特殊")&gt;0,"× 特殊 期限切れ","")))))</f>
        <v/>
      </c>
      <c r="H18" s="15">
        <f>IF(A18="","",COUNTIFS('潜水記録'!$B$5:$B$3004,A18,'潜水記録'!$AF$5:$AF$3004,$D$2))</f>
        <v/>
      </c>
      <c r="I18" s="15">
        <f>IF(A18="","",COUNTIF('潜水記録'!$B$5:$B$3004,A18))</f>
        <v/>
      </c>
      <c r="J18" s="15">
        <f>IF(A18="","",SUMIF('潜水記録'!$B$5:$B$3004,A18,'潜水記録'!$H$5:$H$3004))</f>
        <v/>
      </c>
      <c r="K18" s="15">
        <f>IF(A18="","",IF(I18=0,"",_xlfn.MAXIFS('潜水記録'!$G$5:$G$3004,'潜水記録'!$B$5:$B$3004,A18)))</f>
        <v/>
      </c>
      <c r="L18" s="16">
        <f>IF(A18="","",IF(I18=0,"",_xlfn.MAXIFS('潜水記録'!$A$5:$A$3004,'潜水記録'!$B$5:$B$3004,A18)))</f>
        <v/>
      </c>
      <c r="M18" s="15">
        <f>IF(L18="","",$B$2-L18)</f>
        <v/>
      </c>
    </row>
    <row r="19">
      <c r="A19" s="14">
        <f>IF('隊員マスタ'!A16="","",'隊員マスタ'!A16)</f>
        <v/>
      </c>
      <c r="B19" s="14">
        <f>IF(A19="","",'隊員マスタ'!B16)</f>
        <v/>
      </c>
      <c r="C19" s="14">
        <f>IF(A19="","",'隊員マスタ'!C16)</f>
        <v/>
      </c>
      <c r="D19" s="15">
        <f>IF(A19="","",'隊員マスタ'!D16)</f>
        <v/>
      </c>
      <c r="E19" s="15">
        <f>IF(A19="","",IF(COUNTIFS('資格研修記録'!$A$5:$A$1004,A19,'資格研修記録'!$D$5:$D$1004,"潜水士免許")&gt;0,"有","無"))</f>
        <v/>
      </c>
      <c r="F19" s="15">
        <f>IF(A19="","",IF(COUNTIFS('資格研修記録'!$A$5:$A$1004,A19,'資格研修記録'!$D$5:$D$1004,"水難救助研修")&gt;0,"修了","—"))</f>
        <v/>
      </c>
      <c r="G19" s="14">
        <f>IF(A19="","",IF((IF((COUNTIFS('資格研修記録'!$A$5:$A$1004,A19,'資格研修記録'!$D$5:$D$1004,"小型船舶1級",'資格研修記録'!$F$5:$F$1004,"")+COUNTIFS('資格研修記録'!$A$5:$A$1004,A19,'資格研修記録'!$D$5:$D$1004,"小型船舶1級",'資格研修記録'!$F$5:$F$1004,"&gt;="&amp;TODAY()))&gt;0,"1級",IF((COUNTIFS('資格研修記録'!$A$5:$A$1004,A19,'資格研修記録'!$D$5:$D$1004,"小型船舶2級",'資格研修記録'!$F$5:$F$1004,"")+COUNTIFS('資格研修記録'!$A$5:$A$1004,A19,'資格研修記録'!$D$5:$D$1004,"小型船舶2級",'資格研修記録'!$F$5:$F$1004,"&gt;="&amp;TODAY()))&gt;0,"2級",IF(COUNTIFS('資格研修記録'!$A$5:$A$1004,A19,'資格研修記録'!$D$5:$D$1004,"小型船舶1級")+COUNTIFS('資格研修記録'!$A$5:$A$1004,A19,'資格研修記録'!$D$5:$D$1004,"小型船舶2級")&gt;0,"× 1・2級 期限切れ",""))))&amp;(IF((COUNTIFS('資格研修記録'!$A$5:$A$1004,A19,'資格研修記録'!$D$5:$D$1004,"小型船舶特殊",'資格研修記録'!$F$5:$F$1004,"")+COUNTIFS('資格研修記録'!$A$5:$A$1004,A19,'資格研修記録'!$D$5:$D$1004,"小型船舶特殊",'資格研修記録'!$F$5:$F$1004,"&gt;="&amp;TODAY()))&gt;0,"特殊",IF(COUNTIFS('資格研修記録'!$A$5:$A$1004,A19,'資格研修記録'!$D$5:$D$1004,"小型船舶特殊")&gt;0,"× 特殊 期限切れ","")))="","—",_xlfn.TEXTJOIN("・",TRUE,IF((COUNTIFS('資格研修記録'!$A$5:$A$1004,A19,'資格研修記録'!$D$5:$D$1004,"小型船舶1級",'資格研修記録'!$F$5:$F$1004,"")+COUNTIFS('資格研修記録'!$A$5:$A$1004,A19,'資格研修記録'!$D$5:$D$1004,"小型船舶1級",'資格研修記録'!$F$5:$F$1004,"&gt;="&amp;TODAY()))&gt;0,"1級",IF((COUNTIFS('資格研修記録'!$A$5:$A$1004,A19,'資格研修記録'!$D$5:$D$1004,"小型船舶2級",'資格研修記録'!$F$5:$F$1004,"")+COUNTIFS('資格研修記録'!$A$5:$A$1004,A19,'資格研修記録'!$D$5:$D$1004,"小型船舶2級",'資格研修記録'!$F$5:$F$1004,"&gt;="&amp;TODAY()))&gt;0,"2級",IF(COUNTIFS('資格研修記録'!$A$5:$A$1004,A19,'資格研修記録'!$D$5:$D$1004,"小型船舶1級")+COUNTIFS('資格研修記録'!$A$5:$A$1004,A19,'資格研修記録'!$D$5:$D$1004,"小型船舶2級")&gt;0,"× 1・2級 期限切れ",""))),IF((COUNTIFS('資格研修記録'!$A$5:$A$1004,A19,'資格研修記録'!$D$5:$D$1004,"小型船舶特殊",'資格研修記録'!$F$5:$F$1004,"")+COUNTIFS('資格研修記録'!$A$5:$A$1004,A19,'資格研修記録'!$D$5:$D$1004,"小型船舶特殊",'資格研修記録'!$F$5:$F$1004,"&gt;="&amp;TODAY()))&gt;0,"特殊",IF(COUNTIFS('資格研修記録'!$A$5:$A$1004,A19,'資格研修記録'!$D$5:$D$1004,"小型船舶特殊")&gt;0,"× 特殊 期限切れ","")))))</f>
        <v/>
      </c>
      <c r="H19" s="15">
        <f>IF(A19="","",COUNTIFS('潜水記録'!$B$5:$B$3004,A19,'潜水記録'!$AF$5:$AF$3004,$D$2))</f>
        <v/>
      </c>
      <c r="I19" s="15">
        <f>IF(A19="","",COUNTIF('潜水記録'!$B$5:$B$3004,A19))</f>
        <v/>
      </c>
      <c r="J19" s="15">
        <f>IF(A19="","",SUMIF('潜水記録'!$B$5:$B$3004,A19,'潜水記録'!$H$5:$H$3004))</f>
        <v/>
      </c>
      <c r="K19" s="15">
        <f>IF(A19="","",IF(I19=0,"",_xlfn.MAXIFS('潜水記録'!$G$5:$G$3004,'潜水記録'!$B$5:$B$3004,A19)))</f>
        <v/>
      </c>
      <c r="L19" s="16">
        <f>IF(A19="","",IF(I19=0,"",_xlfn.MAXIFS('潜水記録'!$A$5:$A$3004,'潜水記録'!$B$5:$B$3004,A19)))</f>
        <v/>
      </c>
      <c r="M19" s="15">
        <f>IF(L19="","",$B$2-L19)</f>
        <v/>
      </c>
    </row>
    <row r="20">
      <c r="A20" s="14">
        <f>IF('隊員マスタ'!A17="","",'隊員マスタ'!A17)</f>
        <v/>
      </c>
      <c r="B20" s="14">
        <f>IF(A20="","",'隊員マスタ'!B17)</f>
        <v/>
      </c>
      <c r="C20" s="14">
        <f>IF(A20="","",'隊員マスタ'!C17)</f>
        <v/>
      </c>
      <c r="D20" s="15">
        <f>IF(A20="","",'隊員マスタ'!D17)</f>
        <v/>
      </c>
      <c r="E20" s="15">
        <f>IF(A20="","",IF(COUNTIFS('資格研修記録'!$A$5:$A$1004,A20,'資格研修記録'!$D$5:$D$1004,"潜水士免許")&gt;0,"有","無"))</f>
        <v/>
      </c>
      <c r="F20" s="15">
        <f>IF(A20="","",IF(COUNTIFS('資格研修記録'!$A$5:$A$1004,A20,'資格研修記録'!$D$5:$D$1004,"水難救助研修")&gt;0,"修了","—"))</f>
        <v/>
      </c>
      <c r="G20" s="14">
        <f>IF(A20="","",IF((IF((COUNTIFS('資格研修記録'!$A$5:$A$1004,A20,'資格研修記録'!$D$5:$D$1004,"小型船舶1級",'資格研修記録'!$F$5:$F$1004,"")+COUNTIFS('資格研修記録'!$A$5:$A$1004,A20,'資格研修記録'!$D$5:$D$1004,"小型船舶1級",'資格研修記録'!$F$5:$F$1004,"&gt;="&amp;TODAY()))&gt;0,"1級",IF((COUNTIFS('資格研修記録'!$A$5:$A$1004,A20,'資格研修記録'!$D$5:$D$1004,"小型船舶2級",'資格研修記録'!$F$5:$F$1004,"")+COUNTIFS('資格研修記録'!$A$5:$A$1004,A20,'資格研修記録'!$D$5:$D$1004,"小型船舶2級",'資格研修記録'!$F$5:$F$1004,"&gt;="&amp;TODAY()))&gt;0,"2級",IF(COUNTIFS('資格研修記録'!$A$5:$A$1004,A20,'資格研修記録'!$D$5:$D$1004,"小型船舶1級")+COUNTIFS('資格研修記録'!$A$5:$A$1004,A20,'資格研修記録'!$D$5:$D$1004,"小型船舶2級")&gt;0,"× 1・2級 期限切れ",""))))&amp;(IF((COUNTIFS('資格研修記録'!$A$5:$A$1004,A20,'資格研修記録'!$D$5:$D$1004,"小型船舶特殊",'資格研修記録'!$F$5:$F$1004,"")+COUNTIFS('資格研修記録'!$A$5:$A$1004,A20,'資格研修記録'!$D$5:$D$1004,"小型船舶特殊",'資格研修記録'!$F$5:$F$1004,"&gt;="&amp;TODAY()))&gt;0,"特殊",IF(COUNTIFS('資格研修記録'!$A$5:$A$1004,A20,'資格研修記録'!$D$5:$D$1004,"小型船舶特殊")&gt;0,"× 特殊 期限切れ","")))="","—",_xlfn.TEXTJOIN("・",TRUE,IF((COUNTIFS('資格研修記録'!$A$5:$A$1004,A20,'資格研修記録'!$D$5:$D$1004,"小型船舶1級",'資格研修記録'!$F$5:$F$1004,"")+COUNTIFS('資格研修記録'!$A$5:$A$1004,A20,'資格研修記録'!$D$5:$D$1004,"小型船舶1級",'資格研修記録'!$F$5:$F$1004,"&gt;="&amp;TODAY()))&gt;0,"1級",IF((COUNTIFS('資格研修記録'!$A$5:$A$1004,A20,'資格研修記録'!$D$5:$D$1004,"小型船舶2級",'資格研修記録'!$F$5:$F$1004,"")+COUNTIFS('資格研修記録'!$A$5:$A$1004,A20,'資格研修記録'!$D$5:$D$1004,"小型船舶2級",'資格研修記録'!$F$5:$F$1004,"&gt;="&amp;TODAY()))&gt;0,"2級",IF(COUNTIFS('資格研修記録'!$A$5:$A$1004,A20,'資格研修記録'!$D$5:$D$1004,"小型船舶1級")+COUNTIFS('資格研修記録'!$A$5:$A$1004,A20,'資格研修記録'!$D$5:$D$1004,"小型船舶2級")&gt;0,"× 1・2級 期限切れ",""))),IF((COUNTIFS('資格研修記録'!$A$5:$A$1004,A20,'資格研修記録'!$D$5:$D$1004,"小型船舶特殊",'資格研修記録'!$F$5:$F$1004,"")+COUNTIFS('資格研修記録'!$A$5:$A$1004,A20,'資格研修記録'!$D$5:$D$1004,"小型船舶特殊",'資格研修記録'!$F$5:$F$1004,"&gt;="&amp;TODAY()))&gt;0,"特殊",IF(COUNTIFS('資格研修記録'!$A$5:$A$1004,A20,'資格研修記録'!$D$5:$D$1004,"小型船舶特殊")&gt;0,"× 特殊 期限切れ","")))))</f>
        <v/>
      </c>
      <c r="H20" s="15">
        <f>IF(A20="","",COUNTIFS('潜水記録'!$B$5:$B$3004,A20,'潜水記録'!$AF$5:$AF$3004,$D$2))</f>
        <v/>
      </c>
      <c r="I20" s="15">
        <f>IF(A20="","",COUNTIF('潜水記録'!$B$5:$B$3004,A20))</f>
        <v/>
      </c>
      <c r="J20" s="15">
        <f>IF(A20="","",SUMIF('潜水記録'!$B$5:$B$3004,A20,'潜水記録'!$H$5:$H$3004))</f>
        <v/>
      </c>
      <c r="K20" s="15">
        <f>IF(A20="","",IF(I20=0,"",_xlfn.MAXIFS('潜水記録'!$G$5:$G$3004,'潜水記録'!$B$5:$B$3004,A20)))</f>
        <v/>
      </c>
      <c r="L20" s="16">
        <f>IF(A20="","",IF(I20=0,"",_xlfn.MAXIFS('潜水記録'!$A$5:$A$3004,'潜水記録'!$B$5:$B$3004,A20)))</f>
        <v/>
      </c>
      <c r="M20" s="15">
        <f>IF(L20="","",$B$2-L20)</f>
        <v/>
      </c>
    </row>
    <row r="21">
      <c r="A21" s="14">
        <f>IF('隊員マスタ'!A18="","",'隊員マスタ'!A18)</f>
        <v/>
      </c>
      <c r="B21" s="14">
        <f>IF(A21="","",'隊員マスタ'!B18)</f>
        <v/>
      </c>
      <c r="C21" s="14">
        <f>IF(A21="","",'隊員マスタ'!C18)</f>
        <v/>
      </c>
      <c r="D21" s="15">
        <f>IF(A21="","",'隊員マスタ'!D18)</f>
        <v/>
      </c>
      <c r="E21" s="15">
        <f>IF(A21="","",IF(COUNTIFS('資格研修記録'!$A$5:$A$1004,A21,'資格研修記録'!$D$5:$D$1004,"潜水士免許")&gt;0,"有","無"))</f>
        <v/>
      </c>
      <c r="F21" s="15">
        <f>IF(A21="","",IF(COUNTIFS('資格研修記録'!$A$5:$A$1004,A21,'資格研修記録'!$D$5:$D$1004,"水難救助研修")&gt;0,"修了","—"))</f>
        <v/>
      </c>
      <c r="G21" s="14">
        <f>IF(A21="","",IF((IF((COUNTIFS('資格研修記録'!$A$5:$A$1004,A21,'資格研修記録'!$D$5:$D$1004,"小型船舶1級",'資格研修記録'!$F$5:$F$1004,"")+COUNTIFS('資格研修記録'!$A$5:$A$1004,A21,'資格研修記録'!$D$5:$D$1004,"小型船舶1級",'資格研修記録'!$F$5:$F$1004,"&gt;="&amp;TODAY()))&gt;0,"1級",IF((COUNTIFS('資格研修記録'!$A$5:$A$1004,A21,'資格研修記録'!$D$5:$D$1004,"小型船舶2級",'資格研修記録'!$F$5:$F$1004,"")+COUNTIFS('資格研修記録'!$A$5:$A$1004,A21,'資格研修記録'!$D$5:$D$1004,"小型船舶2級",'資格研修記録'!$F$5:$F$1004,"&gt;="&amp;TODAY()))&gt;0,"2級",IF(COUNTIFS('資格研修記録'!$A$5:$A$1004,A21,'資格研修記録'!$D$5:$D$1004,"小型船舶1級")+COUNTIFS('資格研修記録'!$A$5:$A$1004,A21,'資格研修記録'!$D$5:$D$1004,"小型船舶2級")&gt;0,"× 1・2級 期限切れ",""))))&amp;(IF((COUNTIFS('資格研修記録'!$A$5:$A$1004,A21,'資格研修記録'!$D$5:$D$1004,"小型船舶特殊",'資格研修記録'!$F$5:$F$1004,"")+COUNTIFS('資格研修記録'!$A$5:$A$1004,A21,'資格研修記録'!$D$5:$D$1004,"小型船舶特殊",'資格研修記録'!$F$5:$F$1004,"&gt;="&amp;TODAY()))&gt;0,"特殊",IF(COUNTIFS('資格研修記録'!$A$5:$A$1004,A21,'資格研修記録'!$D$5:$D$1004,"小型船舶特殊")&gt;0,"× 特殊 期限切れ","")))="","—",_xlfn.TEXTJOIN("・",TRUE,IF((COUNTIFS('資格研修記録'!$A$5:$A$1004,A21,'資格研修記録'!$D$5:$D$1004,"小型船舶1級",'資格研修記録'!$F$5:$F$1004,"")+COUNTIFS('資格研修記録'!$A$5:$A$1004,A21,'資格研修記録'!$D$5:$D$1004,"小型船舶1級",'資格研修記録'!$F$5:$F$1004,"&gt;="&amp;TODAY()))&gt;0,"1級",IF((COUNTIFS('資格研修記録'!$A$5:$A$1004,A21,'資格研修記録'!$D$5:$D$1004,"小型船舶2級",'資格研修記録'!$F$5:$F$1004,"")+COUNTIFS('資格研修記録'!$A$5:$A$1004,A21,'資格研修記録'!$D$5:$D$1004,"小型船舶2級",'資格研修記録'!$F$5:$F$1004,"&gt;="&amp;TODAY()))&gt;0,"2級",IF(COUNTIFS('資格研修記録'!$A$5:$A$1004,A21,'資格研修記録'!$D$5:$D$1004,"小型船舶1級")+COUNTIFS('資格研修記録'!$A$5:$A$1004,A21,'資格研修記録'!$D$5:$D$1004,"小型船舶2級")&gt;0,"× 1・2級 期限切れ",""))),IF((COUNTIFS('資格研修記録'!$A$5:$A$1004,A21,'資格研修記録'!$D$5:$D$1004,"小型船舶特殊",'資格研修記録'!$F$5:$F$1004,"")+COUNTIFS('資格研修記録'!$A$5:$A$1004,A21,'資格研修記録'!$D$5:$D$1004,"小型船舶特殊",'資格研修記録'!$F$5:$F$1004,"&gt;="&amp;TODAY()))&gt;0,"特殊",IF(COUNTIFS('資格研修記録'!$A$5:$A$1004,A21,'資格研修記録'!$D$5:$D$1004,"小型船舶特殊")&gt;0,"× 特殊 期限切れ","")))))</f>
        <v/>
      </c>
      <c r="H21" s="15">
        <f>IF(A21="","",COUNTIFS('潜水記録'!$B$5:$B$3004,A21,'潜水記録'!$AF$5:$AF$3004,$D$2))</f>
        <v/>
      </c>
      <c r="I21" s="15">
        <f>IF(A21="","",COUNTIF('潜水記録'!$B$5:$B$3004,A21))</f>
        <v/>
      </c>
      <c r="J21" s="15">
        <f>IF(A21="","",SUMIF('潜水記録'!$B$5:$B$3004,A21,'潜水記録'!$H$5:$H$3004))</f>
        <v/>
      </c>
      <c r="K21" s="15">
        <f>IF(A21="","",IF(I21=0,"",_xlfn.MAXIFS('潜水記録'!$G$5:$G$3004,'潜水記録'!$B$5:$B$3004,A21)))</f>
        <v/>
      </c>
      <c r="L21" s="16">
        <f>IF(A21="","",IF(I21=0,"",_xlfn.MAXIFS('潜水記録'!$A$5:$A$3004,'潜水記録'!$B$5:$B$3004,A21)))</f>
        <v/>
      </c>
      <c r="M21" s="15">
        <f>IF(L21="","",$B$2-L21)</f>
        <v/>
      </c>
    </row>
    <row r="22">
      <c r="A22" s="14">
        <f>IF('隊員マスタ'!A19="","",'隊員マスタ'!A19)</f>
        <v/>
      </c>
      <c r="B22" s="14">
        <f>IF(A22="","",'隊員マスタ'!B19)</f>
        <v/>
      </c>
      <c r="C22" s="14">
        <f>IF(A22="","",'隊員マスタ'!C19)</f>
        <v/>
      </c>
      <c r="D22" s="15">
        <f>IF(A22="","",'隊員マスタ'!D19)</f>
        <v/>
      </c>
      <c r="E22" s="15">
        <f>IF(A22="","",IF(COUNTIFS('資格研修記録'!$A$5:$A$1004,A22,'資格研修記録'!$D$5:$D$1004,"潜水士免許")&gt;0,"有","無"))</f>
        <v/>
      </c>
      <c r="F22" s="15">
        <f>IF(A22="","",IF(COUNTIFS('資格研修記録'!$A$5:$A$1004,A22,'資格研修記録'!$D$5:$D$1004,"水難救助研修")&gt;0,"修了","—"))</f>
        <v/>
      </c>
      <c r="G22" s="14">
        <f>IF(A22="","",IF((IF((COUNTIFS('資格研修記録'!$A$5:$A$1004,A22,'資格研修記録'!$D$5:$D$1004,"小型船舶1級",'資格研修記録'!$F$5:$F$1004,"")+COUNTIFS('資格研修記録'!$A$5:$A$1004,A22,'資格研修記録'!$D$5:$D$1004,"小型船舶1級",'資格研修記録'!$F$5:$F$1004,"&gt;="&amp;TODAY()))&gt;0,"1級",IF((COUNTIFS('資格研修記録'!$A$5:$A$1004,A22,'資格研修記録'!$D$5:$D$1004,"小型船舶2級",'資格研修記録'!$F$5:$F$1004,"")+COUNTIFS('資格研修記録'!$A$5:$A$1004,A22,'資格研修記録'!$D$5:$D$1004,"小型船舶2級",'資格研修記録'!$F$5:$F$1004,"&gt;="&amp;TODAY()))&gt;0,"2級",IF(COUNTIFS('資格研修記録'!$A$5:$A$1004,A22,'資格研修記録'!$D$5:$D$1004,"小型船舶1級")+COUNTIFS('資格研修記録'!$A$5:$A$1004,A22,'資格研修記録'!$D$5:$D$1004,"小型船舶2級")&gt;0,"× 1・2級 期限切れ",""))))&amp;(IF((COUNTIFS('資格研修記録'!$A$5:$A$1004,A22,'資格研修記録'!$D$5:$D$1004,"小型船舶特殊",'資格研修記録'!$F$5:$F$1004,"")+COUNTIFS('資格研修記録'!$A$5:$A$1004,A22,'資格研修記録'!$D$5:$D$1004,"小型船舶特殊",'資格研修記録'!$F$5:$F$1004,"&gt;="&amp;TODAY()))&gt;0,"特殊",IF(COUNTIFS('資格研修記録'!$A$5:$A$1004,A22,'資格研修記録'!$D$5:$D$1004,"小型船舶特殊")&gt;0,"× 特殊 期限切れ","")))="","—",_xlfn.TEXTJOIN("・",TRUE,IF((COUNTIFS('資格研修記録'!$A$5:$A$1004,A22,'資格研修記録'!$D$5:$D$1004,"小型船舶1級",'資格研修記録'!$F$5:$F$1004,"")+COUNTIFS('資格研修記録'!$A$5:$A$1004,A22,'資格研修記録'!$D$5:$D$1004,"小型船舶1級",'資格研修記録'!$F$5:$F$1004,"&gt;="&amp;TODAY()))&gt;0,"1級",IF((COUNTIFS('資格研修記録'!$A$5:$A$1004,A22,'資格研修記録'!$D$5:$D$1004,"小型船舶2級",'資格研修記録'!$F$5:$F$1004,"")+COUNTIFS('資格研修記録'!$A$5:$A$1004,A22,'資格研修記録'!$D$5:$D$1004,"小型船舶2級",'資格研修記録'!$F$5:$F$1004,"&gt;="&amp;TODAY()))&gt;0,"2級",IF(COUNTIFS('資格研修記録'!$A$5:$A$1004,A22,'資格研修記録'!$D$5:$D$1004,"小型船舶1級")+COUNTIFS('資格研修記録'!$A$5:$A$1004,A22,'資格研修記録'!$D$5:$D$1004,"小型船舶2級")&gt;0,"× 1・2級 期限切れ",""))),IF((COUNTIFS('資格研修記録'!$A$5:$A$1004,A22,'資格研修記録'!$D$5:$D$1004,"小型船舶特殊",'資格研修記録'!$F$5:$F$1004,"")+COUNTIFS('資格研修記録'!$A$5:$A$1004,A22,'資格研修記録'!$D$5:$D$1004,"小型船舶特殊",'資格研修記録'!$F$5:$F$1004,"&gt;="&amp;TODAY()))&gt;0,"特殊",IF(COUNTIFS('資格研修記録'!$A$5:$A$1004,A22,'資格研修記録'!$D$5:$D$1004,"小型船舶特殊")&gt;0,"× 特殊 期限切れ","")))))</f>
        <v/>
      </c>
      <c r="H22" s="15">
        <f>IF(A22="","",COUNTIFS('潜水記録'!$B$5:$B$3004,A22,'潜水記録'!$AF$5:$AF$3004,$D$2))</f>
        <v/>
      </c>
      <c r="I22" s="15">
        <f>IF(A22="","",COUNTIF('潜水記録'!$B$5:$B$3004,A22))</f>
        <v/>
      </c>
      <c r="J22" s="15">
        <f>IF(A22="","",SUMIF('潜水記録'!$B$5:$B$3004,A22,'潜水記録'!$H$5:$H$3004))</f>
        <v/>
      </c>
      <c r="K22" s="15">
        <f>IF(A22="","",IF(I22=0,"",_xlfn.MAXIFS('潜水記録'!$G$5:$G$3004,'潜水記録'!$B$5:$B$3004,A22)))</f>
        <v/>
      </c>
      <c r="L22" s="16">
        <f>IF(A22="","",IF(I22=0,"",_xlfn.MAXIFS('潜水記録'!$A$5:$A$3004,'潜水記録'!$B$5:$B$3004,A22)))</f>
        <v/>
      </c>
      <c r="M22" s="15">
        <f>IF(L22="","",$B$2-L22)</f>
        <v/>
      </c>
    </row>
    <row r="23">
      <c r="A23" s="14">
        <f>IF('隊員マスタ'!A20="","",'隊員マスタ'!A20)</f>
        <v/>
      </c>
      <c r="B23" s="14">
        <f>IF(A23="","",'隊員マスタ'!B20)</f>
        <v/>
      </c>
      <c r="C23" s="14">
        <f>IF(A23="","",'隊員マスタ'!C20)</f>
        <v/>
      </c>
      <c r="D23" s="15">
        <f>IF(A23="","",'隊員マスタ'!D20)</f>
        <v/>
      </c>
      <c r="E23" s="15">
        <f>IF(A23="","",IF(COUNTIFS('資格研修記録'!$A$5:$A$1004,A23,'資格研修記録'!$D$5:$D$1004,"潜水士免許")&gt;0,"有","無"))</f>
        <v/>
      </c>
      <c r="F23" s="15">
        <f>IF(A23="","",IF(COUNTIFS('資格研修記録'!$A$5:$A$1004,A23,'資格研修記録'!$D$5:$D$1004,"水難救助研修")&gt;0,"修了","—"))</f>
        <v/>
      </c>
      <c r="G23" s="14">
        <f>IF(A23="","",IF((IF((COUNTIFS('資格研修記録'!$A$5:$A$1004,A23,'資格研修記録'!$D$5:$D$1004,"小型船舶1級",'資格研修記録'!$F$5:$F$1004,"")+COUNTIFS('資格研修記録'!$A$5:$A$1004,A23,'資格研修記録'!$D$5:$D$1004,"小型船舶1級",'資格研修記録'!$F$5:$F$1004,"&gt;="&amp;TODAY()))&gt;0,"1級",IF((COUNTIFS('資格研修記録'!$A$5:$A$1004,A23,'資格研修記録'!$D$5:$D$1004,"小型船舶2級",'資格研修記録'!$F$5:$F$1004,"")+COUNTIFS('資格研修記録'!$A$5:$A$1004,A23,'資格研修記録'!$D$5:$D$1004,"小型船舶2級",'資格研修記録'!$F$5:$F$1004,"&gt;="&amp;TODAY()))&gt;0,"2級",IF(COUNTIFS('資格研修記録'!$A$5:$A$1004,A23,'資格研修記録'!$D$5:$D$1004,"小型船舶1級")+COUNTIFS('資格研修記録'!$A$5:$A$1004,A23,'資格研修記録'!$D$5:$D$1004,"小型船舶2級")&gt;0,"× 1・2級 期限切れ",""))))&amp;(IF((COUNTIFS('資格研修記録'!$A$5:$A$1004,A23,'資格研修記録'!$D$5:$D$1004,"小型船舶特殊",'資格研修記録'!$F$5:$F$1004,"")+COUNTIFS('資格研修記録'!$A$5:$A$1004,A23,'資格研修記録'!$D$5:$D$1004,"小型船舶特殊",'資格研修記録'!$F$5:$F$1004,"&gt;="&amp;TODAY()))&gt;0,"特殊",IF(COUNTIFS('資格研修記録'!$A$5:$A$1004,A23,'資格研修記録'!$D$5:$D$1004,"小型船舶特殊")&gt;0,"× 特殊 期限切れ","")))="","—",_xlfn.TEXTJOIN("・",TRUE,IF((COUNTIFS('資格研修記録'!$A$5:$A$1004,A23,'資格研修記録'!$D$5:$D$1004,"小型船舶1級",'資格研修記録'!$F$5:$F$1004,"")+COUNTIFS('資格研修記録'!$A$5:$A$1004,A23,'資格研修記録'!$D$5:$D$1004,"小型船舶1級",'資格研修記録'!$F$5:$F$1004,"&gt;="&amp;TODAY()))&gt;0,"1級",IF((COUNTIFS('資格研修記録'!$A$5:$A$1004,A23,'資格研修記録'!$D$5:$D$1004,"小型船舶2級",'資格研修記録'!$F$5:$F$1004,"")+COUNTIFS('資格研修記録'!$A$5:$A$1004,A23,'資格研修記録'!$D$5:$D$1004,"小型船舶2級",'資格研修記録'!$F$5:$F$1004,"&gt;="&amp;TODAY()))&gt;0,"2級",IF(COUNTIFS('資格研修記録'!$A$5:$A$1004,A23,'資格研修記録'!$D$5:$D$1004,"小型船舶1級")+COUNTIFS('資格研修記録'!$A$5:$A$1004,A23,'資格研修記録'!$D$5:$D$1004,"小型船舶2級")&gt;0,"× 1・2級 期限切れ",""))),IF((COUNTIFS('資格研修記録'!$A$5:$A$1004,A23,'資格研修記録'!$D$5:$D$1004,"小型船舶特殊",'資格研修記録'!$F$5:$F$1004,"")+COUNTIFS('資格研修記録'!$A$5:$A$1004,A23,'資格研修記録'!$D$5:$D$1004,"小型船舶特殊",'資格研修記録'!$F$5:$F$1004,"&gt;="&amp;TODAY()))&gt;0,"特殊",IF(COUNTIFS('資格研修記録'!$A$5:$A$1004,A23,'資格研修記録'!$D$5:$D$1004,"小型船舶特殊")&gt;0,"× 特殊 期限切れ","")))))</f>
        <v/>
      </c>
      <c r="H23" s="15">
        <f>IF(A23="","",COUNTIFS('潜水記録'!$B$5:$B$3004,A23,'潜水記録'!$AF$5:$AF$3004,$D$2))</f>
        <v/>
      </c>
      <c r="I23" s="15">
        <f>IF(A23="","",COUNTIF('潜水記録'!$B$5:$B$3004,A23))</f>
        <v/>
      </c>
      <c r="J23" s="15">
        <f>IF(A23="","",SUMIF('潜水記録'!$B$5:$B$3004,A23,'潜水記録'!$H$5:$H$3004))</f>
        <v/>
      </c>
      <c r="K23" s="15">
        <f>IF(A23="","",IF(I23=0,"",_xlfn.MAXIFS('潜水記録'!$G$5:$G$3004,'潜水記録'!$B$5:$B$3004,A23)))</f>
        <v/>
      </c>
      <c r="L23" s="16">
        <f>IF(A23="","",IF(I23=0,"",_xlfn.MAXIFS('潜水記録'!$A$5:$A$3004,'潜水記録'!$B$5:$B$3004,A23)))</f>
        <v/>
      </c>
      <c r="M23" s="15">
        <f>IF(L23="","",$B$2-L23)</f>
        <v/>
      </c>
    </row>
    <row r="24">
      <c r="A24" s="14">
        <f>IF('隊員マスタ'!A21="","",'隊員マスタ'!A21)</f>
        <v/>
      </c>
      <c r="B24" s="14">
        <f>IF(A24="","",'隊員マスタ'!B21)</f>
        <v/>
      </c>
      <c r="C24" s="14">
        <f>IF(A24="","",'隊員マスタ'!C21)</f>
        <v/>
      </c>
      <c r="D24" s="15">
        <f>IF(A24="","",'隊員マスタ'!D21)</f>
        <v/>
      </c>
      <c r="E24" s="15">
        <f>IF(A24="","",IF(COUNTIFS('資格研修記録'!$A$5:$A$1004,A24,'資格研修記録'!$D$5:$D$1004,"潜水士免許")&gt;0,"有","無"))</f>
        <v/>
      </c>
      <c r="F24" s="15">
        <f>IF(A24="","",IF(COUNTIFS('資格研修記録'!$A$5:$A$1004,A24,'資格研修記録'!$D$5:$D$1004,"水難救助研修")&gt;0,"修了","—"))</f>
        <v/>
      </c>
      <c r="G24" s="14">
        <f>IF(A24="","",IF((IF((COUNTIFS('資格研修記録'!$A$5:$A$1004,A24,'資格研修記録'!$D$5:$D$1004,"小型船舶1級",'資格研修記録'!$F$5:$F$1004,"")+COUNTIFS('資格研修記録'!$A$5:$A$1004,A24,'資格研修記録'!$D$5:$D$1004,"小型船舶1級",'資格研修記録'!$F$5:$F$1004,"&gt;="&amp;TODAY()))&gt;0,"1級",IF((COUNTIFS('資格研修記録'!$A$5:$A$1004,A24,'資格研修記録'!$D$5:$D$1004,"小型船舶2級",'資格研修記録'!$F$5:$F$1004,"")+COUNTIFS('資格研修記録'!$A$5:$A$1004,A24,'資格研修記録'!$D$5:$D$1004,"小型船舶2級",'資格研修記録'!$F$5:$F$1004,"&gt;="&amp;TODAY()))&gt;0,"2級",IF(COUNTIFS('資格研修記録'!$A$5:$A$1004,A24,'資格研修記録'!$D$5:$D$1004,"小型船舶1級")+COUNTIFS('資格研修記録'!$A$5:$A$1004,A24,'資格研修記録'!$D$5:$D$1004,"小型船舶2級")&gt;0,"× 1・2級 期限切れ",""))))&amp;(IF((COUNTIFS('資格研修記録'!$A$5:$A$1004,A24,'資格研修記録'!$D$5:$D$1004,"小型船舶特殊",'資格研修記録'!$F$5:$F$1004,"")+COUNTIFS('資格研修記録'!$A$5:$A$1004,A24,'資格研修記録'!$D$5:$D$1004,"小型船舶特殊",'資格研修記録'!$F$5:$F$1004,"&gt;="&amp;TODAY()))&gt;0,"特殊",IF(COUNTIFS('資格研修記録'!$A$5:$A$1004,A24,'資格研修記録'!$D$5:$D$1004,"小型船舶特殊")&gt;0,"× 特殊 期限切れ","")))="","—",_xlfn.TEXTJOIN("・",TRUE,IF((COUNTIFS('資格研修記録'!$A$5:$A$1004,A24,'資格研修記録'!$D$5:$D$1004,"小型船舶1級",'資格研修記録'!$F$5:$F$1004,"")+COUNTIFS('資格研修記録'!$A$5:$A$1004,A24,'資格研修記録'!$D$5:$D$1004,"小型船舶1級",'資格研修記録'!$F$5:$F$1004,"&gt;="&amp;TODAY()))&gt;0,"1級",IF((COUNTIFS('資格研修記録'!$A$5:$A$1004,A24,'資格研修記録'!$D$5:$D$1004,"小型船舶2級",'資格研修記録'!$F$5:$F$1004,"")+COUNTIFS('資格研修記録'!$A$5:$A$1004,A24,'資格研修記録'!$D$5:$D$1004,"小型船舶2級",'資格研修記録'!$F$5:$F$1004,"&gt;="&amp;TODAY()))&gt;0,"2級",IF(COUNTIFS('資格研修記録'!$A$5:$A$1004,A24,'資格研修記録'!$D$5:$D$1004,"小型船舶1級")+COUNTIFS('資格研修記録'!$A$5:$A$1004,A24,'資格研修記録'!$D$5:$D$1004,"小型船舶2級")&gt;0,"× 1・2級 期限切れ",""))),IF((COUNTIFS('資格研修記録'!$A$5:$A$1004,A24,'資格研修記録'!$D$5:$D$1004,"小型船舶特殊",'資格研修記録'!$F$5:$F$1004,"")+COUNTIFS('資格研修記録'!$A$5:$A$1004,A24,'資格研修記録'!$D$5:$D$1004,"小型船舶特殊",'資格研修記録'!$F$5:$F$1004,"&gt;="&amp;TODAY()))&gt;0,"特殊",IF(COUNTIFS('資格研修記録'!$A$5:$A$1004,A24,'資格研修記録'!$D$5:$D$1004,"小型船舶特殊")&gt;0,"× 特殊 期限切れ","")))))</f>
        <v/>
      </c>
      <c r="H24" s="15">
        <f>IF(A24="","",COUNTIFS('潜水記録'!$B$5:$B$3004,A24,'潜水記録'!$AF$5:$AF$3004,$D$2))</f>
        <v/>
      </c>
      <c r="I24" s="15">
        <f>IF(A24="","",COUNTIF('潜水記録'!$B$5:$B$3004,A24))</f>
        <v/>
      </c>
      <c r="J24" s="15">
        <f>IF(A24="","",SUMIF('潜水記録'!$B$5:$B$3004,A24,'潜水記録'!$H$5:$H$3004))</f>
        <v/>
      </c>
      <c r="K24" s="15">
        <f>IF(A24="","",IF(I24=0,"",_xlfn.MAXIFS('潜水記録'!$G$5:$G$3004,'潜水記録'!$B$5:$B$3004,A24)))</f>
        <v/>
      </c>
      <c r="L24" s="16">
        <f>IF(A24="","",IF(I24=0,"",_xlfn.MAXIFS('潜水記録'!$A$5:$A$3004,'潜水記録'!$B$5:$B$3004,A24)))</f>
        <v/>
      </c>
      <c r="M24" s="15">
        <f>IF(L24="","",$B$2-L24)</f>
        <v/>
      </c>
    </row>
    <row r="25">
      <c r="A25" s="14">
        <f>IF('隊員マスタ'!A22="","",'隊員マスタ'!A22)</f>
        <v/>
      </c>
      <c r="B25" s="14">
        <f>IF(A25="","",'隊員マスタ'!B22)</f>
        <v/>
      </c>
      <c r="C25" s="14">
        <f>IF(A25="","",'隊員マスタ'!C22)</f>
        <v/>
      </c>
      <c r="D25" s="15">
        <f>IF(A25="","",'隊員マスタ'!D22)</f>
        <v/>
      </c>
      <c r="E25" s="15">
        <f>IF(A25="","",IF(COUNTIFS('資格研修記録'!$A$5:$A$1004,A25,'資格研修記録'!$D$5:$D$1004,"潜水士免許")&gt;0,"有","無"))</f>
        <v/>
      </c>
      <c r="F25" s="15">
        <f>IF(A25="","",IF(COUNTIFS('資格研修記録'!$A$5:$A$1004,A25,'資格研修記録'!$D$5:$D$1004,"水難救助研修")&gt;0,"修了","—"))</f>
        <v/>
      </c>
      <c r="G25" s="14">
        <f>IF(A25="","",IF((IF((COUNTIFS('資格研修記録'!$A$5:$A$1004,A25,'資格研修記録'!$D$5:$D$1004,"小型船舶1級",'資格研修記録'!$F$5:$F$1004,"")+COUNTIFS('資格研修記録'!$A$5:$A$1004,A25,'資格研修記録'!$D$5:$D$1004,"小型船舶1級",'資格研修記録'!$F$5:$F$1004,"&gt;="&amp;TODAY()))&gt;0,"1級",IF((COUNTIFS('資格研修記録'!$A$5:$A$1004,A25,'資格研修記録'!$D$5:$D$1004,"小型船舶2級",'資格研修記録'!$F$5:$F$1004,"")+COUNTIFS('資格研修記録'!$A$5:$A$1004,A25,'資格研修記録'!$D$5:$D$1004,"小型船舶2級",'資格研修記録'!$F$5:$F$1004,"&gt;="&amp;TODAY()))&gt;0,"2級",IF(COUNTIFS('資格研修記録'!$A$5:$A$1004,A25,'資格研修記録'!$D$5:$D$1004,"小型船舶1級")+COUNTIFS('資格研修記録'!$A$5:$A$1004,A25,'資格研修記録'!$D$5:$D$1004,"小型船舶2級")&gt;0,"× 1・2級 期限切れ",""))))&amp;(IF((COUNTIFS('資格研修記録'!$A$5:$A$1004,A25,'資格研修記録'!$D$5:$D$1004,"小型船舶特殊",'資格研修記録'!$F$5:$F$1004,"")+COUNTIFS('資格研修記録'!$A$5:$A$1004,A25,'資格研修記録'!$D$5:$D$1004,"小型船舶特殊",'資格研修記録'!$F$5:$F$1004,"&gt;="&amp;TODAY()))&gt;0,"特殊",IF(COUNTIFS('資格研修記録'!$A$5:$A$1004,A25,'資格研修記録'!$D$5:$D$1004,"小型船舶特殊")&gt;0,"× 特殊 期限切れ","")))="","—",_xlfn.TEXTJOIN("・",TRUE,IF((COUNTIFS('資格研修記録'!$A$5:$A$1004,A25,'資格研修記録'!$D$5:$D$1004,"小型船舶1級",'資格研修記録'!$F$5:$F$1004,"")+COUNTIFS('資格研修記録'!$A$5:$A$1004,A25,'資格研修記録'!$D$5:$D$1004,"小型船舶1級",'資格研修記録'!$F$5:$F$1004,"&gt;="&amp;TODAY()))&gt;0,"1級",IF((COUNTIFS('資格研修記録'!$A$5:$A$1004,A25,'資格研修記録'!$D$5:$D$1004,"小型船舶2級",'資格研修記録'!$F$5:$F$1004,"")+COUNTIFS('資格研修記録'!$A$5:$A$1004,A25,'資格研修記録'!$D$5:$D$1004,"小型船舶2級",'資格研修記録'!$F$5:$F$1004,"&gt;="&amp;TODAY()))&gt;0,"2級",IF(COUNTIFS('資格研修記録'!$A$5:$A$1004,A25,'資格研修記録'!$D$5:$D$1004,"小型船舶1級")+COUNTIFS('資格研修記録'!$A$5:$A$1004,A25,'資格研修記録'!$D$5:$D$1004,"小型船舶2級")&gt;0,"× 1・2級 期限切れ",""))),IF((COUNTIFS('資格研修記録'!$A$5:$A$1004,A25,'資格研修記録'!$D$5:$D$1004,"小型船舶特殊",'資格研修記録'!$F$5:$F$1004,"")+COUNTIFS('資格研修記録'!$A$5:$A$1004,A25,'資格研修記録'!$D$5:$D$1004,"小型船舶特殊",'資格研修記録'!$F$5:$F$1004,"&gt;="&amp;TODAY()))&gt;0,"特殊",IF(COUNTIFS('資格研修記録'!$A$5:$A$1004,A25,'資格研修記録'!$D$5:$D$1004,"小型船舶特殊")&gt;0,"× 特殊 期限切れ","")))))</f>
        <v/>
      </c>
      <c r="H25" s="15">
        <f>IF(A25="","",COUNTIFS('潜水記録'!$B$5:$B$3004,A25,'潜水記録'!$AF$5:$AF$3004,$D$2))</f>
        <v/>
      </c>
      <c r="I25" s="15">
        <f>IF(A25="","",COUNTIF('潜水記録'!$B$5:$B$3004,A25))</f>
        <v/>
      </c>
      <c r="J25" s="15">
        <f>IF(A25="","",SUMIF('潜水記録'!$B$5:$B$3004,A25,'潜水記録'!$H$5:$H$3004))</f>
        <v/>
      </c>
      <c r="K25" s="15">
        <f>IF(A25="","",IF(I25=0,"",_xlfn.MAXIFS('潜水記録'!$G$5:$G$3004,'潜水記録'!$B$5:$B$3004,A25)))</f>
        <v/>
      </c>
      <c r="L25" s="16">
        <f>IF(A25="","",IF(I25=0,"",_xlfn.MAXIFS('潜水記録'!$A$5:$A$3004,'潜水記録'!$B$5:$B$3004,A25)))</f>
        <v/>
      </c>
      <c r="M25" s="15">
        <f>IF(L25="","",$B$2-L25)</f>
        <v/>
      </c>
    </row>
    <row r="26">
      <c r="A26" s="14">
        <f>IF('隊員マスタ'!A23="","",'隊員マスタ'!A23)</f>
        <v/>
      </c>
      <c r="B26" s="14">
        <f>IF(A26="","",'隊員マスタ'!B23)</f>
        <v/>
      </c>
      <c r="C26" s="14">
        <f>IF(A26="","",'隊員マスタ'!C23)</f>
        <v/>
      </c>
      <c r="D26" s="15">
        <f>IF(A26="","",'隊員マスタ'!D23)</f>
        <v/>
      </c>
      <c r="E26" s="15">
        <f>IF(A26="","",IF(COUNTIFS('資格研修記録'!$A$5:$A$1004,A26,'資格研修記録'!$D$5:$D$1004,"潜水士免許")&gt;0,"有","無"))</f>
        <v/>
      </c>
      <c r="F26" s="15">
        <f>IF(A26="","",IF(COUNTIFS('資格研修記録'!$A$5:$A$1004,A26,'資格研修記録'!$D$5:$D$1004,"水難救助研修")&gt;0,"修了","—"))</f>
        <v/>
      </c>
      <c r="G26" s="14">
        <f>IF(A26="","",IF((IF((COUNTIFS('資格研修記録'!$A$5:$A$1004,A26,'資格研修記録'!$D$5:$D$1004,"小型船舶1級",'資格研修記録'!$F$5:$F$1004,"")+COUNTIFS('資格研修記録'!$A$5:$A$1004,A26,'資格研修記録'!$D$5:$D$1004,"小型船舶1級",'資格研修記録'!$F$5:$F$1004,"&gt;="&amp;TODAY()))&gt;0,"1級",IF((COUNTIFS('資格研修記録'!$A$5:$A$1004,A26,'資格研修記録'!$D$5:$D$1004,"小型船舶2級",'資格研修記録'!$F$5:$F$1004,"")+COUNTIFS('資格研修記録'!$A$5:$A$1004,A26,'資格研修記録'!$D$5:$D$1004,"小型船舶2級",'資格研修記録'!$F$5:$F$1004,"&gt;="&amp;TODAY()))&gt;0,"2級",IF(COUNTIFS('資格研修記録'!$A$5:$A$1004,A26,'資格研修記録'!$D$5:$D$1004,"小型船舶1級")+COUNTIFS('資格研修記録'!$A$5:$A$1004,A26,'資格研修記録'!$D$5:$D$1004,"小型船舶2級")&gt;0,"× 1・2級 期限切れ",""))))&amp;(IF((COUNTIFS('資格研修記録'!$A$5:$A$1004,A26,'資格研修記録'!$D$5:$D$1004,"小型船舶特殊",'資格研修記録'!$F$5:$F$1004,"")+COUNTIFS('資格研修記録'!$A$5:$A$1004,A26,'資格研修記録'!$D$5:$D$1004,"小型船舶特殊",'資格研修記録'!$F$5:$F$1004,"&gt;="&amp;TODAY()))&gt;0,"特殊",IF(COUNTIFS('資格研修記録'!$A$5:$A$1004,A26,'資格研修記録'!$D$5:$D$1004,"小型船舶特殊")&gt;0,"× 特殊 期限切れ","")))="","—",_xlfn.TEXTJOIN("・",TRUE,IF((COUNTIFS('資格研修記録'!$A$5:$A$1004,A26,'資格研修記録'!$D$5:$D$1004,"小型船舶1級",'資格研修記録'!$F$5:$F$1004,"")+COUNTIFS('資格研修記録'!$A$5:$A$1004,A26,'資格研修記録'!$D$5:$D$1004,"小型船舶1級",'資格研修記録'!$F$5:$F$1004,"&gt;="&amp;TODAY()))&gt;0,"1級",IF((COUNTIFS('資格研修記録'!$A$5:$A$1004,A26,'資格研修記録'!$D$5:$D$1004,"小型船舶2級",'資格研修記録'!$F$5:$F$1004,"")+COUNTIFS('資格研修記録'!$A$5:$A$1004,A26,'資格研修記録'!$D$5:$D$1004,"小型船舶2級",'資格研修記録'!$F$5:$F$1004,"&gt;="&amp;TODAY()))&gt;0,"2級",IF(COUNTIFS('資格研修記録'!$A$5:$A$1004,A26,'資格研修記録'!$D$5:$D$1004,"小型船舶1級")+COUNTIFS('資格研修記録'!$A$5:$A$1004,A26,'資格研修記録'!$D$5:$D$1004,"小型船舶2級")&gt;0,"× 1・2級 期限切れ",""))),IF((COUNTIFS('資格研修記録'!$A$5:$A$1004,A26,'資格研修記録'!$D$5:$D$1004,"小型船舶特殊",'資格研修記録'!$F$5:$F$1004,"")+COUNTIFS('資格研修記録'!$A$5:$A$1004,A26,'資格研修記録'!$D$5:$D$1004,"小型船舶特殊",'資格研修記録'!$F$5:$F$1004,"&gt;="&amp;TODAY()))&gt;0,"特殊",IF(COUNTIFS('資格研修記録'!$A$5:$A$1004,A26,'資格研修記録'!$D$5:$D$1004,"小型船舶特殊")&gt;0,"× 特殊 期限切れ","")))))</f>
        <v/>
      </c>
      <c r="H26" s="15">
        <f>IF(A26="","",COUNTIFS('潜水記録'!$B$5:$B$3004,A26,'潜水記録'!$AF$5:$AF$3004,$D$2))</f>
        <v/>
      </c>
      <c r="I26" s="15">
        <f>IF(A26="","",COUNTIF('潜水記録'!$B$5:$B$3004,A26))</f>
        <v/>
      </c>
      <c r="J26" s="15">
        <f>IF(A26="","",SUMIF('潜水記録'!$B$5:$B$3004,A26,'潜水記録'!$H$5:$H$3004))</f>
        <v/>
      </c>
      <c r="K26" s="15">
        <f>IF(A26="","",IF(I26=0,"",_xlfn.MAXIFS('潜水記録'!$G$5:$G$3004,'潜水記録'!$B$5:$B$3004,A26)))</f>
        <v/>
      </c>
      <c r="L26" s="16">
        <f>IF(A26="","",IF(I26=0,"",_xlfn.MAXIFS('潜水記録'!$A$5:$A$3004,'潜水記録'!$B$5:$B$3004,A26)))</f>
        <v/>
      </c>
      <c r="M26" s="15">
        <f>IF(L26="","",$B$2-L26)</f>
        <v/>
      </c>
    </row>
    <row r="27">
      <c r="A27" s="14">
        <f>IF('隊員マスタ'!A24="","",'隊員マスタ'!A24)</f>
        <v/>
      </c>
      <c r="B27" s="14">
        <f>IF(A27="","",'隊員マスタ'!B24)</f>
        <v/>
      </c>
      <c r="C27" s="14">
        <f>IF(A27="","",'隊員マスタ'!C24)</f>
        <v/>
      </c>
      <c r="D27" s="15">
        <f>IF(A27="","",'隊員マスタ'!D24)</f>
        <v/>
      </c>
      <c r="E27" s="15">
        <f>IF(A27="","",IF(COUNTIFS('資格研修記録'!$A$5:$A$1004,A27,'資格研修記録'!$D$5:$D$1004,"潜水士免許")&gt;0,"有","無"))</f>
        <v/>
      </c>
      <c r="F27" s="15">
        <f>IF(A27="","",IF(COUNTIFS('資格研修記録'!$A$5:$A$1004,A27,'資格研修記録'!$D$5:$D$1004,"水難救助研修")&gt;0,"修了","—"))</f>
        <v/>
      </c>
      <c r="G27" s="14">
        <f>IF(A27="","",IF((IF((COUNTIFS('資格研修記録'!$A$5:$A$1004,A27,'資格研修記録'!$D$5:$D$1004,"小型船舶1級",'資格研修記録'!$F$5:$F$1004,"")+COUNTIFS('資格研修記録'!$A$5:$A$1004,A27,'資格研修記録'!$D$5:$D$1004,"小型船舶1級",'資格研修記録'!$F$5:$F$1004,"&gt;="&amp;TODAY()))&gt;0,"1級",IF((COUNTIFS('資格研修記録'!$A$5:$A$1004,A27,'資格研修記録'!$D$5:$D$1004,"小型船舶2級",'資格研修記録'!$F$5:$F$1004,"")+COUNTIFS('資格研修記録'!$A$5:$A$1004,A27,'資格研修記録'!$D$5:$D$1004,"小型船舶2級",'資格研修記録'!$F$5:$F$1004,"&gt;="&amp;TODAY()))&gt;0,"2級",IF(COUNTIFS('資格研修記録'!$A$5:$A$1004,A27,'資格研修記録'!$D$5:$D$1004,"小型船舶1級")+COUNTIFS('資格研修記録'!$A$5:$A$1004,A27,'資格研修記録'!$D$5:$D$1004,"小型船舶2級")&gt;0,"× 1・2級 期限切れ",""))))&amp;(IF((COUNTIFS('資格研修記録'!$A$5:$A$1004,A27,'資格研修記録'!$D$5:$D$1004,"小型船舶特殊",'資格研修記録'!$F$5:$F$1004,"")+COUNTIFS('資格研修記録'!$A$5:$A$1004,A27,'資格研修記録'!$D$5:$D$1004,"小型船舶特殊",'資格研修記録'!$F$5:$F$1004,"&gt;="&amp;TODAY()))&gt;0,"特殊",IF(COUNTIFS('資格研修記録'!$A$5:$A$1004,A27,'資格研修記録'!$D$5:$D$1004,"小型船舶特殊")&gt;0,"× 特殊 期限切れ","")))="","—",_xlfn.TEXTJOIN("・",TRUE,IF((COUNTIFS('資格研修記録'!$A$5:$A$1004,A27,'資格研修記録'!$D$5:$D$1004,"小型船舶1級",'資格研修記録'!$F$5:$F$1004,"")+COUNTIFS('資格研修記録'!$A$5:$A$1004,A27,'資格研修記録'!$D$5:$D$1004,"小型船舶1級",'資格研修記録'!$F$5:$F$1004,"&gt;="&amp;TODAY()))&gt;0,"1級",IF((COUNTIFS('資格研修記録'!$A$5:$A$1004,A27,'資格研修記録'!$D$5:$D$1004,"小型船舶2級",'資格研修記録'!$F$5:$F$1004,"")+COUNTIFS('資格研修記録'!$A$5:$A$1004,A27,'資格研修記録'!$D$5:$D$1004,"小型船舶2級",'資格研修記録'!$F$5:$F$1004,"&gt;="&amp;TODAY()))&gt;0,"2級",IF(COUNTIFS('資格研修記録'!$A$5:$A$1004,A27,'資格研修記録'!$D$5:$D$1004,"小型船舶1級")+COUNTIFS('資格研修記録'!$A$5:$A$1004,A27,'資格研修記録'!$D$5:$D$1004,"小型船舶2級")&gt;0,"× 1・2級 期限切れ",""))),IF((COUNTIFS('資格研修記録'!$A$5:$A$1004,A27,'資格研修記録'!$D$5:$D$1004,"小型船舶特殊",'資格研修記録'!$F$5:$F$1004,"")+COUNTIFS('資格研修記録'!$A$5:$A$1004,A27,'資格研修記録'!$D$5:$D$1004,"小型船舶特殊",'資格研修記録'!$F$5:$F$1004,"&gt;="&amp;TODAY()))&gt;0,"特殊",IF(COUNTIFS('資格研修記録'!$A$5:$A$1004,A27,'資格研修記録'!$D$5:$D$1004,"小型船舶特殊")&gt;0,"× 特殊 期限切れ","")))))</f>
        <v/>
      </c>
      <c r="H27" s="15">
        <f>IF(A27="","",COUNTIFS('潜水記録'!$B$5:$B$3004,A27,'潜水記録'!$AF$5:$AF$3004,$D$2))</f>
        <v/>
      </c>
      <c r="I27" s="15">
        <f>IF(A27="","",COUNTIF('潜水記録'!$B$5:$B$3004,A27))</f>
        <v/>
      </c>
      <c r="J27" s="15">
        <f>IF(A27="","",SUMIF('潜水記録'!$B$5:$B$3004,A27,'潜水記録'!$H$5:$H$3004))</f>
        <v/>
      </c>
      <c r="K27" s="15">
        <f>IF(A27="","",IF(I27=0,"",_xlfn.MAXIFS('潜水記録'!$G$5:$G$3004,'潜水記録'!$B$5:$B$3004,A27)))</f>
        <v/>
      </c>
      <c r="L27" s="16">
        <f>IF(A27="","",IF(I27=0,"",_xlfn.MAXIFS('潜水記録'!$A$5:$A$3004,'潜水記録'!$B$5:$B$3004,A27)))</f>
        <v/>
      </c>
      <c r="M27" s="15">
        <f>IF(L27="","",$B$2-L27)</f>
        <v/>
      </c>
    </row>
    <row r="28">
      <c r="A28" s="14">
        <f>IF('隊員マスタ'!A25="","",'隊員マスタ'!A25)</f>
        <v/>
      </c>
      <c r="B28" s="14">
        <f>IF(A28="","",'隊員マスタ'!B25)</f>
        <v/>
      </c>
      <c r="C28" s="14">
        <f>IF(A28="","",'隊員マスタ'!C25)</f>
        <v/>
      </c>
      <c r="D28" s="15">
        <f>IF(A28="","",'隊員マスタ'!D25)</f>
        <v/>
      </c>
      <c r="E28" s="15">
        <f>IF(A28="","",IF(COUNTIFS('資格研修記録'!$A$5:$A$1004,A28,'資格研修記録'!$D$5:$D$1004,"潜水士免許")&gt;0,"有","無"))</f>
        <v/>
      </c>
      <c r="F28" s="15">
        <f>IF(A28="","",IF(COUNTIFS('資格研修記録'!$A$5:$A$1004,A28,'資格研修記録'!$D$5:$D$1004,"水難救助研修")&gt;0,"修了","—"))</f>
        <v/>
      </c>
      <c r="G28" s="14">
        <f>IF(A28="","",IF((IF((COUNTIFS('資格研修記録'!$A$5:$A$1004,A28,'資格研修記録'!$D$5:$D$1004,"小型船舶1級",'資格研修記録'!$F$5:$F$1004,"")+COUNTIFS('資格研修記録'!$A$5:$A$1004,A28,'資格研修記録'!$D$5:$D$1004,"小型船舶1級",'資格研修記録'!$F$5:$F$1004,"&gt;="&amp;TODAY()))&gt;0,"1級",IF((COUNTIFS('資格研修記録'!$A$5:$A$1004,A28,'資格研修記録'!$D$5:$D$1004,"小型船舶2級",'資格研修記録'!$F$5:$F$1004,"")+COUNTIFS('資格研修記録'!$A$5:$A$1004,A28,'資格研修記録'!$D$5:$D$1004,"小型船舶2級",'資格研修記録'!$F$5:$F$1004,"&gt;="&amp;TODAY()))&gt;0,"2級",IF(COUNTIFS('資格研修記録'!$A$5:$A$1004,A28,'資格研修記録'!$D$5:$D$1004,"小型船舶1級")+COUNTIFS('資格研修記録'!$A$5:$A$1004,A28,'資格研修記録'!$D$5:$D$1004,"小型船舶2級")&gt;0,"× 1・2級 期限切れ",""))))&amp;(IF((COUNTIFS('資格研修記録'!$A$5:$A$1004,A28,'資格研修記録'!$D$5:$D$1004,"小型船舶特殊",'資格研修記録'!$F$5:$F$1004,"")+COUNTIFS('資格研修記録'!$A$5:$A$1004,A28,'資格研修記録'!$D$5:$D$1004,"小型船舶特殊",'資格研修記録'!$F$5:$F$1004,"&gt;="&amp;TODAY()))&gt;0,"特殊",IF(COUNTIFS('資格研修記録'!$A$5:$A$1004,A28,'資格研修記録'!$D$5:$D$1004,"小型船舶特殊")&gt;0,"× 特殊 期限切れ","")))="","—",_xlfn.TEXTJOIN("・",TRUE,IF((COUNTIFS('資格研修記録'!$A$5:$A$1004,A28,'資格研修記録'!$D$5:$D$1004,"小型船舶1級",'資格研修記録'!$F$5:$F$1004,"")+COUNTIFS('資格研修記録'!$A$5:$A$1004,A28,'資格研修記録'!$D$5:$D$1004,"小型船舶1級",'資格研修記録'!$F$5:$F$1004,"&gt;="&amp;TODAY()))&gt;0,"1級",IF((COUNTIFS('資格研修記録'!$A$5:$A$1004,A28,'資格研修記録'!$D$5:$D$1004,"小型船舶2級",'資格研修記録'!$F$5:$F$1004,"")+COUNTIFS('資格研修記録'!$A$5:$A$1004,A28,'資格研修記録'!$D$5:$D$1004,"小型船舶2級",'資格研修記録'!$F$5:$F$1004,"&gt;="&amp;TODAY()))&gt;0,"2級",IF(COUNTIFS('資格研修記録'!$A$5:$A$1004,A28,'資格研修記録'!$D$5:$D$1004,"小型船舶1級")+COUNTIFS('資格研修記録'!$A$5:$A$1004,A28,'資格研修記録'!$D$5:$D$1004,"小型船舶2級")&gt;0,"× 1・2級 期限切れ",""))),IF((COUNTIFS('資格研修記録'!$A$5:$A$1004,A28,'資格研修記録'!$D$5:$D$1004,"小型船舶特殊",'資格研修記録'!$F$5:$F$1004,"")+COUNTIFS('資格研修記録'!$A$5:$A$1004,A28,'資格研修記録'!$D$5:$D$1004,"小型船舶特殊",'資格研修記録'!$F$5:$F$1004,"&gt;="&amp;TODAY()))&gt;0,"特殊",IF(COUNTIFS('資格研修記録'!$A$5:$A$1004,A28,'資格研修記録'!$D$5:$D$1004,"小型船舶特殊")&gt;0,"× 特殊 期限切れ","")))))</f>
        <v/>
      </c>
      <c r="H28" s="15">
        <f>IF(A28="","",COUNTIFS('潜水記録'!$B$5:$B$3004,A28,'潜水記録'!$AF$5:$AF$3004,$D$2))</f>
        <v/>
      </c>
      <c r="I28" s="15">
        <f>IF(A28="","",COUNTIF('潜水記録'!$B$5:$B$3004,A28))</f>
        <v/>
      </c>
      <c r="J28" s="15">
        <f>IF(A28="","",SUMIF('潜水記録'!$B$5:$B$3004,A28,'潜水記録'!$H$5:$H$3004))</f>
        <v/>
      </c>
      <c r="K28" s="15">
        <f>IF(A28="","",IF(I28=0,"",_xlfn.MAXIFS('潜水記録'!$G$5:$G$3004,'潜水記録'!$B$5:$B$3004,A28)))</f>
        <v/>
      </c>
      <c r="L28" s="16">
        <f>IF(A28="","",IF(I28=0,"",_xlfn.MAXIFS('潜水記録'!$A$5:$A$3004,'潜水記録'!$B$5:$B$3004,A28)))</f>
        <v/>
      </c>
      <c r="M28" s="15">
        <f>IF(L28="","",$B$2-L28)</f>
        <v/>
      </c>
    </row>
    <row r="29">
      <c r="A29" s="14">
        <f>IF('隊員マスタ'!A26="","",'隊員マスタ'!A26)</f>
        <v/>
      </c>
      <c r="B29" s="14">
        <f>IF(A29="","",'隊員マスタ'!B26)</f>
        <v/>
      </c>
      <c r="C29" s="14">
        <f>IF(A29="","",'隊員マスタ'!C26)</f>
        <v/>
      </c>
      <c r="D29" s="15">
        <f>IF(A29="","",'隊員マスタ'!D26)</f>
        <v/>
      </c>
      <c r="E29" s="15">
        <f>IF(A29="","",IF(COUNTIFS('資格研修記録'!$A$5:$A$1004,A29,'資格研修記録'!$D$5:$D$1004,"潜水士免許")&gt;0,"有","無"))</f>
        <v/>
      </c>
      <c r="F29" s="15">
        <f>IF(A29="","",IF(COUNTIFS('資格研修記録'!$A$5:$A$1004,A29,'資格研修記録'!$D$5:$D$1004,"水難救助研修")&gt;0,"修了","—"))</f>
        <v/>
      </c>
      <c r="G29" s="14">
        <f>IF(A29="","",IF((IF((COUNTIFS('資格研修記録'!$A$5:$A$1004,A29,'資格研修記録'!$D$5:$D$1004,"小型船舶1級",'資格研修記録'!$F$5:$F$1004,"")+COUNTIFS('資格研修記録'!$A$5:$A$1004,A29,'資格研修記録'!$D$5:$D$1004,"小型船舶1級",'資格研修記録'!$F$5:$F$1004,"&gt;="&amp;TODAY()))&gt;0,"1級",IF((COUNTIFS('資格研修記録'!$A$5:$A$1004,A29,'資格研修記録'!$D$5:$D$1004,"小型船舶2級",'資格研修記録'!$F$5:$F$1004,"")+COUNTIFS('資格研修記録'!$A$5:$A$1004,A29,'資格研修記録'!$D$5:$D$1004,"小型船舶2級",'資格研修記録'!$F$5:$F$1004,"&gt;="&amp;TODAY()))&gt;0,"2級",IF(COUNTIFS('資格研修記録'!$A$5:$A$1004,A29,'資格研修記録'!$D$5:$D$1004,"小型船舶1級")+COUNTIFS('資格研修記録'!$A$5:$A$1004,A29,'資格研修記録'!$D$5:$D$1004,"小型船舶2級")&gt;0,"× 1・2級 期限切れ",""))))&amp;(IF((COUNTIFS('資格研修記録'!$A$5:$A$1004,A29,'資格研修記録'!$D$5:$D$1004,"小型船舶特殊",'資格研修記録'!$F$5:$F$1004,"")+COUNTIFS('資格研修記録'!$A$5:$A$1004,A29,'資格研修記録'!$D$5:$D$1004,"小型船舶特殊",'資格研修記録'!$F$5:$F$1004,"&gt;="&amp;TODAY()))&gt;0,"特殊",IF(COUNTIFS('資格研修記録'!$A$5:$A$1004,A29,'資格研修記録'!$D$5:$D$1004,"小型船舶特殊")&gt;0,"× 特殊 期限切れ","")))="","—",_xlfn.TEXTJOIN("・",TRUE,IF((COUNTIFS('資格研修記録'!$A$5:$A$1004,A29,'資格研修記録'!$D$5:$D$1004,"小型船舶1級",'資格研修記録'!$F$5:$F$1004,"")+COUNTIFS('資格研修記録'!$A$5:$A$1004,A29,'資格研修記録'!$D$5:$D$1004,"小型船舶1級",'資格研修記録'!$F$5:$F$1004,"&gt;="&amp;TODAY()))&gt;0,"1級",IF((COUNTIFS('資格研修記録'!$A$5:$A$1004,A29,'資格研修記録'!$D$5:$D$1004,"小型船舶2級",'資格研修記録'!$F$5:$F$1004,"")+COUNTIFS('資格研修記録'!$A$5:$A$1004,A29,'資格研修記録'!$D$5:$D$1004,"小型船舶2級",'資格研修記録'!$F$5:$F$1004,"&gt;="&amp;TODAY()))&gt;0,"2級",IF(COUNTIFS('資格研修記録'!$A$5:$A$1004,A29,'資格研修記録'!$D$5:$D$1004,"小型船舶1級")+COUNTIFS('資格研修記録'!$A$5:$A$1004,A29,'資格研修記録'!$D$5:$D$1004,"小型船舶2級")&gt;0,"× 1・2級 期限切れ",""))),IF((COUNTIFS('資格研修記録'!$A$5:$A$1004,A29,'資格研修記録'!$D$5:$D$1004,"小型船舶特殊",'資格研修記録'!$F$5:$F$1004,"")+COUNTIFS('資格研修記録'!$A$5:$A$1004,A29,'資格研修記録'!$D$5:$D$1004,"小型船舶特殊",'資格研修記録'!$F$5:$F$1004,"&gt;="&amp;TODAY()))&gt;0,"特殊",IF(COUNTIFS('資格研修記録'!$A$5:$A$1004,A29,'資格研修記録'!$D$5:$D$1004,"小型船舶特殊")&gt;0,"× 特殊 期限切れ","")))))</f>
        <v/>
      </c>
      <c r="H29" s="15">
        <f>IF(A29="","",COUNTIFS('潜水記録'!$B$5:$B$3004,A29,'潜水記録'!$AF$5:$AF$3004,$D$2))</f>
        <v/>
      </c>
      <c r="I29" s="15">
        <f>IF(A29="","",COUNTIF('潜水記録'!$B$5:$B$3004,A29))</f>
        <v/>
      </c>
      <c r="J29" s="15">
        <f>IF(A29="","",SUMIF('潜水記録'!$B$5:$B$3004,A29,'潜水記録'!$H$5:$H$3004))</f>
        <v/>
      </c>
      <c r="K29" s="15">
        <f>IF(A29="","",IF(I29=0,"",_xlfn.MAXIFS('潜水記録'!$G$5:$G$3004,'潜水記録'!$B$5:$B$3004,A29)))</f>
        <v/>
      </c>
      <c r="L29" s="16">
        <f>IF(A29="","",IF(I29=0,"",_xlfn.MAXIFS('潜水記録'!$A$5:$A$3004,'潜水記録'!$B$5:$B$3004,A29)))</f>
        <v/>
      </c>
      <c r="M29" s="15">
        <f>IF(L29="","",$B$2-L29)</f>
        <v/>
      </c>
    </row>
    <row r="30">
      <c r="A30" s="14">
        <f>IF('隊員マスタ'!A27="","",'隊員マスタ'!A27)</f>
        <v/>
      </c>
      <c r="B30" s="14">
        <f>IF(A30="","",'隊員マスタ'!B27)</f>
        <v/>
      </c>
      <c r="C30" s="14">
        <f>IF(A30="","",'隊員マスタ'!C27)</f>
        <v/>
      </c>
      <c r="D30" s="15">
        <f>IF(A30="","",'隊員マスタ'!D27)</f>
        <v/>
      </c>
      <c r="E30" s="15">
        <f>IF(A30="","",IF(COUNTIFS('資格研修記録'!$A$5:$A$1004,A30,'資格研修記録'!$D$5:$D$1004,"潜水士免許")&gt;0,"有","無"))</f>
        <v/>
      </c>
      <c r="F30" s="15">
        <f>IF(A30="","",IF(COUNTIFS('資格研修記録'!$A$5:$A$1004,A30,'資格研修記録'!$D$5:$D$1004,"水難救助研修")&gt;0,"修了","—"))</f>
        <v/>
      </c>
      <c r="G30" s="14">
        <f>IF(A30="","",IF((IF((COUNTIFS('資格研修記録'!$A$5:$A$1004,A30,'資格研修記録'!$D$5:$D$1004,"小型船舶1級",'資格研修記録'!$F$5:$F$1004,"")+COUNTIFS('資格研修記録'!$A$5:$A$1004,A30,'資格研修記録'!$D$5:$D$1004,"小型船舶1級",'資格研修記録'!$F$5:$F$1004,"&gt;="&amp;TODAY()))&gt;0,"1級",IF((COUNTIFS('資格研修記録'!$A$5:$A$1004,A30,'資格研修記録'!$D$5:$D$1004,"小型船舶2級",'資格研修記録'!$F$5:$F$1004,"")+COUNTIFS('資格研修記録'!$A$5:$A$1004,A30,'資格研修記録'!$D$5:$D$1004,"小型船舶2級",'資格研修記録'!$F$5:$F$1004,"&gt;="&amp;TODAY()))&gt;0,"2級",IF(COUNTIFS('資格研修記録'!$A$5:$A$1004,A30,'資格研修記録'!$D$5:$D$1004,"小型船舶1級")+COUNTIFS('資格研修記録'!$A$5:$A$1004,A30,'資格研修記録'!$D$5:$D$1004,"小型船舶2級")&gt;0,"× 1・2級 期限切れ",""))))&amp;(IF((COUNTIFS('資格研修記録'!$A$5:$A$1004,A30,'資格研修記録'!$D$5:$D$1004,"小型船舶特殊",'資格研修記録'!$F$5:$F$1004,"")+COUNTIFS('資格研修記録'!$A$5:$A$1004,A30,'資格研修記録'!$D$5:$D$1004,"小型船舶特殊",'資格研修記録'!$F$5:$F$1004,"&gt;="&amp;TODAY()))&gt;0,"特殊",IF(COUNTIFS('資格研修記録'!$A$5:$A$1004,A30,'資格研修記録'!$D$5:$D$1004,"小型船舶特殊")&gt;0,"× 特殊 期限切れ","")))="","—",_xlfn.TEXTJOIN("・",TRUE,IF((COUNTIFS('資格研修記録'!$A$5:$A$1004,A30,'資格研修記録'!$D$5:$D$1004,"小型船舶1級",'資格研修記録'!$F$5:$F$1004,"")+COUNTIFS('資格研修記録'!$A$5:$A$1004,A30,'資格研修記録'!$D$5:$D$1004,"小型船舶1級",'資格研修記録'!$F$5:$F$1004,"&gt;="&amp;TODAY()))&gt;0,"1級",IF((COUNTIFS('資格研修記録'!$A$5:$A$1004,A30,'資格研修記録'!$D$5:$D$1004,"小型船舶2級",'資格研修記録'!$F$5:$F$1004,"")+COUNTIFS('資格研修記録'!$A$5:$A$1004,A30,'資格研修記録'!$D$5:$D$1004,"小型船舶2級",'資格研修記録'!$F$5:$F$1004,"&gt;="&amp;TODAY()))&gt;0,"2級",IF(COUNTIFS('資格研修記録'!$A$5:$A$1004,A30,'資格研修記録'!$D$5:$D$1004,"小型船舶1級")+COUNTIFS('資格研修記録'!$A$5:$A$1004,A30,'資格研修記録'!$D$5:$D$1004,"小型船舶2級")&gt;0,"× 1・2級 期限切れ",""))),IF((COUNTIFS('資格研修記録'!$A$5:$A$1004,A30,'資格研修記録'!$D$5:$D$1004,"小型船舶特殊",'資格研修記録'!$F$5:$F$1004,"")+COUNTIFS('資格研修記録'!$A$5:$A$1004,A30,'資格研修記録'!$D$5:$D$1004,"小型船舶特殊",'資格研修記録'!$F$5:$F$1004,"&gt;="&amp;TODAY()))&gt;0,"特殊",IF(COUNTIFS('資格研修記録'!$A$5:$A$1004,A30,'資格研修記録'!$D$5:$D$1004,"小型船舶特殊")&gt;0,"× 特殊 期限切れ","")))))</f>
        <v/>
      </c>
      <c r="H30" s="15">
        <f>IF(A30="","",COUNTIFS('潜水記録'!$B$5:$B$3004,A30,'潜水記録'!$AF$5:$AF$3004,$D$2))</f>
        <v/>
      </c>
      <c r="I30" s="15">
        <f>IF(A30="","",COUNTIF('潜水記録'!$B$5:$B$3004,A30))</f>
        <v/>
      </c>
      <c r="J30" s="15">
        <f>IF(A30="","",SUMIF('潜水記録'!$B$5:$B$3004,A30,'潜水記録'!$H$5:$H$3004))</f>
        <v/>
      </c>
      <c r="K30" s="15">
        <f>IF(A30="","",IF(I30=0,"",_xlfn.MAXIFS('潜水記録'!$G$5:$G$3004,'潜水記録'!$B$5:$B$3004,A30)))</f>
        <v/>
      </c>
      <c r="L30" s="16">
        <f>IF(A30="","",IF(I30=0,"",_xlfn.MAXIFS('潜水記録'!$A$5:$A$3004,'潜水記録'!$B$5:$B$3004,A30)))</f>
        <v/>
      </c>
      <c r="M30" s="15">
        <f>IF(L30="","",$B$2-L30)</f>
        <v/>
      </c>
    </row>
    <row r="31">
      <c r="A31" s="14">
        <f>IF('隊員マスタ'!A28="","",'隊員マスタ'!A28)</f>
        <v/>
      </c>
      <c r="B31" s="14">
        <f>IF(A31="","",'隊員マスタ'!B28)</f>
        <v/>
      </c>
      <c r="C31" s="14">
        <f>IF(A31="","",'隊員マスタ'!C28)</f>
        <v/>
      </c>
      <c r="D31" s="15">
        <f>IF(A31="","",'隊員マスタ'!D28)</f>
        <v/>
      </c>
      <c r="E31" s="15">
        <f>IF(A31="","",IF(COUNTIFS('資格研修記録'!$A$5:$A$1004,A31,'資格研修記録'!$D$5:$D$1004,"潜水士免許")&gt;0,"有","無"))</f>
        <v/>
      </c>
      <c r="F31" s="15">
        <f>IF(A31="","",IF(COUNTIFS('資格研修記録'!$A$5:$A$1004,A31,'資格研修記録'!$D$5:$D$1004,"水難救助研修")&gt;0,"修了","—"))</f>
        <v/>
      </c>
      <c r="G31" s="14">
        <f>IF(A31="","",IF((IF((COUNTIFS('資格研修記録'!$A$5:$A$1004,A31,'資格研修記録'!$D$5:$D$1004,"小型船舶1級",'資格研修記録'!$F$5:$F$1004,"")+COUNTIFS('資格研修記録'!$A$5:$A$1004,A31,'資格研修記録'!$D$5:$D$1004,"小型船舶1級",'資格研修記録'!$F$5:$F$1004,"&gt;="&amp;TODAY()))&gt;0,"1級",IF((COUNTIFS('資格研修記録'!$A$5:$A$1004,A31,'資格研修記録'!$D$5:$D$1004,"小型船舶2級",'資格研修記録'!$F$5:$F$1004,"")+COUNTIFS('資格研修記録'!$A$5:$A$1004,A31,'資格研修記録'!$D$5:$D$1004,"小型船舶2級",'資格研修記録'!$F$5:$F$1004,"&gt;="&amp;TODAY()))&gt;0,"2級",IF(COUNTIFS('資格研修記録'!$A$5:$A$1004,A31,'資格研修記録'!$D$5:$D$1004,"小型船舶1級")+COUNTIFS('資格研修記録'!$A$5:$A$1004,A31,'資格研修記録'!$D$5:$D$1004,"小型船舶2級")&gt;0,"× 1・2級 期限切れ",""))))&amp;(IF((COUNTIFS('資格研修記録'!$A$5:$A$1004,A31,'資格研修記録'!$D$5:$D$1004,"小型船舶特殊",'資格研修記録'!$F$5:$F$1004,"")+COUNTIFS('資格研修記録'!$A$5:$A$1004,A31,'資格研修記録'!$D$5:$D$1004,"小型船舶特殊",'資格研修記録'!$F$5:$F$1004,"&gt;="&amp;TODAY()))&gt;0,"特殊",IF(COUNTIFS('資格研修記録'!$A$5:$A$1004,A31,'資格研修記録'!$D$5:$D$1004,"小型船舶特殊")&gt;0,"× 特殊 期限切れ","")))="","—",_xlfn.TEXTJOIN("・",TRUE,IF((COUNTIFS('資格研修記録'!$A$5:$A$1004,A31,'資格研修記録'!$D$5:$D$1004,"小型船舶1級",'資格研修記録'!$F$5:$F$1004,"")+COUNTIFS('資格研修記録'!$A$5:$A$1004,A31,'資格研修記録'!$D$5:$D$1004,"小型船舶1級",'資格研修記録'!$F$5:$F$1004,"&gt;="&amp;TODAY()))&gt;0,"1級",IF((COUNTIFS('資格研修記録'!$A$5:$A$1004,A31,'資格研修記録'!$D$5:$D$1004,"小型船舶2級",'資格研修記録'!$F$5:$F$1004,"")+COUNTIFS('資格研修記録'!$A$5:$A$1004,A31,'資格研修記録'!$D$5:$D$1004,"小型船舶2級",'資格研修記録'!$F$5:$F$1004,"&gt;="&amp;TODAY()))&gt;0,"2級",IF(COUNTIFS('資格研修記録'!$A$5:$A$1004,A31,'資格研修記録'!$D$5:$D$1004,"小型船舶1級")+COUNTIFS('資格研修記録'!$A$5:$A$1004,A31,'資格研修記録'!$D$5:$D$1004,"小型船舶2級")&gt;0,"× 1・2級 期限切れ",""))),IF((COUNTIFS('資格研修記録'!$A$5:$A$1004,A31,'資格研修記録'!$D$5:$D$1004,"小型船舶特殊",'資格研修記録'!$F$5:$F$1004,"")+COUNTIFS('資格研修記録'!$A$5:$A$1004,A31,'資格研修記録'!$D$5:$D$1004,"小型船舶特殊",'資格研修記録'!$F$5:$F$1004,"&gt;="&amp;TODAY()))&gt;0,"特殊",IF(COUNTIFS('資格研修記録'!$A$5:$A$1004,A31,'資格研修記録'!$D$5:$D$1004,"小型船舶特殊")&gt;0,"× 特殊 期限切れ","")))))</f>
        <v/>
      </c>
      <c r="H31" s="15">
        <f>IF(A31="","",COUNTIFS('潜水記録'!$B$5:$B$3004,A31,'潜水記録'!$AF$5:$AF$3004,$D$2))</f>
        <v/>
      </c>
      <c r="I31" s="15">
        <f>IF(A31="","",COUNTIF('潜水記録'!$B$5:$B$3004,A31))</f>
        <v/>
      </c>
      <c r="J31" s="15">
        <f>IF(A31="","",SUMIF('潜水記録'!$B$5:$B$3004,A31,'潜水記録'!$H$5:$H$3004))</f>
        <v/>
      </c>
      <c r="K31" s="15">
        <f>IF(A31="","",IF(I31=0,"",_xlfn.MAXIFS('潜水記録'!$G$5:$G$3004,'潜水記録'!$B$5:$B$3004,A31)))</f>
        <v/>
      </c>
      <c r="L31" s="16">
        <f>IF(A31="","",IF(I31=0,"",_xlfn.MAXIFS('潜水記録'!$A$5:$A$3004,'潜水記録'!$B$5:$B$3004,A31)))</f>
        <v/>
      </c>
      <c r="M31" s="15">
        <f>IF(L31="","",$B$2-L31)</f>
        <v/>
      </c>
    </row>
    <row r="32">
      <c r="A32" s="14">
        <f>IF('隊員マスタ'!A29="","",'隊員マスタ'!A29)</f>
        <v/>
      </c>
      <c r="B32" s="14">
        <f>IF(A32="","",'隊員マスタ'!B29)</f>
        <v/>
      </c>
      <c r="C32" s="14">
        <f>IF(A32="","",'隊員マスタ'!C29)</f>
        <v/>
      </c>
      <c r="D32" s="15">
        <f>IF(A32="","",'隊員マスタ'!D29)</f>
        <v/>
      </c>
      <c r="E32" s="15">
        <f>IF(A32="","",IF(COUNTIFS('資格研修記録'!$A$5:$A$1004,A32,'資格研修記録'!$D$5:$D$1004,"潜水士免許")&gt;0,"有","無"))</f>
        <v/>
      </c>
      <c r="F32" s="15">
        <f>IF(A32="","",IF(COUNTIFS('資格研修記録'!$A$5:$A$1004,A32,'資格研修記録'!$D$5:$D$1004,"水難救助研修")&gt;0,"修了","—"))</f>
        <v/>
      </c>
      <c r="G32" s="14">
        <f>IF(A32="","",IF((IF((COUNTIFS('資格研修記録'!$A$5:$A$1004,A32,'資格研修記録'!$D$5:$D$1004,"小型船舶1級",'資格研修記録'!$F$5:$F$1004,"")+COUNTIFS('資格研修記録'!$A$5:$A$1004,A32,'資格研修記録'!$D$5:$D$1004,"小型船舶1級",'資格研修記録'!$F$5:$F$1004,"&gt;="&amp;TODAY()))&gt;0,"1級",IF((COUNTIFS('資格研修記録'!$A$5:$A$1004,A32,'資格研修記録'!$D$5:$D$1004,"小型船舶2級",'資格研修記録'!$F$5:$F$1004,"")+COUNTIFS('資格研修記録'!$A$5:$A$1004,A32,'資格研修記録'!$D$5:$D$1004,"小型船舶2級",'資格研修記録'!$F$5:$F$1004,"&gt;="&amp;TODAY()))&gt;0,"2級",IF(COUNTIFS('資格研修記録'!$A$5:$A$1004,A32,'資格研修記録'!$D$5:$D$1004,"小型船舶1級")+COUNTIFS('資格研修記録'!$A$5:$A$1004,A32,'資格研修記録'!$D$5:$D$1004,"小型船舶2級")&gt;0,"× 1・2級 期限切れ",""))))&amp;(IF((COUNTIFS('資格研修記録'!$A$5:$A$1004,A32,'資格研修記録'!$D$5:$D$1004,"小型船舶特殊",'資格研修記録'!$F$5:$F$1004,"")+COUNTIFS('資格研修記録'!$A$5:$A$1004,A32,'資格研修記録'!$D$5:$D$1004,"小型船舶特殊",'資格研修記録'!$F$5:$F$1004,"&gt;="&amp;TODAY()))&gt;0,"特殊",IF(COUNTIFS('資格研修記録'!$A$5:$A$1004,A32,'資格研修記録'!$D$5:$D$1004,"小型船舶特殊")&gt;0,"× 特殊 期限切れ","")))="","—",_xlfn.TEXTJOIN("・",TRUE,IF((COUNTIFS('資格研修記録'!$A$5:$A$1004,A32,'資格研修記録'!$D$5:$D$1004,"小型船舶1級",'資格研修記録'!$F$5:$F$1004,"")+COUNTIFS('資格研修記録'!$A$5:$A$1004,A32,'資格研修記録'!$D$5:$D$1004,"小型船舶1級",'資格研修記録'!$F$5:$F$1004,"&gt;="&amp;TODAY()))&gt;0,"1級",IF((COUNTIFS('資格研修記録'!$A$5:$A$1004,A32,'資格研修記録'!$D$5:$D$1004,"小型船舶2級",'資格研修記録'!$F$5:$F$1004,"")+COUNTIFS('資格研修記録'!$A$5:$A$1004,A32,'資格研修記録'!$D$5:$D$1004,"小型船舶2級",'資格研修記録'!$F$5:$F$1004,"&gt;="&amp;TODAY()))&gt;0,"2級",IF(COUNTIFS('資格研修記録'!$A$5:$A$1004,A32,'資格研修記録'!$D$5:$D$1004,"小型船舶1級")+COUNTIFS('資格研修記録'!$A$5:$A$1004,A32,'資格研修記録'!$D$5:$D$1004,"小型船舶2級")&gt;0,"× 1・2級 期限切れ",""))),IF((COUNTIFS('資格研修記録'!$A$5:$A$1004,A32,'資格研修記録'!$D$5:$D$1004,"小型船舶特殊",'資格研修記録'!$F$5:$F$1004,"")+COUNTIFS('資格研修記録'!$A$5:$A$1004,A32,'資格研修記録'!$D$5:$D$1004,"小型船舶特殊",'資格研修記録'!$F$5:$F$1004,"&gt;="&amp;TODAY()))&gt;0,"特殊",IF(COUNTIFS('資格研修記録'!$A$5:$A$1004,A32,'資格研修記録'!$D$5:$D$1004,"小型船舶特殊")&gt;0,"× 特殊 期限切れ","")))))</f>
        <v/>
      </c>
      <c r="H32" s="15">
        <f>IF(A32="","",COUNTIFS('潜水記録'!$B$5:$B$3004,A32,'潜水記録'!$AF$5:$AF$3004,$D$2))</f>
        <v/>
      </c>
      <c r="I32" s="15">
        <f>IF(A32="","",COUNTIF('潜水記録'!$B$5:$B$3004,A32))</f>
        <v/>
      </c>
      <c r="J32" s="15">
        <f>IF(A32="","",SUMIF('潜水記録'!$B$5:$B$3004,A32,'潜水記録'!$H$5:$H$3004))</f>
        <v/>
      </c>
      <c r="K32" s="15">
        <f>IF(A32="","",IF(I32=0,"",_xlfn.MAXIFS('潜水記録'!$G$5:$G$3004,'潜水記録'!$B$5:$B$3004,A32)))</f>
        <v/>
      </c>
      <c r="L32" s="16">
        <f>IF(A32="","",IF(I32=0,"",_xlfn.MAXIFS('潜水記録'!$A$5:$A$3004,'潜水記録'!$B$5:$B$3004,A32)))</f>
        <v/>
      </c>
      <c r="M32" s="15">
        <f>IF(L32="","",$B$2-L32)</f>
        <v/>
      </c>
    </row>
    <row r="33">
      <c r="A33" s="14">
        <f>IF('隊員マスタ'!A30="","",'隊員マスタ'!A30)</f>
        <v/>
      </c>
      <c r="B33" s="14">
        <f>IF(A33="","",'隊員マスタ'!B30)</f>
        <v/>
      </c>
      <c r="C33" s="14">
        <f>IF(A33="","",'隊員マスタ'!C30)</f>
        <v/>
      </c>
      <c r="D33" s="15">
        <f>IF(A33="","",'隊員マスタ'!D30)</f>
        <v/>
      </c>
      <c r="E33" s="15">
        <f>IF(A33="","",IF(COUNTIFS('資格研修記録'!$A$5:$A$1004,A33,'資格研修記録'!$D$5:$D$1004,"潜水士免許")&gt;0,"有","無"))</f>
        <v/>
      </c>
      <c r="F33" s="15">
        <f>IF(A33="","",IF(COUNTIFS('資格研修記録'!$A$5:$A$1004,A33,'資格研修記録'!$D$5:$D$1004,"水難救助研修")&gt;0,"修了","—"))</f>
        <v/>
      </c>
      <c r="G33" s="14">
        <f>IF(A33="","",IF((IF((COUNTIFS('資格研修記録'!$A$5:$A$1004,A33,'資格研修記録'!$D$5:$D$1004,"小型船舶1級",'資格研修記録'!$F$5:$F$1004,"")+COUNTIFS('資格研修記録'!$A$5:$A$1004,A33,'資格研修記録'!$D$5:$D$1004,"小型船舶1級",'資格研修記録'!$F$5:$F$1004,"&gt;="&amp;TODAY()))&gt;0,"1級",IF((COUNTIFS('資格研修記録'!$A$5:$A$1004,A33,'資格研修記録'!$D$5:$D$1004,"小型船舶2級",'資格研修記録'!$F$5:$F$1004,"")+COUNTIFS('資格研修記録'!$A$5:$A$1004,A33,'資格研修記録'!$D$5:$D$1004,"小型船舶2級",'資格研修記録'!$F$5:$F$1004,"&gt;="&amp;TODAY()))&gt;0,"2級",IF(COUNTIFS('資格研修記録'!$A$5:$A$1004,A33,'資格研修記録'!$D$5:$D$1004,"小型船舶1級")+COUNTIFS('資格研修記録'!$A$5:$A$1004,A33,'資格研修記録'!$D$5:$D$1004,"小型船舶2級")&gt;0,"× 1・2級 期限切れ",""))))&amp;(IF((COUNTIFS('資格研修記録'!$A$5:$A$1004,A33,'資格研修記録'!$D$5:$D$1004,"小型船舶特殊",'資格研修記録'!$F$5:$F$1004,"")+COUNTIFS('資格研修記録'!$A$5:$A$1004,A33,'資格研修記録'!$D$5:$D$1004,"小型船舶特殊",'資格研修記録'!$F$5:$F$1004,"&gt;="&amp;TODAY()))&gt;0,"特殊",IF(COUNTIFS('資格研修記録'!$A$5:$A$1004,A33,'資格研修記録'!$D$5:$D$1004,"小型船舶特殊")&gt;0,"× 特殊 期限切れ","")))="","—",_xlfn.TEXTJOIN("・",TRUE,IF((COUNTIFS('資格研修記録'!$A$5:$A$1004,A33,'資格研修記録'!$D$5:$D$1004,"小型船舶1級",'資格研修記録'!$F$5:$F$1004,"")+COUNTIFS('資格研修記録'!$A$5:$A$1004,A33,'資格研修記録'!$D$5:$D$1004,"小型船舶1級",'資格研修記録'!$F$5:$F$1004,"&gt;="&amp;TODAY()))&gt;0,"1級",IF((COUNTIFS('資格研修記録'!$A$5:$A$1004,A33,'資格研修記録'!$D$5:$D$1004,"小型船舶2級",'資格研修記録'!$F$5:$F$1004,"")+COUNTIFS('資格研修記録'!$A$5:$A$1004,A33,'資格研修記録'!$D$5:$D$1004,"小型船舶2級",'資格研修記録'!$F$5:$F$1004,"&gt;="&amp;TODAY()))&gt;0,"2級",IF(COUNTIFS('資格研修記録'!$A$5:$A$1004,A33,'資格研修記録'!$D$5:$D$1004,"小型船舶1級")+COUNTIFS('資格研修記録'!$A$5:$A$1004,A33,'資格研修記録'!$D$5:$D$1004,"小型船舶2級")&gt;0,"× 1・2級 期限切れ",""))),IF((COUNTIFS('資格研修記録'!$A$5:$A$1004,A33,'資格研修記録'!$D$5:$D$1004,"小型船舶特殊",'資格研修記録'!$F$5:$F$1004,"")+COUNTIFS('資格研修記録'!$A$5:$A$1004,A33,'資格研修記録'!$D$5:$D$1004,"小型船舶特殊",'資格研修記録'!$F$5:$F$1004,"&gt;="&amp;TODAY()))&gt;0,"特殊",IF(COUNTIFS('資格研修記録'!$A$5:$A$1004,A33,'資格研修記録'!$D$5:$D$1004,"小型船舶特殊")&gt;0,"× 特殊 期限切れ","")))))</f>
        <v/>
      </c>
      <c r="H33" s="15">
        <f>IF(A33="","",COUNTIFS('潜水記録'!$B$5:$B$3004,A33,'潜水記録'!$AF$5:$AF$3004,$D$2))</f>
        <v/>
      </c>
      <c r="I33" s="15">
        <f>IF(A33="","",COUNTIF('潜水記録'!$B$5:$B$3004,A33))</f>
        <v/>
      </c>
      <c r="J33" s="15">
        <f>IF(A33="","",SUMIF('潜水記録'!$B$5:$B$3004,A33,'潜水記録'!$H$5:$H$3004))</f>
        <v/>
      </c>
      <c r="K33" s="15">
        <f>IF(A33="","",IF(I33=0,"",_xlfn.MAXIFS('潜水記録'!$G$5:$G$3004,'潜水記録'!$B$5:$B$3004,A33)))</f>
        <v/>
      </c>
      <c r="L33" s="16">
        <f>IF(A33="","",IF(I33=0,"",_xlfn.MAXIFS('潜水記録'!$A$5:$A$3004,'潜水記録'!$B$5:$B$3004,A33)))</f>
        <v/>
      </c>
      <c r="M33" s="15">
        <f>IF(L33="","",$B$2-L33)</f>
        <v/>
      </c>
    </row>
    <row r="34">
      <c r="A34" s="14">
        <f>IF('隊員マスタ'!A31="","",'隊員マスタ'!A31)</f>
        <v/>
      </c>
      <c r="B34" s="14">
        <f>IF(A34="","",'隊員マスタ'!B31)</f>
        <v/>
      </c>
      <c r="C34" s="14">
        <f>IF(A34="","",'隊員マスタ'!C31)</f>
        <v/>
      </c>
      <c r="D34" s="15">
        <f>IF(A34="","",'隊員マスタ'!D31)</f>
        <v/>
      </c>
      <c r="E34" s="15">
        <f>IF(A34="","",IF(COUNTIFS('資格研修記録'!$A$5:$A$1004,A34,'資格研修記録'!$D$5:$D$1004,"潜水士免許")&gt;0,"有","無"))</f>
        <v/>
      </c>
      <c r="F34" s="15">
        <f>IF(A34="","",IF(COUNTIFS('資格研修記録'!$A$5:$A$1004,A34,'資格研修記録'!$D$5:$D$1004,"水難救助研修")&gt;0,"修了","—"))</f>
        <v/>
      </c>
      <c r="G34" s="14">
        <f>IF(A34="","",IF((IF((COUNTIFS('資格研修記録'!$A$5:$A$1004,A34,'資格研修記録'!$D$5:$D$1004,"小型船舶1級",'資格研修記録'!$F$5:$F$1004,"")+COUNTIFS('資格研修記録'!$A$5:$A$1004,A34,'資格研修記録'!$D$5:$D$1004,"小型船舶1級",'資格研修記録'!$F$5:$F$1004,"&gt;="&amp;TODAY()))&gt;0,"1級",IF((COUNTIFS('資格研修記録'!$A$5:$A$1004,A34,'資格研修記録'!$D$5:$D$1004,"小型船舶2級",'資格研修記録'!$F$5:$F$1004,"")+COUNTIFS('資格研修記録'!$A$5:$A$1004,A34,'資格研修記録'!$D$5:$D$1004,"小型船舶2級",'資格研修記録'!$F$5:$F$1004,"&gt;="&amp;TODAY()))&gt;0,"2級",IF(COUNTIFS('資格研修記録'!$A$5:$A$1004,A34,'資格研修記録'!$D$5:$D$1004,"小型船舶1級")+COUNTIFS('資格研修記録'!$A$5:$A$1004,A34,'資格研修記録'!$D$5:$D$1004,"小型船舶2級")&gt;0,"× 1・2級 期限切れ",""))))&amp;(IF((COUNTIFS('資格研修記録'!$A$5:$A$1004,A34,'資格研修記録'!$D$5:$D$1004,"小型船舶特殊",'資格研修記録'!$F$5:$F$1004,"")+COUNTIFS('資格研修記録'!$A$5:$A$1004,A34,'資格研修記録'!$D$5:$D$1004,"小型船舶特殊",'資格研修記録'!$F$5:$F$1004,"&gt;="&amp;TODAY()))&gt;0,"特殊",IF(COUNTIFS('資格研修記録'!$A$5:$A$1004,A34,'資格研修記録'!$D$5:$D$1004,"小型船舶特殊")&gt;0,"× 特殊 期限切れ","")))="","—",_xlfn.TEXTJOIN("・",TRUE,IF((COUNTIFS('資格研修記録'!$A$5:$A$1004,A34,'資格研修記録'!$D$5:$D$1004,"小型船舶1級",'資格研修記録'!$F$5:$F$1004,"")+COUNTIFS('資格研修記録'!$A$5:$A$1004,A34,'資格研修記録'!$D$5:$D$1004,"小型船舶1級",'資格研修記録'!$F$5:$F$1004,"&gt;="&amp;TODAY()))&gt;0,"1級",IF((COUNTIFS('資格研修記録'!$A$5:$A$1004,A34,'資格研修記録'!$D$5:$D$1004,"小型船舶2級",'資格研修記録'!$F$5:$F$1004,"")+COUNTIFS('資格研修記録'!$A$5:$A$1004,A34,'資格研修記録'!$D$5:$D$1004,"小型船舶2級",'資格研修記録'!$F$5:$F$1004,"&gt;="&amp;TODAY()))&gt;0,"2級",IF(COUNTIFS('資格研修記録'!$A$5:$A$1004,A34,'資格研修記録'!$D$5:$D$1004,"小型船舶1級")+COUNTIFS('資格研修記録'!$A$5:$A$1004,A34,'資格研修記録'!$D$5:$D$1004,"小型船舶2級")&gt;0,"× 1・2級 期限切れ",""))),IF((COUNTIFS('資格研修記録'!$A$5:$A$1004,A34,'資格研修記録'!$D$5:$D$1004,"小型船舶特殊",'資格研修記録'!$F$5:$F$1004,"")+COUNTIFS('資格研修記録'!$A$5:$A$1004,A34,'資格研修記録'!$D$5:$D$1004,"小型船舶特殊",'資格研修記録'!$F$5:$F$1004,"&gt;="&amp;TODAY()))&gt;0,"特殊",IF(COUNTIFS('資格研修記録'!$A$5:$A$1004,A34,'資格研修記録'!$D$5:$D$1004,"小型船舶特殊")&gt;0,"× 特殊 期限切れ","")))))</f>
        <v/>
      </c>
      <c r="H34" s="15">
        <f>IF(A34="","",COUNTIFS('潜水記録'!$B$5:$B$3004,A34,'潜水記録'!$AF$5:$AF$3004,$D$2))</f>
        <v/>
      </c>
      <c r="I34" s="15">
        <f>IF(A34="","",COUNTIF('潜水記録'!$B$5:$B$3004,A34))</f>
        <v/>
      </c>
      <c r="J34" s="15">
        <f>IF(A34="","",SUMIF('潜水記録'!$B$5:$B$3004,A34,'潜水記録'!$H$5:$H$3004))</f>
        <v/>
      </c>
      <c r="K34" s="15">
        <f>IF(A34="","",IF(I34=0,"",_xlfn.MAXIFS('潜水記録'!$G$5:$G$3004,'潜水記録'!$B$5:$B$3004,A34)))</f>
        <v/>
      </c>
      <c r="L34" s="16">
        <f>IF(A34="","",IF(I34=0,"",_xlfn.MAXIFS('潜水記録'!$A$5:$A$3004,'潜水記録'!$B$5:$B$3004,A34)))</f>
        <v/>
      </c>
      <c r="M34" s="15">
        <f>IF(L34="","",$B$2-L34)</f>
        <v/>
      </c>
    </row>
    <row r="35">
      <c r="A35" s="14">
        <f>IF('隊員マスタ'!A32="","",'隊員マスタ'!A32)</f>
        <v/>
      </c>
      <c r="B35" s="14">
        <f>IF(A35="","",'隊員マスタ'!B32)</f>
        <v/>
      </c>
      <c r="C35" s="14">
        <f>IF(A35="","",'隊員マスタ'!C32)</f>
        <v/>
      </c>
      <c r="D35" s="15">
        <f>IF(A35="","",'隊員マスタ'!D32)</f>
        <v/>
      </c>
      <c r="E35" s="15">
        <f>IF(A35="","",IF(COUNTIFS('資格研修記録'!$A$5:$A$1004,A35,'資格研修記録'!$D$5:$D$1004,"潜水士免許")&gt;0,"有","無"))</f>
        <v/>
      </c>
      <c r="F35" s="15">
        <f>IF(A35="","",IF(COUNTIFS('資格研修記録'!$A$5:$A$1004,A35,'資格研修記録'!$D$5:$D$1004,"水難救助研修")&gt;0,"修了","—"))</f>
        <v/>
      </c>
      <c r="G35" s="14">
        <f>IF(A35="","",IF((IF((COUNTIFS('資格研修記録'!$A$5:$A$1004,A35,'資格研修記録'!$D$5:$D$1004,"小型船舶1級",'資格研修記録'!$F$5:$F$1004,"")+COUNTIFS('資格研修記録'!$A$5:$A$1004,A35,'資格研修記録'!$D$5:$D$1004,"小型船舶1級",'資格研修記録'!$F$5:$F$1004,"&gt;="&amp;TODAY()))&gt;0,"1級",IF((COUNTIFS('資格研修記録'!$A$5:$A$1004,A35,'資格研修記録'!$D$5:$D$1004,"小型船舶2級",'資格研修記録'!$F$5:$F$1004,"")+COUNTIFS('資格研修記録'!$A$5:$A$1004,A35,'資格研修記録'!$D$5:$D$1004,"小型船舶2級",'資格研修記録'!$F$5:$F$1004,"&gt;="&amp;TODAY()))&gt;0,"2級",IF(COUNTIFS('資格研修記録'!$A$5:$A$1004,A35,'資格研修記録'!$D$5:$D$1004,"小型船舶1級")+COUNTIFS('資格研修記録'!$A$5:$A$1004,A35,'資格研修記録'!$D$5:$D$1004,"小型船舶2級")&gt;0,"× 1・2級 期限切れ",""))))&amp;(IF((COUNTIFS('資格研修記録'!$A$5:$A$1004,A35,'資格研修記録'!$D$5:$D$1004,"小型船舶特殊",'資格研修記録'!$F$5:$F$1004,"")+COUNTIFS('資格研修記録'!$A$5:$A$1004,A35,'資格研修記録'!$D$5:$D$1004,"小型船舶特殊",'資格研修記録'!$F$5:$F$1004,"&gt;="&amp;TODAY()))&gt;0,"特殊",IF(COUNTIFS('資格研修記録'!$A$5:$A$1004,A35,'資格研修記録'!$D$5:$D$1004,"小型船舶特殊")&gt;0,"× 特殊 期限切れ","")))="","—",_xlfn.TEXTJOIN("・",TRUE,IF((COUNTIFS('資格研修記録'!$A$5:$A$1004,A35,'資格研修記録'!$D$5:$D$1004,"小型船舶1級",'資格研修記録'!$F$5:$F$1004,"")+COUNTIFS('資格研修記録'!$A$5:$A$1004,A35,'資格研修記録'!$D$5:$D$1004,"小型船舶1級",'資格研修記録'!$F$5:$F$1004,"&gt;="&amp;TODAY()))&gt;0,"1級",IF((COUNTIFS('資格研修記録'!$A$5:$A$1004,A35,'資格研修記録'!$D$5:$D$1004,"小型船舶2級",'資格研修記録'!$F$5:$F$1004,"")+COUNTIFS('資格研修記録'!$A$5:$A$1004,A35,'資格研修記録'!$D$5:$D$1004,"小型船舶2級",'資格研修記録'!$F$5:$F$1004,"&gt;="&amp;TODAY()))&gt;0,"2級",IF(COUNTIFS('資格研修記録'!$A$5:$A$1004,A35,'資格研修記録'!$D$5:$D$1004,"小型船舶1級")+COUNTIFS('資格研修記録'!$A$5:$A$1004,A35,'資格研修記録'!$D$5:$D$1004,"小型船舶2級")&gt;0,"× 1・2級 期限切れ",""))),IF((COUNTIFS('資格研修記録'!$A$5:$A$1004,A35,'資格研修記録'!$D$5:$D$1004,"小型船舶特殊",'資格研修記録'!$F$5:$F$1004,"")+COUNTIFS('資格研修記録'!$A$5:$A$1004,A35,'資格研修記録'!$D$5:$D$1004,"小型船舶特殊",'資格研修記録'!$F$5:$F$1004,"&gt;="&amp;TODAY()))&gt;0,"特殊",IF(COUNTIFS('資格研修記録'!$A$5:$A$1004,A35,'資格研修記録'!$D$5:$D$1004,"小型船舶特殊")&gt;0,"× 特殊 期限切れ","")))))</f>
        <v/>
      </c>
      <c r="H35" s="15">
        <f>IF(A35="","",COUNTIFS('潜水記録'!$B$5:$B$3004,A35,'潜水記録'!$AF$5:$AF$3004,$D$2))</f>
        <v/>
      </c>
      <c r="I35" s="15">
        <f>IF(A35="","",COUNTIF('潜水記録'!$B$5:$B$3004,A35))</f>
        <v/>
      </c>
      <c r="J35" s="15">
        <f>IF(A35="","",SUMIF('潜水記録'!$B$5:$B$3004,A35,'潜水記録'!$H$5:$H$3004))</f>
        <v/>
      </c>
      <c r="K35" s="15">
        <f>IF(A35="","",IF(I35=0,"",_xlfn.MAXIFS('潜水記録'!$G$5:$G$3004,'潜水記録'!$B$5:$B$3004,A35)))</f>
        <v/>
      </c>
      <c r="L35" s="16">
        <f>IF(A35="","",IF(I35=0,"",_xlfn.MAXIFS('潜水記録'!$A$5:$A$3004,'潜水記録'!$B$5:$B$3004,A35)))</f>
        <v/>
      </c>
      <c r="M35" s="15">
        <f>IF(L35="","",$B$2-L35)</f>
        <v/>
      </c>
    </row>
    <row r="36">
      <c r="A36" s="14">
        <f>IF('隊員マスタ'!A33="","",'隊員マスタ'!A33)</f>
        <v/>
      </c>
      <c r="B36" s="14">
        <f>IF(A36="","",'隊員マスタ'!B33)</f>
        <v/>
      </c>
      <c r="C36" s="14">
        <f>IF(A36="","",'隊員マスタ'!C33)</f>
        <v/>
      </c>
      <c r="D36" s="15">
        <f>IF(A36="","",'隊員マスタ'!D33)</f>
        <v/>
      </c>
      <c r="E36" s="15">
        <f>IF(A36="","",IF(COUNTIFS('資格研修記録'!$A$5:$A$1004,A36,'資格研修記録'!$D$5:$D$1004,"潜水士免許")&gt;0,"有","無"))</f>
        <v/>
      </c>
      <c r="F36" s="15">
        <f>IF(A36="","",IF(COUNTIFS('資格研修記録'!$A$5:$A$1004,A36,'資格研修記録'!$D$5:$D$1004,"水難救助研修")&gt;0,"修了","—"))</f>
        <v/>
      </c>
      <c r="G36" s="14">
        <f>IF(A36="","",IF((IF((COUNTIFS('資格研修記録'!$A$5:$A$1004,A36,'資格研修記録'!$D$5:$D$1004,"小型船舶1級",'資格研修記録'!$F$5:$F$1004,"")+COUNTIFS('資格研修記録'!$A$5:$A$1004,A36,'資格研修記録'!$D$5:$D$1004,"小型船舶1級",'資格研修記録'!$F$5:$F$1004,"&gt;="&amp;TODAY()))&gt;0,"1級",IF((COUNTIFS('資格研修記録'!$A$5:$A$1004,A36,'資格研修記録'!$D$5:$D$1004,"小型船舶2級",'資格研修記録'!$F$5:$F$1004,"")+COUNTIFS('資格研修記録'!$A$5:$A$1004,A36,'資格研修記録'!$D$5:$D$1004,"小型船舶2級",'資格研修記録'!$F$5:$F$1004,"&gt;="&amp;TODAY()))&gt;0,"2級",IF(COUNTIFS('資格研修記録'!$A$5:$A$1004,A36,'資格研修記録'!$D$5:$D$1004,"小型船舶1級")+COUNTIFS('資格研修記録'!$A$5:$A$1004,A36,'資格研修記録'!$D$5:$D$1004,"小型船舶2級")&gt;0,"× 1・2級 期限切れ",""))))&amp;(IF((COUNTIFS('資格研修記録'!$A$5:$A$1004,A36,'資格研修記録'!$D$5:$D$1004,"小型船舶特殊",'資格研修記録'!$F$5:$F$1004,"")+COUNTIFS('資格研修記録'!$A$5:$A$1004,A36,'資格研修記録'!$D$5:$D$1004,"小型船舶特殊",'資格研修記録'!$F$5:$F$1004,"&gt;="&amp;TODAY()))&gt;0,"特殊",IF(COUNTIFS('資格研修記録'!$A$5:$A$1004,A36,'資格研修記録'!$D$5:$D$1004,"小型船舶特殊")&gt;0,"× 特殊 期限切れ","")))="","—",_xlfn.TEXTJOIN("・",TRUE,IF((COUNTIFS('資格研修記録'!$A$5:$A$1004,A36,'資格研修記録'!$D$5:$D$1004,"小型船舶1級",'資格研修記録'!$F$5:$F$1004,"")+COUNTIFS('資格研修記録'!$A$5:$A$1004,A36,'資格研修記録'!$D$5:$D$1004,"小型船舶1級",'資格研修記録'!$F$5:$F$1004,"&gt;="&amp;TODAY()))&gt;0,"1級",IF((COUNTIFS('資格研修記録'!$A$5:$A$1004,A36,'資格研修記録'!$D$5:$D$1004,"小型船舶2級",'資格研修記録'!$F$5:$F$1004,"")+COUNTIFS('資格研修記録'!$A$5:$A$1004,A36,'資格研修記録'!$D$5:$D$1004,"小型船舶2級",'資格研修記録'!$F$5:$F$1004,"&gt;="&amp;TODAY()))&gt;0,"2級",IF(COUNTIFS('資格研修記録'!$A$5:$A$1004,A36,'資格研修記録'!$D$5:$D$1004,"小型船舶1級")+COUNTIFS('資格研修記録'!$A$5:$A$1004,A36,'資格研修記録'!$D$5:$D$1004,"小型船舶2級")&gt;0,"× 1・2級 期限切れ",""))),IF((COUNTIFS('資格研修記録'!$A$5:$A$1004,A36,'資格研修記録'!$D$5:$D$1004,"小型船舶特殊",'資格研修記録'!$F$5:$F$1004,"")+COUNTIFS('資格研修記録'!$A$5:$A$1004,A36,'資格研修記録'!$D$5:$D$1004,"小型船舶特殊",'資格研修記録'!$F$5:$F$1004,"&gt;="&amp;TODAY()))&gt;0,"特殊",IF(COUNTIFS('資格研修記録'!$A$5:$A$1004,A36,'資格研修記録'!$D$5:$D$1004,"小型船舶特殊")&gt;0,"× 特殊 期限切れ","")))))</f>
        <v/>
      </c>
      <c r="H36" s="15">
        <f>IF(A36="","",COUNTIFS('潜水記録'!$B$5:$B$3004,A36,'潜水記録'!$AF$5:$AF$3004,$D$2))</f>
        <v/>
      </c>
      <c r="I36" s="15">
        <f>IF(A36="","",COUNTIF('潜水記録'!$B$5:$B$3004,A36))</f>
        <v/>
      </c>
      <c r="J36" s="15">
        <f>IF(A36="","",SUMIF('潜水記録'!$B$5:$B$3004,A36,'潜水記録'!$H$5:$H$3004))</f>
        <v/>
      </c>
      <c r="K36" s="15">
        <f>IF(A36="","",IF(I36=0,"",_xlfn.MAXIFS('潜水記録'!$G$5:$G$3004,'潜水記録'!$B$5:$B$3004,A36)))</f>
        <v/>
      </c>
      <c r="L36" s="16">
        <f>IF(A36="","",IF(I36=0,"",_xlfn.MAXIFS('潜水記録'!$A$5:$A$3004,'潜水記録'!$B$5:$B$3004,A36)))</f>
        <v/>
      </c>
      <c r="M36" s="15">
        <f>IF(L36="","",$B$2-L36)</f>
        <v/>
      </c>
    </row>
    <row r="37">
      <c r="A37" s="14">
        <f>IF('隊員マスタ'!A34="","",'隊員マスタ'!A34)</f>
        <v/>
      </c>
      <c r="B37" s="14">
        <f>IF(A37="","",'隊員マスタ'!B34)</f>
        <v/>
      </c>
      <c r="C37" s="14">
        <f>IF(A37="","",'隊員マスタ'!C34)</f>
        <v/>
      </c>
      <c r="D37" s="15">
        <f>IF(A37="","",'隊員マスタ'!D34)</f>
        <v/>
      </c>
      <c r="E37" s="15">
        <f>IF(A37="","",IF(COUNTIFS('資格研修記録'!$A$5:$A$1004,A37,'資格研修記録'!$D$5:$D$1004,"潜水士免許")&gt;0,"有","無"))</f>
        <v/>
      </c>
      <c r="F37" s="15">
        <f>IF(A37="","",IF(COUNTIFS('資格研修記録'!$A$5:$A$1004,A37,'資格研修記録'!$D$5:$D$1004,"水難救助研修")&gt;0,"修了","—"))</f>
        <v/>
      </c>
      <c r="G37" s="14">
        <f>IF(A37="","",IF((IF((COUNTIFS('資格研修記録'!$A$5:$A$1004,A37,'資格研修記録'!$D$5:$D$1004,"小型船舶1級",'資格研修記録'!$F$5:$F$1004,"")+COUNTIFS('資格研修記録'!$A$5:$A$1004,A37,'資格研修記録'!$D$5:$D$1004,"小型船舶1級",'資格研修記録'!$F$5:$F$1004,"&gt;="&amp;TODAY()))&gt;0,"1級",IF((COUNTIFS('資格研修記録'!$A$5:$A$1004,A37,'資格研修記録'!$D$5:$D$1004,"小型船舶2級",'資格研修記録'!$F$5:$F$1004,"")+COUNTIFS('資格研修記録'!$A$5:$A$1004,A37,'資格研修記録'!$D$5:$D$1004,"小型船舶2級",'資格研修記録'!$F$5:$F$1004,"&gt;="&amp;TODAY()))&gt;0,"2級",IF(COUNTIFS('資格研修記録'!$A$5:$A$1004,A37,'資格研修記録'!$D$5:$D$1004,"小型船舶1級")+COUNTIFS('資格研修記録'!$A$5:$A$1004,A37,'資格研修記録'!$D$5:$D$1004,"小型船舶2級")&gt;0,"× 1・2級 期限切れ",""))))&amp;(IF((COUNTIFS('資格研修記録'!$A$5:$A$1004,A37,'資格研修記録'!$D$5:$D$1004,"小型船舶特殊",'資格研修記録'!$F$5:$F$1004,"")+COUNTIFS('資格研修記録'!$A$5:$A$1004,A37,'資格研修記録'!$D$5:$D$1004,"小型船舶特殊",'資格研修記録'!$F$5:$F$1004,"&gt;="&amp;TODAY()))&gt;0,"特殊",IF(COUNTIFS('資格研修記録'!$A$5:$A$1004,A37,'資格研修記録'!$D$5:$D$1004,"小型船舶特殊")&gt;0,"× 特殊 期限切れ","")))="","—",_xlfn.TEXTJOIN("・",TRUE,IF((COUNTIFS('資格研修記録'!$A$5:$A$1004,A37,'資格研修記録'!$D$5:$D$1004,"小型船舶1級",'資格研修記録'!$F$5:$F$1004,"")+COUNTIFS('資格研修記録'!$A$5:$A$1004,A37,'資格研修記録'!$D$5:$D$1004,"小型船舶1級",'資格研修記録'!$F$5:$F$1004,"&gt;="&amp;TODAY()))&gt;0,"1級",IF((COUNTIFS('資格研修記録'!$A$5:$A$1004,A37,'資格研修記録'!$D$5:$D$1004,"小型船舶2級",'資格研修記録'!$F$5:$F$1004,"")+COUNTIFS('資格研修記録'!$A$5:$A$1004,A37,'資格研修記録'!$D$5:$D$1004,"小型船舶2級",'資格研修記録'!$F$5:$F$1004,"&gt;="&amp;TODAY()))&gt;0,"2級",IF(COUNTIFS('資格研修記録'!$A$5:$A$1004,A37,'資格研修記録'!$D$5:$D$1004,"小型船舶1級")+COUNTIFS('資格研修記録'!$A$5:$A$1004,A37,'資格研修記録'!$D$5:$D$1004,"小型船舶2級")&gt;0,"× 1・2級 期限切れ",""))),IF((COUNTIFS('資格研修記録'!$A$5:$A$1004,A37,'資格研修記録'!$D$5:$D$1004,"小型船舶特殊",'資格研修記録'!$F$5:$F$1004,"")+COUNTIFS('資格研修記録'!$A$5:$A$1004,A37,'資格研修記録'!$D$5:$D$1004,"小型船舶特殊",'資格研修記録'!$F$5:$F$1004,"&gt;="&amp;TODAY()))&gt;0,"特殊",IF(COUNTIFS('資格研修記録'!$A$5:$A$1004,A37,'資格研修記録'!$D$5:$D$1004,"小型船舶特殊")&gt;0,"× 特殊 期限切れ","")))))</f>
        <v/>
      </c>
      <c r="H37" s="15">
        <f>IF(A37="","",COUNTIFS('潜水記録'!$B$5:$B$3004,A37,'潜水記録'!$AF$5:$AF$3004,$D$2))</f>
        <v/>
      </c>
      <c r="I37" s="15">
        <f>IF(A37="","",COUNTIF('潜水記録'!$B$5:$B$3004,A37))</f>
        <v/>
      </c>
      <c r="J37" s="15">
        <f>IF(A37="","",SUMIF('潜水記録'!$B$5:$B$3004,A37,'潜水記録'!$H$5:$H$3004))</f>
        <v/>
      </c>
      <c r="K37" s="15">
        <f>IF(A37="","",IF(I37=0,"",_xlfn.MAXIFS('潜水記録'!$G$5:$G$3004,'潜水記録'!$B$5:$B$3004,A37)))</f>
        <v/>
      </c>
      <c r="L37" s="16">
        <f>IF(A37="","",IF(I37=0,"",_xlfn.MAXIFS('潜水記録'!$A$5:$A$3004,'潜水記録'!$B$5:$B$3004,A37)))</f>
        <v/>
      </c>
      <c r="M37" s="15">
        <f>IF(L37="","",$B$2-L37)</f>
        <v/>
      </c>
    </row>
    <row r="38">
      <c r="A38" s="14">
        <f>IF('隊員マスタ'!A35="","",'隊員マスタ'!A35)</f>
        <v/>
      </c>
      <c r="B38" s="14">
        <f>IF(A38="","",'隊員マスタ'!B35)</f>
        <v/>
      </c>
      <c r="C38" s="14">
        <f>IF(A38="","",'隊員マスタ'!C35)</f>
        <v/>
      </c>
      <c r="D38" s="15">
        <f>IF(A38="","",'隊員マスタ'!D35)</f>
        <v/>
      </c>
      <c r="E38" s="15">
        <f>IF(A38="","",IF(COUNTIFS('資格研修記録'!$A$5:$A$1004,A38,'資格研修記録'!$D$5:$D$1004,"潜水士免許")&gt;0,"有","無"))</f>
        <v/>
      </c>
      <c r="F38" s="15">
        <f>IF(A38="","",IF(COUNTIFS('資格研修記録'!$A$5:$A$1004,A38,'資格研修記録'!$D$5:$D$1004,"水難救助研修")&gt;0,"修了","—"))</f>
        <v/>
      </c>
      <c r="G38" s="14">
        <f>IF(A38="","",IF((IF((COUNTIFS('資格研修記録'!$A$5:$A$1004,A38,'資格研修記録'!$D$5:$D$1004,"小型船舶1級",'資格研修記録'!$F$5:$F$1004,"")+COUNTIFS('資格研修記録'!$A$5:$A$1004,A38,'資格研修記録'!$D$5:$D$1004,"小型船舶1級",'資格研修記録'!$F$5:$F$1004,"&gt;="&amp;TODAY()))&gt;0,"1級",IF((COUNTIFS('資格研修記録'!$A$5:$A$1004,A38,'資格研修記録'!$D$5:$D$1004,"小型船舶2級",'資格研修記録'!$F$5:$F$1004,"")+COUNTIFS('資格研修記録'!$A$5:$A$1004,A38,'資格研修記録'!$D$5:$D$1004,"小型船舶2級",'資格研修記録'!$F$5:$F$1004,"&gt;="&amp;TODAY()))&gt;0,"2級",IF(COUNTIFS('資格研修記録'!$A$5:$A$1004,A38,'資格研修記録'!$D$5:$D$1004,"小型船舶1級")+COUNTIFS('資格研修記録'!$A$5:$A$1004,A38,'資格研修記録'!$D$5:$D$1004,"小型船舶2級")&gt;0,"× 1・2級 期限切れ",""))))&amp;(IF((COUNTIFS('資格研修記録'!$A$5:$A$1004,A38,'資格研修記録'!$D$5:$D$1004,"小型船舶特殊",'資格研修記録'!$F$5:$F$1004,"")+COUNTIFS('資格研修記録'!$A$5:$A$1004,A38,'資格研修記録'!$D$5:$D$1004,"小型船舶特殊",'資格研修記録'!$F$5:$F$1004,"&gt;="&amp;TODAY()))&gt;0,"特殊",IF(COUNTIFS('資格研修記録'!$A$5:$A$1004,A38,'資格研修記録'!$D$5:$D$1004,"小型船舶特殊")&gt;0,"× 特殊 期限切れ","")))="","—",_xlfn.TEXTJOIN("・",TRUE,IF((COUNTIFS('資格研修記録'!$A$5:$A$1004,A38,'資格研修記録'!$D$5:$D$1004,"小型船舶1級",'資格研修記録'!$F$5:$F$1004,"")+COUNTIFS('資格研修記録'!$A$5:$A$1004,A38,'資格研修記録'!$D$5:$D$1004,"小型船舶1級",'資格研修記録'!$F$5:$F$1004,"&gt;="&amp;TODAY()))&gt;0,"1級",IF((COUNTIFS('資格研修記録'!$A$5:$A$1004,A38,'資格研修記録'!$D$5:$D$1004,"小型船舶2級",'資格研修記録'!$F$5:$F$1004,"")+COUNTIFS('資格研修記録'!$A$5:$A$1004,A38,'資格研修記録'!$D$5:$D$1004,"小型船舶2級",'資格研修記録'!$F$5:$F$1004,"&gt;="&amp;TODAY()))&gt;0,"2級",IF(COUNTIFS('資格研修記録'!$A$5:$A$1004,A38,'資格研修記録'!$D$5:$D$1004,"小型船舶1級")+COUNTIFS('資格研修記録'!$A$5:$A$1004,A38,'資格研修記録'!$D$5:$D$1004,"小型船舶2級")&gt;0,"× 1・2級 期限切れ",""))),IF((COUNTIFS('資格研修記録'!$A$5:$A$1004,A38,'資格研修記録'!$D$5:$D$1004,"小型船舶特殊",'資格研修記録'!$F$5:$F$1004,"")+COUNTIFS('資格研修記録'!$A$5:$A$1004,A38,'資格研修記録'!$D$5:$D$1004,"小型船舶特殊",'資格研修記録'!$F$5:$F$1004,"&gt;="&amp;TODAY()))&gt;0,"特殊",IF(COUNTIFS('資格研修記録'!$A$5:$A$1004,A38,'資格研修記録'!$D$5:$D$1004,"小型船舶特殊")&gt;0,"× 特殊 期限切れ","")))))</f>
        <v/>
      </c>
      <c r="H38" s="15">
        <f>IF(A38="","",COUNTIFS('潜水記録'!$B$5:$B$3004,A38,'潜水記録'!$AF$5:$AF$3004,$D$2))</f>
        <v/>
      </c>
      <c r="I38" s="15">
        <f>IF(A38="","",COUNTIF('潜水記録'!$B$5:$B$3004,A38))</f>
        <v/>
      </c>
      <c r="J38" s="15">
        <f>IF(A38="","",SUMIF('潜水記録'!$B$5:$B$3004,A38,'潜水記録'!$H$5:$H$3004))</f>
        <v/>
      </c>
      <c r="K38" s="15">
        <f>IF(A38="","",IF(I38=0,"",_xlfn.MAXIFS('潜水記録'!$G$5:$G$3004,'潜水記録'!$B$5:$B$3004,A38)))</f>
        <v/>
      </c>
      <c r="L38" s="16">
        <f>IF(A38="","",IF(I38=0,"",_xlfn.MAXIFS('潜水記録'!$A$5:$A$3004,'潜水記録'!$B$5:$B$3004,A38)))</f>
        <v/>
      </c>
      <c r="M38" s="15">
        <f>IF(L38="","",$B$2-L38)</f>
        <v/>
      </c>
    </row>
    <row r="39">
      <c r="A39" s="14">
        <f>IF('隊員マスタ'!A36="","",'隊員マスタ'!A36)</f>
        <v/>
      </c>
      <c r="B39" s="14">
        <f>IF(A39="","",'隊員マスタ'!B36)</f>
        <v/>
      </c>
      <c r="C39" s="14">
        <f>IF(A39="","",'隊員マスタ'!C36)</f>
        <v/>
      </c>
      <c r="D39" s="15">
        <f>IF(A39="","",'隊員マスタ'!D36)</f>
        <v/>
      </c>
      <c r="E39" s="15">
        <f>IF(A39="","",IF(COUNTIFS('資格研修記録'!$A$5:$A$1004,A39,'資格研修記録'!$D$5:$D$1004,"潜水士免許")&gt;0,"有","無"))</f>
        <v/>
      </c>
      <c r="F39" s="15">
        <f>IF(A39="","",IF(COUNTIFS('資格研修記録'!$A$5:$A$1004,A39,'資格研修記録'!$D$5:$D$1004,"水難救助研修")&gt;0,"修了","—"))</f>
        <v/>
      </c>
      <c r="G39" s="14">
        <f>IF(A39="","",IF((IF((COUNTIFS('資格研修記録'!$A$5:$A$1004,A39,'資格研修記録'!$D$5:$D$1004,"小型船舶1級",'資格研修記録'!$F$5:$F$1004,"")+COUNTIFS('資格研修記録'!$A$5:$A$1004,A39,'資格研修記録'!$D$5:$D$1004,"小型船舶1級",'資格研修記録'!$F$5:$F$1004,"&gt;="&amp;TODAY()))&gt;0,"1級",IF((COUNTIFS('資格研修記録'!$A$5:$A$1004,A39,'資格研修記録'!$D$5:$D$1004,"小型船舶2級",'資格研修記録'!$F$5:$F$1004,"")+COUNTIFS('資格研修記録'!$A$5:$A$1004,A39,'資格研修記録'!$D$5:$D$1004,"小型船舶2級",'資格研修記録'!$F$5:$F$1004,"&gt;="&amp;TODAY()))&gt;0,"2級",IF(COUNTIFS('資格研修記録'!$A$5:$A$1004,A39,'資格研修記録'!$D$5:$D$1004,"小型船舶1級")+COUNTIFS('資格研修記録'!$A$5:$A$1004,A39,'資格研修記録'!$D$5:$D$1004,"小型船舶2級")&gt;0,"× 1・2級 期限切れ",""))))&amp;(IF((COUNTIFS('資格研修記録'!$A$5:$A$1004,A39,'資格研修記録'!$D$5:$D$1004,"小型船舶特殊",'資格研修記録'!$F$5:$F$1004,"")+COUNTIFS('資格研修記録'!$A$5:$A$1004,A39,'資格研修記録'!$D$5:$D$1004,"小型船舶特殊",'資格研修記録'!$F$5:$F$1004,"&gt;="&amp;TODAY()))&gt;0,"特殊",IF(COUNTIFS('資格研修記録'!$A$5:$A$1004,A39,'資格研修記録'!$D$5:$D$1004,"小型船舶特殊")&gt;0,"× 特殊 期限切れ","")))="","—",_xlfn.TEXTJOIN("・",TRUE,IF((COUNTIFS('資格研修記録'!$A$5:$A$1004,A39,'資格研修記録'!$D$5:$D$1004,"小型船舶1級",'資格研修記録'!$F$5:$F$1004,"")+COUNTIFS('資格研修記録'!$A$5:$A$1004,A39,'資格研修記録'!$D$5:$D$1004,"小型船舶1級",'資格研修記録'!$F$5:$F$1004,"&gt;="&amp;TODAY()))&gt;0,"1級",IF((COUNTIFS('資格研修記録'!$A$5:$A$1004,A39,'資格研修記録'!$D$5:$D$1004,"小型船舶2級",'資格研修記録'!$F$5:$F$1004,"")+COUNTIFS('資格研修記録'!$A$5:$A$1004,A39,'資格研修記録'!$D$5:$D$1004,"小型船舶2級",'資格研修記録'!$F$5:$F$1004,"&gt;="&amp;TODAY()))&gt;0,"2級",IF(COUNTIFS('資格研修記録'!$A$5:$A$1004,A39,'資格研修記録'!$D$5:$D$1004,"小型船舶1級")+COUNTIFS('資格研修記録'!$A$5:$A$1004,A39,'資格研修記録'!$D$5:$D$1004,"小型船舶2級")&gt;0,"× 1・2級 期限切れ",""))),IF((COUNTIFS('資格研修記録'!$A$5:$A$1004,A39,'資格研修記録'!$D$5:$D$1004,"小型船舶特殊",'資格研修記録'!$F$5:$F$1004,"")+COUNTIFS('資格研修記録'!$A$5:$A$1004,A39,'資格研修記録'!$D$5:$D$1004,"小型船舶特殊",'資格研修記録'!$F$5:$F$1004,"&gt;="&amp;TODAY()))&gt;0,"特殊",IF(COUNTIFS('資格研修記録'!$A$5:$A$1004,A39,'資格研修記録'!$D$5:$D$1004,"小型船舶特殊")&gt;0,"× 特殊 期限切れ","")))))</f>
        <v/>
      </c>
      <c r="H39" s="15">
        <f>IF(A39="","",COUNTIFS('潜水記録'!$B$5:$B$3004,A39,'潜水記録'!$AF$5:$AF$3004,$D$2))</f>
        <v/>
      </c>
      <c r="I39" s="15">
        <f>IF(A39="","",COUNTIF('潜水記録'!$B$5:$B$3004,A39))</f>
        <v/>
      </c>
      <c r="J39" s="15">
        <f>IF(A39="","",SUMIF('潜水記録'!$B$5:$B$3004,A39,'潜水記録'!$H$5:$H$3004))</f>
        <v/>
      </c>
      <c r="K39" s="15">
        <f>IF(A39="","",IF(I39=0,"",_xlfn.MAXIFS('潜水記録'!$G$5:$G$3004,'潜水記録'!$B$5:$B$3004,A39)))</f>
        <v/>
      </c>
      <c r="L39" s="16">
        <f>IF(A39="","",IF(I39=0,"",_xlfn.MAXIFS('潜水記録'!$A$5:$A$3004,'潜水記録'!$B$5:$B$3004,A39)))</f>
        <v/>
      </c>
      <c r="M39" s="15">
        <f>IF(L39="","",$B$2-L39)</f>
        <v/>
      </c>
    </row>
    <row r="40">
      <c r="A40" s="14">
        <f>IF('隊員マスタ'!A37="","",'隊員マスタ'!A37)</f>
        <v/>
      </c>
      <c r="B40" s="14">
        <f>IF(A40="","",'隊員マスタ'!B37)</f>
        <v/>
      </c>
      <c r="C40" s="14">
        <f>IF(A40="","",'隊員マスタ'!C37)</f>
        <v/>
      </c>
      <c r="D40" s="15">
        <f>IF(A40="","",'隊員マスタ'!D37)</f>
        <v/>
      </c>
      <c r="E40" s="15">
        <f>IF(A40="","",IF(COUNTIFS('資格研修記録'!$A$5:$A$1004,A40,'資格研修記録'!$D$5:$D$1004,"潜水士免許")&gt;0,"有","無"))</f>
        <v/>
      </c>
      <c r="F40" s="15">
        <f>IF(A40="","",IF(COUNTIFS('資格研修記録'!$A$5:$A$1004,A40,'資格研修記録'!$D$5:$D$1004,"水難救助研修")&gt;0,"修了","—"))</f>
        <v/>
      </c>
      <c r="G40" s="14">
        <f>IF(A40="","",IF((IF((COUNTIFS('資格研修記録'!$A$5:$A$1004,A40,'資格研修記録'!$D$5:$D$1004,"小型船舶1級",'資格研修記録'!$F$5:$F$1004,"")+COUNTIFS('資格研修記録'!$A$5:$A$1004,A40,'資格研修記録'!$D$5:$D$1004,"小型船舶1級",'資格研修記録'!$F$5:$F$1004,"&gt;="&amp;TODAY()))&gt;0,"1級",IF((COUNTIFS('資格研修記録'!$A$5:$A$1004,A40,'資格研修記録'!$D$5:$D$1004,"小型船舶2級",'資格研修記録'!$F$5:$F$1004,"")+COUNTIFS('資格研修記録'!$A$5:$A$1004,A40,'資格研修記録'!$D$5:$D$1004,"小型船舶2級",'資格研修記録'!$F$5:$F$1004,"&gt;="&amp;TODAY()))&gt;0,"2級",IF(COUNTIFS('資格研修記録'!$A$5:$A$1004,A40,'資格研修記録'!$D$5:$D$1004,"小型船舶1級")+COUNTIFS('資格研修記録'!$A$5:$A$1004,A40,'資格研修記録'!$D$5:$D$1004,"小型船舶2級")&gt;0,"× 1・2級 期限切れ",""))))&amp;(IF((COUNTIFS('資格研修記録'!$A$5:$A$1004,A40,'資格研修記録'!$D$5:$D$1004,"小型船舶特殊",'資格研修記録'!$F$5:$F$1004,"")+COUNTIFS('資格研修記録'!$A$5:$A$1004,A40,'資格研修記録'!$D$5:$D$1004,"小型船舶特殊",'資格研修記録'!$F$5:$F$1004,"&gt;="&amp;TODAY()))&gt;0,"特殊",IF(COUNTIFS('資格研修記録'!$A$5:$A$1004,A40,'資格研修記録'!$D$5:$D$1004,"小型船舶特殊")&gt;0,"× 特殊 期限切れ","")))="","—",_xlfn.TEXTJOIN("・",TRUE,IF((COUNTIFS('資格研修記録'!$A$5:$A$1004,A40,'資格研修記録'!$D$5:$D$1004,"小型船舶1級",'資格研修記録'!$F$5:$F$1004,"")+COUNTIFS('資格研修記録'!$A$5:$A$1004,A40,'資格研修記録'!$D$5:$D$1004,"小型船舶1級",'資格研修記録'!$F$5:$F$1004,"&gt;="&amp;TODAY()))&gt;0,"1級",IF((COUNTIFS('資格研修記録'!$A$5:$A$1004,A40,'資格研修記録'!$D$5:$D$1004,"小型船舶2級",'資格研修記録'!$F$5:$F$1004,"")+COUNTIFS('資格研修記録'!$A$5:$A$1004,A40,'資格研修記録'!$D$5:$D$1004,"小型船舶2級",'資格研修記録'!$F$5:$F$1004,"&gt;="&amp;TODAY()))&gt;0,"2級",IF(COUNTIFS('資格研修記録'!$A$5:$A$1004,A40,'資格研修記録'!$D$5:$D$1004,"小型船舶1級")+COUNTIFS('資格研修記録'!$A$5:$A$1004,A40,'資格研修記録'!$D$5:$D$1004,"小型船舶2級")&gt;0,"× 1・2級 期限切れ",""))),IF((COUNTIFS('資格研修記録'!$A$5:$A$1004,A40,'資格研修記録'!$D$5:$D$1004,"小型船舶特殊",'資格研修記録'!$F$5:$F$1004,"")+COUNTIFS('資格研修記録'!$A$5:$A$1004,A40,'資格研修記録'!$D$5:$D$1004,"小型船舶特殊",'資格研修記録'!$F$5:$F$1004,"&gt;="&amp;TODAY()))&gt;0,"特殊",IF(COUNTIFS('資格研修記録'!$A$5:$A$1004,A40,'資格研修記録'!$D$5:$D$1004,"小型船舶特殊")&gt;0,"× 特殊 期限切れ","")))))</f>
        <v/>
      </c>
      <c r="H40" s="15">
        <f>IF(A40="","",COUNTIFS('潜水記録'!$B$5:$B$3004,A40,'潜水記録'!$AF$5:$AF$3004,$D$2))</f>
        <v/>
      </c>
      <c r="I40" s="15">
        <f>IF(A40="","",COUNTIF('潜水記録'!$B$5:$B$3004,A40))</f>
        <v/>
      </c>
      <c r="J40" s="15">
        <f>IF(A40="","",SUMIF('潜水記録'!$B$5:$B$3004,A40,'潜水記録'!$H$5:$H$3004))</f>
        <v/>
      </c>
      <c r="K40" s="15">
        <f>IF(A40="","",IF(I40=0,"",_xlfn.MAXIFS('潜水記録'!$G$5:$G$3004,'潜水記録'!$B$5:$B$3004,A40)))</f>
        <v/>
      </c>
      <c r="L40" s="16">
        <f>IF(A40="","",IF(I40=0,"",_xlfn.MAXIFS('潜水記録'!$A$5:$A$3004,'潜水記録'!$B$5:$B$3004,A40)))</f>
        <v/>
      </c>
      <c r="M40" s="15">
        <f>IF(L40="","",$B$2-L40)</f>
        <v/>
      </c>
    </row>
    <row r="41">
      <c r="A41" s="14">
        <f>IF('隊員マスタ'!A38="","",'隊員マスタ'!A38)</f>
        <v/>
      </c>
      <c r="B41" s="14">
        <f>IF(A41="","",'隊員マスタ'!B38)</f>
        <v/>
      </c>
      <c r="C41" s="14">
        <f>IF(A41="","",'隊員マスタ'!C38)</f>
        <v/>
      </c>
      <c r="D41" s="15">
        <f>IF(A41="","",'隊員マスタ'!D38)</f>
        <v/>
      </c>
      <c r="E41" s="15">
        <f>IF(A41="","",IF(COUNTIFS('資格研修記録'!$A$5:$A$1004,A41,'資格研修記録'!$D$5:$D$1004,"潜水士免許")&gt;0,"有","無"))</f>
        <v/>
      </c>
      <c r="F41" s="15">
        <f>IF(A41="","",IF(COUNTIFS('資格研修記録'!$A$5:$A$1004,A41,'資格研修記録'!$D$5:$D$1004,"水難救助研修")&gt;0,"修了","—"))</f>
        <v/>
      </c>
      <c r="G41" s="14">
        <f>IF(A41="","",IF((IF((COUNTIFS('資格研修記録'!$A$5:$A$1004,A41,'資格研修記録'!$D$5:$D$1004,"小型船舶1級",'資格研修記録'!$F$5:$F$1004,"")+COUNTIFS('資格研修記録'!$A$5:$A$1004,A41,'資格研修記録'!$D$5:$D$1004,"小型船舶1級",'資格研修記録'!$F$5:$F$1004,"&gt;="&amp;TODAY()))&gt;0,"1級",IF((COUNTIFS('資格研修記録'!$A$5:$A$1004,A41,'資格研修記録'!$D$5:$D$1004,"小型船舶2級",'資格研修記録'!$F$5:$F$1004,"")+COUNTIFS('資格研修記録'!$A$5:$A$1004,A41,'資格研修記録'!$D$5:$D$1004,"小型船舶2級",'資格研修記録'!$F$5:$F$1004,"&gt;="&amp;TODAY()))&gt;0,"2級",IF(COUNTIFS('資格研修記録'!$A$5:$A$1004,A41,'資格研修記録'!$D$5:$D$1004,"小型船舶1級")+COUNTIFS('資格研修記録'!$A$5:$A$1004,A41,'資格研修記録'!$D$5:$D$1004,"小型船舶2級")&gt;0,"× 1・2級 期限切れ",""))))&amp;(IF((COUNTIFS('資格研修記録'!$A$5:$A$1004,A41,'資格研修記録'!$D$5:$D$1004,"小型船舶特殊",'資格研修記録'!$F$5:$F$1004,"")+COUNTIFS('資格研修記録'!$A$5:$A$1004,A41,'資格研修記録'!$D$5:$D$1004,"小型船舶特殊",'資格研修記録'!$F$5:$F$1004,"&gt;="&amp;TODAY()))&gt;0,"特殊",IF(COUNTIFS('資格研修記録'!$A$5:$A$1004,A41,'資格研修記録'!$D$5:$D$1004,"小型船舶特殊")&gt;0,"× 特殊 期限切れ","")))="","—",_xlfn.TEXTJOIN("・",TRUE,IF((COUNTIFS('資格研修記録'!$A$5:$A$1004,A41,'資格研修記録'!$D$5:$D$1004,"小型船舶1級",'資格研修記録'!$F$5:$F$1004,"")+COUNTIFS('資格研修記録'!$A$5:$A$1004,A41,'資格研修記録'!$D$5:$D$1004,"小型船舶1級",'資格研修記録'!$F$5:$F$1004,"&gt;="&amp;TODAY()))&gt;0,"1級",IF((COUNTIFS('資格研修記録'!$A$5:$A$1004,A41,'資格研修記録'!$D$5:$D$1004,"小型船舶2級",'資格研修記録'!$F$5:$F$1004,"")+COUNTIFS('資格研修記録'!$A$5:$A$1004,A41,'資格研修記録'!$D$5:$D$1004,"小型船舶2級",'資格研修記録'!$F$5:$F$1004,"&gt;="&amp;TODAY()))&gt;0,"2級",IF(COUNTIFS('資格研修記録'!$A$5:$A$1004,A41,'資格研修記録'!$D$5:$D$1004,"小型船舶1級")+COUNTIFS('資格研修記録'!$A$5:$A$1004,A41,'資格研修記録'!$D$5:$D$1004,"小型船舶2級")&gt;0,"× 1・2級 期限切れ",""))),IF((COUNTIFS('資格研修記録'!$A$5:$A$1004,A41,'資格研修記録'!$D$5:$D$1004,"小型船舶特殊",'資格研修記録'!$F$5:$F$1004,"")+COUNTIFS('資格研修記録'!$A$5:$A$1004,A41,'資格研修記録'!$D$5:$D$1004,"小型船舶特殊",'資格研修記録'!$F$5:$F$1004,"&gt;="&amp;TODAY()))&gt;0,"特殊",IF(COUNTIFS('資格研修記録'!$A$5:$A$1004,A41,'資格研修記録'!$D$5:$D$1004,"小型船舶特殊")&gt;0,"× 特殊 期限切れ","")))))</f>
        <v/>
      </c>
      <c r="H41" s="15">
        <f>IF(A41="","",COUNTIFS('潜水記録'!$B$5:$B$3004,A41,'潜水記録'!$AF$5:$AF$3004,$D$2))</f>
        <v/>
      </c>
      <c r="I41" s="15">
        <f>IF(A41="","",COUNTIF('潜水記録'!$B$5:$B$3004,A41))</f>
        <v/>
      </c>
      <c r="J41" s="15">
        <f>IF(A41="","",SUMIF('潜水記録'!$B$5:$B$3004,A41,'潜水記録'!$H$5:$H$3004))</f>
        <v/>
      </c>
      <c r="K41" s="15">
        <f>IF(A41="","",IF(I41=0,"",_xlfn.MAXIFS('潜水記録'!$G$5:$G$3004,'潜水記録'!$B$5:$B$3004,A41)))</f>
        <v/>
      </c>
      <c r="L41" s="16">
        <f>IF(A41="","",IF(I41=0,"",_xlfn.MAXIFS('潜水記録'!$A$5:$A$3004,'潜水記録'!$B$5:$B$3004,A41)))</f>
        <v/>
      </c>
      <c r="M41" s="15">
        <f>IF(L41="","",$B$2-L41)</f>
        <v/>
      </c>
    </row>
    <row r="42">
      <c r="A42" s="14">
        <f>IF('隊員マスタ'!A39="","",'隊員マスタ'!A39)</f>
        <v/>
      </c>
      <c r="B42" s="14">
        <f>IF(A42="","",'隊員マスタ'!B39)</f>
        <v/>
      </c>
      <c r="C42" s="14">
        <f>IF(A42="","",'隊員マスタ'!C39)</f>
        <v/>
      </c>
      <c r="D42" s="15">
        <f>IF(A42="","",'隊員マスタ'!D39)</f>
        <v/>
      </c>
      <c r="E42" s="15">
        <f>IF(A42="","",IF(COUNTIFS('資格研修記録'!$A$5:$A$1004,A42,'資格研修記録'!$D$5:$D$1004,"潜水士免許")&gt;0,"有","無"))</f>
        <v/>
      </c>
      <c r="F42" s="15">
        <f>IF(A42="","",IF(COUNTIFS('資格研修記録'!$A$5:$A$1004,A42,'資格研修記録'!$D$5:$D$1004,"水難救助研修")&gt;0,"修了","—"))</f>
        <v/>
      </c>
      <c r="G42" s="14">
        <f>IF(A42="","",IF((IF((COUNTIFS('資格研修記録'!$A$5:$A$1004,A42,'資格研修記録'!$D$5:$D$1004,"小型船舶1級",'資格研修記録'!$F$5:$F$1004,"")+COUNTIFS('資格研修記録'!$A$5:$A$1004,A42,'資格研修記録'!$D$5:$D$1004,"小型船舶1級",'資格研修記録'!$F$5:$F$1004,"&gt;="&amp;TODAY()))&gt;0,"1級",IF((COUNTIFS('資格研修記録'!$A$5:$A$1004,A42,'資格研修記録'!$D$5:$D$1004,"小型船舶2級",'資格研修記録'!$F$5:$F$1004,"")+COUNTIFS('資格研修記録'!$A$5:$A$1004,A42,'資格研修記録'!$D$5:$D$1004,"小型船舶2級",'資格研修記録'!$F$5:$F$1004,"&gt;="&amp;TODAY()))&gt;0,"2級",IF(COUNTIFS('資格研修記録'!$A$5:$A$1004,A42,'資格研修記録'!$D$5:$D$1004,"小型船舶1級")+COUNTIFS('資格研修記録'!$A$5:$A$1004,A42,'資格研修記録'!$D$5:$D$1004,"小型船舶2級")&gt;0,"× 1・2級 期限切れ",""))))&amp;(IF((COUNTIFS('資格研修記録'!$A$5:$A$1004,A42,'資格研修記録'!$D$5:$D$1004,"小型船舶特殊",'資格研修記録'!$F$5:$F$1004,"")+COUNTIFS('資格研修記録'!$A$5:$A$1004,A42,'資格研修記録'!$D$5:$D$1004,"小型船舶特殊",'資格研修記録'!$F$5:$F$1004,"&gt;="&amp;TODAY()))&gt;0,"特殊",IF(COUNTIFS('資格研修記録'!$A$5:$A$1004,A42,'資格研修記録'!$D$5:$D$1004,"小型船舶特殊")&gt;0,"× 特殊 期限切れ","")))="","—",_xlfn.TEXTJOIN("・",TRUE,IF((COUNTIFS('資格研修記録'!$A$5:$A$1004,A42,'資格研修記録'!$D$5:$D$1004,"小型船舶1級",'資格研修記録'!$F$5:$F$1004,"")+COUNTIFS('資格研修記録'!$A$5:$A$1004,A42,'資格研修記録'!$D$5:$D$1004,"小型船舶1級",'資格研修記録'!$F$5:$F$1004,"&gt;="&amp;TODAY()))&gt;0,"1級",IF((COUNTIFS('資格研修記録'!$A$5:$A$1004,A42,'資格研修記録'!$D$5:$D$1004,"小型船舶2級",'資格研修記録'!$F$5:$F$1004,"")+COUNTIFS('資格研修記録'!$A$5:$A$1004,A42,'資格研修記録'!$D$5:$D$1004,"小型船舶2級",'資格研修記録'!$F$5:$F$1004,"&gt;="&amp;TODAY()))&gt;0,"2級",IF(COUNTIFS('資格研修記録'!$A$5:$A$1004,A42,'資格研修記録'!$D$5:$D$1004,"小型船舶1級")+COUNTIFS('資格研修記録'!$A$5:$A$1004,A42,'資格研修記録'!$D$5:$D$1004,"小型船舶2級")&gt;0,"× 1・2級 期限切れ",""))),IF((COUNTIFS('資格研修記録'!$A$5:$A$1004,A42,'資格研修記録'!$D$5:$D$1004,"小型船舶特殊",'資格研修記録'!$F$5:$F$1004,"")+COUNTIFS('資格研修記録'!$A$5:$A$1004,A42,'資格研修記録'!$D$5:$D$1004,"小型船舶特殊",'資格研修記録'!$F$5:$F$1004,"&gt;="&amp;TODAY()))&gt;0,"特殊",IF(COUNTIFS('資格研修記録'!$A$5:$A$1004,A42,'資格研修記録'!$D$5:$D$1004,"小型船舶特殊")&gt;0,"× 特殊 期限切れ","")))))</f>
        <v/>
      </c>
      <c r="H42" s="15">
        <f>IF(A42="","",COUNTIFS('潜水記録'!$B$5:$B$3004,A42,'潜水記録'!$AF$5:$AF$3004,$D$2))</f>
        <v/>
      </c>
      <c r="I42" s="15">
        <f>IF(A42="","",COUNTIF('潜水記録'!$B$5:$B$3004,A42))</f>
        <v/>
      </c>
      <c r="J42" s="15">
        <f>IF(A42="","",SUMIF('潜水記録'!$B$5:$B$3004,A42,'潜水記録'!$H$5:$H$3004))</f>
        <v/>
      </c>
      <c r="K42" s="15">
        <f>IF(A42="","",IF(I42=0,"",_xlfn.MAXIFS('潜水記録'!$G$5:$G$3004,'潜水記録'!$B$5:$B$3004,A42)))</f>
        <v/>
      </c>
      <c r="L42" s="16">
        <f>IF(A42="","",IF(I42=0,"",_xlfn.MAXIFS('潜水記録'!$A$5:$A$3004,'潜水記録'!$B$5:$B$3004,A42)))</f>
        <v/>
      </c>
      <c r="M42" s="15">
        <f>IF(L42="","",$B$2-L42)</f>
        <v/>
      </c>
    </row>
    <row r="43">
      <c r="A43" s="14">
        <f>IF('隊員マスタ'!A40="","",'隊員マスタ'!A40)</f>
        <v/>
      </c>
      <c r="B43" s="14">
        <f>IF(A43="","",'隊員マスタ'!B40)</f>
        <v/>
      </c>
      <c r="C43" s="14">
        <f>IF(A43="","",'隊員マスタ'!C40)</f>
        <v/>
      </c>
      <c r="D43" s="15">
        <f>IF(A43="","",'隊員マスタ'!D40)</f>
        <v/>
      </c>
      <c r="E43" s="15">
        <f>IF(A43="","",IF(COUNTIFS('資格研修記録'!$A$5:$A$1004,A43,'資格研修記録'!$D$5:$D$1004,"潜水士免許")&gt;0,"有","無"))</f>
        <v/>
      </c>
      <c r="F43" s="15">
        <f>IF(A43="","",IF(COUNTIFS('資格研修記録'!$A$5:$A$1004,A43,'資格研修記録'!$D$5:$D$1004,"水難救助研修")&gt;0,"修了","—"))</f>
        <v/>
      </c>
      <c r="G43" s="14">
        <f>IF(A43="","",IF((IF((COUNTIFS('資格研修記録'!$A$5:$A$1004,A43,'資格研修記録'!$D$5:$D$1004,"小型船舶1級",'資格研修記録'!$F$5:$F$1004,"")+COUNTIFS('資格研修記録'!$A$5:$A$1004,A43,'資格研修記録'!$D$5:$D$1004,"小型船舶1級",'資格研修記録'!$F$5:$F$1004,"&gt;="&amp;TODAY()))&gt;0,"1級",IF((COUNTIFS('資格研修記録'!$A$5:$A$1004,A43,'資格研修記録'!$D$5:$D$1004,"小型船舶2級",'資格研修記録'!$F$5:$F$1004,"")+COUNTIFS('資格研修記録'!$A$5:$A$1004,A43,'資格研修記録'!$D$5:$D$1004,"小型船舶2級",'資格研修記録'!$F$5:$F$1004,"&gt;="&amp;TODAY()))&gt;0,"2級",IF(COUNTIFS('資格研修記録'!$A$5:$A$1004,A43,'資格研修記録'!$D$5:$D$1004,"小型船舶1級")+COUNTIFS('資格研修記録'!$A$5:$A$1004,A43,'資格研修記録'!$D$5:$D$1004,"小型船舶2級")&gt;0,"× 1・2級 期限切れ",""))))&amp;(IF((COUNTIFS('資格研修記録'!$A$5:$A$1004,A43,'資格研修記録'!$D$5:$D$1004,"小型船舶特殊",'資格研修記録'!$F$5:$F$1004,"")+COUNTIFS('資格研修記録'!$A$5:$A$1004,A43,'資格研修記録'!$D$5:$D$1004,"小型船舶特殊",'資格研修記録'!$F$5:$F$1004,"&gt;="&amp;TODAY()))&gt;0,"特殊",IF(COUNTIFS('資格研修記録'!$A$5:$A$1004,A43,'資格研修記録'!$D$5:$D$1004,"小型船舶特殊")&gt;0,"× 特殊 期限切れ","")))="","—",_xlfn.TEXTJOIN("・",TRUE,IF((COUNTIFS('資格研修記録'!$A$5:$A$1004,A43,'資格研修記録'!$D$5:$D$1004,"小型船舶1級",'資格研修記録'!$F$5:$F$1004,"")+COUNTIFS('資格研修記録'!$A$5:$A$1004,A43,'資格研修記録'!$D$5:$D$1004,"小型船舶1級",'資格研修記録'!$F$5:$F$1004,"&gt;="&amp;TODAY()))&gt;0,"1級",IF((COUNTIFS('資格研修記録'!$A$5:$A$1004,A43,'資格研修記録'!$D$5:$D$1004,"小型船舶2級",'資格研修記録'!$F$5:$F$1004,"")+COUNTIFS('資格研修記録'!$A$5:$A$1004,A43,'資格研修記録'!$D$5:$D$1004,"小型船舶2級",'資格研修記録'!$F$5:$F$1004,"&gt;="&amp;TODAY()))&gt;0,"2級",IF(COUNTIFS('資格研修記録'!$A$5:$A$1004,A43,'資格研修記録'!$D$5:$D$1004,"小型船舶1級")+COUNTIFS('資格研修記録'!$A$5:$A$1004,A43,'資格研修記録'!$D$5:$D$1004,"小型船舶2級")&gt;0,"× 1・2級 期限切れ",""))),IF((COUNTIFS('資格研修記録'!$A$5:$A$1004,A43,'資格研修記録'!$D$5:$D$1004,"小型船舶特殊",'資格研修記録'!$F$5:$F$1004,"")+COUNTIFS('資格研修記録'!$A$5:$A$1004,A43,'資格研修記録'!$D$5:$D$1004,"小型船舶特殊",'資格研修記録'!$F$5:$F$1004,"&gt;="&amp;TODAY()))&gt;0,"特殊",IF(COUNTIFS('資格研修記録'!$A$5:$A$1004,A43,'資格研修記録'!$D$5:$D$1004,"小型船舶特殊")&gt;0,"× 特殊 期限切れ","")))))</f>
        <v/>
      </c>
      <c r="H43" s="15">
        <f>IF(A43="","",COUNTIFS('潜水記録'!$B$5:$B$3004,A43,'潜水記録'!$AF$5:$AF$3004,$D$2))</f>
        <v/>
      </c>
      <c r="I43" s="15">
        <f>IF(A43="","",COUNTIF('潜水記録'!$B$5:$B$3004,A43))</f>
        <v/>
      </c>
      <c r="J43" s="15">
        <f>IF(A43="","",SUMIF('潜水記録'!$B$5:$B$3004,A43,'潜水記録'!$H$5:$H$3004))</f>
        <v/>
      </c>
      <c r="K43" s="15">
        <f>IF(A43="","",IF(I43=0,"",_xlfn.MAXIFS('潜水記録'!$G$5:$G$3004,'潜水記録'!$B$5:$B$3004,A43)))</f>
        <v/>
      </c>
      <c r="L43" s="16">
        <f>IF(A43="","",IF(I43=0,"",_xlfn.MAXIFS('潜水記録'!$A$5:$A$3004,'潜水記録'!$B$5:$B$3004,A43)))</f>
        <v/>
      </c>
      <c r="M43" s="15">
        <f>IF(L43="","",$B$2-L43)</f>
        <v/>
      </c>
    </row>
    <row r="44">
      <c r="A44" s="14">
        <f>IF('隊員マスタ'!A41="","",'隊員マスタ'!A41)</f>
        <v/>
      </c>
      <c r="B44" s="14">
        <f>IF(A44="","",'隊員マスタ'!B41)</f>
        <v/>
      </c>
      <c r="C44" s="14">
        <f>IF(A44="","",'隊員マスタ'!C41)</f>
        <v/>
      </c>
      <c r="D44" s="15">
        <f>IF(A44="","",'隊員マスタ'!D41)</f>
        <v/>
      </c>
      <c r="E44" s="15">
        <f>IF(A44="","",IF(COUNTIFS('資格研修記録'!$A$5:$A$1004,A44,'資格研修記録'!$D$5:$D$1004,"潜水士免許")&gt;0,"有","無"))</f>
        <v/>
      </c>
      <c r="F44" s="15">
        <f>IF(A44="","",IF(COUNTIFS('資格研修記録'!$A$5:$A$1004,A44,'資格研修記録'!$D$5:$D$1004,"水難救助研修")&gt;0,"修了","—"))</f>
        <v/>
      </c>
      <c r="G44" s="14">
        <f>IF(A44="","",IF((IF((COUNTIFS('資格研修記録'!$A$5:$A$1004,A44,'資格研修記録'!$D$5:$D$1004,"小型船舶1級",'資格研修記録'!$F$5:$F$1004,"")+COUNTIFS('資格研修記録'!$A$5:$A$1004,A44,'資格研修記録'!$D$5:$D$1004,"小型船舶1級",'資格研修記録'!$F$5:$F$1004,"&gt;="&amp;TODAY()))&gt;0,"1級",IF((COUNTIFS('資格研修記録'!$A$5:$A$1004,A44,'資格研修記録'!$D$5:$D$1004,"小型船舶2級",'資格研修記録'!$F$5:$F$1004,"")+COUNTIFS('資格研修記録'!$A$5:$A$1004,A44,'資格研修記録'!$D$5:$D$1004,"小型船舶2級",'資格研修記録'!$F$5:$F$1004,"&gt;="&amp;TODAY()))&gt;0,"2級",IF(COUNTIFS('資格研修記録'!$A$5:$A$1004,A44,'資格研修記録'!$D$5:$D$1004,"小型船舶1級")+COUNTIFS('資格研修記録'!$A$5:$A$1004,A44,'資格研修記録'!$D$5:$D$1004,"小型船舶2級")&gt;0,"× 1・2級 期限切れ",""))))&amp;(IF((COUNTIFS('資格研修記録'!$A$5:$A$1004,A44,'資格研修記録'!$D$5:$D$1004,"小型船舶特殊",'資格研修記録'!$F$5:$F$1004,"")+COUNTIFS('資格研修記録'!$A$5:$A$1004,A44,'資格研修記録'!$D$5:$D$1004,"小型船舶特殊",'資格研修記録'!$F$5:$F$1004,"&gt;="&amp;TODAY()))&gt;0,"特殊",IF(COUNTIFS('資格研修記録'!$A$5:$A$1004,A44,'資格研修記録'!$D$5:$D$1004,"小型船舶特殊")&gt;0,"× 特殊 期限切れ","")))="","—",_xlfn.TEXTJOIN("・",TRUE,IF((COUNTIFS('資格研修記録'!$A$5:$A$1004,A44,'資格研修記録'!$D$5:$D$1004,"小型船舶1級",'資格研修記録'!$F$5:$F$1004,"")+COUNTIFS('資格研修記録'!$A$5:$A$1004,A44,'資格研修記録'!$D$5:$D$1004,"小型船舶1級",'資格研修記録'!$F$5:$F$1004,"&gt;="&amp;TODAY()))&gt;0,"1級",IF((COUNTIFS('資格研修記録'!$A$5:$A$1004,A44,'資格研修記録'!$D$5:$D$1004,"小型船舶2級",'資格研修記録'!$F$5:$F$1004,"")+COUNTIFS('資格研修記録'!$A$5:$A$1004,A44,'資格研修記録'!$D$5:$D$1004,"小型船舶2級",'資格研修記録'!$F$5:$F$1004,"&gt;="&amp;TODAY()))&gt;0,"2級",IF(COUNTIFS('資格研修記録'!$A$5:$A$1004,A44,'資格研修記録'!$D$5:$D$1004,"小型船舶1級")+COUNTIFS('資格研修記録'!$A$5:$A$1004,A44,'資格研修記録'!$D$5:$D$1004,"小型船舶2級")&gt;0,"× 1・2級 期限切れ",""))),IF((COUNTIFS('資格研修記録'!$A$5:$A$1004,A44,'資格研修記録'!$D$5:$D$1004,"小型船舶特殊",'資格研修記録'!$F$5:$F$1004,"")+COUNTIFS('資格研修記録'!$A$5:$A$1004,A44,'資格研修記録'!$D$5:$D$1004,"小型船舶特殊",'資格研修記録'!$F$5:$F$1004,"&gt;="&amp;TODAY()))&gt;0,"特殊",IF(COUNTIFS('資格研修記録'!$A$5:$A$1004,A44,'資格研修記録'!$D$5:$D$1004,"小型船舶特殊")&gt;0,"× 特殊 期限切れ","")))))</f>
        <v/>
      </c>
      <c r="H44" s="15">
        <f>IF(A44="","",COUNTIFS('潜水記録'!$B$5:$B$3004,A44,'潜水記録'!$AF$5:$AF$3004,$D$2))</f>
        <v/>
      </c>
      <c r="I44" s="15">
        <f>IF(A44="","",COUNTIF('潜水記録'!$B$5:$B$3004,A44))</f>
        <v/>
      </c>
      <c r="J44" s="15">
        <f>IF(A44="","",SUMIF('潜水記録'!$B$5:$B$3004,A44,'潜水記録'!$H$5:$H$3004))</f>
        <v/>
      </c>
      <c r="K44" s="15">
        <f>IF(A44="","",IF(I44=0,"",_xlfn.MAXIFS('潜水記録'!$G$5:$G$3004,'潜水記録'!$B$5:$B$3004,A44)))</f>
        <v/>
      </c>
      <c r="L44" s="16">
        <f>IF(A44="","",IF(I44=0,"",_xlfn.MAXIFS('潜水記録'!$A$5:$A$3004,'潜水記録'!$B$5:$B$3004,A44)))</f>
        <v/>
      </c>
      <c r="M44" s="15">
        <f>IF(L44="","",$B$2-L44)</f>
        <v/>
      </c>
    </row>
    <row r="45">
      <c r="A45" s="14">
        <f>IF('隊員マスタ'!A42="","",'隊員マスタ'!A42)</f>
        <v/>
      </c>
      <c r="B45" s="14">
        <f>IF(A45="","",'隊員マスタ'!B42)</f>
        <v/>
      </c>
      <c r="C45" s="14">
        <f>IF(A45="","",'隊員マスタ'!C42)</f>
        <v/>
      </c>
      <c r="D45" s="15">
        <f>IF(A45="","",'隊員マスタ'!D42)</f>
        <v/>
      </c>
      <c r="E45" s="15">
        <f>IF(A45="","",IF(COUNTIFS('資格研修記録'!$A$5:$A$1004,A45,'資格研修記録'!$D$5:$D$1004,"潜水士免許")&gt;0,"有","無"))</f>
        <v/>
      </c>
      <c r="F45" s="15">
        <f>IF(A45="","",IF(COUNTIFS('資格研修記録'!$A$5:$A$1004,A45,'資格研修記録'!$D$5:$D$1004,"水難救助研修")&gt;0,"修了","—"))</f>
        <v/>
      </c>
      <c r="G45" s="14">
        <f>IF(A45="","",IF((IF((COUNTIFS('資格研修記録'!$A$5:$A$1004,A45,'資格研修記録'!$D$5:$D$1004,"小型船舶1級",'資格研修記録'!$F$5:$F$1004,"")+COUNTIFS('資格研修記録'!$A$5:$A$1004,A45,'資格研修記録'!$D$5:$D$1004,"小型船舶1級",'資格研修記録'!$F$5:$F$1004,"&gt;="&amp;TODAY()))&gt;0,"1級",IF((COUNTIFS('資格研修記録'!$A$5:$A$1004,A45,'資格研修記録'!$D$5:$D$1004,"小型船舶2級",'資格研修記録'!$F$5:$F$1004,"")+COUNTIFS('資格研修記録'!$A$5:$A$1004,A45,'資格研修記録'!$D$5:$D$1004,"小型船舶2級",'資格研修記録'!$F$5:$F$1004,"&gt;="&amp;TODAY()))&gt;0,"2級",IF(COUNTIFS('資格研修記録'!$A$5:$A$1004,A45,'資格研修記録'!$D$5:$D$1004,"小型船舶1級")+COUNTIFS('資格研修記録'!$A$5:$A$1004,A45,'資格研修記録'!$D$5:$D$1004,"小型船舶2級")&gt;0,"× 1・2級 期限切れ",""))))&amp;(IF((COUNTIFS('資格研修記録'!$A$5:$A$1004,A45,'資格研修記録'!$D$5:$D$1004,"小型船舶特殊",'資格研修記録'!$F$5:$F$1004,"")+COUNTIFS('資格研修記録'!$A$5:$A$1004,A45,'資格研修記録'!$D$5:$D$1004,"小型船舶特殊",'資格研修記録'!$F$5:$F$1004,"&gt;="&amp;TODAY()))&gt;0,"特殊",IF(COUNTIFS('資格研修記録'!$A$5:$A$1004,A45,'資格研修記録'!$D$5:$D$1004,"小型船舶特殊")&gt;0,"× 特殊 期限切れ","")))="","—",_xlfn.TEXTJOIN("・",TRUE,IF((COUNTIFS('資格研修記録'!$A$5:$A$1004,A45,'資格研修記録'!$D$5:$D$1004,"小型船舶1級",'資格研修記録'!$F$5:$F$1004,"")+COUNTIFS('資格研修記録'!$A$5:$A$1004,A45,'資格研修記録'!$D$5:$D$1004,"小型船舶1級",'資格研修記録'!$F$5:$F$1004,"&gt;="&amp;TODAY()))&gt;0,"1級",IF((COUNTIFS('資格研修記録'!$A$5:$A$1004,A45,'資格研修記録'!$D$5:$D$1004,"小型船舶2級",'資格研修記録'!$F$5:$F$1004,"")+COUNTIFS('資格研修記録'!$A$5:$A$1004,A45,'資格研修記録'!$D$5:$D$1004,"小型船舶2級",'資格研修記録'!$F$5:$F$1004,"&gt;="&amp;TODAY()))&gt;0,"2級",IF(COUNTIFS('資格研修記録'!$A$5:$A$1004,A45,'資格研修記録'!$D$5:$D$1004,"小型船舶1級")+COUNTIFS('資格研修記録'!$A$5:$A$1004,A45,'資格研修記録'!$D$5:$D$1004,"小型船舶2級")&gt;0,"× 1・2級 期限切れ",""))),IF((COUNTIFS('資格研修記録'!$A$5:$A$1004,A45,'資格研修記録'!$D$5:$D$1004,"小型船舶特殊",'資格研修記録'!$F$5:$F$1004,"")+COUNTIFS('資格研修記録'!$A$5:$A$1004,A45,'資格研修記録'!$D$5:$D$1004,"小型船舶特殊",'資格研修記録'!$F$5:$F$1004,"&gt;="&amp;TODAY()))&gt;0,"特殊",IF(COUNTIFS('資格研修記録'!$A$5:$A$1004,A45,'資格研修記録'!$D$5:$D$1004,"小型船舶特殊")&gt;0,"× 特殊 期限切れ","")))))</f>
        <v/>
      </c>
      <c r="H45" s="15">
        <f>IF(A45="","",COUNTIFS('潜水記録'!$B$5:$B$3004,A45,'潜水記録'!$AF$5:$AF$3004,$D$2))</f>
        <v/>
      </c>
      <c r="I45" s="15">
        <f>IF(A45="","",COUNTIF('潜水記録'!$B$5:$B$3004,A45))</f>
        <v/>
      </c>
      <c r="J45" s="15">
        <f>IF(A45="","",SUMIF('潜水記録'!$B$5:$B$3004,A45,'潜水記録'!$H$5:$H$3004))</f>
        <v/>
      </c>
      <c r="K45" s="15">
        <f>IF(A45="","",IF(I45=0,"",_xlfn.MAXIFS('潜水記録'!$G$5:$G$3004,'潜水記録'!$B$5:$B$3004,A45)))</f>
        <v/>
      </c>
      <c r="L45" s="16">
        <f>IF(A45="","",IF(I45=0,"",_xlfn.MAXIFS('潜水記録'!$A$5:$A$3004,'潜水記録'!$B$5:$B$3004,A45)))</f>
        <v/>
      </c>
      <c r="M45" s="15">
        <f>IF(L45="","",$B$2-L45)</f>
        <v/>
      </c>
    </row>
    <row r="46">
      <c r="A46" s="14">
        <f>IF('隊員マスタ'!A43="","",'隊員マスタ'!A43)</f>
        <v/>
      </c>
      <c r="B46" s="14">
        <f>IF(A46="","",'隊員マスタ'!B43)</f>
        <v/>
      </c>
      <c r="C46" s="14">
        <f>IF(A46="","",'隊員マスタ'!C43)</f>
        <v/>
      </c>
      <c r="D46" s="15">
        <f>IF(A46="","",'隊員マスタ'!D43)</f>
        <v/>
      </c>
      <c r="E46" s="15">
        <f>IF(A46="","",IF(COUNTIFS('資格研修記録'!$A$5:$A$1004,A46,'資格研修記録'!$D$5:$D$1004,"潜水士免許")&gt;0,"有","無"))</f>
        <v/>
      </c>
      <c r="F46" s="15">
        <f>IF(A46="","",IF(COUNTIFS('資格研修記録'!$A$5:$A$1004,A46,'資格研修記録'!$D$5:$D$1004,"水難救助研修")&gt;0,"修了","—"))</f>
        <v/>
      </c>
      <c r="G46" s="14">
        <f>IF(A46="","",IF((IF((COUNTIFS('資格研修記録'!$A$5:$A$1004,A46,'資格研修記録'!$D$5:$D$1004,"小型船舶1級",'資格研修記録'!$F$5:$F$1004,"")+COUNTIFS('資格研修記録'!$A$5:$A$1004,A46,'資格研修記録'!$D$5:$D$1004,"小型船舶1級",'資格研修記録'!$F$5:$F$1004,"&gt;="&amp;TODAY()))&gt;0,"1級",IF((COUNTIFS('資格研修記録'!$A$5:$A$1004,A46,'資格研修記録'!$D$5:$D$1004,"小型船舶2級",'資格研修記録'!$F$5:$F$1004,"")+COUNTIFS('資格研修記録'!$A$5:$A$1004,A46,'資格研修記録'!$D$5:$D$1004,"小型船舶2級",'資格研修記録'!$F$5:$F$1004,"&gt;="&amp;TODAY()))&gt;0,"2級",IF(COUNTIFS('資格研修記録'!$A$5:$A$1004,A46,'資格研修記録'!$D$5:$D$1004,"小型船舶1級")+COUNTIFS('資格研修記録'!$A$5:$A$1004,A46,'資格研修記録'!$D$5:$D$1004,"小型船舶2級")&gt;0,"× 1・2級 期限切れ",""))))&amp;(IF((COUNTIFS('資格研修記録'!$A$5:$A$1004,A46,'資格研修記録'!$D$5:$D$1004,"小型船舶特殊",'資格研修記録'!$F$5:$F$1004,"")+COUNTIFS('資格研修記録'!$A$5:$A$1004,A46,'資格研修記録'!$D$5:$D$1004,"小型船舶特殊",'資格研修記録'!$F$5:$F$1004,"&gt;="&amp;TODAY()))&gt;0,"特殊",IF(COUNTIFS('資格研修記録'!$A$5:$A$1004,A46,'資格研修記録'!$D$5:$D$1004,"小型船舶特殊")&gt;0,"× 特殊 期限切れ","")))="","—",_xlfn.TEXTJOIN("・",TRUE,IF((COUNTIFS('資格研修記録'!$A$5:$A$1004,A46,'資格研修記録'!$D$5:$D$1004,"小型船舶1級",'資格研修記録'!$F$5:$F$1004,"")+COUNTIFS('資格研修記録'!$A$5:$A$1004,A46,'資格研修記録'!$D$5:$D$1004,"小型船舶1級",'資格研修記録'!$F$5:$F$1004,"&gt;="&amp;TODAY()))&gt;0,"1級",IF((COUNTIFS('資格研修記録'!$A$5:$A$1004,A46,'資格研修記録'!$D$5:$D$1004,"小型船舶2級",'資格研修記録'!$F$5:$F$1004,"")+COUNTIFS('資格研修記録'!$A$5:$A$1004,A46,'資格研修記録'!$D$5:$D$1004,"小型船舶2級",'資格研修記録'!$F$5:$F$1004,"&gt;="&amp;TODAY()))&gt;0,"2級",IF(COUNTIFS('資格研修記録'!$A$5:$A$1004,A46,'資格研修記録'!$D$5:$D$1004,"小型船舶1級")+COUNTIFS('資格研修記録'!$A$5:$A$1004,A46,'資格研修記録'!$D$5:$D$1004,"小型船舶2級")&gt;0,"× 1・2級 期限切れ",""))),IF((COUNTIFS('資格研修記録'!$A$5:$A$1004,A46,'資格研修記録'!$D$5:$D$1004,"小型船舶特殊",'資格研修記録'!$F$5:$F$1004,"")+COUNTIFS('資格研修記録'!$A$5:$A$1004,A46,'資格研修記録'!$D$5:$D$1004,"小型船舶特殊",'資格研修記録'!$F$5:$F$1004,"&gt;="&amp;TODAY()))&gt;0,"特殊",IF(COUNTIFS('資格研修記録'!$A$5:$A$1004,A46,'資格研修記録'!$D$5:$D$1004,"小型船舶特殊")&gt;0,"× 特殊 期限切れ","")))))</f>
        <v/>
      </c>
      <c r="H46" s="15">
        <f>IF(A46="","",COUNTIFS('潜水記録'!$B$5:$B$3004,A46,'潜水記録'!$AF$5:$AF$3004,$D$2))</f>
        <v/>
      </c>
      <c r="I46" s="15">
        <f>IF(A46="","",COUNTIF('潜水記録'!$B$5:$B$3004,A46))</f>
        <v/>
      </c>
      <c r="J46" s="15">
        <f>IF(A46="","",SUMIF('潜水記録'!$B$5:$B$3004,A46,'潜水記録'!$H$5:$H$3004))</f>
        <v/>
      </c>
      <c r="K46" s="15">
        <f>IF(A46="","",IF(I46=0,"",_xlfn.MAXIFS('潜水記録'!$G$5:$G$3004,'潜水記録'!$B$5:$B$3004,A46)))</f>
        <v/>
      </c>
      <c r="L46" s="16">
        <f>IF(A46="","",IF(I46=0,"",_xlfn.MAXIFS('潜水記録'!$A$5:$A$3004,'潜水記録'!$B$5:$B$3004,A46)))</f>
        <v/>
      </c>
      <c r="M46" s="15">
        <f>IF(L46="","",$B$2-L46)</f>
        <v/>
      </c>
    </row>
    <row r="47">
      <c r="A47" s="14">
        <f>IF('隊員マスタ'!A44="","",'隊員マスタ'!A44)</f>
        <v/>
      </c>
      <c r="B47" s="14">
        <f>IF(A47="","",'隊員マスタ'!B44)</f>
        <v/>
      </c>
      <c r="C47" s="14">
        <f>IF(A47="","",'隊員マスタ'!C44)</f>
        <v/>
      </c>
      <c r="D47" s="15">
        <f>IF(A47="","",'隊員マスタ'!D44)</f>
        <v/>
      </c>
      <c r="E47" s="15">
        <f>IF(A47="","",IF(COUNTIFS('資格研修記録'!$A$5:$A$1004,A47,'資格研修記録'!$D$5:$D$1004,"潜水士免許")&gt;0,"有","無"))</f>
        <v/>
      </c>
      <c r="F47" s="15">
        <f>IF(A47="","",IF(COUNTIFS('資格研修記録'!$A$5:$A$1004,A47,'資格研修記録'!$D$5:$D$1004,"水難救助研修")&gt;0,"修了","—"))</f>
        <v/>
      </c>
      <c r="G47" s="14">
        <f>IF(A47="","",IF((IF((COUNTIFS('資格研修記録'!$A$5:$A$1004,A47,'資格研修記録'!$D$5:$D$1004,"小型船舶1級",'資格研修記録'!$F$5:$F$1004,"")+COUNTIFS('資格研修記録'!$A$5:$A$1004,A47,'資格研修記録'!$D$5:$D$1004,"小型船舶1級",'資格研修記録'!$F$5:$F$1004,"&gt;="&amp;TODAY()))&gt;0,"1級",IF((COUNTIFS('資格研修記録'!$A$5:$A$1004,A47,'資格研修記録'!$D$5:$D$1004,"小型船舶2級",'資格研修記録'!$F$5:$F$1004,"")+COUNTIFS('資格研修記録'!$A$5:$A$1004,A47,'資格研修記録'!$D$5:$D$1004,"小型船舶2級",'資格研修記録'!$F$5:$F$1004,"&gt;="&amp;TODAY()))&gt;0,"2級",IF(COUNTIFS('資格研修記録'!$A$5:$A$1004,A47,'資格研修記録'!$D$5:$D$1004,"小型船舶1級")+COUNTIFS('資格研修記録'!$A$5:$A$1004,A47,'資格研修記録'!$D$5:$D$1004,"小型船舶2級")&gt;0,"× 1・2級 期限切れ",""))))&amp;(IF((COUNTIFS('資格研修記録'!$A$5:$A$1004,A47,'資格研修記録'!$D$5:$D$1004,"小型船舶特殊",'資格研修記録'!$F$5:$F$1004,"")+COUNTIFS('資格研修記録'!$A$5:$A$1004,A47,'資格研修記録'!$D$5:$D$1004,"小型船舶特殊",'資格研修記録'!$F$5:$F$1004,"&gt;="&amp;TODAY()))&gt;0,"特殊",IF(COUNTIFS('資格研修記録'!$A$5:$A$1004,A47,'資格研修記録'!$D$5:$D$1004,"小型船舶特殊")&gt;0,"× 特殊 期限切れ","")))="","—",_xlfn.TEXTJOIN("・",TRUE,IF((COUNTIFS('資格研修記録'!$A$5:$A$1004,A47,'資格研修記録'!$D$5:$D$1004,"小型船舶1級",'資格研修記録'!$F$5:$F$1004,"")+COUNTIFS('資格研修記録'!$A$5:$A$1004,A47,'資格研修記録'!$D$5:$D$1004,"小型船舶1級",'資格研修記録'!$F$5:$F$1004,"&gt;="&amp;TODAY()))&gt;0,"1級",IF((COUNTIFS('資格研修記録'!$A$5:$A$1004,A47,'資格研修記録'!$D$5:$D$1004,"小型船舶2級",'資格研修記録'!$F$5:$F$1004,"")+COUNTIFS('資格研修記録'!$A$5:$A$1004,A47,'資格研修記録'!$D$5:$D$1004,"小型船舶2級",'資格研修記録'!$F$5:$F$1004,"&gt;="&amp;TODAY()))&gt;0,"2級",IF(COUNTIFS('資格研修記録'!$A$5:$A$1004,A47,'資格研修記録'!$D$5:$D$1004,"小型船舶1級")+COUNTIFS('資格研修記録'!$A$5:$A$1004,A47,'資格研修記録'!$D$5:$D$1004,"小型船舶2級")&gt;0,"× 1・2級 期限切れ",""))),IF((COUNTIFS('資格研修記録'!$A$5:$A$1004,A47,'資格研修記録'!$D$5:$D$1004,"小型船舶特殊",'資格研修記録'!$F$5:$F$1004,"")+COUNTIFS('資格研修記録'!$A$5:$A$1004,A47,'資格研修記録'!$D$5:$D$1004,"小型船舶特殊",'資格研修記録'!$F$5:$F$1004,"&gt;="&amp;TODAY()))&gt;0,"特殊",IF(COUNTIFS('資格研修記録'!$A$5:$A$1004,A47,'資格研修記録'!$D$5:$D$1004,"小型船舶特殊")&gt;0,"× 特殊 期限切れ","")))))</f>
        <v/>
      </c>
      <c r="H47" s="15">
        <f>IF(A47="","",COUNTIFS('潜水記録'!$B$5:$B$3004,A47,'潜水記録'!$AF$5:$AF$3004,$D$2))</f>
        <v/>
      </c>
      <c r="I47" s="15">
        <f>IF(A47="","",COUNTIF('潜水記録'!$B$5:$B$3004,A47))</f>
        <v/>
      </c>
      <c r="J47" s="15">
        <f>IF(A47="","",SUMIF('潜水記録'!$B$5:$B$3004,A47,'潜水記録'!$H$5:$H$3004))</f>
        <v/>
      </c>
      <c r="K47" s="15">
        <f>IF(A47="","",IF(I47=0,"",_xlfn.MAXIFS('潜水記録'!$G$5:$G$3004,'潜水記録'!$B$5:$B$3004,A47)))</f>
        <v/>
      </c>
      <c r="L47" s="16">
        <f>IF(A47="","",IF(I47=0,"",_xlfn.MAXIFS('潜水記録'!$A$5:$A$3004,'潜水記録'!$B$5:$B$3004,A47)))</f>
        <v/>
      </c>
      <c r="M47" s="15">
        <f>IF(L47="","",$B$2-L47)</f>
        <v/>
      </c>
    </row>
    <row r="48">
      <c r="A48" s="14">
        <f>IF('隊員マスタ'!A45="","",'隊員マスタ'!A45)</f>
        <v/>
      </c>
      <c r="B48" s="14">
        <f>IF(A48="","",'隊員マスタ'!B45)</f>
        <v/>
      </c>
      <c r="C48" s="14">
        <f>IF(A48="","",'隊員マスタ'!C45)</f>
        <v/>
      </c>
      <c r="D48" s="15">
        <f>IF(A48="","",'隊員マスタ'!D45)</f>
        <v/>
      </c>
      <c r="E48" s="15">
        <f>IF(A48="","",IF(COUNTIFS('資格研修記録'!$A$5:$A$1004,A48,'資格研修記録'!$D$5:$D$1004,"潜水士免許")&gt;0,"有","無"))</f>
        <v/>
      </c>
      <c r="F48" s="15">
        <f>IF(A48="","",IF(COUNTIFS('資格研修記録'!$A$5:$A$1004,A48,'資格研修記録'!$D$5:$D$1004,"水難救助研修")&gt;0,"修了","—"))</f>
        <v/>
      </c>
      <c r="G48" s="14">
        <f>IF(A48="","",IF((IF((COUNTIFS('資格研修記録'!$A$5:$A$1004,A48,'資格研修記録'!$D$5:$D$1004,"小型船舶1級",'資格研修記録'!$F$5:$F$1004,"")+COUNTIFS('資格研修記録'!$A$5:$A$1004,A48,'資格研修記録'!$D$5:$D$1004,"小型船舶1級",'資格研修記録'!$F$5:$F$1004,"&gt;="&amp;TODAY()))&gt;0,"1級",IF((COUNTIFS('資格研修記録'!$A$5:$A$1004,A48,'資格研修記録'!$D$5:$D$1004,"小型船舶2級",'資格研修記録'!$F$5:$F$1004,"")+COUNTIFS('資格研修記録'!$A$5:$A$1004,A48,'資格研修記録'!$D$5:$D$1004,"小型船舶2級",'資格研修記録'!$F$5:$F$1004,"&gt;="&amp;TODAY()))&gt;0,"2級",IF(COUNTIFS('資格研修記録'!$A$5:$A$1004,A48,'資格研修記録'!$D$5:$D$1004,"小型船舶1級")+COUNTIFS('資格研修記録'!$A$5:$A$1004,A48,'資格研修記録'!$D$5:$D$1004,"小型船舶2級")&gt;0,"× 1・2級 期限切れ",""))))&amp;(IF((COUNTIFS('資格研修記録'!$A$5:$A$1004,A48,'資格研修記録'!$D$5:$D$1004,"小型船舶特殊",'資格研修記録'!$F$5:$F$1004,"")+COUNTIFS('資格研修記録'!$A$5:$A$1004,A48,'資格研修記録'!$D$5:$D$1004,"小型船舶特殊",'資格研修記録'!$F$5:$F$1004,"&gt;="&amp;TODAY()))&gt;0,"特殊",IF(COUNTIFS('資格研修記録'!$A$5:$A$1004,A48,'資格研修記録'!$D$5:$D$1004,"小型船舶特殊")&gt;0,"× 特殊 期限切れ","")))="","—",_xlfn.TEXTJOIN("・",TRUE,IF((COUNTIFS('資格研修記録'!$A$5:$A$1004,A48,'資格研修記録'!$D$5:$D$1004,"小型船舶1級",'資格研修記録'!$F$5:$F$1004,"")+COUNTIFS('資格研修記録'!$A$5:$A$1004,A48,'資格研修記録'!$D$5:$D$1004,"小型船舶1級",'資格研修記録'!$F$5:$F$1004,"&gt;="&amp;TODAY()))&gt;0,"1級",IF((COUNTIFS('資格研修記録'!$A$5:$A$1004,A48,'資格研修記録'!$D$5:$D$1004,"小型船舶2級",'資格研修記録'!$F$5:$F$1004,"")+COUNTIFS('資格研修記録'!$A$5:$A$1004,A48,'資格研修記録'!$D$5:$D$1004,"小型船舶2級",'資格研修記録'!$F$5:$F$1004,"&gt;="&amp;TODAY()))&gt;0,"2級",IF(COUNTIFS('資格研修記録'!$A$5:$A$1004,A48,'資格研修記録'!$D$5:$D$1004,"小型船舶1級")+COUNTIFS('資格研修記録'!$A$5:$A$1004,A48,'資格研修記録'!$D$5:$D$1004,"小型船舶2級")&gt;0,"× 1・2級 期限切れ",""))),IF((COUNTIFS('資格研修記録'!$A$5:$A$1004,A48,'資格研修記録'!$D$5:$D$1004,"小型船舶特殊",'資格研修記録'!$F$5:$F$1004,"")+COUNTIFS('資格研修記録'!$A$5:$A$1004,A48,'資格研修記録'!$D$5:$D$1004,"小型船舶特殊",'資格研修記録'!$F$5:$F$1004,"&gt;="&amp;TODAY()))&gt;0,"特殊",IF(COUNTIFS('資格研修記録'!$A$5:$A$1004,A48,'資格研修記録'!$D$5:$D$1004,"小型船舶特殊")&gt;0,"× 特殊 期限切れ","")))))</f>
        <v/>
      </c>
      <c r="H48" s="15">
        <f>IF(A48="","",COUNTIFS('潜水記録'!$B$5:$B$3004,A48,'潜水記録'!$AF$5:$AF$3004,$D$2))</f>
        <v/>
      </c>
      <c r="I48" s="15">
        <f>IF(A48="","",COUNTIF('潜水記録'!$B$5:$B$3004,A48))</f>
        <v/>
      </c>
      <c r="J48" s="15">
        <f>IF(A48="","",SUMIF('潜水記録'!$B$5:$B$3004,A48,'潜水記録'!$H$5:$H$3004))</f>
        <v/>
      </c>
      <c r="K48" s="15">
        <f>IF(A48="","",IF(I48=0,"",_xlfn.MAXIFS('潜水記録'!$G$5:$G$3004,'潜水記録'!$B$5:$B$3004,A48)))</f>
        <v/>
      </c>
      <c r="L48" s="16">
        <f>IF(A48="","",IF(I48=0,"",_xlfn.MAXIFS('潜水記録'!$A$5:$A$3004,'潜水記録'!$B$5:$B$3004,A48)))</f>
        <v/>
      </c>
      <c r="M48" s="15">
        <f>IF(L48="","",$B$2-L48)</f>
        <v/>
      </c>
    </row>
    <row r="49">
      <c r="A49" s="14">
        <f>IF('隊員マスタ'!A46="","",'隊員マスタ'!A46)</f>
        <v/>
      </c>
      <c r="B49" s="14">
        <f>IF(A49="","",'隊員マスタ'!B46)</f>
        <v/>
      </c>
      <c r="C49" s="14">
        <f>IF(A49="","",'隊員マスタ'!C46)</f>
        <v/>
      </c>
      <c r="D49" s="15">
        <f>IF(A49="","",'隊員マスタ'!D46)</f>
        <v/>
      </c>
      <c r="E49" s="15">
        <f>IF(A49="","",IF(COUNTIFS('資格研修記録'!$A$5:$A$1004,A49,'資格研修記録'!$D$5:$D$1004,"潜水士免許")&gt;0,"有","無"))</f>
        <v/>
      </c>
      <c r="F49" s="15">
        <f>IF(A49="","",IF(COUNTIFS('資格研修記録'!$A$5:$A$1004,A49,'資格研修記録'!$D$5:$D$1004,"水難救助研修")&gt;0,"修了","—"))</f>
        <v/>
      </c>
      <c r="G49" s="14">
        <f>IF(A49="","",IF((IF((COUNTIFS('資格研修記録'!$A$5:$A$1004,A49,'資格研修記録'!$D$5:$D$1004,"小型船舶1級",'資格研修記録'!$F$5:$F$1004,"")+COUNTIFS('資格研修記録'!$A$5:$A$1004,A49,'資格研修記録'!$D$5:$D$1004,"小型船舶1級",'資格研修記録'!$F$5:$F$1004,"&gt;="&amp;TODAY()))&gt;0,"1級",IF((COUNTIFS('資格研修記録'!$A$5:$A$1004,A49,'資格研修記録'!$D$5:$D$1004,"小型船舶2級",'資格研修記録'!$F$5:$F$1004,"")+COUNTIFS('資格研修記録'!$A$5:$A$1004,A49,'資格研修記録'!$D$5:$D$1004,"小型船舶2級",'資格研修記録'!$F$5:$F$1004,"&gt;="&amp;TODAY()))&gt;0,"2級",IF(COUNTIFS('資格研修記録'!$A$5:$A$1004,A49,'資格研修記録'!$D$5:$D$1004,"小型船舶1級")+COUNTIFS('資格研修記録'!$A$5:$A$1004,A49,'資格研修記録'!$D$5:$D$1004,"小型船舶2級")&gt;0,"× 1・2級 期限切れ",""))))&amp;(IF((COUNTIFS('資格研修記録'!$A$5:$A$1004,A49,'資格研修記録'!$D$5:$D$1004,"小型船舶特殊",'資格研修記録'!$F$5:$F$1004,"")+COUNTIFS('資格研修記録'!$A$5:$A$1004,A49,'資格研修記録'!$D$5:$D$1004,"小型船舶特殊",'資格研修記録'!$F$5:$F$1004,"&gt;="&amp;TODAY()))&gt;0,"特殊",IF(COUNTIFS('資格研修記録'!$A$5:$A$1004,A49,'資格研修記録'!$D$5:$D$1004,"小型船舶特殊")&gt;0,"× 特殊 期限切れ","")))="","—",_xlfn.TEXTJOIN("・",TRUE,IF((COUNTIFS('資格研修記録'!$A$5:$A$1004,A49,'資格研修記録'!$D$5:$D$1004,"小型船舶1級",'資格研修記録'!$F$5:$F$1004,"")+COUNTIFS('資格研修記録'!$A$5:$A$1004,A49,'資格研修記録'!$D$5:$D$1004,"小型船舶1級",'資格研修記録'!$F$5:$F$1004,"&gt;="&amp;TODAY()))&gt;0,"1級",IF((COUNTIFS('資格研修記録'!$A$5:$A$1004,A49,'資格研修記録'!$D$5:$D$1004,"小型船舶2級",'資格研修記録'!$F$5:$F$1004,"")+COUNTIFS('資格研修記録'!$A$5:$A$1004,A49,'資格研修記録'!$D$5:$D$1004,"小型船舶2級",'資格研修記録'!$F$5:$F$1004,"&gt;="&amp;TODAY()))&gt;0,"2級",IF(COUNTIFS('資格研修記録'!$A$5:$A$1004,A49,'資格研修記録'!$D$5:$D$1004,"小型船舶1級")+COUNTIFS('資格研修記録'!$A$5:$A$1004,A49,'資格研修記録'!$D$5:$D$1004,"小型船舶2級")&gt;0,"× 1・2級 期限切れ",""))),IF((COUNTIFS('資格研修記録'!$A$5:$A$1004,A49,'資格研修記録'!$D$5:$D$1004,"小型船舶特殊",'資格研修記録'!$F$5:$F$1004,"")+COUNTIFS('資格研修記録'!$A$5:$A$1004,A49,'資格研修記録'!$D$5:$D$1004,"小型船舶特殊",'資格研修記録'!$F$5:$F$1004,"&gt;="&amp;TODAY()))&gt;0,"特殊",IF(COUNTIFS('資格研修記録'!$A$5:$A$1004,A49,'資格研修記録'!$D$5:$D$1004,"小型船舶特殊")&gt;0,"× 特殊 期限切れ","")))))</f>
        <v/>
      </c>
      <c r="H49" s="15">
        <f>IF(A49="","",COUNTIFS('潜水記録'!$B$5:$B$3004,A49,'潜水記録'!$AF$5:$AF$3004,$D$2))</f>
        <v/>
      </c>
      <c r="I49" s="15">
        <f>IF(A49="","",COUNTIF('潜水記録'!$B$5:$B$3004,A49))</f>
        <v/>
      </c>
      <c r="J49" s="15">
        <f>IF(A49="","",SUMIF('潜水記録'!$B$5:$B$3004,A49,'潜水記録'!$H$5:$H$3004))</f>
        <v/>
      </c>
      <c r="K49" s="15">
        <f>IF(A49="","",IF(I49=0,"",_xlfn.MAXIFS('潜水記録'!$G$5:$G$3004,'潜水記録'!$B$5:$B$3004,A49)))</f>
        <v/>
      </c>
      <c r="L49" s="16">
        <f>IF(A49="","",IF(I49=0,"",_xlfn.MAXIFS('潜水記録'!$A$5:$A$3004,'潜水記録'!$B$5:$B$3004,A49)))</f>
        <v/>
      </c>
      <c r="M49" s="15">
        <f>IF(L49="","",$B$2-L49)</f>
        <v/>
      </c>
    </row>
    <row r="50">
      <c r="A50" s="14">
        <f>IF('隊員マスタ'!A47="","",'隊員マスタ'!A47)</f>
        <v/>
      </c>
      <c r="B50" s="14">
        <f>IF(A50="","",'隊員マスタ'!B47)</f>
        <v/>
      </c>
      <c r="C50" s="14">
        <f>IF(A50="","",'隊員マスタ'!C47)</f>
        <v/>
      </c>
      <c r="D50" s="15">
        <f>IF(A50="","",'隊員マスタ'!D47)</f>
        <v/>
      </c>
      <c r="E50" s="15">
        <f>IF(A50="","",IF(COUNTIFS('資格研修記録'!$A$5:$A$1004,A50,'資格研修記録'!$D$5:$D$1004,"潜水士免許")&gt;0,"有","無"))</f>
        <v/>
      </c>
      <c r="F50" s="15">
        <f>IF(A50="","",IF(COUNTIFS('資格研修記録'!$A$5:$A$1004,A50,'資格研修記録'!$D$5:$D$1004,"水難救助研修")&gt;0,"修了","—"))</f>
        <v/>
      </c>
      <c r="G50" s="14">
        <f>IF(A50="","",IF((IF((COUNTIFS('資格研修記録'!$A$5:$A$1004,A50,'資格研修記録'!$D$5:$D$1004,"小型船舶1級",'資格研修記録'!$F$5:$F$1004,"")+COUNTIFS('資格研修記録'!$A$5:$A$1004,A50,'資格研修記録'!$D$5:$D$1004,"小型船舶1級",'資格研修記録'!$F$5:$F$1004,"&gt;="&amp;TODAY()))&gt;0,"1級",IF((COUNTIFS('資格研修記録'!$A$5:$A$1004,A50,'資格研修記録'!$D$5:$D$1004,"小型船舶2級",'資格研修記録'!$F$5:$F$1004,"")+COUNTIFS('資格研修記録'!$A$5:$A$1004,A50,'資格研修記録'!$D$5:$D$1004,"小型船舶2級",'資格研修記録'!$F$5:$F$1004,"&gt;="&amp;TODAY()))&gt;0,"2級",IF(COUNTIFS('資格研修記録'!$A$5:$A$1004,A50,'資格研修記録'!$D$5:$D$1004,"小型船舶1級")+COUNTIFS('資格研修記録'!$A$5:$A$1004,A50,'資格研修記録'!$D$5:$D$1004,"小型船舶2級")&gt;0,"× 1・2級 期限切れ",""))))&amp;(IF((COUNTIFS('資格研修記録'!$A$5:$A$1004,A50,'資格研修記録'!$D$5:$D$1004,"小型船舶特殊",'資格研修記録'!$F$5:$F$1004,"")+COUNTIFS('資格研修記録'!$A$5:$A$1004,A50,'資格研修記録'!$D$5:$D$1004,"小型船舶特殊",'資格研修記録'!$F$5:$F$1004,"&gt;="&amp;TODAY()))&gt;0,"特殊",IF(COUNTIFS('資格研修記録'!$A$5:$A$1004,A50,'資格研修記録'!$D$5:$D$1004,"小型船舶特殊")&gt;0,"× 特殊 期限切れ","")))="","—",_xlfn.TEXTJOIN("・",TRUE,IF((COUNTIFS('資格研修記録'!$A$5:$A$1004,A50,'資格研修記録'!$D$5:$D$1004,"小型船舶1級",'資格研修記録'!$F$5:$F$1004,"")+COUNTIFS('資格研修記録'!$A$5:$A$1004,A50,'資格研修記録'!$D$5:$D$1004,"小型船舶1級",'資格研修記録'!$F$5:$F$1004,"&gt;="&amp;TODAY()))&gt;0,"1級",IF((COUNTIFS('資格研修記録'!$A$5:$A$1004,A50,'資格研修記録'!$D$5:$D$1004,"小型船舶2級",'資格研修記録'!$F$5:$F$1004,"")+COUNTIFS('資格研修記録'!$A$5:$A$1004,A50,'資格研修記録'!$D$5:$D$1004,"小型船舶2級",'資格研修記録'!$F$5:$F$1004,"&gt;="&amp;TODAY()))&gt;0,"2級",IF(COUNTIFS('資格研修記録'!$A$5:$A$1004,A50,'資格研修記録'!$D$5:$D$1004,"小型船舶1級")+COUNTIFS('資格研修記録'!$A$5:$A$1004,A50,'資格研修記録'!$D$5:$D$1004,"小型船舶2級")&gt;0,"× 1・2級 期限切れ",""))),IF((COUNTIFS('資格研修記録'!$A$5:$A$1004,A50,'資格研修記録'!$D$5:$D$1004,"小型船舶特殊",'資格研修記録'!$F$5:$F$1004,"")+COUNTIFS('資格研修記録'!$A$5:$A$1004,A50,'資格研修記録'!$D$5:$D$1004,"小型船舶特殊",'資格研修記録'!$F$5:$F$1004,"&gt;="&amp;TODAY()))&gt;0,"特殊",IF(COUNTIFS('資格研修記録'!$A$5:$A$1004,A50,'資格研修記録'!$D$5:$D$1004,"小型船舶特殊")&gt;0,"× 特殊 期限切れ","")))))</f>
        <v/>
      </c>
      <c r="H50" s="15">
        <f>IF(A50="","",COUNTIFS('潜水記録'!$B$5:$B$3004,A50,'潜水記録'!$AF$5:$AF$3004,$D$2))</f>
        <v/>
      </c>
      <c r="I50" s="15">
        <f>IF(A50="","",COUNTIF('潜水記録'!$B$5:$B$3004,A50))</f>
        <v/>
      </c>
      <c r="J50" s="15">
        <f>IF(A50="","",SUMIF('潜水記録'!$B$5:$B$3004,A50,'潜水記録'!$H$5:$H$3004))</f>
        <v/>
      </c>
      <c r="K50" s="15">
        <f>IF(A50="","",IF(I50=0,"",_xlfn.MAXIFS('潜水記録'!$G$5:$G$3004,'潜水記録'!$B$5:$B$3004,A50)))</f>
        <v/>
      </c>
      <c r="L50" s="16">
        <f>IF(A50="","",IF(I50=0,"",_xlfn.MAXIFS('潜水記録'!$A$5:$A$3004,'潜水記録'!$B$5:$B$3004,A50)))</f>
        <v/>
      </c>
      <c r="M50" s="15">
        <f>IF(L50="","",$B$2-L50)</f>
        <v/>
      </c>
    </row>
    <row r="51">
      <c r="A51" s="14">
        <f>IF('隊員マスタ'!A48="","",'隊員マスタ'!A48)</f>
        <v/>
      </c>
      <c r="B51" s="14">
        <f>IF(A51="","",'隊員マスタ'!B48)</f>
        <v/>
      </c>
      <c r="C51" s="14">
        <f>IF(A51="","",'隊員マスタ'!C48)</f>
        <v/>
      </c>
      <c r="D51" s="15">
        <f>IF(A51="","",'隊員マスタ'!D48)</f>
        <v/>
      </c>
      <c r="E51" s="15">
        <f>IF(A51="","",IF(COUNTIFS('資格研修記録'!$A$5:$A$1004,A51,'資格研修記録'!$D$5:$D$1004,"潜水士免許")&gt;0,"有","無"))</f>
        <v/>
      </c>
      <c r="F51" s="15">
        <f>IF(A51="","",IF(COUNTIFS('資格研修記録'!$A$5:$A$1004,A51,'資格研修記録'!$D$5:$D$1004,"水難救助研修")&gt;0,"修了","—"))</f>
        <v/>
      </c>
      <c r="G51" s="14">
        <f>IF(A51="","",IF((IF((COUNTIFS('資格研修記録'!$A$5:$A$1004,A51,'資格研修記録'!$D$5:$D$1004,"小型船舶1級",'資格研修記録'!$F$5:$F$1004,"")+COUNTIFS('資格研修記録'!$A$5:$A$1004,A51,'資格研修記録'!$D$5:$D$1004,"小型船舶1級",'資格研修記録'!$F$5:$F$1004,"&gt;="&amp;TODAY()))&gt;0,"1級",IF((COUNTIFS('資格研修記録'!$A$5:$A$1004,A51,'資格研修記録'!$D$5:$D$1004,"小型船舶2級",'資格研修記録'!$F$5:$F$1004,"")+COUNTIFS('資格研修記録'!$A$5:$A$1004,A51,'資格研修記録'!$D$5:$D$1004,"小型船舶2級",'資格研修記録'!$F$5:$F$1004,"&gt;="&amp;TODAY()))&gt;0,"2級",IF(COUNTIFS('資格研修記録'!$A$5:$A$1004,A51,'資格研修記録'!$D$5:$D$1004,"小型船舶1級")+COUNTIFS('資格研修記録'!$A$5:$A$1004,A51,'資格研修記録'!$D$5:$D$1004,"小型船舶2級")&gt;0,"× 1・2級 期限切れ",""))))&amp;(IF((COUNTIFS('資格研修記録'!$A$5:$A$1004,A51,'資格研修記録'!$D$5:$D$1004,"小型船舶特殊",'資格研修記録'!$F$5:$F$1004,"")+COUNTIFS('資格研修記録'!$A$5:$A$1004,A51,'資格研修記録'!$D$5:$D$1004,"小型船舶特殊",'資格研修記録'!$F$5:$F$1004,"&gt;="&amp;TODAY()))&gt;0,"特殊",IF(COUNTIFS('資格研修記録'!$A$5:$A$1004,A51,'資格研修記録'!$D$5:$D$1004,"小型船舶特殊")&gt;0,"× 特殊 期限切れ","")))="","—",_xlfn.TEXTJOIN("・",TRUE,IF((COUNTIFS('資格研修記録'!$A$5:$A$1004,A51,'資格研修記録'!$D$5:$D$1004,"小型船舶1級",'資格研修記録'!$F$5:$F$1004,"")+COUNTIFS('資格研修記録'!$A$5:$A$1004,A51,'資格研修記録'!$D$5:$D$1004,"小型船舶1級",'資格研修記録'!$F$5:$F$1004,"&gt;="&amp;TODAY()))&gt;0,"1級",IF((COUNTIFS('資格研修記録'!$A$5:$A$1004,A51,'資格研修記録'!$D$5:$D$1004,"小型船舶2級",'資格研修記録'!$F$5:$F$1004,"")+COUNTIFS('資格研修記録'!$A$5:$A$1004,A51,'資格研修記録'!$D$5:$D$1004,"小型船舶2級",'資格研修記録'!$F$5:$F$1004,"&gt;="&amp;TODAY()))&gt;0,"2級",IF(COUNTIFS('資格研修記録'!$A$5:$A$1004,A51,'資格研修記録'!$D$5:$D$1004,"小型船舶1級")+COUNTIFS('資格研修記録'!$A$5:$A$1004,A51,'資格研修記録'!$D$5:$D$1004,"小型船舶2級")&gt;0,"× 1・2級 期限切れ",""))),IF((COUNTIFS('資格研修記録'!$A$5:$A$1004,A51,'資格研修記録'!$D$5:$D$1004,"小型船舶特殊",'資格研修記録'!$F$5:$F$1004,"")+COUNTIFS('資格研修記録'!$A$5:$A$1004,A51,'資格研修記録'!$D$5:$D$1004,"小型船舶特殊",'資格研修記録'!$F$5:$F$1004,"&gt;="&amp;TODAY()))&gt;0,"特殊",IF(COUNTIFS('資格研修記録'!$A$5:$A$1004,A51,'資格研修記録'!$D$5:$D$1004,"小型船舶特殊")&gt;0,"× 特殊 期限切れ","")))))</f>
        <v/>
      </c>
      <c r="H51" s="15">
        <f>IF(A51="","",COUNTIFS('潜水記録'!$B$5:$B$3004,A51,'潜水記録'!$AF$5:$AF$3004,$D$2))</f>
        <v/>
      </c>
      <c r="I51" s="15">
        <f>IF(A51="","",COUNTIF('潜水記録'!$B$5:$B$3004,A51))</f>
        <v/>
      </c>
      <c r="J51" s="15">
        <f>IF(A51="","",SUMIF('潜水記録'!$B$5:$B$3004,A51,'潜水記録'!$H$5:$H$3004))</f>
        <v/>
      </c>
      <c r="K51" s="15">
        <f>IF(A51="","",IF(I51=0,"",_xlfn.MAXIFS('潜水記録'!$G$5:$G$3004,'潜水記録'!$B$5:$B$3004,A51)))</f>
        <v/>
      </c>
      <c r="L51" s="16">
        <f>IF(A51="","",IF(I51=0,"",_xlfn.MAXIFS('潜水記録'!$A$5:$A$3004,'潜水記録'!$B$5:$B$3004,A51)))</f>
        <v/>
      </c>
      <c r="M51" s="15">
        <f>IF(L51="","",$B$2-L51)</f>
        <v/>
      </c>
    </row>
    <row r="52">
      <c r="A52" s="14">
        <f>IF('隊員マスタ'!A49="","",'隊員マスタ'!A49)</f>
        <v/>
      </c>
      <c r="B52" s="14">
        <f>IF(A52="","",'隊員マスタ'!B49)</f>
        <v/>
      </c>
      <c r="C52" s="14">
        <f>IF(A52="","",'隊員マスタ'!C49)</f>
        <v/>
      </c>
      <c r="D52" s="15">
        <f>IF(A52="","",'隊員マスタ'!D49)</f>
        <v/>
      </c>
      <c r="E52" s="15">
        <f>IF(A52="","",IF(COUNTIFS('資格研修記録'!$A$5:$A$1004,A52,'資格研修記録'!$D$5:$D$1004,"潜水士免許")&gt;0,"有","無"))</f>
        <v/>
      </c>
      <c r="F52" s="15">
        <f>IF(A52="","",IF(COUNTIFS('資格研修記録'!$A$5:$A$1004,A52,'資格研修記録'!$D$5:$D$1004,"水難救助研修")&gt;0,"修了","—"))</f>
        <v/>
      </c>
      <c r="G52" s="14">
        <f>IF(A52="","",IF((IF((COUNTIFS('資格研修記録'!$A$5:$A$1004,A52,'資格研修記録'!$D$5:$D$1004,"小型船舶1級",'資格研修記録'!$F$5:$F$1004,"")+COUNTIFS('資格研修記録'!$A$5:$A$1004,A52,'資格研修記録'!$D$5:$D$1004,"小型船舶1級",'資格研修記録'!$F$5:$F$1004,"&gt;="&amp;TODAY()))&gt;0,"1級",IF((COUNTIFS('資格研修記録'!$A$5:$A$1004,A52,'資格研修記録'!$D$5:$D$1004,"小型船舶2級",'資格研修記録'!$F$5:$F$1004,"")+COUNTIFS('資格研修記録'!$A$5:$A$1004,A52,'資格研修記録'!$D$5:$D$1004,"小型船舶2級",'資格研修記録'!$F$5:$F$1004,"&gt;="&amp;TODAY()))&gt;0,"2級",IF(COUNTIFS('資格研修記録'!$A$5:$A$1004,A52,'資格研修記録'!$D$5:$D$1004,"小型船舶1級")+COUNTIFS('資格研修記録'!$A$5:$A$1004,A52,'資格研修記録'!$D$5:$D$1004,"小型船舶2級")&gt;0,"× 1・2級 期限切れ",""))))&amp;(IF((COUNTIFS('資格研修記録'!$A$5:$A$1004,A52,'資格研修記録'!$D$5:$D$1004,"小型船舶特殊",'資格研修記録'!$F$5:$F$1004,"")+COUNTIFS('資格研修記録'!$A$5:$A$1004,A52,'資格研修記録'!$D$5:$D$1004,"小型船舶特殊",'資格研修記録'!$F$5:$F$1004,"&gt;="&amp;TODAY()))&gt;0,"特殊",IF(COUNTIFS('資格研修記録'!$A$5:$A$1004,A52,'資格研修記録'!$D$5:$D$1004,"小型船舶特殊")&gt;0,"× 特殊 期限切れ","")))="","—",_xlfn.TEXTJOIN("・",TRUE,IF((COUNTIFS('資格研修記録'!$A$5:$A$1004,A52,'資格研修記録'!$D$5:$D$1004,"小型船舶1級",'資格研修記録'!$F$5:$F$1004,"")+COUNTIFS('資格研修記録'!$A$5:$A$1004,A52,'資格研修記録'!$D$5:$D$1004,"小型船舶1級",'資格研修記録'!$F$5:$F$1004,"&gt;="&amp;TODAY()))&gt;0,"1級",IF((COUNTIFS('資格研修記録'!$A$5:$A$1004,A52,'資格研修記録'!$D$5:$D$1004,"小型船舶2級",'資格研修記録'!$F$5:$F$1004,"")+COUNTIFS('資格研修記録'!$A$5:$A$1004,A52,'資格研修記録'!$D$5:$D$1004,"小型船舶2級",'資格研修記録'!$F$5:$F$1004,"&gt;="&amp;TODAY()))&gt;0,"2級",IF(COUNTIFS('資格研修記録'!$A$5:$A$1004,A52,'資格研修記録'!$D$5:$D$1004,"小型船舶1級")+COUNTIFS('資格研修記録'!$A$5:$A$1004,A52,'資格研修記録'!$D$5:$D$1004,"小型船舶2級")&gt;0,"× 1・2級 期限切れ",""))),IF((COUNTIFS('資格研修記録'!$A$5:$A$1004,A52,'資格研修記録'!$D$5:$D$1004,"小型船舶特殊",'資格研修記録'!$F$5:$F$1004,"")+COUNTIFS('資格研修記録'!$A$5:$A$1004,A52,'資格研修記録'!$D$5:$D$1004,"小型船舶特殊",'資格研修記録'!$F$5:$F$1004,"&gt;="&amp;TODAY()))&gt;0,"特殊",IF(COUNTIFS('資格研修記録'!$A$5:$A$1004,A52,'資格研修記録'!$D$5:$D$1004,"小型船舶特殊")&gt;0,"× 特殊 期限切れ","")))))</f>
        <v/>
      </c>
      <c r="H52" s="15">
        <f>IF(A52="","",COUNTIFS('潜水記録'!$B$5:$B$3004,A52,'潜水記録'!$AF$5:$AF$3004,$D$2))</f>
        <v/>
      </c>
      <c r="I52" s="15">
        <f>IF(A52="","",COUNTIF('潜水記録'!$B$5:$B$3004,A52))</f>
        <v/>
      </c>
      <c r="J52" s="15">
        <f>IF(A52="","",SUMIF('潜水記録'!$B$5:$B$3004,A52,'潜水記録'!$H$5:$H$3004))</f>
        <v/>
      </c>
      <c r="K52" s="15">
        <f>IF(A52="","",IF(I52=0,"",_xlfn.MAXIFS('潜水記録'!$G$5:$G$3004,'潜水記録'!$B$5:$B$3004,A52)))</f>
        <v/>
      </c>
      <c r="L52" s="16">
        <f>IF(A52="","",IF(I52=0,"",_xlfn.MAXIFS('潜水記録'!$A$5:$A$3004,'潜水記録'!$B$5:$B$3004,A52)))</f>
        <v/>
      </c>
      <c r="M52" s="15">
        <f>IF(L52="","",$B$2-L52)</f>
        <v/>
      </c>
    </row>
    <row r="53">
      <c r="A53" s="14">
        <f>IF('隊員マスタ'!A50="","",'隊員マスタ'!A50)</f>
        <v/>
      </c>
      <c r="B53" s="14">
        <f>IF(A53="","",'隊員マスタ'!B50)</f>
        <v/>
      </c>
      <c r="C53" s="14">
        <f>IF(A53="","",'隊員マスタ'!C50)</f>
        <v/>
      </c>
      <c r="D53" s="15">
        <f>IF(A53="","",'隊員マスタ'!D50)</f>
        <v/>
      </c>
      <c r="E53" s="15">
        <f>IF(A53="","",IF(COUNTIFS('資格研修記録'!$A$5:$A$1004,A53,'資格研修記録'!$D$5:$D$1004,"潜水士免許")&gt;0,"有","無"))</f>
        <v/>
      </c>
      <c r="F53" s="15">
        <f>IF(A53="","",IF(COUNTIFS('資格研修記録'!$A$5:$A$1004,A53,'資格研修記録'!$D$5:$D$1004,"水難救助研修")&gt;0,"修了","—"))</f>
        <v/>
      </c>
      <c r="G53" s="14">
        <f>IF(A53="","",IF((IF((COUNTIFS('資格研修記録'!$A$5:$A$1004,A53,'資格研修記録'!$D$5:$D$1004,"小型船舶1級",'資格研修記録'!$F$5:$F$1004,"")+COUNTIFS('資格研修記録'!$A$5:$A$1004,A53,'資格研修記録'!$D$5:$D$1004,"小型船舶1級",'資格研修記録'!$F$5:$F$1004,"&gt;="&amp;TODAY()))&gt;0,"1級",IF((COUNTIFS('資格研修記録'!$A$5:$A$1004,A53,'資格研修記録'!$D$5:$D$1004,"小型船舶2級",'資格研修記録'!$F$5:$F$1004,"")+COUNTIFS('資格研修記録'!$A$5:$A$1004,A53,'資格研修記録'!$D$5:$D$1004,"小型船舶2級",'資格研修記録'!$F$5:$F$1004,"&gt;="&amp;TODAY()))&gt;0,"2級",IF(COUNTIFS('資格研修記録'!$A$5:$A$1004,A53,'資格研修記録'!$D$5:$D$1004,"小型船舶1級")+COUNTIFS('資格研修記録'!$A$5:$A$1004,A53,'資格研修記録'!$D$5:$D$1004,"小型船舶2級")&gt;0,"× 1・2級 期限切れ",""))))&amp;(IF((COUNTIFS('資格研修記録'!$A$5:$A$1004,A53,'資格研修記録'!$D$5:$D$1004,"小型船舶特殊",'資格研修記録'!$F$5:$F$1004,"")+COUNTIFS('資格研修記録'!$A$5:$A$1004,A53,'資格研修記録'!$D$5:$D$1004,"小型船舶特殊",'資格研修記録'!$F$5:$F$1004,"&gt;="&amp;TODAY()))&gt;0,"特殊",IF(COUNTIFS('資格研修記録'!$A$5:$A$1004,A53,'資格研修記録'!$D$5:$D$1004,"小型船舶特殊")&gt;0,"× 特殊 期限切れ","")))="","—",_xlfn.TEXTJOIN("・",TRUE,IF((COUNTIFS('資格研修記録'!$A$5:$A$1004,A53,'資格研修記録'!$D$5:$D$1004,"小型船舶1級",'資格研修記録'!$F$5:$F$1004,"")+COUNTIFS('資格研修記録'!$A$5:$A$1004,A53,'資格研修記録'!$D$5:$D$1004,"小型船舶1級",'資格研修記録'!$F$5:$F$1004,"&gt;="&amp;TODAY()))&gt;0,"1級",IF((COUNTIFS('資格研修記録'!$A$5:$A$1004,A53,'資格研修記録'!$D$5:$D$1004,"小型船舶2級",'資格研修記録'!$F$5:$F$1004,"")+COUNTIFS('資格研修記録'!$A$5:$A$1004,A53,'資格研修記録'!$D$5:$D$1004,"小型船舶2級",'資格研修記録'!$F$5:$F$1004,"&gt;="&amp;TODAY()))&gt;0,"2級",IF(COUNTIFS('資格研修記録'!$A$5:$A$1004,A53,'資格研修記録'!$D$5:$D$1004,"小型船舶1級")+COUNTIFS('資格研修記録'!$A$5:$A$1004,A53,'資格研修記録'!$D$5:$D$1004,"小型船舶2級")&gt;0,"× 1・2級 期限切れ",""))),IF((COUNTIFS('資格研修記録'!$A$5:$A$1004,A53,'資格研修記録'!$D$5:$D$1004,"小型船舶特殊",'資格研修記録'!$F$5:$F$1004,"")+COUNTIFS('資格研修記録'!$A$5:$A$1004,A53,'資格研修記録'!$D$5:$D$1004,"小型船舶特殊",'資格研修記録'!$F$5:$F$1004,"&gt;="&amp;TODAY()))&gt;0,"特殊",IF(COUNTIFS('資格研修記録'!$A$5:$A$1004,A53,'資格研修記録'!$D$5:$D$1004,"小型船舶特殊")&gt;0,"× 特殊 期限切れ","")))))</f>
        <v/>
      </c>
      <c r="H53" s="15">
        <f>IF(A53="","",COUNTIFS('潜水記録'!$B$5:$B$3004,A53,'潜水記録'!$AF$5:$AF$3004,$D$2))</f>
        <v/>
      </c>
      <c r="I53" s="15">
        <f>IF(A53="","",COUNTIF('潜水記録'!$B$5:$B$3004,A53))</f>
        <v/>
      </c>
      <c r="J53" s="15">
        <f>IF(A53="","",SUMIF('潜水記録'!$B$5:$B$3004,A53,'潜水記録'!$H$5:$H$3004))</f>
        <v/>
      </c>
      <c r="K53" s="15">
        <f>IF(A53="","",IF(I53=0,"",_xlfn.MAXIFS('潜水記録'!$G$5:$G$3004,'潜水記録'!$B$5:$B$3004,A53)))</f>
        <v/>
      </c>
      <c r="L53" s="16">
        <f>IF(A53="","",IF(I53=0,"",_xlfn.MAXIFS('潜水記録'!$A$5:$A$3004,'潜水記録'!$B$5:$B$3004,A53)))</f>
        <v/>
      </c>
      <c r="M53" s="15">
        <f>IF(L53="","",$B$2-L53)</f>
        <v/>
      </c>
    </row>
    <row r="54">
      <c r="A54" s="14">
        <f>IF('隊員マスタ'!A51="","",'隊員マスタ'!A51)</f>
        <v/>
      </c>
      <c r="B54" s="14">
        <f>IF(A54="","",'隊員マスタ'!B51)</f>
        <v/>
      </c>
      <c r="C54" s="14">
        <f>IF(A54="","",'隊員マスタ'!C51)</f>
        <v/>
      </c>
      <c r="D54" s="15">
        <f>IF(A54="","",'隊員マスタ'!D51)</f>
        <v/>
      </c>
      <c r="E54" s="15">
        <f>IF(A54="","",IF(COUNTIFS('資格研修記録'!$A$5:$A$1004,A54,'資格研修記録'!$D$5:$D$1004,"潜水士免許")&gt;0,"有","無"))</f>
        <v/>
      </c>
      <c r="F54" s="15">
        <f>IF(A54="","",IF(COUNTIFS('資格研修記録'!$A$5:$A$1004,A54,'資格研修記録'!$D$5:$D$1004,"水難救助研修")&gt;0,"修了","—"))</f>
        <v/>
      </c>
      <c r="G54" s="14">
        <f>IF(A54="","",IF((IF((COUNTIFS('資格研修記録'!$A$5:$A$1004,A54,'資格研修記録'!$D$5:$D$1004,"小型船舶1級",'資格研修記録'!$F$5:$F$1004,"")+COUNTIFS('資格研修記録'!$A$5:$A$1004,A54,'資格研修記録'!$D$5:$D$1004,"小型船舶1級",'資格研修記録'!$F$5:$F$1004,"&gt;="&amp;TODAY()))&gt;0,"1級",IF((COUNTIFS('資格研修記録'!$A$5:$A$1004,A54,'資格研修記録'!$D$5:$D$1004,"小型船舶2級",'資格研修記録'!$F$5:$F$1004,"")+COUNTIFS('資格研修記録'!$A$5:$A$1004,A54,'資格研修記録'!$D$5:$D$1004,"小型船舶2級",'資格研修記録'!$F$5:$F$1004,"&gt;="&amp;TODAY()))&gt;0,"2級",IF(COUNTIFS('資格研修記録'!$A$5:$A$1004,A54,'資格研修記録'!$D$5:$D$1004,"小型船舶1級")+COUNTIFS('資格研修記録'!$A$5:$A$1004,A54,'資格研修記録'!$D$5:$D$1004,"小型船舶2級")&gt;0,"× 1・2級 期限切れ",""))))&amp;(IF((COUNTIFS('資格研修記録'!$A$5:$A$1004,A54,'資格研修記録'!$D$5:$D$1004,"小型船舶特殊",'資格研修記録'!$F$5:$F$1004,"")+COUNTIFS('資格研修記録'!$A$5:$A$1004,A54,'資格研修記録'!$D$5:$D$1004,"小型船舶特殊",'資格研修記録'!$F$5:$F$1004,"&gt;="&amp;TODAY()))&gt;0,"特殊",IF(COUNTIFS('資格研修記録'!$A$5:$A$1004,A54,'資格研修記録'!$D$5:$D$1004,"小型船舶特殊")&gt;0,"× 特殊 期限切れ","")))="","—",_xlfn.TEXTJOIN("・",TRUE,IF((COUNTIFS('資格研修記録'!$A$5:$A$1004,A54,'資格研修記録'!$D$5:$D$1004,"小型船舶1級",'資格研修記録'!$F$5:$F$1004,"")+COUNTIFS('資格研修記録'!$A$5:$A$1004,A54,'資格研修記録'!$D$5:$D$1004,"小型船舶1級",'資格研修記録'!$F$5:$F$1004,"&gt;="&amp;TODAY()))&gt;0,"1級",IF((COUNTIFS('資格研修記録'!$A$5:$A$1004,A54,'資格研修記録'!$D$5:$D$1004,"小型船舶2級",'資格研修記録'!$F$5:$F$1004,"")+COUNTIFS('資格研修記録'!$A$5:$A$1004,A54,'資格研修記録'!$D$5:$D$1004,"小型船舶2級",'資格研修記録'!$F$5:$F$1004,"&gt;="&amp;TODAY()))&gt;0,"2級",IF(COUNTIFS('資格研修記録'!$A$5:$A$1004,A54,'資格研修記録'!$D$5:$D$1004,"小型船舶1級")+COUNTIFS('資格研修記録'!$A$5:$A$1004,A54,'資格研修記録'!$D$5:$D$1004,"小型船舶2級")&gt;0,"× 1・2級 期限切れ",""))),IF((COUNTIFS('資格研修記録'!$A$5:$A$1004,A54,'資格研修記録'!$D$5:$D$1004,"小型船舶特殊",'資格研修記録'!$F$5:$F$1004,"")+COUNTIFS('資格研修記録'!$A$5:$A$1004,A54,'資格研修記録'!$D$5:$D$1004,"小型船舶特殊",'資格研修記録'!$F$5:$F$1004,"&gt;="&amp;TODAY()))&gt;0,"特殊",IF(COUNTIFS('資格研修記録'!$A$5:$A$1004,A54,'資格研修記録'!$D$5:$D$1004,"小型船舶特殊")&gt;0,"× 特殊 期限切れ","")))))</f>
        <v/>
      </c>
      <c r="H54" s="15">
        <f>IF(A54="","",COUNTIFS('潜水記録'!$B$5:$B$3004,A54,'潜水記録'!$AF$5:$AF$3004,$D$2))</f>
        <v/>
      </c>
      <c r="I54" s="15">
        <f>IF(A54="","",COUNTIF('潜水記録'!$B$5:$B$3004,A54))</f>
        <v/>
      </c>
      <c r="J54" s="15">
        <f>IF(A54="","",SUMIF('潜水記録'!$B$5:$B$3004,A54,'潜水記録'!$H$5:$H$3004))</f>
        <v/>
      </c>
      <c r="K54" s="15">
        <f>IF(A54="","",IF(I54=0,"",_xlfn.MAXIFS('潜水記録'!$G$5:$G$3004,'潜水記録'!$B$5:$B$3004,A54)))</f>
        <v/>
      </c>
      <c r="L54" s="16">
        <f>IF(A54="","",IF(I54=0,"",_xlfn.MAXIFS('潜水記録'!$A$5:$A$3004,'潜水記録'!$B$5:$B$3004,A54)))</f>
        <v/>
      </c>
      <c r="M54" s="15">
        <f>IF(L54="","",$B$2-L54)</f>
        <v/>
      </c>
    </row>
    <row r="55">
      <c r="A55" s="14">
        <f>IF('隊員マスタ'!A52="","",'隊員マスタ'!A52)</f>
        <v/>
      </c>
      <c r="B55" s="14">
        <f>IF(A55="","",'隊員マスタ'!B52)</f>
        <v/>
      </c>
      <c r="C55" s="14">
        <f>IF(A55="","",'隊員マスタ'!C52)</f>
        <v/>
      </c>
      <c r="D55" s="15">
        <f>IF(A55="","",'隊員マスタ'!D52)</f>
        <v/>
      </c>
      <c r="E55" s="15">
        <f>IF(A55="","",IF(COUNTIFS('資格研修記録'!$A$5:$A$1004,A55,'資格研修記録'!$D$5:$D$1004,"潜水士免許")&gt;0,"有","無"))</f>
        <v/>
      </c>
      <c r="F55" s="15">
        <f>IF(A55="","",IF(COUNTIFS('資格研修記録'!$A$5:$A$1004,A55,'資格研修記録'!$D$5:$D$1004,"水難救助研修")&gt;0,"修了","—"))</f>
        <v/>
      </c>
      <c r="G55" s="14">
        <f>IF(A55="","",IF((IF((COUNTIFS('資格研修記録'!$A$5:$A$1004,A55,'資格研修記録'!$D$5:$D$1004,"小型船舶1級",'資格研修記録'!$F$5:$F$1004,"")+COUNTIFS('資格研修記録'!$A$5:$A$1004,A55,'資格研修記録'!$D$5:$D$1004,"小型船舶1級",'資格研修記録'!$F$5:$F$1004,"&gt;="&amp;TODAY()))&gt;0,"1級",IF((COUNTIFS('資格研修記録'!$A$5:$A$1004,A55,'資格研修記録'!$D$5:$D$1004,"小型船舶2級",'資格研修記録'!$F$5:$F$1004,"")+COUNTIFS('資格研修記録'!$A$5:$A$1004,A55,'資格研修記録'!$D$5:$D$1004,"小型船舶2級",'資格研修記録'!$F$5:$F$1004,"&gt;="&amp;TODAY()))&gt;0,"2級",IF(COUNTIFS('資格研修記録'!$A$5:$A$1004,A55,'資格研修記録'!$D$5:$D$1004,"小型船舶1級")+COUNTIFS('資格研修記録'!$A$5:$A$1004,A55,'資格研修記録'!$D$5:$D$1004,"小型船舶2級")&gt;0,"× 1・2級 期限切れ",""))))&amp;(IF((COUNTIFS('資格研修記録'!$A$5:$A$1004,A55,'資格研修記録'!$D$5:$D$1004,"小型船舶特殊",'資格研修記録'!$F$5:$F$1004,"")+COUNTIFS('資格研修記録'!$A$5:$A$1004,A55,'資格研修記録'!$D$5:$D$1004,"小型船舶特殊",'資格研修記録'!$F$5:$F$1004,"&gt;="&amp;TODAY()))&gt;0,"特殊",IF(COUNTIFS('資格研修記録'!$A$5:$A$1004,A55,'資格研修記録'!$D$5:$D$1004,"小型船舶特殊")&gt;0,"× 特殊 期限切れ","")))="","—",_xlfn.TEXTJOIN("・",TRUE,IF((COUNTIFS('資格研修記録'!$A$5:$A$1004,A55,'資格研修記録'!$D$5:$D$1004,"小型船舶1級",'資格研修記録'!$F$5:$F$1004,"")+COUNTIFS('資格研修記録'!$A$5:$A$1004,A55,'資格研修記録'!$D$5:$D$1004,"小型船舶1級",'資格研修記録'!$F$5:$F$1004,"&gt;="&amp;TODAY()))&gt;0,"1級",IF((COUNTIFS('資格研修記録'!$A$5:$A$1004,A55,'資格研修記録'!$D$5:$D$1004,"小型船舶2級",'資格研修記録'!$F$5:$F$1004,"")+COUNTIFS('資格研修記録'!$A$5:$A$1004,A55,'資格研修記録'!$D$5:$D$1004,"小型船舶2級",'資格研修記録'!$F$5:$F$1004,"&gt;="&amp;TODAY()))&gt;0,"2級",IF(COUNTIFS('資格研修記録'!$A$5:$A$1004,A55,'資格研修記録'!$D$5:$D$1004,"小型船舶1級")+COUNTIFS('資格研修記録'!$A$5:$A$1004,A55,'資格研修記録'!$D$5:$D$1004,"小型船舶2級")&gt;0,"× 1・2級 期限切れ",""))),IF((COUNTIFS('資格研修記録'!$A$5:$A$1004,A55,'資格研修記録'!$D$5:$D$1004,"小型船舶特殊",'資格研修記録'!$F$5:$F$1004,"")+COUNTIFS('資格研修記録'!$A$5:$A$1004,A55,'資格研修記録'!$D$5:$D$1004,"小型船舶特殊",'資格研修記録'!$F$5:$F$1004,"&gt;="&amp;TODAY()))&gt;0,"特殊",IF(COUNTIFS('資格研修記録'!$A$5:$A$1004,A55,'資格研修記録'!$D$5:$D$1004,"小型船舶特殊")&gt;0,"× 特殊 期限切れ","")))))</f>
        <v/>
      </c>
      <c r="H55" s="15">
        <f>IF(A55="","",COUNTIFS('潜水記録'!$B$5:$B$3004,A55,'潜水記録'!$AF$5:$AF$3004,$D$2))</f>
        <v/>
      </c>
      <c r="I55" s="15">
        <f>IF(A55="","",COUNTIF('潜水記録'!$B$5:$B$3004,A55))</f>
        <v/>
      </c>
      <c r="J55" s="15">
        <f>IF(A55="","",SUMIF('潜水記録'!$B$5:$B$3004,A55,'潜水記録'!$H$5:$H$3004))</f>
        <v/>
      </c>
      <c r="K55" s="15">
        <f>IF(A55="","",IF(I55=0,"",_xlfn.MAXIFS('潜水記録'!$G$5:$G$3004,'潜水記録'!$B$5:$B$3004,A55)))</f>
        <v/>
      </c>
      <c r="L55" s="16">
        <f>IF(A55="","",IF(I55=0,"",_xlfn.MAXIFS('潜水記録'!$A$5:$A$3004,'潜水記録'!$B$5:$B$3004,A55)))</f>
        <v/>
      </c>
      <c r="M55" s="15">
        <f>IF(L55="","",$B$2-L55)</f>
        <v/>
      </c>
    </row>
    <row r="56">
      <c r="A56" s="14">
        <f>IF('隊員マスタ'!A53="","",'隊員マスタ'!A53)</f>
        <v/>
      </c>
      <c r="B56" s="14">
        <f>IF(A56="","",'隊員マスタ'!B53)</f>
        <v/>
      </c>
      <c r="C56" s="14">
        <f>IF(A56="","",'隊員マスタ'!C53)</f>
        <v/>
      </c>
      <c r="D56" s="15">
        <f>IF(A56="","",'隊員マスタ'!D53)</f>
        <v/>
      </c>
      <c r="E56" s="15">
        <f>IF(A56="","",IF(COUNTIFS('資格研修記録'!$A$5:$A$1004,A56,'資格研修記録'!$D$5:$D$1004,"潜水士免許")&gt;0,"有","無"))</f>
        <v/>
      </c>
      <c r="F56" s="15">
        <f>IF(A56="","",IF(COUNTIFS('資格研修記録'!$A$5:$A$1004,A56,'資格研修記録'!$D$5:$D$1004,"水難救助研修")&gt;0,"修了","—"))</f>
        <v/>
      </c>
      <c r="G56" s="14">
        <f>IF(A56="","",IF((IF((COUNTIFS('資格研修記録'!$A$5:$A$1004,A56,'資格研修記録'!$D$5:$D$1004,"小型船舶1級",'資格研修記録'!$F$5:$F$1004,"")+COUNTIFS('資格研修記録'!$A$5:$A$1004,A56,'資格研修記録'!$D$5:$D$1004,"小型船舶1級",'資格研修記録'!$F$5:$F$1004,"&gt;="&amp;TODAY()))&gt;0,"1級",IF((COUNTIFS('資格研修記録'!$A$5:$A$1004,A56,'資格研修記録'!$D$5:$D$1004,"小型船舶2級",'資格研修記録'!$F$5:$F$1004,"")+COUNTIFS('資格研修記録'!$A$5:$A$1004,A56,'資格研修記録'!$D$5:$D$1004,"小型船舶2級",'資格研修記録'!$F$5:$F$1004,"&gt;="&amp;TODAY()))&gt;0,"2級",IF(COUNTIFS('資格研修記録'!$A$5:$A$1004,A56,'資格研修記録'!$D$5:$D$1004,"小型船舶1級")+COUNTIFS('資格研修記録'!$A$5:$A$1004,A56,'資格研修記録'!$D$5:$D$1004,"小型船舶2級")&gt;0,"× 1・2級 期限切れ",""))))&amp;(IF((COUNTIFS('資格研修記録'!$A$5:$A$1004,A56,'資格研修記録'!$D$5:$D$1004,"小型船舶特殊",'資格研修記録'!$F$5:$F$1004,"")+COUNTIFS('資格研修記録'!$A$5:$A$1004,A56,'資格研修記録'!$D$5:$D$1004,"小型船舶特殊",'資格研修記録'!$F$5:$F$1004,"&gt;="&amp;TODAY()))&gt;0,"特殊",IF(COUNTIFS('資格研修記録'!$A$5:$A$1004,A56,'資格研修記録'!$D$5:$D$1004,"小型船舶特殊")&gt;0,"× 特殊 期限切れ","")))="","—",_xlfn.TEXTJOIN("・",TRUE,IF((COUNTIFS('資格研修記録'!$A$5:$A$1004,A56,'資格研修記録'!$D$5:$D$1004,"小型船舶1級",'資格研修記録'!$F$5:$F$1004,"")+COUNTIFS('資格研修記録'!$A$5:$A$1004,A56,'資格研修記録'!$D$5:$D$1004,"小型船舶1級",'資格研修記録'!$F$5:$F$1004,"&gt;="&amp;TODAY()))&gt;0,"1級",IF((COUNTIFS('資格研修記録'!$A$5:$A$1004,A56,'資格研修記録'!$D$5:$D$1004,"小型船舶2級",'資格研修記録'!$F$5:$F$1004,"")+COUNTIFS('資格研修記録'!$A$5:$A$1004,A56,'資格研修記録'!$D$5:$D$1004,"小型船舶2級",'資格研修記録'!$F$5:$F$1004,"&gt;="&amp;TODAY()))&gt;0,"2級",IF(COUNTIFS('資格研修記録'!$A$5:$A$1004,A56,'資格研修記録'!$D$5:$D$1004,"小型船舶1級")+COUNTIFS('資格研修記録'!$A$5:$A$1004,A56,'資格研修記録'!$D$5:$D$1004,"小型船舶2級")&gt;0,"× 1・2級 期限切れ",""))),IF((COUNTIFS('資格研修記録'!$A$5:$A$1004,A56,'資格研修記録'!$D$5:$D$1004,"小型船舶特殊",'資格研修記録'!$F$5:$F$1004,"")+COUNTIFS('資格研修記録'!$A$5:$A$1004,A56,'資格研修記録'!$D$5:$D$1004,"小型船舶特殊",'資格研修記録'!$F$5:$F$1004,"&gt;="&amp;TODAY()))&gt;0,"特殊",IF(COUNTIFS('資格研修記録'!$A$5:$A$1004,A56,'資格研修記録'!$D$5:$D$1004,"小型船舶特殊")&gt;0,"× 特殊 期限切れ","")))))</f>
        <v/>
      </c>
      <c r="H56" s="15">
        <f>IF(A56="","",COUNTIFS('潜水記録'!$B$5:$B$3004,A56,'潜水記録'!$AF$5:$AF$3004,$D$2))</f>
        <v/>
      </c>
      <c r="I56" s="15">
        <f>IF(A56="","",COUNTIF('潜水記録'!$B$5:$B$3004,A56))</f>
        <v/>
      </c>
      <c r="J56" s="15">
        <f>IF(A56="","",SUMIF('潜水記録'!$B$5:$B$3004,A56,'潜水記録'!$H$5:$H$3004))</f>
        <v/>
      </c>
      <c r="K56" s="15">
        <f>IF(A56="","",IF(I56=0,"",_xlfn.MAXIFS('潜水記録'!$G$5:$G$3004,'潜水記録'!$B$5:$B$3004,A56)))</f>
        <v/>
      </c>
      <c r="L56" s="16">
        <f>IF(A56="","",IF(I56=0,"",_xlfn.MAXIFS('潜水記録'!$A$5:$A$3004,'潜水記録'!$B$5:$B$3004,A56)))</f>
        <v/>
      </c>
      <c r="M56" s="15">
        <f>IF(L56="","",$B$2-L56)</f>
        <v/>
      </c>
    </row>
    <row r="57">
      <c r="A57" s="14">
        <f>IF('隊員マスタ'!A54="","",'隊員マスタ'!A54)</f>
        <v/>
      </c>
      <c r="B57" s="14">
        <f>IF(A57="","",'隊員マスタ'!B54)</f>
        <v/>
      </c>
      <c r="C57" s="14">
        <f>IF(A57="","",'隊員マスタ'!C54)</f>
        <v/>
      </c>
      <c r="D57" s="15">
        <f>IF(A57="","",'隊員マスタ'!D54)</f>
        <v/>
      </c>
      <c r="E57" s="15">
        <f>IF(A57="","",IF(COUNTIFS('資格研修記録'!$A$5:$A$1004,A57,'資格研修記録'!$D$5:$D$1004,"潜水士免許")&gt;0,"有","無"))</f>
        <v/>
      </c>
      <c r="F57" s="15">
        <f>IF(A57="","",IF(COUNTIFS('資格研修記録'!$A$5:$A$1004,A57,'資格研修記録'!$D$5:$D$1004,"水難救助研修")&gt;0,"修了","—"))</f>
        <v/>
      </c>
      <c r="G57" s="14">
        <f>IF(A57="","",IF((IF((COUNTIFS('資格研修記録'!$A$5:$A$1004,A57,'資格研修記録'!$D$5:$D$1004,"小型船舶1級",'資格研修記録'!$F$5:$F$1004,"")+COUNTIFS('資格研修記録'!$A$5:$A$1004,A57,'資格研修記録'!$D$5:$D$1004,"小型船舶1級",'資格研修記録'!$F$5:$F$1004,"&gt;="&amp;TODAY()))&gt;0,"1級",IF((COUNTIFS('資格研修記録'!$A$5:$A$1004,A57,'資格研修記録'!$D$5:$D$1004,"小型船舶2級",'資格研修記録'!$F$5:$F$1004,"")+COUNTIFS('資格研修記録'!$A$5:$A$1004,A57,'資格研修記録'!$D$5:$D$1004,"小型船舶2級",'資格研修記録'!$F$5:$F$1004,"&gt;="&amp;TODAY()))&gt;0,"2級",IF(COUNTIFS('資格研修記録'!$A$5:$A$1004,A57,'資格研修記録'!$D$5:$D$1004,"小型船舶1級")+COUNTIFS('資格研修記録'!$A$5:$A$1004,A57,'資格研修記録'!$D$5:$D$1004,"小型船舶2級")&gt;0,"× 1・2級 期限切れ",""))))&amp;(IF((COUNTIFS('資格研修記録'!$A$5:$A$1004,A57,'資格研修記録'!$D$5:$D$1004,"小型船舶特殊",'資格研修記録'!$F$5:$F$1004,"")+COUNTIFS('資格研修記録'!$A$5:$A$1004,A57,'資格研修記録'!$D$5:$D$1004,"小型船舶特殊",'資格研修記録'!$F$5:$F$1004,"&gt;="&amp;TODAY()))&gt;0,"特殊",IF(COUNTIFS('資格研修記録'!$A$5:$A$1004,A57,'資格研修記録'!$D$5:$D$1004,"小型船舶特殊")&gt;0,"× 特殊 期限切れ","")))="","—",_xlfn.TEXTJOIN("・",TRUE,IF((COUNTIFS('資格研修記録'!$A$5:$A$1004,A57,'資格研修記録'!$D$5:$D$1004,"小型船舶1級",'資格研修記録'!$F$5:$F$1004,"")+COUNTIFS('資格研修記録'!$A$5:$A$1004,A57,'資格研修記録'!$D$5:$D$1004,"小型船舶1級",'資格研修記録'!$F$5:$F$1004,"&gt;="&amp;TODAY()))&gt;0,"1級",IF((COUNTIFS('資格研修記録'!$A$5:$A$1004,A57,'資格研修記録'!$D$5:$D$1004,"小型船舶2級",'資格研修記録'!$F$5:$F$1004,"")+COUNTIFS('資格研修記録'!$A$5:$A$1004,A57,'資格研修記録'!$D$5:$D$1004,"小型船舶2級",'資格研修記録'!$F$5:$F$1004,"&gt;="&amp;TODAY()))&gt;0,"2級",IF(COUNTIFS('資格研修記録'!$A$5:$A$1004,A57,'資格研修記録'!$D$5:$D$1004,"小型船舶1級")+COUNTIFS('資格研修記録'!$A$5:$A$1004,A57,'資格研修記録'!$D$5:$D$1004,"小型船舶2級")&gt;0,"× 1・2級 期限切れ",""))),IF((COUNTIFS('資格研修記録'!$A$5:$A$1004,A57,'資格研修記録'!$D$5:$D$1004,"小型船舶特殊",'資格研修記録'!$F$5:$F$1004,"")+COUNTIFS('資格研修記録'!$A$5:$A$1004,A57,'資格研修記録'!$D$5:$D$1004,"小型船舶特殊",'資格研修記録'!$F$5:$F$1004,"&gt;="&amp;TODAY()))&gt;0,"特殊",IF(COUNTIFS('資格研修記録'!$A$5:$A$1004,A57,'資格研修記録'!$D$5:$D$1004,"小型船舶特殊")&gt;0,"× 特殊 期限切れ","")))))</f>
        <v/>
      </c>
      <c r="H57" s="15">
        <f>IF(A57="","",COUNTIFS('潜水記録'!$B$5:$B$3004,A57,'潜水記録'!$AF$5:$AF$3004,$D$2))</f>
        <v/>
      </c>
      <c r="I57" s="15">
        <f>IF(A57="","",COUNTIF('潜水記録'!$B$5:$B$3004,A57))</f>
        <v/>
      </c>
      <c r="J57" s="15">
        <f>IF(A57="","",SUMIF('潜水記録'!$B$5:$B$3004,A57,'潜水記録'!$H$5:$H$3004))</f>
        <v/>
      </c>
      <c r="K57" s="15">
        <f>IF(A57="","",IF(I57=0,"",_xlfn.MAXIFS('潜水記録'!$G$5:$G$3004,'潜水記録'!$B$5:$B$3004,A57)))</f>
        <v/>
      </c>
      <c r="L57" s="16">
        <f>IF(A57="","",IF(I57=0,"",_xlfn.MAXIFS('潜水記録'!$A$5:$A$3004,'潜水記録'!$B$5:$B$3004,A57)))</f>
        <v/>
      </c>
      <c r="M57" s="15">
        <f>IF(L57="","",$B$2-L57)</f>
        <v/>
      </c>
    </row>
    <row r="58">
      <c r="A58" s="14">
        <f>IF('隊員マスタ'!A55="","",'隊員マスタ'!A55)</f>
        <v/>
      </c>
      <c r="B58" s="14">
        <f>IF(A58="","",'隊員マスタ'!B55)</f>
        <v/>
      </c>
      <c r="C58" s="14">
        <f>IF(A58="","",'隊員マスタ'!C55)</f>
        <v/>
      </c>
      <c r="D58" s="15">
        <f>IF(A58="","",'隊員マスタ'!D55)</f>
        <v/>
      </c>
      <c r="E58" s="15">
        <f>IF(A58="","",IF(COUNTIFS('資格研修記録'!$A$5:$A$1004,A58,'資格研修記録'!$D$5:$D$1004,"潜水士免許")&gt;0,"有","無"))</f>
        <v/>
      </c>
      <c r="F58" s="15">
        <f>IF(A58="","",IF(COUNTIFS('資格研修記録'!$A$5:$A$1004,A58,'資格研修記録'!$D$5:$D$1004,"水難救助研修")&gt;0,"修了","—"))</f>
        <v/>
      </c>
      <c r="G58" s="14">
        <f>IF(A58="","",IF((IF((COUNTIFS('資格研修記録'!$A$5:$A$1004,A58,'資格研修記録'!$D$5:$D$1004,"小型船舶1級",'資格研修記録'!$F$5:$F$1004,"")+COUNTIFS('資格研修記録'!$A$5:$A$1004,A58,'資格研修記録'!$D$5:$D$1004,"小型船舶1級",'資格研修記録'!$F$5:$F$1004,"&gt;="&amp;TODAY()))&gt;0,"1級",IF((COUNTIFS('資格研修記録'!$A$5:$A$1004,A58,'資格研修記録'!$D$5:$D$1004,"小型船舶2級",'資格研修記録'!$F$5:$F$1004,"")+COUNTIFS('資格研修記録'!$A$5:$A$1004,A58,'資格研修記録'!$D$5:$D$1004,"小型船舶2級",'資格研修記録'!$F$5:$F$1004,"&gt;="&amp;TODAY()))&gt;0,"2級",IF(COUNTIFS('資格研修記録'!$A$5:$A$1004,A58,'資格研修記録'!$D$5:$D$1004,"小型船舶1級")+COUNTIFS('資格研修記録'!$A$5:$A$1004,A58,'資格研修記録'!$D$5:$D$1004,"小型船舶2級")&gt;0,"× 1・2級 期限切れ",""))))&amp;(IF((COUNTIFS('資格研修記録'!$A$5:$A$1004,A58,'資格研修記録'!$D$5:$D$1004,"小型船舶特殊",'資格研修記録'!$F$5:$F$1004,"")+COUNTIFS('資格研修記録'!$A$5:$A$1004,A58,'資格研修記録'!$D$5:$D$1004,"小型船舶特殊",'資格研修記録'!$F$5:$F$1004,"&gt;="&amp;TODAY()))&gt;0,"特殊",IF(COUNTIFS('資格研修記録'!$A$5:$A$1004,A58,'資格研修記録'!$D$5:$D$1004,"小型船舶特殊")&gt;0,"× 特殊 期限切れ","")))="","—",_xlfn.TEXTJOIN("・",TRUE,IF((COUNTIFS('資格研修記録'!$A$5:$A$1004,A58,'資格研修記録'!$D$5:$D$1004,"小型船舶1級",'資格研修記録'!$F$5:$F$1004,"")+COUNTIFS('資格研修記録'!$A$5:$A$1004,A58,'資格研修記録'!$D$5:$D$1004,"小型船舶1級",'資格研修記録'!$F$5:$F$1004,"&gt;="&amp;TODAY()))&gt;0,"1級",IF((COUNTIFS('資格研修記録'!$A$5:$A$1004,A58,'資格研修記録'!$D$5:$D$1004,"小型船舶2級",'資格研修記録'!$F$5:$F$1004,"")+COUNTIFS('資格研修記録'!$A$5:$A$1004,A58,'資格研修記録'!$D$5:$D$1004,"小型船舶2級",'資格研修記録'!$F$5:$F$1004,"&gt;="&amp;TODAY()))&gt;0,"2級",IF(COUNTIFS('資格研修記録'!$A$5:$A$1004,A58,'資格研修記録'!$D$5:$D$1004,"小型船舶1級")+COUNTIFS('資格研修記録'!$A$5:$A$1004,A58,'資格研修記録'!$D$5:$D$1004,"小型船舶2級")&gt;0,"× 1・2級 期限切れ",""))),IF((COUNTIFS('資格研修記録'!$A$5:$A$1004,A58,'資格研修記録'!$D$5:$D$1004,"小型船舶特殊",'資格研修記録'!$F$5:$F$1004,"")+COUNTIFS('資格研修記録'!$A$5:$A$1004,A58,'資格研修記録'!$D$5:$D$1004,"小型船舶特殊",'資格研修記録'!$F$5:$F$1004,"&gt;="&amp;TODAY()))&gt;0,"特殊",IF(COUNTIFS('資格研修記録'!$A$5:$A$1004,A58,'資格研修記録'!$D$5:$D$1004,"小型船舶特殊")&gt;0,"× 特殊 期限切れ","")))))</f>
        <v/>
      </c>
      <c r="H58" s="15">
        <f>IF(A58="","",COUNTIFS('潜水記録'!$B$5:$B$3004,A58,'潜水記録'!$AF$5:$AF$3004,$D$2))</f>
        <v/>
      </c>
      <c r="I58" s="15">
        <f>IF(A58="","",COUNTIF('潜水記録'!$B$5:$B$3004,A58))</f>
        <v/>
      </c>
      <c r="J58" s="15">
        <f>IF(A58="","",SUMIF('潜水記録'!$B$5:$B$3004,A58,'潜水記録'!$H$5:$H$3004))</f>
        <v/>
      </c>
      <c r="K58" s="15">
        <f>IF(A58="","",IF(I58=0,"",_xlfn.MAXIFS('潜水記録'!$G$5:$G$3004,'潜水記録'!$B$5:$B$3004,A58)))</f>
        <v/>
      </c>
      <c r="L58" s="16">
        <f>IF(A58="","",IF(I58=0,"",_xlfn.MAXIFS('潜水記録'!$A$5:$A$3004,'潜水記録'!$B$5:$B$3004,A58)))</f>
        <v/>
      </c>
      <c r="M58" s="15">
        <f>IF(L58="","",$B$2-L58)</f>
        <v/>
      </c>
    </row>
    <row r="59">
      <c r="A59" s="14">
        <f>IF('隊員マスタ'!A56="","",'隊員マスタ'!A56)</f>
        <v/>
      </c>
      <c r="B59" s="14">
        <f>IF(A59="","",'隊員マスタ'!B56)</f>
        <v/>
      </c>
      <c r="C59" s="14">
        <f>IF(A59="","",'隊員マスタ'!C56)</f>
        <v/>
      </c>
      <c r="D59" s="15">
        <f>IF(A59="","",'隊員マスタ'!D56)</f>
        <v/>
      </c>
      <c r="E59" s="15">
        <f>IF(A59="","",IF(COUNTIFS('資格研修記録'!$A$5:$A$1004,A59,'資格研修記録'!$D$5:$D$1004,"潜水士免許")&gt;0,"有","無"))</f>
        <v/>
      </c>
      <c r="F59" s="15">
        <f>IF(A59="","",IF(COUNTIFS('資格研修記録'!$A$5:$A$1004,A59,'資格研修記録'!$D$5:$D$1004,"水難救助研修")&gt;0,"修了","—"))</f>
        <v/>
      </c>
      <c r="G59" s="14">
        <f>IF(A59="","",IF((IF((COUNTIFS('資格研修記録'!$A$5:$A$1004,A59,'資格研修記録'!$D$5:$D$1004,"小型船舶1級",'資格研修記録'!$F$5:$F$1004,"")+COUNTIFS('資格研修記録'!$A$5:$A$1004,A59,'資格研修記録'!$D$5:$D$1004,"小型船舶1級",'資格研修記録'!$F$5:$F$1004,"&gt;="&amp;TODAY()))&gt;0,"1級",IF((COUNTIFS('資格研修記録'!$A$5:$A$1004,A59,'資格研修記録'!$D$5:$D$1004,"小型船舶2級",'資格研修記録'!$F$5:$F$1004,"")+COUNTIFS('資格研修記録'!$A$5:$A$1004,A59,'資格研修記録'!$D$5:$D$1004,"小型船舶2級",'資格研修記録'!$F$5:$F$1004,"&gt;="&amp;TODAY()))&gt;0,"2級",IF(COUNTIFS('資格研修記録'!$A$5:$A$1004,A59,'資格研修記録'!$D$5:$D$1004,"小型船舶1級")+COUNTIFS('資格研修記録'!$A$5:$A$1004,A59,'資格研修記録'!$D$5:$D$1004,"小型船舶2級")&gt;0,"× 1・2級 期限切れ",""))))&amp;(IF((COUNTIFS('資格研修記録'!$A$5:$A$1004,A59,'資格研修記録'!$D$5:$D$1004,"小型船舶特殊",'資格研修記録'!$F$5:$F$1004,"")+COUNTIFS('資格研修記録'!$A$5:$A$1004,A59,'資格研修記録'!$D$5:$D$1004,"小型船舶特殊",'資格研修記録'!$F$5:$F$1004,"&gt;="&amp;TODAY()))&gt;0,"特殊",IF(COUNTIFS('資格研修記録'!$A$5:$A$1004,A59,'資格研修記録'!$D$5:$D$1004,"小型船舶特殊")&gt;0,"× 特殊 期限切れ","")))="","—",_xlfn.TEXTJOIN("・",TRUE,IF((COUNTIFS('資格研修記録'!$A$5:$A$1004,A59,'資格研修記録'!$D$5:$D$1004,"小型船舶1級",'資格研修記録'!$F$5:$F$1004,"")+COUNTIFS('資格研修記録'!$A$5:$A$1004,A59,'資格研修記録'!$D$5:$D$1004,"小型船舶1級",'資格研修記録'!$F$5:$F$1004,"&gt;="&amp;TODAY()))&gt;0,"1級",IF((COUNTIFS('資格研修記録'!$A$5:$A$1004,A59,'資格研修記録'!$D$5:$D$1004,"小型船舶2級",'資格研修記録'!$F$5:$F$1004,"")+COUNTIFS('資格研修記録'!$A$5:$A$1004,A59,'資格研修記録'!$D$5:$D$1004,"小型船舶2級",'資格研修記録'!$F$5:$F$1004,"&gt;="&amp;TODAY()))&gt;0,"2級",IF(COUNTIFS('資格研修記録'!$A$5:$A$1004,A59,'資格研修記録'!$D$5:$D$1004,"小型船舶1級")+COUNTIFS('資格研修記録'!$A$5:$A$1004,A59,'資格研修記録'!$D$5:$D$1004,"小型船舶2級")&gt;0,"× 1・2級 期限切れ",""))),IF((COUNTIFS('資格研修記録'!$A$5:$A$1004,A59,'資格研修記録'!$D$5:$D$1004,"小型船舶特殊",'資格研修記録'!$F$5:$F$1004,"")+COUNTIFS('資格研修記録'!$A$5:$A$1004,A59,'資格研修記録'!$D$5:$D$1004,"小型船舶特殊",'資格研修記録'!$F$5:$F$1004,"&gt;="&amp;TODAY()))&gt;0,"特殊",IF(COUNTIFS('資格研修記録'!$A$5:$A$1004,A59,'資格研修記録'!$D$5:$D$1004,"小型船舶特殊")&gt;0,"× 特殊 期限切れ","")))))</f>
        <v/>
      </c>
      <c r="H59" s="15">
        <f>IF(A59="","",COUNTIFS('潜水記録'!$B$5:$B$3004,A59,'潜水記録'!$AF$5:$AF$3004,$D$2))</f>
        <v/>
      </c>
      <c r="I59" s="15">
        <f>IF(A59="","",COUNTIF('潜水記録'!$B$5:$B$3004,A59))</f>
        <v/>
      </c>
      <c r="J59" s="15">
        <f>IF(A59="","",SUMIF('潜水記録'!$B$5:$B$3004,A59,'潜水記録'!$H$5:$H$3004))</f>
        <v/>
      </c>
      <c r="K59" s="15">
        <f>IF(A59="","",IF(I59=0,"",_xlfn.MAXIFS('潜水記録'!$G$5:$G$3004,'潜水記録'!$B$5:$B$3004,A59)))</f>
        <v/>
      </c>
      <c r="L59" s="16">
        <f>IF(A59="","",IF(I59=0,"",_xlfn.MAXIFS('潜水記録'!$A$5:$A$3004,'潜水記録'!$B$5:$B$3004,A59)))</f>
        <v/>
      </c>
      <c r="M59" s="15">
        <f>IF(L59="","",$B$2-L59)</f>
        <v/>
      </c>
    </row>
    <row r="60">
      <c r="A60" s="14">
        <f>IF('隊員マスタ'!A57="","",'隊員マスタ'!A57)</f>
        <v/>
      </c>
      <c r="B60" s="14">
        <f>IF(A60="","",'隊員マスタ'!B57)</f>
        <v/>
      </c>
      <c r="C60" s="14">
        <f>IF(A60="","",'隊員マスタ'!C57)</f>
        <v/>
      </c>
      <c r="D60" s="15">
        <f>IF(A60="","",'隊員マスタ'!D57)</f>
        <v/>
      </c>
      <c r="E60" s="15">
        <f>IF(A60="","",IF(COUNTIFS('資格研修記録'!$A$5:$A$1004,A60,'資格研修記録'!$D$5:$D$1004,"潜水士免許")&gt;0,"有","無"))</f>
        <v/>
      </c>
      <c r="F60" s="15">
        <f>IF(A60="","",IF(COUNTIFS('資格研修記録'!$A$5:$A$1004,A60,'資格研修記録'!$D$5:$D$1004,"水難救助研修")&gt;0,"修了","—"))</f>
        <v/>
      </c>
      <c r="G60" s="14">
        <f>IF(A60="","",IF((IF((COUNTIFS('資格研修記録'!$A$5:$A$1004,A60,'資格研修記録'!$D$5:$D$1004,"小型船舶1級",'資格研修記録'!$F$5:$F$1004,"")+COUNTIFS('資格研修記録'!$A$5:$A$1004,A60,'資格研修記録'!$D$5:$D$1004,"小型船舶1級",'資格研修記録'!$F$5:$F$1004,"&gt;="&amp;TODAY()))&gt;0,"1級",IF((COUNTIFS('資格研修記録'!$A$5:$A$1004,A60,'資格研修記録'!$D$5:$D$1004,"小型船舶2級",'資格研修記録'!$F$5:$F$1004,"")+COUNTIFS('資格研修記録'!$A$5:$A$1004,A60,'資格研修記録'!$D$5:$D$1004,"小型船舶2級",'資格研修記録'!$F$5:$F$1004,"&gt;="&amp;TODAY()))&gt;0,"2級",IF(COUNTIFS('資格研修記録'!$A$5:$A$1004,A60,'資格研修記録'!$D$5:$D$1004,"小型船舶1級")+COUNTIFS('資格研修記録'!$A$5:$A$1004,A60,'資格研修記録'!$D$5:$D$1004,"小型船舶2級")&gt;0,"× 1・2級 期限切れ",""))))&amp;(IF((COUNTIFS('資格研修記録'!$A$5:$A$1004,A60,'資格研修記録'!$D$5:$D$1004,"小型船舶特殊",'資格研修記録'!$F$5:$F$1004,"")+COUNTIFS('資格研修記録'!$A$5:$A$1004,A60,'資格研修記録'!$D$5:$D$1004,"小型船舶特殊",'資格研修記録'!$F$5:$F$1004,"&gt;="&amp;TODAY()))&gt;0,"特殊",IF(COUNTIFS('資格研修記録'!$A$5:$A$1004,A60,'資格研修記録'!$D$5:$D$1004,"小型船舶特殊")&gt;0,"× 特殊 期限切れ","")))="","—",_xlfn.TEXTJOIN("・",TRUE,IF((COUNTIFS('資格研修記録'!$A$5:$A$1004,A60,'資格研修記録'!$D$5:$D$1004,"小型船舶1級",'資格研修記録'!$F$5:$F$1004,"")+COUNTIFS('資格研修記録'!$A$5:$A$1004,A60,'資格研修記録'!$D$5:$D$1004,"小型船舶1級",'資格研修記録'!$F$5:$F$1004,"&gt;="&amp;TODAY()))&gt;0,"1級",IF((COUNTIFS('資格研修記録'!$A$5:$A$1004,A60,'資格研修記録'!$D$5:$D$1004,"小型船舶2級",'資格研修記録'!$F$5:$F$1004,"")+COUNTIFS('資格研修記録'!$A$5:$A$1004,A60,'資格研修記録'!$D$5:$D$1004,"小型船舶2級",'資格研修記録'!$F$5:$F$1004,"&gt;="&amp;TODAY()))&gt;0,"2級",IF(COUNTIFS('資格研修記録'!$A$5:$A$1004,A60,'資格研修記録'!$D$5:$D$1004,"小型船舶1級")+COUNTIFS('資格研修記録'!$A$5:$A$1004,A60,'資格研修記録'!$D$5:$D$1004,"小型船舶2級")&gt;0,"× 1・2級 期限切れ",""))),IF((COUNTIFS('資格研修記録'!$A$5:$A$1004,A60,'資格研修記録'!$D$5:$D$1004,"小型船舶特殊",'資格研修記録'!$F$5:$F$1004,"")+COUNTIFS('資格研修記録'!$A$5:$A$1004,A60,'資格研修記録'!$D$5:$D$1004,"小型船舶特殊",'資格研修記録'!$F$5:$F$1004,"&gt;="&amp;TODAY()))&gt;0,"特殊",IF(COUNTIFS('資格研修記録'!$A$5:$A$1004,A60,'資格研修記録'!$D$5:$D$1004,"小型船舶特殊")&gt;0,"× 特殊 期限切れ","")))))</f>
        <v/>
      </c>
      <c r="H60" s="15">
        <f>IF(A60="","",COUNTIFS('潜水記録'!$B$5:$B$3004,A60,'潜水記録'!$AF$5:$AF$3004,$D$2))</f>
        <v/>
      </c>
      <c r="I60" s="15">
        <f>IF(A60="","",COUNTIF('潜水記録'!$B$5:$B$3004,A60))</f>
        <v/>
      </c>
      <c r="J60" s="15">
        <f>IF(A60="","",SUMIF('潜水記録'!$B$5:$B$3004,A60,'潜水記録'!$H$5:$H$3004))</f>
        <v/>
      </c>
      <c r="K60" s="15">
        <f>IF(A60="","",IF(I60=0,"",_xlfn.MAXIFS('潜水記録'!$G$5:$G$3004,'潜水記録'!$B$5:$B$3004,A60)))</f>
        <v/>
      </c>
      <c r="L60" s="16">
        <f>IF(A60="","",IF(I60=0,"",_xlfn.MAXIFS('潜水記録'!$A$5:$A$3004,'潜水記録'!$B$5:$B$3004,A60)))</f>
        <v/>
      </c>
      <c r="M60" s="15">
        <f>IF(L60="","",$B$2-L60)</f>
        <v/>
      </c>
    </row>
    <row r="61">
      <c r="A61" s="14">
        <f>IF('隊員マスタ'!A58="","",'隊員マスタ'!A58)</f>
        <v/>
      </c>
      <c r="B61" s="14">
        <f>IF(A61="","",'隊員マスタ'!B58)</f>
        <v/>
      </c>
      <c r="C61" s="14">
        <f>IF(A61="","",'隊員マスタ'!C58)</f>
        <v/>
      </c>
      <c r="D61" s="15">
        <f>IF(A61="","",'隊員マスタ'!D58)</f>
        <v/>
      </c>
      <c r="E61" s="15">
        <f>IF(A61="","",IF(COUNTIFS('資格研修記録'!$A$5:$A$1004,A61,'資格研修記録'!$D$5:$D$1004,"潜水士免許")&gt;0,"有","無"))</f>
        <v/>
      </c>
      <c r="F61" s="15">
        <f>IF(A61="","",IF(COUNTIFS('資格研修記録'!$A$5:$A$1004,A61,'資格研修記録'!$D$5:$D$1004,"水難救助研修")&gt;0,"修了","—"))</f>
        <v/>
      </c>
      <c r="G61" s="14">
        <f>IF(A61="","",IF((IF((COUNTIFS('資格研修記録'!$A$5:$A$1004,A61,'資格研修記録'!$D$5:$D$1004,"小型船舶1級",'資格研修記録'!$F$5:$F$1004,"")+COUNTIFS('資格研修記録'!$A$5:$A$1004,A61,'資格研修記録'!$D$5:$D$1004,"小型船舶1級",'資格研修記録'!$F$5:$F$1004,"&gt;="&amp;TODAY()))&gt;0,"1級",IF((COUNTIFS('資格研修記録'!$A$5:$A$1004,A61,'資格研修記録'!$D$5:$D$1004,"小型船舶2級",'資格研修記録'!$F$5:$F$1004,"")+COUNTIFS('資格研修記録'!$A$5:$A$1004,A61,'資格研修記録'!$D$5:$D$1004,"小型船舶2級",'資格研修記録'!$F$5:$F$1004,"&gt;="&amp;TODAY()))&gt;0,"2級",IF(COUNTIFS('資格研修記録'!$A$5:$A$1004,A61,'資格研修記録'!$D$5:$D$1004,"小型船舶1級")+COUNTIFS('資格研修記録'!$A$5:$A$1004,A61,'資格研修記録'!$D$5:$D$1004,"小型船舶2級")&gt;0,"× 1・2級 期限切れ",""))))&amp;(IF((COUNTIFS('資格研修記録'!$A$5:$A$1004,A61,'資格研修記録'!$D$5:$D$1004,"小型船舶特殊",'資格研修記録'!$F$5:$F$1004,"")+COUNTIFS('資格研修記録'!$A$5:$A$1004,A61,'資格研修記録'!$D$5:$D$1004,"小型船舶特殊",'資格研修記録'!$F$5:$F$1004,"&gt;="&amp;TODAY()))&gt;0,"特殊",IF(COUNTIFS('資格研修記録'!$A$5:$A$1004,A61,'資格研修記録'!$D$5:$D$1004,"小型船舶特殊")&gt;0,"× 特殊 期限切れ","")))="","—",_xlfn.TEXTJOIN("・",TRUE,IF((COUNTIFS('資格研修記録'!$A$5:$A$1004,A61,'資格研修記録'!$D$5:$D$1004,"小型船舶1級",'資格研修記録'!$F$5:$F$1004,"")+COUNTIFS('資格研修記録'!$A$5:$A$1004,A61,'資格研修記録'!$D$5:$D$1004,"小型船舶1級",'資格研修記録'!$F$5:$F$1004,"&gt;="&amp;TODAY()))&gt;0,"1級",IF((COUNTIFS('資格研修記録'!$A$5:$A$1004,A61,'資格研修記録'!$D$5:$D$1004,"小型船舶2級",'資格研修記録'!$F$5:$F$1004,"")+COUNTIFS('資格研修記録'!$A$5:$A$1004,A61,'資格研修記録'!$D$5:$D$1004,"小型船舶2級",'資格研修記録'!$F$5:$F$1004,"&gt;="&amp;TODAY()))&gt;0,"2級",IF(COUNTIFS('資格研修記録'!$A$5:$A$1004,A61,'資格研修記録'!$D$5:$D$1004,"小型船舶1級")+COUNTIFS('資格研修記録'!$A$5:$A$1004,A61,'資格研修記録'!$D$5:$D$1004,"小型船舶2級")&gt;0,"× 1・2級 期限切れ",""))),IF((COUNTIFS('資格研修記録'!$A$5:$A$1004,A61,'資格研修記録'!$D$5:$D$1004,"小型船舶特殊",'資格研修記録'!$F$5:$F$1004,"")+COUNTIFS('資格研修記録'!$A$5:$A$1004,A61,'資格研修記録'!$D$5:$D$1004,"小型船舶特殊",'資格研修記録'!$F$5:$F$1004,"&gt;="&amp;TODAY()))&gt;0,"特殊",IF(COUNTIFS('資格研修記録'!$A$5:$A$1004,A61,'資格研修記録'!$D$5:$D$1004,"小型船舶特殊")&gt;0,"× 特殊 期限切れ","")))))</f>
        <v/>
      </c>
      <c r="H61" s="15">
        <f>IF(A61="","",COUNTIFS('潜水記録'!$B$5:$B$3004,A61,'潜水記録'!$AF$5:$AF$3004,$D$2))</f>
        <v/>
      </c>
      <c r="I61" s="15">
        <f>IF(A61="","",COUNTIF('潜水記録'!$B$5:$B$3004,A61))</f>
        <v/>
      </c>
      <c r="J61" s="15">
        <f>IF(A61="","",SUMIF('潜水記録'!$B$5:$B$3004,A61,'潜水記録'!$H$5:$H$3004))</f>
        <v/>
      </c>
      <c r="K61" s="15">
        <f>IF(A61="","",IF(I61=0,"",_xlfn.MAXIFS('潜水記録'!$G$5:$G$3004,'潜水記録'!$B$5:$B$3004,A61)))</f>
        <v/>
      </c>
      <c r="L61" s="16">
        <f>IF(A61="","",IF(I61=0,"",_xlfn.MAXIFS('潜水記録'!$A$5:$A$3004,'潜水記録'!$B$5:$B$3004,A61)))</f>
        <v/>
      </c>
      <c r="M61" s="15">
        <f>IF(L61="","",$B$2-L61)</f>
        <v/>
      </c>
    </row>
    <row r="62">
      <c r="A62" s="14">
        <f>IF('隊員マスタ'!A59="","",'隊員マスタ'!A59)</f>
        <v/>
      </c>
      <c r="B62" s="14">
        <f>IF(A62="","",'隊員マスタ'!B59)</f>
        <v/>
      </c>
      <c r="C62" s="14">
        <f>IF(A62="","",'隊員マスタ'!C59)</f>
        <v/>
      </c>
      <c r="D62" s="15">
        <f>IF(A62="","",'隊員マスタ'!D59)</f>
        <v/>
      </c>
      <c r="E62" s="15">
        <f>IF(A62="","",IF(COUNTIFS('資格研修記録'!$A$5:$A$1004,A62,'資格研修記録'!$D$5:$D$1004,"潜水士免許")&gt;0,"有","無"))</f>
        <v/>
      </c>
      <c r="F62" s="15">
        <f>IF(A62="","",IF(COUNTIFS('資格研修記録'!$A$5:$A$1004,A62,'資格研修記録'!$D$5:$D$1004,"水難救助研修")&gt;0,"修了","—"))</f>
        <v/>
      </c>
      <c r="G62" s="14">
        <f>IF(A62="","",IF((IF((COUNTIFS('資格研修記録'!$A$5:$A$1004,A62,'資格研修記録'!$D$5:$D$1004,"小型船舶1級",'資格研修記録'!$F$5:$F$1004,"")+COUNTIFS('資格研修記録'!$A$5:$A$1004,A62,'資格研修記録'!$D$5:$D$1004,"小型船舶1級",'資格研修記録'!$F$5:$F$1004,"&gt;="&amp;TODAY()))&gt;0,"1級",IF((COUNTIFS('資格研修記録'!$A$5:$A$1004,A62,'資格研修記録'!$D$5:$D$1004,"小型船舶2級",'資格研修記録'!$F$5:$F$1004,"")+COUNTIFS('資格研修記録'!$A$5:$A$1004,A62,'資格研修記録'!$D$5:$D$1004,"小型船舶2級",'資格研修記録'!$F$5:$F$1004,"&gt;="&amp;TODAY()))&gt;0,"2級",IF(COUNTIFS('資格研修記録'!$A$5:$A$1004,A62,'資格研修記録'!$D$5:$D$1004,"小型船舶1級")+COUNTIFS('資格研修記録'!$A$5:$A$1004,A62,'資格研修記録'!$D$5:$D$1004,"小型船舶2級")&gt;0,"× 1・2級 期限切れ",""))))&amp;(IF((COUNTIFS('資格研修記録'!$A$5:$A$1004,A62,'資格研修記録'!$D$5:$D$1004,"小型船舶特殊",'資格研修記録'!$F$5:$F$1004,"")+COUNTIFS('資格研修記録'!$A$5:$A$1004,A62,'資格研修記録'!$D$5:$D$1004,"小型船舶特殊",'資格研修記録'!$F$5:$F$1004,"&gt;="&amp;TODAY()))&gt;0,"特殊",IF(COUNTIFS('資格研修記録'!$A$5:$A$1004,A62,'資格研修記録'!$D$5:$D$1004,"小型船舶特殊")&gt;0,"× 特殊 期限切れ","")))="","—",_xlfn.TEXTJOIN("・",TRUE,IF((COUNTIFS('資格研修記録'!$A$5:$A$1004,A62,'資格研修記録'!$D$5:$D$1004,"小型船舶1級",'資格研修記録'!$F$5:$F$1004,"")+COUNTIFS('資格研修記録'!$A$5:$A$1004,A62,'資格研修記録'!$D$5:$D$1004,"小型船舶1級",'資格研修記録'!$F$5:$F$1004,"&gt;="&amp;TODAY()))&gt;0,"1級",IF((COUNTIFS('資格研修記録'!$A$5:$A$1004,A62,'資格研修記録'!$D$5:$D$1004,"小型船舶2級",'資格研修記録'!$F$5:$F$1004,"")+COUNTIFS('資格研修記録'!$A$5:$A$1004,A62,'資格研修記録'!$D$5:$D$1004,"小型船舶2級",'資格研修記録'!$F$5:$F$1004,"&gt;="&amp;TODAY()))&gt;0,"2級",IF(COUNTIFS('資格研修記録'!$A$5:$A$1004,A62,'資格研修記録'!$D$5:$D$1004,"小型船舶1級")+COUNTIFS('資格研修記録'!$A$5:$A$1004,A62,'資格研修記録'!$D$5:$D$1004,"小型船舶2級")&gt;0,"× 1・2級 期限切れ",""))),IF((COUNTIFS('資格研修記録'!$A$5:$A$1004,A62,'資格研修記録'!$D$5:$D$1004,"小型船舶特殊",'資格研修記録'!$F$5:$F$1004,"")+COUNTIFS('資格研修記録'!$A$5:$A$1004,A62,'資格研修記録'!$D$5:$D$1004,"小型船舶特殊",'資格研修記録'!$F$5:$F$1004,"&gt;="&amp;TODAY()))&gt;0,"特殊",IF(COUNTIFS('資格研修記録'!$A$5:$A$1004,A62,'資格研修記録'!$D$5:$D$1004,"小型船舶特殊")&gt;0,"× 特殊 期限切れ","")))))</f>
        <v/>
      </c>
      <c r="H62" s="15">
        <f>IF(A62="","",COUNTIFS('潜水記録'!$B$5:$B$3004,A62,'潜水記録'!$AF$5:$AF$3004,$D$2))</f>
        <v/>
      </c>
      <c r="I62" s="15">
        <f>IF(A62="","",COUNTIF('潜水記録'!$B$5:$B$3004,A62))</f>
        <v/>
      </c>
      <c r="J62" s="15">
        <f>IF(A62="","",SUMIF('潜水記録'!$B$5:$B$3004,A62,'潜水記録'!$H$5:$H$3004))</f>
        <v/>
      </c>
      <c r="K62" s="15">
        <f>IF(A62="","",IF(I62=0,"",_xlfn.MAXIFS('潜水記録'!$G$5:$G$3004,'潜水記録'!$B$5:$B$3004,A62)))</f>
        <v/>
      </c>
      <c r="L62" s="16">
        <f>IF(A62="","",IF(I62=0,"",_xlfn.MAXIFS('潜水記録'!$A$5:$A$3004,'潜水記録'!$B$5:$B$3004,A62)))</f>
        <v/>
      </c>
      <c r="M62" s="15">
        <f>IF(L62="","",$B$2-L62)</f>
        <v/>
      </c>
    </row>
    <row r="63">
      <c r="A63" s="14">
        <f>IF('隊員マスタ'!A60="","",'隊員マスタ'!A60)</f>
        <v/>
      </c>
      <c r="B63" s="14">
        <f>IF(A63="","",'隊員マスタ'!B60)</f>
        <v/>
      </c>
      <c r="C63" s="14">
        <f>IF(A63="","",'隊員マスタ'!C60)</f>
        <v/>
      </c>
      <c r="D63" s="15">
        <f>IF(A63="","",'隊員マスタ'!D60)</f>
        <v/>
      </c>
      <c r="E63" s="15">
        <f>IF(A63="","",IF(COUNTIFS('資格研修記録'!$A$5:$A$1004,A63,'資格研修記録'!$D$5:$D$1004,"潜水士免許")&gt;0,"有","無"))</f>
        <v/>
      </c>
      <c r="F63" s="15">
        <f>IF(A63="","",IF(COUNTIFS('資格研修記録'!$A$5:$A$1004,A63,'資格研修記録'!$D$5:$D$1004,"水難救助研修")&gt;0,"修了","—"))</f>
        <v/>
      </c>
      <c r="G63" s="14">
        <f>IF(A63="","",IF((IF((COUNTIFS('資格研修記録'!$A$5:$A$1004,A63,'資格研修記録'!$D$5:$D$1004,"小型船舶1級",'資格研修記録'!$F$5:$F$1004,"")+COUNTIFS('資格研修記録'!$A$5:$A$1004,A63,'資格研修記録'!$D$5:$D$1004,"小型船舶1級",'資格研修記録'!$F$5:$F$1004,"&gt;="&amp;TODAY()))&gt;0,"1級",IF((COUNTIFS('資格研修記録'!$A$5:$A$1004,A63,'資格研修記録'!$D$5:$D$1004,"小型船舶2級",'資格研修記録'!$F$5:$F$1004,"")+COUNTIFS('資格研修記録'!$A$5:$A$1004,A63,'資格研修記録'!$D$5:$D$1004,"小型船舶2級",'資格研修記録'!$F$5:$F$1004,"&gt;="&amp;TODAY()))&gt;0,"2級",IF(COUNTIFS('資格研修記録'!$A$5:$A$1004,A63,'資格研修記録'!$D$5:$D$1004,"小型船舶1級")+COUNTIFS('資格研修記録'!$A$5:$A$1004,A63,'資格研修記録'!$D$5:$D$1004,"小型船舶2級")&gt;0,"× 1・2級 期限切れ",""))))&amp;(IF((COUNTIFS('資格研修記録'!$A$5:$A$1004,A63,'資格研修記録'!$D$5:$D$1004,"小型船舶特殊",'資格研修記録'!$F$5:$F$1004,"")+COUNTIFS('資格研修記録'!$A$5:$A$1004,A63,'資格研修記録'!$D$5:$D$1004,"小型船舶特殊",'資格研修記録'!$F$5:$F$1004,"&gt;="&amp;TODAY()))&gt;0,"特殊",IF(COUNTIFS('資格研修記録'!$A$5:$A$1004,A63,'資格研修記録'!$D$5:$D$1004,"小型船舶特殊")&gt;0,"× 特殊 期限切れ","")))="","—",_xlfn.TEXTJOIN("・",TRUE,IF((COUNTIFS('資格研修記録'!$A$5:$A$1004,A63,'資格研修記録'!$D$5:$D$1004,"小型船舶1級",'資格研修記録'!$F$5:$F$1004,"")+COUNTIFS('資格研修記録'!$A$5:$A$1004,A63,'資格研修記録'!$D$5:$D$1004,"小型船舶1級",'資格研修記録'!$F$5:$F$1004,"&gt;="&amp;TODAY()))&gt;0,"1級",IF((COUNTIFS('資格研修記録'!$A$5:$A$1004,A63,'資格研修記録'!$D$5:$D$1004,"小型船舶2級",'資格研修記録'!$F$5:$F$1004,"")+COUNTIFS('資格研修記録'!$A$5:$A$1004,A63,'資格研修記録'!$D$5:$D$1004,"小型船舶2級",'資格研修記録'!$F$5:$F$1004,"&gt;="&amp;TODAY()))&gt;0,"2級",IF(COUNTIFS('資格研修記録'!$A$5:$A$1004,A63,'資格研修記録'!$D$5:$D$1004,"小型船舶1級")+COUNTIFS('資格研修記録'!$A$5:$A$1004,A63,'資格研修記録'!$D$5:$D$1004,"小型船舶2級")&gt;0,"× 1・2級 期限切れ",""))),IF((COUNTIFS('資格研修記録'!$A$5:$A$1004,A63,'資格研修記録'!$D$5:$D$1004,"小型船舶特殊",'資格研修記録'!$F$5:$F$1004,"")+COUNTIFS('資格研修記録'!$A$5:$A$1004,A63,'資格研修記録'!$D$5:$D$1004,"小型船舶特殊",'資格研修記録'!$F$5:$F$1004,"&gt;="&amp;TODAY()))&gt;0,"特殊",IF(COUNTIFS('資格研修記録'!$A$5:$A$1004,A63,'資格研修記録'!$D$5:$D$1004,"小型船舶特殊")&gt;0,"× 特殊 期限切れ","")))))</f>
        <v/>
      </c>
      <c r="H63" s="15">
        <f>IF(A63="","",COUNTIFS('潜水記録'!$B$5:$B$3004,A63,'潜水記録'!$AF$5:$AF$3004,$D$2))</f>
        <v/>
      </c>
      <c r="I63" s="15">
        <f>IF(A63="","",COUNTIF('潜水記録'!$B$5:$B$3004,A63))</f>
        <v/>
      </c>
      <c r="J63" s="15">
        <f>IF(A63="","",SUMIF('潜水記録'!$B$5:$B$3004,A63,'潜水記録'!$H$5:$H$3004))</f>
        <v/>
      </c>
      <c r="K63" s="15">
        <f>IF(A63="","",IF(I63=0,"",_xlfn.MAXIFS('潜水記録'!$G$5:$G$3004,'潜水記録'!$B$5:$B$3004,A63)))</f>
        <v/>
      </c>
      <c r="L63" s="16">
        <f>IF(A63="","",IF(I63=0,"",_xlfn.MAXIFS('潜水記録'!$A$5:$A$3004,'潜水記録'!$B$5:$B$3004,A63)))</f>
        <v/>
      </c>
      <c r="M63" s="15">
        <f>IF(L63="","",$B$2-L63)</f>
        <v/>
      </c>
    </row>
    <row r="64">
      <c r="A64" s="14">
        <f>IF('隊員マスタ'!A61="","",'隊員マスタ'!A61)</f>
        <v/>
      </c>
      <c r="B64" s="14">
        <f>IF(A64="","",'隊員マスタ'!B61)</f>
        <v/>
      </c>
      <c r="C64" s="14">
        <f>IF(A64="","",'隊員マスタ'!C61)</f>
        <v/>
      </c>
      <c r="D64" s="15">
        <f>IF(A64="","",'隊員マスタ'!D61)</f>
        <v/>
      </c>
      <c r="E64" s="15">
        <f>IF(A64="","",IF(COUNTIFS('資格研修記録'!$A$5:$A$1004,A64,'資格研修記録'!$D$5:$D$1004,"潜水士免許")&gt;0,"有","無"))</f>
        <v/>
      </c>
      <c r="F64" s="15">
        <f>IF(A64="","",IF(COUNTIFS('資格研修記録'!$A$5:$A$1004,A64,'資格研修記録'!$D$5:$D$1004,"水難救助研修")&gt;0,"修了","—"))</f>
        <v/>
      </c>
      <c r="G64" s="14">
        <f>IF(A64="","",IF((IF((COUNTIFS('資格研修記録'!$A$5:$A$1004,A64,'資格研修記録'!$D$5:$D$1004,"小型船舶1級",'資格研修記録'!$F$5:$F$1004,"")+COUNTIFS('資格研修記録'!$A$5:$A$1004,A64,'資格研修記録'!$D$5:$D$1004,"小型船舶1級",'資格研修記録'!$F$5:$F$1004,"&gt;="&amp;TODAY()))&gt;0,"1級",IF((COUNTIFS('資格研修記録'!$A$5:$A$1004,A64,'資格研修記録'!$D$5:$D$1004,"小型船舶2級",'資格研修記録'!$F$5:$F$1004,"")+COUNTIFS('資格研修記録'!$A$5:$A$1004,A64,'資格研修記録'!$D$5:$D$1004,"小型船舶2級",'資格研修記録'!$F$5:$F$1004,"&gt;="&amp;TODAY()))&gt;0,"2級",IF(COUNTIFS('資格研修記録'!$A$5:$A$1004,A64,'資格研修記録'!$D$5:$D$1004,"小型船舶1級")+COUNTIFS('資格研修記録'!$A$5:$A$1004,A64,'資格研修記録'!$D$5:$D$1004,"小型船舶2級")&gt;0,"× 1・2級 期限切れ",""))))&amp;(IF((COUNTIFS('資格研修記録'!$A$5:$A$1004,A64,'資格研修記録'!$D$5:$D$1004,"小型船舶特殊",'資格研修記録'!$F$5:$F$1004,"")+COUNTIFS('資格研修記録'!$A$5:$A$1004,A64,'資格研修記録'!$D$5:$D$1004,"小型船舶特殊",'資格研修記録'!$F$5:$F$1004,"&gt;="&amp;TODAY()))&gt;0,"特殊",IF(COUNTIFS('資格研修記録'!$A$5:$A$1004,A64,'資格研修記録'!$D$5:$D$1004,"小型船舶特殊")&gt;0,"× 特殊 期限切れ","")))="","—",_xlfn.TEXTJOIN("・",TRUE,IF((COUNTIFS('資格研修記録'!$A$5:$A$1004,A64,'資格研修記録'!$D$5:$D$1004,"小型船舶1級",'資格研修記録'!$F$5:$F$1004,"")+COUNTIFS('資格研修記録'!$A$5:$A$1004,A64,'資格研修記録'!$D$5:$D$1004,"小型船舶1級",'資格研修記録'!$F$5:$F$1004,"&gt;="&amp;TODAY()))&gt;0,"1級",IF((COUNTIFS('資格研修記録'!$A$5:$A$1004,A64,'資格研修記録'!$D$5:$D$1004,"小型船舶2級",'資格研修記録'!$F$5:$F$1004,"")+COUNTIFS('資格研修記録'!$A$5:$A$1004,A64,'資格研修記録'!$D$5:$D$1004,"小型船舶2級",'資格研修記録'!$F$5:$F$1004,"&gt;="&amp;TODAY()))&gt;0,"2級",IF(COUNTIFS('資格研修記録'!$A$5:$A$1004,A64,'資格研修記録'!$D$5:$D$1004,"小型船舶1級")+COUNTIFS('資格研修記録'!$A$5:$A$1004,A64,'資格研修記録'!$D$5:$D$1004,"小型船舶2級")&gt;0,"× 1・2級 期限切れ",""))),IF((COUNTIFS('資格研修記録'!$A$5:$A$1004,A64,'資格研修記録'!$D$5:$D$1004,"小型船舶特殊",'資格研修記録'!$F$5:$F$1004,"")+COUNTIFS('資格研修記録'!$A$5:$A$1004,A64,'資格研修記録'!$D$5:$D$1004,"小型船舶特殊",'資格研修記録'!$F$5:$F$1004,"&gt;="&amp;TODAY()))&gt;0,"特殊",IF(COUNTIFS('資格研修記録'!$A$5:$A$1004,A64,'資格研修記録'!$D$5:$D$1004,"小型船舶特殊")&gt;0,"× 特殊 期限切れ","")))))</f>
        <v/>
      </c>
      <c r="H64" s="15">
        <f>IF(A64="","",COUNTIFS('潜水記録'!$B$5:$B$3004,A64,'潜水記録'!$AF$5:$AF$3004,$D$2))</f>
        <v/>
      </c>
      <c r="I64" s="15">
        <f>IF(A64="","",COUNTIF('潜水記録'!$B$5:$B$3004,A64))</f>
        <v/>
      </c>
      <c r="J64" s="15">
        <f>IF(A64="","",SUMIF('潜水記録'!$B$5:$B$3004,A64,'潜水記録'!$H$5:$H$3004))</f>
        <v/>
      </c>
      <c r="K64" s="15">
        <f>IF(A64="","",IF(I64=0,"",_xlfn.MAXIFS('潜水記録'!$G$5:$G$3004,'潜水記録'!$B$5:$B$3004,A64)))</f>
        <v/>
      </c>
      <c r="L64" s="16">
        <f>IF(A64="","",IF(I64=0,"",_xlfn.MAXIFS('潜水記録'!$A$5:$A$3004,'潜水記録'!$B$5:$B$3004,A64)))</f>
        <v/>
      </c>
      <c r="M64" s="15">
        <f>IF(L64="","",$B$2-L64)</f>
        <v/>
      </c>
    </row>
    <row r="65">
      <c r="A65" s="14">
        <f>IF('隊員マスタ'!A62="","",'隊員マスタ'!A62)</f>
        <v/>
      </c>
      <c r="B65" s="14">
        <f>IF(A65="","",'隊員マスタ'!B62)</f>
        <v/>
      </c>
      <c r="C65" s="14">
        <f>IF(A65="","",'隊員マスタ'!C62)</f>
        <v/>
      </c>
      <c r="D65" s="15">
        <f>IF(A65="","",'隊員マスタ'!D62)</f>
        <v/>
      </c>
      <c r="E65" s="15">
        <f>IF(A65="","",IF(COUNTIFS('資格研修記録'!$A$5:$A$1004,A65,'資格研修記録'!$D$5:$D$1004,"潜水士免許")&gt;0,"有","無"))</f>
        <v/>
      </c>
      <c r="F65" s="15">
        <f>IF(A65="","",IF(COUNTIFS('資格研修記録'!$A$5:$A$1004,A65,'資格研修記録'!$D$5:$D$1004,"水難救助研修")&gt;0,"修了","—"))</f>
        <v/>
      </c>
      <c r="G65" s="14">
        <f>IF(A65="","",IF((IF((COUNTIFS('資格研修記録'!$A$5:$A$1004,A65,'資格研修記録'!$D$5:$D$1004,"小型船舶1級",'資格研修記録'!$F$5:$F$1004,"")+COUNTIFS('資格研修記録'!$A$5:$A$1004,A65,'資格研修記録'!$D$5:$D$1004,"小型船舶1級",'資格研修記録'!$F$5:$F$1004,"&gt;="&amp;TODAY()))&gt;0,"1級",IF((COUNTIFS('資格研修記録'!$A$5:$A$1004,A65,'資格研修記録'!$D$5:$D$1004,"小型船舶2級",'資格研修記録'!$F$5:$F$1004,"")+COUNTIFS('資格研修記録'!$A$5:$A$1004,A65,'資格研修記録'!$D$5:$D$1004,"小型船舶2級",'資格研修記録'!$F$5:$F$1004,"&gt;="&amp;TODAY()))&gt;0,"2級",IF(COUNTIFS('資格研修記録'!$A$5:$A$1004,A65,'資格研修記録'!$D$5:$D$1004,"小型船舶1級")+COUNTIFS('資格研修記録'!$A$5:$A$1004,A65,'資格研修記録'!$D$5:$D$1004,"小型船舶2級")&gt;0,"× 1・2級 期限切れ",""))))&amp;(IF((COUNTIFS('資格研修記録'!$A$5:$A$1004,A65,'資格研修記録'!$D$5:$D$1004,"小型船舶特殊",'資格研修記録'!$F$5:$F$1004,"")+COUNTIFS('資格研修記録'!$A$5:$A$1004,A65,'資格研修記録'!$D$5:$D$1004,"小型船舶特殊",'資格研修記録'!$F$5:$F$1004,"&gt;="&amp;TODAY()))&gt;0,"特殊",IF(COUNTIFS('資格研修記録'!$A$5:$A$1004,A65,'資格研修記録'!$D$5:$D$1004,"小型船舶特殊")&gt;0,"× 特殊 期限切れ","")))="","—",_xlfn.TEXTJOIN("・",TRUE,IF((COUNTIFS('資格研修記録'!$A$5:$A$1004,A65,'資格研修記録'!$D$5:$D$1004,"小型船舶1級",'資格研修記録'!$F$5:$F$1004,"")+COUNTIFS('資格研修記録'!$A$5:$A$1004,A65,'資格研修記録'!$D$5:$D$1004,"小型船舶1級",'資格研修記録'!$F$5:$F$1004,"&gt;="&amp;TODAY()))&gt;0,"1級",IF((COUNTIFS('資格研修記録'!$A$5:$A$1004,A65,'資格研修記録'!$D$5:$D$1004,"小型船舶2級",'資格研修記録'!$F$5:$F$1004,"")+COUNTIFS('資格研修記録'!$A$5:$A$1004,A65,'資格研修記録'!$D$5:$D$1004,"小型船舶2級",'資格研修記録'!$F$5:$F$1004,"&gt;="&amp;TODAY()))&gt;0,"2級",IF(COUNTIFS('資格研修記録'!$A$5:$A$1004,A65,'資格研修記録'!$D$5:$D$1004,"小型船舶1級")+COUNTIFS('資格研修記録'!$A$5:$A$1004,A65,'資格研修記録'!$D$5:$D$1004,"小型船舶2級")&gt;0,"× 1・2級 期限切れ",""))),IF((COUNTIFS('資格研修記録'!$A$5:$A$1004,A65,'資格研修記録'!$D$5:$D$1004,"小型船舶特殊",'資格研修記録'!$F$5:$F$1004,"")+COUNTIFS('資格研修記録'!$A$5:$A$1004,A65,'資格研修記録'!$D$5:$D$1004,"小型船舶特殊",'資格研修記録'!$F$5:$F$1004,"&gt;="&amp;TODAY()))&gt;0,"特殊",IF(COUNTIFS('資格研修記録'!$A$5:$A$1004,A65,'資格研修記録'!$D$5:$D$1004,"小型船舶特殊")&gt;0,"× 特殊 期限切れ","")))))</f>
        <v/>
      </c>
      <c r="H65" s="15">
        <f>IF(A65="","",COUNTIFS('潜水記録'!$B$5:$B$3004,A65,'潜水記録'!$AF$5:$AF$3004,$D$2))</f>
        <v/>
      </c>
      <c r="I65" s="15">
        <f>IF(A65="","",COUNTIF('潜水記録'!$B$5:$B$3004,A65))</f>
        <v/>
      </c>
      <c r="J65" s="15">
        <f>IF(A65="","",SUMIF('潜水記録'!$B$5:$B$3004,A65,'潜水記録'!$H$5:$H$3004))</f>
        <v/>
      </c>
      <c r="K65" s="15">
        <f>IF(A65="","",IF(I65=0,"",_xlfn.MAXIFS('潜水記録'!$G$5:$G$3004,'潜水記録'!$B$5:$B$3004,A65)))</f>
        <v/>
      </c>
      <c r="L65" s="16">
        <f>IF(A65="","",IF(I65=0,"",_xlfn.MAXIFS('潜水記録'!$A$5:$A$3004,'潜水記録'!$B$5:$B$3004,A65)))</f>
        <v/>
      </c>
      <c r="M65" s="15">
        <f>IF(L65="","",$B$2-L65)</f>
        <v/>
      </c>
    </row>
    <row r="66">
      <c r="A66" s="14">
        <f>IF('隊員マスタ'!A63="","",'隊員マスタ'!A63)</f>
        <v/>
      </c>
      <c r="B66" s="14">
        <f>IF(A66="","",'隊員マスタ'!B63)</f>
        <v/>
      </c>
      <c r="C66" s="14">
        <f>IF(A66="","",'隊員マスタ'!C63)</f>
        <v/>
      </c>
      <c r="D66" s="15">
        <f>IF(A66="","",'隊員マスタ'!D63)</f>
        <v/>
      </c>
      <c r="E66" s="15">
        <f>IF(A66="","",IF(COUNTIFS('資格研修記録'!$A$5:$A$1004,A66,'資格研修記録'!$D$5:$D$1004,"潜水士免許")&gt;0,"有","無"))</f>
        <v/>
      </c>
      <c r="F66" s="15">
        <f>IF(A66="","",IF(COUNTIFS('資格研修記録'!$A$5:$A$1004,A66,'資格研修記録'!$D$5:$D$1004,"水難救助研修")&gt;0,"修了","—"))</f>
        <v/>
      </c>
      <c r="G66" s="14">
        <f>IF(A66="","",IF((IF((COUNTIFS('資格研修記録'!$A$5:$A$1004,A66,'資格研修記録'!$D$5:$D$1004,"小型船舶1級",'資格研修記録'!$F$5:$F$1004,"")+COUNTIFS('資格研修記録'!$A$5:$A$1004,A66,'資格研修記録'!$D$5:$D$1004,"小型船舶1級",'資格研修記録'!$F$5:$F$1004,"&gt;="&amp;TODAY()))&gt;0,"1級",IF((COUNTIFS('資格研修記録'!$A$5:$A$1004,A66,'資格研修記録'!$D$5:$D$1004,"小型船舶2級",'資格研修記録'!$F$5:$F$1004,"")+COUNTIFS('資格研修記録'!$A$5:$A$1004,A66,'資格研修記録'!$D$5:$D$1004,"小型船舶2級",'資格研修記録'!$F$5:$F$1004,"&gt;="&amp;TODAY()))&gt;0,"2級",IF(COUNTIFS('資格研修記録'!$A$5:$A$1004,A66,'資格研修記録'!$D$5:$D$1004,"小型船舶1級")+COUNTIFS('資格研修記録'!$A$5:$A$1004,A66,'資格研修記録'!$D$5:$D$1004,"小型船舶2級")&gt;0,"× 1・2級 期限切れ",""))))&amp;(IF((COUNTIFS('資格研修記録'!$A$5:$A$1004,A66,'資格研修記録'!$D$5:$D$1004,"小型船舶特殊",'資格研修記録'!$F$5:$F$1004,"")+COUNTIFS('資格研修記録'!$A$5:$A$1004,A66,'資格研修記録'!$D$5:$D$1004,"小型船舶特殊",'資格研修記録'!$F$5:$F$1004,"&gt;="&amp;TODAY()))&gt;0,"特殊",IF(COUNTIFS('資格研修記録'!$A$5:$A$1004,A66,'資格研修記録'!$D$5:$D$1004,"小型船舶特殊")&gt;0,"× 特殊 期限切れ","")))="","—",_xlfn.TEXTJOIN("・",TRUE,IF((COUNTIFS('資格研修記録'!$A$5:$A$1004,A66,'資格研修記録'!$D$5:$D$1004,"小型船舶1級",'資格研修記録'!$F$5:$F$1004,"")+COUNTIFS('資格研修記録'!$A$5:$A$1004,A66,'資格研修記録'!$D$5:$D$1004,"小型船舶1級",'資格研修記録'!$F$5:$F$1004,"&gt;="&amp;TODAY()))&gt;0,"1級",IF((COUNTIFS('資格研修記録'!$A$5:$A$1004,A66,'資格研修記録'!$D$5:$D$1004,"小型船舶2級",'資格研修記録'!$F$5:$F$1004,"")+COUNTIFS('資格研修記録'!$A$5:$A$1004,A66,'資格研修記録'!$D$5:$D$1004,"小型船舶2級",'資格研修記録'!$F$5:$F$1004,"&gt;="&amp;TODAY()))&gt;0,"2級",IF(COUNTIFS('資格研修記録'!$A$5:$A$1004,A66,'資格研修記録'!$D$5:$D$1004,"小型船舶1級")+COUNTIFS('資格研修記録'!$A$5:$A$1004,A66,'資格研修記録'!$D$5:$D$1004,"小型船舶2級")&gt;0,"× 1・2級 期限切れ",""))),IF((COUNTIFS('資格研修記録'!$A$5:$A$1004,A66,'資格研修記録'!$D$5:$D$1004,"小型船舶特殊",'資格研修記録'!$F$5:$F$1004,"")+COUNTIFS('資格研修記録'!$A$5:$A$1004,A66,'資格研修記録'!$D$5:$D$1004,"小型船舶特殊",'資格研修記録'!$F$5:$F$1004,"&gt;="&amp;TODAY()))&gt;0,"特殊",IF(COUNTIFS('資格研修記録'!$A$5:$A$1004,A66,'資格研修記録'!$D$5:$D$1004,"小型船舶特殊")&gt;0,"× 特殊 期限切れ","")))))</f>
        <v/>
      </c>
      <c r="H66" s="15">
        <f>IF(A66="","",COUNTIFS('潜水記録'!$B$5:$B$3004,A66,'潜水記録'!$AF$5:$AF$3004,$D$2))</f>
        <v/>
      </c>
      <c r="I66" s="15">
        <f>IF(A66="","",COUNTIF('潜水記録'!$B$5:$B$3004,A66))</f>
        <v/>
      </c>
      <c r="J66" s="15">
        <f>IF(A66="","",SUMIF('潜水記録'!$B$5:$B$3004,A66,'潜水記録'!$H$5:$H$3004))</f>
        <v/>
      </c>
      <c r="K66" s="15">
        <f>IF(A66="","",IF(I66=0,"",_xlfn.MAXIFS('潜水記録'!$G$5:$G$3004,'潜水記録'!$B$5:$B$3004,A66)))</f>
        <v/>
      </c>
      <c r="L66" s="16">
        <f>IF(A66="","",IF(I66=0,"",_xlfn.MAXIFS('潜水記録'!$A$5:$A$3004,'潜水記録'!$B$5:$B$3004,A66)))</f>
        <v/>
      </c>
      <c r="M66" s="15">
        <f>IF(L66="","",$B$2-L66)</f>
        <v/>
      </c>
    </row>
    <row r="67">
      <c r="A67" s="14">
        <f>IF('隊員マスタ'!A64="","",'隊員マスタ'!A64)</f>
        <v/>
      </c>
      <c r="B67" s="14">
        <f>IF(A67="","",'隊員マスタ'!B64)</f>
        <v/>
      </c>
      <c r="C67" s="14">
        <f>IF(A67="","",'隊員マスタ'!C64)</f>
        <v/>
      </c>
      <c r="D67" s="15">
        <f>IF(A67="","",'隊員マスタ'!D64)</f>
        <v/>
      </c>
      <c r="E67" s="15">
        <f>IF(A67="","",IF(COUNTIFS('資格研修記録'!$A$5:$A$1004,A67,'資格研修記録'!$D$5:$D$1004,"潜水士免許")&gt;0,"有","無"))</f>
        <v/>
      </c>
      <c r="F67" s="15">
        <f>IF(A67="","",IF(COUNTIFS('資格研修記録'!$A$5:$A$1004,A67,'資格研修記録'!$D$5:$D$1004,"水難救助研修")&gt;0,"修了","—"))</f>
        <v/>
      </c>
      <c r="G67" s="14">
        <f>IF(A67="","",IF((IF((COUNTIFS('資格研修記録'!$A$5:$A$1004,A67,'資格研修記録'!$D$5:$D$1004,"小型船舶1級",'資格研修記録'!$F$5:$F$1004,"")+COUNTIFS('資格研修記録'!$A$5:$A$1004,A67,'資格研修記録'!$D$5:$D$1004,"小型船舶1級",'資格研修記録'!$F$5:$F$1004,"&gt;="&amp;TODAY()))&gt;0,"1級",IF((COUNTIFS('資格研修記録'!$A$5:$A$1004,A67,'資格研修記録'!$D$5:$D$1004,"小型船舶2級",'資格研修記録'!$F$5:$F$1004,"")+COUNTIFS('資格研修記録'!$A$5:$A$1004,A67,'資格研修記録'!$D$5:$D$1004,"小型船舶2級",'資格研修記録'!$F$5:$F$1004,"&gt;="&amp;TODAY()))&gt;0,"2級",IF(COUNTIFS('資格研修記録'!$A$5:$A$1004,A67,'資格研修記録'!$D$5:$D$1004,"小型船舶1級")+COUNTIFS('資格研修記録'!$A$5:$A$1004,A67,'資格研修記録'!$D$5:$D$1004,"小型船舶2級")&gt;0,"× 1・2級 期限切れ",""))))&amp;(IF((COUNTIFS('資格研修記録'!$A$5:$A$1004,A67,'資格研修記録'!$D$5:$D$1004,"小型船舶特殊",'資格研修記録'!$F$5:$F$1004,"")+COUNTIFS('資格研修記録'!$A$5:$A$1004,A67,'資格研修記録'!$D$5:$D$1004,"小型船舶特殊",'資格研修記録'!$F$5:$F$1004,"&gt;="&amp;TODAY()))&gt;0,"特殊",IF(COUNTIFS('資格研修記録'!$A$5:$A$1004,A67,'資格研修記録'!$D$5:$D$1004,"小型船舶特殊")&gt;0,"× 特殊 期限切れ","")))="","—",_xlfn.TEXTJOIN("・",TRUE,IF((COUNTIFS('資格研修記録'!$A$5:$A$1004,A67,'資格研修記録'!$D$5:$D$1004,"小型船舶1級",'資格研修記録'!$F$5:$F$1004,"")+COUNTIFS('資格研修記録'!$A$5:$A$1004,A67,'資格研修記録'!$D$5:$D$1004,"小型船舶1級",'資格研修記録'!$F$5:$F$1004,"&gt;="&amp;TODAY()))&gt;0,"1級",IF((COUNTIFS('資格研修記録'!$A$5:$A$1004,A67,'資格研修記録'!$D$5:$D$1004,"小型船舶2級",'資格研修記録'!$F$5:$F$1004,"")+COUNTIFS('資格研修記録'!$A$5:$A$1004,A67,'資格研修記録'!$D$5:$D$1004,"小型船舶2級",'資格研修記録'!$F$5:$F$1004,"&gt;="&amp;TODAY()))&gt;0,"2級",IF(COUNTIFS('資格研修記録'!$A$5:$A$1004,A67,'資格研修記録'!$D$5:$D$1004,"小型船舶1級")+COUNTIFS('資格研修記録'!$A$5:$A$1004,A67,'資格研修記録'!$D$5:$D$1004,"小型船舶2級")&gt;0,"× 1・2級 期限切れ",""))),IF((COUNTIFS('資格研修記録'!$A$5:$A$1004,A67,'資格研修記録'!$D$5:$D$1004,"小型船舶特殊",'資格研修記録'!$F$5:$F$1004,"")+COUNTIFS('資格研修記録'!$A$5:$A$1004,A67,'資格研修記録'!$D$5:$D$1004,"小型船舶特殊",'資格研修記録'!$F$5:$F$1004,"&gt;="&amp;TODAY()))&gt;0,"特殊",IF(COUNTIFS('資格研修記録'!$A$5:$A$1004,A67,'資格研修記録'!$D$5:$D$1004,"小型船舶特殊")&gt;0,"× 特殊 期限切れ","")))))</f>
        <v/>
      </c>
      <c r="H67" s="15">
        <f>IF(A67="","",COUNTIFS('潜水記録'!$B$5:$B$3004,A67,'潜水記録'!$AF$5:$AF$3004,$D$2))</f>
        <v/>
      </c>
      <c r="I67" s="15">
        <f>IF(A67="","",COUNTIF('潜水記録'!$B$5:$B$3004,A67))</f>
        <v/>
      </c>
      <c r="J67" s="15">
        <f>IF(A67="","",SUMIF('潜水記録'!$B$5:$B$3004,A67,'潜水記録'!$H$5:$H$3004))</f>
        <v/>
      </c>
      <c r="K67" s="15">
        <f>IF(A67="","",IF(I67=0,"",_xlfn.MAXIFS('潜水記録'!$G$5:$G$3004,'潜水記録'!$B$5:$B$3004,A67)))</f>
        <v/>
      </c>
      <c r="L67" s="16">
        <f>IF(A67="","",IF(I67=0,"",_xlfn.MAXIFS('潜水記録'!$A$5:$A$3004,'潜水記録'!$B$5:$B$3004,A67)))</f>
        <v/>
      </c>
      <c r="M67" s="15">
        <f>IF(L67="","",$B$2-L67)</f>
        <v/>
      </c>
    </row>
    <row r="68">
      <c r="A68" s="14">
        <f>IF('隊員マスタ'!A65="","",'隊員マスタ'!A65)</f>
        <v/>
      </c>
      <c r="B68" s="14">
        <f>IF(A68="","",'隊員マスタ'!B65)</f>
        <v/>
      </c>
      <c r="C68" s="14">
        <f>IF(A68="","",'隊員マスタ'!C65)</f>
        <v/>
      </c>
      <c r="D68" s="15">
        <f>IF(A68="","",'隊員マスタ'!D65)</f>
        <v/>
      </c>
      <c r="E68" s="15">
        <f>IF(A68="","",IF(COUNTIFS('資格研修記録'!$A$5:$A$1004,A68,'資格研修記録'!$D$5:$D$1004,"潜水士免許")&gt;0,"有","無"))</f>
        <v/>
      </c>
      <c r="F68" s="15">
        <f>IF(A68="","",IF(COUNTIFS('資格研修記録'!$A$5:$A$1004,A68,'資格研修記録'!$D$5:$D$1004,"水難救助研修")&gt;0,"修了","—"))</f>
        <v/>
      </c>
      <c r="G68" s="14">
        <f>IF(A68="","",IF((IF((COUNTIFS('資格研修記録'!$A$5:$A$1004,A68,'資格研修記録'!$D$5:$D$1004,"小型船舶1級",'資格研修記録'!$F$5:$F$1004,"")+COUNTIFS('資格研修記録'!$A$5:$A$1004,A68,'資格研修記録'!$D$5:$D$1004,"小型船舶1級",'資格研修記録'!$F$5:$F$1004,"&gt;="&amp;TODAY()))&gt;0,"1級",IF((COUNTIFS('資格研修記録'!$A$5:$A$1004,A68,'資格研修記録'!$D$5:$D$1004,"小型船舶2級",'資格研修記録'!$F$5:$F$1004,"")+COUNTIFS('資格研修記録'!$A$5:$A$1004,A68,'資格研修記録'!$D$5:$D$1004,"小型船舶2級",'資格研修記録'!$F$5:$F$1004,"&gt;="&amp;TODAY()))&gt;0,"2級",IF(COUNTIFS('資格研修記録'!$A$5:$A$1004,A68,'資格研修記録'!$D$5:$D$1004,"小型船舶1級")+COUNTIFS('資格研修記録'!$A$5:$A$1004,A68,'資格研修記録'!$D$5:$D$1004,"小型船舶2級")&gt;0,"× 1・2級 期限切れ",""))))&amp;(IF((COUNTIFS('資格研修記録'!$A$5:$A$1004,A68,'資格研修記録'!$D$5:$D$1004,"小型船舶特殊",'資格研修記録'!$F$5:$F$1004,"")+COUNTIFS('資格研修記録'!$A$5:$A$1004,A68,'資格研修記録'!$D$5:$D$1004,"小型船舶特殊",'資格研修記録'!$F$5:$F$1004,"&gt;="&amp;TODAY()))&gt;0,"特殊",IF(COUNTIFS('資格研修記録'!$A$5:$A$1004,A68,'資格研修記録'!$D$5:$D$1004,"小型船舶特殊")&gt;0,"× 特殊 期限切れ","")))="","—",_xlfn.TEXTJOIN("・",TRUE,IF((COUNTIFS('資格研修記録'!$A$5:$A$1004,A68,'資格研修記録'!$D$5:$D$1004,"小型船舶1級",'資格研修記録'!$F$5:$F$1004,"")+COUNTIFS('資格研修記録'!$A$5:$A$1004,A68,'資格研修記録'!$D$5:$D$1004,"小型船舶1級",'資格研修記録'!$F$5:$F$1004,"&gt;="&amp;TODAY()))&gt;0,"1級",IF((COUNTIFS('資格研修記録'!$A$5:$A$1004,A68,'資格研修記録'!$D$5:$D$1004,"小型船舶2級",'資格研修記録'!$F$5:$F$1004,"")+COUNTIFS('資格研修記録'!$A$5:$A$1004,A68,'資格研修記録'!$D$5:$D$1004,"小型船舶2級",'資格研修記録'!$F$5:$F$1004,"&gt;="&amp;TODAY()))&gt;0,"2級",IF(COUNTIFS('資格研修記録'!$A$5:$A$1004,A68,'資格研修記録'!$D$5:$D$1004,"小型船舶1級")+COUNTIFS('資格研修記録'!$A$5:$A$1004,A68,'資格研修記録'!$D$5:$D$1004,"小型船舶2級")&gt;0,"× 1・2級 期限切れ",""))),IF((COUNTIFS('資格研修記録'!$A$5:$A$1004,A68,'資格研修記録'!$D$5:$D$1004,"小型船舶特殊",'資格研修記録'!$F$5:$F$1004,"")+COUNTIFS('資格研修記録'!$A$5:$A$1004,A68,'資格研修記録'!$D$5:$D$1004,"小型船舶特殊",'資格研修記録'!$F$5:$F$1004,"&gt;="&amp;TODAY()))&gt;0,"特殊",IF(COUNTIFS('資格研修記録'!$A$5:$A$1004,A68,'資格研修記録'!$D$5:$D$1004,"小型船舶特殊")&gt;0,"× 特殊 期限切れ","")))))</f>
        <v/>
      </c>
      <c r="H68" s="15">
        <f>IF(A68="","",COUNTIFS('潜水記録'!$B$5:$B$3004,A68,'潜水記録'!$AF$5:$AF$3004,$D$2))</f>
        <v/>
      </c>
      <c r="I68" s="15">
        <f>IF(A68="","",COUNTIF('潜水記録'!$B$5:$B$3004,A68))</f>
        <v/>
      </c>
      <c r="J68" s="15">
        <f>IF(A68="","",SUMIF('潜水記録'!$B$5:$B$3004,A68,'潜水記録'!$H$5:$H$3004))</f>
        <v/>
      </c>
      <c r="K68" s="15">
        <f>IF(A68="","",IF(I68=0,"",_xlfn.MAXIFS('潜水記録'!$G$5:$G$3004,'潜水記録'!$B$5:$B$3004,A68)))</f>
        <v/>
      </c>
      <c r="L68" s="16">
        <f>IF(A68="","",IF(I68=0,"",_xlfn.MAXIFS('潜水記録'!$A$5:$A$3004,'潜水記録'!$B$5:$B$3004,A68)))</f>
        <v/>
      </c>
      <c r="M68" s="15">
        <f>IF(L68="","",$B$2-L68)</f>
        <v/>
      </c>
    </row>
    <row r="69">
      <c r="A69" s="14">
        <f>IF('隊員マスタ'!A66="","",'隊員マスタ'!A66)</f>
        <v/>
      </c>
      <c r="B69" s="14">
        <f>IF(A69="","",'隊員マスタ'!B66)</f>
        <v/>
      </c>
      <c r="C69" s="14">
        <f>IF(A69="","",'隊員マスタ'!C66)</f>
        <v/>
      </c>
      <c r="D69" s="15">
        <f>IF(A69="","",'隊員マスタ'!D66)</f>
        <v/>
      </c>
      <c r="E69" s="15">
        <f>IF(A69="","",IF(COUNTIFS('資格研修記録'!$A$5:$A$1004,A69,'資格研修記録'!$D$5:$D$1004,"潜水士免許")&gt;0,"有","無"))</f>
        <v/>
      </c>
      <c r="F69" s="15">
        <f>IF(A69="","",IF(COUNTIFS('資格研修記録'!$A$5:$A$1004,A69,'資格研修記録'!$D$5:$D$1004,"水難救助研修")&gt;0,"修了","—"))</f>
        <v/>
      </c>
      <c r="G69" s="14">
        <f>IF(A69="","",IF((IF((COUNTIFS('資格研修記録'!$A$5:$A$1004,A69,'資格研修記録'!$D$5:$D$1004,"小型船舶1級",'資格研修記録'!$F$5:$F$1004,"")+COUNTIFS('資格研修記録'!$A$5:$A$1004,A69,'資格研修記録'!$D$5:$D$1004,"小型船舶1級",'資格研修記録'!$F$5:$F$1004,"&gt;="&amp;TODAY()))&gt;0,"1級",IF((COUNTIFS('資格研修記録'!$A$5:$A$1004,A69,'資格研修記録'!$D$5:$D$1004,"小型船舶2級",'資格研修記録'!$F$5:$F$1004,"")+COUNTIFS('資格研修記録'!$A$5:$A$1004,A69,'資格研修記録'!$D$5:$D$1004,"小型船舶2級",'資格研修記録'!$F$5:$F$1004,"&gt;="&amp;TODAY()))&gt;0,"2級",IF(COUNTIFS('資格研修記録'!$A$5:$A$1004,A69,'資格研修記録'!$D$5:$D$1004,"小型船舶1級")+COUNTIFS('資格研修記録'!$A$5:$A$1004,A69,'資格研修記録'!$D$5:$D$1004,"小型船舶2級")&gt;0,"× 1・2級 期限切れ",""))))&amp;(IF((COUNTIFS('資格研修記録'!$A$5:$A$1004,A69,'資格研修記録'!$D$5:$D$1004,"小型船舶特殊",'資格研修記録'!$F$5:$F$1004,"")+COUNTIFS('資格研修記録'!$A$5:$A$1004,A69,'資格研修記録'!$D$5:$D$1004,"小型船舶特殊",'資格研修記録'!$F$5:$F$1004,"&gt;="&amp;TODAY()))&gt;0,"特殊",IF(COUNTIFS('資格研修記録'!$A$5:$A$1004,A69,'資格研修記録'!$D$5:$D$1004,"小型船舶特殊")&gt;0,"× 特殊 期限切れ","")))="","—",_xlfn.TEXTJOIN("・",TRUE,IF((COUNTIFS('資格研修記録'!$A$5:$A$1004,A69,'資格研修記録'!$D$5:$D$1004,"小型船舶1級",'資格研修記録'!$F$5:$F$1004,"")+COUNTIFS('資格研修記録'!$A$5:$A$1004,A69,'資格研修記録'!$D$5:$D$1004,"小型船舶1級",'資格研修記録'!$F$5:$F$1004,"&gt;="&amp;TODAY()))&gt;0,"1級",IF((COUNTIFS('資格研修記録'!$A$5:$A$1004,A69,'資格研修記録'!$D$5:$D$1004,"小型船舶2級",'資格研修記録'!$F$5:$F$1004,"")+COUNTIFS('資格研修記録'!$A$5:$A$1004,A69,'資格研修記録'!$D$5:$D$1004,"小型船舶2級",'資格研修記録'!$F$5:$F$1004,"&gt;="&amp;TODAY()))&gt;0,"2級",IF(COUNTIFS('資格研修記録'!$A$5:$A$1004,A69,'資格研修記録'!$D$5:$D$1004,"小型船舶1級")+COUNTIFS('資格研修記録'!$A$5:$A$1004,A69,'資格研修記録'!$D$5:$D$1004,"小型船舶2級")&gt;0,"× 1・2級 期限切れ",""))),IF((COUNTIFS('資格研修記録'!$A$5:$A$1004,A69,'資格研修記録'!$D$5:$D$1004,"小型船舶特殊",'資格研修記録'!$F$5:$F$1004,"")+COUNTIFS('資格研修記録'!$A$5:$A$1004,A69,'資格研修記録'!$D$5:$D$1004,"小型船舶特殊",'資格研修記録'!$F$5:$F$1004,"&gt;="&amp;TODAY()))&gt;0,"特殊",IF(COUNTIFS('資格研修記録'!$A$5:$A$1004,A69,'資格研修記録'!$D$5:$D$1004,"小型船舶特殊")&gt;0,"× 特殊 期限切れ","")))))</f>
        <v/>
      </c>
      <c r="H69" s="15">
        <f>IF(A69="","",COUNTIFS('潜水記録'!$B$5:$B$3004,A69,'潜水記録'!$AF$5:$AF$3004,$D$2))</f>
        <v/>
      </c>
      <c r="I69" s="15">
        <f>IF(A69="","",COUNTIF('潜水記録'!$B$5:$B$3004,A69))</f>
        <v/>
      </c>
      <c r="J69" s="15">
        <f>IF(A69="","",SUMIF('潜水記録'!$B$5:$B$3004,A69,'潜水記録'!$H$5:$H$3004))</f>
        <v/>
      </c>
      <c r="K69" s="15">
        <f>IF(A69="","",IF(I69=0,"",_xlfn.MAXIFS('潜水記録'!$G$5:$G$3004,'潜水記録'!$B$5:$B$3004,A69)))</f>
        <v/>
      </c>
      <c r="L69" s="16">
        <f>IF(A69="","",IF(I69=0,"",_xlfn.MAXIFS('潜水記録'!$A$5:$A$3004,'潜水記録'!$B$5:$B$3004,A69)))</f>
        <v/>
      </c>
      <c r="M69" s="15">
        <f>IF(L69="","",$B$2-L69)</f>
        <v/>
      </c>
    </row>
    <row r="70">
      <c r="A70" s="14">
        <f>IF('隊員マスタ'!A67="","",'隊員マスタ'!A67)</f>
        <v/>
      </c>
      <c r="B70" s="14">
        <f>IF(A70="","",'隊員マスタ'!B67)</f>
        <v/>
      </c>
      <c r="C70" s="14">
        <f>IF(A70="","",'隊員マスタ'!C67)</f>
        <v/>
      </c>
      <c r="D70" s="15">
        <f>IF(A70="","",'隊員マスタ'!D67)</f>
        <v/>
      </c>
      <c r="E70" s="15">
        <f>IF(A70="","",IF(COUNTIFS('資格研修記録'!$A$5:$A$1004,A70,'資格研修記録'!$D$5:$D$1004,"潜水士免許")&gt;0,"有","無"))</f>
        <v/>
      </c>
      <c r="F70" s="15">
        <f>IF(A70="","",IF(COUNTIFS('資格研修記録'!$A$5:$A$1004,A70,'資格研修記録'!$D$5:$D$1004,"水難救助研修")&gt;0,"修了","—"))</f>
        <v/>
      </c>
      <c r="G70" s="14">
        <f>IF(A70="","",IF((IF((COUNTIFS('資格研修記録'!$A$5:$A$1004,A70,'資格研修記録'!$D$5:$D$1004,"小型船舶1級",'資格研修記録'!$F$5:$F$1004,"")+COUNTIFS('資格研修記録'!$A$5:$A$1004,A70,'資格研修記録'!$D$5:$D$1004,"小型船舶1級",'資格研修記録'!$F$5:$F$1004,"&gt;="&amp;TODAY()))&gt;0,"1級",IF((COUNTIFS('資格研修記録'!$A$5:$A$1004,A70,'資格研修記録'!$D$5:$D$1004,"小型船舶2級",'資格研修記録'!$F$5:$F$1004,"")+COUNTIFS('資格研修記録'!$A$5:$A$1004,A70,'資格研修記録'!$D$5:$D$1004,"小型船舶2級",'資格研修記録'!$F$5:$F$1004,"&gt;="&amp;TODAY()))&gt;0,"2級",IF(COUNTIFS('資格研修記録'!$A$5:$A$1004,A70,'資格研修記録'!$D$5:$D$1004,"小型船舶1級")+COUNTIFS('資格研修記録'!$A$5:$A$1004,A70,'資格研修記録'!$D$5:$D$1004,"小型船舶2級")&gt;0,"× 1・2級 期限切れ",""))))&amp;(IF((COUNTIFS('資格研修記録'!$A$5:$A$1004,A70,'資格研修記録'!$D$5:$D$1004,"小型船舶特殊",'資格研修記録'!$F$5:$F$1004,"")+COUNTIFS('資格研修記録'!$A$5:$A$1004,A70,'資格研修記録'!$D$5:$D$1004,"小型船舶特殊",'資格研修記録'!$F$5:$F$1004,"&gt;="&amp;TODAY()))&gt;0,"特殊",IF(COUNTIFS('資格研修記録'!$A$5:$A$1004,A70,'資格研修記録'!$D$5:$D$1004,"小型船舶特殊")&gt;0,"× 特殊 期限切れ","")))="","—",_xlfn.TEXTJOIN("・",TRUE,IF((COUNTIFS('資格研修記録'!$A$5:$A$1004,A70,'資格研修記録'!$D$5:$D$1004,"小型船舶1級",'資格研修記録'!$F$5:$F$1004,"")+COUNTIFS('資格研修記録'!$A$5:$A$1004,A70,'資格研修記録'!$D$5:$D$1004,"小型船舶1級",'資格研修記録'!$F$5:$F$1004,"&gt;="&amp;TODAY()))&gt;0,"1級",IF((COUNTIFS('資格研修記録'!$A$5:$A$1004,A70,'資格研修記録'!$D$5:$D$1004,"小型船舶2級",'資格研修記録'!$F$5:$F$1004,"")+COUNTIFS('資格研修記録'!$A$5:$A$1004,A70,'資格研修記録'!$D$5:$D$1004,"小型船舶2級",'資格研修記録'!$F$5:$F$1004,"&gt;="&amp;TODAY()))&gt;0,"2級",IF(COUNTIFS('資格研修記録'!$A$5:$A$1004,A70,'資格研修記録'!$D$5:$D$1004,"小型船舶1級")+COUNTIFS('資格研修記録'!$A$5:$A$1004,A70,'資格研修記録'!$D$5:$D$1004,"小型船舶2級")&gt;0,"× 1・2級 期限切れ",""))),IF((COUNTIFS('資格研修記録'!$A$5:$A$1004,A70,'資格研修記録'!$D$5:$D$1004,"小型船舶特殊",'資格研修記録'!$F$5:$F$1004,"")+COUNTIFS('資格研修記録'!$A$5:$A$1004,A70,'資格研修記録'!$D$5:$D$1004,"小型船舶特殊",'資格研修記録'!$F$5:$F$1004,"&gt;="&amp;TODAY()))&gt;0,"特殊",IF(COUNTIFS('資格研修記録'!$A$5:$A$1004,A70,'資格研修記録'!$D$5:$D$1004,"小型船舶特殊")&gt;0,"× 特殊 期限切れ","")))))</f>
        <v/>
      </c>
      <c r="H70" s="15">
        <f>IF(A70="","",COUNTIFS('潜水記録'!$B$5:$B$3004,A70,'潜水記録'!$AF$5:$AF$3004,$D$2))</f>
        <v/>
      </c>
      <c r="I70" s="15">
        <f>IF(A70="","",COUNTIF('潜水記録'!$B$5:$B$3004,A70))</f>
        <v/>
      </c>
      <c r="J70" s="15">
        <f>IF(A70="","",SUMIF('潜水記録'!$B$5:$B$3004,A70,'潜水記録'!$H$5:$H$3004))</f>
        <v/>
      </c>
      <c r="K70" s="15">
        <f>IF(A70="","",IF(I70=0,"",_xlfn.MAXIFS('潜水記録'!$G$5:$G$3004,'潜水記録'!$B$5:$B$3004,A70)))</f>
        <v/>
      </c>
      <c r="L70" s="16">
        <f>IF(A70="","",IF(I70=0,"",_xlfn.MAXIFS('潜水記録'!$A$5:$A$3004,'潜水記録'!$B$5:$B$3004,A70)))</f>
        <v/>
      </c>
      <c r="M70" s="15">
        <f>IF(L70="","",$B$2-L70)</f>
        <v/>
      </c>
    </row>
    <row r="71">
      <c r="A71" s="14">
        <f>IF('隊員マスタ'!A68="","",'隊員マスタ'!A68)</f>
        <v/>
      </c>
      <c r="B71" s="14">
        <f>IF(A71="","",'隊員マスタ'!B68)</f>
        <v/>
      </c>
      <c r="C71" s="14">
        <f>IF(A71="","",'隊員マスタ'!C68)</f>
        <v/>
      </c>
      <c r="D71" s="15">
        <f>IF(A71="","",'隊員マスタ'!D68)</f>
        <v/>
      </c>
      <c r="E71" s="15">
        <f>IF(A71="","",IF(COUNTIFS('資格研修記録'!$A$5:$A$1004,A71,'資格研修記録'!$D$5:$D$1004,"潜水士免許")&gt;0,"有","無"))</f>
        <v/>
      </c>
      <c r="F71" s="15">
        <f>IF(A71="","",IF(COUNTIFS('資格研修記録'!$A$5:$A$1004,A71,'資格研修記録'!$D$5:$D$1004,"水難救助研修")&gt;0,"修了","—"))</f>
        <v/>
      </c>
      <c r="G71" s="14">
        <f>IF(A71="","",IF((IF((COUNTIFS('資格研修記録'!$A$5:$A$1004,A71,'資格研修記録'!$D$5:$D$1004,"小型船舶1級",'資格研修記録'!$F$5:$F$1004,"")+COUNTIFS('資格研修記録'!$A$5:$A$1004,A71,'資格研修記録'!$D$5:$D$1004,"小型船舶1級",'資格研修記録'!$F$5:$F$1004,"&gt;="&amp;TODAY()))&gt;0,"1級",IF((COUNTIFS('資格研修記録'!$A$5:$A$1004,A71,'資格研修記録'!$D$5:$D$1004,"小型船舶2級",'資格研修記録'!$F$5:$F$1004,"")+COUNTIFS('資格研修記録'!$A$5:$A$1004,A71,'資格研修記録'!$D$5:$D$1004,"小型船舶2級",'資格研修記録'!$F$5:$F$1004,"&gt;="&amp;TODAY()))&gt;0,"2級",IF(COUNTIFS('資格研修記録'!$A$5:$A$1004,A71,'資格研修記録'!$D$5:$D$1004,"小型船舶1級")+COUNTIFS('資格研修記録'!$A$5:$A$1004,A71,'資格研修記録'!$D$5:$D$1004,"小型船舶2級")&gt;0,"× 1・2級 期限切れ",""))))&amp;(IF((COUNTIFS('資格研修記録'!$A$5:$A$1004,A71,'資格研修記録'!$D$5:$D$1004,"小型船舶特殊",'資格研修記録'!$F$5:$F$1004,"")+COUNTIFS('資格研修記録'!$A$5:$A$1004,A71,'資格研修記録'!$D$5:$D$1004,"小型船舶特殊",'資格研修記録'!$F$5:$F$1004,"&gt;="&amp;TODAY()))&gt;0,"特殊",IF(COUNTIFS('資格研修記録'!$A$5:$A$1004,A71,'資格研修記録'!$D$5:$D$1004,"小型船舶特殊")&gt;0,"× 特殊 期限切れ","")))="","—",_xlfn.TEXTJOIN("・",TRUE,IF((COUNTIFS('資格研修記録'!$A$5:$A$1004,A71,'資格研修記録'!$D$5:$D$1004,"小型船舶1級",'資格研修記録'!$F$5:$F$1004,"")+COUNTIFS('資格研修記録'!$A$5:$A$1004,A71,'資格研修記録'!$D$5:$D$1004,"小型船舶1級",'資格研修記録'!$F$5:$F$1004,"&gt;="&amp;TODAY()))&gt;0,"1級",IF((COUNTIFS('資格研修記録'!$A$5:$A$1004,A71,'資格研修記録'!$D$5:$D$1004,"小型船舶2級",'資格研修記録'!$F$5:$F$1004,"")+COUNTIFS('資格研修記録'!$A$5:$A$1004,A71,'資格研修記録'!$D$5:$D$1004,"小型船舶2級",'資格研修記録'!$F$5:$F$1004,"&gt;="&amp;TODAY()))&gt;0,"2級",IF(COUNTIFS('資格研修記録'!$A$5:$A$1004,A71,'資格研修記録'!$D$5:$D$1004,"小型船舶1級")+COUNTIFS('資格研修記録'!$A$5:$A$1004,A71,'資格研修記録'!$D$5:$D$1004,"小型船舶2級")&gt;0,"× 1・2級 期限切れ",""))),IF((COUNTIFS('資格研修記録'!$A$5:$A$1004,A71,'資格研修記録'!$D$5:$D$1004,"小型船舶特殊",'資格研修記録'!$F$5:$F$1004,"")+COUNTIFS('資格研修記録'!$A$5:$A$1004,A71,'資格研修記録'!$D$5:$D$1004,"小型船舶特殊",'資格研修記録'!$F$5:$F$1004,"&gt;="&amp;TODAY()))&gt;0,"特殊",IF(COUNTIFS('資格研修記録'!$A$5:$A$1004,A71,'資格研修記録'!$D$5:$D$1004,"小型船舶特殊")&gt;0,"× 特殊 期限切れ","")))))</f>
        <v/>
      </c>
      <c r="H71" s="15">
        <f>IF(A71="","",COUNTIFS('潜水記録'!$B$5:$B$3004,A71,'潜水記録'!$AF$5:$AF$3004,$D$2))</f>
        <v/>
      </c>
      <c r="I71" s="15">
        <f>IF(A71="","",COUNTIF('潜水記録'!$B$5:$B$3004,A71))</f>
        <v/>
      </c>
      <c r="J71" s="15">
        <f>IF(A71="","",SUMIF('潜水記録'!$B$5:$B$3004,A71,'潜水記録'!$H$5:$H$3004))</f>
        <v/>
      </c>
      <c r="K71" s="15">
        <f>IF(A71="","",IF(I71=0,"",_xlfn.MAXIFS('潜水記録'!$G$5:$G$3004,'潜水記録'!$B$5:$B$3004,A71)))</f>
        <v/>
      </c>
      <c r="L71" s="16">
        <f>IF(A71="","",IF(I71=0,"",_xlfn.MAXIFS('潜水記録'!$A$5:$A$3004,'潜水記録'!$B$5:$B$3004,A71)))</f>
        <v/>
      </c>
      <c r="M71" s="15">
        <f>IF(L71="","",$B$2-L71)</f>
        <v/>
      </c>
    </row>
    <row r="72">
      <c r="A72" s="14">
        <f>IF('隊員マスタ'!A69="","",'隊員マスタ'!A69)</f>
        <v/>
      </c>
      <c r="B72" s="14">
        <f>IF(A72="","",'隊員マスタ'!B69)</f>
        <v/>
      </c>
      <c r="C72" s="14">
        <f>IF(A72="","",'隊員マスタ'!C69)</f>
        <v/>
      </c>
      <c r="D72" s="15">
        <f>IF(A72="","",'隊員マスタ'!D69)</f>
        <v/>
      </c>
      <c r="E72" s="15">
        <f>IF(A72="","",IF(COUNTIFS('資格研修記録'!$A$5:$A$1004,A72,'資格研修記録'!$D$5:$D$1004,"潜水士免許")&gt;0,"有","無"))</f>
        <v/>
      </c>
      <c r="F72" s="15">
        <f>IF(A72="","",IF(COUNTIFS('資格研修記録'!$A$5:$A$1004,A72,'資格研修記録'!$D$5:$D$1004,"水難救助研修")&gt;0,"修了","—"))</f>
        <v/>
      </c>
      <c r="G72" s="14">
        <f>IF(A72="","",IF((IF((COUNTIFS('資格研修記録'!$A$5:$A$1004,A72,'資格研修記録'!$D$5:$D$1004,"小型船舶1級",'資格研修記録'!$F$5:$F$1004,"")+COUNTIFS('資格研修記録'!$A$5:$A$1004,A72,'資格研修記録'!$D$5:$D$1004,"小型船舶1級",'資格研修記録'!$F$5:$F$1004,"&gt;="&amp;TODAY()))&gt;0,"1級",IF((COUNTIFS('資格研修記録'!$A$5:$A$1004,A72,'資格研修記録'!$D$5:$D$1004,"小型船舶2級",'資格研修記録'!$F$5:$F$1004,"")+COUNTIFS('資格研修記録'!$A$5:$A$1004,A72,'資格研修記録'!$D$5:$D$1004,"小型船舶2級",'資格研修記録'!$F$5:$F$1004,"&gt;="&amp;TODAY()))&gt;0,"2級",IF(COUNTIFS('資格研修記録'!$A$5:$A$1004,A72,'資格研修記録'!$D$5:$D$1004,"小型船舶1級")+COUNTIFS('資格研修記録'!$A$5:$A$1004,A72,'資格研修記録'!$D$5:$D$1004,"小型船舶2級")&gt;0,"× 1・2級 期限切れ",""))))&amp;(IF((COUNTIFS('資格研修記録'!$A$5:$A$1004,A72,'資格研修記録'!$D$5:$D$1004,"小型船舶特殊",'資格研修記録'!$F$5:$F$1004,"")+COUNTIFS('資格研修記録'!$A$5:$A$1004,A72,'資格研修記録'!$D$5:$D$1004,"小型船舶特殊",'資格研修記録'!$F$5:$F$1004,"&gt;="&amp;TODAY()))&gt;0,"特殊",IF(COUNTIFS('資格研修記録'!$A$5:$A$1004,A72,'資格研修記録'!$D$5:$D$1004,"小型船舶特殊")&gt;0,"× 特殊 期限切れ","")))="","—",_xlfn.TEXTJOIN("・",TRUE,IF((COUNTIFS('資格研修記録'!$A$5:$A$1004,A72,'資格研修記録'!$D$5:$D$1004,"小型船舶1級",'資格研修記録'!$F$5:$F$1004,"")+COUNTIFS('資格研修記録'!$A$5:$A$1004,A72,'資格研修記録'!$D$5:$D$1004,"小型船舶1級",'資格研修記録'!$F$5:$F$1004,"&gt;="&amp;TODAY()))&gt;0,"1級",IF((COUNTIFS('資格研修記録'!$A$5:$A$1004,A72,'資格研修記録'!$D$5:$D$1004,"小型船舶2級",'資格研修記録'!$F$5:$F$1004,"")+COUNTIFS('資格研修記録'!$A$5:$A$1004,A72,'資格研修記録'!$D$5:$D$1004,"小型船舶2級",'資格研修記録'!$F$5:$F$1004,"&gt;="&amp;TODAY()))&gt;0,"2級",IF(COUNTIFS('資格研修記録'!$A$5:$A$1004,A72,'資格研修記録'!$D$5:$D$1004,"小型船舶1級")+COUNTIFS('資格研修記録'!$A$5:$A$1004,A72,'資格研修記録'!$D$5:$D$1004,"小型船舶2級")&gt;0,"× 1・2級 期限切れ",""))),IF((COUNTIFS('資格研修記録'!$A$5:$A$1004,A72,'資格研修記録'!$D$5:$D$1004,"小型船舶特殊",'資格研修記録'!$F$5:$F$1004,"")+COUNTIFS('資格研修記録'!$A$5:$A$1004,A72,'資格研修記録'!$D$5:$D$1004,"小型船舶特殊",'資格研修記録'!$F$5:$F$1004,"&gt;="&amp;TODAY()))&gt;0,"特殊",IF(COUNTIFS('資格研修記録'!$A$5:$A$1004,A72,'資格研修記録'!$D$5:$D$1004,"小型船舶特殊")&gt;0,"× 特殊 期限切れ","")))))</f>
        <v/>
      </c>
      <c r="H72" s="15">
        <f>IF(A72="","",COUNTIFS('潜水記録'!$B$5:$B$3004,A72,'潜水記録'!$AF$5:$AF$3004,$D$2))</f>
        <v/>
      </c>
      <c r="I72" s="15">
        <f>IF(A72="","",COUNTIF('潜水記録'!$B$5:$B$3004,A72))</f>
        <v/>
      </c>
      <c r="J72" s="15">
        <f>IF(A72="","",SUMIF('潜水記録'!$B$5:$B$3004,A72,'潜水記録'!$H$5:$H$3004))</f>
        <v/>
      </c>
      <c r="K72" s="15">
        <f>IF(A72="","",IF(I72=0,"",_xlfn.MAXIFS('潜水記録'!$G$5:$G$3004,'潜水記録'!$B$5:$B$3004,A72)))</f>
        <v/>
      </c>
      <c r="L72" s="16">
        <f>IF(A72="","",IF(I72=0,"",_xlfn.MAXIFS('潜水記録'!$A$5:$A$3004,'潜水記録'!$B$5:$B$3004,A72)))</f>
        <v/>
      </c>
      <c r="M72" s="15">
        <f>IF(L72="","",$B$2-L72)</f>
        <v/>
      </c>
    </row>
    <row r="73">
      <c r="A73" s="14">
        <f>IF('隊員マスタ'!A70="","",'隊員マスタ'!A70)</f>
        <v/>
      </c>
      <c r="B73" s="14">
        <f>IF(A73="","",'隊員マスタ'!B70)</f>
        <v/>
      </c>
      <c r="C73" s="14">
        <f>IF(A73="","",'隊員マスタ'!C70)</f>
        <v/>
      </c>
      <c r="D73" s="15">
        <f>IF(A73="","",'隊員マスタ'!D70)</f>
        <v/>
      </c>
      <c r="E73" s="15">
        <f>IF(A73="","",IF(COUNTIFS('資格研修記録'!$A$5:$A$1004,A73,'資格研修記録'!$D$5:$D$1004,"潜水士免許")&gt;0,"有","無"))</f>
        <v/>
      </c>
      <c r="F73" s="15">
        <f>IF(A73="","",IF(COUNTIFS('資格研修記録'!$A$5:$A$1004,A73,'資格研修記録'!$D$5:$D$1004,"水難救助研修")&gt;0,"修了","—"))</f>
        <v/>
      </c>
      <c r="G73" s="14">
        <f>IF(A73="","",IF((IF((COUNTIFS('資格研修記録'!$A$5:$A$1004,A73,'資格研修記録'!$D$5:$D$1004,"小型船舶1級",'資格研修記録'!$F$5:$F$1004,"")+COUNTIFS('資格研修記録'!$A$5:$A$1004,A73,'資格研修記録'!$D$5:$D$1004,"小型船舶1級",'資格研修記録'!$F$5:$F$1004,"&gt;="&amp;TODAY()))&gt;0,"1級",IF((COUNTIFS('資格研修記録'!$A$5:$A$1004,A73,'資格研修記録'!$D$5:$D$1004,"小型船舶2級",'資格研修記録'!$F$5:$F$1004,"")+COUNTIFS('資格研修記録'!$A$5:$A$1004,A73,'資格研修記録'!$D$5:$D$1004,"小型船舶2級",'資格研修記録'!$F$5:$F$1004,"&gt;="&amp;TODAY()))&gt;0,"2級",IF(COUNTIFS('資格研修記録'!$A$5:$A$1004,A73,'資格研修記録'!$D$5:$D$1004,"小型船舶1級")+COUNTIFS('資格研修記録'!$A$5:$A$1004,A73,'資格研修記録'!$D$5:$D$1004,"小型船舶2級")&gt;0,"× 1・2級 期限切れ",""))))&amp;(IF((COUNTIFS('資格研修記録'!$A$5:$A$1004,A73,'資格研修記録'!$D$5:$D$1004,"小型船舶特殊",'資格研修記録'!$F$5:$F$1004,"")+COUNTIFS('資格研修記録'!$A$5:$A$1004,A73,'資格研修記録'!$D$5:$D$1004,"小型船舶特殊",'資格研修記録'!$F$5:$F$1004,"&gt;="&amp;TODAY()))&gt;0,"特殊",IF(COUNTIFS('資格研修記録'!$A$5:$A$1004,A73,'資格研修記録'!$D$5:$D$1004,"小型船舶特殊")&gt;0,"× 特殊 期限切れ","")))="","—",_xlfn.TEXTJOIN("・",TRUE,IF((COUNTIFS('資格研修記録'!$A$5:$A$1004,A73,'資格研修記録'!$D$5:$D$1004,"小型船舶1級",'資格研修記録'!$F$5:$F$1004,"")+COUNTIFS('資格研修記録'!$A$5:$A$1004,A73,'資格研修記録'!$D$5:$D$1004,"小型船舶1級",'資格研修記録'!$F$5:$F$1004,"&gt;="&amp;TODAY()))&gt;0,"1級",IF((COUNTIFS('資格研修記録'!$A$5:$A$1004,A73,'資格研修記録'!$D$5:$D$1004,"小型船舶2級",'資格研修記録'!$F$5:$F$1004,"")+COUNTIFS('資格研修記録'!$A$5:$A$1004,A73,'資格研修記録'!$D$5:$D$1004,"小型船舶2級",'資格研修記録'!$F$5:$F$1004,"&gt;="&amp;TODAY()))&gt;0,"2級",IF(COUNTIFS('資格研修記録'!$A$5:$A$1004,A73,'資格研修記録'!$D$5:$D$1004,"小型船舶1級")+COUNTIFS('資格研修記録'!$A$5:$A$1004,A73,'資格研修記録'!$D$5:$D$1004,"小型船舶2級")&gt;0,"× 1・2級 期限切れ",""))),IF((COUNTIFS('資格研修記録'!$A$5:$A$1004,A73,'資格研修記録'!$D$5:$D$1004,"小型船舶特殊",'資格研修記録'!$F$5:$F$1004,"")+COUNTIFS('資格研修記録'!$A$5:$A$1004,A73,'資格研修記録'!$D$5:$D$1004,"小型船舶特殊",'資格研修記録'!$F$5:$F$1004,"&gt;="&amp;TODAY()))&gt;0,"特殊",IF(COUNTIFS('資格研修記録'!$A$5:$A$1004,A73,'資格研修記録'!$D$5:$D$1004,"小型船舶特殊")&gt;0,"× 特殊 期限切れ","")))))</f>
        <v/>
      </c>
      <c r="H73" s="15">
        <f>IF(A73="","",COUNTIFS('潜水記録'!$B$5:$B$3004,A73,'潜水記録'!$AF$5:$AF$3004,$D$2))</f>
        <v/>
      </c>
      <c r="I73" s="15">
        <f>IF(A73="","",COUNTIF('潜水記録'!$B$5:$B$3004,A73))</f>
        <v/>
      </c>
      <c r="J73" s="15">
        <f>IF(A73="","",SUMIF('潜水記録'!$B$5:$B$3004,A73,'潜水記録'!$H$5:$H$3004))</f>
        <v/>
      </c>
      <c r="K73" s="15">
        <f>IF(A73="","",IF(I73=0,"",_xlfn.MAXIFS('潜水記録'!$G$5:$G$3004,'潜水記録'!$B$5:$B$3004,A73)))</f>
        <v/>
      </c>
      <c r="L73" s="16">
        <f>IF(A73="","",IF(I73=0,"",_xlfn.MAXIFS('潜水記録'!$A$5:$A$3004,'潜水記録'!$B$5:$B$3004,A73)))</f>
        <v/>
      </c>
      <c r="M73" s="15">
        <f>IF(L73="","",$B$2-L73)</f>
        <v/>
      </c>
    </row>
    <row r="74">
      <c r="A74" s="14">
        <f>IF('隊員マスタ'!A71="","",'隊員マスタ'!A71)</f>
        <v/>
      </c>
      <c r="B74" s="14">
        <f>IF(A74="","",'隊員マスタ'!B71)</f>
        <v/>
      </c>
      <c r="C74" s="14">
        <f>IF(A74="","",'隊員マスタ'!C71)</f>
        <v/>
      </c>
      <c r="D74" s="15">
        <f>IF(A74="","",'隊員マスタ'!D71)</f>
        <v/>
      </c>
      <c r="E74" s="15">
        <f>IF(A74="","",IF(COUNTIFS('資格研修記録'!$A$5:$A$1004,A74,'資格研修記録'!$D$5:$D$1004,"潜水士免許")&gt;0,"有","無"))</f>
        <v/>
      </c>
      <c r="F74" s="15">
        <f>IF(A74="","",IF(COUNTIFS('資格研修記録'!$A$5:$A$1004,A74,'資格研修記録'!$D$5:$D$1004,"水難救助研修")&gt;0,"修了","—"))</f>
        <v/>
      </c>
      <c r="G74" s="14">
        <f>IF(A74="","",IF((IF((COUNTIFS('資格研修記録'!$A$5:$A$1004,A74,'資格研修記録'!$D$5:$D$1004,"小型船舶1級",'資格研修記録'!$F$5:$F$1004,"")+COUNTIFS('資格研修記録'!$A$5:$A$1004,A74,'資格研修記録'!$D$5:$D$1004,"小型船舶1級",'資格研修記録'!$F$5:$F$1004,"&gt;="&amp;TODAY()))&gt;0,"1級",IF((COUNTIFS('資格研修記録'!$A$5:$A$1004,A74,'資格研修記録'!$D$5:$D$1004,"小型船舶2級",'資格研修記録'!$F$5:$F$1004,"")+COUNTIFS('資格研修記録'!$A$5:$A$1004,A74,'資格研修記録'!$D$5:$D$1004,"小型船舶2級",'資格研修記録'!$F$5:$F$1004,"&gt;="&amp;TODAY()))&gt;0,"2級",IF(COUNTIFS('資格研修記録'!$A$5:$A$1004,A74,'資格研修記録'!$D$5:$D$1004,"小型船舶1級")+COUNTIFS('資格研修記録'!$A$5:$A$1004,A74,'資格研修記録'!$D$5:$D$1004,"小型船舶2級")&gt;0,"× 1・2級 期限切れ",""))))&amp;(IF((COUNTIFS('資格研修記録'!$A$5:$A$1004,A74,'資格研修記録'!$D$5:$D$1004,"小型船舶特殊",'資格研修記録'!$F$5:$F$1004,"")+COUNTIFS('資格研修記録'!$A$5:$A$1004,A74,'資格研修記録'!$D$5:$D$1004,"小型船舶特殊",'資格研修記録'!$F$5:$F$1004,"&gt;="&amp;TODAY()))&gt;0,"特殊",IF(COUNTIFS('資格研修記録'!$A$5:$A$1004,A74,'資格研修記録'!$D$5:$D$1004,"小型船舶特殊")&gt;0,"× 特殊 期限切れ","")))="","—",_xlfn.TEXTJOIN("・",TRUE,IF((COUNTIFS('資格研修記録'!$A$5:$A$1004,A74,'資格研修記録'!$D$5:$D$1004,"小型船舶1級",'資格研修記録'!$F$5:$F$1004,"")+COUNTIFS('資格研修記録'!$A$5:$A$1004,A74,'資格研修記録'!$D$5:$D$1004,"小型船舶1級",'資格研修記録'!$F$5:$F$1004,"&gt;="&amp;TODAY()))&gt;0,"1級",IF((COUNTIFS('資格研修記録'!$A$5:$A$1004,A74,'資格研修記録'!$D$5:$D$1004,"小型船舶2級",'資格研修記録'!$F$5:$F$1004,"")+COUNTIFS('資格研修記録'!$A$5:$A$1004,A74,'資格研修記録'!$D$5:$D$1004,"小型船舶2級",'資格研修記録'!$F$5:$F$1004,"&gt;="&amp;TODAY()))&gt;0,"2級",IF(COUNTIFS('資格研修記録'!$A$5:$A$1004,A74,'資格研修記録'!$D$5:$D$1004,"小型船舶1級")+COUNTIFS('資格研修記録'!$A$5:$A$1004,A74,'資格研修記録'!$D$5:$D$1004,"小型船舶2級")&gt;0,"× 1・2級 期限切れ",""))),IF((COUNTIFS('資格研修記録'!$A$5:$A$1004,A74,'資格研修記録'!$D$5:$D$1004,"小型船舶特殊",'資格研修記録'!$F$5:$F$1004,"")+COUNTIFS('資格研修記録'!$A$5:$A$1004,A74,'資格研修記録'!$D$5:$D$1004,"小型船舶特殊",'資格研修記録'!$F$5:$F$1004,"&gt;="&amp;TODAY()))&gt;0,"特殊",IF(COUNTIFS('資格研修記録'!$A$5:$A$1004,A74,'資格研修記録'!$D$5:$D$1004,"小型船舶特殊")&gt;0,"× 特殊 期限切れ","")))))</f>
        <v/>
      </c>
      <c r="H74" s="15">
        <f>IF(A74="","",COUNTIFS('潜水記録'!$B$5:$B$3004,A74,'潜水記録'!$AF$5:$AF$3004,$D$2))</f>
        <v/>
      </c>
      <c r="I74" s="15">
        <f>IF(A74="","",COUNTIF('潜水記録'!$B$5:$B$3004,A74))</f>
        <v/>
      </c>
      <c r="J74" s="15">
        <f>IF(A74="","",SUMIF('潜水記録'!$B$5:$B$3004,A74,'潜水記録'!$H$5:$H$3004))</f>
        <v/>
      </c>
      <c r="K74" s="15">
        <f>IF(A74="","",IF(I74=0,"",_xlfn.MAXIFS('潜水記録'!$G$5:$G$3004,'潜水記録'!$B$5:$B$3004,A74)))</f>
        <v/>
      </c>
      <c r="L74" s="16">
        <f>IF(A74="","",IF(I74=0,"",_xlfn.MAXIFS('潜水記録'!$A$5:$A$3004,'潜水記録'!$B$5:$B$3004,A74)))</f>
        <v/>
      </c>
      <c r="M74" s="15">
        <f>IF(L74="","",$B$2-L74)</f>
        <v/>
      </c>
    </row>
    <row r="75">
      <c r="A75" s="14">
        <f>IF('隊員マスタ'!A72="","",'隊員マスタ'!A72)</f>
        <v/>
      </c>
      <c r="B75" s="14">
        <f>IF(A75="","",'隊員マスタ'!B72)</f>
        <v/>
      </c>
      <c r="C75" s="14">
        <f>IF(A75="","",'隊員マスタ'!C72)</f>
        <v/>
      </c>
      <c r="D75" s="15">
        <f>IF(A75="","",'隊員マスタ'!D72)</f>
        <v/>
      </c>
      <c r="E75" s="15">
        <f>IF(A75="","",IF(COUNTIFS('資格研修記録'!$A$5:$A$1004,A75,'資格研修記録'!$D$5:$D$1004,"潜水士免許")&gt;0,"有","無"))</f>
        <v/>
      </c>
      <c r="F75" s="15">
        <f>IF(A75="","",IF(COUNTIFS('資格研修記録'!$A$5:$A$1004,A75,'資格研修記録'!$D$5:$D$1004,"水難救助研修")&gt;0,"修了","—"))</f>
        <v/>
      </c>
      <c r="G75" s="14">
        <f>IF(A75="","",IF((IF((COUNTIFS('資格研修記録'!$A$5:$A$1004,A75,'資格研修記録'!$D$5:$D$1004,"小型船舶1級",'資格研修記録'!$F$5:$F$1004,"")+COUNTIFS('資格研修記録'!$A$5:$A$1004,A75,'資格研修記録'!$D$5:$D$1004,"小型船舶1級",'資格研修記録'!$F$5:$F$1004,"&gt;="&amp;TODAY()))&gt;0,"1級",IF((COUNTIFS('資格研修記録'!$A$5:$A$1004,A75,'資格研修記録'!$D$5:$D$1004,"小型船舶2級",'資格研修記録'!$F$5:$F$1004,"")+COUNTIFS('資格研修記録'!$A$5:$A$1004,A75,'資格研修記録'!$D$5:$D$1004,"小型船舶2級",'資格研修記録'!$F$5:$F$1004,"&gt;="&amp;TODAY()))&gt;0,"2級",IF(COUNTIFS('資格研修記録'!$A$5:$A$1004,A75,'資格研修記録'!$D$5:$D$1004,"小型船舶1級")+COUNTIFS('資格研修記録'!$A$5:$A$1004,A75,'資格研修記録'!$D$5:$D$1004,"小型船舶2級")&gt;0,"× 1・2級 期限切れ",""))))&amp;(IF((COUNTIFS('資格研修記録'!$A$5:$A$1004,A75,'資格研修記録'!$D$5:$D$1004,"小型船舶特殊",'資格研修記録'!$F$5:$F$1004,"")+COUNTIFS('資格研修記録'!$A$5:$A$1004,A75,'資格研修記録'!$D$5:$D$1004,"小型船舶特殊",'資格研修記録'!$F$5:$F$1004,"&gt;="&amp;TODAY()))&gt;0,"特殊",IF(COUNTIFS('資格研修記録'!$A$5:$A$1004,A75,'資格研修記録'!$D$5:$D$1004,"小型船舶特殊")&gt;0,"× 特殊 期限切れ","")))="","—",_xlfn.TEXTJOIN("・",TRUE,IF((COUNTIFS('資格研修記録'!$A$5:$A$1004,A75,'資格研修記録'!$D$5:$D$1004,"小型船舶1級",'資格研修記録'!$F$5:$F$1004,"")+COUNTIFS('資格研修記録'!$A$5:$A$1004,A75,'資格研修記録'!$D$5:$D$1004,"小型船舶1級",'資格研修記録'!$F$5:$F$1004,"&gt;="&amp;TODAY()))&gt;0,"1級",IF((COUNTIFS('資格研修記録'!$A$5:$A$1004,A75,'資格研修記録'!$D$5:$D$1004,"小型船舶2級",'資格研修記録'!$F$5:$F$1004,"")+COUNTIFS('資格研修記録'!$A$5:$A$1004,A75,'資格研修記録'!$D$5:$D$1004,"小型船舶2級",'資格研修記録'!$F$5:$F$1004,"&gt;="&amp;TODAY()))&gt;0,"2級",IF(COUNTIFS('資格研修記録'!$A$5:$A$1004,A75,'資格研修記録'!$D$5:$D$1004,"小型船舶1級")+COUNTIFS('資格研修記録'!$A$5:$A$1004,A75,'資格研修記録'!$D$5:$D$1004,"小型船舶2級")&gt;0,"× 1・2級 期限切れ",""))),IF((COUNTIFS('資格研修記録'!$A$5:$A$1004,A75,'資格研修記録'!$D$5:$D$1004,"小型船舶特殊",'資格研修記録'!$F$5:$F$1004,"")+COUNTIFS('資格研修記録'!$A$5:$A$1004,A75,'資格研修記録'!$D$5:$D$1004,"小型船舶特殊",'資格研修記録'!$F$5:$F$1004,"&gt;="&amp;TODAY()))&gt;0,"特殊",IF(COUNTIFS('資格研修記録'!$A$5:$A$1004,A75,'資格研修記録'!$D$5:$D$1004,"小型船舶特殊")&gt;0,"× 特殊 期限切れ","")))))</f>
        <v/>
      </c>
      <c r="H75" s="15">
        <f>IF(A75="","",COUNTIFS('潜水記録'!$B$5:$B$3004,A75,'潜水記録'!$AF$5:$AF$3004,$D$2))</f>
        <v/>
      </c>
      <c r="I75" s="15">
        <f>IF(A75="","",COUNTIF('潜水記録'!$B$5:$B$3004,A75))</f>
        <v/>
      </c>
      <c r="J75" s="15">
        <f>IF(A75="","",SUMIF('潜水記録'!$B$5:$B$3004,A75,'潜水記録'!$H$5:$H$3004))</f>
        <v/>
      </c>
      <c r="K75" s="15">
        <f>IF(A75="","",IF(I75=0,"",_xlfn.MAXIFS('潜水記録'!$G$5:$G$3004,'潜水記録'!$B$5:$B$3004,A75)))</f>
        <v/>
      </c>
      <c r="L75" s="16">
        <f>IF(A75="","",IF(I75=0,"",_xlfn.MAXIFS('潜水記録'!$A$5:$A$3004,'潜水記録'!$B$5:$B$3004,A75)))</f>
        <v/>
      </c>
      <c r="M75" s="15">
        <f>IF(L75="","",$B$2-L75)</f>
        <v/>
      </c>
    </row>
    <row r="76">
      <c r="A76" s="14">
        <f>IF('隊員マスタ'!A73="","",'隊員マスタ'!A73)</f>
        <v/>
      </c>
      <c r="B76" s="14">
        <f>IF(A76="","",'隊員マスタ'!B73)</f>
        <v/>
      </c>
      <c r="C76" s="14">
        <f>IF(A76="","",'隊員マスタ'!C73)</f>
        <v/>
      </c>
      <c r="D76" s="15">
        <f>IF(A76="","",'隊員マスタ'!D73)</f>
        <v/>
      </c>
      <c r="E76" s="15">
        <f>IF(A76="","",IF(COUNTIFS('資格研修記録'!$A$5:$A$1004,A76,'資格研修記録'!$D$5:$D$1004,"潜水士免許")&gt;0,"有","無"))</f>
        <v/>
      </c>
      <c r="F76" s="15">
        <f>IF(A76="","",IF(COUNTIFS('資格研修記録'!$A$5:$A$1004,A76,'資格研修記録'!$D$5:$D$1004,"水難救助研修")&gt;0,"修了","—"))</f>
        <v/>
      </c>
      <c r="G76" s="14">
        <f>IF(A76="","",IF((IF((COUNTIFS('資格研修記録'!$A$5:$A$1004,A76,'資格研修記録'!$D$5:$D$1004,"小型船舶1級",'資格研修記録'!$F$5:$F$1004,"")+COUNTIFS('資格研修記録'!$A$5:$A$1004,A76,'資格研修記録'!$D$5:$D$1004,"小型船舶1級",'資格研修記録'!$F$5:$F$1004,"&gt;="&amp;TODAY()))&gt;0,"1級",IF((COUNTIFS('資格研修記録'!$A$5:$A$1004,A76,'資格研修記録'!$D$5:$D$1004,"小型船舶2級",'資格研修記録'!$F$5:$F$1004,"")+COUNTIFS('資格研修記録'!$A$5:$A$1004,A76,'資格研修記録'!$D$5:$D$1004,"小型船舶2級",'資格研修記録'!$F$5:$F$1004,"&gt;="&amp;TODAY()))&gt;0,"2級",IF(COUNTIFS('資格研修記録'!$A$5:$A$1004,A76,'資格研修記録'!$D$5:$D$1004,"小型船舶1級")+COUNTIFS('資格研修記録'!$A$5:$A$1004,A76,'資格研修記録'!$D$5:$D$1004,"小型船舶2級")&gt;0,"× 1・2級 期限切れ",""))))&amp;(IF((COUNTIFS('資格研修記録'!$A$5:$A$1004,A76,'資格研修記録'!$D$5:$D$1004,"小型船舶特殊",'資格研修記録'!$F$5:$F$1004,"")+COUNTIFS('資格研修記録'!$A$5:$A$1004,A76,'資格研修記録'!$D$5:$D$1004,"小型船舶特殊",'資格研修記録'!$F$5:$F$1004,"&gt;="&amp;TODAY()))&gt;0,"特殊",IF(COUNTIFS('資格研修記録'!$A$5:$A$1004,A76,'資格研修記録'!$D$5:$D$1004,"小型船舶特殊")&gt;0,"× 特殊 期限切れ","")))="","—",_xlfn.TEXTJOIN("・",TRUE,IF((COUNTIFS('資格研修記録'!$A$5:$A$1004,A76,'資格研修記録'!$D$5:$D$1004,"小型船舶1級",'資格研修記録'!$F$5:$F$1004,"")+COUNTIFS('資格研修記録'!$A$5:$A$1004,A76,'資格研修記録'!$D$5:$D$1004,"小型船舶1級",'資格研修記録'!$F$5:$F$1004,"&gt;="&amp;TODAY()))&gt;0,"1級",IF((COUNTIFS('資格研修記録'!$A$5:$A$1004,A76,'資格研修記録'!$D$5:$D$1004,"小型船舶2級",'資格研修記録'!$F$5:$F$1004,"")+COUNTIFS('資格研修記録'!$A$5:$A$1004,A76,'資格研修記録'!$D$5:$D$1004,"小型船舶2級",'資格研修記録'!$F$5:$F$1004,"&gt;="&amp;TODAY()))&gt;0,"2級",IF(COUNTIFS('資格研修記録'!$A$5:$A$1004,A76,'資格研修記録'!$D$5:$D$1004,"小型船舶1級")+COUNTIFS('資格研修記録'!$A$5:$A$1004,A76,'資格研修記録'!$D$5:$D$1004,"小型船舶2級")&gt;0,"× 1・2級 期限切れ",""))),IF((COUNTIFS('資格研修記録'!$A$5:$A$1004,A76,'資格研修記録'!$D$5:$D$1004,"小型船舶特殊",'資格研修記録'!$F$5:$F$1004,"")+COUNTIFS('資格研修記録'!$A$5:$A$1004,A76,'資格研修記録'!$D$5:$D$1004,"小型船舶特殊",'資格研修記録'!$F$5:$F$1004,"&gt;="&amp;TODAY()))&gt;0,"特殊",IF(COUNTIFS('資格研修記録'!$A$5:$A$1004,A76,'資格研修記録'!$D$5:$D$1004,"小型船舶特殊")&gt;0,"× 特殊 期限切れ","")))))</f>
        <v/>
      </c>
      <c r="H76" s="15">
        <f>IF(A76="","",COUNTIFS('潜水記録'!$B$5:$B$3004,A76,'潜水記録'!$AF$5:$AF$3004,$D$2))</f>
        <v/>
      </c>
      <c r="I76" s="15">
        <f>IF(A76="","",COUNTIF('潜水記録'!$B$5:$B$3004,A76))</f>
        <v/>
      </c>
      <c r="J76" s="15">
        <f>IF(A76="","",SUMIF('潜水記録'!$B$5:$B$3004,A76,'潜水記録'!$H$5:$H$3004))</f>
        <v/>
      </c>
      <c r="K76" s="15">
        <f>IF(A76="","",IF(I76=0,"",_xlfn.MAXIFS('潜水記録'!$G$5:$G$3004,'潜水記録'!$B$5:$B$3004,A76)))</f>
        <v/>
      </c>
      <c r="L76" s="16">
        <f>IF(A76="","",IF(I76=0,"",_xlfn.MAXIFS('潜水記録'!$A$5:$A$3004,'潜水記録'!$B$5:$B$3004,A76)))</f>
        <v/>
      </c>
      <c r="M76" s="15">
        <f>IF(L76="","",$B$2-L76)</f>
        <v/>
      </c>
    </row>
    <row r="77">
      <c r="A77" s="14">
        <f>IF('隊員マスタ'!A74="","",'隊員マスタ'!A74)</f>
        <v/>
      </c>
      <c r="B77" s="14">
        <f>IF(A77="","",'隊員マスタ'!B74)</f>
        <v/>
      </c>
      <c r="C77" s="14">
        <f>IF(A77="","",'隊員マスタ'!C74)</f>
        <v/>
      </c>
      <c r="D77" s="15">
        <f>IF(A77="","",'隊員マスタ'!D74)</f>
        <v/>
      </c>
      <c r="E77" s="15">
        <f>IF(A77="","",IF(COUNTIFS('資格研修記録'!$A$5:$A$1004,A77,'資格研修記録'!$D$5:$D$1004,"潜水士免許")&gt;0,"有","無"))</f>
        <v/>
      </c>
      <c r="F77" s="15">
        <f>IF(A77="","",IF(COUNTIFS('資格研修記録'!$A$5:$A$1004,A77,'資格研修記録'!$D$5:$D$1004,"水難救助研修")&gt;0,"修了","—"))</f>
        <v/>
      </c>
      <c r="G77" s="14">
        <f>IF(A77="","",IF((IF((COUNTIFS('資格研修記録'!$A$5:$A$1004,A77,'資格研修記録'!$D$5:$D$1004,"小型船舶1級",'資格研修記録'!$F$5:$F$1004,"")+COUNTIFS('資格研修記録'!$A$5:$A$1004,A77,'資格研修記録'!$D$5:$D$1004,"小型船舶1級",'資格研修記録'!$F$5:$F$1004,"&gt;="&amp;TODAY()))&gt;0,"1級",IF((COUNTIFS('資格研修記録'!$A$5:$A$1004,A77,'資格研修記録'!$D$5:$D$1004,"小型船舶2級",'資格研修記録'!$F$5:$F$1004,"")+COUNTIFS('資格研修記録'!$A$5:$A$1004,A77,'資格研修記録'!$D$5:$D$1004,"小型船舶2級",'資格研修記録'!$F$5:$F$1004,"&gt;="&amp;TODAY()))&gt;0,"2級",IF(COUNTIFS('資格研修記録'!$A$5:$A$1004,A77,'資格研修記録'!$D$5:$D$1004,"小型船舶1級")+COUNTIFS('資格研修記録'!$A$5:$A$1004,A77,'資格研修記録'!$D$5:$D$1004,"小型船舶2級")&gt;0,"× 1・2級 期限切れ",""))))&amp;(IF((COUNTIFS('資格研修記録'!$A$5:$A$1004,A77,'資格研修記録'!$D$5:$D$1004,"小型船舶特殊",'資格研修記録'!$F$5:$F$1004,"")+COUNTIFS('資格研修記録'!$A$5:$A$1004,A77,'資格研修記録'!$D$5:$D$1004,"小型船舶特殊",'資格研修記録'!$F$5:$F$1004,"&gt;="&amp;TODAY()))&gt;0,"特殊",IF(COUNTIFS('資格研修記録'!$A$5:$A$1004,A77,'資格研修記録'!$D$5:$D$1004,"小型船舶特殊")&gt;0,"× 特殊 期限切れ","")))="","—",_xlfn.TEXTJOIN("・",TRUE,IF((COUNTIFS('資格研修記録'!$A$5:$A$1004,A77,'資格研修記録'!$D$5:$D$1004,"小型船舶1級",'資格研修記録'!$F$5:$F$1004,"")+COUNTIFS('資格研修記録'!$A$5:$A$1004,A77,'資格研修記録'!$D$5:$D$1004,"小型船舶1級",'資格研修記録'!$F$5:$F$1004,"&gt;="&amp;TODAY()))&gt;0,"1級",IF((COUNTIFS('資格研修記録'!$A$5:$A$1004,A77,'資格研修記録'!$D$5:$D$1004,"小型船舶2級",'資格研修記録'!$F$5:$F$1004,"")+COUNTIFS('資格研修記録'!$A$5:$A$1004,A77,'資格研修記録'!$D$5:$D$1004,"小型船舶2級",'資格研修記録'!$F$5:$F$1004,"&gt;="&amp;TODAY()))&gt;0,"2級",IF(COUNTIFS('資格研修記録'!$A$5:$A$1004,A77,'資格研修記録'!$D$5:$D$1004,"小型船舶1級")+COUNTIFS('資格研修記録'!$A$5:$A$1004,A77,'資格研修記録'!$D$5:$D$1004,"小型船舶2級")&gt;0,"× 1・2級 期限切れ",""))),IF((COUNTIFS('資格研修記録'!$A$5:$A$1004,A77,'資格研修記録'!$D$5:$D$1004,"小型船舶特殊",'資格研修記録'!$F$5:$F$1004,"")+COUNTIFS('資格研修記録'!$A$5:$A$1004,A77,'資格研修記録'!$D$5:$D$1004,"小型船舶特殊",'資格研修記録'!$F$5:$F$1004,"&gt;="&amp;TODAY()))&gt;0,"特殊",IF(COUNTIFS('資格研修記録'!$A$5:$A$1004,A77,'資格研修記録'!$D$5:$D$1004,"小型船舶特殊")&gt;0,"× 特殊 期限切れ","")))))</f>
        <v/>
      </c>
      <c r="H77" s="15">
        <f>IF(A77="","",COUNTIFS('潜水記録'!$B$5:$B$3004,A77,'潜水記録'!$AF$5:$AF$3004,$D$2))</f>
        <v/>
      </c>
      <c r="I77" s="15">
        <f>IF(A77="","",COUNTIF('潜水記録'!$B$5:$B$3004,A77))</f>
        <v/>
      </c>
      <c r="J77" s="15">
        <f>IF(A77="","",SUMIF('潜水記録'!$B$5:$B$3004,A77,'潜水記録'!$H$5:$H$3004))</f>
        <v/>
      </c>
      <c r="K77" s="15">
        <f>IF(A77="","",IF(I77=0,"",_xlfn.MAXIFS('潜水記録'!$G$5:$G$3004,'潜水記録'!$B$5:$B$3004,A77)))</f>
        <v/>
      </c>
      <c r="L77" s="16">
        <f>IF(A77="","",IF(I77=0,"",_xlfn.MAXIFS('潜水記録'!$A$5:$A$3004,'潜水記録'!$B$5:$B$3004,A77)))</f>
        <v/>
      </c>
      <c r="M77" s="15">
        <f>IF(L77="","",$B$2-L77)</f>
        <v/>
      </c>
    </row>
    <row r="78">
      <c r="A78" s="14">
        <f>IF('隊員マスタ'!A75="","",'隊員マスタ'!A75)</f>
        <v/>
      </c>
      <c r="B78" s="14">
        <f>IF(A78="","",'隊員マスタ'!B75)</f>
        <v/>
      </c>
      <c r="C78" s="14">
        <f>IF(A78="","",'隊員マスタ'!C75)</f>
        <v/>
      </c>
      <c r="D78" s="15">
        <f>IF(A78="","",'隊員マスタ'!D75)</f>
        <v/>
      </c>
      <c r="E78" s="15">
        <f>IF(A78="","",IF(COUNTIFS('資格研修記録'!$A$5:$A$1004,A78,'資格研修記録'!$D$5:$D$1004,"潜水士免許")&gt;0,"有","無"))</f>
        <v/>
      </c>
      <c r="F78" s="15">
        <f>IF(A78="","",IF(COUNTIFS('資格研修記録'!$A$5:$A$1004,A78,'資格研修記録'!$D$5:$D$1004,"水難救助研修")&gt;0,"修了","—"))</f>
        <v/>
      </c>
      <c r="G78" s="14">
        <f>IF(A78="","",IF((IF((COUNTIFS('資格研修記録'!$A$5:$A$1004,A78,'資格研修記録'!$D$5:$D$1004,"小型船舶1級",'資格研修記録'!$F$5:$F$1004,"")+COUNTIFS('資格研修記録'!$A$5:$A$1004,A78,'資格研修記録'!$D$5:$D$1004,"小型船舶1級",'資格研修記録'!$F$5:$F$1004,"&gt;="&amp;TODAY()))&gt;0,"1級",IF((COUNTIFS('資格研修記録'!$A$5:$A$1004,A78,'資格研修記録'!$D$5:$D$1004,"小型船舶2級",'資格研修記録'!$F$5:$F$1004,"")+COUNTIFS('資格研修記録'!$A$5:$A$1004,A78,'資格研修記録'!$D$5:$D$1004,"小型船舶2級",'資格研修記録'!$F$5:$F$1004,"&gt;="&amp;TODAY()))&gt;0,"2級",IF(COUNTIFS('資格研修記録'!$A$5:$A$1004,A78,'資格研修記録'!$D$5:$D$1004,"小型船舶1級")+COUNTIFS('資格研修記録'!$A$5:$A$1004,A78,'資格研修記録'!$D$5:$D$1004,"小型船舶2級")&gt;0,"× 1・2級 期限切れ",""))))&amp;(IF((COUNTIFS('資格研修記録'!$A$5:$A$1004,A78,'資格研修記録'!$D$5:$D$1004,"小型船舶特殊",'資格研修記録'!$F$5:$F$1004,"")+COUNTIFS('資格研修記録'!$A$5:$A$1004,A78,'資格研修記録'!$D$5:$D$1004,"小型船舶特殊",'資格研修記録'!$F$5:$F$1004,"&gt;="&amp;TODAY()))&gt;0,"特殊",IF(COUNTIFS('資格研修記録'!$A$5:$A$1004,A78,'資格研修記録'!$D$5:$D$1004,"小型船舶特殊")&gt;0,"× 特殊 期限切れ","")))="","—",_xlfn.TEXTJOIN("・",TRUE,IF((COUNTIFS('資格研修記録'!$A$5:$A$1004,A78,'資格研修記録'!$D$5:$D$1004,"小型船舶1級",'資格研修記録'!$F$5:$F$1004,"")+COUNTIFS('資格研修記録'!$A$5:$A$1004,A78,'資格研修記録'!$D$5:$D$1004,"小型船舶1級",'資格研修記録'!$F$5:$F$1004,"&gt;="&amp;TODAY()))&gt;0,"1級",IF((COUNTIFS('資格研修記録'!$A$5:$A$1004,A78,'資格研修記録'!$D$5:$D$1004,"小型船舶2級",'資格研修記録'!$F$5:$F$1004,"")+COUNTIFS('資格研修記録'!$A$5:$A$1004,A78,'資格研修記録'!$D$5:$D$1004,"小型船舶2級",'資格研修記録'!$F$5:$F$1004,"&gt;="&amp;TODAY()))&gt;0,"2級",IF(COUNTIFS('資格研修記録'!$A$5:$A$1004,A78,'資格研修記録'!$D$5:$D$1004,"小型船舶1級")+COUNTIFS('資格研修記録'!$A$5:$A$1004,A78,'資格研修記録'!$D$5:$D$1004,"小型船舶2級")&gt;0,"× 1・2級 期限切れ",""))),IF((COUNTIFS('資格研修記録'!$A$5:$A$1004,A78,'資格研修記録'!$D$5:$D$1004,"小型船舶特殊",'資格研修記録'!$F$5:$F$1004,"")+COUNTIFS('資格研修記録'!$A$5:$A$1004,A78,'資格研修記録'!$D$5:$D$1004,"小型船舶特殊",'資格研修記録'!$F$5:$F$1004,"&gt;="&amp;TODAY()))&gt;0,"特殊",IF(COUNTIFS('資格研修記録'!$A$5:$A$1004,A78,'資格研修記録'!$D$5:$D$1004,"小型船舶特殊")&gt;0,"× 特殊 期限切れ","")))))</f>
        <v/>
      </c>
      <c r="H78" s="15">
        <f>IF(A78="","",COUNTIFS('潜水記録'!$B$5:$B$3004,A78,'潜水記録'!$AF$5:$AF$3004,$D$2))</f>
        <v/>
      </c>
      <c r="I78" s="15">
        <f>IF(A78="","",COUNTIF('潜水記録'!$B$5:$B$3004,A78))</f>
        <v/>
      </c>
      <c r="J78" s="15">
        <f>IF(A78="","",SUMIF('潜水記録'!$B$5:$B$3004,A78,'潜水記録'!$H$5:$H$3004))</f>
        <v/>
      </c>
      <c r="K78" s="15">
        <f>IF(A78="","",IF(I78=0,"",_xlfn.MAXIFS('潜水記録'!$G$5:$G$3004,'潜水記録'!$B$5:$B$3004,A78)))</f>
        <v/>
      </c>
      <c r="L78" s="16">
        <f>IF(A78="","",IF(I78=0,"",_xlfn.MAXIFS('潜水記録'!$A$5:$A$3004,'潜水記録'!$B$5:$B$3004,A78)))</f>
        <v/>
      </c>
      <c r="M78" s="15">
        <f>IF(L78="","",$B$2-L78)</f>
        <v/>
      </c>
    </row>
    <row r="79">
      <c r="A79" s="14">
        <f>IF('隊員マスタ'!A76="","",'隊員マスタ'!A76)</f>
        <v/>
      </c>
      <c r="B79" s="14">
        <f>IF(A79="","",'隊員マスタ'!B76)</f>
        <v/>
      </c>
      <c r="C79" s="14">
        <f>IF(A79="","",'隊員マスタ'!C76)</f>
        <v/>
      </c>
      <c r="D79" s="15">
        <f>IF(A79="","",'隊員マスタ'!D76)</f>
        <v/>
      </c>
      <c r="E79" s="15">
        <f>IF(A79="","",IF(COUNTIFS('資格研修記録'!$A$5:$A$1004,A79,'資格研修記録'!$D$5:$D$1004,"潜水士免許")&gt;0,"有","無"))</f>
        <v/>
      </c>
      <c r="F79" s="15">
        <f>IF(A79="","",IF(COUNTIFS('資格研修記録'!$A$5:$A$1004,A79,'資格研修記録'!$D$5:$D$1004,"水難救助研修")&gt;0,"修了","—"))</f>
        <v/>
      </c>
      <c r="G79" s="14">
        <f>IF(A79="","",IF((IF((COUNTIFS('資格研修記録'!$A$5:$A$1004,A79,'資格研修記録'!$D$5:$D$1004,"小型船舶1級",'資格研修記録'!$F$5:$F$1004,"")+COUNTIFS('資格研修記録'!$A$5:$A$1004,A79,'資格研修記録'!$D$5:$D$1004,"小型船舶1級",'資格研修記録'!$F$5:$F$1004,"&gt;="&amp;TODAY()))&gt;0,"1級",IF((COUNTIFS('資格研修記録'!$A$5:$A$1004,A79,'資格研修記録'!$D$5:$D$1004,"小型船舶2級",'資格研修記録'!$F$5:$F$1004,"")+COUNTIFS('資格研修記録'!$A$5:$A$1004,A79,'資格研修記録'!$D$5:$D$1004,"小型船舶2級",'資格研修記録'!$F$5:$F$1004,"&gt;="&amp;TODAY()))&gt;0,"2級",IF(COUNTIFS('資格研修記録'!$A$5:$A$1004,A79,'資格研修記録'!$D$5:$D$1004,"小型船舶1級")+COUNTIFS('資格研修記録'!$A$5:$A$1004,A79,'資格研修記録'!$D$5:$D$1004,"小型船舶2級")&gt;0,"× 1・2級 期限切れ",""))))&amp;(IF((COUNTIFS('資格研修記録'!$A$5:$A$1004,A79,'資格研修記録'!$D$5:$D$1004,"小型船舶特殊",'資格研修記録'!$F$5:$F$1004,"")+COUNTIFS('資格研修記録'!$A$5:$A$1004,A79,'資格研修記録'!$D$5:$D$1004,"小型船舶特殊",'資格研修記録'!$F$5:$F$1004,"&gt;="&amp;TODAY()))&gt;0,"特殊",IF(COUNTIFS('資格研修記録'!$A$5:$A$1004,A79,'資格研修記録'!$D$5:$D$1004,"小型船舶特殊")&gt;0,"× 特殊 期限切れ","")))="","—",_xlfn.TEXTJOIN("・",TRUE,IF((COUNTIFS('資格研修記録'!$A$5:$A$1004,A79,'資格研修記録'!$D$5:$D$1004,"小型船舶1級",'資格研修記録'!$F$5:$F$1004,"")+COUNTIFS('資格研修記録'!$A$5:$A$1004,A79,'資格研修記録'!$D$5:$D$1004,"小型船舶1級",'資格研修記録'!$F$5:$F$1004,"&gt;="&amp;TODAY()))&gt;0,"1級",IF((COUNTIFS('資格研修記録'!$A$5:$A$1004,A79,'資格研修記録'!$D$5:$D$1004,"小型船舶2級",'資格研修記録'!$F$5:$F$1004,"")+COUNTIFS('資格研修記録'!$A$5:$A$1004,A79,'資格研修記録'!$D$5:$D$1004,"小型船舶2級",'資格研修記録'!$F$5:$F$1004,"&gt;="&amp;TODAY()))&gt;0,"2級",IF(COUNTIFS('資格研修記録'!$A$5:$A$1004,A79,'資格研修記録'!$D$5:$D$1004,"小型船舶1級")+COUNTIFS('資格研修記録'!$A$5:$A$1004,A79,'資格研修記録'!$D$5:$D$1004,"小型船舶2級")&gt;0,"× 1・2級 期限切れ",""))),IF((COUNTIFS('資格研修記録'!$A$5:$A$1004,A79,'資格研修記録'!$D$5:$D$1004,"小型船舶特殊",'資格研修記録'!$F$5:$F$1004,"")+COUNTIFS('資格研修記録'!$A$5:$A$1004,A79,'資格研修記録'!$D$5:$D$1004,"小型船舶特殊",'資格研修記録'!$F$5:$F$1004,"&gt;="&amp;TODAY()))&gt;0,"特殊",IF(COUNTIFS('資格研修記録'!$A$5:$A$1004,A79,'資格研修記録'!$D$5:$D$1004,"小型船舶特殊")&gt;0,"× 特殊 期限切れ","")))))</f>
        <v/>
      </c>
      <c r="H79" s="15">
        <f>IF(A79="","",COUNTIFS('潜水記録'!$B$5:$B$3004,A79,'潜水記録'!$AF$5:$AF$3004,$D$2))</f>
        <v/>
      </c>
      <c r="I79" s="15">
        <f>IF(A79="","",COUNTIF('潜水記録'!$B$5:$B$3004,A79))</f>
        <v/>
      </c>
      <c r="J79" s="15">
        <f>IF(A79="","",SUMIF('潜水記録'!$B$5:$B$3004,A79,'潜水記録'!$H$5:$H$3004))</f>
        <v/>
      </c>
      <c r="K79" s="15">
        <f>IF(A79="","",IF(I79=0,"",_xlfn.MAXIFS('潜水記録'!$G$5:$G$3004,'潜水記録'!$B$5:$B$3004,A79)))</f>
        <v/>
      </c>
      <c r="L79" s="16">
        <f>IF(A79="","",IF(I79=0,"",_xlfn.MAXIFS('潜水記録'!$A$5:$A$3004,'潜水記録'!$B$5:$B$3004,A79)))</f>
        <v/>
      </c>
      <c r="M79" s="15">
        <f>IF(L79="","",$B$2-L79)</f>
        <v/>
      </c>
    </row>
    <row r="80">
      <c r="A80" s="14">
        <f>IF('隊員マスタ'!A77="","",'隊員マスタ'!A77)</f>
        <v/>
      </c>
      <c r="B80" s="14">
        <f>IF(A80="","",'隊員マスタ'!B77)</f>
        <v/>
      </c>
      <c r="C80" s="14">
        <f>IF(A80="","",'隊員マスタ'!C77)</f>
        <v/>
      </c>
      <c r="D80" s="15">
        <f>IF(A80="","",'隊員マスタ'!D77)</f>
        <v/>
      </c>
      <c r="E80" s="15">
        <f>IF(A80="","",IF(COUNTIFS('資格研修記録'!$A$5:$A$1004,A80,'資格研修記録'!$D$5:$D$1004,"潜水士免許")&gt;0,"有","無"))</f>
        <v/>
      </c>
      <c r="F80" s="15">
        <f>IF(A80="","",IF(COUNTIFS('資格研修記録'!$A$5:$A$1004,A80,'資格研修記録'!$D$5:$D$1004,"水難救助研修")&gt;0,"修了","—"))</f>
        <v/>
      </c>
      <c r="G80" s="14">
        <f>IF(A80="","",IF((IF((COUNTIFS('資格研修記録'!$A$5:$A$1004,A80,'資格研修記録'!$D$5:$D$1004,"小型船舶1級",'資格研修記録'!$F$5:$F$1004,"")+COUNTIFS('資格研修記録'!$A$5:$A$1004,A80,'資格研修記録'!$D$5:$D$1004,"小型船舶1級",'資格研修記録'!$F$5:$F$1004,"&gt;="&amp;TODAY()))&gt;0,"1級",IF((COUNTIFS('資格研修記録'!$A$5:$A$1004,A80,'資格研修記録'!$D$5:$D$1004,"小型船舶2級",'資格研修記録'!$F$5:$F$1004,"")+COUNTIFS('資格研修記録'!$A$5:$A$1004,A80,'資格研修記録'!$D$5:$D$1004,"小型船舶2級",'資格研修記録'!$F$5:$F$1004,"&gt;="&amp;TODAY()))&gt;0,"2級",IF(COUNTIFS('資格研修記録'!$A$5:$A$1004,A80,'資格研修記録'!$D$5:$D$1004,"小型船舶1級")+COUNTIFS('資格研修記録'!$A$5:$A$1004,A80,'資格研修記録'!$D$5:$D$1004,"小型船舶2級")&gt;0,"× 1・2級 期限切れ",""))))&amp;(IF((COUNTIFS('資格研修記録'!$A$5:$A$1004,A80,'資格研修記録'!$D$5:$D$1004,"小型船舶特殊",'資格研修記録'!$F$5:$F$1004,"")+COUNTIFS('資格研修記録'!$A$5:$A$1004,A80,'資格研修記録'!$D$5:$D$1004,"小型船舶特殊",'資格研修記録'!$F$5:$F$1004,"&gt;="&amp;TODAY()))&gt;0,"特殊",IF(COUNTIFS('資格研修記録'!$A$5:$A$1004,A80,'資格研修記録'!$D$5:$D$1004,"小型船舶特殊")&gt;0,"× 特殊 期限切れ","")))="","—",_xlfn.TEXTJOIN("・",TRUE,IF((COUNTIFS('資格研修記録'!$A$5:$A$1004,A80,'資格研修記録'!$D$5:$D$1004,"小型船舶1級",'資格研修記録'!$F$5:$F$1004,"")+COUNTIFS('資格研修記録'!$A$5:$A$1004,A80,'資格研修記録'!$D$5:$D$1004,"小型船舶1級",'資格研修記録'!$F$5:$F$1004,"&gt;="&amp;TODAY()))&gt;0,"1級",IF((COUNTIFS('資格研修記録'!$A$5:$A$1004,A80,'資格研修記録'!$D$5:$D$1004,"小型船舶2級",'資格研修記録'!$F$5:$F$1004,"")+COUNTIFS('資格研修記録'!$A$5:$A$1004,A80,'資格研修記録'!$D$5:$D$1004,"小型船舶2級",'資格研修記録'!$F$5:$F$1004,"&gt;="&amp;TODAY()))&gt;0,"2級",IF(COUNTIFS('資格研修記録'!$A$5:$A$1004,A80,'資格研修記録'!$D$5:$D$1004,"小型船舶1級")+COUNTIFS('資格研修記録'!$A$5:$A$1004,A80,'資格研修記録'!$D$5:$D$1004,"小型船舶2級")&gt;0,"× 1・2級 期限切れ",""))),IF((COUNTIFS('資格研修記録'!$A$5:$A$1004,A80,'資格研修記録'!$D$5:$D$1004,"小型船舶特殊",'資格研修記録'!$F$5:$F$1004,"")+COUNTIFS('資格研修記録'!$A$5:$A$1004,A80,'資格研修記録'!$D$5:$D$1004,"小型船舶特殊",'資格研修記録'!$F$5:$F$1004,"&gt;="&amp;TODAY()))&gt;0,"特殊",IF(COUNTIFS('資格研修記録'!$A$5:$A$1004,A80,'資格研修記録'!$D$5:$D$1004,"小型船舶特殊")&gt;0,"× 特殊 期限切れ","")))))</f>
        <v/>
      </c>
      <c r="H80" s="15">
        <f>IF(A80="","",COUNTIFS('潜水記録'!$B$5:$B$3004,A80,'潜水記録'!$AF$5:$AF$3004,$D$2))</f>
        <v/>
      </c>
      <c r="I80" s="15">
        <f>IF(A80="","",COUNTIF('潜水記録'!$B$5:$B$3004,A80))</f>
        <v/>
      </c>
      <c r="J80" s="15">
        <f>IF(A80="","",SUMIF('潜水記録'!$B$5:$B$3004,A80,'潜水記録'!$H$5:$H$3004))</f>
        <v/>
      </c>
      <c r="K80" s="15">
        <f>IF(A80="","",IF(I80=0,"",_xlfn.MAXIFS('潜水記録'!$G$5:$G$3004,'潜水記録'!$B$5:$B$3004,A80)))</f>
        <v/>
      </c>
      <c r="L80" s="16">
        <f>IF(A80="","",IF(I80=0,"",_xlfn.MAXIFS('潜水記録'!$A$5:$A$3004,'潜水記録'!$B$5:$B$3004,A80)))</f>
        <v/>
      </c>
      <c r="M80" s="15">
        <f>IF(L80="","",$B$2-L80)</f>
        <v/>
      </c>
    </row>
    <row r="81">
      <c r="A81" s="14">
        <f>IF('隊員マスタ'!A78="","",'隊員マスタ'!A78)</f>
        <v/>
      </c>
      <c r="B81" s="14">
        <f>IF(A81="","",'隊員マスタ'!B78)</f>
        <v/>
      </c>
      <c r="C81" s="14">
        <f>IF(A81="","",'隊員マスタ'!C78)</f>
        <v/>
      </c>
      <c r="D81" s="15">
        <f>IF(A81="","",'隊員マスタ'!D78)</f>
        <v/>
      </c>
      <c r="E81" s="15">
        <f>IF(A81="","",IF(COUNTIFS('資格研修記録'!$A$5:$A$1004,A81,'資格研修記録'!$D$5:$D$1004,"潜水士免許")&gt;0,"有","無"))</f>
        <v/>
      </c>
      <c r="F81" s="15">
        <f>IF(A81="","",IF(COUNTIFS('資格研修記録'!$A$5:$A$1004,A81,'資格研修記録'!$D$5:$D$1004,"水難救助研修")&gt;0,"修了","—"))</f>
        <v/>
      </c>
      <c r="G81" s="14">
        <f>IF(A81="","",IF((IF((COUNTIFS('資格研修記録'!$A$5:$A$1004,A81,'資格研修記録'!$D$5:$D$1004,"小型船舶1級",'資格研修記録'!$F$5:$F$1004,"")+COUNTIFS('資格研修記録'!$A$5:$A$1004,A81,'資格研修記録'!$D$5:$D$1004,"小型船舶1級",'資格研修記録'!$F$5:$F$1004,"&gt;="&amp;TODAY()))&gt;0,"1級",IF((COUNTIFS('資格研修記録'!$A$5:$A$1004,A81,'資格研修記録'!$D$5:$D$1004,"小型船舶2級",'資格研修記録'!$F$5:$F$1004,"")+COUNTIFS('資格研修記録'!$A$5:$A$1004,A81,'資格研修記録'!$D$5:$D$1004,"小型船舶2級",'資格研修記録'!$F$5:$F$1004,"&gt;="&amp;TODAY()))&gt;0,"2級",IF(COUNTIFS('資格研修記録'!$A$5:$A$1004,A81,'資格研修記録'!$D$5:$D$1004,"小型船舶1級")+COUNTIFS('資格研修記録'!$A$5:$A$1004,A81,'資格研修記録'!$D$5:$D$1004,"小型船舶2級")&gt;0,"× 1・2級 期限切れ",""))))&amp;(IF((COUNTIFS('資格研修記録'!$A$5:$A$1004,A81,'資格研修記録'!$D$5:$D$1004,"小型船舶特殊",'資格研修記録'!$F$5:$F$1004,"")+COUNTIFS('資格研修記録'!$A$5:$A$1004,A81,'資格研修記録'!$D$5:$D$1004,"小型船舶特殊",'資格研修記録'!$F$5:$F$1004,"&gt;="&amp;TODAY()))&gt;0,"特殊",IF(COUNTIFS('資格研修記録'!$A$5:$A$1004,A81,'資格研修記録'!$D$5:$D$1004,"小型船舶特殊")&gt;0,"× 特殊 期限切れ","")))="","—",_xlfn.TEXTJOIN("・",TRUE,IF((COUNTIFS('資格研修記録'!$A$5:$A$1004,A81,'資格研修記録'!$D$5:$D$1004,"小型船舶1級",'資格研修記録'!$F$5:$F$1004,"")+COUNTIFS('資格研修記録'!$A$5:$A$1004,A81,'資格研修記録'!$D$5:$D$1004,"小型船舶1級",'資格研修記録'!$F$5:$F$1004,"&gt;="&amp;TODAY()))&gt;0,"1級",IF((COUNTIFS('資格研修記録'!$A$5:$A$1004,A81,'資格研修記録'!$D$5:$D$1004,"小型船舶2級",'資格研修記録'!$F$5:$F$1004,"")+COUNTIFS('資格研修記録'!$A$5:$A$1004,A81,'資格研修記録'!$D$5:$D$1004,"小型船舶2級",'資格研修記録'!$F$5:$F$1004,"&gt;="&amp;TODAY()))&gt;0,"2級",IF(COUNTIFS('資格研修記録'!$A$5:$A$1004,A81,'資格研修記録'!$D$5:$D$1004,"小型船舶1級")+COUNTIFS('資格研修記録'!$A$5:$A$1004,A81,'資格研修記録'!$D$5:$D$1004,"小型船舶2級")&gt;0,"× 1・2級 期限切れ",""))),IF((COUNTIFS('資格研修記録'!$A$5:$A$1004,A81,'資格研修記録'!$D$5:$D$1004,"小型船舶特殊",'資格研修記録'!$F$5:$F$1004,"")+COUNTIFS('資格研修記録'!$A$5:$A$1004,A81,'資格研修記録'!$D$5:$D$1004,"小型船舶特殊",'資格研修記録'!$F$5:$F$1004,"&gt;="&amp;TODAY()))&gt;0,"特殊",IF(COUNTIFS('資格研修記録'!$A$5:$A$1004,A81,'資格研修記録'!$D$5:$D$1004,"小型船舶特殊")&gt;0,"× 特殊 期限切れ","")))))</f>
        <v/>
      </c>
      <c r="H81" s="15">
        <f>IF(A81="","",COUNTIFS('潜水記録'!$B$5:$B$3004,A81,'潜水記録'!$AF$5:$AF$3004,$D$2))</f>
        <v/>
      </c>
      <c r="I81" s="15">
        <f>IF(A81="","",COUNTIF('潜水記録'!$B$5:$B$3004,A81))</f>
        <v/>
      </c>
      <c r="J81" s="15">
        <f>IF(A81="","",SUMIF('潜水記録'!$B$5:$B$3004,A81,'潜水記録'!$H$5:$H$3004))</f>
        <v/>
      </c>
      <c r="K81" s="15">
        <f>IF(A81="","",IF(I81=0,"",_xlfn.MAXIFS('潜水記録'!$G$5:$G$3004,'潜水記録'!$B$5:$B$3004,A81)))</f>
        <v/>
      </c>
      <c r="L81" s="16">
        <f>IF(A81="","",IF(I81=0,"",_xlfn.MAXIFS('潜水記録'!$A$5:$A$3004,'潜水記録'!$B$5:$B$3004,A81)))</f>
        <v/>
      </c>
      <c r="M81" s="15">
        <f>IF(L81="","",$B$2-L81)</f>
        <v/>
      </c>
    </row>
    <row r="82">
      <c r="A82" s="14">
        <f>IF('隊員マスタ'!A79="","",'隊員マスタ'!A79)</f>
        <v/>
      </c>
      <c r="B82" s="14">
        <f>IF(A82="","",'隊員マスタ'!B79)</f>
        <v/>
      </c>
      <c r="C82" s="14">
        <f>IF(A82="","",'隊員マスタ'!C79)</f>
        <v/>
      </c>
      <c r="D82" s="15">
        <f>IF(A82="","",'隊員マスタ'!D79)</f>
        <v/>
      </c>
      <c r="E82" s="15">
        <f>IF(A82="","",IF(COUNTIFS('資格研修記録'!$A$5:$A$1004,A82,'資格研修記録'!$D$5:$D$1004,"潜水士免許")&gt;0,"有","無"))</f>
        <v/>
      </c>
      <c r="F82" s="15">
        <f>IF(A82="","",IF(COUNTIFS('資格研修記録'!$A$5:$A$1004,A82,'資格研修記録'!$D$5:$D$1004,"水難救助研修")&gt;0,"修了","—"))</f>
        <v/>
      </c>
      <c r="G82" s="14">
        <f>IF(A82="","",IF((IF((COUNTIFS('資格研修記録'!$A$5:$A$1004,A82,'資格研修記録'!$D$5:$D$1004,"小型船舶1級",'資格研修記録'!$F$5:$F$1004,"")+COUNTIFS('資格研修記録'!$A$5:$A$1004,A82,'資格研修記録'!$D$5:$D$1004,"小型船舶1級",'資格研修記録'!$F$5:$F$1004,"&gt;="&amp;TODAY()))&gt;0,"1級",IF((COUNTIFS('資格研修記録'!$A$5:$A$1004,A82,'資格研修記録'!$D$5:$D$1004,"小型船舶2級",'資格研修記録'!$F$5:$F$1004,"")+COUNTIFS('資格研修記録'!$A$5:$A$1004,A82,'資格研修記録'!$D$5:$D$1004,"小型船舶2級",'資格研修記録'!$F$5:$F$1004,"&gt;="&amp;TODAY()))&gt;0,"2級",IF(COUNTIFS('資格研修記録'!$A$5:$A$1004,A82,'資格研修記録'!$D$5:$D$1004,"小型船舶1級")+COUNTIFS('資格研修記録'!$A$5:$A$1004,A82,'資格研修記録'!$D$5:$D$1004,"小型船舶2級")&gt;0,"× 1・2級 期限切れ",""))))&amp;(IF((COUNTIFS('資格研修記録'!$A$5:$A$1004,A82,'資格研修記録'!$D$5:$D$1004,"小型船舶特殊",'資格研修記録'!$F$5:$F$1004,"")+COUNTIFS('資格研修記録'!$A$5:$A$1004,A82,'資格研修記録'!$D$5:$D$1004,"小型船舶特殊",'資格研修記録'!$F$5:$F$1004,"&gt;="&amp;TODAY()))&gt;0,"特殊",IF(COUNTIFS('資格研修記録'!$A$5:$A$1004,A82,'資格研修記録'!$D$5:$D$1004,"小型船舶特殊")&gt;0,"× 特殊 期限切れ","")))="","—",_xlfn.TEXTJOIN("・",TRUE,IF((COUNTIFS('資格研修記録'!$A$5:$A$1004,A82,'資格研修記録'!$D$5:$D$1004,"小型船舶1級",'資格研修記録'!$F$5:$F$1004,"")+COUNTIFS('資格研修記録'!$A$5:$A$1004,A82,'資格研修記録'!$D$5:$D$1004,"小型船舶1級",'資格研修記録'!$F$5:$F$1004,"&gt;="&amp;TODAY()))&gt;0,"1級",IF((COUNTIFS('資格研修記録'!$A$5:$A$1004,A82,'資格研修記録'!$D$5:$D$1004,"小型船舶2級",'資格研修記録'!$F$5:$F$1004,"")+COUNTIFS('資格研修記録'!$A$5:$A$1004,A82,'資格研修記録'!$D$5:$D$1004,"小型船舶2級",'資格研修記録'!$F$5:$F$1004,"&gt;="&amp;TODAY()))&gt;0,"2級",IF(COUNTIFS('資格研修記録'!$A$5:$A$1004,A82,'資格研修記録'!$D$5:$D$1004,"小型船舶1級")+COUNTIFS('資格研修記録'!$A$5:$A$1004,A82,'資格研修記録'!$D$5:$D$1004,"小型船舶2級")&gt;0,"× 1・2級 期限切れ",""))),IF((COUNTIFS('資格研修記録'!$A$5:$A$1004,A82,'資格研修記録'!$D$5:$D$1004,"小型船舶特殊",'資格研修記録'!$F$5:$F$1004,"")+COUNTIFS('資格研修記録'!$A$5:$A$1004,A82,'資格研修記録'!$D$5:$D$1004,"小型船舶特殊",'資格研修記録'!$F$5:$F$1004,"&gt;="&amp;TODAY()))&gt;0,"特殊",IF(COUNTIFS('資格研修記録'!$A$5:$A$1004,A82,'資格研修記録'!$D$5:$D$1004,"小型船舶特殊")&gt;0,"× 特殊 期限切れ","")))))</f>
        <v/>
      </c>
      <c r="H82" s="15">
        <f>IF(A82="","",COUNTIFS('潜水記録'!$B$5:$B$3004,A82,'潜水記録'!$AF$5:$AF$3004,$D$2))</f>
        <v/>
      </c>
      <c r="I82" s="15">
        <f>IF(A82="","",COUNTIF('潜水記録'!$B$5:$B$3004,A82))</f>
        <v/>
      </c>
      <c r="J82" s="15">
        <f>IF(A82="","",SUMIF('潜水記録'!$B$5:$B$3004,A82,'潜水記録'!$H$5:$H$3004))</f>
        <v/>
      </c>
      <c r="K82" s="15">
        <f>IF(A82="","",IF(I82=0,"",_xlfn.MAXIFS('潜水記録'!$G$5:$G$3004,'潜水記録'!$B$5:$B$3004,A82)))</f>
        <v/>
      </c>
      <c r="L82" s="16">
        <f>IF(A82="","",IF(I82=0,"",_xlfn.MAXIFS('潜水記録'!$A$5:$A$3004,'潜水記録'!$B$5:$B$3004,A82)))</f>
        <v/>
      </c>
      <c r="M82" s="15">
        <f>IF(L82="","",$B$2-L82)</f>
        <v/>
      </c>
    </row>
    <row r="83">
      <c r="A83" s="14">
        <f>IF('隊員マスタ'!A80="","",'隊員マスタ'!A80)</f>
        <v/>
      </c>
      <c r="B83" s="14">
        <f>IF(A83="","",'隊員マスタ'!B80)</f>
        <v/>
      </c>
      <c r="C83" s="14">
        <f>IF(A83="","",'隊員マスタ'!C80)</f>
        <v/>
      </c>
      <c r="D83" s="15">
        <f>IF(A83="","",'隊員マスタ'!D80)</f>
        <v/>
      </c>
      <c r="E83" s="15">
        <f>IF(A83="","",IF(COUNTIFS('資格研修記録'!$A$5:$A$1004,A83,'資格研修記録'!$D$5:$D$1004,"潜水士免許")&gt;0,"有","無"))</f>
        <v/>
      </c>
      <c r="F83" s="15">
        <f>IF(A83="","",IF(COUNTIFS('資格研修記録'!$A$5:$A$1004,A83,'資格研修記録'!$D$5:$D$1004,"水難救助研修")&gt;0,"修了","—"))</f>
        <v/>
      </c>
      <c r="G83" s="14">
        <f>IF(A83="","",IF((IF((COUNTIFS('資格研修記録'!$A$5:$A$1004,A83,'資格研修記録'!$D$5:$D$1004,"小型船舶1級",'資格研修記録'!$F$5:$F$1004,"")+COUNTIFS('資格研修記録'!$A$5:$A$1004,A83,'資格研修記録'!$D$5:$D$1004,"小型船舶1級",'資格研修記録'!$F$5:$F$1004,"&gt;="&amp;TODAY()))&gt;0,"1級",IF((COUNTIFS('資格研修記録'!$A$5:$A$1004,A83,'資格研修記録'!$D$5:$D$1004,"小型船舶2級",'資格研修記録'!$F$5:$F$1004,"")+COUNTIFS('資格研修記録'!$A$5:$A$1004,A83,'資格研修記録'!$D$5:$D$1004,"小型船舶2級",'資格研修記録'!$F$5:$F$1004,"&gt;="&amp;TODAY()))&gt;0,"2級",IF(COUNTIFS('資格研修記録'!$A$5:$A$1004,A83,'資格研修記録'!$D$5:$D$1004,"小型船舶1級")+COUNTIFS('資格研修記録'!$A$5:$A$1004,A83,'資格研修記録'!$D$5:$D$1004,"小型船舶2級")&gt;0,"× 1・2級 期限切れ",""))))&amp;(IF((COUNTIFS('資格研修記録'!$A$5:$A$1004,A83,'資格研修記録'!$D$5:$D$1004,"小型船舶特殊",'資格研修記録'!$F$5:$F$1004,"")+COUNTIFS('資格研修記録'!$A$5:$A$1004,A83,'資格研修記録'!$D$5:$D$1004,"小型船舶特殊",'資格研修記録'!$F$5:$F$1004,"&gt;="&amp;TODAY()))&gt;0,"特殊",IF(COUNTIFS('資格研修記録'!$A$5:$A$1004,A83,'資格研修記録'!$D$5:$D$1004,"小型船舶特殊")&gt;0,"× 特殊 期限切れ","")))="","—",_xlfn.TEXTJOIN("・",TRUE,IF((COUNTIFS('資格研修記録'!$A$5:$A$1004,A83,'資格研修記録'!$D$5:$D$1004,"小型船舶1級",'資格研修記録'!$F$5:$F$1004,"")+COUNTIFS('資格研修記録'!$A$5:$A$1004,A83,'資格研修記録'!$D$5:$D$1004,"小型船舶1級",'資格研修記録'!$F$5:$F$1004,"&gt;="&amp;TODAY()))&gt;0,"1級",IF((COUNTIFS('資格研修記録'!$A$5:$A$1004,A83,'資格研修記録'!$D$5:$D$1004,"小型船舶2級",'資格研修記録'!$F$5:$F$1004,"")+COUNTIFS('資格研修記録'!$A$5:$A$1004,A83,'資格研修記録'!$D$5:$D$1004,"小型船舶2級",'資格研修記録'!$F$5:$F$1004,"&gt;="&amp;TODAY()))&gt;0,"2級",IF(COUNTIFS('資格研修記録'!$A$5:$A$1004,A83,'資格研修記録'!$D$5:$D$1004,"小型船舶1級")+COUNTIFS('資格研修記録'!$A$5:$A$1004,A83,'資格研修記録'!$D$5:$D$1004,"小型船舶2級")&gt;0,"× 1・2級 期限切れ",""))),IF((COUNTIFS('資格研修記録'!$A$5:$A$1004,A83,'資格研修記録'!$D$5:$D$1004,"小型船舶特殊",'資格研修記録'!$F$5:$F$1004,"")+COUNTIFS('資格研修記録'!$A$5:$A$1004,A83,'資格研修記録'!$D$5:$D$1004,"小型船舶特殊",'資格研修記録'!$F$5:$F$1004,"&gt;="&amp;TODAY()))&gt;0,"特殊",IF(COUNTIFS('資格研修記録'!$A$5:$A$1004,A83,'資格研修記録'!$D$5:$D$1004,"小型船舶特殊")&gt;0,"× 特殊 期限切れ","")))))</f>
        <v/>
      </c>
      <c r="H83" s="15">
        <f>IF(A83="","",COUNTIFS('潜水記録'!$B$5:$B$3004,A83,'潜水記録'!$AF$5:$AF$3004,$D$2))</f>
        <v/>
      </c>
      <c r="I83" s="15">
        <f>IF(A83="","",COUNTIF('潜水記録'!$B$5:$B$3004,A83))</f>
        <v/>
      </c>
      <c r="J83" s="15">
        <f>IF(A83="","",SUMIF('潜水記録'!$B$5:$B$3004,A83,'潜水記録'!$H$5:$H$3004))</f>
        <v/>
      </c>
      <c r="K83" s="15">
        <f>IF(A83="","",IF(I83=0,"",_xlfn.MAXIFS('潜水記録'!$G$5:$G$3004,'潜水記録'!$B$5:$B$3004,A83)))</f>
        <v/>
      </c>
      <c r="L83" s="16">
        <f>IF(A83="","",IF(I83=0,"",_xlfn.MAXIFS('潜水記録'!$A$5:$A$3004,'潜水記録'!$B$5:$B$3004,A83)))</f>
        <v/>
      </c>
      <c r="M83" s="15">
        <f>IF(L83="","",$B$2-L83)</f>
        <v/>
      </c>
    </row>
    <row r="84">
      <c r="A84" s="14">
        <f>IF('隊員マスタ'!A81="","",'隊員マスタ'!A81)</f>
        <v/>
      </c>
      <c r="B84" s="14">
        <f>IF(A84="","",'隊員マスタ'!B81)</f>
        <v/>
      </c>
      <c r="C84" s="14">
        <f>IF(A84="","",'隊員マスタ'!C81)</f>
        <v/>
      </c>
      <c r="D84" s="15">
        <f>IF(A84="","",'隊員マスタ'!D81)</f>
        <v/>
      </c>
      <c r="E84" s="15">
        <f>IF(A84="","",IF(COUNTIFS('資格研修記録'!$A$5:$A$1004,A84,'資格研修記録'!$D$5:$D$1004,"潜水士免許")&gt;0,"有","無"))</f>
        <v/>
      </c>
      <c r="F84" s="15">
        <f>IF(A84="","",IF(COUNTIFS('資格研修記録'!$A$5:$A$1004,A84,'資格研修記録'!$D$5:$D$1004,"水難救助研修")&gt;0,"修了","—"))</f>
        <v/>
      </c>
      <c r="G84" s="14">
        <f>IF(A84="","",IF((IF((COUNTIFS('資格研修記録'!$A$5:$A$1004,A84,'資格研修記録'!$D$5:$D$1004,"小型船舶1級",'資格研修記録'!$F$5:$F$1004,"")+COUNTIFS('資格研修記録'!$A$5:$A$1004,A84,'資格研修記録'!$D$5:$D$1004,"小型船舶1級",'資格研修記録'!$F$5:$F$1004,"&gt;="&amp;TODAY()))&gt;0,"1級",IF((COUNTIFS('資格研修記録'!$A$5:$A$1004,A84,'資格研修記録'!$D$5:$D$1004,"小型船舶2級",'資格研修記録'!$F$5:$F$1004,"")+COUNTIFS('資格研修記録'!$A$5:$A$1004,A84,'資格研修記録'!$D$5:$D$1004,"小型船舶2級",'資格研修記録'!$F$5:$F$1004,"&gt;="&amp;TODAY()))&gt;0,"2級",IF(COUNTIFS('資格研修記録'!$A$5:$A$1004,A84,'資格研修記録'!$D$5:$D$1004,"小型船舶1級")+COUNTIFS('資格研修記録'!$A$5:$A$1004,A84,'資格研修記録'!$D$5:$D$1004,"小型船舶2級")&gt;0,"× 1・2級 期限切れ",""))))&amp;(IF((COUNTIFS('資格研修記録'!$A$5:$A$1004,A84,'資格研修記録'!$D$5:$D$1004,"小型船舶特殊",'資格研修記録'!$F$5:$F$1004,"")+COUNTIFS('資格研修記録'!$A$5:$A$1004,A84,'資格研修記録'!$D$5:$D$1004,"小型船舶特殊",'資格研修記録'!$F$5:$F$1004,"&gt;="&amp;TODAY()))&gt;0,"特殊",IF(COUNTIFS('資格研修記録'!$A$5:$A$1004,A84,'資格研修記録'!$D$5:$D$1004,"小型船舶特殊")&gt;0,"× 特殊 期限切れ","")))="","—",_xlfn.TEXTJOIN("・",TRUE,IF((COUNTIFS('資格研修記録'!$A$5:$A$1004,A84,'資格研修記録'!$D$5:$D$1004,"小型船舶1級",'資格研修記録'!$F$5:$F$1004,"")+COUNTIFS('資格研修記録'!$A$5:$A$1004,A84,'資格研修記録'!$D$5:$D$1004,"小型船舶1級",'資格研修記録'!$F$5:$F$1004,"&gt;="&amp;TODAY()))&gt;0,"1級",IF((COUNTIFS('資格研修記録'!$A$5:$A$1004,A84,'資格研修記録'!$D$5:$D$1004,"小型船舶2級",'資格研修記録'!$F$5:$F$1004,"")+COUNTIFS('資格研修記録'!$A$5:$A$1004,A84,'資格研修記録'!$D$5:$D$1004,"小型船舶2級",'資格研修記録'!$F$5:$F$1004,"&gt;="&amp;TODAY()))&gt;0,"2級",IF(COUNTIFS('資格研修記録'!$A$5:$A$1004,A84,'資格研修記録'!$D$5:$D$1004,"小型船舶1級")+COUNTIFS('資格研修記録'!$A$5:$A$1004,A84,'資格研修記録'!$D$5:$D$1004,"小型船舶2級")&gt;0,"× 1・2級 期限切れ",""))),IF((COUNTIFS('資格研修記録'!$A$5:$A$1004,A84,'資格研修記録'!$D$5:$D$1004,"小型船舶特殊",'資格研修記録'!$F$5:$F$1004,"")+COUNTIFS('資格研修記録'!$A$5:$A$1004,A84,'資格研修記録'!$D$5:$D$1004,"小型船舶特殊",'資格研修記録'!$F$5:$F$1004,"&gt;="&amp;TODAY()))&gt;0,"特殊",IF(COUNTIFS('資格研修記録'!$A$5:$A$1004,A84,'資格研修記録'!$D$5:$D$1004,"小型船舶特殊")&gt;0,"× 特殊 期限切れ","")))))</f>
        <v/>
      </c>
      <c r="H84" s="15">
        <f>IF(A84="","",COUNTIFS('潜水記録'!$B$5:$B$3004,A84,'潜水記録'!$AF$5:$AF$3004,$D$2))</f>
        <v/>
      </c>
      <c r="I84" s="15">
        <f>IF(A84="","",COUNTIF('潜水記録'!$B$5:$B$3004,A84))</f>
        <v/>
      </c>
      <c r="J84" s="15">
        <f>IF(A84="","",SUMIF('潜水記録'!$B$5:$B$3004,A84,'潜水記録'!$H$5:$H$3004))</f>
        <v/>
      </c>
      <c r="K84" s="15">
        <f>IF(A84="","",IF(I84=0,"",_xlfn.MAXIFS('潜水記録'!$G$5:$G$3004,'潜水記録'!$B$5:$B$3004,A84)))</f>
        <v/>
      </c>
      <c r="L84" s="16">
        <f>IF(A84="","",IF(I84=0,"",_xlfn.MAXIFS('潜水記録'!$A$5:$A$3004,'潜水記録'!$B$5:$B$3004,A84)))</f>
        <v/>
      </c>
      <c r="M84" s="15">
        <f>IF(L84="","",$B$2-L84)</f>
        <v/>
      </c>
    </row>
    <row r="85">
      <c r="A85" s="14">
        <f>IF('隊員マスタ'!A82="","",'隊員マスタ'!A82)</f>
        <v/>
      </c>
      <c r="B85" s="14">
        <f>IF(A85="","",'隊員マスタ'!B82)</f>
        <v/>
      </c>
      <c r="C85" s="14">
        <f>IF(A85="","",'隊員マスタ'!C82)</f>
        <v/>
      </c>
      <c r="D85" s="15">
        <f>IF(A85="","",'隊員マスタ'!D82)</f>
        <v/>
      </c>
      <c r="E85" s="15">
        <f>IF(A85="","",IF(COUNTIFS('資格研修記録'!$A$5:$A$1004,A85,'資格研修記録'!$D$5:$D$1004,"潜水士免許")&gt;0,"有","無"))</f>
        <v/>
      </c>
      <c r="F85" s="15">
        <f>IF(A85="","",IF(COUNTIFS('資格研修記録'!$A$5:$A$1004,A85,'資格研修記録'!$D$5:$D$1004,"水難救助研修")&gt;0,"修了","—"))</f>
        <v/>
      </c>
      <c r="G85" s="14">
        <f>IF(A85="","",IF((IF((COUNTIFS('資格研修記録'!$A$5:$A$1004,A85,'資格研修記録'!$D$5:$D$1004,"小型船舶1級",'資格研修記録'!$F$5:$F$1004,"")+COUNTIFS('資格研修記録'!$A$5:$A$1004,A85,'資格研修記録'!$D$5:$D$1004,"小型船舶1級",'資格研修記録'!$F$5:$F$1004,"&gt;="&amp;TODAY()))&gt;0,"1級",IF((COUNTIFS('資格研修記録'!$A$5:$A$1004,A85,'資格研修記録'!$D$5:$D$1004,"小型船舶2級",'資格研修記録'!$F$5:$F$1004,"")+COUNTIFS('資格研修記録'!$A$5:$A$1004,A85,'資格研修記録'!$D$5:$D$1004,"小型船舶2級",'資格研修記録'!$F$5:$F$1004,"&gt;="&amp;TODAY()))&gt;0,"2級",IF(COUNTIFS('資格研修記録'!$A$5:$A$1004,A85,'資格研修記録'!$D$5:$D$1004,"小型船舶1級")+COUNTIFS('資格研修記録'!$A$5:$A$1004,A85,'資格研修記録'!$D$5:$D$1004,"小型船舶2級")&gt;0,"× 1・2級 期限切れ",""))))&amp;(IF((COUNTIFS('資格研修記録'!$A$5:$A$1004,A85,'資格研修記録'!$D$5:$D$1004,"小型船舶特殊",'資格研修記録'!$F$5:$F$1004,"")+COUNTIFS('資格研修記録'!$A$5:$A$1004,A85,'資格研修記録'!$D$5:$D$1004,"小型船舶特殊",'資格研修記録'!$F$5:$F$1004,"&gt;="&amp;TODAY()))&gt;0,"特殊",IF(COUNTIFS('資格研修記録'!$A$5:$A$1004,A85,'資格研修記録'!$D$5:$D$1004,"小型船舶特殊")&gt;0,"× 特殊 期限切れ","")))="","—",_xlfn.TEXTJOIN("・",TRUE,IF((COUNTIFS('資格研修記録'!$A$5:$A$1004,A85,'資格研修記録'!$D$5:$D$1004,"小型船舶1級",'資格研修記録'!$F$5:$F$1004,"")+COUNTIFS('資格研修記録'!$A$5:$A$1004,A85,'資格研修記録'!$D$5:$D$1004,"小型船舶1級",'資格研修記録'!$F$5:$F$1004,"&gt;="&amp;TODAY()))&gt;0,"1級",IF((COUNTIFS('資格研修記録'!$A$5:$A$1004,A85,'資格研修記録'!$D$5:$D$1004,"小型船舶2級",'資格研修記録'!$F$5:$F$1004,"")+COUNTIFS('資格研修記録'!$A$5:$A$1004,A85,'資格研修記録'!$D$5:$D$1004,"小型船舶2級",'資格研修記録'!$F$5:$F$1004,"&gt;="&amp;TODAY()))&gt;0,"2級",IF(COUNTIFS('資格研修記録'!$A$5:$A$1004,A85,'資格研修記録'!$D$5:$D$1004,"小型船舶1級")+COUNTIFS('資格研修記録'!$A$5:$A$1004,A85,'資格研修記録'!$D$5:$D$1004,"小型船舶2級")&gt;0,"× 1・2級 期限切れ",""))),IF((COUNTIFS('資格研修記録'!$A$5:$A$1004,A85,'資格研修記録'!$D$5:$D$1004,"小型船舶特殊",'資格研修記録'!$F$5:$F$1004,"")+COUNTIFS('資格研修記録'!$A$5:$A$1004,A85,'資格研修記録'!$D$5:$D$1004,"小型船舶特殊",'資格研修記録'!$F$5:$F$1004,"&gt;="&amp;TODAY()))&gt;0,"特殊",IF(COUNTIFS('資格研修記録'!$A$5:$A$1004,A85,'資格研修記録'!$D$5:$D$1004,"小型船舶特殊")&gt;0,"× 特殊 期限切れ","")))))</f>
        <v/>
      </c>
      <c r="H85" s="15">
        <f>IF(A85="","",COUNTIFS('潜水記録'!$B$5:$B$3004,A85,'潜水記録'!$AF$5:$AF$3004,$D$2))</f>
        <v/>
      </c>
      <c r="I85" s="15">
        <f>IF(A85="","",COUNTIF('潜水記録'!$B$5:$B$3004,A85))</f>
        <v/>
      </c>
      <c r="J85" s="15">
        <f>IF(A85="","",SUMIF('潜水記録'!$B$5:$B$3004,A85,'潜水記録'!$H$5:$H$3004))</f>
        <v/>
      </c>
      <c r="K85" s="15">
        <f>IF(A85="","",IF(I85=0,"",_xlfn.MAXIFS('潜水記録'!$G$5:$G$3004,'潜水記録'!$B$5:$B$3004,A85)))</f>
        <v/>
      </c>
      <c r="L85" s="16">
        <f>IF(A85="","",IF(I85=0,"",_xlfn.MAXIFS('潜水記録'!$A$5:$A$3004,'潜水記録'!$B$5:$B$3004,A85)))</f>
        <v/>
      </c>
      <c r="M85" s="15">
        <f>IF(L85="","",$B$2-L85)</f>
        <v/>
      </c>
    </row>
    <row r="86">
      <c r="A86" s="14">
        <f>IF('隊員マスタ'!A83="","",'隊員マスタ'!A83)</f>
        <v/>
      </c>
      <c r="B86" s="14">
        <f>IF(A86="","",'隊員マスタ'!B83)</f>
        <v/>
      </c>
      <c r="C86" s="14">
        <f>IF(A86="","",'隊員マスタ'!C83)</f>
        <v/>
      </c>
      <c r="D86" s="15">
        <f>IF(A86="","",'隊員マスタ'!D83)</f>
        <v/>
      </c>
      <c r="E86" s="15">
        <f>IF(A86="","",IF(COUNTIFS('資格研修記録'!$A$5:$A$1004,A86,'資格研修記録'!$D$5:$D$1004,"潜水士免許")&gt;0,"有","無"))</f>
        <v/>
      </c>
      <c r="F86" s="15">
        <f>IF(A86="","",IF(COUNTIFS('資格研修記録'!$A$5:$A$1004,A86,'資格研修記録'!$D$5:$D$1004,"水難救助研修")&gt;0,"修了","—"))</f>
        <v/>
      </c>
      <c r="G86" s="14">
        <f>IF(A86="","",IF((IF((COUNTIFS('資格研修記録'!$A$5:$A$1004,A86,'資格研修記録'!$D$5:$D$1004,"小型船舶1級",'資格研修記録'!$F$5:$F$1004,"")+COUNTIFS('資格研修記録'!$A$5:$A$1004,A86,'資格研修記録'!$D$5:$D$1004,"小型船舶1級",'資格研修記録'!$F$5:$F$1004,"&gt;="&amp;TODAY()))&gt;0,"1級",IF((COUNTIFS('資格研修記録'!$A$5:$A$1004,A86,'資格研修記録'!$D$5:$D$1004,"小型船舶2級",'資格研修記録'!$F$5:$F$1004,"")+COUNTIFS('資格研修記録'!$A$5:$A$1004,A86,'資格研修記録'!$D$5:$D$1004,"小型船舶2級",'資格研修記録'!$F$5:$F$1004,"&gt;="&amp;TODAY()))&gt;0,"2級",IF(COUNTIFS('資格研修記録'!$A$5:$A$1004,A86,'資格研修記録'!$D$5:$D$1004,"小型船舶1級")+COUNTIFS('資格研修記録'!$A$5:$A$1004,A86,'資格研修記録'!$D$5:$D$1004,"小型船舶2級")&gt;0,"× 1・2級 期限切れ",""))))&amp;(IF((COUNTIFS('資格研修記録'!$A$5:$A$1004,A86,'資格研修記録'!$D$5:$D$1004,"小型船舶特殊",'資格研修記録'!$F$5:$F$1004,"")+COUNTIFS('資格研修記録'!$A$5:$A$1004,A86,'資格研修記録'!$D$5:$D$1004,"小型船舶特殊",'資格研修記録'!$F$5:$F$1004,"&gt;="&amp;TODAY()))&gt;0,"特殊",IF(COUNTIFS('資格研修記録'!$A$5:$A$1004,A86,'資格研修記録'!$D$5:$D$1004,"小型船舶特殊")&gt;0,"× 特殊 期限切れ","")))="","—",_xlfn.TEXTJOIN("・",TRUE,IF((COUNTIFS('資格研修記録'!$A$5:$A$1004,A86,'資格研修記録'!$D$5:$D$1004,"小型船舶1級",'資格研修記録'!$F$5:$F$1004,"")+COUNTIFS('資格研修記録'!$A$5:$A$1004,A86,'資格研修記録'!$D$5:$D$1004,"小型船舶1級",'資格研修記録'!$F$5:$F$1004,"&gt;="&amp;TODAY()))&gt;0,"1級",IF((COUNTIFS('資格研修記録'!$A$5:$A$1004,A86,'資格研修記録'!$D$5:$D$1004,"小型船舶2級",'資格研修記録'!$F$5:$F$1004,"")+COUNTIFS('資格研修記録'!$A$5:$A$1004,A86,'資格研修記録'!$D$5:$D$1004,"小型船舶2級",'資格研修記録'!$F$5:$F$1004,"&gt;="&amp;TODAY()))&gt;0,"2級",IF(COUNTIFS('資格研修記録'!$A$5:$A$1004,A86,'資格研修記録'!$D$5:$D$1004,"小型船舶1級")+COUNTIFS('資格研修記録'!$A$5:$A$1004,A86,'資格研修記録'!$D$5:$D$1004,"小型船舶2級")&gt;0,"× 1・2級 期限切れ",""))),IF((COUNTIFS('資格研修記録'!$A$5:$A$1004,A86,'資格研修記録'!$D$5:$D$1004,"小型船舶特殊",'資格研修記録'!$F$5:$F$1004,"")+COUNTIFS('資格研修記録'!$A$5:$A$1004,A86,'資格研修記録'!$D$5:$D$1004,"小型船舶特殊",'資格研修記録'!$F$5:$F$1004,"&gt;="&amp;TODAY()))&gt;0,"特殊",IF(COUNTIFS('資格研修記録'!$A$5:$A$1004,A86,'資格研修記録'!$D$5:$D$1004,"小型船舶特殊")&gt;0,"× 特殊 期限切れ","")))))</f>
        <v/>
      </c>
      <c r="H86" s="15">
        <f>IF(A86="","",COUNTIFS('潜水記録'!$B$5:$B$3004,A86,'潜水記録'!$AF$5:$AF$3004,$D$2))</f>
        <v/>
      </c>
      <c r="I86" s="15">
        <f>IF(A86="","",COUNTIF('潜水記録'!$B$5:$B$3004,A86))</f>
        <v/>
      </c>
      <c r="J86" s="15">
        <f>IF(A86="","",SUMIF('潜水記録'!$B$5:$B$3004,A86,'潜水記録'!$H$5:$H$3004))</f>
        <v/>
      </c>
      <c r="K86" s="15">
        <f>IF(A86="","",IF(I86=0,"",_xlfn.MAXIFS('潜水記録'!$G$5:$G$3004,'潜水記録'!$B$5:$B$3004,A86)))</f>
        <v/>
      </c>
      <c r="L86" s="16">
        <f>IF(A86="","",IF(I86=0,"",_xlfn.MAXIFS('潜水記録'!$A$5:$A$3004,'潜水記録'!$B$5:$B$3004,A86)))</f>
        <v/>
      </c>
      <c r="M86" s="15">
        <f>IF(L86="","",$B$2-L86)</f>
        <v/>
      </c>
    </row>
    <row r="87">
      <c r="A87" s="14">
        <f>IF('隊員マスタ'!A84="","",'隊員マスタ'!A84)</f>
        <v/>
      </c>
      <c r="B87" s="14">
        <f>IF(A87="","",'隊員マスタ'!B84)</f>
        <v/>
      </c>
      <c r="C87" s="14">
        <f>IF(A87="","",'隊員マスタ'!C84)</f>
        <v/>
      </c>
      <c r="D87" s="15">
        <f>IF(A87="","",'隊員マスタ'!D84)</f>
        <v/>
      </c>
      <c r="E87" s="15">
        <f>IF(A87="","",IF(COUNTIFS('資格研修記録'!$A$5:$A$1004,A87,'資格研修記録'!$D$5:$D$1004,"潜水士免許")&gt;0,"有","無"))</f>
        <v/>
      </c>
      <c r="F87" s="15">
        <f>IF(A87="","",IF(COUNTIFS('資格研修記録'!$A$5:$A$1004,A87,'資格研修記録'!$D$5:$D$1004,"水難救助研修")&gt;0,"修了","—"))</f>
        <v/>
      </c>
      <c r="G87" s="14">
        <f>IF(A87="","",IF((IF((COUNTIFS('資格研修記録'!$A$5:$A$1004,A87,'資格研修記録'!$D$5:$D$1004,"小型船舶1級",'資格研修記録'!$F$5:$F$1004,"")+COUNTIFS('資格研修記録'!$A$5:$A$1004,A87,'資格研修記録'!$D$5:$D$1004,"小型船舶1級",'資格研修記録'!$F$5:$F$1004,"&gt;="&amp;TODAY()))&gt;0,"1級",IF((COUNTIFS('資格研修記録'!$A$5:$A$1004,A87,'資格研修記録'!$D$5:$D$1004,"小型船舶2級",'資格研修記録'!$F$5:$F$1004,"")+COUNTIFS('資格研修記録'!$A$5:$A$1004,A87,'資格研修記録'!$D$5:$D$1004,"小型船舶2級",'資格研修記録'!$F$5:$F$1004,"&gt;="&amp;TODAY()))&gt;0,"2級",IF(COUNTIFS('資格研修記録'!$A$5:$A$1004,A87,'資格研修記録'!$D$5:$D$1004,"小型船舶1級")+COUNTIFS('資格研修記録'!$A$5:$A$1004,A87,'資格研修記録'!$D$5:$D$1004,"小型船舶2級")&gt;0,"× 1・2級 期限切れ",""))))&amp;(IF((COUNTIFS('資格研修記録'!$A$5:$A$1004,A87,'資格研修記録'!$D$5:$D$1004,"小型船舶特殊",'資格研修記録'!$F$5:$F$1004,"")+COUNTIFS('資格研修記録'!$A$5:$A$1004,A87,'資格研修記録'!$D$5:$D$1004,"小型船舶特殊",'資格研修記録'!$F$5:$F$1004,"&gt;="&amp;TODAY()))&gt;0,"特殊",IF(COUNTIFS('資格研修記録'!$A$5:$A$1004,A87,'資格研修記録'!$D$5:$D$1004,"小型船舶特殊")&gt;0,"× 特殊 期限切れ","")))="","—",_xlfn.TEXTJOIN("・",TRUE,IF((COUNTIFS('資格研修記録'!$A$5:$A$1004,A87,'資格研修記録'!$D$5:$D$1004,"小型船舶1級",'資格研修記録'!$F$5:$F$1004,"")+COUNTIFS('資格研修記録'!$A$5:$A$1004,A87,'資格研修記録'!$D$5:$D$1004,"小型船舶1級",'資格研修記録'!$F$5:$F$1004,"&gt;="&amp;TODAY()))&gt;0,"1級",IF((COUNTIFS('資格研修記録'!$A$5:$A$1004,A87,'資格研修記録'!$D$5:$D$1004,"小型船舶2級",'資格研修記録'!$F$5:$F$1004,"")+COUNTIFS('資格研修記録'!$A$5:$A$1004,A87,'資格研修記録'!$D$5:$D$1004,"小型船舶2級",'資格研修記録'!$F$5:$F$1004,"&gt;="&amp;TODAY()))&gt;0,"2級",IF(COUNTIFS('資格研修記録'!$A$5:$A$1004,A87,'資格研修記録'!$D$5:$D$1004,"小型船舶1級")+COUNTIFS('資格研修記録'!$A$5:$A$1004,A87,'資格研修記録'!$D$5:$D$1004,"小型船舶2級")&gt;0,"× 1・2級 期限切れ",""))),IF((COUNTIFS('資格研修記録'!$A$5:$A$1004,A87,'資格研修記録'!$D$5:$D$1004,"小型船舶特殊",'資格研修記録'!$F$5:$F$1004,"")+COUNTIFS('資格研修記録'!$A$5:$A$1004,A87,'資格研修記録'!$D$5:$D$1004,"小型船舶特殊",'資格研修記録'!$F$5:$F$1004,"&gt;="&amp;TODAY()))&gt;0,"特殊",IF(COUNTIFS('資格研修記録'!$A$5:$A$1004,A87,'資格研修記録'!$D$5:$D$1004,"小型船舶特殊")&gt;0,"× 特殊 期限切れ","")))))</f>
        <v/>
      </c>
      <c r="H87" s="15">
        <f>IF(A87="","",COUNTIFS('潜水記録'!$B$5:$B$3004,A87,'潜水記録'!$AF$5:$AF$3004,$D$2))</f>
        <v/>
      </c>
      <c r="I87" s="15">
        <f>IF(A87="","",COUNTIF('潜水記録'!$B$5:$B$3004,A87))</f>
        <v/>
      </c>
      <c r="J87" s="15">
        <f>IF(A87="","",SUMIF('潜水記録'!$B$5:$B$3004,A87,'潜水記録'!$H$5:$H$3004))</f>
        <v/>
      </c>
      <c r="K87" s="15">
        <f>IF(A87="","",IF(I87=0,"",_xlfn.MAXIFS('潜水記録'!$G$5:$G$3004,'潜水記録'!$B$5:$B$3004,A87)))</f>
        <v/>
      </c>
      <c r="L87" s="16">
        <f>IF(A87="","",IF(I87=0,"",_xlfn.MAXIFS('潜水記録'!$A$5:$A$3004,'潜水記録'!$B$5:$B$3004,A87)))</f>
        <v/>
      </c>
      <c r="M87" s="15">
        <f>IF(L87="","",$B$2-L87)</f>
        <v/>
      </c>
    </row>
    <row r="88">
      <c r="A88" s="14">
        <f>IF('隊員マスタ'!A85="","",'隊員マスタ'!A85)</f>
        <v/>
      </c>
      <c r="B88" s="14">
        <f>IF(A88="","",'隊員マスタ'!B85)</f>
        <v/>
      </c>
      <c r="C88" s="14">
        <f>IF(A88="","",'隊員マスタ'!C85)</f>
        <v/>
      </c>
      <c r="D88" s="15">
        <f>IF(A88="","",'隊員マスタ'!D85)</f>
        <v/>
      </c>
      <c r="E88" s="15">
        <f>IF(A88="","",IF(COUNTIFS('資格研修記録'!$A$5:$A$1004,A88,'資格研修記録'!$D$5:$D$1004,"潜水士免許")&gt;0,"有","無"))</f>
        <v/>
      </c>
      <c r="F88" s="15">
        <f>IF(A88="","",IF(COUNTIFS('資格研修記録'!$A$5:$A$1004,A88,'資格研修記録'!$D$5:$D$1004,"水難救助研修")&gt;0,"修了","—"))</f>
        <v/>
      </c>
      <c r="G88" s="14">
        <f>IF(A88="","",IF((IF((COUNTIFS('資格研修記録'!$A$5:$A$1004,A88,'資格研修記録'!$D$5:$D$1004,"小型船舶1級",'資格研修記録'!$F$5:$F$1004,"")+COUNTIFS('資格研修記録'!$A$5:$A$1004,A88,'資格研修記録'!$D$5:$D$1004,"小型船舶1級",'資格研修記録'!$F$5:$F$1004,"&gt;="&amp;TODAY()))&gt;0,"1級",IF((COUNTIFS('資格研修記録'!$A$5:$A$1004,A88,'資格研修記録'!$D$5:$D$1004,"小型船舶2級",'資格研修記録'!$F$5:$F$1004,"")+COUNTIFS('資格研修記録'!$A$5:$A$1004,A88,'資格研修記録'!$D$5:$D$1004,"小型船舶2級",'資格研修記録'!$F$5:$F$1004,"&gt;="&amp;TODAY()))&gt;0,"2級",IF(COUNTIFS('資格研修記録'!$A$5:$A$1004,A88,'資格研修記録'!$D$5:$D$1004,"小型船舶1級")+COUNTIFS('資格研修記録'!$A$5:$A$1004,A88,'資格研修記録'!$D$5:$D$1004,"小型船舶2級")&gt;0,"× 1・2級 期限切れ",""))))&amp;(IF((COUNTIFS('資格研修記録'!$A$5:$A$1004,A88,'資格研修記録'!$D$5:$D$1004,"小型船舶特殊",'資格研修記録'!$F$5:$F$1004,"")+COUNTIFS('資格研修記録'!$A$5:$A$1004,A88,'資格研修記録'!$D$5:$D$1004,"小型船舶特殊",'資格研修記録'!$F$5:$F$1004,"&gt;="&amp;TODAY()))&gt;0,"特殊",IF(COUNTIFS('資格研修記録'!$A$5:$A$1004,A88,'資格研修記録'!$D$5:$D$1004,"小型船舶特殊")&gt;0,"× 特殊 期限切れ","")))="","—",_xlfn.TEXTJOIN("・",TRUE,IF((COUNTIFS('資格研修記録'!$A$5:$A$1004,A88,'資格研修記録'!$D$5:$D$1004,"小型船舶1級",'資格研修記録'!$F$5:$F$1004,"")+COUNTIFS('資格研修記録'!$A$5:$A$1004,A88,'資格研修記録'!$D$5:$D$1004,"小型船舶1級",'資格研修記録'!$F$5:$F$1004,"&gt;="&amp;TODAY()))&gt;0,"1級",IF((COUNTIFS('資格研修記録'!$A$5:$A$1004,A88,'資格研修記録'!$D$5:$D$1004,"小型船舶2級",'資格研修記録'!$F$5:$F$1004,"")+COUNTIFS('資格研修記録'!$A$5:$A$1004,A88,'資格研修記録'!$D$5:$D$1004,"小型船舶2級",'資格研修記録'!$F$5:$F$1004,"&gt;="&amp;TODAY()))&gt;0,"2級",IF(COUNTIFS('資格研修記録'!$A$5:$A$1004,A88,'資格研修記録'!$D$5:$D$1004,"小型船舶1級")+COUNTIFS('資格研修記録'!$A$5:$A$1004,A88,'資格研修記録'!$D$5:$D$1004,"小型船舶2級")&gt;0,"× 1・2級 期限切れ",""))),IF((COUNTIFS('資格研修記録'!$A$5:$A$1004,A88,'資格研修記録'!$D$5:$D$1004,"小型船舶特殊",'資格研修記録'!$F$5:$F$1004,"")+COUNTIFS('資格研修記録'!$A$5:$A$1004,A88,'資格研修記録'!$D$5:$D$1004,"小型船舶特殊",'資格研修記録'!$F$5:$F$1004,"&gt;="&amp;TODAY()))&gt;0,"特殊",IF(COUNTIFS('資格研修記録'!$A$5:$A$1004,A88,'資格研修記録'!$D$5:$D$1004,"小型船舶特殊")&gt;0,"× 特殊 期限切れ","")))))</f>
        <v/>
      </c>
      <c r="H88" s="15">
        <f>IF(A88="","",COUNTIFS('潜水記録'!$B$5:$B$3004,A88,'潜水記録'!$AF$5:$AF$3004,$D$2))</f>
        <v/>
      </c>
      <c r="I88" s="15">
        <f>IF(A88="","",COUNTIF('潜水記録'!$B$5:$B$3004,A88))</f>
        <v/>
      </c>
      <c r="J88" s="15">
        <f>IF(A88="","",SUMIF('潜水記録'!$B$5:$B$3004,A88,'潜水記録'!$H$5:$H$3004))</f>
        <v/>
      </c>
      <c r="K88" s="15">
        <f>IF(A88="","",IF(I88=0,"",_xlfn.MAXIFS('潜水記録'!$G$5:$G$3004,'潜水記録'!$B$5:$B$3004,A88)))</f>
        <v/>
      </c>
      <c r="L88" s="16">
        <f>IF(A88="","",IF(I88=0,"",_xlfn.MAXIFS('潜水記録'!$A$5:$A$3004,'潜水記録'!$B$5:$B$3004,A88)))</f>
        <v/>
      </c>
      <c r="M88" s="15">
        <f>IF(L88="","",$B$2-L88)</f>
        <v/>
      </c>
    </row>
    <row r="89">
      <c r="A89" s="14">
        <f>IF('隊員マスタ'!A86="","",'隊員マスタ'!A86)</f>
        <v/>
      </c>
      <c r="B89" s="14">
        <f>IF(A89="","",'隊員マスタ'!B86)</f>
        <v/>
      </c>
      <c r="C89" s="14">
        <f>IF(A89="","",'隊員マスタ'!C86)</f>
        <v/>
      </c>
      <c r="D89" s="15">
        <f>IF(A89="","",'隊員マスタ'!D86)</f>
        <v/>
      </c>
      <c r="E89" s="15">
        <f>IF(A89="","",IF(COUNTIFS('資格研修記録'!$A$5:$A$1004,A89,'資格研修記録'!$D$5:$D$1004,"潜水士免許")&gt;0,"有","無"))</f>
        <v/>
      </c>
      <c r="F89" s="15">
        <f>IF(A89="","",IF(COUNTIFS('資格研修記録'!$A$5:$A$1004,A89,'資格研修記録'!$D$5:$D$1004,"水難救助研修")&gt;0,"修了","—"))</f>
        <v/>
      </c>
      <c r="G89" s="14">
        <f>IF(A89="","",IF((IF((COUNTIFS('資格研修記録'!$A$5:$A$1004,A89,'資格研修記録'!$D$5:$D$1004,"小型船舶1級",'資格研修記録'!$F$5:$F$1004,"")+COUNTIFS('資格研修記録'!$A$5:$A$1004,A89,'資格研修記録'!$D$5:$D$1004,"小型船舶1級",'資格研修記録'!$F$5:$F$1004,"&gt;="&amp;TODAY()))&gt;0,"1級",IF((COUNTIFS('資格研修記録'!$A$5:$A$1004,A89,'資格研修記録'!$D$5:$D$1004,"小型船舶2級",'資格研修記録'!$F$5:$F$1004,"")+COUNTIFS('資格研修記録'!$A$5:$A$1004,A89,'資格研修記録'!$D$5:$D$1004,"小型船舶2級",'資格研修記録'!$F$5:$F$1004,"&gt;="&amp;TODAY()))&gt;0,"2級",IF(COUNTIFS('資格研修記録'!$A$5:$A$1004,A89,'資格研修記録'!$D$5:$D$1004,"小型船舶1級")+COUNTIFS('資格研修記録'!$A$5:$A$1004,A89,'資格研修記録'!$D$5:$D$1004,"小型船舶2級")&gt;0,"× 1・2級 期限切れ",""))))&amp;(IF((COUNTIFS('資格研修記録'!$A$5:$A$1004,A89,'資格研修記録'!$D$5:$D$1004,"小型船舶特殊",'資格研修記録'!$F$5:$F$1004,"")+COUNTIFS('資格研修記録'!$A$5:$A$1004,A89,'資格研修記録'!$D$5:$D$1004,"小型船舶特殊",'資格研修記録'!$F$5:$F$1004,"&gt;="&amp;TODAY()))&gt;0,"特殊",IF(COUNTIFS('資格研修記録'!$A$5:$A$1004,A89,'資格研修記録'!$D$5:$D$1004,"小型船舶特殊")&gt;0,"× 特殊 期限切れ","")))="","—",_xlfn.TEXTJOIN("・",TRUE,IF((COUNTIFS('資格研修記録'!$A$5:$A$1004,A89,'資格研修記録'!$D$5:$D$1004,"小型船舶1級",'資格研修記録'!$F$5:$F$1004,"")+COUNTIFS('資格研修記録'!$A$5:$A$1004,A89,'資格研修記録'!$D$5:$D$1004,"小型船舶1級",'資格研修記録'!$F$5:$F$1004,"&gt;="&amp;TODAY()))&gt;0,"1級",IF((COUNTIFS('資格研修記録'!$A$5:$A$1004,A89,'資格研修記録'!$D$5:$D$1004,"小型船舶2級",'資格研修記録'!$F$5:$F$1004,"")+COUNTIFS('資格研修記録'!$A$5:$A$1004,A89,'資格研修記録'!$D$5:$D$1004,"小型船舶2級",'資格研修記録'!$F$5:$F$1004,"&gt;="&amp;TODAY()))&gt;0,"2級",IF(COUNTIFS('資格研修記録'!$A$5:$A$1004,A89,'資格研修記録'!$D$5:$D$1004,"小型船舶1級")+COUNTIFS('資格研修記録'!$A$5:$A$1004,A89,'資格研修記録'!$D$5:$D$1004,"小型船舶2級")&gt;0,"× 1・2級 期限切れ",""))),IF((COUNTIFS('資格研修記録'!$A$5:$A$1004,A89,'資格研修記録'!$D$5:$D$1004,"小型船舶特殊",'資格研修記録'!$F$5:$F$1004,"")+COUNTIFS('資格研修記録'!$A$5:$A$1004,A89,'資格研修記録'!$D$5:$D$1004,"小型船舶特殊",'資格研修記録'!$F$5:$F$1004,"&gt;="&amp;TODAY()))&gt;0,"特殊",IF(COUNTIFS('資格研修記録'!$A$5:$A$1004,A89,'資格研修記録'!$D$5:$D$1004,"小型船舶特殊")&gt;0,"× 特殊 期限切れ","")))))</f>
        <v/>
      </c>
      <c r="H89" s="15">
        <f>IF(A89="","",COUNTIFS('潜水記録'!$B$5:$B$3004,A89,'潜水記録'!$AF$5:$AF$3004,$D$2))</f>
        <v/>
      </c>
      <c r="I89" s="15">
        <f>IF(A89="","",COUNTIF('潜水記録'!$B$5:$B$3004,A89))</f>
        <v/>
      </c>
      <c r="J89" s="15">
        <f>IF(A89="","",SUMIF('潜水記録'!$B$5:$B$3004,A89,'潜水記録'!$H$5:$H$3004))</f>
        <v/>
      </c>
      <c r="K89" s="15">
        <f>IF(A89="","",IF(I89=0,"",_xlfn.MAXIFS('潜水記録'!$G$5:$G$3004,'潜水記録'!$B$5:$B$3004,A89)))</f>
        <v/>
      </c>
      <c r="L89" s="16">
        <f>IF(A89="","",IF(I89=0,"",_xlfn.MAXIFS('潜水記録'!$A$5:$A$3004,'潜水記録'!$B$5:$B$3004,A89)))</f>
        <v/>
      </c>
      <c r="M89" s="15">
        <f>IF(L89="","",$B$2-L89)</f>
        <v/>
      </c>
    </row>
    <row r="90">
      <c r="A90" s="14">
        <f>IF('隊員マスタ'!A87="","",'隊員マスタ'!A87)</f>
        <v/>
      </c>
      <c r="B90" s="14">
        <f>IF(A90="","",'隊員マスタ'!B87)</f>
        <v/>
      </c>
      <c r="C90" s="14">
        <f>IF(A90="","",'隊員マスタ'!C87)</f>
        <v/>
      </c>
      <c r="D90" s="15">
        <f>IF(A90="","",'隊員マスタ'!D87)</f>
        <v/>
      </c>
      <c r="E90" s="15">
        <f>IF(A90="","",IF(COUNTIFS('資格研修記録'!$A$5:$A$1004,A90,'資格研修記録'!$D$5:$D$1004,"潜水士免許")&gt;0,"有","無"))</f>
        <v/>
      </c>
      <c r="F90" s="15">
        <f>IF(A90="","",IF(COUNTIFS('資格研修記録'!$A$5:$A$1004,A90,'資格研修記録'!$D$5:$D$1004,"水難救助研修")&gt;0,"修了","—"))</f>
        <v/>
      </c>
      <c r="G90" s="14">
        <f>IF(A90="","",IF((IF((COUNTIFS('資格研修記録'!$A$5:$A$1004,A90,'資格研修記録'!$D$5:$D$1004,"小型船舶1級",'資格研修記録'!$F$5:$F$1004,"")+COUNTIFS('資格研修記録'!$A$5:$A$1004,A90,'資格研修記録'!$D$5:$D$1004,"小型船舶1級",'資格研修記録'!$F$5:$F$1004,"&gt;="&amp;TODAY()))&gt;0,"1級",IF((COUNTIFS('資格研修記録'!$A$5:$A$1004,A90,'資格研修記録'!$D$5:$D$1004,"小型船舶2級",'資格研修記録'!$F$5:$F$1004,"")+COUNTIFS('資格研修記録'!$A$5:$A$1004,A90,'資格研修記録'!$D$5:$D$1004,"小型船舶2級",'資格研修記録'!$F$5:$F$1004,"&gt;="&amp;TODAY()))&gt;0,"2級",IF(COUNTIFS('資格研修記録'!$A$5:$A$1004,A90,'資格研修記録'!$D$5:$D$1004,"小型船舶1級")+COUNTIFS('資格研修記録'!$A$5:$A$1004,A90,'資格研修記録'!$D$5:$D$1004,"小型船舶2級")&gt;0,"× 1・2級 期限切れ",""))))&amp;(IF((COUNTIFS('資格研修記録'!$A$5:$A$1004,A90,'資格研修記録'!$D$5:$D$1004,"小型船舶特殊",'資格研修記録'!$F$5:$F$1004,"")+COUNTIFS('資格研修記録'!$A$5:$A$1004,A90,'資格研修記録'!$D$5:$D$1004,"小型船舶特殊",'資格研修記録'!$F$5:$F$1004,"&gt;="&amp;TODAY()))&gt;0,"特殊",IF(COUNTIFS('資格研修記録'!$A$5:$A$1004,A90,'資格研修記録'!$D$5:$D$1004,"小型船舶特殊")&gt;0,"× 特殊 期限切れ","")))="","—",_xlfn.TEXTJOIN("・",TRUE,IF((COUNTIFS('資格研修記録'!$A$5:$A$1004,A90,'資格研修記録'!$D$5:$D$1004,"小型船舶1級",'資格研修記録'!$F$5:$F$1004,"")+COUNTIFS('資格研修記録'!$A$5:$A$1004,A90,'資格研修記録'!$D$5:$D$1004,"小型船舶1級",'資格研修記録'!$F$5:$F$1004,"&gt;="&amp;TODAY()))&gt;0,"1級",IF((COUNTIFS('資格研修記録'!$A$5:$A$1004,A90,'資格研修記録'!$D$5:$D$1004,"小型船舶2級",'資格研修記録'!$F$5:$F$1004,"")+COUNTIFS('資格研修記録'!$A$5:$A$1004,A90,'資格研修記録'!$D$5:$D$1004,"小型船舶2級",'資格研修記録'!$F$5:$F$1004,"&gt;="&amp;TODAY()))&gt;0,"2級",IF(COUNTIFS('資格研修記録'!$A$5:$A$1004,A90,'資格研修記録'!$D$5:$D$1004,"小型船舶1級")+COUNTIFS('資格研修記録'!$A$5:$A$1004,A90,'資格研修記録'!$D$5:$D$1004,"小型船舶2級")&gt;0,"× 1・2級 期限切れ",""))),IF((COUNTIFS('資格研修記録'!$A$5:$A$1004,A90,'資格研修記録'!$D$5:$D$1004,"小型船舶特殊",'資格研修記録'!$F$5:$F$1004,"")+COUNTIFS('資格研修記録'!$A$5:$A$1004,A90,'資格研修記録'!$D$5:$D$1004,"小型船舶特殊",'資格研修記録'!$F$5:$F$1004,"&gt;="&amp;TODAY()))&gt;0,"特殊",IF(COUNTIFS('資格研修記録'!$A$5:$A$1004,A90,'資格研修記録'!$D$5:$D$1004,"小型船舶特殊")&gt;0,"× 特殊 期限切れ","")))))</f>
        <v/>
      </c>
      <c r="H90" s="15">
        <f>IF(A90="","",COUNTIFS('潜水記録'!$B$5:$B$3004,A90,'潜水記録'!$AF$5:$AF$3004,$D$2))</f>
        <v/>
      </c>
      <c r="I90" s="15">
        <f>IF(A90="","",COUNTIF('潜水記録'!$B$5:$B$3004,A90))</f>
        <v/>
      </c>
      <c r="J90" s="15">
        <f>IF(A90="","",SUMIF('潜水記録'!$B$5:$B$3004,A90,'潜水記録'!$H$5:$H$3004))</f>
        <v/>
      </c>
      <c r="K90" s="15">
        <f>IF(A90="","",IF(I90=0,"",_xlfn.MAXIFS('潜水記録'!$G$5:$G$3004,'潜水記録'!$B$5:$B$3004,A90)))</f>
        <v/>
      </c>
      <c r="L90" s="16">
        <f>IF(A90="","",IF(I90=0,"",_xlfn.MAXIFS('潜水記録'!$A$5:$A$3004,'潜水記録'!$B$5:$B$3004,A90)))</f>
        <v/>
      </c>
      <c r="M90" s="15">
        <f>IF(L90="","",$B$2-L90)</f>
        <v/>
      </c>
    </row>
    <row r="91">
      <c r="A91" s="14">
        <f>IF('隊員マスタ'!A88="","",'隊員マスタ'!A88)</f>
        <v/>
      </c>
      <c r="B91" s="14">
        <f>IF(A91="","",'隊員マスタ'!B88)</f>
        <v/>
      </c>
      <c r="C91" s="14">
        <f>IF(A91="","",'隊員マスタ'!C88)</f>
        <v/>
      </c>
      <c r="D91" s="15">
        <f>IF(A91="","",'隊員マスタ'!D88)</f>
        <v/>
      </c>
      <c r="E91" s="15">
        <f>IF(A91="","",IF(COUNTIFS('資格研修記録'!$A$5:$A$1004,A91,'資格研修記録'!$D$5:$D$1004,"潜水士免許")&gt;0,"有","無"))</f>
        <v/>
      </c>
      <c r="F91" s="15">
        <f>IF(A91="","",IF(COUNTIFS('資格研修記録'!$A$5:$A$1004,A91,'資格研修記録'!$D$5:$D$1004,"水難救助研修")&gt;0,"修了","—"))</f>
        <v/>
      </c>
      <c r="G91" s="14">
        <f>IF(A91="","",IF((IF((COUNTIFS('資格研修記録'!$A$5:$A$1004,A91,'資格研修記録'!$D$5:$D$1004,"小型船舶1級",'資格研修記録'!$F$5:$F$1004,"")+COUNTIFS('資格研修記録'!$A$5:$A$1004,A91,'資格研修記録'!$D$5:$D$1004,"小型船舶1級",'資格研修記録'!$F$5:$F$1004,"&gt;="&amp;TODAY()))&gt;0,"1級",IF((COUNTIFS('資格研修記録'!$A$5:$A$1004,A91,'資格研修記録'!$D$5:$D$1004,"小型船舶2級",'資格研修記録'!$F$5:$F$1004,"")+COUNTIFS('資格研修記録'!$A$5:$A$1004,A91,'資格研修記録'!$D$5:$D$1004,"小型船舶2級",'資格研修記録'!$F$5:$F$1004,"&gt;="&amp;TODAY()))&gt;0,"2級",IF(COUNTIFS('資格研修記録'!$A$5:$A$1004,A91,'資格研修記録'!$D$5:$D$1004,"小型船舶1級")+COUNTIFS('資格研修記録'!$A$5:$A$1004,A91,'資格研修記録'!$D$5:$D$1004,"小型船舶2級")&gt;0,"× 1・2級 期限切れ",""))))&amp;(IF((COUNTIFS('資格研修記録'!$A$5:$A$1004,A91,'資格研修記録'!$D$5:$D$1004,"小型船舶特殊",'資格研修記録'!$F$5:$F$1004,"")+COUNTIFS('資格研修記録'!$A$5:$A$1004,A91,'資格研修記録'!$D$5:$D$1004,"小型船舶特殊",'資格研修記録'!$F$5:$F$1004,"&gt;="&amp;TODAY()))&gt;0,"特殊",IF(COUNTIFS('資格研修記録'!$A$5:$A$1004,A91,'資格研修記録'!$D$5:$D$1004,"小型船舶特殊")&gt;0,"× 特殊 期限切れ","")))="","—",_xlfn.TEXTJOIN("・",TRUE,IF((COUNTIFS('資格研修記録'!$A$5:$A$1004,A91,'資格研修記録'!$D$5:$D$1004,"小型船舶1級",'資格研修記録'!$F$5:$F$1004,"")+COUNTIFS('資格研修記録'!$A$5:$A$1004,A91,'資格研修記録'!$D$5:$D$1004,"小型船舶1級",'資格研修記録'!$F$5:$F$1004,"&gt;="&amp;TODAY()))&gt;0,"1級",IF((COUNTIFS('資格研修記録'!$A$5:$A$1004,A91,'資格研修記録'!$D$5:$D$1004,"小型船舶2級",'資格研修記録'!$F$5:$F$1004,"")+COUNTIFS('資格研修記録'!$A$5:$A$1004,A91,'資格研修記録'!$D$5:$D$1004,"小型船舶2級",'資格研修記録'!$F$5:$F$1004,"&gt;="&amp;TODAY()))&gt;0,"2級",IF(COUNTIFS('資格研修記録'!$A$5:$A$1004,A91,'資格研修記録'!$D$5:$D$1004,"小型船舶1級")+COUNTIFS('資格研修記録'!$A$5:$A$1004,A91,'資格研修記録'!$D$5:$D$1004,"小型船舶2級")&gt;0,"× 1・2級 期限切れ",""))),IF((COUNTIFS('資格研修記録'!$A$5:$A$1004,A91,'資格研修記録'!$D$5:$D$1004,"小型船舶特殊",'資格研修記録'!$F$5:$F$1004,"")+COUNTIFS('資格研修記録'!$A$5:$A$1004,A91,'資格研修記録'!$D$5:$D$1004,"小型船舶特殊",'資格研修記録'!$F$5:$F$1004,"&gt;="&amp;TODAY()))&gt;0,"特殊",IF(COUNTIFS('資格研修記録'!$A$5:$A$1004,A91,'資格研修記録'!$D$5:$D$1004,"小型船舶特殊")&gt;0,"× 特殊 期限切れ","")))))</f>
        <v/>
      </c>
      <c r="H91" s="15">
        <f>IF(A91="","",COUNTIFS('潜水記録'!$B$5:$B$3004,A91,'潜水記録'!$AF$5:$AF$3004,$D$2))</f>
        <v/>
      </c>
      <c r="I91" s="15">
        <f>IF(A91="","",COUNTIF('潜水記録'!$B$5:$B$3004,A91))</f>
        <v/>
      </c>
      <c r="J91" s="15">
        <f>IF(A91="","",SUMIF('潜水記録'!$B$5:$B$3004,A91,'潜水記録'!$H$5:$H$3004))</f>
        <v/>
      </c>
      <c r="K91" s="15">
        <f>IF(A91="","",IF(I91=0,"",_xlfn.MAXIFS('潜水記録'!$G$5:$G$3004,'潜水記録'!$B$5:$B$3004,A91)))</f>
        <v/>
      </c>
      <c r="L91" s="16">
        <f>IF(A91="","",IF(I91=0,"",_xlfn.MAXIFS('潜水記録'!$A$5:$A$3004,'潜水記録'!$B$5:$B$3004,A91)))</f>
        <v/>
      </c>
      <c r="M91" s="15">
        <f>IF(L91="","",$B$2-L91)</f>
        <v/>
      </c>
    </row>
    <row r="92">
      <c r="A92" s="14">
        <f>IF('隊員マスタ'!A89="","",'隊員マスタ'!A89)</f>
        <v/>
      </c>
      <c r="B92" s="14">
        <f>IF(A92="","",'隊員マスタ'!B89)</f>
        <v/>
      </c>
      <c r="C92" s="14">
        <f>IF(A92="","",'隊員マスタ'!C89)</f>
        <v/>
      </c>
      <c r="D92" s="15">
        <f>IF(A92="","",'隊員マスタ'!D89)</f>
        <v/>
      </c>
      <c r="E92" s="15">
        <f>IF(A92="","",IF(COUNTIFS('資格研修記録'!$A$5:$A$1004,A92,'資格研修記録'!$D$5:$D$1004,"潜水士免許")&gt;0,"有","無"))</f>
        <v/>
      </c>
      <c r="F92" s="15">
        <f>IF(A92="","",IF(COUNTIFS('資格研修記録'!$A$5:$A$1004,A92,'資格研修記録'!$D$5:$D$1004,"水難救助研修")&gt;0,"修了","—"))</f>
        <v/>
      </c>
      <c r="G92" s="14">
        <f>IF(A92="","",IF((IF((COUNTIFS('資格研修記録'!$A$5:$A$1004,A92,'資格研修記録'!$D$5:$D$1004,"小型船舶1級",'資格研修記録'!$F$5:$F$1004,"")+COUNTIFS('資格研修記録'!$A$5:$A$1004,A92,'資格研修記録'!$D$5:$D$1004,"小型船舶1級",'資格研修記録'!$F$5:$F$1004,"&gt;="&amp;TODAY()))&gt;0,"1級",IF((COUNTIFS('資格研修記録'!$A$5:$A$1004,A92,'資格研修記録'!$D$5:$D$1004,"小型船舶2級",'資格研修記録'!$F$5:$F$1004,"")+COUNTIFS('資格研修記録'!$A$5:$A$1004,A92,'資格研修記録'!$D$5:$D$1004,"小型船舶2級",'資格研修記録'!$F$5:$F$1004,"&gt;="&amp;TODAY()))&gt;0,"2級",IF(COUNTIFS('資格研修記録'!$A$5:$A$1004,A92,'資格研修記録'!$D$5:$D$1004,"小型船舶1級")+COUNTIFS('資格研修記録'!$A$5:$A$1004,A92,'資格研修記録'!$D$5:$D$1004,"小型船舶2級")&gt;0,"× 1・2級 期限切れ",""))))&amp;(IF((COUNTIFS('資格研修記録'!$A$5:$A$1004,A92,'資格研修記録'!$D$5:$D$1004,"小型船舶特殊",'資格研修記録'!$F$5:$F$1004,"")+COUNTIFS('資格研修記録'!$A$5:$A$1004,A92,'資格研修記録'!$D$5:$D$1004,"小型船舶特殊",'資格研修記録'!$F$5:$F$1004,"&gt;="&amp;TODAY()))&gt;0,"特殊",IF(COUNTIFS('資格研修記録'!$A$5:$A$1004,A92,'資格研修記録'!$D$5:$D$1004,"小型船舶特殊")&gt;0,"× 特殊 期限切れ","")))="","—",_xlfn.TEXTJOIN("・",TRUE,IF((COUNTIFS('資格研修記録'!$A$5:$A$1004,A92,'資格研修記録'!$D$5:$D$1004,"小型船舶1級",'資格研修記録'!$F$5:$F$1004,"")+COUNTIFS('資格研修記録'!$A$5:$A$1004,A92,'資格研修記録'!$D$5:$D$1004,"小型船舶1級",'資格研修記録'!$F$5:$F$1004,"&gt;="&amp;TODAY()))&gt;0,"1級",IF((COUNTIFS('資格研修記録'!$A$5:$A$1004,A92,'資格研修記録'!$D$5:$D$1004,"小型船舶2級",'資格研修記録'!$F$5:$F$1004,"")+COUNTIFS('資格研修記録'!$A$5:$A$1004,A92,'資格研修記録'!$D$5:$D$1004,"小型船舶2級",'資格研修記録'!$F$5:$F$1004,"&gt;="&amp;TODAY()))&gt;0,"2級",IF(COUNTIFS('資格研修記録'!$A$5:$A$1004,A92,'資格研修記録'!$D$5:$D$1004,"小型船舶1級")+COUNTIFS('資格研修記録'!$A$5:$A$1004,A92,'資格研修記録'!$D$5:$D$1004,"小型船舶2級")&gt;0,"× 1・2級 期限切れ",""))),IF((COUNTIFS('資格研修記録'!$A$5:$A$1004,A92,'資格研修記録'!$D$5:$D$1004,"小型船舶特殊",'資格研修記録'!$F$5:$F$1004,"")+COUNTIFS('資格研修記録'!$A$5:$A$1004,A92,'資格研修記録'!$D$5:$D$1004,"小型船舶特殊",'資格研修記録'!$F$5:$F$1004,"&gt;="&amp;TODAY()))&gt;0,"特殊",IF(COUNTIFS('資格研修記録'!$A$5:$A$1004,A92,'資格研修記録'!$D$5:$D$1004,"小型船舶特殊")&gt;0,"× 特殊 期限切れ","")))))</f>
        <v/>
      </c>
      <c r="H92" s="15">
        <f>IF(A92="","",COUNTIFS('潜水記録'!$B$5:$B$3004,A92,'潜水記録'!$AF$5:$AF$3004,$D$2))</f>
        <v/>
      </c>
      <c r="I92" s="15">
        <f>IF(A92="","",COUNTIF('潜水記録'!$B$5:$B$3004,A92))</f>
        <v/>
      </c>
      <c r="J92" s="15">
        <f>IF(A92="","",SUMIF('潜水記録'!$B$5:$B$3004,A92,'潜水記録'!$H$5:$H$3004))</f>
        <v/>
      </c>
      <c r="K92" s="15">
        <f>IF(A92="","",IF(I92=0,"",_xlfn.MAXIFS('潜水記録'!$G$5:$G$3004,'潜水記録'!$B$5:$B$3004,A92)))</f>
        <v/>
      </c>
      <c r="L92" s="16">
        <f>IF(A92="","",IF(I92=0,"",_xlfn.MAXIFS('潜水記録'!$A$5:$A$3004,'潜水記録'!$B$5:$B$3004,A92)))</f>
        <v/>
      </c>
      <c r="M92" s="15">
        <f>IF(L92="","",$B$2-L92)</f>
        <v/>
      </c>
    </row>
    <row r="93">
      <c r="A93" s="14">
        <f>IF('隊員マスタ'!A90="","",'隊員マスタ'!A90)</f>
        <v/>
      </c>
      <c r="B93" s="14">
        <f>IF(A93="","",'隊員マスタ'!B90)</f>
        <v/>
      </c>
      <c r="C93" s="14">
        <f>IF(A93="","",'隊員マスタ'!C90)</f>
        <v/>
      </c>
      <c r="D93" s="15">
        <f>IF(A93="","",'隊員マスタ'!D90)</f>
        <v/>
      </c>
      <c r="E93" s="15">
        <f>IF(A93="","",IF(COUNTIFS('資格研修記録'!$A$5:$A$1004,A93,'資格研修記録'!$D$5:$D$1004,"潜水士免許")&gt;0,"有","無"))</f>
        <v/>
      </c>
      <c r="F93" s="15">
        <f>IF(A93="","",IF(COUNTIFS('資格研修記録'!$A$5:$A$1004,A93,'資格研修記録'!$D$5:$D$1004,"水難救助研修")&gt;0,"修了","—"))</f>
        <v/>
      </c>
      <c r="G93" s="14">
        <f>IF(A93="","",IF((IF((COUNTIFS('資格研修記録'!$A$5:$A$1004,A93,'資格研修記録'!$D$5:$D$1004,"小型船舶1級",'資格研修記録'!$F$5:$F$1004,"")+COUNTIFS('資格研修記録'!$A$5:$A$1004,A93,'資格研修記録'!$D$5:$D$1004,"小型船舶1級",'資格研修記録'!$F$5:$F$1004,"&gt;="&amp;TODAY()))&gt;0,"1級",IF((COUNTIFS('資格研修記録'!$A$5:$A$1004,A93,'資格研修記録'!$D$5:$D$1004,"小型船舶2級",'資格研修記録'!$F$5:$F$1004,"")+COUNTIFS('資格研修記録'!$A$5:$A$1004,A93,'資格研修記録'!$D$5:$D$1004,"小型船舶2級",'資格研修記録'!$F$5:$F$1004,"&gt;="&amp;TODAY()))&gt;0,"2級",IF(COUNTIFS('資格研修記録'!$A$5:$A$1004,A93,'資格研修記録'!$D$5:$D$1004,"小型船舶1級")+COUNTIFS('資格研修記録'!$A$5:$A$1004,A93,'資格研修記録'!$D$5:$D$1004,"小型船舶2級")&gt;0,"× 1・2級 期限切れ",""))))&amp;(IF((COUNTIFS('資格研修記録'!$A$5:$A$1004,A93,'資格研修記録'!$D$5:$D$1004,"小型船舶特殊",'資格研修記録'!$F$5:$F$1004,"")+COUNTIFS('資格研修記録'!$A$5:$A$1004,A93,'資格研修記録'!$D$5:$D$1004,"小型船舶特殊",'資格研修記録'!$F$5:$F$1004,"&gt;="&amp;TODAY()))&gt;0,"特殊",IF(COUNTIFS('資格研修記録'!$A$5:$A$1004,A93,'資格研修記録'!$D$5:$D$1004,"小型船舶特殊")&gt;0,"× 特殊 期限切れ","")))="","—",_xlfn.TEXTJOIN("・",TRUE,IF((COUNTIFS('資格研修記録'!$A$5:$A$1004,A93,'資格研修記録'!$D$5:$D$1004,"小型船舶1級",'資格研修記録'!$F$5:$F$1004,"")+COUNTIFS('資格研修記録'!$A$5:$A$1004,A93,'資格研修記録'!$D$5:$D$1004,"小型船舶1級",'資格研修記録'!$F$5:$F$1004,"&gt;="&amp;TODAY()))&gt;0,"1級",IF((COUNTIFS('資格研修記録'!$A$5:$A$1004,A93,'資格研修記録'!$D$5:$D$1004,"小型船舶2級",'資格研修記録'!$F$5:$F$1004,"")+COUNTIFS('資格研修記録'!$A$5:$A$1004,A93,'資格研修記録'!$D$5:$D$1004,"小型船舶2級",'資格研修記録'!$F$5:$F$1004,"&gt;="&amp;TODAY()))&gt;0,"2級",IF(COUNTIFS('資格研修記録'!$A$5:$A$1004,A93,'資格研修記録'!$D$5:$D$1004,"小型船舶1級")+COUNTIFS('資格研修記録'!$A$5:$A$1004,A93,'資格研修記録'!$D$5:$D$1004,"小型船舶2級")&gt;0,"× 1・2級 期限切れ",""))),IF((COUNTIFS('資格研修記録'!$A$5:$A$1004,A93,'資格研修記録'!$D$5:$D$1004,"小型船舶特殊",'資格研修記録'!$F$5:$F$1004,"")+COUNTIFS('資格研修記録'!$A$5:$A$1004,A93,'資格研修記録'!$D$5:$D$1004,"小型船舶特殊",'資格研修記録'!$F$5:$F$1004,"&gt;="&amp;TODAY()))&gt;0,"特殊",IF(COUNTIFS('資格研修記録'!$A$5:$A$1004,A93,'資格研修記録'!$D$5:$D$1004,"小型船舶特殊")&gt;0,"× 特殊 期限切れ","")))))</f>
        <v/>
      </c>
      <c r="H93" s="15">
        <f>IF(A93="","",COUNTIFS('潜水記録'!$B$5:$B$3004,A93,'潜水記録'!$AF$5:$AF$3004,$D$2))</f>
        <v/>
      </c>
      <c r="I93" s="15">
        <f>IF(A93="","",COUNTIF('潜水記録'!$B$5:$B$3004,A93))</f>
        <v/>
      </c>
      <c r="J93" s="15">
        <f>IF(A93="","",SUMIF('潜水記録'!$B$5:$B$3004,A93,'潜水記録'!$H$5:$H$3004))</f>
        <v/>
      </c>
      <c r="K93" s="15">
        <f>IF(A93="","",IF(I93=0,"",_xlfn.MAXIFS('潜水記録'!$G$5:$G$3004,'潜水記録'!$B$5:$B$3004,A93)))</f>
        <v/>
      </c>
      <c r="L93" s="16">
        <f>IF(A93="","",IF(I93=0,"",_xlfn.MAXIFS('潜水記録'!$A$5:$A$3004,'潜水記録'!$B$5:$B$3004,A93)))</f>
        <v/>
      </c>
      <c r="M93" s="15">
        <f>IF(L93="","",$B$2-L93)</f>
        <v/>
      </c>
    </row>
    <row r="94">
      <c r="A94" s="14">
        <f>IF('隊員マスタ'!A91="","",'隊員マスタ'!A91)</f>
        <v/>
      </c>
      <c r="B94" s="14">
        <f>IF(A94="","",'隊員マスタ'!B91)</f>
        <v/>
      </c>
      <c r="C94" s="14">
        <f>IF(A94="","",'隊員マスタ'!C91)</f>
        <v/>
      </c>
      <c r="D94" s="15">
        <f>IF(A94="","",'隊員マスタ'!D91)</f>
        <v/>
      </c>
      <c r="E94" s="15">
        <f>IF(A94="","",IF(COUNTIFS('資格研修記録'!$A$5:$A$1004,A94,'資格研修記録'!$D$5:$D$1004,"潜水士免許")&gt;0,"有","無"))</f>
        <v/>
      </c>
      <c r="F94" s="15">
        <f>IF(A94="","",IF(COUNTIFS('資格研修記録'!$A$5:$A$1004,A94,'資格研修記録'!$D$5:$D$1004,"水難救助研修")&gt;0,"修了","—"))</f>
        <v/>
      </c>
      <c r="G94" s="14">
        <f>IF(A94="","",IF((IF((COUNTIFS('資格研修記録'!$A$5:$A$1004,A94,'資格研修記録'!$D$5:$D$1004,"小型船舶1級",'資格研修記録'!$F$5:$F$1004,"")+COUNTIFS('資格研修記録'!$A$5:$A$1004,A94,'資格研修記録'!$D$5:$D$1004,"小型船舶1級",'資格研修記録'!$F$5:$F$1004,"&gt;="&amp;TODAY()))&gt;0,"1級",IF((COUNTIFS('資格研修記録'!$A$5:$A$1004,A94,'資格研修記録'!$D$5:$D$1004,"小型船舶2級",'資格研修記録'!$F$5:$F$1004,"")+COUNTIFS('資格研修記録'!$A$5:$A$1004,A94,'資格研修記録'!$D$5:$D$1004,"小型船舶2級",'資格研修記録'!$F$5:$F$1004,"&gt;="&amp;TODAY()))&gt;0,"2級",IF(COUNTIFS('資格研修記録'!$A$5:$A$1004,A94,'資格研修記録'!$D$5:$D$1004,"小型船舶1級")+COUNTIFS('資格研修記録'!$A$5:$A$1004,A94,'資格研修記録'!$D$5:$D$1004,"小型船舶2級")&gt;0,"× 1・2級 期限切れ",""))))&amp;(IF((COUNTIFS('資格研修記録'!$A$5:$A$1004,A94,'資格研修記録'!$D$5:$D$1004,"小型船舶特殊",'資格研修記録'!$F$5:$F$1004,"")+COUNTIFS('資格研修記録'!$A$5:$A$1004,A94,'資格研修記録'!$D$5:$D$1004,"小型船舶特殊",'資格研修記録'!$F$5:$F$1004,"&gt;="&amp;TODAY()))&gt;0,"特殊",IF(COUNTIFS('資格研修記録'!$A$5:$A$1004,A94,'資格研修記録'!$D$5:$D$1004,"小型船舶特殊")&gt;0,"× 特殊 期限切れ","")))="","—",_xlfn.TEXTJOIN("・",TRUE,IF((COUNTIFS('資格研修記録'!$A$5:$A$1004,A94,'資格研修記録'!$D$5:$D$1004,"小型船舶1級",'資格研修記録'!$F$5:$F$1004,"")+COUNTIFS('資格研修記録'!$A$5:$A$1004,A94,'資格研修記録'!$D$5:$D$1004,"小型船舶1級",'資格研修記録'!$F$5:$F$1004,"&gt;="&amp;TODAY()))&gt;0,"1級",IF((COUNTIFS('資格研修記録'!$A$5:$A$1004,A94,'資格研修記録'!$D$5:$D$1004,"小型船舶2級",'資格研修記録'!$F$5:$F$1004,"")+COUNTIFS('資格研修記録'!$A$5:$A$1004,A94,'資格研修記録'!$D$5:$D$1004,"小型船舶2級",'資格研修記録'!$F$5:$F$1004,"&gt;="&amp;TODAY()))&gt;0,"2級",IF(COUNTIFS('資格研修記録'!$A$5:$A$1004,A94,'資格研修記録'!$D$5:$D$1004,"小型船舶1級")+COUNTIFS('資格研修記録'!$A$5:$A$1004,A94,'資格研修記録'!$D$5:$D$1004,"小型船舶2級")&gt;0,"× 1・2級 期限切れ",""))),IF((COUNTIFS('資格研修記録'!$A$5:$A$1004,A94,'資格研修記録'!$D$5:$D$1004,"小型船舶特殊",'資格研修記録'!$F$5:$F$1004,"")+COUNTIFS('資格研修記録'!$A$5:$A$1004,A94,'資格研修記録'!$D$5:$D$1004,"小型船舶特殊",'資格研修記録'!$F$5:$F$1004,"&gt;="&amp;TODAY()))&gt;0,"特殊",IF(COUNTIFS('資格研修記録'!$A$5:$A$1004,A94,'資格研修記録'!$D$5:$D$1004,"小型船舶特殊")&gt;0,"× 特殊 期限切れ","")))))</f>
        <v/>
      </c>
      <c r="H94" s="15">
        <f>IF(A94="","",COUNTIFS('潜水記録'!$B$5:$B$3004,A94,'潜水記録'!$AF$5:$AF$3004,$D$2))</f>
        <v/>
      </c>
      <c r="I94" s="15">
        <f>IF(A94="","",COUNTIF('潜水記録'!$B$5:$B$3004,A94))</f>
        <v/>
      </c>
      <c r="J94" s="15">
        <f>IF(A94="","",SUMIF('潜水記録'!$B$5:$B$3004,A94,'潜水記録'!$H$5:$H$3004))</f>
        <v/>
      </c>
      <c r="K94" s="15">
        <f>IF(A94="","",IF(I94=0,"",_xlfn.MAXIFS('潜水記録'!$G$5:$G$3004,'潜水記録'!$B$5:$B$3004,A94)))</f>
        <v/>
      </c>
      <c r="L94" s="16">
        <f>IF(A94="","",IF(I94=0,"",_xlfn.MAXIFS('潜水記録'!$A$5:$A$3004,'潜水記録'!$B$5:$B$3004,A94)))</f>
        <v/>
      </c>
      <c r="M94" s="15">
        <f>IF(L94="","",$B$2-L94)</f>
        <v/>
      </c>
    </row>
    <row r="95">
      <c r="A95" s="14">
        <f>IF('隊員マスタ'!A92="","",'隊員マスタ'!A92)</f>
        <v/>
      </c>
      <c r="B95" s="14">
        <f>IF(A95="","",'隊員マスタ'!B92)</f>
        <v/>
      </c>
      <c r="C95" s="14">
        <f>IF(A95="","",'隊員マスタ'!C92)</f>
        <v/>
      </c>
      <c r="D95" s="15">
        <f>IF(A95="","",'隊員マスタ'!D92)</f>
        <v/>
      </c>
      <c r="E95" s="15">
        <f>IF(A95="","",IF(COUNTIFS('資格研修記録'!$A$5:$A$1004,A95,'資格研修記録'!$D$5:$D$1004,"潜水士免許")&gt;0,"有","無"))</f>
        <v/>
      </c>
      <c r="F95" s="15">
        <f>IF(A95="","",IF(COUNTIFS('資格研修記録'!$A$5:$A$1004,A95,'資格研修記録'!$D$5:$D$1004,"水難救助研修")&gt;0,"修了","—"))</f>
        <v/>
      </c>
      <c r="G95" s="14">
        <f>IF(A95="","",IF((IF((COUNTIFS('資格研修記録'!$A$5:$A$1004,A95,'資格研修記録'!$D$5:$D$1004,"小型船舶1級",'資格研修記録'!$F$5:$F$1004,"")+COUNTIFS('資格研修記録'!$A$5:$A$1004,A95,'資格研修記録'!$D$5:$D$1004,"小型船舶1級",'資格研修記録'!$F$5:$F$1004,"&gt;="&amp;TODAY()))&gt;0,"1級",IF((COUNTIFS('資格研修記録'!$A$5:$A$1004,A95,'資格研修記録'!$D$5:$D$1004,"小型船舶2級",'資格研修記録'!$F$5:$F$1004,"")+COUNTIFS('資格研修記録'!$A$5:$A$1004,A95,'資格研修記録'!$D$5:$D$1004,"小型船舶2級",'資格研修記録'!$F$5:$F$1004,"&gt;="&amp;TODAY()))&gt;0,"2級",IF(COUNTIFS('資格研修記録'!$A$5:$A$1004,A95,'資格研修記録'!$D$5:$D$1004,"小型船舶1級")+COUNTIFS('資格研修記録'!$A$5:$A$1004,A95,'資格研修記録'!$D$5:$D$1004,"小型船舶2級")&gt;0,"× 1・2級 期限切れ",""))))&amp;(IF((COUNTIFS('資格研修記録'!$A$5:$A$1004,A95,'資格研修記録'!$D$5:$D$1004,"小型船舶特殊",'資格研修記録'!$F$5:$F$1004,"")+COUNTIFS('資格研修記録'!$A$5:$A$1004,A95,'資格研修記録'!$D$5:$D$1004,"小型船舶特殊",'資格研修記録'!$F$5:$F$1004,"&gt;="&amp;TODAY()))&gt;0,"特殊",IF(COUNTIFS('資格研修記録'!$A$5:$A$1004,A95,'資格研修記録'!$D$5:$D$1004,"小型船舶特殊")&gt;0,"× 特殊 期限切れ","")))="","—",_xlfn.TEXTJOIN("・",TRUE,IF((COUNTIFS('資格研修記録'!$A$5:$A$1004,A95,'資格研修記録'!$D$5:$D$1004,"小型船舶1級",'資格研修記録'!$F$5:$F$1004,"")+COUNTIFS('資格研修記録'!$A$5:$A$1004,A95,'資格研修記録'!$D$5:$D$1004,"小型船舶1級",'資格研修記録'!$F$5:$F$1004,"&gt;="&amp;TODAY()))&gt;0,"1級",IF((COUNTIFS('資格研修記録'!$A$5:$A$1004,A95,'資格研修記録'!$D$5:$D$1004,"小型船舶2級",'資格研修記録'!$F$5:$F$1004,"")+COUNTIFS('資格研修記録'!$A$5:$A$1004,A95,'資格研修記録'!$D$5:$D$1004,"小型船舶2級",'資格研修記録'!$F$5:$F$1004,"&gt;="&amp;TODAY()))&gt;0,"2級",IF(COUNTIFS('資格研修記録'!$A$5:$A$1004,A95,'資格研修記録'!$D$5:$D$1004,"小型船舶1級")+COUNTIFS('資格研修記録'!$A$5:$A$1004,A95,'資格研修記録'!$D$5:$D$1004,"小型船舶2級")&gt;0,"× 1・2級 期限切れ",""))),IF((COUNTIFS('資格研修記録'!$A$5:$A$1004,A95,'資格研修記録'!$D$5:$D$1004,"小型船舶特殊",'資格研修記録'!$F$5:$F$1004,"")+COUNTIFS('資格研修記録'!$A$5:$A$1004,A95,'資格研修記録'!$D$5:$D$1004,"小型船舶特殊",'資格研修記録'!$F$5:$F$1004,"&gt;="&amp;TODAY()))&gt;0,"特殊",IF(COUNTIFS('資格研修記録'!$A$5:$A$1004,A95,'資格研修記録'!$D$5:$D$1004,"小型船舶特殊")&gt;0,"× 特殊 期限切れ","")))))</f>
        <v/>
      </c>
      <c r="H95" s="15">
        <f>IF(A95="","",COUNTIFS('潜水記録'!$B$5:$B$3004,A95,'潜水記録'!$AF$5:$AF$3004,$D$2))</f>
        <v/>
      </c>
      <c r="I95" s="15">
        <f>IF(A95="","",COUNTIF('潜水記録'!$B$5:$B$3004,A95))</f>
        <v/>
      </c>
      <c r="J95" s="15">
        <f>IF(A95="","",SUMIF('潜水記録'!$B$5:$B$3004,A95,'潜水記録'!$H$5:$H$3004))</f>
        <v/>
      </c>
      <c r="K95" s="15">
        <f>IF(A95="","",IF(I95=0,"",_xlfn.MAXIFS('潜水記録'!$G$5:$G$3004,'潜水記録'!$B$5:$B$3004,A95)))</f>
        <v/>
      </c>
      <c r="L95" s="16">
        <f>IF(A95="","",IF(I95=0,"",_xlfn.MAXIFS('潜水記録'!$A$5:$A$3004,'潜水記録'!$B$5:$B$3004,A95)))</f>
        <v/>
      </c>
      <c r="M95" s="15">
        <f>IF(L95="","",$B$2-L95)</f>
        <v/>
      </c>
    </row>
    <row r="96">
      <c r="A96" s="14">
        <f>IF('隊員マスタ'!A93="","",'隊員マスタ'!A93)</f>
        <v/>
      </c>
      <c r="B96" s="14">
        <f>IF(A96="","",'隊員マスタ'!B93)</f>
        <v/>
      </c>
      <c r="C96" s="14">
        <f>IF(A96="","",'隊員マスタ'!C93)</f>
        <v/>
      </c>
      <c r="D96" s="15">
        <f>IF(A96="","",'隊員マスタ'!D93)</f>
        <v/>
      </c>
      <c r="E96" s="15">
        <f>IF(A96="","",IF(COUNTIFS('資格研修記録'!$A$5:$A$1004,A96,'資格研修記録'!$D$5:$D$1004,"潜水士免許")&gt;0,"有","無"))</f>
        <v/>
      </c>
      <c r="F96" s="15">
        <f>IF(A96="","",IF(COUNTIFS('資格研修記録'!$A$5:$A$1004,A96,'資格研修記録'!$D$5:$D$1004,"水難救助研修")&gt;0,"修了","—"))</f>
        <v/>
      </c>
      <c r="G96" s="14">
        <f>IF(A96="","",IF((IF((COUNTIFS('資格研修記録'!$A$5:$A$1004,A96,'資格研修記録'!$D$5:$D$1004,"小型船舶1級",'資格研修記録'!$F$5:$F$1004,"")+COUNTIFS('資格研修記録'!$A$5:$A$1004,A96,'資格研修記録'!$D$5:$D$1004,"小型船舶1級",'資格研修記録'!$F$5:$F$1004,"&gt;="&amp;TODAY()))&gt;0,"1級",IF((COUNTIFS('資格研修記録'!$A$5:$A$1004,A96,'資格研修記録'!$D$5:$D$1004,"小型船舶2級",'資格研修記録'!$F$5:$F$1004,"")+COUNTIFS('資格研修記録'!$A$5:$A$1004,A96,'資格研修記録'!$D$5:$D$1004,"小型船舶2級",'資格研修記録'!$F$5:$F$1004,"&gt;="&amp;TODAY()))&gt;0,"2級",IF(COUNTIFS('資格研修記録'!$A$5:$A$1004,A96,'資格研修記録'!$D$5:$D$1004,"小型船舶1級")+COUNTIFS('資格研修記録'!$A$5:$A$1004,A96,'資格研修記録'!$D$5:$D$1004,"小型船舶2級")&gt;0,"× 1・2級 期限切れ",""))))&amp;(IF((COUNTIFS('資格研修記録'!$A$5:$A$1004,A96,'資格研修記録'!$D$5:$D$1004,"小型船舶特殊",'資格研修記録'!$F$5:$F$1004,"")+COUNTIFS('資格研修記録'!$A$5:$A$1004,A96,'資格研修記録'!$D$5:$D$1004,"小型船舶特殊",'資格研修記録'!$F$5:$F$1004,"&gt;="&amp;TODAY()))&gt;0,"特殊",IF(COUNTIFS('資格研修記録'!$A$5:$A$1004,A96,'資格研修記録'!$D$5:$D$1004,"小型船舶特殊")&gt;0,"× 特殊 期限切れ","")))="","—",_xlfn.TEXTJOIN("・",TRUE,IF((COUNTIFS('資格研修記録'!$A$5:$A$1004,A96,'資格研修記録'!$D$5:$D$1004,"小型船舶1級",'資格研修記録'!$F$5:$F$1004,"")+COUNTIFS('資格研修記録'!$A$5:$A$1004,A96,'資格研修記録'!$D$5:$D$1004,"小型船舶1級",'資格研修記録'!$F$5:$F$1004,"&gt;="&amp;TODAY()))&gt;0,"1級",IF((COUNTIFS('資格研修記録'!$A$5:$A$1004,A96,'資格研修記録'!$D$5:$D$1004,"小型船舶2級",'資格研修記録'!$F$5:$F$1004,"")+COUNTIFS('資格研修記録'!$A$5:$A$1004,A96,'資格研修記録'!$D$5:$D$1004,"小型船舶2級",'資格研修記録'!$F$5:$F$1004,"&gt;="&amp;TODAY()))&gt;0,"2級",IF(COUNTIFS('資格研修記録'!$A$5:$A$1004,A96,'資格研修記録'!$D$5:$D$1004,"小型船舶1級")+COUNTIFS('資格研修記録'!$A$5:$A$1004,A96,'資格研修記録'!$D$5:$D$1004,"小型船舶2級")&gt;0,"× 1・2級 期限切れ",""))),IF((COUNTIFS('資格研修記録'!$A$5:$A$1004,A96,'資格研修記録'!$D$5:$D$1004,"小型船舶特殊",'資格研修記録'!$F$5:$F$1004,"")+COUNTIFS('資格研修記録'!$A$5:$A$1004,A96,'資格研修記録'!$D$5:$D$1004,"小型船舶特殊",'資格研修記録'!$F$5:$F$1004,"&gt;="&amp;TODAY()))&gt;0,"特殊",IF(COUNTIFS('資格研修記録'!$A$5:$A$1004,A96,'資格研修記録'!$D$5:$D$1004,"小型船舶特殊")&gt;0,"× 特殊 期限切れ","")))))</f>
        <v/>
      </c>
      <c r="H96" s="15">
        <f>IF(A96="","",COUNTIFS('潜水記録'!$B$5:$B$3004,A96,'潜水記録'!$AF$5:$AF$3004,$D$2))</f>
        <v/>
      </c>
      <c r="I96" s="15">
        <f>IF(A96="","",COUNTIF('潜水記録'!$B$5:$B$3004,A96))</f>
        <v/>
      </c>
      <c r="J96" s="15">
        <f>IF(A96="","",SUMIF('潜水記録'!$B$5:$B$3004,A96,'潜水記録'!$H$5:$H$3004))</f>
        <v/>
      </c>
      <c r="K96" s="15">
        <f>IF(A96="","",IF(I96=0,"",_xlfn.MAXIFS('潜水記録'!$G$5:$G$3004,'潜水記録'!$B$5:$B$3004,A96)))</f>
        <v/>
      </c>
      <c r="L96" s="16">
        <f>IF(A96="","",IF(I96=0,"",_xlfn.MAXIFS('潜水記録'!$A$5:$A$3004,'潜水記録'!$B$5:$B$3004,A96)))</f>
        <v/>
      </c>
      <c r="M96" s="15">
        <f>IF(L96="","",$B$2-L96)</f>
        <v/>
      </c>
    </row>
    <row r="97">
      <c r="A97" s="14">
        <f>IF('隊員マスタ'!A94="","",'隊員マスタ'!A94)</f>
        <v/>
      </c>
      <c r="B97" s="14">
        <f>IF(A97="","",'隊員マスタ'!B94)</f>
        <v/>
      </c>
      <c r="C97" s="14">
        <f>IF(A97="","",'隊員マスタ'!C94)</f>
        <v/>
      </c>
      <c r="D97" s="15">
        <f>IF(A97="","",'隊員マスタ'!D94)</f>
        <v/>
      </c>
      <c r="E97" s="15">
        <f>IF(A97="","",IF(COUNTIFS('資格研修記録'!$A$5:$A$1004,A97,'資格研修記録'!$D$5:$D$1004,"潜水士免許")&gt;0,"有","無"))</f>
        <v/>
      </c>
      <c r="F97" s="15">
        <f>IF(A97="","",IF(COUNTIFS('資格研修記録'!$A$5:$A$1004,A97,'資格研修記録'!$D$5:$D$1004,"水難救助研修")&gt;0,"修了","—"))</f>
        <v/>
      </c>
      <c r="G97" s="14">
        <f>IF(A97="","",IF((IF((COUNTIFS('資格研修記録'!$A$5:$A$1004,A97,'資格研修記録'!$D$5:$D$1004,"小型船舶1級",'資格研修記録'!$F$5:$F$1004,"")+COUNTIFS('資格研修記録'!$A$5:$A$1004,A97,'資格研修記録'!$D$5:$D$1004,"小型船舶1級",'資格研修記録'!$F$5:$F$1004,"&gt;="&amp;TODAY()))&gt;0,"1級",IF((COUNTIFS('資格研修記録'!$A$5:$A$1004,A97,'資格研修記録'!$D$5:$D$1004,"小型船舶2級",'資格研修記録'!$F$5:$F$1004,"")+COUNTIFS('資格研修記録'!$A$5:$A$1004,A97,'資格研修記録'!$D$5:$D$1004,"小型船舶2級",'資格研修記録'!$F$5:$F$1004,"&gt;="&amp;TODAY()))&gt;0,"2級",IF(COUNTIFS('資格研修記録'!$A$5:$A$1004,A97,'資格研修記録'!$D$5:$D$1004,"小型船舶1級")+COUNTIFS('資格研修記録'!$A$5:$A$1004,A97,'資格研修記録'!$D$5:$D$1004,"小型船舶2級")&gt;0,"× 1・2級 期限切れ",""))))&amp;(IF((COUNTIFS('資格研修記録'!$A$5:$A$1004,A97,'資格研修記録'!$D$5:$D$1004,"小型船舶特殊",'資格研修記録'!$F$5:$F$1004,"")+COUNTIFS('資格研修記録'!$A$5:$A$1004,A97,'資格研修記録'!$D$5:$D$1004,"小型船舶特殊",'資格研修記録'!$F$5:$F$1004,"&gt;="&amp;TODAY()))&gt;0,"特殊",IF(COUNTIFS('資格研修記録'!$A$5:$A$1004,A97,'資格研修記録'!$D$5:$D$1004,"小型船舶特殊")&gt;0,"× 特殊 期限切れ","")))="","—",_xlfn.TEXTJOIN("・",TRUE,IF((COUNTIFS('資格研修記録'!$A$5:$A$1004,A97,'資格研修記録'!$D$5:$D$1004,"小型船舶1級",'資格研修記録'!$F$5:$F$1004,"")+COUNTIFS('資格研修記録'!$A$5:$A$1004,A97,'資格研修記録'!$D$5:$D$1004,"小型船舶1級",'資格研修記録'!$F$5:$F$1004,"&gt;="&amp;TODAY()))&gt;0,"1級",IF((COUNTIFS('資格研修記録'!$A$5:$A$1004,A97,'資格研修記録'!$D$5:$D$1004,"小型船舶2級",'資格研修記録'!$F$5:$F$1004,"")+COUNTIFS('資格研修記録'!$A$5:$A$1004,A97,'資格研修記録'!$D$5:$D$1004,"小型船舶2級",'資格研修記録'!$F$5:$F$1004,"&gt;="&amp;TODAY()))&gt;0,"2級",IF(COUNTIFS('資格研修記録'!$A$5:$A$1004,A97,'資格研修記録'!$D$5:$D$1004,"小型船舶1級")+COUNTIFS('資格研修記録'!$A$5:$A$1004,A97,'資格研修記録'!$D$5:$D$1004,"小型船舶2級")&gt;0,"× 1・2級 期限切れ",""))),IF((COUNTIFS('資格研修記録'!$A$5:$A$1004,A97,'資格研修記録'!$D$5:$D$1004,"小型船舶特殊",'資格研修記録'!$F$5:$F$1004,"")+COUNTIFS('資格研修記録'!$A$5:$A$1004,A97,'資格研修記録'!$D$5:$D$1004,"小型船舶特殊",'資格研修記録'!$F$5:$F$1004,"&gt;="&amp;TODAY()))&gt;0,"特殊",IF(COUNTIFS('資格研修記録'!$A$5:$A$1004,A97,'資格研修記録'!$D$5:$D$1004,"小型船舶特殊")&gt;0,"× 特殊 期限切れ","")))))</f>
        <v/>
      </c>
      <c r="H97" s="15">
        <f>IF(A97="","",COUNTIFS('潜水記録'!$B$5:$B$3004,A97,'潜水記録'!$AF$5:$AF$3004,$D$2))</f>
        <v/>
      </c>
      <c r="I97" s="15">
        <f>IF(A97="","",COUNTIF('潜水記録'!$B$5:$B$3004,A97))</f>
        <v/>
      </c>
      <c r="J97" s="15">
        <f>IF(A97="","",SUMIF('潜水記録'!$B$5:$B$3004,A97,'潜水記録'!$H$5:$H$3004))</f>
        <v/>
      </c>
      <c r="K97" s="15">
        <f>IF(A97="","",IF(I97=0,"",_xlfn.MAXIFS('潜水記録'!$G$5:$G$3004,'潜水記録'!$B$5:$B$3004,A97)))</f>
        <v/>
      </c>
      <c r="L97" s="16">
        <f>IF(A97="","",IF(I97=0,"",_xlfn.MAXIFS('潜水記録'!$A$5:$A$3004,'潜水記録'!$B$5:$B$3004,A97)))</f>
        <v/>
      </c>
      <c r="M97" s="15">
        <f>IF(L97="","",$B$2-L97)</f>
        <v/>
      </c>
    </row>
    <row r="98">
      <c r="A98" s="14">
        <f>IF('隊員マスタ'!A95="","",'隊員マスタ'!A95)</f>
        <v/>
      </c>
      <c r="B98" s="14">
        <f>IF(A98="","",'隊員マスタ'!B95)</f>
        <v/>
      </c>
      <c r="C98" s="14">
        <f>IF(A98="","",'隊員マスタ'!C95)</f>
        <v/>
      </c>
      <c r="D98" s="15">
        <f>IF(A98="","",'隊員マスタ'!D95)</f>
        <v/>
      </c>
      <c r="E98" s="15">
        <f>IF(A98="","",IF(COUNTIFS('資格研修記録'!$A$5:$A$1004,A98,'資格研修記録'!$D$5:$D$1004,"潜水士免許")&gt;0,"有","無"))</f>
        <v/>
      </c>
      <c r="F98" s="15">
        <f>IF(A98="","",IF(COUNTIFS('資格研修記録'!$A$5:$A$1004,A98,'資格研修記録'!$D$5:$D$1004,"水難救助研修")&gt;0,"修了","—"))</f>
        <v/>
      </c>
      <c r="G98" s="14">
        <f>IF(A98="","",IF((IF((COUNTIFS('資格研修記録'!$A$5:$A$1004,A98,'資格研修記録'!$D$5:$D$1004,"小型船舶1級",'資格研修記録'!$F$5:$F$1004,"")+COUNTIFS('資格研修記録'!$A$5:$A$1004,A98,'資格研修記録'!$D$5:$D$1004,"小型船舶1級",'資格研修記録'!$F$5:$F$1004,"&gt;="&amp;TODAY()))&gt;0,"1級",IF((COUNTIFS('資格研修記録'!$A$5:$A$1004,A98,'資格研修記録'!$D$5:$D$1004,"小型船舶2級",'資格研修記録'!$F$5:$F$1004,"")+COUNTIFS('資格研修記録'!$A$5:$A$1004,A98,'資格研修記録'!$D$5:$D$1004,"小型船舶2級",'資格研修記録'!$F$5:$F$1004,"&gt;="&amp;TODAY()))&gt;0,"2級",IF(COUNTIFS('資格研修記録'!$A$5:$A$1004,A98,'資格研修記録'!$D$5:$D$1004,"小型船舶1級")+COUNTIFS('資格研修記録'!$A$5:$A$1004,A98,'資格研修記録'!$D$5:$D$1004,"小型船舶2級")&gt;0,"× 1・2級 期限切れ",""))))&amp;(IF((COUNTIFS('資格研修記録'!$A$5:$A$1004,A98,'資格研修記録'!$D$5:$D$1004,"小型船舶特殊",'資格研修記録'!$F$5:$F$1004,"")+COUNTIFS('資格研修記録'!$A$5:$A$1004,A98,'資格研修記録'!$D$5:$D$1004,"小型船舶特殊",'資格研修記録'!$F$5:$F$1004,"&gt;="&amp;TODAY()))&gt;0,"特殊",IF(COUNTIFS('資格研修記録'!$A$5:$A$1004,A98,'資格研修記録'!$D$5:$D$1004,"小型船舶特殊")&gt;0,"× 特殊 期限切れ","")))="","—",_xlfn.TEXTJOIN("・",TRUE,IF((COUNTIFS('資格研修記録'!$A$5:$A$1004,A98,'資格研修記録'!$D$5:$D$1004,"小型船舶1級",'資格研修記録'!$F$5:$F$1004,"")+COUNTIFS('資格研修記録'!$A$5:$A$1004,A98,'資格研修記録'!$D$5:$D$1004,"小型船舶1級",'資格研修記録'!$F$5:$F$1004,"&gt;="&amp;TODAY()))&gt;0,"1級",IF((COUNTIFS('資格研修記録'!$A$5:$A$1004,A98,'資格研修記録'!$D$5:$D$1004,"小型船舶2級",'資格研修記録'!$F$5:$F$1004,"")+COUNTIFS('資格研修記録'!$A$5:$A$1004,A98,'資格研修記録'!$D$5:$D$1004,"小型船舶2級",'資格研修記録'!$F$5:$F$1004,"&gt;="&amp;TODAY()))&gt;0,"2級",IF(COUNTIFS('資格研修記録'!$A$5:$A$1004,A98,'資格研修記録'!$D$5:$D$1004,"小型船舶1級")+COUNTIFS('資格研修記録'!$A$5:$A$1004,A98,'資格研修記録'!$D$5:$D$1004,"小型船舶2級")&gt;0,"× 1・2級 期限切れ",""))),IF((COUNTIFS('資格研修記録'!$A$5:$A$1004,A98,'資格研修記録'!$D$5:$D$1004,"小型船舶特殊",'資格研修記録'!$F$5:$F$1004,"")+COUNTIFS('資格研修記録'!$A$5:$A$1004,A98,'資格研修記録'!$D$5:$D$1004,"小型船舶特殊",'資格研修記録'!$F$5:$F$1004,"&gt;="&amp;TODAY()))&gt;0,"特殊",IF(COUNTIFS('資格研修記録'!$A$5:$A$1004,A98,'資格研修記録'!$D$5:$D$1004,"小型船舶特殊")&gt;0,"× 特殊 期限切れ","")))))</f>
        <v/>
      </c>
      <c r="H98" s="15">
        <f>IF(A98="","",COUNTIFS('潜水記録'!$B$5:$B$3004,A98,'潜水記録'!$AF$5:$AF$3004,$D$2))</f>
        <v/>
      </c>
      <c r="I98" s="15">
        <f>IF(A98="","",COUNTIF('潜水記録'!$B$5:$B$3004,A98))</f>
        <v/>
      </c>
      <c r="J98" s="15">
        <f>IF(A98="","",SUMIF('潜水記録'!$B$5:$B$3004,A98,'潜水記録'!$H$5:$H$3004))</f>
        <v/>
      </c>
      <c r="K98" s="15">
        <f>IF(A98="","",IF(I98=0,"",_xlfn.MAXIFS('潜水記録'!$G$5:$G$3004,'潜水記録'!$B$5:$B$3004,A98)))</f>
        <v/>
      </c>
      <c r="L98" s="16">
        <f>IF(A98="","",IF(I98=0,"",_xlfn.MAXIFS('潜水記録'!$A$5:$A$3004,'潜水記録'!$B$5:$B$3004,A98)))</f>
        <v/>
      </c>
      <c r="M98" s="15">
        <f>IF(L98="","",$B$2-L98)</f>
        <v/>
      </c>
    </row>
    <row r="99">
      <c r="A99" s="14">
        <f>IF('隊員マスタ'!A96="","",'隊員マスタ'!A96)</f>
        <v/>
      </c>
      <c r="B99" s="14">
        <f>IF(A99="","",'隊員マスタ'!B96)</f>
        <v/>
      </c>
      <c r="C99" s="14">
        <f>IF(A99="","",'隊員マスタ'!C96)</f>
        <v/>
      </c>
      <c r="D99" s="15">
        <f>IF(A99="","",'隊員マスタ'!D96)</f>
        <v/>
      </c>
      <c r="E99" s="15">
        <f>IF(A99="","",IF(COUNTIFS('資格研修記録'!$A$5:$A$1004,A99,'資格研修記録'!$D$5:$D$1004,"潜水士免許")&gt;0,"有","無"))</f>
        <v/>
      </c>
      <c r="F99" s="15">
        <f>IF(A99="","",IF(COUNTIFS('資格研修記録'!$A$5:$A$1004,A99,'資格研修記録'!$D$5:$D$1004,"水難救助研修")&gt;0,"修了","—"))</f>
        <v/>
      </c>
      <c r="G99" s="14">
        <f>IF(A99="","",IF((IF((COUNTIFS('資格研修記録'!$A$5:$A$1004,A99,'資格研修記録'!$D$5:$D$1004,"小型船舶1級",'資格研修記録'!$F$5:$F$1004,"")+COUNTIFS('資格研修記録'!$A$5:$A$1004,A99,'資格研修記録'!$D$5:$D$1004,"小型船舶1級",'資格研修記録'!$F$5:$F$1004,"&gt;="&amp;TODAY()))&gt;0,"1級",IF((COUNTIFS('資格研修記録'!$A$5:$A$1004,A99,'資格研修記録'!$D$5:$D$1004,"小型船舶2級",'資格研修記録'!$F$5:$F$1004,"")+COUNTIFS('資格研修記録'!$A$5:$A$1004,A99,'資格研修記録'!$D$5:$D$1004,"小型船舶2級",'資格研修記録'!$F$5:$F$1004,"&gt;="&amp;TODAY()))&gt;0,"2級",IF(COUNTIFS('資格研修記録'!$A$5:$A$1004,A99,'資格研修記録'!$D$5:$D$1004,"小型船舶1級")+COUNTIFS('資格研修記録'!$A$5:$A$1004,A99,'資格研修記録'!$D$5:$D$1004,"小型船舶2級")&gt;0,"× 1・2級 期限切れ",""))))&amp;(IF((COUNTIFS('資格研修記録'!$A$5:$A$1004,A99,'資格研修記録'!$D$5:$D$1004,"小型船舶特殊",'資格研修記録'!$F$5:$F$1004,"")+COUNTIFS('資格研修記録'!$A$5:$A$1004,A99,'資格研修記録'!$D$5:$D$1004,"小型船舶特殊",'資格研修記録'!$F$5:$F$1004,"&gt;="&amp;TODAY()))&gt;0,"特殊",IF(COUNTIFS('資格研修記録'!$A$5:$A$1004,A99,'資格研修記録'!$D$5:$D$1004,"小型船舶特殊")&gt;0,"× 特殊 期限切れ","")))="","—",_xlfn.TEXTJOIN("・",TRUE,IF((COUNTIFS('資格研修記録'!$A$5:$A$1004,A99,'資格研修記録'!$D$5:$D$1004,"小型船舶1級",'資格研修記録'!$F$5:$F$1004,"")+COUNTIFS('資格研修記録'!$A$5:$A$1004,A99,'資格研修記録'!$D$5:$D$1004,"小型船舶1級",'資格研修記録'!$F$5:$F$1004,"&gt;="&amp;TODAY()))&gt;0,"1級",IF((COUNTIFS('資格研修記録'!$A$5:$A$1004,A99,'資格研修記録'!$D$5:$D$1004,"小型船舶2級",'資格研修記録'!$F$5:$F$1004,"")+COUNTIFS('資格研修記録'!$A$5:$A$1004,A99,'資格研修記録'!$D$5:$D$1004,"小型船舶2級",'資格研修記録'!$F$5:$F$1004,"&gt;="&amp;TODAY()))&gt;0,"2級",IF(COUNTIFS('資格研修記録'!$A$5:$A$1004,A99,'資格研修記録'!$D$5:$D$1004,"小型船舶1級")+COUNTIFS('資格研修記録'!$A$5:$A$1004,A99,'資格研修記録'!$D$5:$D$1004,"小型船舶2級")&gt;0,"× 1・2級 期限切れ",""))),IF((COUNTIFS('資格研修記録'!$A$5:$A$1004,A99,'資格研修記録'!$D$5:$D$1004,"小型船舶特殊",'資格研修記録'!$F$5:$F$1004,"")+COUNTIFS('資格研修記録'!$A$5:$A$1004,A99,'資格研修記録'!$D$5:$D$1004,"小型船舶特殊",'資格研修記録'!$F$5:$F$1004,"&gt;="&amp;TODAY()))&gt;0,"特殊",IF(COUNTIFS('資格研修記録'!$A$5:$A$1004,A99,'資格研修記録'!$D$5:$D$1004,"小型船舶特殊")&gt;0,"× 特殊 期限切れ","")))))</f>
        <v/>
      </c>
      <c r="H99" s="15">
        <f>IF(A99="","",COUNTIFS('潜水記録'!$B$5:$B$3004,A99,'潜水記録'!$AF$5:$AF$3004,$D$2))</f>
        <v/>
      </c>
      <c r="I99" s="15">
        <f>IF(A99="","",COUNTIF('潜水記録'!$B$5:$B$3004,A99))</f>
        <v/>
      </c>
      <c r="J99" s="15">
        <f>IF(A99="","",SUMIF('潜水記録'!$B$5:$B$3004,A99,'潜水記録'!$H$5:$H$3004))</f>
        <v/>
      </c>
      <c r="K99" s="15">
        <f>IF(A99="","",IF(I99=0,"",_xlfn.MAXIFS('潜水記録'!$G$5:$G$3004,'潜水記録'!$B$5:$B$3004,A99)))</f>
        <v/>
      </c>
      <c r="L99" s="16">
        <f>IF(A99="","",IF(I99=0,"",_xlfn.MAXIFS('潜水記録'!$A$5:$A$3004,'潜水記録'!$B$5:$B$3004,A99)))</f>
        <v/>
      </c>
      <c r="M99" s="15">
        <f>IF(L99="","",$B$2-L99)</f>
        <v/>
      </c>
    </row>
    <row r="100">
      <c r="A100" s="14">
        <f>IF('隊員マスタ'!A97="","",'隊員マスタ'!A97)</f>
        <v/>
      </c>
      <c r="B100" s="14">
        <f>IF(A100="","",'隊員マスタ'!B97)</f>
        <v/>
      </c>
      <c r="C100" s="14">
        <f>IF(A100="","",'隊員マスタ'!C97)</f>
        <v/>
      </c>
      <c r="D100" s="15">
        <f>IF(A100="","",'隊員マスタ'!D97)</f>
        <v/>
      </c>
      <c r="E100" s="15">
        <f>IF(A100="","",IF(COUNTIFS('資格研修記録'!$A$5:$A$1004,A100,'資格研修記録'!$D$5:$D$1004,"潜水士免許")&gt;0,"有","無"))</f>
        <v/>
      </c>
      <c r="F100" s="15">
        <f>IF(A100="","",IF(COUNTIFS('資格研修記録'!$A$5:$A$1004,A100,'資格研修記録'!$D$5:$D$1004,"水難救助研修")&gt;0,"修了","—"))</f>
        <v/>
      </c>
      <c r="G100" s="14">
        <f>IF(A100="","",IF((IF((COUNTIFS('資格研修記録'!$A$5:$A$1004,A100,'資格研修記録'!$D$5:$D$1004,"小型船舶1級",'資格研修記録'!$F$5:$F$1004,"")+COUNTIFS('資格研修記録'!$A$5:$A$1004,A100,'資格研修記録'!$D$5:$D$1004,"小型船舶1級",'資格研修記録'!$F$5:$F$1004,"&gt;="&amp;TODAY()))&gt;0,"1級",IF((COUNTIFS('資格研修記録'!$A$5:$A$1004,A100,'資格研修記録'!$D$5:$D$1004,"小型船舶2級",'資格研修記録'!$F$5:$F$1004,"")+COUNTIFS('資格研修記録'!$A$5:$A$1004,A100,'資格研修記録'!$D$5:$D$1004,"小型船舶2級",'資格研修記録'!$F$5:$F$1004,"&gt;="&amp;TODAY()))&gt;0,"2級",IF(COUNTIFS('資格研修記録'!$A$5:$A$1004,A100,'資格研修記録'!$D$5:$D$1004,"小型船舶1級")+COUNTIFS('資格研修記録'!$A$5:$A$1004,A100,'資格研修記録'!$D$5:$D$1004,"小型船舶2級")&gt;0,"× 1・2級 期限切れ",""))))&amp;(IF((COUNTIFS('資格研修記録'!$A$5:$A$1004,A100,'資格研修記録'!$D$5:$D$1004,"小型船舶特殊",'資格研修記録'!$F$5:$F$1004,"")+COUNTIFS('資格研修記録'!$A$5:$A$1004,A100,'資格研修記録'!$D$5:$D$1004,"小型船舶特殊",'資格研修記録'!$F$5:$F$1004,"&gt;="&amp;TODAY()))&gt;0,"特殊",IF(COUNTIFS('資格研修記録'!$A$5:$A$1004,A100,'資格研修記録'!$D$5:$D$1004,"小型船舶特殊")&gt;0,"× 特殊 期限切れ","")))="","—",_xlfn.TEXTJOIN("・",TRUE,IF((COUNTIFS('資格研修記録'!$A$5:$A$1004,A100,'資格研修記録'!$D$5:$D$1004,"小型船舶1級",'資格研修記録'!$F$5:$F$1004,"")+COUNTIFS('資格研修記録'!$A$5:$A$1004,A100,'資格研修記録'!$D$5:$D$1004,"小型船舶1級",'資格研修記録'!$F$5:$F$1004,"&gt;="&amp;TODAY()))&gt;0,"1級",IF((COUNTIFS('資格研修記録'!$A$5:$A$1004,A100,'資格研修記録'!$D$5:$D$1004,"小型船舶2級",'資格研修記録'!$F$5:$F$1004,"")+COUNTIFS('資格研修記録'!$A$5:$A$1004,A100,'資格研修記録'!$D$5:$D$1004,"小型船舶2級",'資格研修記録'!$F$5:$F$1004,"&gt;="&amp;TODAY()))&gt;0,"2級",IF(COUNTIFS('資格研修記録'!$A$5:$A$1004,A100,'資格研修記録'!$D$5:$D$1004,"小型船舶1級")+COUNTIFS('資格研修記録'!$A$5:$A$1004,A100,'資格研修記録'!$D$5:$D$1004,"小型船舶2級")&gt;0,"× 1・2級 期限切れ",""))),IF((COUNTIFS('資格研修記録'!$A$5:$A$1004,A100,'資格研修記録'!$D$5:$D$1004,"小型船舶特殊",'資格研修記録'!$F$5:$F$1004,"")+COUNTIFS('資格研修記録'!$A$5:$A$1004,A100,'資格研修記録'!$D$5:$D$1004,"小型船舶特殊",'資格研修記録'!$F$5:$F$1004,"&gt;="&amp;TODAY()))&gt;0,"特殊",IF(COUNTIFS('資格研修記録'!$A$5:$A$1004,A100,'資格研修記録'!$D$5:$D$1004,"小型船舶特殊")&gt;0,"× 特殊 期限切れ","")))))</f>
        <v/>
      </c>
      <c r="H100" s="15">
        <f>IF(A100="","",COUNTIFS('潜水記録'!$B$5:$B$3004,A100,'潜水記録'!$AF$5:$AF$3004,$D$2))</f>
        <v/>
      </c>
      <c r="I100" s="15">
        <f>IF(A100="","",COUNTIF('潜水記録'!$B$5:$B$3004,A100))</f>
        <v/>
      </c>
      <c r="J100" s="15">
        <f>IF(A100="","",SUMIF('潜水記録'!$B$5:$B$3004,A100,'潜水記録'!$H$5:$H$3004))</f>
        <v/>
      </c>
      <c r="K100" s="15">
        <f>IF(A100="","",IF(I100=0,"",_xlfn.MAXIFS('潜水記録'!$G$5:$G$3004,'潜水記録'!$B$5:$B$3004,A100)))</f>
        <v/>
      </c>
      <c r="L100" s="16">
        <f>IF(A100="","",IF(I100=0,"",_xlfn.MAXIFS('潜水記録'!$A$5:$A$3004,'潜水記録'!$B$5:$B$3004,A100)))</f>
        <v/>
      </c>
      <c r="M100" s="15">
        <f>IF(L100="","",$B$2-L100)</f>
        <v/>
      </c>
    </row>
    <row r="101">
      <c r="A101" s="14">
        <f>IF('隊員マスタ'!A98="","",'隊員マスタ'!A98)</f>
        <v/>
      </c>
      <c r="B101" s="14">
        <f>IF(A101="","",'隊員マスタ'!B98)</f>
        <v/>
      </c>
      <c r="C101" s="14">
        <f>IF(A101="","",'隊員マスタ'!C98)</f>
        <v/>
      </c>
      <c r="D101" s="15">
        <f>IF(A101="","",'隊員マスタ'!D98)</f>
        <v/>
      </c>
      <c r="E101" s="15">
        <f>IF(A101="","",IF(COUNTIFS('資格研修記録'!$A$5:$A$1004,A101,'資格研修記録'!$D$5:$D$1004,"潜水士免許")&gt;0,"有","無"))</f>
        <v/>
      </c>
      <c r="F101" s="15">
        <f>IF(A101="","",IF(COUNTIFS('資格研修記録'!$A$5:$A$1004,A101,'資格研修記録'!$D$5:$D$1004,"水難救助研修")&gt;0,"修了","—"))</f>
        <v/>
      </c>
      <c r="G101" s="14">
        <f>IF(A101="","",IF((IF((COUNTIFS('資格研修記録'!$A$5:$A$1004,A101,'資格研修記録'!$D$5:$D$1004,"小型船舶1級",'資格研修記録'!$F$5:$F$1004,"")+COUNTIFS('資格研修記録'!$A$5:$A$1004,A101,'資格研修記録'!$D$5:$D$1004,"小型船舶1級",'資格研修記録'!$F$5:$F$1004,"&gt;="&amp;TODAY()))&gt;0,"1級",IF((COUNTIFS('資格研修記録'!$A$5:$A$1004,A101,'資格研修記録'!$D$5:$D$1004,"小型船舶2級",'資格研修記録'!$F$5:$F$1004,"")+COUNTIFS('資格研修記録'!$A$5:$A$1004,A101,'資格研修記録'!$D$5:$D$1004,"小型船舶2級",'資格研修記録'!$F$5:$F$1004,"&gt;="&amp;TODAY()))&gt;0,"2級",IF(COUNTIFS('資格研修記録'!$A$5:$A$1004,A101,'資格研修記録'!$D$5:$D$1004,"小型船舶1級")+COUNTIFS('資格研修記録'!$A$5:$A$1004,A101,'資格研修記録'!$D$5:$D$1004,"小型船舶2級")&gt;0,"× 1・2級 期限切れ",""))))&amp;(IF((COUNTIFS('資格研修記録'!$A$5:$A$1004,A101,'資格研修記録'!$D$5:$D$1004,"小型船舶特殊",'資格研修記録'!$F$5:$F$1004,"")+COUNTIFS('資格研修記録'!$A$5:$A$1004,A101,'資格研修記録'!$D$5:$D$1004,"小型船舶特殊",'資格研修記録'!$F$5:$F$1004,"&gt;="&amp;TODAY()))&gt;0,"特殊",IF(COUNTIFS('資格研修記録'!$A$5:$A$1004,A101,'資格研修記録'!$D$5:$D$1004,"小型船舶特殊")&gt;0,"× 特殊 期限切れ","")))="","—",_xlfn.TEXTJOIN("・",TRUE,IF((COUNTIFS('資格研修記録'!$A$5:$A$1004,A101,'資格研修記録'!$D$5:$D$1004,"小型船舶1級",'資格研修記録'!$F$5:$F$1004,"")+COUNTIFS('資格研修記録'!$A$5:$A$1004,A101,'資格研修記録'!$D$5:$D$1004,"小型船舶1級",'資格研修記録'!$F$5:$F$1004,"&gt;="&amp;TODAY()))&gt;0,"1級",IF((COUNTIFS('資格研修記録'!$A$5:$A$1004,A101,'資格研修記録'!$D$5:$D$1004,"小型船舶2級",'資格研修記録'!$F$5:$F$1004,"")+COUNTIFS('資格研修記録'!$A$5:$A$1004,A101,'資格研修記録'!$D$5:$D$1004,"小型船舶2級",'資格研修記録'!$F$5:$F$1004,"&gt;="&amp;TODAY()))&gt;0,"2級",IF(COUNTIFS('資格研修記録'!$A$5:$A$1004,A101,'資格研修記録'!$D$5:$D$1004,"小型船舶1級")+COUNTIFS('資格研修記録'!$A$5:$A$1004,A101,'資格研修記録'!$D$5:$D$1004,"小型船舶2級")&gt;0,"× 1・2級 期限切れ",""))),IF((COUNTIFS('資格研修記録'!$A$5:$A$1004,A101,'資格研修記録'!$D$5:$D$1004,"小型船舶特殊",'資格研修記録'!$F$5:$F$1004,"")+COUNTIFS('資格研修記録'!$A$5:$A$1004,A101,'資格研修記録'!$D$5:$D$1004,"小型船舶特殊",'資格研修記録'!$F$5:$F$1004,"&gt;="&amp;TODAY()))&gt;0,"特殊",IF(COUNTIFS('資格研修記録'!$A$5:$A$1004,A101,'資格研修記録'!$D$5:$D$1004,"小型船舶特殊")&gt;0,"× 特殊 期限切れ","")))))</f>
        <v/>
      </c>
      <c r="H101" s="15">
        <f>IF(A101="","",COUNTIFS('潜水記録'!$B$5:$B$3004,A101,'潜水記録'!$AF$5:$AF$3004,$D$2))</f>
        <v/>
      </c>
      <c r="I101" s="15">
        <f>IF(A101="","",COUNTIF('潜水記録'!$B$5:$B$3004,A101))</f>
        <v/>
      </c>
      <c r="J101" s="15">
        <f>IF(A101="","",SUMIF('潜水記録'!$B$5:$B$3004,A101,'潜水記録'!$H$5:$H$3004))</f>
        <v/>
      </c>
      <c r="K101" s="15">
        <f>IF(A101="","",IF(I101=0,"",_xlfn.MAXIFS('潜水記録'!$G$5:$G$3004,'潜水記録'!$B$5:$B$3004,A101)))</f>
        <v/>
      </c>
      <c r="L101" s="16">
        <f>IF(A101="","",IF(I101=0,"",_xlfn.MAXIFS('潜水記録'!$A$5:$A$3004,'潜水記録'!$B$5:$B$3004,A101)))</f>
        <v/>
      </c>
      <c r="M101" s="15">
        <f>IF(L101="","",$B$2-L101)</f>
        <v/>
      </c>
    </row>
    <row r="102">
      <c r="A102" s="14">
        <f>IF('隊員マスタ'!A99="","",'隊員マスタ'!A99)</f>
        <v/>
      </c>
      <c r="B102" s="14">
        <f>IF(A102="","",'隊員マスタ'!B99)</f>
        <v/>
      </c>
      <c r="C102" s="14">
        <f>IF(A102="","",'隊員マスタ'!C99)</f>
        <v/>
      </c>
      <c r="D102" s="15">
        <f>IF(A102="","",'隊員マスタ'!D99)</f>
        <v/>
      </c>
      <c r="E102" s="15">
        <f>IF(A102="","",IF(COUNTIFS('資格研修記録'!$A$5:$A$1004,A102,'資格研修記録'!$D$5:$D$1004,"潜水士免許")&gt;0,"有","無"))</f>
        <v/>
      </c>
      <c r="F102" s="15">
        <f>IF(A102="","",IF(COUNTIFS('資格研修記録'!$A$5:$A$1004,A102,'資格研修記録'!$D$5:$D$1004,"水難救助研修")&gt;0,"修了","—"))</f>
        <v/>
      </c>
      <c r="G102" s="14">
        <f>IF(A102="","",IF((IF((COUNTIFS('資格研修記録'!$A$5:$A$1004,A102,'資格研修記録'!$D$5:$D$1004,"小型船舶1級",'資格研修記録'!$F$5:$F$1004,"")+COUNTIFS('資格研修記録'!$A$5:$A$1004,A102,'資格研修記録'!$D$5:$D$1004,"小型船舶1級",'資格研修記録'!$F$5:$F$1004,"&gt;="&amp;TODAY()))&gt;0,"1級",IF((COUNTIFS('資格研修記録'!$A$5:$A$1004,A102,'資格研修記録'!$D$5:$D$1004,"小型船舶2級",'資格研修記録'!$F$5:$F$1004,"")+COUNTIFS('資格研修記録'!$A$5:$A$1004,A102,'資格研修記録'!$D$5:$D$1004,"小型船舶2級",'資格研修記録'!$F$5:$F$1004,"&gt;="&amp;TODAY()))&gt;0,"2級",IF(COUNTIFS('資格研修記録'!$A$5:$A$1004,A102,'資格研修記録'!$D$5:$D$1004,"小型船舶1級")+COUNTIFS('資格研修記録'!$A$5:$A$1004,A102,'資格研修記録'!$D$5:$D$1004,"小型船舶2級")&gt;0,"× 1・2級 期限切れ",""))))&amp;(IF((COUNTIFS('資格研修記録'!$A$5:$A$1004,A102,'資格研修記録'!$D$5:$D$1004,"小型船舶特殊",'資格研修記録'!$F$5:$F$1004,"")+COUNTIFS('資格研修記録'!$A$5:$A$1004,A102,'資格研修記録'!$D$5:$D$1004,"小型船舶特殊",'資格研修記録'!$F$5:$F$1004,"&gt;="&amp;TODAY()))&gt;0,"特殊",IF(COUNTIFS('資格研修記録'!$A$5:$A$1004,A102,'資格研修記録'!$D$5:$D$1004,"小型船舶特殊")&gt;0,"× 特殊 期限切れ","")))="","—",_xlfn.TEXTJOIN("・",TRUE,IF((COUNTIFS('資格研修記録'!$A$5:$A$1004,A102,'資格研修記録'!$D$5:$D$1004,"小型船舶1級",'資格研修記録'!$F$5:$F$1004,"")+COUNTIFS('資格研修記録'!$A$5:$A$1004,A102,'資格研修記録'!$D$5:$D$1004,"小型船舶1級",'資格研修記録'!$F$5:$F$1004,"&gt;="&amp;TODAY()))&gt;0,"1級",IF((COUNTIFS('資格研修記録'!$A$5:$A$1004,A102,'資格研修記録'!$D$5:$D$1004,"小型船舶2級",'資格研修記録'!$F$5:$F$1004,"")+COUNTIFS('資格研修記録'!$A$5:$A$1004,A102,'資格研修記録'!$D$5:$D$1004,"小型船舶2級",'資格研修記録'!$F$5:$F$1004,"&gt;="&amp;TODAY()))&gt;0,"2級",IF(COUNTIFS('資格研修記録'!$A$5:$A$1004,A102,'資格研修記録'!$D$5:$D$1004,"小型船舶1級")+COUNTIFS('資格研修記録'!$A$5:$A$1004,A102,'資格研修記録'!$D$5:$D$1004,"小型船舶2級")&gt;0,"× 1・2級 期限切れ",""))),IF((COUNTIFS('資格研修記録'!$A$5:$A$1004,A102,'資格研修記録'!$D$5:$D$1004,"小型船舶特殊",'資格研修記録'!$F$5:$F$1004,"")+COUNTIFS('資格研修記録'!$A$5:$A$1004,A102,'資格研修記録'!$D$5:$D$1004,"小型船舶特殊",'資格研修記録'!$F$5:$F$1004,"&gt;="&amp;TODAY()))&gt;0,"特殊",IF(COUNTIFS('資格研修記録'!$A$5:$A$1004,A102,'資格研修記録'!$D$5:$D$1004,"小型船舶特殊")&gt;0,"× 特殊 期限切れ","")))))</f>
        <v/>
      </c>
      <c r="H102" s="15">
        <f>IF(A102="","",COUNTIFS('潜水記録'!$B$5:$B$3004,A102,'潜水記録'!$AF$5:$AF$3004,$D$2))</f>
        <v/>
      </c>
      <c r="I102" s="15">
        <f>IF(A102="","",COUNTIF('潜水記録'!$B$5:$B$3004,A102))</f>
        <v/>
      </c>
      <c r="J102" s="15">
        <f>IF(A102="","",SUMIF('潜水記録'!$B$5:$B$3004,A102,'潜水記録'!$H$5:$H$3004))</f>
        <v/>
      </c>
      <c r="K102" s="15">
        <f>IF(A102="","",IF(I102=0,"",_xlfn.MAXIFS('潜水記録'!$G$5:$G$3004,'潜水記録'!$B$5:$B$3004,A102)))</f>
        <v/>
      </c>
      <c r="L102" s="16">
        <f>IF(A102="","",IF(I102=0,"",_xlfn.MAXIFS('潜水記録'!$A$5:$A$3004,'潜水記録'!$B$5:$B$3004,A102)))</f>
        <v/>
      </c>
      <c r="M102" s="15">
        <f>IF(L102="","",$B$2-L102)</f>
        <v/>
      </c>
    </row>
    <row r="103">
      <c r="A103" s="14">
        <f>IF('隊員マスタ'!A100="","",'隊員マスタ'!A100)</f>
        <v/>
      </c>
      <c r="B103" s="14">
        <f>IF(A103="","",'隊員マスタ'!B100)</f>
        <v/>
      </c>
      <c r="C103" s="14">
        <f>IF(A103="","",'隊員マスタ'!C100)</f>
        <v/>
      </c>
      <c r="D103" s="15">
        <f>IF(A103="","",'隊員マスタ'!D100)</f>
        <v/>
      </c>
      <c r="E103" s="15">
        <f>IF(A103="","",IF(COUNTIFS('資格研修記録'!$A$5:$A$1004,A103,'資格研修記録'!$D$5:$D$1004,"潜水士免許")&gt;0,"有","無"))</f>
        <v/>
      </c>
      <c r="F103" s="15">
        <f>IF(A103="","",IF(COUNTIFS('資格研修記録'!$A$5:$A$1004,A103,'資格研修記録'!$D$5:$D$1004,"水難救助研修")&gt;0,"修了","—"))</f>
        <v/>
      </c>
      <c r="G103" s="14">
        <f>IF(A103="","",IF((IF((COUNTIFS('資格研修記録'!$A$5:$A$1004,A103,'資格研修記録'!$D$5:$D$1004,"小型船舶1級",'資格研修記録'!$F$5:$F$1004,"")+COUNTIFS('資格研修記録'!$A$5:$A$1004,A103,'資格研修記録'!$D$5:$D$1004,"小型船舶1級",'資格研修記録'!$F$5:$F$1004,"&gt;="&amp;TODAY()))&gt;0,"1級",IF((COUNTIFS('資格研修記録'!$A$5:$A$1004,A103,'資格研修記録'!$D$5:$D$1004,"小型船舶2級",'資格研修記録'!$F$5:$F$1004,"")+COUNTIFS('資格研修記録'!$A$5:$A$1004,A103,'資格研修記録'!$D$5:$D$1004,"小型船舶2級",'資格研修記録'!$F$5:$F$1004,"&gt;="&amp;TODAY()))&gt;0,"2級",IF(COUNTIFS('資格研修記録'!$A$5:$A$1004,A103,'資格研修記録'!$D$5:$D$1004,"小型船舶1級")+COUNTIFS('資格研修記録'!$A$5:$A$1004,A103,'資格研修記録'!$D$5:$D$1004,"小型船舶2級")&gt;0,"× 1・2級 期限切れ",""))))&amp;(IF((COUNTIFS('資格研修記録'!$A$5:$A$1004,A103,'資格研修記録'!$D$5:$D$1004,"小型船舶特殊",'資格研修記録'!$F$5:$F$1004,"")+COUNTIFS('資格研修記録'!$A$5:$A$1004,A103,'資格研修記録'!$D$5:$D$1004,"小型船舶特殊",'資格研修記録'!$F$5:$F$1004,"&gt;="&amp;TODAY()))&gt;0,"特殊",IF(COUNTIFS('資格研修記録'!$A$5:$A$1004,A103,'資格研修記録'!$D$5:$D$1004,"小型船舶特殊")&gt;0,"× 特殊 期限切れ","")))="","—",_xlfn.TEXTJOIN("・",TRUE,IF((COUNTIFS('資格研修記録'!$A$5:$A$1004,A103,'資格研修記録'!$D$5:$D$1004,"小型船舶1級",'資格研修記録'!$F$5:$F$1004,"")+COUNTIFS('資格研修記録'!$A$5:$A$1004,A103,'資格研修記録'!$D$5:$D$1004,"小型船舶1級",'資格研修記録'!$F$5:$F$1004,"&gt;="&amp;TODAY()))&gt;0,"1級",IF((COUNTIFS('資格研修記録'!$A$5:$A$1004,A103,'資格研修記録'!$D$5:$D$1004,"小型船舶2級",'資格研修記録'!$F$5:$F$1004,"")+COUNTIFS('資格研修記録'!$A$5:$A$1004,A103,'資格研修記録'!$D$5:$D$1004,"小型船舶2級",'資格研修記録'!$F$5:$F$1004,"&gt;="&amp;TODAY()))&gt;0,"2級",IF(COUNTIFS('資格研修記録'!$A$5:$A$1004,A103,'資格研修記録'!$D$5:$D$1004,"小型船舶1級")+COUNTIFS('資格研修記録'!$A$5:$A$1004,A103,'資格研修記録'!$D$5:$D$1004,"小型船舶2級")&gt;0,"× 1・2級 期限切れ",""))),IF((COUNTIFS('資格研修記録'!$A$5:$A$1004,A103,'資格研修記録'!$D$5:$D$1004,"小型船舶特殊",'資格研修記録'!$F$5:$F$1004,"")+COUNTIFS('資格研修記録'!$A$5:$A$1004,A103,'資格研修記録'!$D$5:$D$1004,"小型船舶特殊",'資格研修記録'!$F$5:$F$1004,"&gt;="&amp;TODAY()))&gt;0,"特殊",IF(COUNTIFS('資格研修記録'!$A$5:$A$1004,A103,'資格研修記録'!$D$5:$D$1004,"小型船舶特殊")&gt;0,"× 特殊 期限切れ","")))))</f>
        <v/>
      </c>
      <c r="H103" s="15">
        <f>IF(A103="","",COUNTIFS('潜水記録'!$B$5:$B$3004,A103,'潜水記録'!$AF$5:$AF$3004,$D$2))</f>
        <v/>
      </c>
      <c r="I103" s="15">
        <f>IF(A103="","",COUNTIF('潜水記録'!$B$5:$B$3004,A103))</f>
        <v/>
      </c>
      <c r="J103" s="15">
        <f>IF(A103="","",SUMIF('潜水記録'!$B$5:$B$3004,A103,'潜水記録'!$H$5:$H$3004))</f>
        <v/>
      </c>
      <c r="K103" s="15">
        <f>IF(A103="","",IF(I103=0,"",_xlfn.MAXIFS('潜水記録'!$G$5:$G$3004,'潜水記録'!$B$5:$B$3004,A103)))</f>
        <v/>
      </c>
      <c r="L103" s="16">
        <f>IF(A103="","",IF(I103=0,"",_xlfn.MAXIFS('潜水記録'!$A$5:$A$3004,'潜水記録'!$B$5:$B$3004,A103)))</f>
        <v/>
      </c>
      <c r="M103" s="15">
        <f>IF(L103="","",$B$2-L103)</f>
        <v/>
      </c>
    </row>
    <row r="104">
      <c r="A104" s="14">
        <f>IF('隊員マスタ'!A101="","",'隊員マスタ'!A101)</f>
        <v/>
      </c>
      <c r="B104" s="14">
        <f>IF(A104="","",'隊員マスタ'!B101)</f>
        <v/>
      </c>
      <c r="C104" s="14">
        <f>IF(A104="","",'隊員マスタ'!C101)</f>
        <v/>
      </c>
      <c r="D104" s="15">
        <f>IF(A104="","",'隊員マスタ'!D101)</f>
        <v/>
      </c>
      <c r="E104" s="15">
        <f>IF(A104="","",IF(COUNTIFS('資格研修記録'!$A$5:$A$1004,A104,'資格研修記録'!$D$5:$D$1004,"潜水士免許")&gt;0,"有","無"))</f>
        <v/>
      </c>
      <c r="F104" s="15">
        <f>IF(A104="","",IF(COUNTIFS('資格研修記録'!$A$5:$A$1004,A104,'資格研修記録'!$D$5:$D$1004,"水難救助研修")&gt;0,"修了","—"))</f>
        <v/>
      </c>
      <c r="G104" s="14">
        <f>IF(A104="","",IF((IF((COUNTIFS('資格研修記録'!$A$5:$A$1004,A104,'資格研修記録'!$D$5:$D$1004,"小型船舶1級",'資格研修記録'!$F$5:$F$1004,"")+COUNTIFS('資格研修記録'!$A$5:$A$1004,A104,'資格研修記録'!$D$5:$D$1004,"小型船舶1級",'資格研修記録'!$F$5:$F$1004,"&gt;="&amp;TODAY()))&gt;0,"1級",IF((COUNTIFS('資格研修記録'!$A$5:$A$1004,A104,'資格研修記録'!$D$5:$D$1004,"小型船舶2級",'資格研修記録'!$F$5:$F$1004,"")+COUNTIFS('資格研修記録'!$A$5:$A$1004,A104,'資格研修記録'!$D$5:$D$1004,"小型船舶2級",'資格研修記録'!$F$5:$F$1004,"&gt;="&amp;TODAY()))&gt;0,"2級",IF(COUNTIFS('資格研修記録'!$A$5:$A$1004,A104,'資格研修記録'!$D$5:$D$1004,"小型船舶1級")+COUNTIFS('資格研修記録'!$A$5:$A$1004,A104,'資格研修記録'!$D$5:$D$1004,"小型船舶2級")&gt;0,"× 1・2級 期限切れ",""))))&amp;(IF((COUNTIFS('資格研修記録'!$A$5:$A$1004,A104,'資格研修記録'!$D$5:$D$1004,"小型船舶特殊",'資格研修記録'!$F$5:$F$1004,"")+COUNTIFS('資格研修記録'!$A$5:$A$1004,A104,'資格研修記録'!$D$5:$D$1004,"小型船舶特殊",'資格研修記録'!$F$5:$F$1004,"&gt;="&amp;TODAY()))&gt;0,"特殊",IF(COUNTIFS('資格研修記録'!$A$5:$A$1004,A104,'資格研修記録'!$D$5:$D$1004,"小型船舶特殊")&gt;0,"× 特殊 期限切れ","")))="","—",_xlfn.TEXTJOIN("・",TRUE,IF((COUNTIFS('資格研修記録'!$A$5:$A$1004,A104,'資格研修記録'!$D$5:$D$1004,"小型船舶1級",'資格研修記録'!$F$5:$F$1004,"")+COUNTIFS('資格研修記録'!$A$5:$A$1004,A104,'資格研修記録'!$D$5:$D$1004,"小型船舶1級",'資格研修記録'!$F$5:$F$1004,"&gt;="&amp;TODAY()))&gt;0,"1級",IF((COUNTIFS('資格研修記録'!$A$5:$A$1004,A104,'資格研修記録'!$D$5:$D$1004,"小型船舶2級",'資格研修記録'!$F$5:$F$1004,"")+COUNTIFS('資格研修記録'!$A$5:$A$1004,A104,'資格研修記録'!$D$5:$D$1004,"小型船舶2級",'資格研修記録'!$F$5:$F$1004,"&gt;="&amp;TODAY()))&gt;0,"2級",IF(COUNTIFS('資格研修記録'!$A$5:$A$1004,A104,'資格研修記録'!$D$5:$D$1004,"小型船舶1級")+COUNTIFS('資格研修記録'!$A$5:$A$1004,A104,'資格研修記録'!$D$5:$D$1004,"小型船舶2級")&gt;0,"× 1・2級 期限切れ",""))),IF((COUNTIFS('資格研修記録'!$A$5:$A$1004,A104,'資格研修記録'!$D$5:$D$1004,"小型船舶特殊",'資格研修記録'!$F$5:$F$1004,"")+COUNTIFS('資格研修記録'!$A$5:$A$1004,A104,'資格研修記録'!$D$5:$D$1004,"小型船舶特殊",'資格研修記録'!$F$5:$F$1004,"&gt;="&amp;TODAY()))&gt;0,"特殊",IF(COUNTIFS('資格研修記録'!$A$5:$A$1004,A104,'資格研修記録'!$D$5:$D$1004,"小型船舶特殊")&gt;0,"× 特殊 期限切れ","")))))</f>
        <v/>
      </c>
      <c r="H104" s="15">
        <f>IF(A104="","",COUNTIFS('潜水記録'!$B$5:$B$3004,A104,'潜水記録'!$AF$5:$AF$3004,$D$2))</f>
        <v/>
      </c>
      <c r="I104" s="15">
        <f>IF(A104="","",COUNTIF('潜水記録'!$B$5:$B$3004,A104))</f>
        <v/>
      </c>
      <c r="J104" s="15">
        <f>IF(A104="","",SUMIF('潜水記録'!$B$5:$B$3004,A104,'潜水記録'!$H$5:$H$3004))</f>
        <v/>
      </c>
      <c r="K104" s="15">
        <f>IF(A104="","",IF(I104=0,"",_xlfn.MAXIFS('潜水記録'!$G$5:$G$3004,'潜水記録'!$B$5:$B$3004,A104)))</f>
        <v/>
      </c>
      <c r="L104" s="16">
        <f>IF(A104="","",IF(I104=0,"",_xlfn.MAXIFS('潜水記録'!$A$5:$A$3004,'潜水記録'!$B$5:$B$3004,A104)))</f>
        <v/>
      </c>
      <c r="M104" s="15">
        <f>IF(L104="","",$B$2-L104)</f>
        <v/>
      </c>
    </row>
    <row r="105">
      <c r="A105" s="14">
        <f>IF('隊員マスタ'!A102="","",'隊員マスタ'!A102)</f>
        <v/>
      </c>
      <c r="B105" s="14">
        <f>IF(A105="","",'隊員マスタ'!B102)</f>
        <v/>
      </c>
      <c r="C105" s="14">
        <f>IF(A105="","",'隊員マスタ'!C102)</f>
        <v/>
      </c>
      <c r="D105" s="15">
        <f>IF(A105="","",'隊員マスタ'!D102)</f>
        <v/>
      </c>
      <c r="E105" s="15">
        <f>IF(A105="","",IF(COUNTIFS('資格研修記録'!$A$5:$A$1004,A105,'資格研修記録'!$D$5:$D$1004,"潜水士免許")&gt;0,"有","無"))</f>
        <v/>
      </c>
      <c r="F105" s="15">
        <f>IF(A105="","",IF(COUNTIFS('資格研修記録'!$A$5:$A$1004,A105,'資格研修記録'!$D$5:$D$1004,"水難救助研修")&gt;0,"修了","—"))</f>
        <v/>
      </c>
      <c r="G105" s="14">
        <f>IF(A105="","",IF((IF((COUNTIFS('資格研修記録'!$A$5:$A$1004,A105,'資格研修記録'!$D$5:$D$1004,"小型船舶1級",'資格研修記録'!$F$5:$F$1004,"")+COUNTIFS('資格研修記録'!$A$5:$A$1004,A105,'資格研修記録'!$D$5:$D$1004,"小型船舶1級",'資格研修記録'!$F$5:$F$1004,"&gt;="&amp;TODAY()))&gt;0,"1級",IF((COUNTIFS('資格研修記録'!$A$5:$A$1004,A105,'資格研修記録'!$D$5:$D$1004,"小型船舶2級",'資格研修記録'!$F$5:$F$1004,"")+COUNTIFS('資格研修記録'!$A$5:$A$1004,A105,'資格研修記録'!$D$5:$D$1004,"小型船舶2級",'資格研修記録'!$F$5:$F$1004,"&gt;="&amp;TODAY()))&gt;0,"2級",IF(COUNTIFS('資格研修記録'!$A$5:$A$1004,A105,'資格研修記録'!$D$5:$D$1004,"小型船舶1級")+COUNTIFS('資格研修記録'!$A$5:$A$1004,A105,'資格研修記録'!$D$5:$D$1004,"小型船舶2級")&gt;0,"× 1・2級 期限切れ",""))))&amp;(IF((COUNTIFS('資格研修記録'!$A$5:$A$1004,A105,'資格研修記録'!$D$5:$D$1004,"小型船舶特殊",'資格研修記録'!$F$5:$F$1004,"")+COUNTIFS('資格研修記録'!$A$5:$A$1004,A105,'資格研修記録'!$D$5:$D$1004,"小型船舶特殊",'資格研修記録'!$F$5:$F$1004,"&gt;="&amp;TODAY()))&gt;0,"特殊",IF(COUNTIFS('資格研修記録'!$A$5:$A$1004,A105,'資格研修記録'!$D$5:$D$1004,"小型船舶特殊")&gt;0,"× 特殊 期限切れ","")))="","—",_xlfn.TEXTJOIN("・",TRUE,IF((COUNTIFS('資格研修記録'!$A$5:$A$1004,A105,'資格研修記録'!$D$5:$D$1004,"小型船舶1級",'資格研修記録'!$F$5:$F$1004,"")+COUNTIFS('資格研修記録'!$A$5:$A$1004,A105,'資格研修記録'!$D$5:$D$1004,"小型船舶1級",'資格研修記録'!$F$5:$F$1004,"&gt;="&amp;TODAY()))&gt;0,"1級",IF((COUNTIFS('資格研修記録'!$A$5:$A$1004,A105,'資格研修記録'!$D$5:$D$1004,"小型船舶2級",'資格研修記録'!$F$5:$F$1004,"")+COUNTIFS('資格研修記録'!$A$5:$A$1004,A105,'資格研修記録'!$D$5:$D$1004,"小型船舶2級",'資格研修記録'!$F$5:$F$1004,"&gt;="&amp;TODAY()))&gt;0,"2級",IF(COUNTIFS('資格研修記録'!$A$5:$A$1004,A105,'資格研修記録'!$D$5:$D$1004,"小型船舶1級")+COUNTIFS('資格研修記録'!$A$5:$A$1004,A105,'資格研修記録'!$D$5:$D$1004,"小型船舶2級")&gt;0,"× 1・2級 期限切れ",""))),IF((COUNTIFS('資格研修記録'!$A$5:$A$1004,A105,'資格研修記録'!$D$5:$D$1004,"小型船舶特殊",'資格研修記録'!$F$5:$F$1004,"")+COUNTIFS('資格研修記録'!$A$5:$A$1004,A105,'資格研修記録'!$D$5:$D$1004,"小型船舶特殊",'資格研修記録'!$F$5:$F$1004,"&gt;="&amp;TODAY()))&gt;0,"特殊",IF(COUNTIFS('資格研修記録'!$A$5:$A$1004,A105,'資格研修記録'!$D$5:$D$1004,"小型船舶特殊")&gt;0,"× 特殊 期限切れ","")))))</f>
        <v/>
      </c>
      <c r="H105" s="15">
        <f>IF(A105="","",COUNTIFS('潜水記録'!$B$5:$B$3004,A105,'潜水記録'!$AF$5:$AF$3004,$D$2))</f>
        <v/>
      </c>
      <c r="I105" s="15">
        <f>IF(A105="","",COUNTIF('潜水記録'!$B$5:$B$3004,A105))</f>
        <v/>
      </c>
      <c r="J105" s="15">
        <f>IF(A105="","",SUMIF('潜水記録'!$B$5:$B$3004,A105,'潜水記録'!$H$5:$H$3004))</f>
        <v/>
      </c>
      <c r="K105" s="15">
        <f>IF(A105="","",IF(I105=0,"",_xlfn.MAXIFS('潜水記録'!$G$5:$G$3004,'潜水記録'!$B$5:$B$3004,A105)))</f>
        <v/>
      </c>
      <c r="L105" s="16">
        <f>IF(A105="","",IF(I105=0,"",_xlfn.MAXIFS('潜水記録'!$A$5:$A$3004,'潜水記録'!$B$5:$B$3004,A105)))</f>
        <v/>
      </c>
      <c r="M105" s="15">
        <f>IF(L105="","",$B$2-L105)</f>
        <v/>
      </c>
    </row>
    <row r="106">
      <c r="A106" s="14">
        <f>IF('隊員マスタ'!A103="","",'隊員マスタ'!A103)</f>
        <v/>
      </c>
      <c r="B106" s="14">
        <f>IF(A106="","",'隊員マスタ'!B103)</f>
        <v/>
      </c>
      <c r="C106" s="14">
        <f>IF(A106="","",'隊員マスタ'!C103)</f>
        <v/>
      </c>
      <c r="D106" s="15">
        <f>IF(A106="","",'隊員マスタ'!D103)</f>
        <v/>
      </c>
      <c r="E106" s="15">
        <f>IF(A106="","",IF(COUNTIFS('資格研修記録'!$A$5:$A$1004,A106,'資格研修記録'!$D$5:$D$1004,"潜水士免許")&gt;0,"有","無"))</f>
        <v/>
      </c>
      <c r="F106" s="15">
        <f>IF(A106="","",IF(COUNTIFS('資格研修記録'!$A$5:$A$1004,A106,'資格研修記録'!$D$5:$D$1004,"水難救助研修")&gt;0,"修了","—"))</f>
        <v/>
      </c>
      <c r="G106" s="14">
        <f>IF(A106="","",IF((IF((COUNTIFS('資格研修記録'!$A$5:$A$1004,A106,'資格研修記録'!$D$5:$D$1004,"小型船舶1級",'資格研修記録'!$F$5:$F$1004,"")+COUNTIFS('資格研修記録'!$A$5:$A$1004,A106,'資格研修記録'!$D$5:$D$1004,"小型船舶1級",'資格研修記録'!$F$5:$F$1004,"&gt;="&amp;TODAY()))&gt;0,"1級",IF((COUNTIFS('資格研修記録'!$A$5:$A$1004,A106,'資格研修記録'!$D$5:$D$1004,"小型船舶2級",'資格研修記録'!$F$5:$F$1004,"")+COUNTIFS('資格研修記録'!$A$5:$A$1004,A106,'資格研修記録'!$D$5:$D$1004,"小型船舶2級",'資格研修記録'!$F$5:$F$1004,"&gt;="&amp;TODAY()))&gt;0,"2級",IF(COUNTIFS('資格研修記録'!$A$5:$A$1004,A106,'資格研修記録'!$D$5:$D$1004,"小型船舶1級")+COUNTIFS('資格研修記録'!$A$5:$A$1004,A106,'資格研修記録'!$D$5:$D$1004,"小型船舶2級")&gt;0,"× 1・2級 期限切れ",""))))&amp;(IF((COUNTIFS('資格研修記録'!$A$5:$A$1004,A106,'資格研修記録'!$D$5:$D$1004,"小型船舶特殊",'資格研修記録'!$F$5:$F$1004,"")+COUNTIFS('資格研修記録'!$A$5:$A$1004,A106,'資格研修記録'!$D$5:$D$1004,"小型船舶特殊",'資格研修記録'!$F$5:$F$1004,"&gt;="&amp;TODAY()))&gt;0,"特殊",IF(COUNTIFS('資格研修記録'!$A$5:$A$1004,A106,'資格研修記録'!$D$5:$D$1004,"小型船舶特殊")&gt;0,"× 特殊 期限切れ","")))="","—",_xlfn.TEXTJOIN("・",TRUE,IF((COUNTIFS('資格研修記録'!$A$5:$A$1004,A106,'資格研修記録'!$D$5:$D$1004,"小型船舶1級",'資格研修記録'!$F$5:$F$1004,"")+COUNTIFS('資格研修記録'!$A$5:$A$1004,A106,'資格研修記録'!$D$5:$D$1004,"小型船舶1級",'資格研修記録'!$F$5:$F$1004,"&gt;="&amp;TODAY()))&gt;0,"1級",IF((COUNTIFS('資格研修記録'!$A$5:$A$1004,A106,'資格研修記録'!$D$5:$D$1004,"小型船舶2級",'資格研修記録'!$F$5:$F$1004,"")+COUNTIFS('資格研修記録'!$A$5:$A$1004,A106,'資格研修記録'!$D$5:$D$1004,"小型船舶2級",'資格研修記録'!$F$5:$F$1004,"&gt;="&amp;TODAY()))&gt;0,"2級",IF(COUNTIFS('資格研修記録'!$A$5:$A$1004,A106,'資格研修記録'!$D$5:$D$1004,"小型船舶1級")+COUNTIFS('資格研修記録'!$A$5:$A$1004,A106,'資格研修記録'!$D$5:$D$1004,"小型船舶2級")&gt;0,"× 1・2級 期限切れ",""))),IF((COUNTIFS('資格研修記録'!$A$5:$A$1004,A106,'資格研修記録'!$D$5:$D$1004,"小型船舶特殊",'資格研修記録'!$F$5:$F$1004,"")+COUNTIFS('資格研修記録'!$A$5:$A$1004,A106,'資格研修記録'!$D$5:$D$1004,"小型船舶特殊",'資格研修記録'!$F$5:$F$1004,"&gt;="&amp;TODAY()))&gt;0,"特殊",IF(COUNTIFS('資格研修記録'!$A$5:$A$1004,A106,'資格研修記録'!$D$5:$D$1004,"小型船舶特殊")&gt;0,"× 特殊 期限切れ","")))))</f>
        <v/>
      </c>
      <c r="H106" s="15">
        <f>IF(A106="","",COUNTIFS('潜水記録'!$B$5:$B$3004,A106,'潜水記録'!$AF$5:$AF$3004,$D$2))</f>
        <v/>
      </c>
      <c r="I106" s="15">
        <f>IF(A106="","",COUNTIF('潜水記録'!$B$5:$B$3004,A106))</f>
        <v/>
      </c>
      <c r="J106" s="15">
        <f>IF(A106="","",SUMIF('潜水記録'!$B$5:$B$3004,A106,'潜水記録'!$H$5:$H$3004))</f>
        <v/>
      </c>
      <c r="K106" s="15">
        <f>IF(A106="","",IF(I106=0,"",_xlfn.MAXIFS('潜水記録'!$G$5:$G$3004,'潜水記録'!$B$5:$B$3004,A106)))</f>
        <v/>
      </c>
      <c r="L106" s="16">
        <f>IF(A106="","",IF(I106=0,"",_xlfn.MAXIFS('潜水記録'!$A$5:$A$3004,'潜水記録'!$B$5:$B$3004,A106)))</f>
        <v/>
      </c>
      <c r="M106" s="15">
        <f>IF(L106="","",$B$2-L106)</f>
        <v/>
      </c>
    </row>
    <row r="107">
      <c r="A107" s="14">
        <f>IF('隊員マスタ'!A104="","",'隊員マスタ'!A104)</f>
        <v/>
      </c>
      <c r="B107" s="14">
        <f>IF(A107="","",'隊員マスタ'!B104)</f>
        <v/>
      </c>
      <c r="C107" s="14">
        <f>IF(A107="","",'隊員マスタ'!C104)</f>
        <v/>
      </c>
      <c r="D107" s="15">
        <f>IF(A107="","",'隊員マスタ'!D104)</f>
        <v/>
      </c>
      <c r="E107" s="15">
        <f>IF(A107="","",IF(COUNTIFS('資格研修記録'!$A$5:$A$1004,A107,'資格研修記録'!$D$5:$D$1004,"潜水士免許")&gt;0,"有","無"))</f>
        <v/>
      </c>
      <c r="F107" s="15">
        <f>IF(A107="","",IF(COUNTIFS('資格研修記録'!$A$5:$A$1004,A107,'資格研修記録'!$D$5:$D$1004,"水難救助研修")&gt;0,"修了","—"))</f>
        <v/>
      </c>
      <c r="G107" s="14">
        <f>IF(A107="","",IF((IF((COUNTIFS('資格研修記録'!$A$5:$A$1004,A107,'資格研修記録'!$D$5:$D$1004,"小型船舶1級",'資格研修記録'!$F$5:$F$1004,"")+COUNTIFS('資格研修記録'!$A$5:$A$1004,A107,'資格研修記録'!$D$5:$D$1004,"小型船舶1級",'資格研修記録'!$F$5:$F$1004,"&gt;="&amp;TODAY()))&gt;0,"1級",IF((COUNTIFS('資格研修記録'!$A$5:$A$1004,A107,'資格研修記録'!$D$5:$D$1004,"小型船舶2級",'資格研修記録'!$F$5:$F$1004,"")+COUNTIFS('資格研修記録'!$A$5:$A$1004,A107,'資格研修記録'!$D$5:$D$1004,"小型船舶2級",'資格研修記録'!$F$5:$F$1004,"&gt;="&amp;TODAY()))&gt;0,"2級",IF(COUNTIFS('資格研修記録'!$A$5:$A$1004,A107,'資格研修記録'!$D$5:$D$1004,"小型船舶1級")+COUNTIFS('資格研修記録'!$A$5:$A$1004,A107,'資格研修記録'!$D$5:$D$1004,"小型船舶2級")&gt;0,"× 1・2級 期限切れ",""))))&amp;(IF((COUNTIFS('資格研修記録'!$A$5:$A$1004,A107,'資格研修記録'!$D$5:$D$1004,"小型船舶特殊",'資格研修記録'!$F$5:$F$1004,"")+COUNTIFS('資格研修記録'!$A$5:$A$1004,A107,'資格研修記録'!$D$5:$D$1004,"小型船舶特殊",'資格研修記録'!$F$5:$F$1004,"&gt;="&amp;TODAY()))&gt;0,"特殊",IF(COUNTIFS('資格研修記録'!$A$5:$A$1004,A107,'資格研修記録'!$D$5:$D$1004,"小型船舶特殊")&gt;0,"× 特殊 期限切れ","")))="","—",_xlfn.TEXTJOIN("・",TRUE,IF((COUNTIFS('資格研修記録'!$A$5:$A$1004,A107,'資格研修記録'!$D$5:$D$1004,"小型船舶1級",'資格研修記録'!$F$5:$F$1004,"")+COUNTIFS('資格研修記録'!$A$5:$A$1004,A107,'資格研修記録'!$D$5:$D$1004,"小型船舶1級",'資格研修記録'!$F$5:$F$1004,"&gt;="&amp;TODAY()))&gt;0,"1級",IF((COUNTIFS('資格研修記録'!$A$5:$A$1004,A107,'資格研修記録'!$D$5:$D$1004,"小型船舶2級",'資格研修記録'!$F$5:$F$1004,"")+COUNTIFS('資格研修記録'!$A$5:$A$1004,A107,'資格研修記録'!$D$5:$D$1004,"小型船舶2級",'資格研修記録'!$F$5:$F$1004,"&gt;="&amp;TODAY()))&gt;0,"2級",IF(COUNTIFS('資格研修記録'!$A$5:$A$1004,A107,'資格研修記録'!$D$5:$D$1004,"小型船舶1級")+COUNTIFS('資格研修記録'!$A$5:$A$1004,A107,'資格研修記録'!$D$5:$D$1004,"小型船舶2級")&gt;0,"× 1・2級 期限切れ",""))),IF((COUNTIFS('資格研修記録'!$A$5:$A$1004,A107,'資格研修記録'!$D$5:$D$1004,"小型船舶特殊",'資格研修記録'!$F$5:$F$1004,"")+COUNTIFS('資格研修記録'!$A$5:$A$1004,A107,'資格研修記録'!$D$5:$D$1004,"小型船舶特殊",'資格研修記録'!$F$5:$F$1004,"&gt;="&amp;TODAY()))&gt;0,"特殊",IF(COUNTIFS('資格研修記録'!$A$5:$A$1004,A107,'資格研修記録'!$D$5:$D$1004,"小型船舶特殊")&gt;0,"× 特殊 期限切れ","")))))</f>
        <v/>
      </c>
      <c r="H107" s="15">
        <f>IF(A107="","",COUNTIFS('潜水記録'!$B$5:$B$3004,A107,'潜水記録'!$AF$5:$AF$3004,$D$2))</f>
        <v/>
      </c>
      <c r="I107" s="15">
        <f>IF(A107="","",COUNTIF('潜水記録'!$B$5:$B$3004,A107))</f>
        <v/>
      </c>
      <c r="J107" s="15">
        <f>IF(A107="","",SUMIF('潜水記録'!$B$5:$B$3004,A107,'潜水記録'!$H$5:$H$3004))</f>
        <v/>
      </c>
      <c r="K107" s="15">
        <f>IF(A107="","",IF(I107=0,"",_xlfn.MAXIFS('潜水記録'!$G$5:$G$3004,'潜水記録'!$B$5:$B$3004,A107)))</f>
        <v/>
      </c>
      <c r="L107" s="16">
        <f>IF(A107="","",IF(I107=0,"",_xlfn.MAXIFS('潜水記録'!$A$5:$A$3004,'潜水記録'!$B$5:$B$3004,A107)))</f>
        <v/>
      </c>
      <c r="M107" s="15">
        <f>IF(L107="","",$B$2-L107)</f>
        <v/>
      </c>
    </row>
    <row r="108">
      <c r="A108" s="14">
        <f>IF('隊員マスタ'!A105="","",'隊員マスタ'!A105)</f>
        <v/>
      </c>
      <c r="B108" s="14">
        <f>IF(A108="","",'隊員マスタ'!B105)</f>
        <v/>
      </c>
      <c r="C108" s="14">
        <f>IF(A108="","",'隊員マスタ'!C105)</f>
        <v/>
      </c>
      <c r="D108" s="15">
        <f>IF(A108="","",'隊員マスタ'!D105)</f>
        <v/>
      </c>
      <c r="E108" s="15">
        <f>IF(A108="","",IF(COUNTIFS('資格研修記録'!$A$5:$A$1004,A108,'資格研修記録'!$D$5:$D$1004,"潜水士免許")&gt;0,"有","無"))</f>
        <v/>
      </c>
      <c r="F108" s="15">
        <f>IF(A108="","",IF(COUNTIFS('資格研修記録'!$A$5:$A$1004,A108,'資格研修記録'!$D$5:$D$1004,"水難救助研修")&gt;0,"修了","—"))</f>
        <v/>
      </c>
      <c r="G108" s="14">
        <f>IF(A108="","",IF((IF((COUNTIFS('資格研修記録'!$A$5:$A$1004,A108,'資格研修記録'!$D$5:$D$1004,"小型船舶1級",'資格研修記録'!$F$5:$F$1004,"")+COUNTIFS('資格研修記録'!$A$5:$A$1004,A108,'資格研修記録'!$D$5:$D$1004,"小型船舶1級",'資格研修記録'!$F$5:$F$1004,"&gt;="&amp;TODAY()))&gt;0,"1級",IF((COUNTIFS('資格研修記録'!$A$5:$A$1004,A108,'資格研修記録'!$D$5:$D$1004,"小型船舶2級",'資格研修記録'!$F$5:$F$1004,"")+COUNTIFS('資格研修記録'!$A$5:$A$1004,A108,'資格研修記録'!$D$5:$D$1004,"小型船舶2級",'資格研修記録'!$F$5:$F$1004,"&gt;="&amp;TODAY()))&gt;0,"2級",IF(COUNTIFS('資格研修記録'!$A$5:$A$1004,A108,'資格研修記録'!$D$5:$D$1004,"小型船舶1級")+COUNTIFS('資格研修記録'!$A$5:$A$1004,A108,'資格研修記録'!$D$5:$D$1004,"小型船舶2級")&gt;0,"× 1・2級 期限切れ",""))))&amp;(IF((COUNTIFS('資格研修記録'!$A$5:$A$1004,A108,'資格研修記録'!$D$5:$D$1004,"小型船舶特殊",'資格研修記録'!$F$5:$F$1004,"")+COUNTIFS('資格研修記録'!$A$5:$A$1004,A108,'資格研修記録'!$D$5:$D$1004,"小型船舶特殊",'資格研修記録'!$F$5:$F$1004,"&gt;="&amp;TODAY()))&gt;0,"特殊",IF(COUNTIFS('資格研修記録'!$A$5:$A$1004,A108,'資格研修記録'!$D$5:$D$1004,"小型船舶特殊")&gt;0,"× 特殊 期限切れ","")))="","—",_xlfn.TEXTJOIN("・",TRUE,IF((COUNTIFS('資格研修記録'!$A$5:$A$1004,A108,'資格研修記録'!$D$5:$D$1004,"小型船舶1級",'資格研修記録'!$F$5:$F$1004,"")+COUNTIFS('資格研修記録'!$A$5:$A$1004,A108,'資格研修記録'!$D$5:$D$1004,"小型船舶1級",'資格研修記録'!$F$5:$F$1004,"&gt;="&amp;TODAY()))&gt;0,"1級",IF((COUNTIFS('資格研修記録'!$A$5:$A$1004,A108,'資格研修記録'!$D$5:$D$1004,"小型船舶2級",'資格研修記録'!$F$5:$F$1004,"")+COUNTIFS('資格研修記録'!$A$5:$A$1004,A108,'資格研修記録'!$D$5:$D$1004,"小型船舶2級",'資格研修記録'!$F$5:$F$1004,"&gt;="&amp;TODAY()))&gt;0,"2級",IF(COUNTIFS('資格研修記録'!$A$5:$A$1004,A108,'資格研修記録'!$D$5:$D$1004,"小型船舶1級")+COUNTIFS('資格研修記録'!$A$5:$A$1004,A108,'資格研修記録'!$D$5:$D$1004,"小型船舶2級")&gt;0,"× 1・2級 期限切れ",""))),IF((COUNTIFS('資格研修記録'!$A$5:$A$1004,A108,'資格研修記録'!$D$5:$D$1004,"小型船舶特殊",'資格研修記録'!$F$5:$F$1004,"")+COUNTIFS('資格研修記録'!$A$5:$A$1004,A108,'資格研修記録'!$D$5:$D$1004,"小型船舶特殊",'資格研修記録'!$F$5:$F$1004,"&gt;="&amp;TODAY()))&gt;0,"特殊",IF(COUNTIFS('資格研修記録'!$A$5:$A$1004,A108,'資格研修記録'!$D$5:$D$1004,"小型船舶特殊")&gt;0,"× 特殊 期限切れ","")))))</f>
        <v/>
      </c>
      <c r="H108" s="15">
        <f>IF(A108="","",COUNTIFS('潜水記録'!$B$5:$B$3004,A108,'潜水記録'!$AF$5:$AF$3004,$D$2))</f>
        <v/>
      </c>
      <c r="I108" s="15">
        <f>IF(A108="","",COUNTIF('潜水記録'!$B$5:$B$3004,A108))</f>
        <v/>
      </c>
      <c r="J108" s="15">
        <f>IF(A108="","",SUMIF('潜水記録'!$B$5:$B$3004,A108,'潜水記録'!$H$5:$H$3004))</f>
        <v/>
      </c>
      <c r="K108" s="15">
        <f>IF(A108="","",IF(I108=0,"",_xlfn.MAXIFS('潜水記録'!$G$5:$G$3004,'潜水記録'!$B$5:$B$3004,A108)))</f>
        <v/>
      </c>
      <c r="L108" s="16">
        <f>IF(A108="","",IF(I108=0,"",_xlfn.MAXIFS('潜水記録'!$A$5:$A$3004,'潜水記録'!$B$5:$B$3004,A108)))</f>
        <v/>
      </c>
      <c r="M108" s="15">
        <f>IF(L108="","",$B$2-L108)</f>
        <v/>
      </c>
    </row>
    <row r="109">
      <c r="A109" s="14">
        <f>IF('隊員マスタ'!A106="","",'隊員マスタ'!A106)</f>
        <v/>
      </c>
      <c r="B109" s="14">
        <f>IF(A109="","",'隊員マスタ'!B106)</f>
        <v/>
      </c>
      <c r="C109" s="14">
        <f>IF(A109="","",'隊員マスタ'!C106)</f>
        <v/>
      </c>
      <c r="D109" s="15">
        <f>IF(A109="","",'隊員マスタ'!D106)</f>
        <v/>
      </c>
      <c r="E109" s="15">
        <f>IF(A109="","",IF(COUNTIFS('資格研修記録'!$A$5:$A$1004,A109,'資格研修記録'!$D$5:$D$1004,"潜水士免許")&gt;0,"有","無"))</f>
        <v/>
      </c>
      <c r="F109" s="15">
        <f>IF(A109="","",IF(COUNTIFS('資格研修記録'!$A$5:$A$1004,A109,'資格研修記録'!$D$5:$D$1004,"水難救助研修")&gt;0,"修了","—"))</f>
        <v/>
      </c>
      <c r="G109" s="14">
        <f>IF(A109="","",IF((IF((COUNTIFS('資格研修記録'!$A$5:$A$1004,A109,'資格研修記録'!$D$5:$D$1004,"小型船舶1級",'資格研修記録'!$F$5:$F$1004,"")+COUNTIFS('資格研修記録'!$A$5:$A$1004,A109,'資格研修記録'!$D$5:$D$1004,"小型船舶1級",'資格研修記録'!$F$5:$F$1004,"&gt;="&amp;TODAY()))&gt;0,"1級",IF((COUNTIFS('資格研修記録'!$A$5:$A$1004,A109,'資格研修記録'!$D$5:$D$1004,"小型船舶2級",'資格研修記録'!$F$5:$F$1004,"")+COUNTIFS('資格研修記録'!$A$5:$A$1004,A109,'資格研修記録'!$D$5:$D$1004,"小型船舶2級",'資格研修記録'!$F$5:$F$1004,"&gt;="&amp;TODAY()))&gt;0,"2級",IF(COUNTIFS('資格研修記録'!$A$5:$A$1004,A109,'資格研修記録'!$D$5:$D$1004,"小型船舶1級")+COUNTIFS('資格研修記録'!$A$5:$A$1004,A109,'資格研修記録'!$D$5:$D$1004,"小型船舶2級")&gt;0,"× 1・2級 期限切れ",""))))&amp;(IF((COUNTIFS('資格研修記録'!$A$5:$A$1004,A109,'資格研修記録'!$D$5:$D$1004,"小型船舶特殊",'資格研修記録'!$F$5:$F$1004,"")+COUNTIFS('資格研修記録'!$A$5:$A$1004,A109,'資格研修記録'!$D$5:$D$1004,"小型船舶特殊",'資格研修記録'!$F$5:$F$1004,"&gt;="&amp;TODAY()))&gt;0,"特殊",IF(COUNTIFS('資格研修記録'!$A$5:$A$1004,A109,'資格研修記録'!$D$5:$D$1004,"小型船舶特殊")&gt;0,"× 特殊 期限切れ","")))="","—",_xlfn.TEXTJOIN("・",TRUE,IF((COUNTIFS('資格研修記録'!$A$5:$A$1004,A109,'資格研修記録'!$D$5:$D$1004,"小型船舶1級",'資格研修記録'!$F$5:$F$1004,"")+COUNTIFS('資格研修記録'!$A$5:$A$1004,A109,'資格研修記録'!$D$5:$D$1004,"小型船舶1級",'資格研修記録'!$F$5:$F$1004,"&gt;="&amp;TODAY()))&gt;0,"1級",IF((COUNTIFS('資格研修記録'!$A$5:$A$1004,A109,'資格研修記録'!$D$5:$D$1004,"小型船舶2級",'資格研修記録'!$F$5:$F$1004,"")+COUNTIFS('資格研修記録'!$A$5:$A$1004,A109,'資格研修記録'!$D$5:$D$1004,"小型船舶2級",'資格研修記録'!$F$5:$F$1004,"&gt;="&amp;TODAY()))&gt;0,"2級",IF(COUNTIFS('資格研修記録'!$A$5:$A$1004,A109,'資格研修記録'!$D$5:$D$1004,"小型船舶1級")+COUNTIFS('資格研修記録'!$A$5:$A$1004,A109,'資格研修記録'!$D$5:$D$1004,"小型船舶2級")&gt;0,"× 1・2級 期限切れ",""))),IF((COUNTIFS('資格研修記録'!$A$5:$A$1004,A109,'資格研修記録'!$D$5:$D$1004,"小型船舶特殊",'資格研修記録'!$F$5:$F$1004,"")+COUNTIFS('資格研修記録'!$A$5:$A$1004,A109,'資格研修記録'!$D$5:$D$1004,"小型船舶特殊",'資格研修記録'!$F$5:$F$1004,"&gt;="&amp;TODAY()))&gt;0,"特殊",IF(COUNTIFS('資格研修記録'!$A$5:$A$1004,A109,'資格研修記録'!$D$5:$D$1004,"小型船舶特殊")&gt;0,"× 特殊 期限切れ","")))))</f>
        <v/>
      </c>
      <c r="H109" s="15">
        <f>IF(A109="","",COUNTIFS('潜水記録'!$B$5:$B$3004,A109,'潜水記録'!$AF$5:$AF$3004,$D$2))</f>
        <v/>
      </c>
      <c r="I109" s="15">
        <f>IF(A109="","",COUNTIF('潜水記録'!$B$5:$B$3004,A109))</f>
        <v/>
      </c>
      <c r="J109" s="15">
        <f>IF(A109="","",SUMIF('潜水記録'!$B$5:$B$3004,A109,'潜水記録'!$H$5:$H$3004))</f>
        <v/>
      </c>
      <c r="K109" s="15">
        <f>IF(A109="","",IF(I109=0,"",_xlfn.MAXIFS('潜水記録'!$G$5:$G$3004,'潜水記録'!$B$5:$B$3004,A109)))</f>
        <v/>
      </c>
      <c r="L109" s="16">
        <f>IF(A109="","",IF(I109=0,"",_xlfn.MAXIFS('潜水記録'!$A$5:$A$3004,'潜水記録'!$B$5:$B$3004,A109)))</f>
        <v/>
      </c>
      <c r="M109" s="15">
        <f>IF(L109="","",$B$2-L109)</f>
        <v/>
      </c>
    </row>
    <row r="110">
      <c r="A110" s="14">
        <f>IF('隊員マスタ'!A107="","",'隊員マスタ'!A107)</f>
        <v/>
      </c>
      <c r="B110" s="14">
        <f>IF(A110="","",'隊員マスタ'!B107)</f>
        <v/>
      </c>
      <c r="C110" s="14">
        <f>IF(A110="","",'隊員マスタ'!C107)</f>
        <v/>
      </c>
      <c r="D110" s="15">
        <f>IF(A110="","",'隊員マスタ'!D107)</f>
        <v/>
      </c>
      <c r="E110" s="15">
        <f>IF(A110="","",IF(COUNTIFS('資格研修記録'!$A$5:$A$1004,A110,'資格研修記録'!$D$5:$D$1004,"潜水士免許")&gt;0,"有","無"))</f>
        <v/>
      </c>
      <c r="F110" s="15">
        <f>IF(A110="","",IF(COUNTIFS('資格研修記録'!$A$5:$A$1004,A110,'資格研修記録'!$D$5:$D$1004,"水難救助研修")&gt;0,"修了","—"))</f>
        <v/>
      </c>
      <c r="G110" s="14">
        <f>IF(A110="","",IF((IF((COUNTIFS('資格研修記録'!$A$5:$A$1004,A110,'資格研修記録'!$D$5:$D$1004,"小型船舶1級",'資格研修記録'!$F$5:$F$1004,"")+COUNTIFS('資格研修記録'!$A$5:$A$1004,A110,'資格研修記録'!$D$5:$D$1004,"小型船舶1級",'資格研修記録'!$F$5:$F$1004,"&gt;="&amp;TODAY()))&gt;0,"1級",IF((COUNTIFS('資格研修記録'!$A$5:$A$1004,A110,'資格研修記録'!$D$5:$D$1004,"小型船舶2級",'資格研修記録'!$F$5:$F$1004,"")+COUNTIFS('資格研修記録'!$A$5:$A$1004,A110,'資格研修記録'!$D$5:$D$1004,"小型船舶2級",'資格研修記録'!$F$5:$F$1004,"&gt;="&amp;TODAY()))&gt;0,"2級",IF(COUNTIFS('資格研修記録'!$A$5:$A$1004,A110,'資格研修記録'!$D$5:$D$1004,"小型船舶1級")+COUNTIFS('資格研修記録'!$A$5:$A$1004,A110,'資格研修記録'!$D$5:$D$1004,"小型船舶2級")&gt;0,"× 1・2級 期限切れ",""))))&amp;(IF((COUNTIFS('資格研修記録'!$A$5:$A$1004,A110,'資格研修記録'!$D$5:$D$1004,"小型船舶特殊",'資格研修記録'!$F$5:$F$1004,"")+COUNTIFS('資格研修記録'!$A$5:$A$1004,A110,'資格研修記録'!$D$5:$D$1004,"小型船舶特殊",'資格研修記録'!$F$5:$F$1004,"&gt;="&amp;TODAY()))&gt;0,"特殊",IF(COUNTIFS('資格研修記録'!$A$5:$A$1004,A110,'資格研修記録'!$D$5:$D$1004,"小型船舶特殊")&gt;0,"× 特殊 期限切れ","")))="","—",_xlfn.TEXTJOIN("・",TRUE,IF((COUNTIFS('資格研修記録'!$A$5:$A$1004,A110,'資格研修記録'!$D$5:$D$1004,"小型船舶1級",'資格研修記録'!$F$5:$F$1004,"")+COUNTIFS('資格研修記録'!$A$5:$A$1004,A110,'資格研修記録'!$D$5:$D$1004,"小型船舶1級",'資格研修記録'!$F$5:$F$1004,"&gt;="&amp;TODAY()))&gt;0,"1級",IF((COUNTIFS('資格研修記録'!$A$5:$A$1004,A110,'資格研修記録'!$D$5:$D$1004,"小型船舶2級",'資格研修記録'!$F$5:$F$1004,"")+COUNTIFS('資格研修記録'!$A$5:$A$1004,A110,'資格研修記録'!$D$5:$D$1004,"小型船舶2級",'資格研修記録'!$F$5:$F$1004,"&gt;="&amp;TODAY()))&gt;0,"2級",IF(COUNTIFS('資格研修記録'!$A$5:$A$1004,A110,'資格研修記録'!$D$5:$D$1004,"小型船舶1級")+COUNTIFS('資格研修記録'!$A$5:$A$1004,A110,'資格研修記録'!$D$5:$D$1004,"小型船舶2級")&gt;0,"× 1・2級 期限切れ",""))),IF((COUNTIFS('資格研修記録'!$A$5:$A$1004,A110,'資格研修記録'!$D$5:$D$1004,"小型船舶特殊",'資格研修記録'!$F$5:$F$1004,"")+COUNTIFS('資格研修記録'!$A$5:$A$1004,A110,'資格研修記録'!$D$5:$D$1004,"小型船舶特殊",'資格研修記録'!$F$5:$F$1004,"&gt;="&amp;TODAY()))&gt;0,"特殊",IF(COUNTIFS('資格研修記録'!$A$5:$A$1004,A110,'資格研修記録'!$D$5:$D$1004,"小型船舶特殊")&gt;0,"× 特殊 期限切れ","")))))</f>
        <v/>
      </c>
      <c r="H110" s="15">
        <f>IF(A110="","",COUNTIFS('潜水記録'!$B$5:$B$3004,A110,'潜水記録'!$AF$5:$AF$3004,$D$2))</f>
        <v/>
      </c>
      <c r="I110" s="15">
        <f>IF(A110="","",COUNTIF('潜水記録'!$B$5:$B$3004,A110))</f>
        <v/>
      </c>
      <c r="J110" s="15">
        <f>IF(A110="","",SUMIF('潜水記録'!$B$5:$B$3004,A110,'潜水記録'!$H$5:$H$3004))</f>
        <v/>
      </c>
      <c r="K110" s="15">
        <f>IF(A110="","",IF(I110=0,"",_xlfn.MAXIFS('潜水記録'!$G$5:$G$3004,'潜水記録'!$B$5:$B$3004,A110)))</f>
        <v/>
      </c>
      <c r="L110" s="16">
        <f>IF(A110="","",IF(I110=0,"",_xlfn.MAXIFS('潜水記録'!$A$5:$A$3004,'潜水記録'!$B$5:$B$3004,A110)))</f>
        <v/>
      </c>
      <c r="M110" s="15">
        <f>IF(L110="","",$B$2-L110)</f>
        <v/>
      </c>
    </row>
    <row r="111">
      <c r="A111" s="14">
        <f>IF('隊員マスタ'!A108="","",'隊員マスタ'!A108)</f>
        <v/>
      </c>
      <c r="B111" s="14">
        <f>IF(A111="","",'隊員マスタ'!B108)</f>
        <v/>
      </c>
      <c r="C111" s="14">
        <f>IF(A111="","",'隊員マスタ'!C108)</f>
        <v/>
      </c>
      <c r="D111" s="15">
        <f>IF(A111="","",'隊員マスタ'!D108)</f>
        <v/>
      </c>
      <c r="E111" s="15">
        <f>IF(A111="","",IF(COUNTIFS('資格研修記録'!$A$5:$A$1004,A111,'資格研修記録'!$D$5:$D$1004,"潜水士免許")&gt;0,"有","無"))</f>
        <v/>
      </c>
      <c r="F111" s="15">
        <f>IF(A111="","",IF(COUNTIFS('資格研修記録'!$A$5:$A$1004,A111,'資格研修記録'!$D$5:$D$1004,"水難救助研修")&gt;0,"修了","—"))</f>
        <v/>
      </c>
      <c r="G111" s="14">
        <f>IF(A111="","",IF((IF((COUNTIFS('資格研修記録'!$A$5:$A$1004,A111,'資格研修記録'!$D$5:$D$1004,"小型船舶1級",'資格研修記録'!$F$5:$F$1004,"")+COUNTIFS('資格研修記録'!$A$5:$A$1004,A111,'資格研修記録'!$D$5:$D$1004,"小型船舶1級",'資格研修記録'!$F$5:$F$1004,"&gt;="&amp;TODAY()))&gt;0,"1級",IF((COUNTIFS('資格研修記録'!$A$5:$A$1004,A111,'資格研修記録'!$D$5:$D$1004,"小型船舶2級",'資格研修記録'!$F$5:$F$1004,"")+COUNTIFS('資格研修記録'!$A$5:$A$1004,A111,'資格研修記録'!$D$5:$D$1004,"小型船舶2級",'資格研修記録'!$F$5:$F$1004,"&gt;="&amp;TODAY()))&gt;0,"2級",IF(COUNTIFS('資格研修記録'!$A$5:$A$1004,A111,'資格研修記録'!$D$5:$D$1004,"小型船舶1級")+COUNTIFS('資格研修記録'!$A$5:$A$1004,A111,'資格研修記録'!$D$5:$D$1004,"小型船舶2級")&gt;0,"× 1・2級 期限切れ",""))))&amp;(IF((COUNTIFS('資格研修記録'!$A$5:$A$1004,A111,'資格研修記録'!$D$5:$D$1004,"小型船舶特殊",'資格研修記録'!$F$5:$F$1004,"")+COUNTIFS('資格研修記録'!$A$5:$A$1004,A111,'資格研修記録'!$D$5:$D$1004,"小型船舶特殊",'資格研修記録'!$F$5:$F$1004,"&gt;="&amp;TODAY()))&gt;0,"特殊",IF(COUNTIFS('資格研修記録'!$A$5:$A$1004,A111,'資格研修記録'!$D$5:$D$1004,"小型船舶特殊")&gt;0,"× 特殊 期限切れ","")))="","—",_xlfn.TEXTJOIN("・",TRUE,IF((COUNTIFS('資格研修記録'!$A$5:$A$1004,A111,'資格研修記録'!$D$5:$D$1004,"小型船舶1級",'資格研修記録'!$F$5:$F$1004,"")+COUNTIFS('資格研修記録'!$A$5:$A$1004,A111,'資格研修記録'!$D$5:$D$1004,"小型船舶1級",'資格研修記録'!$F$5:$F$1004,"&gt;="&amp;TODAY()))&gt;0,"1級",IF((COUNTIFS('資格研修記録'!$A$5:$A$1004,A111,'資格研修記録'!$D$5:$D$1004,"小型船舶2級",'資格研修記録'!$F$5:$F$1004,"")+COUNTIFS('資格研修記録'!$A$5:$A$1004,A111,'資格研修記録'!$D$5:$D$1004,"小型船舶2級",'資格研修記録'!$F$5:$F$1004,"&gt;="&amp;TODAY()))&gt;0,"2級",IF(COUNTIFS('資格研修記録'!$A$5:$A$1004,A111,'資格研修記録'!$D$5:$D$1004,"小型船舶1級")+COUNTIFS('資格研修記録'!$A$5:$A$1004,A111,'資格研修記録'!$D$5:$D$1004,"小型船舶2級")&gt;0,"× 1・2級 期限切れ",""))),IF((COUNTIFS('資格研修記録'!$A$5:$A$1004,A111,'資格研修記録'!$D$5:$D$1004,"小型船舶特殊",'資格研修記録'!$F$5:$F$1004,"")+COUNTIFS('資格研修記録'!$A$5:$A$1004,A111,'資格研修記録'!$D$5:$D$1004,"小型船舶特殊",'資格研修記録'!$F$5:$F$1004,"&gt;="&amp;TODAY()))&gt;0,"特殊",IF(COUNTIFS('資格研修記録'!$A$5:$A$1004,A111,'資格研修記録'!$D$5:$D$1004,"小型船舶特殊")&gt;0,"× 特殊 期限切れ","")))))</f>
        <v/>
      </c>
      <c r="H111" s="15">
        <f>IF(A111="","",COUNTIFS('潜水記録'!$B$5:$B$3004,A111,'潜水記録'!$AF$5:$AF$3004,$D$2))</f>
        <v/>
      </c>
      <c r="I111" s="15">
        <f>IF(A111="","",COUNTIF('潜水記録'!$B$5:$B$3004,A111))</f>
        <v/>
      </c>
      <c r="J111" s="15">
        <f>IF(A111="","",SUMIF('潜水記録'!$B$5:$B$3004,A111,'潜水記録'!$H$5:$H$3004))</f>
        <v/>
      </c>
      <c r="K111" s="15">
        <f>IF(A111="","",IF(I111=0,"",_xlfn.MAXIFS('潜水記録'!$G$5:$G$3004,'潜水記録'!$B$5:$B$3004,A111)))</f>
        <v/>
      </c>
      <c r="L111" s="16">
        <f>IF(A111="","",IF(I111=0,"",_xlfn.MAXIFS('潜水記録'!$A$5:$A$3004,'潜水記録'!$B$5:$B$3004,A111)))</f>
        <v/>
      </c>
      <c r="M111" s="15">
        <f>IF(L111="","",$B$2-L111)</f>
        <v/>
      </c>
    </row>
    <row r="112">
      <c r="A112" s="14">
        <f>IF('隊員マスタ'!A109="","",'隊員マスタ'!A109)</f>
        <v/>
      </c>
      <c r="B112" s="14">
        <f>IF(A112="","",'隊員マスタ'!B109)</f>
        <v/>
      </c>
      <c r="C112" s="14">
        <f>IF(A112="","",'隊員マスタ'!C109)</f>
        <v/>
      </c>
      <c r="D112" s="15">
        <f>IF(A112="","",'隊員マスタ'!D109)</f>
        <v/>
      </c>
      <c r="E112" s="15">
        <f>IF(A112="","",IF(COUNTIFS('資格研修記録'!$A$5:$A$1004,A112,'資格研修記録'!$D$5:$D$1004,"潜水士免許")&gt;0,"有","無"))</f>
        <v/>
      </c>
      <c r="F112" s="15">
        <f>IF(A112="","",IF(COUNTIFS('資格研修記録'!$A$5:$A$1004,A112,'資格研修記録'!$D$5:$D$1004,"水難救助研修")&gt;0,"修了","—"))</f>
        <v/>
      </c>
      <c r="G112" s="14">
        <f>IF(A112="","",IF((IF((COUNTIFS('資格研修記録'!$A$5:$A$1004,A112,'資格研修記録'!$D$5:$D$1004,"小型船舶1級",'資格研修記録'!$F$5:$F$1004,"")+COUNTIFS('資格研修記録'!$A$5:$A$1004,A112,'資格研修記録'!$D$5:$D$1004,"小型船舶1級",'資格研修記録'!$F$5:$F$1004,"&gt;="&amp;TODAY()))&gt;0,"1級",IF((COUNTIFS('資格研修記録'!$A$5:$A$1004,A112,'資格研修記録'!$D$5:$D$1004,"小型船舶2級",'資格研修記録'!$F$5:$F$1004,"")+COUNTIFS('資格研修記録'!$A$5:$A$1004,A112,'資格研修記録'!$D$5:$D$1004,"小型船舶2級",'資格研修記録'!$F$5:$F$1004,"&gt;="&amp;TODAY()))&gt;0,"2級",IF(COUNTIFS('資格研修記録'!$A$5:$A$1004,A112,'資格研修記録'!$D$5:$D$1004,"小型船舶1級")+COUNTIFS('資格研修記録'!$A$5:$A$1004,A112,'資格研修記録'!$D$5:$D$1004,"小型船舶2級")&gt;0,"× 1・2級 期限切れ",""))))&amp;(IF((COUNTIFS('資格研修記録'!$A$5:$A$1004,A112,'資格研修記録'!$D$5:$D$1004,"小型船舶特殊",'資格研修記録'!$F$5:$F$1004,"")+COUNTIFS('資格研修記録'!$A$5:$A$1004,A112,'資格研修記録'!$D$5:$D$1004,"小型船舶特殊",'資格研修記録'!$F$5:$F$1004,"&gt;="&amp;TODAY()))&gt;0,"特殊",IF(COUNTIFS('資格研修記録'!$A$5:$A$1004,A112,'資格研修記録'!$D$5:$D$1004,"小型船舶特殊")&gt;0,"× 特殊 期限切れ","")))="","—",_xlfn.TEXTJOIN("・",TRUE,IF((COUNTIFS('資格研修記録'!$A$5:$A$1004,A112,'資格研修記録'!$D$5:$D$1004,"小型船舶1級",'資格研修記録'!$F$5:$F$1004,"")+COUNTIFS('資格研修記録'!$A$5:$A$1004,A112,'資格研修記録'!$D$5:$D$1004,"小型船舶1級",'資格研修記録'!$F$5:$F$1004,"&gt;="&amp;TODAY()))&gt;0,"1級",IF((COUNTIFS('資格研修記録'!$A$5:$A$1004,A112,'資格研修記録'!$D$5:$D$1004,"小型船舶2級",'資格研修記録'!$F$5:$F$1004,"")+COUNTIFS('資格研修記録'!$A$5:$A$1004,A112,'資格研修記録'!$D$5:$D$1004,"小型船舶2級",'資格研修記録'!$F$5:$F$1004,"&gt;="&amp;TODAY()))&gt;0,"2級",IF(COUNTIFS('資格研修記録'!$A$5:$A$1004,A112,'資格研修記録'!$D$5:$D$1004,"小型船舶1級")+COUNTIFS('資格研修記録'!$A$5:$A$1004,A112,'資格研修記録'!$D$5:$D$1004,"小型船舶2級")&gt;0,"× 1・2級 期限切れ",""))),IF((COUNTIFS('資格研修記録'!$A$5:$A$1004,A112,'資格研修記録'!$D$5:$D$1004,"小型船舶特殊",'資格研修記録'!$F$5:$F$1004,"")+COUNTIFS('資格研修記録'!$A$5:$A$1004,A112,'資格研修記録'!$D$5:$D$1004,"小型船舶特殊",'資格研修記録'!$F$5:$F$1004,"&gt;="&amp;TODAY()))&gt;0,"特殊",IF(COUNTIFS('資格研修記録'!$A$5:$A$1004,A112,'資格研修記録'!$D$5:$D$1004,"小型船舶特殊")&gt;0,"× 特殊 期限切れ","")))))</f>
        <v/>
      </c>
      <c r="H112" s="15">
        <f>IF(A112="","",COUNTIFS('潜水記録'!$B$5:$B$3004,A112,'潜水記録'!$AF$5:$AF$3004,$D$2))</f>
        <v/>
      </c>
      <c r="I112" s="15">
        <f>IF(A112="","",COUNTIF('潜水記録'!$B$5:$B$3004,A112))</f>
        <v/>
      </c>
      <c r="J112" s="15">
        <f>IF(A112="","",SUMIF('潜水記録'!$B$5:$B$3004,A112,'潜水記録'!$H$5:$H$3004))</f>
        <v/>
      </c>
      <c r="K112" s="15">
        <f>IF(A112="","",IF(I112=0,"",_xlfn.MAXIFS('潜水記録'!$G$5:$G$3004,'潜水記録'!$B$5:$B$3004,A112)))</f>
        <v/>
      </c>
      <c r="L112" s="16">
        <f>IF(A112="","",IF(I112=0,"",_xlfn.MAXIFS('潜水記録'!$A$5:$A$3004,'潜水記録'!$B$5:$B$3004,A112)))</f>
        <v/>
      </c>
      <c r="M112" s="15">
        <f>IF(L112="","",$B$2-L112)</f>
        <v/>
      </c>
    </row>
    <row r="113">
      <c r="A113" s="14">
        <f>IF('隊員マスタ'!A110="","",'隊員マスタ'!A110)</f>
        <v/>
      </c>
      <c r="B113" s="14">
        <f>IF(A113="","",'隊員マスタ'!B110)</f>
        <v/>
      </c>
      <c r="C113" s="14">
        <f>IF(A113="","",'隊員マスタ'!C110)</f>
        <v/>
      </c>
      <c r="D113" s="15">
        <f>IF(A113="","",'隊員マスタ'!D110)</f>
        <v/>
      </c>
      <c r="E113" s="15">
        <f>IF(A113="","",IF(COUNTIFS('資格研修記録'!$A$5:$A$1004,A113,'資格研修記録'!$D$5:$D$1004,"潜水士免許")&gt;0,"有","無"))</f>
        <v/>
      </c>
      <c r="F113" s="15">
        <f>IF(A113="","",IF(COUNTIFS('資格研修記録'!$A$5:$A$1004,A113,'資格研修記録'!$D$5:$D$1004,"水難救助研修")&gt;0,"修了","—"))</f>
        <v/>
      </c>
      <c r="G113" s="14">
        <f>IF(A113="","",IF((IF((COUNTIFS('資格研修記録'!$A$5:$A$1004,A113,'資格研修記録'!$D$5:$D$1004,"小型船舶1級",'資格研修記録'!$F$5:$F$1004,"")+COUNTIFS('資格研修記録'!$A$5:$A$1004,A113,'資格研修記録'!$D$5:$D$1004,"小型船舶1級",'資格研修記録'!$F$5:$F$1004,"&gt;="&amp;TODAY()))&gt;0,"1級",IF((COUNTIFS('資格研修記録'!$A$5:$A$1004,A113,'資格研修記録'!$D$5:$D$1004,"小型船舶2級",'資格研修記録'!$F$5:$F$1004,"")+COUNTIFS('資格研修記録'!$A$5:$A$1004,A113,'資格研修記録'!$D$5:$D$1004,"小型船舶2級",'資格研修記録'!$F$5:$F$1004,"&gt;="&amp;TODAY()))&gt;0,"2級",IF(COUNTIFS('資格研修記録'!$A$5:$A$1004,A113,'資格研修記録'!$D$5:$D$1004,"小型船舶1級")+COUNTIFS('資格研修記録'!$A$5:$A$1004,A113,'資格研修記録'!$D$5:$D$1004,"小型船舶2級")&gt;0,"× 1・2級 期限切れ",""))))&amp;(IF((COUNTIFS('資格研修記録'!$A$5:$A$1004,A113,'資格研修記録'!$D$5:$D$1004,"小型船舶特殊",'資格研修記録'!$F$5:$F$1004,"")+COUNTIFS('資格研修記録'!$A$5:$A$1004,A113,'資格研修記録'!$D$5:$D$1004,"小型船舶特殊",'資格研修記録'!$F$5:$F$1004,"&gt;="&amp;TODAY()))&gt;0,"特殊",IF(COUNTIFS('資格研修記録'!$A$5:$A$1004,A113,'資格研修記録'!$D$5:$D$1004,"小型船舶特殊")&gt;0,"× 特殊 期限切れ","")))="","—",_xlfn.TEXTJOIN("・",TRUE,IF((COUNTIFS('資格研修記録'!$A$5:$A$1004,A113,'資格研修記録'!$D$5:$D$1004,"小型船舶1級",'資格研修記録'!$F$5:$F$1004,"")+COUNTIFS('資格研修記録'!$A$5:$A$1004,A113,'資格研修記録'!$D$5:$D$1004,"小型船舶1級",'資格研修記録'!$F$5:$F$1004,"&gt;="&amp;TODAY()))&gt;0,"1級",IF((COUNTIFS('資格研修記録'!$A$5:$A$1004,A113,'資格研修記録'!$D$5:$D$1004,"小型船舶2級",'資格研修記録'!$F$5:$F$1004,"")+COUNTIFS('資格研修記録'!$A$5:$A$1004,A113,'資格研修記録'!$D$5:$D$1004,"小型船舶2級",'資格研修記録'!$F$5:$F$1004,"&gt;="&amp;TODAY()))&gt;0,"2級",IF(COUNTIFS('資格研修記録'!$A$5:$A$1004,A113,'資格研修記録'!$D$5:$D$1004,"小型船舶1級")+COUNTIFS('資格研修記録'!$A$5:$A$1004,A113,'資格研修記録'!$D$5:$D$1004,"小型船舶2級")&gt;0,"× 1・2級 期限切れ",""))),IF((COUNTIFS('資格研修記録'!$A$5:$A$1004,A113,'資格研修記録'!$D$5:$D$1004,"小型船舶特殊",'資格研修記録'!$F$5:$F$1004,"")+COUNTIFS('資格研修記録'!$A$5:$A$1004,A113,'資格研修記録'!$D$5:$D$1004,"小型船舶特殊",'資格研修記録'!$F$5:$F$1004,"&gt;="&amp;TODAY()))&gt;0,"特殊",IF(COUNTIFS('資格研修記録'!$A$5:$A$1004,A113,'資格研修記録'!$D$5:$D$1004,"小型船舶特殊")&gt;0,"× 特殊 期限切れ","")))))</f>
        <v/>
      </c>
      <c r="H113" s="15">
        <f>IF(A113="","",COUNTIFS('潜水記録'!$B$5:$B$3004,A113,'潜水記録'!$AF$5:$AF$3004,$D$2))</f>
        <v/>
      </c>
      <c r="I113" s="15">
        <f>IF(A113="","",COUNTIF('潜水記録'!$B$5:$B$3004,A113))</f>
        <v/>
      </c>
      <c r="J113" s="15">
        <f>IF(A113="","",SUMIF('潜水記録'!$B$5:$B$3004,A113,'潜水記録'!$H$5:$H$3004))</f>
        <v/>
      </c>
      <c r="K113" s="15">
        <f>IF(A113="","",IF(I113=0,"",_xlfn.MAXIFS('潜水記録'!$G$5:$G$3004,'潜水記録'!$B$5:$B$3004,A113)))</f>
        <v/>
      </c>
      <c r="L113" s="16">
        <f>IF(A113="","",IF(I113=0,"",_xlfn.MAXIFS('潜水記録'!$A$5:$A$3004,'潜水記録'!$B$5:$B$3004,A113)))</f>
        <v/>
      </c>
      <c r="M113" s="15">
        <f>IF(L113="","",$B$2-L113)</f>
        <v/>
      </c>
    </row>
    <row r="114">
      <c r="A114" s="14">
        <f>IF('隊員マスタ'!A111="","",'隊員マスタ'!A111)</f>
        <v/>
      </c>
      <c r="B114" s="14">
        <f>IF(A114="","",'隊員マスタ'!B111)</f>
        <v/>
      </c>
      <c r="C114" s="14">
        <f>IF(A114="","",'隊員マスタ'!C111)</f>
        <v/>
      </c>
      <c r="D114" s="15">
        <f>IF(A114="","",'隊員マスタ'!D111)</f>
        <v/>
      </c>
      <c r="E114" s="15">
        <f>IF(A114="","",IF(COUNTIFS('資格研修記録'!$A$5:$A$1004,A114,'資格研修記録'!$D$5:$D$1004,"潜水士免許")&gt;0,"有","無"))</f>
        <v/>
      </c>
      <c r="F114" s="15">
        <f>IF(A114="","",IF(COUNTIFS('資格研修記録'!$A$5:$A$1004,A114,'資格研修記録'!$D$5:$D$1004,"水難救助研修")&gt;0,"修了","—"))</f>
        <v/>
      </c>
      <c r="G114" s="14">
        <f>IF(A114="","",IF((IF((COUNTIFS('資格研修記録'!$A$5:$A$1004,A114,'資格研修記録'!$D$5:$D$1004,"小型船舶1級",'資格研修記録'!$F$5:$F$1004,"")+COUNTIFS('資格研修記録'!$A$5:$A$1004,A114,'資格研修記録'!$D$5:$D$1004,"小型船舶1級",'資格研修記録'!$F$5:$F$1004,"&gt;="&amp;TODAY()))&gt;0,"1級",IF((COUNTIFS('資格研修記録'!$A$5:$A$1004,A114,'資格研修記録'!$D$5:$D$1004,"小型船舶2級",'資格研修記録'!$F$5:$F$1004,"")+COUNTIFS('資格研修記録'!$A$5:$A$1004,A114,'資格研修記録'!$D$5:$D$1004,"小型船舶2級",'資格研修記録'!$F$5:$F$1004,"&gt;="&amp;TODAY()))&gt;0,"2級",IF(COUNTIFS('資格研修記録'!$A$5:$A$1004,A114,'資格研修記録'!$D$5:$D$1004,"小型船舶1級")+COUNTIFS('資格研修記録'!$A$5:$A$1004,A114,'資格研修記録'!$D$5:$D$1004,"小型船舶2級")&gt;0,"× 1・2級 期限切れ",""))))&amp;(IF((COUNTIFS('資格研修記録'!$A$5:$A$1004,A114,'資格研修記録'!$D$5:$D$1004,"小型船舶特殊",'資格研修記録'!$F$5:$F$1004,"")+COUNTIFS('資格研修記録'!$A$5:$A$1004,A114,'資格研修記録'!$D$5:$D$1004,"小型船舶特殊",'資格研修記録'!$F$5:$F$1004,"&gt;="&amp;TODAY()))&gt;0,"特殊",IF(COUNTIFS('資格研修記録'!$A$5:$A$1004,A114,'資格研修記録'!$D$5:$D$1004,"小型船舶特殊")&gt;0,"× 特殊 期限切れ","")))="","—",_xlfn.TEXTJOIN("・",TRUE,IF((COUNTIFS('資格研修記録'!$A$5:$A$1004,A114,'資格研修記録'!$D$5:$D$1004,"小型船舶1級",'資格研修記録'!$F$5:$F$1004,"")+COUNTIFS('資格研修記録'!$A$5:$A$1004,A114,'資格研修記録'!$D$5:$D$1004,"小型船舶1級",'資格研修記録'!$F$5:$F$1004,"&gt;="&amp;TODAY()))&gt;0,"1級",IF((COUNTIFS('資格研修記録'!$A$5:$A$1004,A114,'資格研修記録'!$D$5:$D$1004,"小型船舶2級",'資格研修記録'!$F$5:$F$1004,"")+COUNTIFS('資格研修記録'!$A$5:$A$1004,A114,'資格研修記録'!$D$5:$D$1004,"小型船舶2級",'資格研修記録'!$F$5:$F$1004,"&gt;="&amp;TODAY()))&gt;0,"2級",IF(COUNTIFS('資格研修記録'!$A$5:$A$1004,A114,'資格研修記録'!$D$5:$D$1004,"小型船舶1級")+COUNTIFS('資格研修記録'!$A$5:$A$1004,A114,'資格研修記録'!$D$5:$D$1004,"小型船舶2級")&gt;0,"× 1・2級 期限切れ",""))),IF((COUNTIFS('資格研修記録'!$A$5:$A$1004,A114,'資格研修記録'!$D$5:$D$1004,"小型船舶特殊",'資格研修記録'!$F$5:$F$1004,"")+COUNTIFS('資格研修記録'!$A$5:$A$1004,A114,'資格研修記録'!$D$5:$D$1004,"小型船舶特殊",'資格研修記録'!$F$5:$F$1004,"&gt;="&amp;TODAY()))&gt;0,"特殊",IF(COUNTIFS('資格研修記録'!$A$5:$A$1004,A114,'資格研修記録'!$D$5:$D$1004,"小型船舶特殊")&gt;0,"× 特殊 期限切れ","")))))</f>
        <v/>
      </c>
      <c r="H114" s="15">
        <f>IF(A114="","",COUNTIFS('潜水記録'!$B$5:$B$3004,A114,'潜水記録'!$AF$5:$AF$3004,$D$2))</f>
        <v/>
      </c>
      <c r="I114" s="15">
        <f>IF(A114="","",COUNTIF('潜水記録'!$B$5:$B$3004,A114))</f>
        <v/>
      </c>
      <c r="J114" s="15">
        <f>IF(A114="","",SUMIF('潜水記録'!$B$5:$B$3004,A114,'潜水記録'!$H$5:$H$3004))</f>
        <v/>
      </c>
      <c r="K114" s="15">
        <f>IF(A114="","",IF(I114=0,"",_xlfn.MAXIFS('潜水記録'!$G$5:$G$3004,'潜水記録'!$B$5:$B$3004,A114)))</f>
        <v/>
      </c>
      <c r="L114" s="16">
        <f>IF(A114="","",IF(I114=0,"",_xlfn.MAXIFS('潜水記録'!$A$5:$A$3004,'潜水記録'!$B$5:$B$3004,A114)))</f>
        <v/>
      </c>
      <c r="M114" s="15">
        <f>IF(L114="","",$B$2-L114)</f>
        <v/>
      </c>
    </row>
    <row r="115">
      <c r="A115" s="14">
        <f>IF('隊員マスタ'!A112="","",'隊員マスタ'!A112)</f>
        <v/>
      </c>
      <c r="B115" s="14">
        <f>IF(A115="","",'隊員マスタ'!B112)</f>
        <v/>
      </c>
      <c r="C115" s="14">
        <f>IF(A115="","",'隊員マスタ'!C112)</f>
        <v/>
      </c>
      <c r="D115" s="15">
        <f>IF(A115="","",'隊員マスタ'!D112)</f>
        <v/>
      </c>
      <c r="E115" s="15">
        <f>IF(A115="","",IF(COUNTIFS('資格研修記録'!$A$5:$A$1004,A115,'資格研修記録'!$D$5:$D$1004,"潜水士免許")&gt;0,"有","無"))</f>
        <v/>
      </c>
      <c r="F115" s="15">
        <f>IF(A115="","",IF(COUNTIFS('資格研修記録'!$A$5:$A$1004,A115,'資格研修記録'!$D$5:$D$1004,"水難救助研修")&gt;0,"修了","—"))</f>
        <v/>
      </c>
      <c r="G115" s="14">
        <f>IF(A115="","",IF((IF((COUNTIFS('資格研修記録'!$A$5:$A$1004,A115,'資格研修記録'!$D$5:$D$1004,"小型船舶1級",'資格研修記録'!$F$5:$F$1004,"")+COUNTIFS('資格研修記録'!$A$5:$A$1004,A115,'資格研修記録'!$D$5:$D$1004,"小型船舶1級",'資格研修記録'!$F$5:$F$1004,"&gt;="&amp;TODAY()))&gt;0,"1級",IF((COUNTIFS('資格研修記録'!$A$5:$A$1004,A115,'資格研修記録'!$D$5:$D$1004,"小型船舶2級",'資格研修記録'!$F$5:$F$1004,"")+COUNTIFS('資格研修記録'!$A$5:$A$1004,A115,'資格研修記録'!$D$5:$D$1004,"小型船舶2級",'資格研修記録'!$F$5:$F$1004,"&gt;="&amp;TODAY()))&gt;0,"2級",IF(COUNTIFS('資格研修記録'!$A$5:$A$1004,A115,'資格研修記録'!$D$5:$D$1004,"小型船舶1級")+COUNTIFS('資格研修記録'!$A$5:$A$1004,A115,'資格研修記録'!$D$5:$D$1004,"小型船舶2級")&gt;0,"× 1・2級 期限切れ",""))))&amp;(IF((COUNTIFS('資格研修記録'!$A$5:$A$1004,A115,'資格研修記録'!$D$5:$D$1004,"小型船舶特殊",'資格研修記録'!$F$5:$F$1004,"")+COUNTIFS('資格研修記録'!$A$5:$A$1004,A115,'資格研修記録'!$D$5:$D$1004,"小型船舶特殊",'資格研修記録'!$F$5:$F$1004,"&gt;="&amp;TODAY()))&gt;0,"特殊",IF(COUNTIFS('資格研修記録'!$A$5:$A$1004,A115,'資格研修記録'!$D$5:$D$1004,"小型船舶特殊")&gt;0,"× 特殊 期限切れ","")))="","—",_xlfn.TEXTJOIN("・",TRUE,IF((COUNTIFS('資格研修記録'!$A$5:$A$1004,A115,'資格研修記録'!$D$5:$D$1004,"小型船舶1級",'資格研修記録'!$F$5:$F$1004,"")+COUNTIFS('資格研修記録'!$A$5:$A$1004,A115,'資格研修記録'!$D$5:$D$1004,"小型船舶1級",'資格研修記録'!$F$5:$F$1004,"&gt;="&amp;TODAY()))&gt;0,"1級",IF((COUNTIFS('資格研修記録'!$A$5:$A$1004,A115,'資格研修記録'!$D$5:$D$1004,"小型船舶2級",'資格研修記録'!$F$5:$F$1004,"")+COUNTIFS('資格研修記録'!$A$5:$A$1004,A115,'資格研修記録'!$D$5:$D$1004,"小型船舶2級",'資格研修記録'!$F$5:$F$1004,"&gt;="&amp;TODAY()))&gt;0,"2級",IF(COUNTIFS('資格研修記録'!$A$5:$A$1004,A115,'資格研修記録'!$D$5:$D$1004,"小型船舶1級")+COUNTIFS('資格研修記録'!$A$5:$A$1004,A115,'資格研修記録'!$D$5:$D$1004,"小型船舶2級")&gt;0,"× 1・2級 期限切れ",""))),IF((COUNTIFS('資格研修記録'!$A$5:$A$1004,A115,'資格研修記録'!$D$5:$D$1004,"小型船舶特殊",'資格研修記録'!$F$5:$F$1004,"")+COUNTIFS('資格研修記録'!$A$5:$A$1004,A115,'資格研修記録'!$D$5:$D$1004,"小型船舶特殊",'資格研修記録'!$F$5:$F$1004,"&gt;="&amp;TODAY()))&gt;0,"特殊",IF(COUNTIFS('資格研修記録'!$A$5:$A$1004,A115,'資格研修記録'!$D$5:$D$1004,"小型船舶特殊")&gt;0,"× 特殊 期限切れ","")))))</f>
        <v/>
      </c>
      <c r="H115" s="15">
        <f>IF(A115="","",COUNTIFS('潜水記録'!$B$5:$B$3004,A115,'潜水記録'!$AF$5:$AF$3004,$D$2))</f>
        <v/>
      </c>
      <c r="I115" s="15">
        <f>IF(A115="","",COUNTIF('潜水記録'!$B$5:$B$3004,A115))</f>
        <v/>
      </c>
      <c r="J115" s="15">
        <f>IF(A115="","",SUMIF('潜水記録'!$B$5:$B$3004,A115,'潜水記録'!$H$5:$H$3004))</f>
        <v/>
      </c>
      <c r="K115" s="15">
        <f>IF(A115="","",IF(I115=0,"",_xlfn.MAXIFS('潜水記録'!$G$5:$G$3004,'潜水記録'!$B$5:$B$3004,A115)))</f>
        <v/>
      </c>
      <c r="L115" s="16">
        <f>IF(A115="","",IF(I115=0,"",_xlfn.MAXIFS('潜水記録'!$A$5:$A$3004,'潜水記録'!$B$5:$B$3004,A115)))</f>
        <v/>
      </c>
      <c r="M115" s="15">
        <f>IF(L115="","",$B$2-L115)</f>
        <v/>
      </c>
    </row>
    <row r="116">
      <c r="A116" s="14">
        <f>IF('隊員マスタ'!A113="","",'隊員マスタ'!A113)</f>
        <v/>
      </c>
      <c r="B116" s="14">
        <f>IF(A116="","",'隊員マスタ'!B113)</f>
        <v/>
      </c>
      <c r="C116" s="14">
        <f>IF(A116="","",'隊員マスタ'!C113)</f>
        <v/>
      </c>
      <c r="D116" s="15">
        <f>IF(A116="","",'隊員マスタ'!D113)</f>
        <v/>
      </c>
      <c r="E116" s="15">
        <f>IF(A116="","",IF(COUNTIFS('資格研修記録'!$A$5:$A$1004,A116,'資格研修記録'!$D$5:$D$1004,"潜水士免許")&gt;0,"有","無"))</f>
        <v/>
      </c>
      <c r="F116" s="15">
        <f>IF(A116="","",IF(COUNTIFS('資格研修記録'!$A$5:$A$1004,A116,'資格研修記録'!$D$5:$D$1004,"水難救助研修")&gt;0,"修了","—"))</f>
        <v/>
      </c>
      <c r="G116" s="14">
        <f>IF(A116="","",IF((IF((COUNTIFS('資格研修記録'!$A$5:$A$1004,A116,'資格研修記録'!$D$5:$D$1004,"小型船舶1級",'資格研修記録'!$F$5:$F$1004,"")+COUNTIFS('資格研修記録'!$A$5:$A$1004,A116,'資格研修記録'!$D$5:$D$1004,"小型船舶1級",'資格研修記録'!$F$5:$F$1004,"&gt;="&amp;TODAY()))&gt;0,"1級",IF((COUNTIFS('資格研修記録'!$A$5:$A$1004,A116,'資格研修記録'!$D$5:$D$1004,"小型船舶2級",'資格研修記録'!$F$5:$F$1004,"")+COUNTIFS('資格研修記録'!$A$5:$A$1004,A116,'資格研修記録'!$D$5:$D$1004,"小型船舶2級",'資格研修記録'!$F$5:$F$1004,"&gt;="&amp;TODAY()))&gt;0,"2級",IF(COUNTIFS('資格研修記録'!$A$5:$A$1004,A116,'資格研修記録'!$D$5:$D$1004,"小型船舶1級")+COUNTIFS('資格研修記録'!$A$5:$A$1004,A116,'資格研修記録'!$D$5:$D$1004,"小型船舶2級")&gt;0,"× 1・2級 期限切れ",""))))&amp;(IF((COUNTIFS('資格研修記録'!$A$5:$A$1004,A116,'資格研修記録'!$D$5:$D$1004,"小型船舶特殊",'資格研修記録'!$F$5:$F$1004,"")+COUNTIFS('資格研修記録'!$A$5:$A$1004,A116,'資格研修記録'!$D$5:$D$1004,"小型船舶特殊",'資格研修記録'!$F$5:$F$1004,"&gt;="&amp;TODAY()))&gt;0,"特殊",IF(COUNTIFS('資格研修記録'!$A$5:$A$1004,A116,'資格研修記録'!$D$5:$D$1004,"小型船舶特殊")&gt;0,"× 特殊 期限切れ","")))="","—",_xlfn.TEXTJOIN("・",TRUE,IF((COUNTIFS('資格研修記録'!$A$5:$A$1004,A116,'資格研修記録'!$D$5:$D$1004,"小型船舶1級",'資格研修記録'!$F$5:$F$1004,"")+COUNTIFS('資格研修記録'!$A$5:$A$1004,A116,'資格研修記録'!$D$5:$D$1004,"小型船舶1級",'資格研修記録'!$F$5:$F$1004,"&gt;="&amp;TODAY()))&gt;0,"1級",IF((COUNTIFS('資格研修記録'!$A$5:$A$1004,A116,'資格研修記録'!$D$5:$D$1004,"小型船舶2級",'資格研修記録'!$F$5:$F$1004,"")+COUNTIFS('資格研修記録'!$A$5:$A$1004,A116,'資格研修記録'!$D$5:$D$1004,"小型船舶2級",'資格研修記録'!$F$5:$F$1004,"&gt;="&amp;TODAY()))&gt;0,"2級",IF(COUNTIFS('資格研修記録'!$A$5:$A$1004,A116,'資格研修記録'!$D$5:$D$1004,"小型船舶1級")+COUNTIFS('資格研修記録'!$A$5:$A$1004,A116,'資格研修記録'!$D$5:$D$1004,"小型船舶2級")&gt;0,"× 1・2級 期限切れ",""))),IF((COUNTIFS('資格研修記録'!$A$5:$A$1004,A116,'資格研修記録'!$D$5:$D$1004,"小型船舶特殊",'資格研修記録'!$F$5:$F$1004,"")+COUNTIFS('資格研修記録'!$A$5:$A$1004,A116,'資格研修記録'!$D$5:$D$1004,"小型船舶特殊",'資格研修記録'!$F$5:$F$1004,"&gt;="&amp;TODAY()))&gt;0,"特殊",IF(COUNTIFS('資格研修記録'!$A$5:$A$1004,A116,'資格研修記録'!$D$5:$D$1004,"小型船舶特殊")&gt;0,"× 特殊 期限切れ","")))))</f>
        <v/>
      </c>
      <c r="H116" s="15">
        <f>IF(A116="","",COUNTIFS('潜水記録'!$B$5:$B$3004,A116,'潜水記録'!$AF$5:$AF$3004,$D$2))</f>
        <v/>
      </c>
      <c r="I116" s="15">
        <f>IF(A116="","",COUNTIF('潜水記録'!$B$5:$B$3004,A116))</f>
        <v/>
      </c>
      <c r="J116" s="15">
        <f>IF(A116="","",SUMIF('潜水記録'!$B$5:$B$3004,A116,'潜水記録'!$H$5:$H$3004))</f>
        <v/>
      </c>
      <c r="K116" s="15">
        <f>IF(A116="","",IF(I116=0,"",_xlfn.MAXIFS('潜水記録'!$G$5:$G$3004,'潜水記録'!$B$5:$B$3004,A116)))</f>
        <v/>
      </c>
      <c r="L116" s="16">
        <f>IF(A116="","",IF(I116=0,"",_xlfn.MAXIFS('潜水記録'!$A$5:$A$3004,'潜水記録'!$B$5:$B$3004,A116)))</f>
        <v/>
      </c>
      <c r="M116" s="15">
        <f>IF(L116="","",$B$2-L116)</f>
        <v/>
      </c>
    </row>
    <row r="117">
      <c r="A117" s="14">
        <f>IF('隊員マスタ'!A114="","",'隊員マスタ'!A114)</f>
        <v/>
      </c>
      <c r="B117" s="14">
        <f>IF(A117="","",'隊員マスタ'!B114)</f>
        <v/>
      </c>
      <c r="C117" s="14">
        <f>IF(A117="","",'隊員マスタ'!C114)</f>
        <v/>
      </c>
      <c r="D117" s="15">
        <f>IF(A117="","",'隊員マスタ'!D114)</f>
        <v/>
      </c>
      <c r="E117" s="15">
        <f>IF(A117="","",IF(COUNTIFS('資格研修記録'!$A$5:$A$1004,A117,'資格研修記録'!$D$5:$D$1004,"潜水士免許")&gt;0,"有","無"))</f>
        <v/>
      </c>
      <c r="F117" s="15">
        <f>IF(A117="","",IF(COUNTIFS('資格研修記録'!$A$5:$A$1004,A117,'資格研修記録'!$D$5:$D$1004,"水難救助研修")&gt;0,"修了","—"))</f>
        <v/>
      </c>
      <c r="G117" s="14">
        <f>IF(A117="","",IF((IF((COUNTIFS('資格研修記録'!$A$5:$A$1004,A117,'資格研修記録'!$D$5:$D$1004,"小型船舶1級",'資格研修記録'!$F$5:$F$1004,"")+COUNTIFS('資格研修記録'!$A$5:$A$1004,A117,'資格研修記録'!$D$5:$D$1004,"小型船舶1級",'資格研修記録'!$F$5:$F$1004,"&gt;="&amp;TODAY()))&gt;0,"1級",IF((COUNTIFS('資格研修記録'!$A$5:$A$1004,A117,'資格研修記録'!$D$5:$D$1004,"小型船舶2級",'資格研修記録'!$F$5:$F$1004,"")+COUNTIFS('資格研修記録'!$A$5:$A$1004,A117,'資格研修記録'!$D$5:$D$1004,"小型船舶2級",'資格研修記録'!$F$5:$F$1004,"&gt;="&amp;TODAY()))&gt;0,"2級",IF(COUNTIFS('資格研修記録'!$A$5:$A$1004,A117,'資格研修記録'!$D$5:$D$1004,"小型船舶1級")+COUNTIFS('資格研修記録'!$A$5:$A$1004,A117,'資格研修記録'!$D$5:$D$1004,"小型船舶2級")&gt;0,"× 1・2級 期限切れ",""))))&amp;(IF((COUNTIFS('資格研修記録'!$A$5:$A$1004,A117,'資格研修記録'!$D$5:$D$1004,"小型船舶特殊",'資格研修記録'!$F$5:$F$1004,"")+COUNTIFS('資格研修記録'!$A$5:$A$1004,A117,'資格研修記録'!$D$5:$D$1004,"小型船舶特殊",'資格研修記録'!$F$5:$F$1004,"&gt;="&amp;TODAY()))&gt;0,"特殊",IF(COUNTIFS('資格研修記録'!$A$5:$A$1004,A117,'資格研修記録'!$D$5:$D$1004,"小型船舶特殊")&gt;0,"× 特殊 期限切れ","")))="","—",_xlfn.TEXTJOIN("・",TRUE,IF((COUNTIFS('資格研修記録'!$A$5:$A$1004,A117,'資格研修記録'!$D$5:$D$1004,"小型船舶1級",'資格研修記録'!$F$5:$F$1004,"")+COUNTIFS('資格研修記録'!$A$5:$A$1004,A117,'資格研修記録'!$D$5:$D$1004,"小型船舶1級",'資格研修記録'!$F$5:$F$1004,"&gt;="&amp;TODAY()))&gt;0,"1級",IF((COUNTIFS('資格研修記録'!$A$5:$A$1004,A117,'資格研修記録'!$D$5:$D$1004,"小型船舶2級",'資格研修記録'!$F$5:$F$1004,"")+COUNTIFS('資格研修記録'!$A$5:$A$1004,A117,'資格研修記録'!$D$5:$D$1004,"小型船舶2級",'資格研修記録'!$F$5:$F$1004,"&gt;="&amp;TODAY()))&gt;0,"2級",IF(COUNTIFS('資格研修記録'!$A$5:$A$1004,A117,'資格研修記録'!$D$5:$D$1004,"小型船舶1級")+COUNTIFS('資格研修記録'!$A$5:$A$1004,A117,'資格研修記録'!$D$5:$D$1004,"小型船舶2級")&gt;0,"× 1・2級 期限切れ",""))),IF((COUNTIFS('資格研修記録'!$A$5:$A$1004,A117,'資格研修記録'!$D$5:$D$1004,"小型船舶特殊",'資格研修記録'!$F$5:$F$1004,"")+COUNTIFS('資格研修記録'!$A$5:$A$1004,A117,'資格研修記録'!$D$5:$D$1004,"小型船舶特殊",'資格研修記録'!$F$5:$F$1004,"&gt;="&amp;TODAY()))&gt;0,"特殊",IF(COUNTIFS('資格研修記録'!$A$5:$A$1004,A117,'資格研修記録'!$D$5:$D$1004,"小型船舶特殊")&gt;0,"× 特殊 期限切れ","")))))</f>
        <v/>
      </c>
      <c r="H117" s="15">
        <f>IF(A117="","",COUNTIFS('潜水記録'!$B$5:$B$3004,A117,'潜水記録'!$AF$5:$AF$3004,$D$2))</f>
        <v/>
      </c>
      <c r="I117" s="15">
        <f>IF(A117="","",COUNTIF('潜水記録'!$B$5:$B$3004,A117))</f>
        <v/>
      </c>
      <c r="J117" s="15">
        <f>IF(A117="","",SUMIF('潜水記録'!$B$5:$B$3004,A117,'潜水記録'!$H$5:$H$3004))</f>
        <v/>
      </c>
      <c r="K117" s="15">
        <f>IF(A117="","",IF(I117=0,"",_xlfn.MAXIFS('潜水記録'!$G$5:$G$3004,'潜水記録'!$B$5:$B$3004,A117)))</f>
        <v/>
      </c>
      <c r="L117" s="16">
        <f>IF(A117="","",IF(I117=0,"",_xlfn.MAXIFS('潜水記録'!$A$5:$A$3004,'潜水記録'!$B$5:$B$3004,A117)))</f>
        <v/>
      </c>
      <c r="M117" s="15">
        <f>IF(L117="","",$B$2-L117)</f>
        <v/>
      </c>
    </row>
    <row r="118">
      <c r="A118" s="14">
        <f>IF('隊員マスタ'!A115="","",'隊員マスタ'!A115)</f>
        <v/>
      </c>
      <c r="B118" s="14">
        <f>IF(A118="","",'隊員マスタ'!B115)</f>
        <v/>
      </c>
      <c r="C118" s="14">
        <f>IF(A118="","",'隊員マスタ'!C115)</f>
        <v/>
      </c>
      <c r="D118" s="15">
        <f>IF(A118="","",'隊員マスタ'!D115)</f>
        <v/>
      </c>
      <c r="E118" s="15">
        <f>IF(A118="","",IF(COUNTIFS('資格研修記録'!$A$5:$A$1004,A118,'資格研修記録'!$D$5:$D$1004,"潜水士免許")&gt;0,"有","無"))</f>
        <v/>
      </c>
      <c r="F118" s="15">
        <f>IF(A118="","",IF(COUNTIFS('資格研修記録'!$A$5:$A$1004,A118,'資格研修記録'!$D$5:$D$1004,"水難救助研修")&gt;0,"修了","—"))</f>
        <v/>
      </c>
      <c r="G118" s="14">
        <f>IF(A118="","",IF((IF((COUNTIFS('資格研修記録'!$A$5:$A$1004,A118,'資格研修記録'!$D$5:$D$1004,"小型船舶1級",'資格研修記録'!$F$5:$F$1004,"")+COUNTIFS('資格研修記録'!$A$5:$A$1004,A118,'資格研修記録'!$D$5:$D$1004,"小型船舶1級",'資格研修記録'!$F$5:$F$1004,"&gt;="&amp;TODAY()))&gt;0,"1級",IF((COUNTIFS('資格研修記録'!$A$5:$A$1004,A118,'資格研修記録'!$D$5:$D$1004,"小型船舶2級",'資格研修記録'!$F$5:$F$1004,"")+COUNTIFS('資格研修記録'!$A$5:$A$1004,A118,'資格研修記録'!$D$5:$D$1004,"小型船舶2級",'資格研修記録'!$F$5:$F$1004,"&gt;="&amp;TODAY()))&gt;0,"2級",IF(COUNTIFS('資格研修記録'!$A$5:$A$1004,A118,'資格研修記録'!$D$5:$D$1004,"小型船舶1級")+COUNTIFS('資格研修記録'!$A$5:$A$1004,A118,'資格研修記録'!$D$5:$D$1004,"小型船舶2級")&gt;0,"× 1・2級 期限切れ",""))))&amp;(IF((COUNTIFS('資格研修記録'!$A$5:$A$1004,A118,'資格研修記録'!$D$5:$D$1004,"小型船舶特殊",'資格研修記録'!$F$5:$F$1004,"")+COUNTIFS('資格研修記録'!$A$5:$A$1004,A118,'資格研修記録'!$D$5:$D$1004,"小型船舶特殊",'資格研修記録'!$F$5:$F$1004,"&gt;="&amp;TODAY()))&gt;0,"特殊",IF(COUNTIFS('資格研修記録'!$A$5:$A$1004,A118,'資格研修記録'!$D$5:$D$1004,"小型船舶特殊")&gt;0,"× 特殊 期限切れ","")))="","—",_xlfn.TEXTJOIN("・",TRUE,IF((COUNTIFS('資格研修記録'!$A$5:$A$1004,A118,'資格研修記録'!$D$5:$D$1004,"小型船舶1級",'資格研修記録'!$F$5:$F$1004,"")+COUNTIFS('資格研修記録'!$A$5:$A$1004,A118,'資格研修記録'!$D$5:$D$1004,"小型船舶1級",'資格研修記録'!$F$5:$F$1004,"&gt;="&amp;TODAY()))&gt;0,"1級",IF((COUNTIFS('資格研修記録'!$A$5:$A$1004,A118,'資格研修記録'!$D$5:$D$1004,"小型船舶2級",'資格研修記録'!$F$5:$F$1004,"")+COUNTIFS('資格研修記録'!$A$5:$A$1004,A118,'資格研修記録'!$D$5:$D$1004,"小型船舶2級",'資格研修記録'!$F$5:$F$1004,"&gt;="&amp;TODAY()))&gt;0,"2級",IF(COUNTIFS('資格研修記録'!$A$5:$A$1004,A118,'資格研修記録'!$D$5:$D$1004,"小型船舶1級")+COUNTIFS('資格研修記録'!$A$5:$A$1004,A118,'資格研修記録'!$D$5:$D$1004,"小型船舶2級")&gt;0,"× 1・2級 期限切れ",""))),IF((COUNTIFS('資格研修記録'!$A$5:$A$1004,A118,'資格研修記録'!$D$5:$D$1004,"小型船舶特殊",'資格研修記録'!$F$5:$F$1004,"")+COUNTIFS('資格研修記録'!$A$5:$A$1004,A118,'資格研修記録'!$D$5:$D$1004,"小型船舶特殊",'資格研修記録'!$F$5:$F$1004,"&gt;="&amp;TODAY()))&gt;0,"特殊",IF(COUNTIFS('資格研修記録'!$A$5:$A$1004,A118,'資格研修記録'!$D$5:$D$1004,"小型船舶特殊")&gt;0,"× 特殊 期限切れ","")))))</f>
        <v/>
      </c>
      <c r="H118" s="15">
        <f>IF(A118="","",COUNTIFS('潜水記録'!$B$5:$B$3004,A118,'潜水記録'!$AF$5:$AF$3004,$D$2))</f>
        <v/>
      </c>
      <c r="I118" s="15">
        <f>IF(A118="","",COUNTIF('潜水記録'!$B$5:$B$3004,A118))</f>
        <v/>
      </c>
      <c r="J118" s="15">
        <f>IF(A118="","",SUMIF('潜水記録'!$B$5:$B$3004,A118,'潜水記録'!$H$5:$H$3004))</f>
        <v/>
      </c>
      <c r="K118" s="15">
        <f>IF(A118="","",IF(I118=0,"",_xlfn.MAXIFS('潜水記録'!$G$5:$G$3004,'潜水記録'!$B$5:$B$3004,A118)))</f>
        <v/>
      </c>
      <c r="L118" s="16">
        <f>IF(A118="","",IF(I118=0,"",_xlfn.MAXIFS('潜水記録'!$A$5:$A$3004,'潜水記録'!$B$5:$B$3004,A118)))</f>
        <v/>
      </c>
      <c r="M118" s="15">
        <f>IF(L118="","",$B$2-L118)</f>
        <v/>
      </c>
    </row>
    <row r="119">
      <c r="A119" s="14">
        <f>IF('隊員マスタ'!A116="","",'隊員マスタ'!A116)</f>
        <v/>
      </c>
      <c r="B119" s="14">
        <f>IF(A119="","",'隊員マスタ'!B116)</f>
        <v/>
      </c>
      <c r="C119" s="14">
        <f>IF(A119="","",'隊員マスタ'!C116)</f>
        <v/>
      </c>
      <c r="D119" s="15">
        <f>IF(A119="","",'隊員マスタ'!D116)</f>
        <v/>
      </c>
      <c r="E119" s="15">
        <f>IF(A119="","",IF(COUNTIFS('資格研修記録'!$A$5:$A$1004,A119,'資格研修記録'!$D$5:$D$1004,"潜水士免許")&gt;0,"有","無"))</f>
        <v/>
      </c>
      <c r="F119" s="15">
        <f>IF(A119="","",IF(COUNTIFS('資格研修記録'!$A$5:$A$1004,A119,'資格研修記録'!$D$5:$D$1004,"水難救助研修")&gt;0,"修了","—"))</f>
        <v/>
      </c>
      <c r="G119" s="14">
        <f>IF(A119="","",IF((IF((COUNTIFS('資格研修記録'!$A$5:$A$1004,A119,'資格研修記録'!$D$5:$D$1004,"小型船舶1級",'資格研修記録'!$F$5:$F$1004,"")+COUNTIFS('資格研修記録'!$A$5:$A$1004,A119,'資格研修記録'!$D$5:$D$1004,"小型船舶1級",'資格研修記録'!$F$5:$F$1004,"&gt;="&amp;TODAY()))&gt;0,"1級",IF((COUNTIFS('資格研修記録'!$A$5:$A$1004,A119,'資格研修記録'!$D$5:$D$1004,"小型船舶2級",'資格研修記録'!$F$5:$F$1004,"")+COUNTIFS('資格研修記録'!$A$5:$A$1004,A119,'資格研修記録'!$D$5:$D$1004,"小型船舶2級",'資格研修記録'!$F$5:$F$1004,"&gt;="&amp;TODAY()))&gt;0,"2級",IF(COUNTIFS('資格研修記録'!$A$5:$A$1004,A119,'資格研修記録'!$D$5:$D$1004,"小型船舶1級")+COUNTIFS('資格研修記録'!$A$5:$A$1004,A119,'資格研修記録'!$D$5:$D$1004,"小型船舶2級")&gt;0,"× 1・2級 期限切れ",""))))&amp;(IF((COUNTIFS('資格研修記録'!$A$5:$A$1004,A119,'資格研修記録'!$D$5:$D$1004,"小型船舶特殊",'資格研修記録'!$F$5:$F$1004,"")+COUNTIFS('資格研修記録'!$A$5:$A$1004,A119,'資格研修記録'!$D$5:$D$1004,"小型船舶特殊",'資格研修記録'!$F$5:$F$1004,"&gt;="&amp;TODAY()))&gt;0,"特殊",IF(COUNTIFS('資格研修記録'!$A$5:$A$1004,A119,'資格研修記録'!$D$5:$D$1004,"小型船舶特殊")&gt;0,"× 特殊 期限切れ","")))="","—",_xlfn.TEXTJOIN("・",TRUE,IF((COUNTIFS('資格研修記録'!$A$5:$A$1004,A119,'資格研修記録'!$D$5:$D$1004,"小型船舶1級",'資格研修記録'!$F$5:$F$1004,"")+COUNTIFS('資格研修記録'!$A$5:$A$1004,A119,'資格研修記録'!$D$5:$D$1004,"小型船舶1級",'資格研修記録'!$F$5:$F$1004,"&gt;="&amp;TODAY()))&gt;0,"1級",IF((COUNTIFS('資格研修記録'!$A$5:$A$1004,A119,'資格研修記録'!$D$5:$D$1004,"小型船舶2級",'資格研修記録'!$F$5:$F$1004,"")+COUNTIFS('資格研修記録'!$A$5:$A$1004,A119,'資格研修記録'!$D$5:$D$1004,"小型船舶2級",'資格研修記録'!$F$5:$F$1004,"&gt;="&amp;TODAY()))&gt;0,"2級",IF(COUNTIFS('資格研修記録'!$A$5:$A$1004,A119,'資格研修記録'!$D$5:$D$1004,"小型船舶1級")+COUNTIFS('資格研修記録'!$A$5:$A$1004,A119,'資格研修記録'!$D$5:$D$1004,"小型船舶2級")&gt;0,"× 1・2級 期限切れ",""))),IF((COUNTIFS('資格研修記録'!$A$5:$A$1004,A119,'資格研修記録'!$D$5:$D$1004,"小型船舶特殊",'資格研修記録'!$F$5:$F$1004,"")+COUNTIFS('資格研修記録'!$A$5:$A$1004,A119,'資格研修記録'!$D$5:$D$1004,"小型船舶特殊",'資格研修記録'!$F$5:$F$1004,"&gt;="&amp;TODAY()))&gt;0,"特殊",IF(COUNTIFS('資格研修記録'!$A$5:$A$1004,A119,'資格研修記録'!$D$5:$D$1004,"小型船舶特殊")&gt;0,"× 特殊 期限切れ","")))))</f>
        <v/>
      </c>
      <c r="H119" s="15">
        <f>IF(A119="","",COUNTIFS('潜水記録'!$B$5:$B$3004,A119,'潜水記録'!$AF$5:$AF$3004,$D$2))</f>
        <v/>
      </c>
      <c r="I119" s="15">
        <f>IF(A119="","",COUNTIF('潜水記録'!$B$5:$B$3004,A119))</f>
        <v/>
      </c>
      <c r="J119" s="15">
        <f>IF(A119="","",SUMIF('潜水記録'!$B$5:$B$3004,A119,'潜水記録'!$H$5:$H$3004))</f>
        <v/>
      </c>
      <c r="K119" s="15">
        <f>IF(A119="","",IF(I119=0,"",_xlfn.MAXIFS('潜水記録'!$G$5:$G$3004,'潜水記録'!$B$5:$B$3004,A119)))</f>
        <v/>
      </c>
      <c r="L119" s="16">
        <f>IF(A119="","",IF(I119=0,"",_xlfn.MAXIFS('潜水記録'!$A$5:$A$3004,'潜水記録'!$B$5:$B$3004,A119)))</f>
        <v/>
      </c>
      <c r="M119" s="15">
        <f>IF(L119="","",$B$2-L119)</f>
        <v/>
      </c>
    </row>
    <row r="120">
      <c r="A120" s="14">
        <f>IF('隊員マスタ'!A117="","",'隊員マスタ'!A117)</f>
        <v/>
      </c>
      <c r="B120" s="14">
        <f>IF(A120="","",'隊員マスタ'!B117)</f>
        <v/>
      </c>
      <c r="C120" s="14">
        <f>IF(A120="","",'隊員マスタ'!C117)</f>
        <v/>
      </c>
      <c r="D120" s="15">
        <f>IF(A120="","",'隊員マスタ'!D117)</f>
        <v/>
      </c>
      <c r="E120" s="15">
        <f>IF(A120="","",IF(COUNTIFS('資格研修記録'!$A$5:$A$1004,A120,'資格研修記録'!$D$5:$D$1004,"潜水士免許")&gt;0,"有","無"))</f>
        <v/>
      </c>
      <c r="F120" s="15">
        <f>IF(A120="","",IF(COUNTIFS('資格研修記録'!$A$5:$A$1004,A120,'資格研修記録'!$D$5:$D$1004,"水難救助研修")&gt;0,"修了","—"))</f>
        <v/>
      </c>
      <c r="G120" s="14">
        <f>IF(A120="","",IF((IF((COUNTIFS('資格研修記録'!$A$5:$A$1004,A120,'資格研修記録'!$D$5:$D$1004,"小型船舶1級",'資格研修記録'!$F$5:$F$1004,"")+COUNTIFS('資格研修記録'!$A$5:$A$1004,A120,'資格研修記録'!$D$5:$D$1004,"小型船舶1級",'資格研修記録'!$F$5:$F$1004,"&gt;="&amp;TODAY()))&gt;0,"1級",IF((COUNTIFS('資格研修記録'!$A$5:$A$1004,A120,'資格研修記録'!$D$5:$D$1004,"小型船舶2級",'資格研修記録'!$F$5:$F$1004,"")+COUNTIFS('資格研修記録'!$A$5:$A$1004,A120,'資格研修記録'!$D$5:$D$1004,"小型船舶2級",'資格研修記録'!$F$5:$F$1004,"&gt;="&amp;TODAY()))&gt;0,"2級",IF(COUNTIFS('資格研修記録'!$A$5:$A$1004,A120,'資格研修記録'!$D$5:$D$1004,"小型船舶1級")+COUNTIFS('資格研修記録'!$A$5:$A$1004,A120,'資格研修記録'!$D$5:$D$1004,"小型船舶2級")&gt;0,"× 1・2級 期限切れ",""))))&amp;(IF((COUNTIFS('資格研修記録'!$A$5:$A$1004,A120,'資格研修記録'!$D$5:$D$1004,"小型船舶特殊",'資格研修記録'!$F$5:$F$1004,"")+COUNTIFS('資格研修記録'!$A$5:$A$1004,A120,'資格研修記録'!$D$5:$D$1004,"小型船舶特殊",'資格研修記録'!$F$5:$F$1004,"&gt;="&amp;TODAY()))&gt;0,"特殊",IF(COUNTIFS('資格研修記録'!$A$5:$A$1004,A120,'資格研修記録'!$D$5:$D$1004,"小型船舶特殊")&gt;0,"× 特殊 期限切れ","")))="","—",_xlfn.TEXTJOIN("・",TRUE,IF((COUNTIFS('資格研修記録'!$A$5:$A$1004,A120,'資格研修記録'!$D$5:$D$1004,"小型船舶1級",'資格研修記録'!$F$5:$F$1004,"")+COUNTIFS('資格研修記録'!$A$5:$A$1004,A120,'資格研修記録'!$D$5:$D$1004,"小型船舶1級",'資格研修記録'!$F$5:$F$1004,"&gt;="&amp;TODAY()))&gt;0,"1級",IF((COUNTIFS('資格研修記録'!$A$5:$A$1004,A120,'資格研修記録'!$D$5:$D$1004,"小型船舶2級",'資格研修記録'!$F$5:$F$1004,"")+COUNTIFS('資格研修記録'!$A$5:$A$1004,A120,'資格研修記録'!$D$5:$D$1004,"小型船舶2級",'資格研修記録'!$F$5:$F$1004,"&gt;="&amp;TODAY()))&gt;0,"2級",IF(COUNTIFS('資格研修記録'!$A$5:$A$1004,A120,'資格研修記録'!$D$5:$D$1004,"小型船舶1級")+COUNTIFS('資格研修記録'!$A$5:$A$1004,A120,'資格研修記録'!$D$5:$D$1004,"小型船舶2級")&gt;0,"× 1・2級 期限切れ",""))),IF((COUNTIFS('資格研修記録'!$A$5:$A$1004,A120,'資格研修記録'!$D$5:$D$1004,"小型船舶特殊",'資格研修記録'!$F$5:$F$1004,"")+COUNTIFS('資格研修記録'!$A$5:$A$1004,A120,'資格研修記録'!$D$5:$D$1004,"小型船舶特殊",'資格研修記録'!$F$5:$F$1004,"&gt;="&amp;TODAY()))&gt;0,"特殊",IF(COUNTIFS('資格研修記録'!$A$5:$A$1004,A120,'資格研修記録'!$D$5:$D$1004,"小型船舶特殊")&gt;0,"× 特殊 期限切れ","")))))</f>
        <v/>
      </c>
      <c r="H120" s="15">
        <f>IF(A120="","",COUNTIFS('潜水記録'!$B$5:$B$3004,A120,'潜水記録'!$AF$5:$AF$3004,$D$2))</f>
        <v/>
      </c>
      <c r="I120" s="15">
        <f>IF(A120="","",COUNTIF('潜水記録'!$B$5:$B$3004,A120))</f>
        <v/>
      </c>
      <c r="J120" s="15">
        <f>IF(A120="","",SUMIF('潜水記録'!$B$5:$B$3004,A120,'潜水記録'!$H$5:$H$3004))</f>
        <v/>
      </c>
      <c r="K120" s="15">
        <f>IF(A120="","",IF(I120=0,"",_xlfn.MAXIFS('潜水記録'!$G$5:$G$3004,'潜水記録'!$B$5:$B$3004,A120)))</f>
        <v/>
      </c>
      <c r="L120" s="16">
        <f>IF(A120="","",IF(I120=0,"",_xlfn.MAXIFS('潜水記録'!$A$5:$A$3004,'潜水記録'!$B$5:$B$3004,A120)))</f>
        <v/>
      </c>
      <c r="M120" s="15">
        <f>IF(L120="","",$B$2-L120)</f>
        <v/>
      </c>
    </row>
    <row r="121">
      <c r="A121" s="14">
        <f>IF('隊員マスタ'!A118="","",'隊員マスタ'!A118)</f>
        <v/>
      </c>
      <c r="B121" s="14">
        <f>IF(A121="","",'隊員マスタ'!B118)</f>
        <v/>
      </c>
      <c r="C121" s="14">
        <f>IF(A121="","",'隊員マスタ'!C118)</f>
        <v/>
      </c>
      <c r="D121" s="15">
        <f>IF(A121="","",'隊員マスタ'!D118)</f>
        <v/>
      </c>
      <c r="E121" s="15">
        <f>IF(A121="","",IF(COUNTIFS('資格研修記録'!$A$5:$A$1004,A121,'資格研修記録'!$D$5:$D$1004,"潜水士免許")&gt;0,"有","無"))</f>
        <v/>
      </c>
      <c r="F121" s="15">
        <f>IF(A121="","",IF(COUNTIFS('資格研修記録'!$A$5:$A$1004,A121,'資格研修記録'!$D$5:$D$1004,"水難救助研修")&gt;0,"修了","—"))</f>
        <v/>
      </c>
      <c r="G121" s="14">
        <f>IF(A121="","",IF((IF((COUNTIFS('資格研修記録'!$A$5:$A$1004,A121,'資格研修記録'!$D$5:$D$1004,"小型船舶1級",'資格研修記録'!$F$5:$F$1004,"")+COUNTIFS('資格研修記録'!$A$5:$A$1004,A121,'資格研修記録'!$D$5:$D$1004,"小型船舶1級",'資格研修記録'!$F$5:$F$1004,"&gt;="&amp;TODAY()))&gt;0,"1級",IF((COUNTIFS('資格研修記録'!$A$5:$A$1004,A121,'資格研修記録'!$D$5:$D$1004,"小型船舶2級",'資格研修記録'!$F$5:$F$1004,"")+COUNTIFS('資格研修記録'!$A$5:$A$1004,A121,'資格研修記録'!$D$5:$D$1004,"小型船舶2級",'資格研修記録'!$F$5:$F$1004,"&gt;="&amp;TODAY()))&gt;0,"2級",IF(COUNTIFS('資格研修記録'!$A$5:$A$1004,A121,'資格研修記録'!$D$5:$D$1004,"小型船舶1級")+COUNTIFS('資格研修記録'!$A$5:$A$1004,A121,'資格研修記録'!$D$5:$D$1004,"小型船舶2級")&gt;0,"× 1・2級 期限切れ",""))))&amp;(IF((COUNTIFS('資格研修記録'!$A$5:$A$1004,A121,'資格研修記録'!$D$5:$D$1004,"小型船舶特殊",'資格研修記録'!$F$5:$F$1004,"")+COUNTIFS('資格研修記録'!$A$5:$A$1004,A121,'資格研修記録'!$D$5:$D$1004,"小型船舶特殊",'資格研修記録'!$F$5:$F$1004,"&gt;="&amp;TODAY()))&gt;0,"特殊",IF(COUNTIFS('資格研修記録'!$A$5:$A$1004,A121,'資格研修記録'!$D$5:$D$1004,"小型船舶特殊")&gt;0,"× 特殊 期限切れ","")))="","—",_xlfn.TEXTJOIN("・",TRUE,IF((COUNTIFS('資格研修記録'!$A$5:$A$1004,A121,'資格研修記録'!$D$5:$D$1004,"小型船舶1級",'資格研修記録'!$F$5:$F$1004,"")+COUNTIFS('資格研修記録'!$A$5:$A$1004,A121,'資格研修記録'!$D$5:$D$1004,"小型船舶1級",'資格研修記録'!$F$5:$F$1004,"&gt;="&amp;TODAY()))&gt;0,"1級",IF((COUNTIFS('資格研修記録'!$A$5:$A$1004,A121,'資格研修記録'!$D$5:$D$1004,"小型船舶2級",'資格研修記録'!$F$5:$F$1004,"")+COUNTIFS('資格研修記録'!$A$5:$A$1004,A121,'資格研修記録'!$D$5:$D$1004,"小型船舶2級",'資格研修記録'!$F$5:$F$1004,"&gt;="&amp;TODAY()))&gt;0,"2級",IF(COUNTIFS('資格研修記録'!$A$5:$A$1004,A121,'資格研修記録'!$D$5:$D$1004,"小型船舶1級")+COUNTIFS('資格研修記録'!$A$5:$A$1004,A121,'資格研修記録'!$D$5:$D$1004,"小型船舶2級")&gt;0,"× 1・2級 期限切れ",""))),IF((COUNTIFS('資格研修記録'!$A$5:$A$1004,A121,'資格研修記録'!$D$5:$D$1004,"小型船舶特殊",'資格研修記録'!$F$5:$F$1004,"")+COUNTIFS('資格研修記録'!$A$5:$A$1004,A121,'資格研修記録'!$D$5:$D$1004,"小型船舶特殊",'資格研修記録'!$F$5:$F$1004,"&gt;="&amp;TODAY()))&gt;0,"特殊",IF(COUNTIFS('資格研修記録'!$A$5:$A$1004,A121,'資格研修記録'!$D$5:$D$1004,"小型船舶特殊")&gt;0,"× 特殊 期限切れ","")))))</f>
        <v/>
      </c>
      <c r="H121" s="15">
        <f>IF(A121="","",COUNTIFS('潜水記録'!$B$5:$B$3004,A121,'潜水記録'!$AF$5:$AF$3004,$D$2))</f>
        <v/>
      </c>
      <c r="I121" s="15">
        <f>IF(A121="","",COUNTIF('潜水記録'!$B$5:$B$3004,A121))</f>
        <v/>
      </c>
      <c r="J121" s="15">
        <f>IF(A121="","",SUMIF('潜水記録'!$B$5:$B$3004,A121,'潜水記録'!$H$5:$H$3004))</f>
        <v/>
      </c>
      <c r="K121" s="15">
        <f>IF(A121="","",IF(I121=0,"",_xlfn.MAXIFS('潜水記録'!$G$5:$G$3004,'潜水記録'!$B$5:$B$3004,A121)))</f>
        <v/>
      </c>
      <c r="L121" s="16">
        <f>IF(A121="","",IF(I121=0,"",_xlfn.MAXIFS('潜水記録'!$A$5:$A$3004,'潜水記録'!$B$5:$B$3004,A121)))</f>
        <v/>
      </c>
      <c r="M121" s="15">
        <f>IF(L121="","",$B$2-L121)</f>
        <v/>
      </c>
    </row>
    <row r="122">
      <c r="A122" s="14">
        <f>IF('隊員マスタ'!A119="","",'隊員マスタ'!A119)</f>
        <v/>
      </c>
      <c r="B122" s="14">
        <f>IF(A122="","",'隊員マスタ'!B119)</f>
        <v/>
      </c>
      <c r="C122" s="14">
        <f>IF(A122="","",'隊員マスタ'!C119)</f>
        <v/>
      </c>
      <c r="D122" s="15">
        <f>IF(A122="","",'隊員マスタ'!D119)</f>
        <v/>
      </c>
      <c r="E122" s="15">
        <f>IF(A122="","",IF(COUNTIFS('資格研修記録'!$A$5:$A$1004,A122,'資格研修記録'!$D$5:$D$1004,"潜水士免許")&gt;0,"有","無"))</f>
        <v/>
      </c>
      <c r="F122" s="15">
        <f>IF(A122="","",IF(COUNTIFS('資格研修記録'!$A$5:$A$1004,A122,'資格研修記録'!$D$5:$D$1004,"水難救助研修")&gt;0,"修了","—"))</f>
        <v/>
      </c>
      <c r="G122" s="14">
        <f>IF(A122="","",IF((IF((COUNTIFS('資格研修記録'!$A$5:$A$1004,A122,'資格研修記録'!$D$5:$D$1004,"小型船舶1級",'資格研修記録'!$F$5:$F$1004,"")+COUNTIFS('資格研修記録'!$A$5:$A$1004,A122,'資格研修記録'!$D$5:$D$1004,"小型船舶1級",'資格研修記録'!$F$5:$F$1004,"&gt;="&amp;TODAY()))&gt;0,"1級",IF((COUNTIFS('資格研修記録'!$A$5:$A$1004,A122,'資格研修記録'!$D$5:$D$1004,"小型船舶2級",'資格研修記録'!$F$5:$F$1004,"")+COUNTIFS('資格研修記録'!$A$5:$A$1004,A122,'資格研修記録'!$D$5:$D$1004,"小型船舶2級",'資格研修記録'!$F$5:$F$1004,"&gt;="&amp;TODAY()))&gt;0,"2級",IF(COUNTIFS('資格研修記録'!$A$5:$A$1004,A122,'資格研修記録'!$D$5:$D$1004,"小型船舶1級")+COUNTIFS('資格研修記録'!$A$5:$A$1004,A122,'資格研修記録'!$D$5:$D$1004,"小型船舶2級")&gt;0,"× 1・2級 期限切れ",""))))&amp;(IF((COUNTIFS('資格研修記録'!$A$5:$A$1004,A122,'資格研修記録'!$D$5:$D$1004,"小型船舶特殊",'資格研修記録'!$F$5:$F$1004,"")+COUNTIFS('資格研修記録'!$A$5:$A$1004,A122,'資格研修記録'!$D$5:$D$1004,"小型船舶特殊",'資格研修記録'!$F$5:$F$1004,"&gt;="&amp;TODAY()))&gt;0,"特殊",IF(COUNTIFS('資格研修記録'!$A$5:$A$1004,A122,'資格研修記録'!$D$5:$D$1004,"小型船舶特殊")&gt;0,"× 特殊 期限切れ","")))="","—",_xlfn.TEXTJOIN("・",TRUE,IF((COUNTIFS('資格研修記録'!$A$5:$A$1004,A122,'資格研修記録'!$D$5:$D$1004,"小型船舶1級",'資格研修記録'!$F$5:$F$1004,"")+COUNTIFS('資格研修記録'!$A$5:$A$1004,A122,'資格研修記録'!$D$5:$D$1004,"小型船舶1級",'資格研修記録'!$F$5:$F$1004,"&gt;="&amp;TODAY()))&gt;0,"1級",IF((COUNTIFS('資格研修記録'!$A$5:$A$1004,A122,'資格研修記録'!$D$5:$D$1004,"小型船舶2級",'資格研修記録'!$F$5:$F$1004,"")+COUNTIFS('資格研修記録'!$A$5:$A$1004,A122,'資格研修記録'!$D$5:$D$1004,"小型船舶2級",'資格研修記録'!$F$5:$F$1004,"&gt;="&amp;TODAY()))&gt;0,"2級",IF(COUNTIFS('資格研修記録'!$A$5:$A$1004,A122,'資格研修記録'!$D$5:$D$1004,"小型船舶1級")+COUNTIFS('資格研修記録'!$A$5:$A$1004,A122,'資格研修記録'!$D$5:$D$1004,"小型船舶2級")&gt;0,"× 1・2級 期限切れ",""))),IF((COUNTIFS('資格研修記録'!$A$5:$A$1004,A122,'資格研修記録'!$D$5:$D$1004,"小型船舶特殊",'資格研修記録'!$F$5:$F$1004,"")+COUNTIFS('資格研修記録'!$A$5:$A$1004,A122,'資格研修記録'!$D$5:$D$1004,"小型船舶特殊",'資格研修記録'!$F$5:$F$1004,"&gt;="&amp;TODAY()))&gt;0,"特殊",IF(COUNTIFS('資格研修記録'!$A$5:$A$1004,A122,'資格研修記録'!$D$5:$D$1004,"小型船舶特殊")&gt;0,"× 特殊 期限切れ","")))))</f>
        <v/>
      </c>
      <c r="H122" s="15">
        <f>IF(A122="","",COUNTIFS('潜水記録'!$B$5:$B$3004,A122,'潜水記録'!$AF$5:$AF$3004,$D$2))</f>
        <v/>
      </c>
      <c r="I122" s="15">
        <f>IF(A122="","",COUNTIF('潜水記録'!$B$5:$B$3004,A122))</f>
        <v/>
      </c>
      <c r="J122" s="15">
        <f>IF(A122="","",SUMIF('潜水記録'!$B$5:$B$3004,A122,'潜水記録'!$H$5:$H$3004))</f>
        <v/>
      </c>
      <c r="K122" s="15">
        <f>IF(A122="","",IF(I122=0,"",_xlfn.MAXIFS('潜水記録'!$G$5:$G$3004,'潜水記録'!$B$5:$B$3004,A122)))</f>
        <v/>
      </c>
      <c r="L122" s="16">
        <f>IF(A122="","",IF(I122=0,"",_xlfn.MAXIFS('潜水記録'!$A$5:$A$3004,'潜水記録'!$B$5:$B$3004,A122)))</f>
        <v/>
      </c>
      <c r="M122" s="15">
        <f>IF(L122="","",$B$2-L122)</f>
        <v/>
      </c>
    </row>
    <row r="123">
      <c r="A123" s="14">
        <f>IF('隊員マスタ'!A120="","",'隊員マスタ'!A120)</f>
        <v/>
      </c>
      <c r="B123" s="14">
        <f>IF(A123="","",'隊員マスタ'!B120)</f>
        <v/>
      </c>
      <c r="C123" s="14">
        <f>IF(A123="","",'隊員マスタ'!C120)</f>
        <v/>
      </c>
      <c r="D123" s="15">
        <f>IF(A123="","",'隊員マスタ'!D120)</f>
        <v/>
      </c>
      <c r="E123" s="15">
        <f>IF(A123="","",IF(COUNTIFS('資格研修記録'!$A$5:$A$1004,A123,'資格研修記録'!$D$5:$D$1004,"潜水士免許")&gt;0,"有","無"))</f>
        <v/>
      </c>
      <c r="F123" s="15">
        <f>IF(A123="","",IF(COUNTIFS('資格研修記録'!$A$5:$A$1004,A123,'資格研修記録'!$D$5:$D$1004,"水難救助研修")&gt;0,"修了","—"))</f>
        <v/>
      </c>
      <c r="G123" s="14">
        <f>IF(A123="","",IF((IF((COUNTIFS('資格研修記録'!$A$5:$A$1004,A123,'資格研修記録'!$D$5:$D$1004,"小型船舶1級",'資格研修記録'!$F$5:$F$1004,"")+COUNTIFS('資格研修記録'!$A$5:$A$1004,A123,'資格研修記録'!$D$5:$D$1004,"小型船舶1級",'資格研修記録'!$F$5:$F$1004,"&gt;="&amp;TODAY()))&gt;0,"1級",IF((COUNTIFS('資格研修記録'!$A$5:$A$1004,A123,'資格研修記録'!$D$5:$D$1004,"小型船舶2級",'資格研修記録'!$F$5:$F$1004,"")+COUNTIFS('資格研修記録'!$A$5:$A$1004,A123,'資格研修記録'!$D$5:$D$1004,"小型船舶2級",'資格研修記録'!$F$5:$F$1004,"&gt;="&amp;TODAY()))&gt;0,"2級",IF(COUNTIFS('資格研修記録'!$A$5:$A$1004,A123,'資格研修記録'!$D$5:$D$1004,"小型船舶1級")+COUNTIFS('資格研修記録'!$A$5:$A$1004,A123,'資格研修記録'!$D$5:$D$1004,"小型船舶2級")&gt;0,"× 1・2級 期限切れ",""))))&amp;(IF((COUNTIFS('資格研修記録'!$A$5:$A$1004,A123,'資格研修記録'!$D$5:$D$1004,"小型船舶特殊",'資格研修記録'!$F$5:$F$1004,"")+COUNTIFS('資格研修記録'!$A$5:$A$1004,A123,'資格研修記録'!$D$5:$D$1004,"小型船舶特殊",'資格研修記録'!$F$5:$F$1004,"&gt;="&amp;TODAY()))&gt;0,"特殊",IF(COUNTIFS('資格研修記録'!$A$5:$A$1004,A123,'資格研修記録'!$D$5:$D$1004,"小型船舶特殊")&gt;0,"× 特殊 期限切れ","")))="","—",_xlfn.TEXTJOIN("・",TRUE,IF((COUNTIFS('資格研修記録'!$A$5:$A$1004,A123,'資格研修記録'!$D$5:$D$1004,"小型船舶1級",'資格研修記録'!$F$5:$F$1004,"")+COUNTIFS('資格研修記録'!$A$5:$A$1004,A123,'資格研修記録'!$D$5:$D$1004,"小型船舶1級",'資格研修記録'!$F$5:$F$1004,"&gt;="&amp;TODAY()))&gt;0,"1級",IF((COUNTIFS('資格研修記録'!$A$5:$A$1004,A123,'資格研修記録'!$D$5:$D$1004,"小型船舶2級",'資格研修記録'!$F$5:$F$1004,"")+COUNTIFS('資格研修記録'!$A$5:$A$1004,A123,'資格研修記録'!$D$5:$D$1004,"小型船舶2級",'資格研修記録'!$F$5:$F$1004,"&gt;="&amp;TODAY()))&gt;0,"2級",IF(COUNTIFS('資格研修記録'!$A$5:$A$1004,A123,'資格研修記録'!$D$5:$D$1004,"小型船舶1級")+COUNTIFS('資格研修記録'!$A$5:$A$1004,A123,'資格研修記録'!$D$5:$D$1004,"小型船舶2級")&gt;0,"× 1・2級 期限切れ",""))),IF((COUNTIFS('資格研修記録'!$A$5:$A$1004,A123,'資格研修記録'!$D$5:$D$1004,"小型船舶特殊",'資格研修記録'!$F$5:$F$1004,"")+COUNTIFS('資格研修記録'!$A$5:$A$1004,A123,'資格研修記録'!$D$5:$D$1004,"小型船舶特殊",'資格研修記録'!$F$5:$F$1004,"&gt;="&amp;TODAY()))&gt;0,"特殊",IF(COUNTIFS('資格研修記録'!$A$5:$A$1004,A123,'資格研修記録'!$D$5:$D$1004,"小型船舶特殊")&gt;0,"× 特殊 期限切れ","")))))</f>
        <v/>
      </c>
      <c r="H123" s="15">
        <f>IF(A123="","",COUNTIFS('潜水記録'!$B$5:$B$3004,A123,'潜水記録'!$AF$5:$AF$3004,$D$2))</f>
        <v/>
      </c>
      <c r="I123" s="15">
        <f>IF(A123="","",COUNTIF('潜水記録'!$B$5:$B$3004,A123))</f>
        <v/>
      </c>
      <c r="J123" s="15">
        <f>IF(A123="","",SUMIF('潜水記録'!$B$5:$B$3004,A123,'潜水記録'!$H$5:$H$3004))</f>
        <v/>
      </c>
      <c r="K123" s="15">
        <f>IF(A123="","",IF(I123=0,"",_xlfn.MAXIFS('潜水記録'!$G$5:$G$3004,'潜水記録'!$B$5:$B$3004,A123)))</f>
        <v/>
      </c>
      <c r="L123" s="16">
        <f>IF(A123="","",IF(I123=0,"",_xlfn.MAXIFS('潜水記録'!$A$5:$A$3004,'潜水記録'!$B$5:$B$3004,A123)))</f>
        <v/>
      </c>
      <c r="M123" s="15">
        <f>IF(L123="","",$B$2-L123)</f>
        <v/>
      </c>
    </row>
    <row r="124">
      <c r="A124" s="14">
        <f>IF('隊員マスタ'!A121="","",'隊員マスタ'!A121)</f>
        <v/>
      </c>
      <c r="B124" s="14">
        <f>IF(A124="","",'隊員マスタ'!B121)</f>
        <v/>
      </c>
      <c r="C124" s="14">
        <f>IF(A124="","",'隊員マスタ'!C121)</f>
        <v/>
      </c>
      <c r="D124" s="15">
        <f>IF(A124="","",'隊員マスタ'!D121)</f>
        <v/>
      </c>
      <c r="E124" s="15">
        <f>IF(A124="","",IF(COUNTIFS('資格研修記録'!$A$5:$A$1004,A124,'資格研修記録'!$D$5:$D$1004,"潜水士免許")&gt;0,"有","無"))</f>
        <v/>
      </c>
      <c r="F124" s="15">
        <f>IF(A124="","",IF(COUNTIFS('資格研修記録'!$A$5:$A$1004,A124,'資格研修記録'!$D$5:$D$1004,"水難救助研修")&gt;0,"修了","—"))</f>
        <v/>
      </c>
      <c r="G124" s="14">
        <f>IF(A124="","",IF((IF((COUNTIFS('資格研修記録'!$A$5:$A$1004,A124,'資格研修記録'!$D$5:$D$1004,"小型船舶1級",'資格研修記録'!$F$5:$F$1004,"")+COUNTIFS('資格研修記録'!$A$5:$A$1004,A124,'資格研修記録'!$D$5:$D$1004,"小型船舶1級",'資格研修記録'!$F$5:$F$1004,"&gt;="&amp;TODAY()))&gt;0,"1級",IF((COUNTIFS('資格研修記録'!$A$5:$A$1004,A124,'資格研修記録'!$D$5:$D$1004,"小型船舶2級",'資格研修記録'!$F$5:$F$1004,"")+COUNTIFS('資格研修記録'!$A$5:$A$1004,A124,'資格研修記録'!$D$5:$D$1004,"小型船舶2級",'資格研修記録'!$F$5:$F$1004,"&gt;="&amp;TODAY()))&gt;0,"2級",IF(COUNTIFS('資格研修記録'!$A$5:$A$1004,A124,'資格研修記録'!$D$5:$D$1004,"小型船舶1級")+COUNTIFS('資格研修記録'!$A$5:$A$1004,A124,'資格研修記録'!$D$5:$D$1004,"小型船舶2級")&gt;0,"× 1・2級 期限切れ",""))))&amp;(IF((COUNTIFS('資格研修記録'!$A$5:$A$1004,A124,'資格研修記録'!$D$5:$D$1004,"小型船舶特殊",'資格研修記録'!$F$5:$F$1004,"")+COUNTIFS('資格研修記録'!$A$5:$A$1004,A124,'資格研修記録'!$D$5:$D$1004,"小型船舶特殊",'資格研修記録'!$F$5:$F$1004,"&gt;="&amp;TODAY()))&gt;0,"特殊",IF(COUNTIFS('資格研修記録'!$A$5:$A$1004,A124,'資格研修記録'!$D$5:$D$1004,"小型船舶特殊")&gt;0,"× 特殊 期限切れ","")))="","—",_xlfn.TEXTJOIN("・",TRUE,IF((COUNTIFS('資格研修記録'!$A$5:$A$1004,A124,'資格研修記録'!$D$5:$D$1004,"小型船舶1級",'資格研修記録'!$F$5:$F$1004,"")+COUNTIFS('資格研修記録'!$A$5:$A$1004,A124,'資格研修記録'!$D$5:$D$1004,"小型船舶1級",'資格研修記録'!$F$5:$F$1004,"&gt;="&amp;TODAY()))&gt;0,"1級",IF((COUNTIFS('資格研修記録'!$A$5:$A$1004,A124,'資格研修記録'!$D$5:$D$1004,"小型船舶2級",'資格研修記録'!$F$5:$F$1004,"")+COUNTIFS('資格研修記録'!$A$5:$A$1004,A124,'資格研修記録'!$D$5:$D$1004,"小型船舶2級",'資格研修記録'!$F$5:$F$1004,"&gt;="&amp;TODAY()))&gt;0,"2級",IF(COUNTIFS('資格研修記録'!$A$5:$A$1004,A124,'資格研修記録'!$D$5:$D$1004,"小型船舶1級")+COUNTIFS('資格研修記録'!$A$5:$A$1004,A124,'資格研修記録'!$D$5:$D$1004,"小型船舶2級")&gt;0,"× 1・2級 期限切れ",""))),IF((COUNTIFS('資格研修記録'!$A$5:$A$1004,A124,'資格研修記録'!$D$5:$D$1004,"小型船舶特殊",'資格研修記録'!$F$5:$F$1004,"")+COUNTIFS('資格研修記録'!$A$5:$A$1004,A124,'資格研修記録'!$D$5:$D$1004,"小型船舶特殊",'資格研修記録'!$F$5:$F$1004,"&gt;="&amp;TODAY()))&gt;0,"特殊",IF(COUNTIFS('資格研修記録'!$A$5:$A$1004,A124,'資格研修記録'!$D$5:$D$1004,"小型船舶特殊")&gt;0,"× 特殊 期限切れ","")))))</f>
        <v/>
      </c>
      <c r="H124" s="15">
        <f>IF(A124="","",COUNTIFS('潜水記録'!$B$5:$B$3004,A124,'潜水記録'!$AF$5:$AF$3004,$D$2))</f>
        <v/>
      </c>
      <c r="I124" s="15">
        <f>IF(A124="","",COUNTIF('潜水記録'!$B$5:$B$3004,A124))</f>
        <v/>
      </c>
      <c r="J124" s="15">
        <f>IF(A124="","",SUMIF('潜水記録'!$B$5:$B$3004,A124,'潜水記録'!$H$5:$H$3004))</f>
        <v/>
      </c>
      <c r="K124" s="15">
        <f>IF(A124="","",IF(I124=0,"",_xlfn.MAXIFS('潜水記録'!$G$5:$G$3004,'潜水記録'!$B$5:$B$3004,A124)))</f>
        <v/>
      </c>
      <c r="L124" s="16">
        <f>IF(A124="","",IF(I124=0,"",_xlfn.MAXIFS('潜水記録'!$A$5:$A$3004,'潜水記録'!$B$5:$B$3004,A124)))</f>
        <v/>
      </c>
      <c r="M124" s="15">
        <f>IF(L124="","",$B$2-L124)</f>
        <v/>
      </c>
    </row>
    <row r="125">
      <c r="A125" s="14">
        <f>IF('隊員マスタ'!A122="","",'隊員マスタ'!A122)</f>
        <v/>
      </c>
      <c r="B125" s="14">
        <f>IF(A125="","",'隊員マスタ'!B122)</f>
        <v/>
      </c>
      <c r="C125" s="14">
        <f>IF(A125="","",'隊員マスタ'!C122)</f>
        <v/>
      </c>
      <c r="D125" s="15">
        <f>IF(A125="","",'隊員マスタ'!D122)</f>
        <v/>
      </c>
      <c r="E125" s="15">
        <f>IF(A125="","",IF(COUNTIFS('資格研修記録'!$A$5:$A$1004,A125,'資格研修記録'!$D$5:$D$1004,"潜水士免許")&gt;0,"有","無"))</f>
        <v/>
      </c>
      <c r="F125" s="15">
        <f>IF(A125="","",IF(COUNTIFS('資格研修記録'!$A$5:$A$1004,A125,'資格研修記録'!$D$5:$D$1004,"水難救助研修")&gt;0,"修了","—"))</f>
        <v/>
      </c>
      <c r="G125" s="14">
        <f>IF(A125="","",IF((IF((COUNTIFS('資格研修記録'!$A$5:$A$1004,A125,'資格研修記録'!$D$5:$D$1004,"小型船舶1級",'資格研修記録'!$F$5:$F$1004,"")+COUNTIFS('資格研修記録'!$A$5:$A$1004,A125,'資格研修記録'!$D$5:$D$1004,"小型船舶1級",'資格研修記録'!$F$5:$F$1004,"&gt;="&amp;TODAY()))&gt;0,"1級",IF((COUNTIFS('資格研修記録'!$A$5:$A$1004,A125,'資格研修記録'!$D$5:$D$1004,"小型船舶2級",'資格研修記録'!$F$5:$F$1004,"")+COUNTIFS('資格研修記録'!$A$5:$A$1004,A125,'資格研修記録'!$D$5:$D$1004,"小型船舶2級",'資格研修記録'!$F$5:$F$1004,"&gt;="&amp;TODAY()))&gt;0,"2級",IF(COUNTIFS('資格研修記録'!$A$5:$A$1004,A125,'資格研修記録'!$D$5:$D$1004,"小型船舶1級")+COUNTIFS('資格研修記録'!$A$5:$A$1004,A125,'資格研修記録'!$D$5:$D$1004,"小型船舶2級")&gt;0,"× 1・2級 期限切れ",""))))&amp;(IF((COUNTIFS('資格研修記録'!$A$5:$A$1004,A125,'資格研修記録'!$D$5:$D$1004,"小型船舶特殊",'資格研修記録'!$F$5:$F$1004,"")+COUNTIFS('資格研修記録'!$A$5:$A$1004,A125,'資格研修記録'!$D$5:$D$1004,"小型船舶特殊",'資格研修記録'!$F$5:$F$1004,"&gt;="&amp;TODAY()))&gt;0,"特殊",IF(COUNTIFS('資格研修記録'!$A$5:$A$1004,A125,'資格研修記録'!$D$5:$D$1004,"小型船舶特殊")&gt;0,"× 特殊 期限切れ","")))="","—",_xlfn.TEXTJOIN("・",TRUE,IF((COUNTIFS('資格研修記録'!$A$5:$A$1004,A125,'資格研修記録'!$D$5:$D$1004,"小型船舶1級",'資格研修記録'!$F$5:$F$1004,"")+COUNTIFS('資格研修記録'!$A$5:$A$1004,A125,'資格研修記録'!$D$5:$D$1004,"小型船舶1級",'資格研修記録'!$F$5:$F$1004,"&gt;="&amp;TODAY()))&gt;0,"1級",IF((COUNTIFS('資格研修記録'!$A$5:$A$1004,A125,'資格研修記録'!$D$5:$D$1004,"小型船舶2級",'資格研修記録'!$F$5:$F$1004,"")+COUNTIFS('資格研修記録'!$A$5:$A$1004,A125,'資格研修記録'!$D$5:$D$1004,"小型船舶2級",'資格研修記録'!$F$5:$F$1004,"&gt;="&amp;TODAY()))&gt;0,"2級",IF(COUNTIFS('資格研修記録'!$A$5:$A$1004,A125,'資格研修記録'!$D$5:$D$1004,"小型船舶1級")+COUNTIFS('資格研修記録'!$A$5:$A$1004,A125,'資格研修記録'!$D$5:$D$1004,"小型船舶2級")&gt;0,"× 1・2級 期限切れ",""))),IF((COUNTIFS('資格研修記録'!$A$5:$A$1004,A125,'資格研修記録'!$D$5:$D$1004,"小型船舶特殊",'資格研修記録'!$F$5:$F$1004,"")+COUNTIFS('資格研修記録'!$A$5:$A$1004,A125,'資格研修記録'!$D$5:$D$1004,"小型船舶特殊",'資格研修記録'!$F$5:$F$1004,"&gt;="&amp;TODAY()))&gt;0,"特殊",IF(COUNTIFS('資格研修記録'!$A$5:$A$1004,A125,'資格研修記録'!$D$5:$D$1004,"小型船舶特殊")&gt;0,"× 特殊 期限切れ","")))))</f>
        <v/>
      </c>
      <c r="H125" s="15">
        <f>IF(A125="","",COUNTIFS('潜水記録'!$B$5:$B$3004,A125,'潜水記録'!$AF$5:$AF$3004,$D$2))</f>
        <v/>
      </c>
      <c r="I125" s="15">
        <f>IF(A125="","",COUNTIF('潜水記録'!$B$5:$B$3004,A125))</f>
        <v/>
      </c>
      <c r="J125" s="15">
        <f>IF(A125="","",SUMIF('潜水記録'!$B$5:$B$3004,A125,'潜水記録'!$H$5:$H$3004))</f>
        <v/>
      </c>
      <c r="K125" s="15">
        <f>IF(A125="","",IF(I125=0,"",_xlfn.MAXIFS('潜水記録'!$G$5:$G$3004,'潜水記録'!$B$5:$B$3004,A125)))</f>
        <v/>
      </c>
      <c r="L125" s="16">
        <f>IF(A125="","",IF(I125=0,"",_xlfn.MAXIFS('潜水記録'!$A$5:$A$3004,'潜水記録'!$B$5:$B$3004,A125)))</f>
        <v/>
      </c>
      <c r="M125" s="15">
        <f>IF(L125="","",$B$2-L125)</f>
        <v/>
      </c>
    </row>
    <row r="126">
      <c r="A126" s="14">
        <f>IF('隊員マスタ'!A123="","",'隊員マスタ'!A123)</f>
        <v/>
      </c>
      <c r="B126" s="14">
        <f>IF(A126="","",'隊員マスタ'!B123)</f>
        <v/>
      </c>
      <c r="C126" s="14">
        <f>IF(A126="","",'隊員マスタ'!C123)</f>
        <v/>
      </c>
      <c r="D126" s="15">
        <f>IF(A126="","",'隊員マスタ'!D123)</f>
        <v/>
      </c>
      <c r="E126" s="15">
        <f>IF(A126="","",IF(COUNTIFS('資格研修記録'!$A$5:$A$1004,A126,'資格研修記録'!$D$5:$D$1004,"潜水士免許")&gt;0,"有","無"))</f>
        <v/>
      </c>
      <c r="F126" s="15">
        <f>IF(A126="","",IF(COUNTIFS('資格研修記録'!$A$5:$A$1004,A126,'資格研修記録'!$D$5:$D$1004,"水難救助研修")&gt;0,"修了","—"))</f>
        <v/>
      </c>
      <c r="G126" s="14">
        <f>IF(A126="","",IF((IF((COUNTIFS('資格研修記録'!$A$5:$A$1004,A126,'資格研修記録'!$D$5:$D$1004,"小型船舶1級",'資格研修記録'!$F$5:$F$1004,"")+COUNTIFS('資格研修記録'!$A$5:$A$1004,A126,'資格研修記録'!$D$5:$D$1004,"小型船舶1級",'資格研修記録'!$F$5:$F$1004,"&gt;="&amp;TODAY()))&gt;0,"1級",IF((COUNTIFS('資格研修記録'!$A$5:$A$1004,A126,'資格研修記録'!$D$5:$D$1004,"小型船舶2級",'資格研修記録'!$F$5:$F$1004,"")+COUNTIFS('資格研修記録'!$A$5:$A$1004,A126,'資格研修記録'!$D$5:$D$1004,"小型船舶2級",'資格研修記録'!$F$5:$F$1004,"&gt;="&amp;TODAY()))&gt;0,"2級",IF(COUNTIFS('資格研修記録'!$A$5:$A$1004,A126,'資格研修記録'!$D$5:$D$1004,"小型船舶1級")+COUNTIFS('資格研修記録'!$A$5:$A$1004,A126,'資格研修記録'!$D$5:$D$1004,"小型船舶2級")&gt;0,"× 1・2級 期限切れ",""))))&amp;(IF((COUNTIFS('資格研修記録'!$A$5:$A$1004,A126,'資格研修記録'!$D$5:$D$1004,"小型船舶特殊",'資格研修記録'!$F$5:$F$1004,"")+COUNTIFS('資格研修記録'!$A$5:$A$1004,A126,'資格研修記録'!$D$5:$D$1004,"小型船舶特殊",'資格研修記録'!$F$5:$F$1004,"&gt;="&amp;TODAY()))&gt;0,"特殊",IF(COUNTIFS('資格研修記録'!$A$5:$A$1004,A126,'資格研修記録'!$D$5:$D$1004,"小型船舶特殊")&gt;0,"× 特殊 期限切れ","")))="","—",_xlfn.TEXTJOIN("・",TRUE,IF((COUNTIFS('資格研修記録'!$A$5:$A$1004,A126,'資格研修記録'!$D$5:$D$1004,"小型船舶1級",'資格研修記録'!$F$5:$F$1004,"")+COUNTIFS('資格研修記録'!$A$5:$A$1004,A126,'資格研修記録'!$D$5:$D$1004,"小型船舶1級",'資格研修記録'!$F$5:$F$1004,"&gt;="&amp;TODAY()))&gt;0,"1級",IF((COUNTIFS('資格研修記録'!$A$5:$A$1004,A126,'資格研修記録'!$D$5:$D$1004,"小型船舶2級",'資格研修記録'!$F$5:$F$1004,"")+COUNTIFS('資格研修記録'!$A$5:$A$1004,A126,'資格研修記録'!$D$5:$D$1004,"小型船舶2級",'資格研修記録'!$F$5:$F$1004,"&gt;="&amp;TODAY()))&gt;0,"2級",IF(COUNTIFS('資格研修記録'!$A$5:$A$1004,A126,'資格研修記録'!$D$5:$D$1004,"小型船舶1級")+COUNTIFS('資格研修記録'!$A$5:$A$1004,A126,'資格研修記録'!$D$5:$D$1004,"小型船舶2級")&gt;0,"× 1・2級 期限切れ",""))),IF((COUNTIFS('資格研修記録'!$A$5:$A$1004,A126,'資格研修記録'!$D$5:$D$1004,"小型船舶特殊",'資格研修記録'!$F$5:$F$1004,"")+COUNTIFS('資格研修記録'!$A$5:$A$1004,A126,'資格研修記録'!$D$5:$D$1004,"小型船舶特殊",'資格研修記録'!$F$5:$F$1004,"&gt;="&amp;TODAY()))&gt;0,"特殊",IF(COUNTIFS('資格研修記録'!$A$5:$A$1004,A126,'資格研修記録'!$D$5:$D$1004,"小型船舶特殊")&gt;0,"× 特殊 期限切れ","")))))</f>
        <v/>
      </c>
      <c r="H126" s="15">
        <f>IF(A126="","",COUNTIFS('潜水記録'!$B$5:$B$3004,A126,'潜水記録'!$AF$5:$AF$3004,$D$2))</f>
        <v/>
      </c>
      <c r="I126" s="15">
        <f>IF(A126="","",COUNTIF('潜水記録'!$B$5:$B$3004,A126))</f>
        <v/>
      </c>
      <c r="J126" s="15">
        <f>IF(A126="","",SUMIF('潜水記録'!$B$5:$B$3004,A126,'潜水記録'!$H$5:$H$3004))</f>
        <v/>
      </c>
      <c r="K126" s="15">
        <f>IF(A126="","",IF(I126=0,"",_xlfn.MAXIFS('潜水記録'!$G$5:$G$3004,'潜水記録'!$B$5:$B$3004,A126)))</f>
        <v/>
      </c>
      <c r="L126" s="16">
        <f>IF(A126="","",IF(I126=0,"",_xlfn.MAXIFS('潜水記録'!$A$5:$A$3004,'潜水記録'!$B$5:$B$3004,A126)))</f>
        <v/>
      </c>
      <c r="M126" s="15">
        <f>IF(L126="","",$B$2-L126)</f>
        <v/>
      </c>
    </row>
    <row r="127">
      <c r="A127" s="14">
        <f>IF('隊員マスタ'!A124="","",'隊員マスタ'!A124)</f>
        <v/>
      </c>
      <c r="B127" s="14">
        <f>IF(A127="","",'隊員マスタ'!B124)</f>
        <v/>
      </c>
      <c r="C127" s="14">
        <f>IF(A127="","",'隊員マスタ'!C124)</f>
        <v/>
      </c>
      <c r="D127" s="15">
        <f>IF(A127="","",'隊員マスタ'!D124)</f>
        <v/>
      </c>
      <c r="E127" s="15">
        <f>IF(A127="","",IF(COUNTIFS('資格研修記録'!$A$5:$A$1004,A127,'資格研修記録'!$D$5:$D$1004,"潜水士免許")&gt;0,"有","無"))</f>
        <v/>
      </c>
      <c r="F127" s="15">
        <f>IF(A127="","",IF(COUNTIFS('資格研修記録'!$A$5:$A$1004,A127,'資格研修記録'!$D$5:$D$1004,"水難救助研修")&gt;0,"修了","—"))</f>
        <v/>
      </c>
      <c r="G127" s="14">
        <f>IF(A127="","",IF((IF((COUNTIFS('資格研修記録'!$A$5:$A$1004,A127,'資格研修記録'!$D$5:$D$1004,"小型船舶1級",'資格研修記録'!$F$5:$F$1004,"")+COUNTIFS('資格研修記録'!$A$5:$A$1004,A127,'資格研修記録'!$D$5:$D$1004,"小型船舶1級",'資格研修記録'!$F$5:$F$1004,"&gt;="&amp;TODAY()))&gt;0,"1級",IF((COUNTIFS('資格研修記録'!$A$5:$A$1004,A127,'資格研修記録'!$D$5:$D$1004,"小型船舶2級",'資格研修記録'!$F$5:$F$1004,"")+COUNTIFS('資格研修記録'!$A$5:$A$1004,A127,'資格研修記録'!$D$5:$D$1004,"小型船舶2級",'資格研修記録'!$F$5:$F$1004,"&gt;="&amp;TODAY()))&gt;0,"2級",IF(COUNTIFS('資格研修記録'!$A$5:$A$1004,A127,'資格研修記録'!$D$5:$D$1004,"小型船舶1級")+COUNTIFS('資格研修記録'!$A$5:$A$1004,A127,'資格研修記録'!$D$5:$D$1004,"小型船舶2級")&gt;0,"× 1・2級 期限切れ",""))))&amp;(IF((COUNTIFS('資格研修記録'!$A$5:$A$1004,A127,'資格研修記録'!$D$5:$D$1004,"小型船舶特殊",'資格研修記録'!$F$5:$F$1004,"")+COUNTIFS('資格研修記録'!$A$5:$A$1004,A127,'資格研修記録'!$D$5:$D$1004,"小型船舶特殊",'資格研修記録'!$F$5:$F$1004,"&gt;="&amp;TODAY()))&gt;0,"特殊",IF(COUNTIFS('資格研修記録'!$A$5:$A$1004,A127,'資格研修記録'!$D$5:$D$1004,"小型船舶特殊")&gt;0,"× 特殊 期限切れ","")))="","—",_xlfn.TEXTJOIN("・",TRUE,IF((COUNTIFS('資格研修記録'!$A$5:$A$1004,A127,'資格研修記録'!$D$5:$D$1004,"小型船舶1級",'資格研修記録'!$F$5:$F$1004,"")+COUNTIFS('資格研修記録'!$A$5:$A$1004,A127,'資格研修記録'!$D$5:$D$1004,"小型船舶1級",'資格研修記録'!$F$5:$F$1004,"&gt;="&amp;TODAY()))&gt;0,"1級",IF((COUNTIFS('資格研修記録'!$A$5:$A$1004,A127,'資格研修記録'!$D$5:$D$1004,"小型船舶2級",'資格研修記録'!$F$5:$F$1004,"")+COUNTIFS('資格研修記録'!$A$5:$A$1004,A127,'資格研修記録'!$D$5:$D$1004,"小型船舶2級",'資格研修記録'!$F$5:$F$1004,"&gt;="&amp;TODAY()))&gt;0,"2級",IF(COUNTIFS('資格研修記録'!$A$5:$A$1004,A127,'資格研修記録'!$D$5:$D$1004,"小型船舶1級")+COUNTIFS('資格研修記録'!$A$5:$A$1004,A127,'資格研修記録'!$D$5:$D$1004,"小型船舶2級")&gt;0,"× 1・2級 期限切れ",""))),IF((COUNTIFS('資格研修記録'!$A$5:$A$1004,A127,'資格研修記録'!$D$5:$D$1004,"小型船舶特殊",'資格研修記録'!$F$5:$F$1004,"")+COUNTIFS('資格研修記録'!$A$5:$A$1004,A127,'資格研修記録'!$D$5:$D$1004,"小型船舶特殊",'資格研修記録'!$F$5:$F$1004,"&gt;="&amp;TODAY()))&gt;0,"特殊",IF(COUNTIFS('資格研修記録'!$A$5:$A$1004,A127,'資格研修記録'!$D$5:$D$1004,"小型船舶特殊")&gt;0,"× 特殊 期限切れ","")))))</f>
        <v/>
      </c>
      <c r="H127" s="15">
        <f>IF(A127="","",COUNTIFS('潜水記録'!$B$5:$B$3004,A127,'潜水記録'!$AF$5:$AF$3004,$D$2))</f>
        <v/>
      </c>
      <c r="I127" s="15">
        <f>IF(A127="","",COUNTIF('潜水記録'!$B$5:$B$3004,A127))</f>
        <v/>
      </c>
      <c r="J127" s="15">
        <f>IF(A127="","",SUMIF('潜水記録'!$B$5:$B$3004,A127,'潜水記録'!$H$5:$H$3004))</f>
        <v/>
      </c>
      <c r="K127" s="15">
        <f>IF(A127="","",IF(I127=0,"",_xlfn.MAXIFS('潜水記録'!$G$5:$G$3004,'潜水記録'!$B$5:$B$3004,A127)))</f>
        <v/>
      </c>
      <c r="L127" s="16">
        <f>IF(A127="","",IF(I127=0,"",_xlfn.MAXIFS('潜水記録'!$A$5:$A$3004,'潜水記録'!$B$5:$B$3004,A127)))</f>
        <v/>
      </c>
      <c r="M127" s="15">
        <f>IF(L127="","",$B$2-L127)</f>
        <v/>
      </c>
    </row>
    <row r="128">
      <c r="A128" s="14">
        <f>IF('隊員マスタ'!A125="","",'隊員マスタ'!A125)</f>
        <v/>
      </c>
      <c r="B128" s="14">
        <f>IF(A128="","",'隊員マスタ'!B125)</f>
        <v/>
      </c>
      <c r="C128" s="14">
        <f>IF(A128="","",'隊員マスタ'!C125)</f>
        <v/>
      </c>
      <c r="D128" s="15">
        <f>IF(A128="","",'隊員マスタ'!D125)</f>
        <v/>
      </c>
      <c r="E128" s="15">
        <f>IF(A128="","",IF(COUNTIFS('資格研修記録'!$A$5:$A$1004,A128,'資格研修記録'!$D$5:$D$1004,"潜水士免許")&gt;0,"有","無"))</f>
        <v/>
      </c>
      <c r="F128" s="15">
        <f>IF(A128="","",IF(COUNTIFS('資格研修記録'!$A$5:$A$1004,A128,'資格研修記録'!$D$5:$D$1004,"水難救助研修")&gt;0,"修了","—"))</f>
        <v/>
      </c>
      <c r="G128" s="14">
        <f>IF(A128="","",IF((IF((COUNTIFS('資格研修記録'!$A$5:$A$1004,A128,'資格研修記録'!$D$5:$D$1004,"小型船舶1級",'資格研修記録'!$F$5:$F$1004,"")+COUNTIFS('資格研修記録'!$A$5:$A$1004,A128,'資格研修記録'!$D$5:$D$1004,"小型船舶1級",'資格研修記録'!$F$5:$F$1004,"&gt;="&amp;TODAY()))&gt;0,"1級",IF((COUNTIFS('資格研修記録'!$A$5:$A$1004,A128,'資格研修記録'!$D$5:$D$1004,"小型船舶2級",'資格研修記録'!$F$5:$F$1004,"")+COUNTIFS('資格研修記録'!$A$5:$A$1004,A128,'資格研修記録'!$D$5:$D$1004,"小型船舶2級",'資格研修記録'!$F$5:$F$1004,"&gt;="&amp;TODAY()))&gt;0,"2級",IF(COUNTIFS('資格研修記録'!$A$5:$A$1004,A128,'資格研修記録'!$D$5:$D$1004,"小型船舶1級")+COUNTIFS('資格研修記録'!$A$5:$A$1004,A128,'資格研修記録'!$D$5:$D$1004,"小型船舶2級")&gt;0,"× 1・2級 期限切れ",""))))&amp;(IF((COUNTIFS('資格研修記録'!$A$5:$A$1004,A128,'資格研修記録'!$D$5:$D$1004,"小型船舶特殊",'資格研修記録'!$F$5:$F$1004,"")+COUNTIFS('資格研修記録'!$A$5:$A$1004,A128,'資格研修記録'!$D$5:$D$1004,"小型船舶特殊",'資格研修記録'!$F$5:$F$1004,"&gt;="&amp;TODAY()))&gt;0,"特殊",IF(COUNTIFS('資格研修記録'!$A$5:$A$1004,A128,'資格研修記録'!$D$5:$D$1004,"小型船舶特殊")&gt;0,"× 特殊 期限切れ","")))="","—",_xlfn.TEXTJOIN("・",TRUE,IF((COUNTIFS('資格研修記録'!$A$5:$A$1004,A128,'資格研修記録'!$D$5:$D$1004,"小型船舶1級",'資格研修記録'!$F$5:$F$1004,"")+COUNTIFS('資格研修記録'!$A$5:$A$1004,A128,'資格研修記録'!$D$5:$D$1004,"小型船舶1級",'資格研修記録'!$F$5:$F$1004,"&gt;="&amp;TODAY()))&gt;0,"1級",IF((COUNTIFS('資格研修記録'!$A$5:$A$1004,A128,'資格研修記録'!$D$5:$D$1004,"小型船舶2級",'資格研修記録'!$F$5:$F$1004,"")+COUNTIFS('資格研修記録'!$A$5:$A$1004,A128,'資格研修記録'!$D$5:$D$1004,"小型船舶2級",'資格研修記録'!$F$5:$F$1004,"&gt;="&amp;TODAY()))&gt;0,"2級",IF(COUNTIFS('資格研修記録'!$A$5:$A$1004,A128,'資格研修記録'!$D$5:$D$1004,"小型船舶1級")+COUNTIFS('資格研修記録'!$A$5:$A$1004,A128,'資格研修記録'!$D$5:$D$1004,"小型船舶2級")&gt;0,"× 1・2級 期限切れ",""))),IF((COUNTIFS('資格研修記録'!$A$5:$A$1004,A128,'資格研修記録'!$D$5:$D$1004,"小型船舶特殊",'資格研修記録'!$F$5:$F$1004,"")+COUNTIFS('資格研修記録'!$A$5:$A$1004,A128,'資格研修記録'!$D$5:$D$1004,"小型船舶特殊",'資格研修記録'!$F$5:$F$1004,"&gt;="&amp;TODAY()))&gt;0,"特殊",IF(COUNTIFS('資格研修記録'!$A$5:$A$1004,A128,'資格研修記録'!$D$5:$D$1004,"小型船舶特殊")&gt;0,"× 特殊 期限切れ","")))))</f>
        <v/>
      </c>
      <c r="H128" s="15">
        <f>IF(A128="","",COUNTIFS('潜水記録'!$B$5:$B$3004,A128,'潜水記録'!$AF$5:$AF$3004,$D$2))</f>
        <v/>
      </c>
      <c r="I128" s="15">
        <f>IF(A128="","",COUNTIF('潜水記録'!$B$5:$B$3004,A128))</f>
        <v/>
      </c>
      <c r="J128" s="15">
        <f>IF(A128="","",SUMIF('潜水記録'!$B$5:$B$3004,A128,'潜水記録'!$H$5:$H$3004))</f>
        <v/>
      </c>
      <c r="K128" s="15">
        <f>IF(A128="","",IF(I128=0,"",_xlfn.MAXIFS('潜水記録'!$G$5:$G$3004,'潜水記録'!$B$5:$B$3004,A128)))</f>
        <v/>
      </c>
      <c r="L128" s="16">
        <f>IF(A128="","",IF(I128=0,"",_xlfn.MAXIFS('潜水記録'!$A$5:$A$3004,'潜水記録'!$B$5:$B$3004,A128)))</f>
        <v/>
      </c>
      <c r="M128" s="15">
        <f>IF(L128="","",$B$2-L128)</f>
        <v/>
      </c>
    </row>
    <row r="129">
      <c r="A129" s="14">
        <f>IF('隊員マスタ'!A126="","",'隊員マスタ'!A126)</f>
        <v/>
      </c>
      <c r="B129" s="14">
        <f>IF(A129="","",'隊員マスタ'!B126)</f>
        <v/>
      </c>
      <c r="C129" s="14">
        <f>IF(A129="","",'隊員マスタ'!C126)</f>
        <v/>
      </c>
      <c r="D129" s="15">
        <f>IF(A129="","",'隊員マスタ'!D126)</f>
        <v/>
      </c>
      <c r="E129" s="15">
        <f>IF(A129="","",IF(COUNTIFS('資格研修記録'!$A$5:$A$1004,A129,'資格研修記録'!$D$5:$D$1004,"潜水士免許")&gt;0,"有","無"))</f>
        <v/>
      </c>
      <c r="F129" s="15">
        <f>IF(A129="","",IF(COUNTIFS('資格研修記録'!$A$5:$A$1004,A129,'資格研修記録'!$D$5:$D$1004,"水難救助研修")&gt;0,"修了","—"))</f>
        <v/>
      </c>
      <c r="G129" s="14">
        <f>IF(A129="","",IF((IF((COUNTIFS('資格研修記録'!$A$5:$A$1004,A129,'資格研修記録'!$D$5:$D$1004,"小型船舶1級",'資格研修記録'!$F$5:$F$1004,"")+COUNTIFS('資格研修記録'!$A$5:$A$1004,A129,'資格研修記録'!$D$5:$D$1004,"小型船舶1級",'資格研修記録'!$F$5:$F$1004,"&gt;="&amp;TODAY()))&gt;0,"1級",IF((COUNTIFS('資格研修記録'!$A$5:$A$1004,A129,'資格研修記録'!$D$5:$D$1004,"小型船舶2級",'資格研修記録'!$F$5:$F$1004,"")+COUNTIFS('資格研修記録'!$A$5:$A$1004,A129,'資格研修記録'!$D$5:$D$1004,"小型船舶2級",'資格研修記録'!$F$5:$F$1004,"&gt;="&amp;TODAY()))&gt;0,"2級",IF(COUNTIFS('資格研修記録'!$A$5:$A$1004,A129,'資格研修記録'!$D$5:$D$1004,"小型船舶1級")+COUNTIFS('資格研修記録'!$A$5:$A$1004,A129,'資格研修記録'!$D$5:$D$1004,"小型船舶2級")&gt;0,"× 1・2級 期限切れ",""))))&amp;(IF((COUNTIFS('資格研修記録'!$A$5:$A$1004,A129,'資格研修記録'!$D$5:$D$1004,"小型船舶特殊",'資格研修記録'!$F$5:$F$1004,"")+COUNTIFS('資格研修記録'!$A$5:$A$1004,A129,'資格研修記録'!$D$5:$D$1004,"小型船舶特殊",'資格研修記録'!$F$5:$F$1004,"&gt;="&amp;TODAY()))&gt;0,"特殊",IF(COUNTIFS('資格研修記録'!$A$5:$A$1004,A129,'資格研修記録'!$D$5:$D$1004,"小型船舶特殊")&gt;0,"× 特殊 期限切れ","")))="","—",_xlfn.TEXTJOIN("・",TRUE,IF((COUNTIFS('資格研修記録'!$A$5:$A$1004,A129,'資格研修記録'!$D$5:$D$1004,"小型船舶1級",'資格研修記録'!$F$5:$F$1004,"")+COUNTIFS('資格研修記録'!$A$5:$A$1004,A129,'資格研修記録'!$D$5:$D$1004,"小型船舶1級",'資格研修記録'!$F$5:$F$1004,"&gt;="&amp;TODAY()))&gt;0,"1級",IF((COUNTIFS('資格研修記録'!$A$5:$A$1004,A129,'資格研修記録'!$D$5:$D$1004,"小型船舶2級",'資格研修記録'!$F$5:$F$1004,"")+COUNTIFS('資格研修記録'!$A$5:$A$1004,A129,'資格研修記録'!$D$5:$D$1004,"小型船舶2級",'資格研修記録'!$F$5:$F$1004,"&gt;="&amp;TODAY()))&gt;0,"2級",IF(COUNTIFS('資格研修記録'!$A$5:$A$1004,A129,'資格研修記録'!$D$5:$D$1004,"小型船舶1級")+COUNTIFS('資格研修記録'!$A$5:$A$1004,A129,'資格研修記録'!$D$5:$D$1004,"小型船舶2級")&gt;0,"× 1・2級 期限切れ",""))),IF((COUNTIFS('資格研修記録'!$A$5:$A$1004,A129,'資格研修記録'!$D$5:$D$1004,"小型船舶特殊",'資格研修記録'!$F$5:$F$1004,"")+COUNTIFS('資格研修記録'!$A$5:$A$1004,A129,'資格研修記録'!$D$5:$D$1004,"小型船舶特殊",'資格研修記録'!$F$5:$F$1004,"&gt;="&amp;TODAY()))&gt;0,"特殊",IF(COUNTIFS('資格研修記録'!$A$5:$A$1004,A129,'資格研修記録'!$D$5:$D$1004,"小型船舶特殊")&gt;0,"× 特殊 期限切れ","")))))</f>
        <v/>
      </c>
      <c r="H129" s="15">
        <f>IF(A129="","",COUNTIFS('潜水記録'!$B$5:$B$3004,A129,'潜水記録'!$AF$5:$AF$3004,$D$2))</f>
        <v/>
      </c>
      <c r="I129" s="15">
        <f>IF(A129="","",COUNTIF('潜水記録'!$B$5:$B$3004,A129))</f>
        <v/>
      </c>
      <c r="J129" s="15">
        <f>IF(A129="","",SUMIF('潜水記録'!$B$5:$B$3004,A129,'潜水記録'!$H$5:$H$3004))</f>
        <v/>
      </c>
      <c r="K129" s="15">
        <f>IF(A129="","",IF(I129=0,"",_xlfn.MAXIFS('潜水記録'!$G$5:$G$3004,'潜水記録'!$B$5:$B$3004,A129)))</f>
        <v/>
      </c>
      <c r="L129" s="16">
        <f>IF(A129="","",IF(I129=0,"",_xlfn.MAXIFS('潜水記録'!$A$5:$A$3004,'潜水記録'!$B$5:$B$3004,A129)))</f>
        <v/>
      </c>
      <c r="M129" s="15">
        <f>IF(L129="","",$B$2-L129)</f>
        <v/>
      </c>
    </row>
    <row r="130">
      <c r="A130" s="14">
        <f>IF('隊員マスタ'!A127="","",'隊員マスタ'!A127)</f>
        <v/>
      </c>
      <c r="B130" s="14">
        <f>IF(A130="","",'隊員マスタ'!B127)</f>
        <v/>
      </c>
      <c r="C130" s="14">
        <f>IF(A130="","",'隊員マスタ'!C127)</f>
        <v/>
      </c>
      <c r="D130" s="15">
        <f>IF(A130="","",'隊員マスタ'!D127)</f>
        <v/>
      </c>
      <c r="E130" s="15">
        <f>IF(A130="","",IF(COUNTIFS('資格研修記録'!$A$5:$A$1004,A130,'資格研修記録'!$D$5:$D$1004,"潜水士免許")&gt;0,"有","無"))</f>
        <v/>
      </c>
      <c r="F130" s="15">
        <f>IF(A130="","",IF(COUNTIFS('資格研修記録'!$A$5:$A$1004,A130,'資格研修記録'!$D$5:$D$1004,"水難救助研修")&gt;0,"修了","—"))</f>
        <v/>
      </c>
      <c r="G130" s="14">
        <f>IF(A130="","",IF((IF((COUNTIFS('資格研修記録'!$A$5:$A$1004,A130,'資格研修記録'!$D$5:$D$1004,"小型船舶1級",'資格研修記録'!$F$5:$F$1004,"")+COUNTIFS('資格研修記録'!$A$5:$A$1004,A130,'資格研修記録'!$D$5:$D$1004,"小型船舶1級",'資格研修記録'!$F$5:$F$1004,"&gt;="&amp;TODAY()))&gt;0,"1級",IF((COUNTIFS('資格研修記録'!$A$5:$A$1004,A130,'資格研修記録'!$D$5:$D$1004,"小型船舶2級",'資格研修記録'!$F$5:$F$1004,"")+COUNTIFS('資格研修記録'!$A$5:$A$1004,A130,'資格研修記録'!$D$5:$D$1004,"小型船舶2級",'資格研修記録'!$F$5:$F$1004,"&gt;="&amp;TODAY()))&gt;0,"2級",IF(COUNTIFS('資格研修記録'!$A$5:$A$1004,A130,'資格研修記録'!$D$5:$D$1004,"小型船舶1級")+COUNTIFS('資格研修記録'!$A$5:$A$1004,A130,'資格研修記録'!$D$5:$D$1004,"小型船舶2級")&gt;0,"× 1・2級 期限切れ",""))))&amp;(IF((COUNTIFS('資格研修記録'!$A$5:$A$1004,A130,'資格研修記録'!$D$5:$D$1004,"小型船舶特殊",'資格研修記録'!$F$5:$F$1004,"")+COUNTIFS('資格研修記録'!$A$5:$A$1004,A130,'資格研修記録'!$D$5:$D$1004,"小型船舶特殊",'資格研修記録'!$F$5:$F$1004,"&gt;="&amp;TODAY()))&gt;0,"特殊",IF(COUNTIFS('資格研修記録'!$A$5:$A$1004,A130,'資格研修記録'!$D$5:$D$1004,"小型船舶特殊")&gt;0,"× 特殊 期限切れ","")))="","—",_xlfn.TEXTJOIN("・",TRUE,IF((COUNTIFS('資格研修記録'!$A$5:$A$1004,A130,'資格研修記録'!$D$5:$D$1004,"小型船舶1級",'資格研修記録'!$F$5:$F$1004,"")+COUNTIFS('資格研修記録'!$A$5:$A$1004,A130,'資格研修記録'!$D$5:$D$1004,"小型船舶1級",'資格研修記録'!$F$5:$F$1004,"&gt;="&amp;TODAY()))&gt;0,"1級",IF((COUNTIFS('資格研修記録'!$A$5:$A$1004,A130,'資格研修記録'!$D$5:$D$1004,"小型船舶2級",'資格研修記録'!$F$5:$F$1004,"")+COUNTIFS('資格研修記録'!$A$5:$A$1004,A130,'資格研修記録'!$D$5:$D$1004,"小型船舶2級",'資格研修記録'!$F$5:$F$1004,"&gt;="&amp;TODAY()))&gt;0,"2級",IF(COUNTIFS('資格研修記録'!$A$5:$A$1004,A130,'資格研修記録'!$D$5:$D$1004,"小型船舶1級")+COUNTIFS('資格研修記録'!$A$5:$A$1004,A130,'資格研修記録'!$D$5:$D$1004,"小型船舶2級")&gt;0,"× 1・2級 期限切れ",""))),IF((COUNTIFS('資格研修記録'!$A$5:$A$1004,A130,'資格研修記録'!$D$5:$D$1004,"小型船舶特殊",'資格研修記録'!$F$5:$F$1004,"")+COUNTIFS('資格研修記録'!$A$5:$A$1004,A130,'資格研修記録'!$D$5:$D$1004,"小型船舶特殊",'資格研修記録'!$F$5:$F$1004,"&gt;="&amp;TODAY()))&gt;0,"特殊",IF(COUNTIFS('資格研修記録'!$A$5:$A$1004,A130,'資格研修記録'!$D$5:$D$1004,"小型船舶特殊")&gt;0,"× 特殊 期限切れ","")))))</f>
        <v/>
      </c>
      <c r="H130" s="15">
        <f>IF(A130="","",COUNTIFS('潜水記録'!$B$5:$B$3004,A130,'潜水記録'!$AF$5:$AF$3004,$D$2))</f>
        <v/>
      </c>
      <c r="I130" s="15">
        <f>IF(A130="","",COUNTIF('潜水記録'!$B$5:$B$3004,A130))</f>
        <v/>
      </c>
      <c r="J130" s="15">
        <f>IF(A130="","",SUMIF('潜水記録'!$B$5:$B$3004,A130,'潜水記録'!$H$5:$H$3004))</f>
        <v/>
      </c>
      <c r="K130" s="15">
        <f>IF(A130="","",IF(I130=0,"",_xlfn.MAXIFS('潜水記録'!$G$5:$G$3004,'潜水記録'!$B$5:$B$3004,A130)))</f>
        <v/>
      </c>
      <c r="L130" s="16">
        <f>IF(A130="","",IF(I130=0,"",_xlfn.MAXIFS('潜水記録'!$A$5:$A$3004,'潜水記録'!$B$5:$B$3004,A130)))</f>
        <v/>
      </c>
      <c r="M130" s="15">
        <f>IF(L130="","",$B$2-L130)</f>
        <v/>
      </c>
    </row>
    <row r="131">
      <c r="A131" s="14">
        <f>IF('隊員マスタ'!A128="","",'隊員マスタ'!A128)</f>
        <v/>
      </c>
      <c r="B131" s="14">
        <f>IF(A131="","",'隊員マスタ'!B128)</f>
        <v/>
      </c>
      <c r="C131" s="14">
        <f>IF(A131="","",'隊員マスタ'!C128)</f>
        <v/>
      </c>
      <c r="D131" s="15">
        <f>IF(A131="","",'隊員マスタ'!D128)</f>
        <v/>
      </c>
      <c r="E131" s="15">
        <f>IF(A131="","",IF(COUNTIFS('資格研修記録'!$A$5:$A$1004,A131,'資格研修記録'!$D$5:$D$1004,"潜水士免許")&gt;0,"有","無"))</f>
        <v/>
      </c>
      <c r="F131" s="15">
        <f>IF(A131="","",IF(COUNTIFS('資格研修記録'!$A$5:$A$1004,A131,'資格研修記録'!$D$5:$D$1004,"水難救助研修")&gt;0,"修了","—"))</f>
        <v/>
      </c>
      <c r="G131" s="14">
        <f>IF(A131="","",IF((IF((COUNTIFS('資格研修記録'!$A$5:$A$1004,A131,'資格研修記録'!$D$5:$D$1004,"小型船舶1級",'資格研修記録'!$F$5:$F$1004,"")+COUNTIFS('資格研修記録'!$A$5:$A$1004,A131,'資格研修記録'!$D$5:$D$1004,"小型船舶1級",'資格研修記録'!$F$5:$F$1004,"&gt;="&amp;TODAY()))&gt;0,"1級",IF((COUNTIFS('資格研修記録'!$A$5:$A$1004,A131,'資格研修記録'!$D$5:$D$1004,"小型船舶2級",'資格研修記録'!$F$5:$F$1004,"")+COUNTIFS('資格研修記録'!$A$5:$A$1004,A131,'資格研修記録'!$D$5:$D$1004,"小型船舶2級",'資格研修記録'!$F$5:$F$1004,"&gt;="&amp;TODAY()))&gt;0,"2級",IF(COUNTIFS('資格研修記録'!$A$5:$A$1004,A131,'資格研修記録'!$D$5:$D$1004,"小型船舶1級")+COUNTIFS('資格研修記録'!$A$5:$A$1004,A131,'資格研修記録'!$D$5:$D$1004,"小型船舶2級")&gt;0,"× 1・2級 期限切れ",""))))&amp;(IF((COUNTIFS('資格研修記録'!$A$5:$A$1004,A131,'資格研修記録'!$D$5:$D$1004,"小型船舶特殊",'資格研修記録'!$F$5:$F$1004,"")+COUNTIFS('資格研修記録'!$A$5:$A$1004,A131,'資格研修記録'!$D$5:$D$1004,"小型船舶特殊",'資格研修記録'!$F$5:$F$1004,"&gt;="&amp;TODAY()))&gt;0,"特殊",IF(COUNTIFS('資格研修記録'!$A$5:$A$1004,A131,'資格研修記録'!$D$5:$D$1004,"小型船舶特殊")&gt;0,"× 特殊 期限切れ","")))="","—",_xlfn.TEXTJOIN("・",TRUE,IF((COUNTIFS('資格研修記録'!$A$5:$A$1004,A131,'資格研修記録'!$D$5:$D$1004,"小型船舶1級",'資格研修記録'!$F$5:$F$1004,"")+COUNTIFS('資格研修記録'!$A$5:$A$1004,A131,'資格研修記録'!$D$5:$D$1004,"小型船舶1級",'資格研修記録'!$F$5:$F$1004,"&gt;="&amp;TODAY()))&gt;0,"1級",IF((COUNTIFS('資格研修記録'!$A$5:$A$1004,A131,'資格研修記録'!$D$5:$D$1004,"小型船舶2級",'資格研修記録'!$F$5:$F$1004,"")+COUNTIFS('資格研修記録'!$A$5:$A$1004,A131,'資格研修記録'!$D$5:$D$1004,"小型船舶2級",'資格研修記録'!$F$5:$F$1004,"&gt;="&amp;TODAY()))&gt;0,"2級",IF(COUNTIFS('資格研修記録'!$A$5:$A$1004,A131,'資格研修記録'!$D$5:$D$1004,"小型船舶1級")+COUNTIFS('資格研修記録'!$A$5:$A$1004,A131,'資格研修記録'!$D$5:$D$1004,"小型船舶2級")&gt;0,"× 1・2級 期限切れ",""))),IF((COUNTIFS('資格研修記録'!$A$5:$A$1004,A131,'資格研修記録'!$D$5:$D$1004,"小型船舶特殊",'資格研修記録'!$F$5:$F$1004,"")+COUNTIFS('資格研修記録'!$A$5:$A$1004,A131,'資格研修記録'!$D$5:$D$1004,"小型船舶特殊",'資格研修記録'!$F$5:$F$1004,"&gt;="&amp;TODAY()))&gt;0,"特殊",IF(COUNTIFS('資格研修記録'!$A$5:$A$1004,A131,'資格研修記録'!$D$5:$D$1004,"小型船舶特殊")&gt;0,"× 特殊 期限切れ","")))))</f>
        <v/>
      </c>
      <c r="H131" s="15">
        <f>IF(A131="","",COUNTIFS('潜水記録'!$B$5:$B$3004,A131,'潜水記録'!$AF$5:$AF$3004,$D$2))</f>
        <v/>
      </c>
      <c r="I131" s="15">
        <f>IF(A131="","",COUNTIF('潜水記録'!$B$5:$B$3004,A131))</f>
        <v/>
      </c>
      <c r="J131" s="15">
        <f>IF(A131="","",SUMIF('潜水記録'!$B$5:$B$3004,A131,'潜水記録'!$H$5:$H$3004))</f>
        <v/>
      </c>
      <c r="K131" s="15">
        <f>IF(A131="","",IF(I131=0,"",_xlfn.MAXIFS('潜水記録'!$G$5:$G$3004,'潜水記録'!$B$5:$B$3004,A131)))</f>
        <v/>
      </c>
      <c r="L131" s="16">
        <f>IF(A131="","",IF(I131=0,"",_xlfn.MAXIFS('潜水記録'!$A$5:$A$3004,'潜水記録'!$B$5:$B$3004,A131)))</f>
        <v/>
      </c>
      <c r="M131" s="15">
        <f>IF(L131="","",$B$2-L131)</f>
        <v/>
      </c>
    </row>
    <row r="132">
      <c r="A132" s="14">
        <f>IF('隊員マスタ'!A129="","",'隊員マスタ'!A129)</f>
        <v/>
      </c>
      <c r="B132" s="14">
        <f>IF(A132="","",'隊員マスタ'!B129)</f>
        <v/>
      </c>
      <c r="C132" s="14">
        <f>IF(A132="","",'隊員マスタ'!C129)</f>
        <v/>
      </c>
      <c r="D132" s="15">
        <f>IF(A132="","",'隊員マスタ'!D129)</f>
        <v/>
      </c>
      <c r="E132" s="15">
        <f>IF(A132="","",IF(COUNTIFS('資格研修記録'!$A$5:$A$1004,A132,'資格研修記録'!$D$5:$D$1004,"潜水士免許")&gt;0,"有","無"))</f>
        <v/>
      </c>
      <c r="F132" s="15">
        <f>IF(A132="","",IF(COUNTIFS('資格研修記録'!$A$5:$A$1004,A132,'資格研修記録'!$D$5:$D$1004,"水難救助研修")&gt;0,"修了","—"))</f>
        <v/>
      </c>
      <c r="G132" s="14">
        <f>IF(A132="","",IF((IF((COUNTIFS('資格研修記録'!$A$5:$A$1004,A132,'資格研修記録'!$D$5:$D$1004,"小型船舶1級",'資格研修記録'!$F$5:$F$1004,"")+COUNTIFS('資格研修記録'!$A$5:$A$1004,A132,'資格研修記録'!$D$5:$D$1004,"小型船舶1級",'資格研修記録'!$F$5:$F$1004,"&gt;="&amp;TODAY()))&gt;0,"1級",IF((COUNTIFS('資格研修記録'!$A$5:$A$1004,A132,'資格研修記録'!$D$5:$D$1004,"小型船舶2級",'資格研修記録'!$F$5:$F$1004,"")+COUNTIFS('資格研修記録'!$A$5:$A$1004,A132,'資格研修記録'!$D$5:$D$1004,"小型船舶2級",'資格研修記録'!$F$5:$F$1004,"&gt;="&amp;TODAY()))&gt;0,"2級",IF(COUNTIFS('資格研修記録'!$A$5:$A$1004,A132,'資格研修記録'!$D$5:$D$1004,"小型船舶1級")+COUNTIFS('資格研修記録'!$A$5:$A$1004,A132,'資格研修記録'!$D$5:$D$1004,"小型船舶2級")&gt;0,"× 1・2級 期限切れ",""))))&amp;(IF((COUNTIFS('資格研修記録'!$A$5:$A$1004,A132,'資格研修記録'!$D$5:$D$1004,"小型船舶特殊",'資格研修記録'!$F$5:$F$1004,"")+COUNTIFS('資格研修記録'!$A$5:$A$1004,A132,'資格研修記録'!$D$5:$D$1004,"小型船舶特殊",'資格研修記録'!$F$5:$F$1004,"&gt;="&amp;TODAY()))&gt;0,"特殊",IF(COUNTIFS('資格研修記録'!$A$5:$A$1004,A132,'資格研修記録'!$D$5:$D$1004,"小型船舶特殊")&gt;0,"× 特殊 期限切れ","")))="","—",_xlfn.TEXTJOIN("・",TRUE,IF((COUNTIFS('資格研修記録'!$A$5:$A$1004,A132,'資格研修記録'!$D$5:$D$1004,"小型船舶1級",'資格研修記録'!$F$5:$F$1004,"")+COUNTIFS('資格研修記録'!$A$5:$A$1004,A132,'資格研修記録'!$D$5:$D$1004,"小型船舶1級",'資格研修記録'!$F$5:$F$1004,"&gt;="&amp;TODAY()))&gt;0,"1級",IF((COUNTIFS('資格研修記録'!$A$5:$A$1004,A132,'資格研修記録'!$D$5:$D$1004,"小型船舶2級",'資格研修記録'!$F$5:$F$1004,"")+COUNTIFS('資格研修記録'!$A$5:$A$1004,A132,'資格研修記録'!$D$5:$D$1004,"小型船舶2級",'資格研修記録'!$F$5:$F$1004,"&gt;="&amp;TODAY()))&gt;0,"2級",IF(COUNTIFS('資格研修記録'!$A$5:$A$1004,A132,'資格研修記録'!$D$5:$D$1004,"小型船舶1級")+COUNTIFS('資格研修記録'!$A$5:$A$1004,A132,'資格研修記録'!$D$5:$D$1004,"小型船舶2級")&gt;0,"× 1・2級 期限切れ",""))),IF((COUNTIFS('資格研修記録'!$A$5:$A$1004,A132,'資格研修記録'!$D$5:$D$1004,"小型船舶特殊",'資格研修記録'!$F$5:$F$1004,"")+COUNTIFS('資格研修記録'!$A$5:$A$1004,A132,'資格研修記録'!$D$5:$D$1004,"小型船舶特殊",'資格研修記録'!$F$5:$F$1004,"&gt;="&amp;TODAY()))&gt;0,"特殊",IF(COUNTIFS('資格研修記録'!$A$5:$A$1004,A132,'資格研修記録'!$D$5:$D$1004,"小型船舶特殊")&gt;0,"× 特殊 期限切れ","")))))</f>
        <v/>
      </c>
      <c r="H132" s="15">
        <f>IF(A132="","",COUNTIFS('潜水記録'!$B$5:$B$3004,A132,'潜水記録'!$AF$5:$AF$3004,$D$2))</f>
        <v/>
      </c>
      <c r="I132" s="15">
        <f>IF(A132="","",COUNTIF('潜水記録'!$B$5:$B$3004,A132))</f>
        <v/>
      </c>
      <c r="J132" s="15">
        <f>IF(A132="","",SUMIF('潜水記録'!$B$5:$B$3004,A132,'潜水記録'!$H$5:$H$3004))</f>
        <v/>
      </c>
      <c r="K132" s="15">
        <f>IF(A132="","",IF(I132=0,"",_xlfn.MAXIFS('潜水記録'!$G$5:$G$3004,'潜水記録'!$B$5:$B$3004,A132)))</f>
        <v/>
      </c>
      <c r="L132" s="16">
        <f>IF(A132="","",IF(I132=0,"",_xlfn.MAXIFS('潜水記録'!$A$5:$A$3004,'潜水記録'!$B$5:$B$3004,A132)))</f>
        <v/>
      </c>
      <c r="M132" s="15">
        <f>IF(L132="","",$B$2-L132)</f>
        <v/>
      </c>
    </row>
    <row r="133">
      <c r="A133" s="14">
        <f>IF('隊員マスタ'!A130="","",'隊員マスタ'!A130)</f>
        <v/>
      </c>
      <c r="B133" s="14">
        <f>IF(A133="","",'隊員マスタ'!B130)</f>
        <v/>
      </c>
      <c r="C133" s="14">
        <f>IF(A133="","",'隊員マスタ'!C130)</f>
        <v/>
      </c>
      <c r="D133" s="15">
        <f>IF(A133="","",'隊員マスタ'!D130)</f>
        <v/>
      </c>
      <c r="E133" s="15">
        <f>IF(A133="","",IF(COUNTIFS('資格研修記録'!$A$5:$A$1004,A133,'資格研修記録'!$D$5:$D$1004,"潜水士免許")&gt;0,"有","無"))</f>
        <v/>
      </c>
      <c r="F133" s="15">
        <f>IF(A133="","",IF(COUNTIFS('資格研修記録'!$A$5:$A$1004,A133,'資格研修記録'!$D$5:$D$1004,"水難救助研修")&gt;0,"修了","—"))</f>
        <v/>
      </c>
      <c r="G133" s="14">
        <f>IF(A133="","",IF((IF((COUNTIFS('資格研修記録'!$A$5:$A$1004,A133,'資格研修記録'!$D$5:$D$1004,"小型船舶1級",'資格研修記録'!$F$5:$F$1004,"")+COUNTIFS('資格研修記録'!$A$5:$A$1004,A133,'資格研修記録'!$D$5:$D$1004,"小型船舶1級",'資格研修記録'!$F$5:$F$1004,"&gt;="&amp;TODAY()))&gt;0,"1級",IF((COUNTIFS('資格研修記録'!$A$5:$A$1004,A133,'資格研修記録'!$D$5:$D$1004,"小型船舶2級",'資格研修記録'!$F$5:$F$1004,"")+COUNTIFS('資格研修記録'!$A$5:$A$1004,A133,'資格研修記録'!$D$5:$D$1004,"小型船舶2級",'資格研修記録'!$F$5:$F$1004,"&gt;="&amp;TODAY()))&gt;0,"2級",IF(COUNTIFS('資格研修記録'!$A$5:$A$1004,A133,'資格研修記録'!$D$5:$D$1004,"小型船舶1級")+COUNTIFS('資格研修記録'!$A$5:$A$1004,A133,'資格研修記録'!$D$5:$D$1004,"小型船舶2級")&gt;0,"× 1・2級 期限切れ",""))))&amp;(IF((COUNTIFS('資格研修記録'!$A$5:$A$1004,A133,'資格研修記録'!$D$5:$D$1004,"小型船舶特殊",'資格研修記録'!$F$5:$F$1004,"")+COUNTIFS('資格研修記録'!$A$5:$A$1004,A133,'資格研修記録'!$D$5:$D$1004,"小型船舶特殊",'資格研修記録'!$F$5:$F$1004,"&gt;="&amp;TODAY()))&gt;0,"特殊",IF(COUNTIFS('資格研修記録'!$A$5:$A$1004,A133,'資格研修記録'!$D$5:$D$1004,"小型船舶特殊")&gt;0,"× 特殊 期限切れ","")))="","—",_xlfn.TEXTJOIN("・",TRUE,IF((COUNTIFS('資格研修記録'!$A$5:$A$1004,A133,'資格研修記録'!$D$5:$D$1004,"小型船舶1級",'資格研修記録'!$F$5:$F$1004,"")+COUNTIFS('資格研修記録'!$A$5:$A$1004,A133,'資格研修記録'!$D$5:$D$1004,"小型船舶1級",'資格研修記録'!$F$5:$F$1004,"&gt;="&amp;TODAY()))&gt;0,"1級",IF((COUNTIFS('資格研修記録'!$A$5:$A$1004,A133,'資格研修記録'!$D$5:$D$1004,"小型船舶2級",'資格研修記録'!$F$5:$F$1004,"")+COUNTIFS('資格研修記録'!$A$5:$A$1004,A133,'資格研修記録'!$D$5:$D$1004,"小型船舶2級",'資格研修記録'!$F$5:$F$1004,"&gt;="&amp;TODAY()))&gt;0,"2級",IF(COUNTIFS('資格研修記録'!$A$5:$A$1004,A133,'資格研修記録'!$D$5:$D$1004,"小型船舶1級")+COUNTIFS('資格研修記録'!$A$5:$A$1004,A133,'資格研修記録'!$D$5:$D$1004,"小型船舶2級")&gt;0,"× 1・2級 期限切れ",""))),IF((COUNTIFS('資格研修記録'!$A$5:$A$1004,A133,'資格研修記録'!$D$5:$D$1004,"小型船舶特殊",'資格研修記録'!$F$5:$F$1004,"")+COUNTIFS('資格研修記録'!$A$5:$A$1004,A133,'資格研修記録'!$D$5:$D$1004,"小型船舶特殊",'資格研修記録'!$F$5:$F$1004,"&gt;="&amp;TODAY()))&gt;0,"特殊",IF(COUNTIFS('資格研修記録'!$A$5:$A$1004,A133,'資格研修記録'!$D$5:$D$1004,"小型船舶特殊")&gt;0,"× 特殊 期限切れ","")))))</f>
        <v/>
      </c>
      <c r="H133" s="15">
        <f>IF(A133="","",COUNTIFS('潜水記録'!$B$5:$B$3004,A133,'潜水記録'!$AF$5:$AF$3004,$D$2))</f>
        <v/>
      </c>
      <c r="I133" s="15">
        <f>IF(A133="","",COUNTIF('潜水記録'!$B$5:$B$3004,A133))</f>
        <v/>
      </c>
      <c r="J133" s="15">
        <f>IF(A133="","",SUMIF('潜水記録'!$B$5:$B$3004,A133,'潜水記録'!$H$5:$H$3004))</f>
        <v/>
      </c>
      <c r="K133" s="15">
        <f>IF(A133="","",IF(I133=0,"",_xlfn.MAXIFS('潜水記録'!$G$5:$G$3004,'潜水記録'!$B$5:$B$3004,A133)))</f>
        <v/>
      </c>
      <c r="L133" s="16">
        <f>IF(A133="","",IF(I133=0,"",_xlfn.MAXIFS('潜水記録'!$A$5:$A$3004,'潜水記録'!$B$5:$B$3004,A133)))</f>
        <v/>
      </c>
      <c r="M133" s="15">
        <f>IF(L133="","",$B$2-L133)</f>
        <v/>
      </c>
    </row>
    <row r="134">
      <c r="A134" s="14">
        <f>IF('隊員マスタ'!A131="","",'隊員マスタ'!A131)</f>
        <v/>
      </c>
      <c r="B134" s="14">
        <f>IF(A134="","",'隊員マスタ'!B131)</f>
        <v/>
      </c>
      <c r="C134" s="14">
        <f>IF(A134="","",'隊員マスタ'!C131)</f>
        <v/>
      </c>
      <c r="D134" s="15">
        <f>IF(A134="","",'隊員マスタ'!D131)</f>
        <v/>
      </c>
      <c r="E134" s="15">
        <f>IF(A134="","",IF(COUNTIFS('資格研修記録'!$A$5:$A$1004,A134,'資格研修記録'!$D$5:$D$1004,"潜水士免許")&gt;0,"有","無"))</f>
        <v/>
      </c>
      <c r="F134" s="15">
        <f>IF(A134="","",IF(COUNTIFS('資格研修記録'!$A$5:$A$1004,A134,'資格研修記録'!$D$5:$D$1004,"水難救助研修")&gt;0,"修了","—"))</f>
        <v/>
      </c>
      <c r="G134" s="14">
        <f>IF(A134="","",IF((IF((COUNTIFS('資格研修記録'!$A$5:$A$1004,A134,'資格研修記録'!$D$5:$D$1004,"小型船舶1級",'資格研修記録'!$F$5:$F$1004,"")+COUNTIFS('資格研修記録'!$A$5:$A$1004,A134,'資格研修記録'!$D$5:$D$1004,"小型船舶1級",'資格研修記録'!$F$5:$F$1004,"&gt;="&amp;TODAY()))&gt;0,"1級",IF((COUNTIFS('資格研修記録'!$A$5:$A$1004,A134,'資格研修記録'!$D$5:$D$1004,"小型船舶2級",'資格研修記録'!$F$5:$F$1004,"")+COUNTIFS('資格研修記録'!$A$5:$A$1004,A134,'資格研修記録'!$D$5:$D$1004,"小型船舶2級",'資格研修記録'!$F$5:$F$1004,"&gt;="&amp;TODAY()))&gt;0,"2級",IF(COUNTIFS('資格研修記録'!$A$5:$A$1004,A134,'資格研修記録'!$D$5:$D$1004,"小型船舶1級")+COUNTIFS('資格研修記録'!$A$5:$A$1004,A134,'資格研修記録'!$D$5:$D$1004,"小型船舶2級")&gt;0,"× 1・2級 期限切れ",""))))&amp;(IF((COUNTIFS('資格研修記録'!$A$5:$A$1004,A134,'資格研修記録'!$D$5:$D$1004,"小型船舶特殊",'資格研修記録'!$F$5:$F$1004,"")+COUNTIFS('資格研修記録'!$A$5:$A$1004,A134,'資格研修記録'!$D$5:$D$1004,"小型船舶特殊",'資格研修記録'!$F$5:$F$1004,"&gt;="&amp;TODAY()))&gt;0,"特殊",IF(COUNTIFS('資格研修記録'!$A$5:$A$1004,A134,'資格研修記録'!$D$5:$D$1004,"小型船舶特殊")&gt;0,"× 特殊 期限切れ","")))="","—",_xlfn.TEXTJOIN("・",TRUE,IF((COUNTIFS('資格研修記録'!$A$5:$A$1004,A134,'資格研修記録'!$D$5:$D$1004,"小型船舶1級",'資格研修記録'!$F$5:$F$1004,"")+COUNTIFS('資格研修記録'!$A$5:$A$1004,A134,'資格研修記録'!$D$5:$D$1004,"小型船舶1級",'資格研修記録'!$F$5:$F$1004,"&gt;="&amp;TODAY()))&gt;0,"1級",IF((COUNTIFS('資格研修記録'!$A$5:$A$1004,A134,'資格研修記録'!$D$5:$D$1004,"小型船舶2級",'資格研修記録'!$F$5:$F$1004,"")+COUNTIFS('資格研修記録'!$A$5:$A$1004,A134,'資格研修記録'!$D$5:$D$1004,"小型船舶2級",'資格研修記録'!$F$5:$F$1004,"&gt;="&amp;TODAY()))&gt;0,"2級",IF(COUNTIFS('資格研修記録'!$A$5:$A$1004,A134,'資格研修記録'!$D$5:$D$1004,"小型船舶1級")+COUNTIFS('資格研修記録'!$A$5:$A$1004,A134,'資格研修記録'!$D$5:$D$1004,"小型船舶2級")&gt;0,"× 1・2級 期限切れ",""))),IF((COUNTIFS('資格研修記録'!$A$5:$A$1004,A134,'資格研修記録'!$D$5:$D$1004,"小型船舶特殊",'資格研修記録'!$F$5:$F$1004,"")+COUNTIFS('資格研修記録'!$A$5:$A$1004,A134,'資格研修記録'!$D$5:$D$1004,"小型船舶特殊",'資格研修記録'!$F$5:$F$1004,"&gt;="&amp;TODAY()))&gt;0,"特殊",IF(COUNTIFS('資格研修記録'!$A$5:$A$1004,A134,'資格研修記録'!$D$5:$D$1004,"小型船舶特殊")&gt;0,"× 特殊 期限切れ","")))))</f>
        <v/>
      </c>
      <c r="H134" s="15">
        <f>IF(A134="","",COUNTIFS('潜水記録'!$B$5:$B$3004,A134,'潜水記録'!$AF$5:$AF$3004,$D$2))</f>
        <v/>
      </c>
      <c r="I134" s="15">
        <f>IF(A134="","",COUNTIF('潜水記録'!$B$5:$B$3004,A134))</f>
        <v/>
      </c>
      <c r="J134" s="15">
        <f>IF(A134="","",SUMIF('潜水記録'!$B$5:$B$3004,A134,'潜水記録'!$H$5:$H$3004))</f>
        <v/>
      </c>
      <c r="K134" s="15">
        <f>IF(A134="","",IF(I134=0,"",_xlfn.MAXIFS('潜水記録'!$G$5:$G$3004,'潜水記録'!$B$5:$B$3004,A134)))</f>
        <v/>
      </c>
      <c r="L134" s="16">
        <f>IF(A134="","",IF(I134=0,"",_xlfn.MAXIFS('潜水記録'!$A$5:$A$3004,'潜水記録'!$B$5:$B$3004,A134)))</f>
        <v/>
      </c>
      <c r="M134" s="15">
        <f>IF(L134="","",$B$2-L134)</f>
        <v/>
      </c>
    </row>
    <row r="135">
      <c r="A135" s="14">
        <f>IF('隊員マスタ'!A132="","",'隊員マスタ'!A132)</f>
        <v/>
      </c>
      <c r="B135" s="14">
        <f>IF(A135="","",'隊員マスタ'!B132)</f>
        <v/>
      </c>
      <c r="C135" s="14">
        <f>IF(A135="","",'隊員マスタ'!C132)</f>
        <v/>
      </c>
      <c r="D135" s="15">
        <f>IF(A135="","",'隊員マスタ'!D132)</f>
        <v/>
      </c>
      <c r="E135" s="15">
        <f>IF(A135="","",IF(COUNTIFS('資格研修記録'!$A$5:$A$1004,A135,'資格研修記録'!$D$5:$D$1004,"潜水士免許")&gt;0,"有","無"))</f>
        <v/>
      </c>
      <c r="F135" s="15">
        <f>IF(A135="","",IF(COUNTIFS('資格研修記録'!$A$5:$A$1004,A135,'資格研修記録'!$D$5:$D$1004,"水難救助研修")&gt;0,"修了","—"))</f>
        <v/>
      </c>
      <c r="G135" s="14">
        <f>IF(A135="","",IF((IF((COUNTIFS('資格研修記録'!$A$5:$A$1004,A135,'資格研修記録'!$D$5:$D$1004,"小型船舶1級",'資格研修記録'!$F$5:$F$1004,"")+COUNTIFS('資格研修記録'!$A$5:$A$1004,A135,'資格研修記録'!$D$5:$D$1004,"小型船舶1級",'資格研修記録'!$F$5:$F$1004,"&gt;="&amp;TODAY()))&gt;0,"1級",IF((COUNTIFS('資格研修記録'!$A$5:$A$1004,A135,'資格研修記録'!$D$5:$D$1004,"小型船舶2級",'資格研修記録'!$F$5:$F$1004,"")+COUNTIFS('資格研修記録'!$A$5:$A$1004,A135,'資格研修記録'!$D$5:$D$1004,"小型船舶2級",'資格研修記録'!$F$5:$F$1004,"&gt;="&amp;TODAY()))&gt;0,"2級",IF(COUNTIFS('資格研修記録'!$A$5:$A$1004,A135,'資格研修記録'!$D$5:$D$1004,"小型船舶1級")+COUNTIFS('資格研修記録'!$A$5:$A$1004,A135,'資格研修記録'!$D$5:$D$1004,"小型船舶2級")&gt;0,"× 1・2級 期限切れ",""))))&amp;(IF((COUNTIFS('資格研修記録'!$A$5:$A$1004,A135,'資格研修記録'!$D$5:$D$1004,"小型船舶特殊",'資格研修記録'!$F$5:$F$1004,"")+COUNTIFS('資格研修記録'!$A$5:$A$1004,A135,'資格研修記録'!$D$5:$D$1004,"小型船舶特殊",'資格研修記録'!$F$5:$F$1004,"&gt;="&amp;TODAY()))&gt;0,"特殊",IF(COUNTIFS('資格研修記録'!$A$5:$A$1004,A135,'資格研修記録'!$D$5:$D$1004,"小型船舶特殊")&gt;0,"× 特殊 期限切れ","")))="","—",_xlfn.TEXTJOIN("・",TRUE,IF((COUNTIFS('資格研修記録'!$A$5:$A$1004,A135,'資格研修記録'!$D$5:$D$1004,"小型船舶1級",'資格研修記録'!$F$5:$F$1004,"")+COUNTIFS('資格研修記録'!$A$5:$A$1004,A135,'資格研修記録'!$D$5:$D$1004,"小型船舶1級",'資格研修記録'!$F$5:$F$1004,"&gt;="&amp;TODAY()))&gt;0,"1級",IF((COUNTIFS('資格研修記録'!$A$5:$A$1004,A135,'資格研修記録'!$D$5:$D$1004,"小型船舶2級",'資格研修記録'!$F$5:$F$1004,"")+COUNTIFS('資格研修記録'!$A$5:$A$1004,A135,'資格研修記録'!$D$5:$D$1004,"小型船舶2級",'資格研修記録'!$F$5:$F$1004,"&gt;="&amp;TODAY()))&gt;0,"2級",IF(COUNTIFS('資格研修記録'!$A$5:$A$1004,A135,'資格研修記録'!$D$5:$D$1004,"小型船舶1級")+COUNTIFS('資格研修記録'!$A$5:$A$1004,A135,'資格研修記録'!$D$5:$D$1004,"小型船舶2級")&gt;0,"× 1・2級 期限切れ",""))),IF((COUNTIFS('資格研修記録'!$A$5:$A$1004,A135,'資格研修記録'!$D$5:$D$1004,"小型船舶特殊",'資格研修記録'!$F$5:$F$1004,"")+COUNTIFS('資格研修記録'!$A$5:$A$1004,A135,'資格研修記録'!$D$5:$D$1004,"小型船舶特殊",'資格研修記録'!$F$5:$F$1004,"&gt;="&amp;TODAY()))&gt;0,"特殊",IF(COUNTIFS('資格研修記録'!$A$5:$A$1004,A135,'資格研修記録'!$D$5:$D$1004,"小型船舶特殊")&gt;0,"× 特殊 期限切れ","")))))</f>
        <v/>
      </c>
      <c r="H135" s="15">
        <f>IF(A135="","",COUNTIFS('潜水記録'!$B$5:$B$3004,A135,'潜水記録'!$AF$5:$AF$3004,$D$2))</f>
        <v/>
      </c>
      <c r="I135" s="15">
        <f>IF(A135="","",COUNTIF('潜水記録'!$B$5:$B$3004,A135))</f>
        <v/>
      </c>
      <c r="J135" s="15">
        <f>IF(A135="","",SUMIF('潜水記録'!$B$5:$B$3004,A135,'潜水記録'!$H$5:$H$3004))</f>
        <v/>
      </c>
      <c r="K135" s="15">
        <f>IF(A135="","",IF(I135=0,"",_xlfn.MAXIFS('潜水記録'!$G$5:$G$3004,'潜水記録'!$B$5:$B$3004,A135)))</f>
        <v/>
      </c>
      <c r="L135" s="16">
        <f>IF(A135="","",IF(I135=0,"",_xlfn.MAXIFS('潜水記録'!$A$5:$A$3004,'潜水記録'!$B$5:$B$3004,A135)))</f>
        <v/>
      </c>
      <c r="M135" s="15">
        <f>IF(L135="","",$B$2-L135)</f>
        <v/>
      </c>
    </row>
    <row r="136">
      <c r="A136" s="14">
        <f>IF('隊員マスタ'!A133="","",'隊員マスタ'!A133)</f>
        <v/>
      </c>
      <c r="B136" s="14">
        <f>IF(A136="","",'隊員マスタ'!B133)</f>
        <v/>
      </c>
      <c r="C136" s="14">
        <f>IF(A136="","",'隊員マスタ'!C133)</f>
        <v/>
      </c>
      <c r="D136" s="15">
        <f>IF(A136="","",'隊員マスタ'!D133)</f>
        <v/>
      </c>
      <c r="E136" s="15">
        <f>IF(A136="","",IF(COUNTIFS('資格研修記録'!$A$5:$A$1004,A136,'資格研修記録'!$D$5:$D$1004,"潜水士免許")&gt;0,"有","無"))</f>
        <v/>
      </c>
      <c r="F136" s="15">
        <f>IF(A136="","",IF(COUNTIFS('資格研修記録'!$A$5:$A$1004,A136,'資格研修記録'!$D$5:$D$1004,"水難救助研修")&gt;0,"修了","—"))</f>
        <v/>
      </c>
      <c r="G136" s="14">
        <f>IF(A136="","",IF((IF((COUNTIFS('資格研修記録'!$A$5:$A$1004,A136,'資格研修記録'!$D$5:$D$1004,"小型船舶1級",'資格研修記録'!$F$5:$F$1004,"")+COUNTIFS('資格研修記録'!$A$5:$A$1004,A136,'資格研修記録'!$D$5:$D$1004,"小型船舶1級",'資格研修記録'!$F$5:$F$1004,"&gt;="&amp;TODAY()))&gt;0,"1級",IF((COUNTIFS('資格研修記録'!$A$5:$A$1004,A136,'資格研修記録'!$D$5:$D$1004,"小型船舶2級",'資格研修記録'!$F$5:$F$1004,"")+COUNTIFS('資格研修記録'!$A$5:$A$1004,A136,'資格研修記録'!$D$5:$D$1004,"小型船舶2級",'資格研修記録'!$F$5:$F$1004,"&gt;="&amp;TODAY()))&gt;0,"2級",IF(COUNTIFS('資格研修記録'!$A$5:$A$1004,A136,'資格研修記録'!$D$5:$D$1004,"小型船舶1級")+COUNTIFS('資格研修記録'!$A$5:$A$1004,A136,'資格研修記録'!$D$5:$D$1004,"小型船舶2級")&gt;0,"× 1・2級 期限切れ",""))))&amp;(IF((COUNTIFS('資格研修記録'!$A$5:$A$1004,A136,'資格研修記録'!$D$5:$D$1004,"小型船舶特殊",'資格研修記録'!$F$5:$F$1004,"")+COUNTIFS('資格研修記録'!$A$5:$A$1004,A136,'資格研修記録'!$D$5:$D$1004,"小型船舶特殊",'資格研修記録'!$F$5:$F$1004,"&gt;="&amp;TODAY()))&gt;0,"特殊",IF(COUNTIFS('資格研修記録'!$A$5:$A$1004,A136,'資格研修記録'!$D$5:$D$1004,"小型船舶特殊")&gt;0,"× 特殊 期限切れ","")))="","—",_xlfn.TEXTJOIN("・",TRUE,IF((COUNTIFS('資格研修記録'!$A$5:$A$1004,A136,'資格研修記録'!$D$5:$D$1004,"小型船舶1級",'資格研修記録'!$F$5:$F$1004,"")+COUNTIFS('資格研修記録'!$A$5:$A$1004,A136,'資格研修記録'!$D$5:$D$1004,"小型船舶1級",'資格研修記録'!$F$5:$F$1004,"&gt;="&amp;TODAY()))&gt;0,"1級",IF((COUNTIFS('資格研修記録'!$A$5:$A$1004,A136,'資格研修記録'!$D$5:$D$1004,"小型船舶2級",'資格研修記録'!$F$5:$F$1004,"")+COUNTIFS('資格研修記録'!$A$5:$A$1004,A136,'資格研修記録'!$D$5:$D$1004,"小型船舶2級",'資格研修記録'!$F$5:$F$1004,"&gt;="&amp;TODAY()))&gt;0,"2級",IF(COUNTIFS('資格研修記録'!$A$5:$A$1004,A136,'資格研修記録'!$D$5:$D$1004,"小型船舶1級")+COUNTIFS('資格研修記録'!$A$5:$A$1004,A136,'資格研修記録'!$D$5:$D$1004,"小型船舶2級")&gt;0,"× 1・2級 期限切れ",""))),IF((COUNTIFS('資格研修記録'!$A$5:$A$1004,A136,'資格研修記録'!$D$5:$D$1004,"小型船舶特殊",'資格研修記録'!$F$5:$F$1004,"")+COUNTIFS('資格研修記録'!$A$5:$A$1004,A136,'資格研修記録'!$D$5:$D$1004,"小型船舶特殊",'資格研修記録'!$F$5:$F$1004,"&gt;="&amp;TODAY()))&gt;0,"特殊",IF(COUNTIFS('資格研修記録'!$A$5:$A$1004,A136,'資格研修記録'!$D$5:$D$1004,"小型船舶特殊")&gt;0,"× 特殊 期限切れ","")))))</f>
        <v/>
      </c>
      <c r="H136" s="15">
        <f>IF(A136="","",COUNTIFS('潜水記録'!$B$5:$B$3004,A136,'潜水記録'!$AF$5:$AF$3004,$D$2))</f>
        <v/>
      </c>
      <c r="I136" s="15">
        <f>IF(A136="","",COUNTIF('潜水記録'!$B$5:$B$3004,A136))</f>
        <v/>
      </c>
      <c r="J136" s="15">
        <f>IF(A136="","",SUMIF('潜水記録'!$B$5:$B$3004,A136,'潜水記録'!$H$5:$H$3004))</f>
        <v/>
      </c>
      <c r="K136" s="15">
        <f>IF(A136="","",IF(I136=0,"",_xlfn.MAXIFS('潜水記録'!$G$5:$G$3004,'潜水記録'!$B$5:$B$3004,A136)))</f>
        <v/>
      </c>
      <c r="L136" s="16">
        <f>IF(A136="","",IF(I136=0,"",_xlfn.MAXIFS('潜水記録'!$A$5:$A$3004,'潜水記録'!$B$5:$B$3004,A136)))</f>
        <v/>
      </c>
      <c r="M136" s="15">
        <f>IF(L136="","",$B$2-L136)</f>
        <v/>
      </c>
    </row>
    <row r="137">
      <c r="A137" s="14">
        <f>IF('隊員マスタ'!A134="","",'隊員マスタ'!A134)</f>
        <v/>
      </c>
      <c r="B137" s="14">
        <f>IF(A137="","",'隊員マスタ'!B134)</f>
        <v/>
      </c>
      <c r="C137" s="14">
        <f>IF(A137="","",'隊員マスタ'!C134)</f>
        <v/>
      </c>
      <c r="D137" s="15">
        <f>IF(A137="","",'隊員マスタ'!D134)</f>
        <v/>
      </c>
      <c r="E137" s="15">
        <f>IF(A137="","",IF(COUNTIFS('資格研修記録'!$A$5:$A$1004,A137,'資格研修記録'!$D$5:$D$1004,"潜水士免許")&gt;0,"有","無"))</f>
        <v/>
      </c>
      <c r="F137" s="15">
        <f>IF(A137="","",IF(COUNTIFS('資格研修記録'!$A$5:$A$1004,A137,'資格研修記録'!$D$5:$D$1004,"水難救助研修")&gt;0,"修了","—"))</f>
        <v/>
      </c>
      <c r="G137" s="14">
        <f>IF(A137="","",IF((IF((COUNTIFS('資格研修記録'!$A$5:$A$1004,A137,'資格研修記録'!$D$5:$D$1004,"小型船舶1級",'資格研修記録'!$F$5:$F$1004,"")+COUNTIFS('資格研修記録'!$A$5:$A$1004,A137,'資格研修記録'!$D$5:$D$1004,"小型船舶1級",'資格研修記録'!$F$5:$F$1004,"&gt;="&amp;TODAY()))&gt;0,"1級",IF((COUNTIFS('資格研修記録'!$A$5:$A$1004,A137,'資格研修記録'!$D$5:$D$1004,"小型船舶2級",'資格研修記録'!$F$5:$F$1004,"")+COUNTIFS('資格研修記録'!$A$5:$A$1004,A137,'資格研修記録'!$D$5:$D$1004,"小型船舶2級",'資格研修記録'!$F$5:$F$1004,"&gt;="&amp;TODAY()))&gt;0,"2級",IF(COUNTIFS('資格研修記録'!$A$5:$A$1004,A137,'資格研修記録'!$D$5:$D$1004,"小型船舶1級")+COUNTIFS('資格研修記録'!$A$5:$A$1004,A137,'資格研修記録'!$D$5:$D$1004,"小型船舶2級")&gt;0,"× 1・2級 期限切れ",""))))&amp;(IF((COUNTIFS('資格研修記録'!$A$5:$A$1004,A137,'資格研修記録'!$D$5:$D$1004,"小型船舶特殊",'資格研修記録'!$F$5:$F$1004,"")+COUNTIFS('資格研修記録'!$A$5:$A$1004,A137,'資格研修記録'!$D$5:$D$1004,"小型船舶特殊",'資格研修記録'!$F$5:$F$1004,"&gt;="&amp;TODAY()))&gt;0,"特殊",IF(COUNTIFS('資格研修記録'!$A$5:$A$1004,A137,'資格研修記録'!$D$5:$D$1004,"小型船舶特殊")&gt;0,"× 特殊 期限切れ","")))="","—",_xlfn.TEXTJOIN("・",TRUE,IF((COUNTIFS('資格研修記録'!$A$5:$A$1004,A137,'資格研修記録'!$D$5:$D$1004,"小型船舶1級",'資格研修記録'!$F$5:$F$1004,"")+COUNTIFS('資格研修記録'!$A$5:$A$1004,A137,'資格研修記録'!$D$5:$D$1004,"小型船舶1級",'資格研修記録'!$F$5:$F$1004,"&gt;="&amp;TODAY()))&gt;0,"1級",IF((COUNTIFS('資格研修記録'!$A$5:$A$1004,A137,'資格研修記録'!$D$5:$D$1004,"小型船舶2級",'資格研修記録'!$F$5:$F$1004,"")+COUNTIFS('資格研修記録'!$A$5:$A$1004,A137,'資格研修記録'!$D$5:$D$1004,"小型船舶2級",'資格研修記録'!$F$5:$F$1004,"&gt;="&amp;TODAY()))&gt;0,"2級",IF(COUNTIFS('資格研修記録'!$A$5:$A$1004,A137,'資格研修記録'!$D$5:$D$1004,"小型船舶1級")+COUNTIFS('資格研修記録'!$A$5:$A$1004,A137,'資格研修記録'!$D$5:$D$1004,"小型船舶2級")&gt;0,"× 1・2級 期限切れ",""))),IF((COUNTIFS('資格研修記録'!$A$5:$A$1004,A137,'資格研修記録'!$D$5:$D$1004,"小型船舶特殊",'資格研修記録'!$F$5:$F$1004,"")+COUNTIFS('資格研修記録'!$A$5:$A$1004,A137,'資格研修記録'!$D$5:$D$1004,"小型船舶特殊",'資格研修記録'!$F$5:$F$1004,"&gt;="&amp;TODAY()))&gt;0,"特殊",IF(COUNTIFS('資格研修記録'!$A$5:$A$1004,A137,'資格研修記録'!$D$5:$D$1004,"小型船舶特殊")&gt;0,"× 特殊 期限切れ","")))))</f>
        <v/>
      </c>
      <c r="H137" s="15">
        <f>IF(A137="","",COUNTIFS('潜水記録'!$B$5:$B$3004,A137,'潜水記録'!$AF$5:$AF$3004,$D$2))</f>
        <v/>
      </c>
      <c r="I137" s="15">
        <f>IF(A137="","",COUNTIF('潜水記録'!$B$5:$B$3004,A137))</f>
        <v/>
      </c>
      <c r="J137" s="15">
        <f>IF(A137="","",SUMIF('潜水記録'!$B$5:$B$3004,A137,'潜水記録'!$H$5:$H$3004))</f>
        <v/>
      </c>
      <c r="K137" s="15">
        <f>IF(A137="","",IF(I137=0,"",_xlfn.MAXIFS('潜水記録'!$G$5:$G$3004,'潜水記録'!$B$5:$B$3004,A137)))</f>
        <v/>
      </c>
      <c r="L137" s="16">
        <f>IF(A137="","",IF(I137=0,"",_xlfn.MAXIFS('潜水記録'!$A$5:$A$3004,'潜水記録'!$B$5:$B$3004,A137)))</f>
        <v/>
      </c>
      <c r="M137" s="15">
        <f>IF(L137="","",$B$2-L137)</f>
        <v/>
      </c>
    </row>
    <row r="138">
      <c r="A138" s="14">
        <f>IF('隊員マスタ'!A135="","",'隊員マスタ'!A135)</f>
        <v/>
      </c>
      <c r="B138" s="14">
        <f>IF(A138="","",'隊員マスタ'!B135)</f>
        <v/>
      </c>
      <c r="C138" s="14">
        <f>IF(A138="","",'隊員マスタ'!C135)</f>
        <v/>
      </c>
      <c r="D138" s="15">
        <f>IF(A138="","",'隊員マスタ'!D135)</f>
        <v/>
      </c>
      <c r="E138" s="15">
        <f>IF(A138="","",IF(COUNTIFS('資格研修記録'!$A$5:$A$1004,A138,'資格研修記録'!$D$5:$D$1004,"潜水士免許")&gt;0,"有","無"))</f>
        <v/>
      </c>
      <c r="F138" s="15">
        <f>IF(A138="","",IF(COUNTIFS('資格研修記録'!$A$5:$A$1004,A138,'資格研修記録'!$D$5:$D$1004,"水難救助研修")&gt;0,"修了","—"))</f>
        <v/>
      </c>
      <c r="G138" s="14">
        <f>IF(A138="","",IF((IF((COUNTIFS('資格研修記録'!$A$5:$A$1004,A138,'資格研修記録'!$D$5:$D$1004,"小型船舶1級",'資格研修記録'!$F$5:$F$1004,"")+COUNTIFS('資格研修記録'!$A$5:$A$1004,A138,'資格研修記録'!$D$5:$D$1004,"小型船舶1級",'資格研修記録'!$F$5:$F$1004,"&gt;="&amp;TODAY()))&gt;0,"1級",IF((COUNTIFS('資格研修記録'!$A$5:$A$1004,A138,'資格研修記録'!$D$5:$D$1004,"小型船舶2級",'資格研修記録'!$F$5:$F$1004,"")+COUNTIFS('資格研修記録'!$A$5:$A$1004,A138,'資格研修記録'!$D$5:$D$1004,"小型船舶2級",'資格研修記録'!$F$5:$F$1004,"&gt;="&amp;TODAY()))&gt;0,"2級",IF(COUNTIFS('資格研修記録'!$A$5:$A$1004,A138,'資格研修記録'!$D$5:$D$1004,"小型船舶1級")+COUNTIFS('資格研修記録'!$A$5:$A$1004,A138,'資格研修記録'!$D$5:$D$1004,"小型船舶2級")&gt;0,"× 1・2級 期限切れ",""))))&amp;(IF((COUNTIFS('資格研修記録'!$A$5:$A$1004,A138,'資格研修記録'!$D$5:$D$1004,"小型船舶特殊",'資格研修記録'!$F$5:$F$1004,"")+COUNTIFS('資格研修記録'!$A$5:$A$1004,A138,'資格研修記録'!$D$5:$D$1004,"小型船舶特殊",'資格研修記録'!$F$5:$F$1004,"&gt;="&amp;TODAY()))&gt;0,"特殊",IF(COUNTIFS('資格研修記録'!$A$5:$A$1004,A138,'資格研修記録'!$D$5:$D$1004,"小型船舶特殊")&gt;0,"× 特殊 期限切れ","")))="","—",_xlfn.TEXTJOIN("・",TRUE,IF((COUNTIFS('資格研修記録'!$A$5:$A$1004,A138,'資格研修記録'!$D$5:$D$1004,"小型船舶1級",'資格研修記録'!$F$5:$F$1004,"")+COUNTIFS('資格研修記録'!$A$5:$A$1004,A138,'資格研修記録'!$D$5:$D$1004,"小型船舶1級",'資格研修記録'!$F$5:$F$1004,"&gt;="&amp;TODAY()))&gt;0,"1級",IF((COUNTIFS('資格研修記録'!$A$5:$A$1004,A138,'資格研修記録'!$D$5:$D$1004,"小型船舶2級",'資格研修記録'!$F$5:$F$1004,"")+COUNTIFS('資格研修記録'!$A$5:$A$1004,A138,'資格研修記録'!$D$5:$D$1004,"小型船舶2級",'資格研修記録'!$F$5:$F$1004,"&gt;="&amp;TODAY()))&gt;0,"2級",IF(COUNTIFS('資格研修記録'!$A$5:$A$1004,A138,'資格研修記録'!$D$5:$D$1004,"小型船舶1級")+COUNTIFS('資格研修記録'!$A$5:$A$1004,A138,'資格研修記録'!$D$5:$D$1004,"小型船舶2級")&gt;0,"× 1・2級 期限切れ",""))),IF((COUNTIFS('資格研修記録'!$A$5:$A$1004,A138,'資格研修記録'!$D$5:$D$1004,"小型船舶特殊",'資格研修記録'!$F$5:$F$1004,"")+COUNTIFS('資格研修記録'!$A$5:$A$1004,A138,'資格研修記録'!$D$5:$D$1004,"小型船舶特殊",'資格研修記録'!$F$5:$F$1004,"&gt;="&amp;TODAY()))&gt;0,"特殊",IF(COUNTIFS('資格研修記録'!$A$5:$A$1004,A138,'資格研修記録'!$D$5:$D$1004,"小型船舶特殊")&gt;0,"× 特殊 期限切れ","")))))</f>
        <v/>
      </c>
      <c r="H138" s="15">
        <f>IF(A138="","",COUNTIFS('潜水記録'!$B$5:$B$3004,A138,'潜水記録'!$AF$5:$AF$3004,$D$2))</f>
        <v/>
      </c>
      <c r="I138" s="15">
        <f>IF(A138="","",COUNTIF('潜水記録'!$B$5:$B$3004,A138))</f>
        <v/>
      </c>
      <c r="J138" s="15">
        <f>IF(A138="","",SUMIF('潜水記録'!$B$5:$B$3004,A138,'潜水記録'!$H$5:$H$3004))</f>
        <v/>
      </c>
      <c r="K138" s="15">
        <f>IF(A138="","",IF(I138=0,"",_xlfn.MAXIFS('潜水記録'!$G$5:$G$3004,'潜水記録'!$B$5:$B$3004,A138)))</f>
        <v/>
      </c>
      <c r="L138" s="16">
        <f>IF(A138="","",IF(I138=0,"",_xlfn.MAXIFS('潜水記録'!$A$5:$A$3004,'潜水記録'!$B$5:$B$3004,A138)))</f>
        <v/>
      </c>
      <c r="M138" s="15">
        <f>IF(L138="","",$B$2-L138)</f>
        <v/>
      </c>
    </row>
    <row r="139">
      <c r="A139" s="14">
        <f>IF('隊員マスタ'!A136="","",'隊員マスタ'!A136)</f>
        <v/>
      </c>
      <c r="B139" s="14">
        <f>IF(A139="","",'隊員マスタ'!B136)</f>
        <v/>
      </c>
      <c r="C139" s="14">
        <f>IF(A139="","",'隊員マスタ'!C136)</f>
        <v/>
      </c>
      <c r="D139" s="15">
        <f>IF(A139="","",'隊員マスタ'!D136)</f>
        <v/>
      </c>
      <c r="E139" s="15">
        <f>IF(A139="","",IF(COUNTIFS('資格研修記録'!$A$5:$A$1004,A139,'資格研修記録'!$D$5:$D$1004,"潜水士免許")&gt;0,"有","無"))</f>
        <v/>
      </c>
      <c r="F139" s="15">
        <f>IF(A139="","",IF(COUNTIFS('資格研修記録'!$A$5:$A$1004,A139,'資格研修記録'!$D$5:$D$1004,"水難救助研修")&gt;0,"修了","—"))</f>
        <v/>
      </c>
      <c r="G139" s="14">
        <f>IF(A139="","",IF((IF((COUNTIFS('資格研修記録'!$A$5:$A$1004,A139,'資格研修記録'!$D$5:$D$1004,"小型船舶1級",'資格研修記録'!$F$5:$F$1004,"")+COUNTIFS('資格研修記録'!$A$5:$A$1004,A139,'資格研修記録'!$D$5:$D$1004,"小型船舶1級",'資格研修記録'!$F$5:$F$1004,"&gt;="&amp;TODAY()))&gt;0,"1級",IF((COUNTIFS('資格研修記録'!$A$5:$A$1004,A139,'資格研修記録'!$D$5:$D$1004,"小型船舶2級",'資格研修記録'!$F$5:$F$1004,"")+COUNTIFS('資格研修記録'!$A$5:$A$1004,A139,'資格研修記録'!$D$5:$D$1004,"小型船舶2級",'資格研修記録'!$F$5:$F$1004,"&gt;="&amp;TODAY()))&gt;0,"2級",IF(COUNTIFS('資格研修記録'!$A$5:$A$1004,A139,'資格研修記録'!$D$5:$D$1004,"小型船舶1級")+COUNTIFS('資格研修記録'!$A$5:$A$1004,A139,'資格研修記録'!$D$5:$D$1004,"小型船舶2級")&gt;0,"× 1・2級 期限切れ",""))))&amp;(IF((COUNTIFS('資格研修記録'!$A$5:$A$1004,A139,'資格研修記録'!$D$5:$D$1004,"小型船舶特殊",'資格研修記録'!$F$5:$F$1004,"")+COUNTIFS('資格研修記録'!$A$5:$A$1004,A139,'資格研修記録'!$D$5:$D$1004,"小型船舶特殊",'資格研修記録'!$F$5:$F$1004,"&gt;="&amp;TODAY()))&gt;0,"特殊",IF(COUNTIFS('資格研修記録'!$A$5:$A$1004,A139,'資格研修記録'!$D$5:$D$1004,"小型船舶特殊")&gt;0,"× 特殊 期限切れ","")))="","—",_xlfn.TEXTJOIN("・",TRUE,IF((COUNTIFS('資格研修記録'!$A$5:$A$1004,A139,'資格研修記録'!$D$5:$D$1004,"小型船舶1級",'資格研修記録'!$F$5:$F$1004,"")+COUNTIFS('資格研修記録'!$A$5:$A$1004,A139,'資格研修記録'!$D$5:$D$1004,"小型船舶1級",'資格研修記録'!$F$5:$F$1004,"&gt;="&amp;TODAY()))&gt;0,"1級",IF((COUNTIFS('資格研修記録'!$A$5:$A$1004,A139,'資格研修記録'!$D$5:$D$1004,"小型船舶2級",'資格研修記録'!$F$5:$F$1004,"")+COUNTIFS('資格研修記録'!$A$5:$A$1004,A139,'資格研修記録'!$D$5:$D$1004,"小型船舶2級",'資格研修記録'!$F$5:$F$1004,"&gt;="&amp;TODAY()))&gt;0,"2級",IF(COUNTIFS('資格研修記録'!$A$5:$A$1004,A139,'資格研修記録'!$D$5:$D$1004,"小型船舶1級")+COUNTIFS('資格研修記録'!$A$5:$A$1004,A139,'資格研修記録'!$D$5:$D$1004,"小型船舶2級")&gt;0,"× 1・2級 期限切れ",""))),IF((COUNTIFS('資格研修記録'!$A$5:$A$1004,A139,'資格研修記録'!$D$5:$D$1004,"小型船舶特殊",'資格研修記録'!$F$5:$F$1004,"")+COUNTIFS('資格研修記録'!$A$5:$A$1004,A139,'資格研修記録'!$D$5:$D$1004,"小型船舶特殊",'資格研修記録'!$F$5:$F$1004,"&gt;="&amp;TODAY()))&gt;0,"特殊",IF(COUNTIFS('資格研修記録'!$A$5:$A$1004,A139,'資格研修記録'!$D$5:$D$1004,"小型船舶特殊")&gt;0,"× 特殊 期限切れ","")))))</f>
        <v/>
      </c>
      <c r="H139" s="15">
        <f>IF(A139="","",COUNTIFS('潜水記録'!$B$5:$B$3004,A139,'潜水記録'!$AF$5:$AF$3004,$D$2))</f>
        <v/>
      </c>
      <c r="I139" s="15">
        <f>IF(A139="","",COUNTIF('潜水記録'!$B$5:$B$3004,A139))</f>
        <v/>
      </c>
      <c r="J139" s="15">
        <f>IF(A139="","",SUMIF('潜水記録'!$B$5:$B$3004,A139,'潜水記録'!$H$5:$H$3004))</f>
        <v/>
      </c>
      <c r="K139" s="15">
        <f>IF(A139="","",IF(I139=0,"",_xlfn.MAXIFS('潜水記録'!$G$5:$G$3004,'潜水記録'!$B$5:$B$3004,A139)))</f>
        <v/>
      </c>
      <c r="L139" s="16">
        <f>IF(A139="","",IF(I139=0,"",_xlfn.MAXIFS('潜水記録'!$A$5:$A$3004,'潜水記録'!$B$5:$B$3004,A139)))</f>
        <v/>
      </c>
      <c r="M139" s="15">
        <f>IF(L139="","",$B$2-L139)</f>
        <v/>
      </c>
    </row>
    <row r="140">
      <c r="A140" s="14">
        <f>IF('隊員マスタ'!A137="","",'隊員マスタ'!A137)</f>
        <v/>
      </c>
      <c r="B140" s="14">
        <f>IF(A140="","",'隊員マスタ'!B137)</f>
        <v/>
      </c>
      <c r="C140" s="14">
        <f>IF(A140="","",'隊員マスタ'!C137)</f>
        <v/>
      </c>
      <c r="D140" s="15">
        <f>IF(A140="","",'隊員マスタ'!D137)</f>
        <v/>
      </c>
      <c r="E140" s="15">
        <f>IF(A140="","",IF(COUNTIFS('資格研修記録'!$A$5:$A$1004,A140,'資格研修記録'!$D$5:$D$1004,"潜水士免許")&gt;0,"有","無"))</f>
        <v/>
      </c>
      <c r="F140" s="15">
        <f>IF(A140="","",IF(COUNTIFS('資格研修記録'!$A$5:$A$1004,A140,'資格研修記録'!$D$5:$D$1004,"水難救助研修")&gt;0,"修了","—"))</f>
        <v/>
      </c>
      <c r="G140" s="14">
        <f>IF(A140="","",IF((IF((COUNTIFS('資格研修記録'!$A$5:$A$1004,A140,'資格研修記録'!$D$5:$D$1004,"小型船舶1級",'資格研修記録'!$F$5:$F$1004,"")+COUNTIFS('資格研修記録'!$A$5:$A$1004,A140,'資格研修記録'!$D$5:$D$1004,"小型船舶1級",'資格研修記録'!$F$5:$F$1004,"&gt;="&amp;TODAY()))&gt;0,"1級",IF((COUNTIFS('資格研修記録'!$A$5:$A$1004,A140,'資格研修記録'!$D$5:$D$1004,"小型船舶2級",'資格研修記録'!$F$5:$F$1004,"")+COUNTIFS('資格研修記録'!$A$5:$A$1004,A140,'資格研修記録'!$D$5:$D$1004,"小型船舶2級",'資格研修記録'!$F$5:$F$1004,"&gt;="&amp;TODAY()))&gt;0,"2級",IF(COUNTIFS('資格研修記録'!$A$5:$A$1004,A140,'資格研修記録'!$D$5:$D$1004,"小型船舶1級")+COUNTIFS('資格研修記録'!$A$5:$A$1004,A140,'資格研修記録'!$D$5:$D$1004,"小型船舶2級")&gt;0,"× 1・2級 期限切れ",""))))&amp;(IF((COUNTIFS('資格研修記録'!$A$5:$A$1004,A140,'資格研修記録'!$D$5:$D$1004,"小型船舶特殊",'資格研修記録'!$F$5:$F$1004,"")+COUNTIFS('資格研修記録'!$A$5:$A$1004,A140,'資格研修記録'!$D$5:$D$1004,"小型船舶特殊",'資格研修記録'!$F$5:$F$1004,"&gt;="&amp;TODAY()))&gt;0,"特殊",IF(COUNTIFS('資格研修記録'!$A$5:$A$1004,A140,'資格研修記録'!$D$5:$D$1004,"小型船舶特殊")&gt;0,"× 特殊 期限切れ","")))="","—",_xlfn.TEXTJOIN("・",TRUE,IF((COUNTIFS('資格研修記録'!$A$5:$A$1004,A140,'資格研修記録'!$D$5:$D$1004,"小型船舶1級",'資格研修記録'!$F$5:$F$1004,"")+COUNTIFS('資格研修記録'!$A$5:$A$1004,A140,'資格研修記録'!$D$5:$D$1004,"小型船舶1級",'資格研修記録'!$F$5:$F$1004,"&gt;="&amp;TODAY()))&gt;0,"1級",IF((COUNTIFS('資格研修記録'!$A$5:$A$1004,A140,'資格研修記録'!$D$5:$D$1004,"小型船舶2級",'資格研修記録'!$F$5:$F$1004,"")+COUNTIFS('資格研修記録'!$A$5:$A$1004,A140,'資格研修記録'!$D$5:$D$1004,"小型船舶2級",'資格研修記録'!$F$5:$F$1004,"&gt;="&amp;TODAY()))&gt;0,"2級",IF(COUNTIFS('資格研修記録'!$A$5:$A$1004,A140,'資格研修記録'!$D$5:$D$1004,"小型船舶1級")+COUNTIFS('資格研修記録'!$A$5:$A$1004,A140,'資格研修記録'!$D$5:$D$1004,"小型船舶2級")&gt;0,"× 1・2級 期限切れ",""))),IF((COUNTIFS('資格研修記録'!$A$5:$A$1004,A140,'資格研修記録'!$D$5:$D$1004,"小型船舶特殊",'資格研修記録'!$F$5:$F$1004,"")+COUNTIFS('資格研修記録'!$A$5:$A$1004,A140,'資格研修記録'!$D$5:$D$1004,"小型船舶特殊",'資格研修記録'!$F$5:$F$1004,"&gt;="&amp;TODAY()))&gt;0,"特殊",IF(COUNTIFS('資格研修記録'!$A$5:$A$1004,A140,'資格研修記録'!$D$5:$D$1004,"小型船舶特殊")&gt;0,"× 特殊 期限切れ","")))))</f>
        <v/>
      </c>
      <c r="H140" s="15">
        <f>IF(A140="","",COUNTIFS('潜水記録'!$B$5:$B$3004,A140,'潜水記録'!$AF$5:$AF$3004,$D$2))</f>
        <v/>
      </c>
      <c r="I140" s="15">
        <f>IF(A140="","",COUNTIF('潜水記録'!$B$5:$B$3004,A140))</f>
        <v/>
      </c>
      <c r="J140" s="15">
        <f>IF(A140="","",SUMIF('潜水記録'!$B$5:$B$3004,A140,'潜水記録'!$H$5:$H$3004))</f>
        <v/>
      </c>
      <c r="K140" s="15">
        <f>IF(A140="","",IF(I140=0,"",_xlfn.MAXIFS('潜水記録'!$G$5:$G$3004,'潜水記録'!$B$5:$B$3004,A140)))</f>
        <v/>
      </c>
      <c r="L140" s="16">
        <f>IF(A140="","",IF(I140=0,"",_xlfn.MAXIFS('潜水記録'!$A$5:$A$3004,'潜水記録'!$B$5:$B$3004,A140)))</f>
        <v/>
      </c>
      <c r="M140" s="15">
        <f>IF(L140="","",$B$2-L140)</f>
        <v/>
      </c>
    </row>
    <row r="141">
      <c r="A141" s="14">
        <f>IF('隊員マスタ'!A138="","",'隊員マスタ'!A138)</f>
        <v/>
      </c>
      <c r="B141" s="14">
        <f>IF(A141="","",'隊員マスタ'!B138)</f>
        <v/>
      </c>
      <c r="C141" s="14">
        <f>IF(A141="","",'隊員マスタ'!C138)</f>
        <v/>
      </c>
      <c r="D141" s="15">
        <f>IF(A141="","",'隊員マスタ'!D138)</f>
        <v/>
      </c>
      <c r="E141" s="15">
        <f>IF(A141="","",IF(COUNTIFS('資格研修記録'!$A$5:$A$1004,A141,'資格研修記録'!$D$5:$D$1004,"潜水士免許")&gt;0,"有","無"))</f>
        <v/>
      </c>
      <c r="F141" s="15">
        <f>IF(A141="","",IF(COUNTIFS('資格研修記録'!$A$5:$A$1004,A141,'資格研修記録'!$D$5:$D$1004,"水難救助研修")&gt;0,"修了","—"))</f>
        <v/>
      </c>
      <c r="G141" s="14">
        <f>IF(A141="","",IF((IF((COUNTIFS('資格研修記録'!$A$5:$A$1004,A141,'資格研修記録'!$D$5:$D$1004,"小型船舶1級",'資格研修記録'!$F$5:$F$1004,"")+COUNTIFS('資格研修記録'!$A$5:$A$1004,A141,'資格研修記録'!$D$5:$D$1004,"小型船舶1級",'資格研修記録'!$F$5:$F$1004,"&gt;="&amp;TODAY()))&gt;0,"1級",IF((COUNTIFS('資格研修記録'!$A$5:$A$1004,A141,'資格研修記録'!$D$5:$D$1004,"小型船舶2級",'資格研修記録'!$F$5:$F$1004,"")+COUNTIFS('資格研修記録'!$A$5:$A$1004,A141,'資格研修記録'!$D$5:$D$1004,"小型船舶2級",'資格研修記録'!$F$5:$F$1004,"&gt;="&amp;TODAY()))&gt;0,"2級",IF(COUNTIFS('資格研修記録'!$A$5:$A$1004,A141,'資格研修記録'!$D$5:$D$1004,"小型船舶1級")+COUNTIFS('資格研修記録'!$A$5:$A$1004,A141,'資格研修記録'!$D$5:$D$1004,"小型船舶2級")&gt;0,"× 1・2級 期限切れ",""))))&amp;(IF((COUNTIFS('資格研修記録'!$A$5:$A$1004,A141,'資格研修記録'!$D$5:$D$1004,"小型船舶特殊",'資格研修記録'!$F$5:$F$1004,"")+COUNTIFS('資格研修記録'!$A$5:$A$1004,A141,'資格研修記録'!$D$5:$D$1004,"小型船舶特殊",'資格研修記録'!$F$5:$F$1004,"&gt;="&amp;TODAY()))&gt;0,"特殊",IF(COUNTIFS('資格研修記録'!$A$5:$A$1004,A141,'資格研修記録'!$D$5:$D$1004,"小型船舶特殊")&gt;0,"× 特殊 期限切れ","")))="","—",_xlfn.TEXTJOIN("・",TRUE,IF((COUNTIFS('資格研修記録'!$A$5:$A$1004,A141,'資格研修記録'!$D$5:$D$1004,"小型船舶1級",'資格研修記録'!$F$5:$F$1004,"")+COUNTIFS('資格研修記録'!$A$5:$A$1004,A141,'資格研修記録'!$D$5:$D$1004,"小型船舶1級",'資格研修記録'!$F$5:$F$1004,"&gt;="&amp;TODAY()))&gt;0,"1級",IF((COUNTIFS('資格研修記録'!$A$5:$A$1004,A141,'資格研修記録'!$D$5:$D$1004,"小型船舶2級",'資格研修記録'!$F$5:$F$1004,"")+COUNTIFS('資格研修記録'!$A$5:$A$1004,A141,'資格研修記録'!$D$5:$D$1004,"小型船舶2級",'資格研修記録'!$F$5:$F$1004,"&gt;="&amp;TODAY()))&gt;0,"2級",IF(COUNTIFS('資格研修記録'!$A$5:$A$1004,A141,'資格研修記録'!$D$5:$D$1004,"小型船舶1級")+COUNTIFS('資格研修記録'!$A$5:$A$1004,A141,'資格研修記録'!$D$5:$D$1004,"小型船舶2級")&gt;0,"× 1・2級 期限切れ",""))),IF((COUNTIFS('資格研修記録'!$A$5:$A$1004,A141,'資格研修記録'!$D$5:$D$1004,"小型船舶特殊",'資格研修記録'!$F$5:$F$1004,"")+COUNTIFS('資格研修記録'!$A$5:$A$1004,A141,'資格研修記録'!$D$5:$D$1004,"小型船舶特殊",'資格研修記録'!$F$5:$F$1004,"&gt;="&amp;TODAY()))&gt;0,"特殊",IF(COUNTIFS('資格研修記録'!$A$5:$A$1004,A141,'資格研修記録'!$D$5:$D$1004,"小型船舶特殊")&gt;0,"× 特殊 期限切れ","")))))</f>
        <v/>
      </c>
      <c r="H141" s="15">
        <f>IF(A141="","",COUNTIFS('潜水記録'!$B$5:$B$3004,A141,'潜水記録'!$AF$5:$AF$3004,$D$2))</f>
        <v/>
      </c>
      <c r="I141" s="15">
        <f>IF(A141="","",COUNTIF('潜水記録'!$B$5:$B$3004,A141))</f>
        <v/>
      </c>
      <c r="J141" s="15">
        <f>IF(A141="","",SUMIF('潜水記録'!$B$5:$B$3004,A141,'潜水記録'!$H$5:$H$3004))</f>
        <v/>
      </c>
      <c r="K141" s="15">
        <f>IF(A141="","",IF(I141=0,"",_xlfn.MAXIFS('潜水記録'!$G$5:$G$3004,'潜水記録'!$B$5:$B$3004,A141)))</f>
        <v/>
      </c>
      <c r="L141" s="16">
        <f>IF(A141="","",IF(I141=0,"",_xlfn.MAXIFS('潜水記録'!$A$5:$A$3004,'潜水記録'!$B$5:$B$3004,A141)))</f>
        <v/>
      </c>
      <c r="M141" s="15">
        <f>IF(L141="","",$B$2-L141)</f>
        <v/>
      </c>
    </row>
    <row r="142">
      <c r="A142" s="14">
        <f>IF('隊員マスタ'!A139="","",'隊員マスタ'!A139)</f>
        <v/>
      </c>
      <c r="B142" s="14">
        <f>IF(A142="","",'隊員マスタ'!B139)</f>
        <v/>
      </c>
      <c r="C142" s="14">
        <f>IF(A142="","",'隊員マスタ'!C139)</f>
        <v/>
      </c>
      <c r="D142" s="15">
        <f>IF(A142="","",'隊員マスタ'!D139)</f>
        <v/>
      </c>
      <c r="E142" s="15">
        <f>IF(A142="","",IF(COUNTIFS('資格研修記録'!$A$5:$A$1004,A142,'資格研修記録'!$D$5:$D$1004,"潜水士免許")&gt;0,"有","無"))</f>
        <v/>
      </c>
      <c r="F142" s="15">
        <f>IF(A142="","",IF(COUNTIFS('資格研修記録'!$A$5:$A$1004,A142,'資格研修記録'!$D$5:$D$1004,"水難救助研修")&gt;0,"修了","—"))</f>
        <v/>
      </c>
      <c r="G142" s="14">
        <f>IF(A142="","",IF((IF((COUNTIFS('資格研修記録'!$A$5:$A$1004,A142,'資格研修記録'!$D$5:$D$1004,"小型船舶1級",'資格研修記録'!$F$5:$F$1004,"")+COUNTIFS('資格研修記録'!$A$5:$A$1004,A142,'資格研修記録'!$D$5:$D$1004,"小型船舶1級",'資格研修記録'!$F$5:$F$1004,"&gt;="&amp;TODAY()))&gt;0,"1級",IF((COUNTIFS('資格研修記録'!$A$5:$A$1004,A142,'資格研修記録'!$D$5:$D$1004,"小型船舶2級",'資格研修記録'!$F$5:$F$1004,"")+COUNTIFS('資格研修記録'!$A$5:$A$1004,A142,'資格研修記録'!$D$5:$D$1004,"小型船舶2級",'資格研修記録'!$F$5:$F$1004,"&gt;="&amp;TODAY()))&gt;0,"2級",IF(COUNTIFS('資格研修記録'!$A$5:$A$1004,A142,'資格研修記録'!$D$5:$D$1004,"小型船舶1級")+COUNTIFS('資格研修記録'!$A$5:$A$1004,A142,'資格研修記録'!$D$5:$D$1004,"小型船舶2級")&gt;0,"× 1・2級 期限切れ",""))))&amp;(IF((COUNTIFS('資格研修記録'!$A$5:$A$1004,A142,'資格研修記録'!$D$5:$D$1004,"小型船舶特殊",'資格研修記録'!$F$5:$F$1004,"")+COUNTIFS('資格研修記録'!$A$5:$A$1004,A142,'資格研修記録'!$D$5:$D$1004,"小型船舶特殊",'資格研修記録'!$F$5:$F$1004,"&gt;="&amp;TODAY()))&gt;0,"特殊",IF(COUNTIFS('資格研修記録'!$A$5:$A$1004,A142,'資格研修記録'!$D$5:$D$1004,"小型船舶特殊")&gt;0,"× 特殊 期限切れ","")))="","—",_xlfn.TEXTJOIN("・",TRUE,IF((COUNTIFS('資格研修記録'!$A$5:$A$1004,A142,'資格研修記録'!$D$5:$D$1004,"小型船舶1級",'資格研修記録'!$F$5:$F$1004,"")+COUNTIFS('資格研修記録'!$A$5:$A$1004,A142,'資格研修記録'!$D$5:$D$1004,"小型船舶1級",'資格研修記録'!$F$5:$F$1004,"&gt;="&amp;TODAY()))&gt;0,"1級",IF((COUNTIFS('資格研修記録'!$A$5:$A$1004,A142,'資格研修記録'!$D$5:$D$1004,"小型船舶2級",'資格研修記録'!$F$5:$F$1004,"")+COUNTIFS('資格研修記録'!$A$5:$A$1004,A142,'資格研修記録'!$D$5:$D$1004,"小型船舶2級",'資格研修記録'!$F$5:$F$1004,"&gt;="&amp;TODAY()))&gt;0,"2級",IF(COUNTIFS('資格研修記録'!$A$5:$A$1004,A142,'資格研修記録'!$D$5:$D$1004,"小型船舶1級")+COUNTIFS('資格研修記録'!$A$5:$A$1004,A142,'資格研修記録'!$D$5:$D$1004,"小型船舶2級")&gt;0,"× 1・2級 期限切れ",""))),IF((COUNTIFS('資格研修記録'!$A$5:$A$1004,A142,'資格研修記録'!$D$5:$D$1004,"小型船舶特殊",'資格研修記録'!$F$5:$F$1004,"")+COUNTIFS('資格研修記録'!$A$5:$A$1004,A142,'資格研修記録'!$D$5:$D$1004,"小型船舶特殊",'資格研修記録'!$F$5:$F$1004,"&gt;="&amp;TODAY()))&gt;0,"特殊",IF(COUNTIFS('資格研修記録'!$A$5:$A$1004,A142,'資格研修記録'!$D$5:$D$1004,"小型船舶特殊")&gt;0,"× 特殊 期限切れ","")))))</f>
        <v/>
      </c>
      <c r="H142" s="15">
        <f>IF(A142="","",COUNTIFS('潜水記録'!$B$5:$B$3004,A142,'潜水記録'!$AF$5:$AF$3004,$D$2))</f>
        <v/>
      </c>
      <c r="I142" s="15">
        <f>IF(A142="","",COUNTIF('潜水記録'!$B$5:$B$3004,A142))</f>
        <v/>
      </c>
      <c r="J142" s="15">
        <f>IF(A142="","",SUMIF('潜水記録'!$B$5:$B$3004,A142,'潜水記録'!$H$5:$H$3004))</f>
        <v/>
      </c>
      <c r="K142" s="15">
        <f>IF(A142="","",IF(I142=0,"",_xlfn.MAXIFS('潜水記録'!$G$5:$G$3004,'潜水記録'!$B$5:$B$3004,A142)))</f>
        <v/>
      </c>
      <c r="L142" s="16">
        <f>IF(A142="","",IF(I142=0,"",_xlfn.MAXIFS('潜水記録'!$A$5:$A$3004,'潜水記録'!$B$5:$B$3004,A142)))</f>
        <v/>
      </c>
      <c r="M142" s="15">
        <f>IF(L142="","",$B$2-L142)</f>
        <v/>
      </c>
    </row>
    <row r="143">
      <c r="A143" s="14">
        <f>IF('隊員マスタ'!A140="","",'隊員マスタ'!A140)</f>
        <v/>
      </c>
      <c r="B143" s="14">
        <f>IF(A143="","",'隊員マスタ'!B140)</f>
        <v/>
      </c>
      <c r="C143" s="14">
        <f>IF(A143="","",'隊員マスタ'!C140)</f>
        <v/>
      </c>
      <c r="D143" s="15">
        <f>IF(A143="","",'隊員マスタ'!D140)</f>
        <v/>
      </c>
      <c r="E143" s="15">
        <f>IF(A143="","",IF(COUNTIFS('資格研修記録'!$A$5:$A$1004,A143,'資格研修記録'!$D$5:$D$1004,"潜水士免許")&gt;0,"有","無"))</f>
        <v/>
      </c>
      <c r="F143" s="15">
        <f>IF(A143="","",IF(COUNTIFS('資格研修記録'!$A$5:$A$1004,A143,'資格研修記録'!$D$5:$D$1004,"水難救助研修")&gt;0,"修了","—"))</f>
        <v/>
      </c>
      <c r="G143" s="14">
        <f>IF(A143="","",IF((IF((COUNTIFS('資格研修記録'!$A$5:$A$1004,A143,'資格研修記録'!$D$5:$D$1004,"小型船舶1級",'資格研修記録'!$F$5:$F$1004,"")+COUNTIFS('資格研修記録'!$A$5:$A$1004,A143,'資格研修記録'!$D$5:$D$1004,"小型船舶1級",'資格研修記録'!$F$5:$F$1004,"&gt;="&amp;TODAY()))&gt;0,"1級",IF((COUNTIFS('資格研修記録'!$A$5:$A$1004,A143,'資格研修記録'!$D$5:$D$1004,"小型船舶2級",'資格研修記録'!$F$5:$F$1004,"")+COUNTIFS('資格研修記録'!$A$5:$A$1004,A143,'資格研修記録'!$D$5:$D$1004,"小型船舶2級",'資格研修記録'!$F$5:$F$1004,"&gt;="&amp;TODAY()))&gt;0,"2級",IF(COUNTIFS('資格研修記録'!$A$5:$A$1004,A143,'資格研修記録'!$D$5:$D$1004,"小型船舶1級")+COUNTIFS('資格研修記録'!$A$5:$A$1004,A143,'資格研修記録'!$D$5:$D$1004,"小型船舶2級")&gt;0,"× 1・2級 期限切れ",""))))&amp;(IF((COUNTIFS('資格研修記録'!$A$5:$A$1004,A143,'資格研修記録'!$D$5:$D$1004,"小型船舶特殊",'資格研修記録'!$F$5:$F$1004,"")+COUNTIFS('資格研修記録'!$A$5:$A$1004,A143,'資格研修記録'!$D$5:$D$1004,"小型船舶特殊",'資格研修記録'!$F$5:$F$1004,"&gt;="&amp;TODAY()))&gt;0,"特殊",IF(COUNTIFS('資格研修記録'!$A$5:$A$1004,A143,'資格研修記録'!$D$5:$D$1004,"小型船舶特殊")&gt;0,"× 特殊 期限切れ","")))="","—",_xlfn.TEXTJOIN("・",TRUE,IF((COUNTIFS('資格研修記録'!$A$5:$A$1004,A143,'資格研修記録'!$D$5:$D$1004,"小型船舶1級",'資格研修記録'!$F$5:$F$1004,"")+COUNTIFS('資格研修記録'!$A$5:$A$1004,A143,'資格研修記録'!$D$5:$D$1004,"小型船舶1級",'資格研修記録'!$F$5:$F$1004,"&gt;="&amp;TODAY()))&gt;0,"1級",IF((COUNTIFS('資格研修記録'!$A$5:$A$1004,A143,'資格研修記録'!$D$5:$D$1004,"小型船舶2級",'資格研修記録'!$F$5:$F$1004,"")+COUNTIFS('資格研修記録'!$A$5:$A$1004,A143,'資格研修記録'!$D$5:$D$1004,"小型船舶2級",'資格研修記録'!$F$5:$F$1004,"&gt;="&amp;TODAY()))&gt;0,"2級",IF(COUNTIFS('資格研修記録'!$A$5:$A$1004,A143,'資格研修記録'!$D$5:$D$1004,"小型船舶1級")+COUNTIFS('資格研修記録'!$A$5:$A$1004,A143,'資格研修記録'!$D$5:$D$1004,"小型船舶2級")&gt;0,"× 1・2級 期限切れ",""))),IF((COUNTIFS('資格研修記録'!$A$5:$A$1004,A143,'資格研修記録'!$D$5:$D$1004,"小型船舶特殊",'資格研修記録'!$F$5:$F$1004,"")+COUNTIFS('資格研修記録'!$A$5:$A$1004,A143,'資格研修記録'!$D$5:$D$1004,"小型船舶特殊",'資格研修記録'!$F$5:$F$1004,"&gt;="&amp;TODAY()))&gt;0,"特殊",IF(COUNTIFS('資格研修記録'!$A$5:$A$1004,A143,'資格研修記録'!$D$5:$D$1004,"小型船舶特殊")&gt;0,"× 特殊 期限切れ","")))))</f>
        <v/>
      </c>
      <c r="H143" s="15">
        <f>IF(A143="","",COUNTIFS('潜水記録'!$B$5:$B$3004,A143,'潜水記録'!$AF$5:$AF$3004,$D$2))</f>
        <v/>
      </c>
      <c r="I143" s="15">
        <f>IF(A143="","",COUNTIF('潜水記録'!$B$5:$B$3004,A143))</f>
        <v/>
      </c>
      <c r="J143" s="15">
        <f>IF(A143="","",SUMIF('潜水記録'!$B$5:$B$3004,A143,'潜水記録'!$H$5:$H$3004))</f>
        <v/>
      </c>
      <c r="K143" s="15">
        <f>IF(A143="","",IF(I143=0,"",_xlfn.MAXIFS('潜水記録'!$G$5:$G$3004,'潜水記録'!$B$5:$B$3004,A143)))</f>
        <v/>
      </c>
      <c r="L143" s="16">
        <f>IF(A143="","",IF(I143=0,"",_xlfn.MAXIFS('潜水記録'!$A$5:$A$3004,'潜水記録'!$B$5:$B$3004,A143)))</f>
        <v/>
      </c>
      <c r="M143" s="15">
        <f>IF(L143="","",$B$2-L143)</f>
        <v/>
      </c>
    </row>
    <row r="144">
      <c r="A144" s="14">
        <f>IF('隊員マスタ'!A141="","",'隊員マスタ'!A141)</f>
        <v/>
      </c>
      <c r="B144" s="14">
        <f>IF(A144="","",'隊員マスタ'!B141)</f>
        <v/>
      </c>
      <c r="C144" s="14">
        <f>IF(A144="","",'隊員マスタ'!C141)</f>
        <v/>
      </c>
      <c r="D144" s="15">
        <f>IF(A144="","",'隊員マスタ'!D141)</f>
        <v/>
      </c>
      <c r="E144" s="15">
        <f>IF(A144="","",IF(COUNTIFS('資格研修記録'!$A$5:$A$1004,A144,'資格研修記録'!$D$5:$D$1004,"潜水士免許")&gt;0,"有","無"))</f>
        <v/>
      </c>
      <c r="F144" s="15">
        <f>IF(A144="","",IF(COUNTIFS('資格研修記録'!$A$5:$A$1004,A144,'資格研修記録'!$D$5:$D$1004,"水難救助研修")&gt;0,"修了","—"))</f>
        <v/>
      </c>
      <c r="G144" s="14">
        <f>IF(A144="","",IF((IF((COUNTIFS('資格研修記録'!$A$5:$A$1004,A144,'資格研修記録'!$D$5:$D$1004,"小型船舶1級",'資格研修記録'!$F$5:$F$1004,"")+COUNTIFS('資格研修記録'!$A$5:$A$1004,A144,'資格研修記録'!$D$5:$D$1004,"小型船舶1級",'資格研修記録'!$F$5:$F$1004,"&gt;="&amp;TODAY()))&gt;0,"1級",IF((COUNTIFS('資格研修記録'!$A$5:$A$1004,A144,'資格研修記録'!$D$5:$D$1004,"小型船舶2級",'資格研修記録'!$F$5:$F$1004,"")+COUNTIFS('資格研修記録'!$A$5:$A$1004,A144,'資格研修記録'!$D$5:$D$1004,"小型船舶2級",'資格研修記録'!$F$5:$F$1004,"&gt;="&amp;TODAY()))&gt;0,"2級",IF(COUNTIFS('資格研修記録'!$A$5:$A$1004,A144,'資格研修記録'!$D$5:$D$1004,"小型船舶1級")+COUNTIFS('資格研修記録'!$A$5:$A$1004,A144,'資格研修記録'!$D$5:$D$1004,"小型船舶2級")&gt;0,"× 1・2級 期限切れ",""))))&amp;(IF((COUNTIFS('資格研修記録'!$A$5:$A$1004,A144,'資格研修記録'!$D$5:$D$1004,"小型船舶特殊",'資格研修記録'!$F$5:$F$1004,"")+COUNTIFS('資格研修記録'!$A$5:$A$1004,A144,'資格研修記録'!$D$5:$D$1004,"小型船舶特殊",'資格研修記録'!$F$5:$F$1004,"&gt;="&amp;TODAY()))&gt;0,"特殊",IF(COUNTIFS('資格研修記録'!$A$5:$A$1004,A144,'資格研修記録'!$D$5:$D$1004,"小型船舶特殊")&gt;0,"× 特殊 期限切れ","")))="","—",_xlfn.TEXTJOIN("・",TRUE,IF((COUNTIFS('資格研修記録'!$A$5:$A$1004,A144,'資格研修記録'!$D$5:$D$1004,"小型船舶1級",'資格研修記録'!$F$5:$F$1004,"")+COUNTIFS('資格研修記録'!$A$5:$A$1004,A144,'資格研修記録'!$D$5:$D$1004,"小型船舶1級",'資格研修記録'!$F$5:$F$1004,"&gt;="&amp;TODAY()))&gt;0,"1級",IF((COUNTIFS('資格研修記録'!$A$5:$A$1004,A144,'資格研修記録'!$D$5:$D$1004,"小型船舶2級",'資格研修記録'!$F$5:$F$1004,"")+COUNTIFS('資格研修記録'!$A$5:$A$1004,A144,'資格研修記録'!$D$5:$D$1004,"小型船舶2級",'資格研修記録'!$F$5:$F$1004,"&gt;="&amp;TODAY()))&gt;0,"2級",IF(COUNTIFS('資格研修記録'!$A$5:$A$1004,A144,'資格研修記録'!$D$5:$D$1004,"小型船舶1級")+COUNTIFS('資格研修記録'!$A$5:$A$1004,A144,'資格研修記録'!$D$5:$D$1004,"小型船舶2級")&gt;0,"× 1・2級 期限切れ",""))),IF((COUNTIFS('資格研修記録'!$A$5:$A$1004,A144,'資格研修記録'!$D$5:$D$1004,"小型船舶特殊",'資格研修記録'!$F$5:$F$1004,"")+COUNTIFS('資格研修記録'!$A$5:$A$1004,A144,'資格研修記録'!$D$5:$D$1004,"小型船舶特殊",'資格研修記録'!$F$5:$F$1004,"&gt;="&amp;TODAY()))&gt;0,"特殊",IF(COUNTIFS('資格研修記録'!$A$5:$A$1004,A144,'資格研修記録'!$D$5:$D$1004,"小型船舶特殊")&gt;0,"× 特殊 期限切れ","")))))</f>
        <v/>
      </c>
      <c r="H144" s="15">
        <f>IF(A144="","",COUNTIFS('潜水記録'!$B$5:$B$3004,A144,'潜水記録'!$AF$5:$AF$3004,$D$2))</f>
        <v/>
      </c>
      <c r="I144" s="15">
        <f>IF(A144="","",COUNTIF('潜水記録'!$B$5:$B$3004,A144))</f>
        <v/>
      </c>
      <c r="J144" s="15">
        <f>IF(A144="","",SUMIF('潜水記録'!$B$5:$B$3004,A144,'潜水記録'!$H$5:$H$3004))</f>
        <v/>
      </c>
      <c r="K144" s="15">
        <f>IF(A144="","",IF(I144=0,"",_xlfn.MAXIFS('潜水記録'!$G$5:$G$3004,'潜水記録'!$B$5:$B$3004,A144)))</f>
        <v/>
      </c>
      <c r="L144" s="16">
        <f>IF(A144="","",IF(I144=0,"",_xlfn.MAXIFS('潜水記録'!$A$5:$A$3004,'潜水記録'!$B$5:$B$3004,A144)))</f>
        <v/>
      </c>
      <c r="M144" s="15">
        <f>IF(L144="","",$B$2-L144)</f>
        <v/>
      </c>
    </row>
    <row r="145">
      <c r="A145" s="14">
        <f>IF('隊員マスタ'!A142="","",'隊員マスタ'!A142)</f>
        <v/>
      </c>
      <c r="B145" s="14">
        <f>IF(A145="","",'隊員マスタ'!B142)</f>
        <v/>
      </c>
      <c r="C145" s="14">
        <f>IF(A145="","",'隊員マスタ'!C142)</f>
        <v/>
      </c>
      <c r="D145" s="15">
        <f>IF(A145="","",'隊員マスタ'!D142)</f>
        <v/>
      </c>
      <c r="E145" s="15">
        <f>IF(A145="","",IF(COUNTIFS('資格研修記録'!$A$5:$A$1004,A145,'資格研修記録'!$D$5:$D$1004,"潜水士免許")&gt;0,"有","無"))</f>
        <v/>
      </c>
      <c r="F145" s="15">
        <f>IF(A145="","",IF(COUNTIFS('資格研修記録'!$A$5:$A$1004,A145,'資格研修記録'!$D$5:$D$1004,"水難救助研修")&gt;0,"修了","—"))</f>
        <v/>
      </c>
      <c r="G145" s="14">
        <f>IF(A145="","",IF((IF((COUNTIFS('資格研修記録'!$A$5:$A$1004,A145,'資格研修記録'!$D$5:$D$1004,"小型船舶1級",'資格研修記録'!$F$5:$F$1004,"")+COUNTIFS('資格研修記録'!$A$5:$A$1004,A145,'資格研修記録'!$D$5:$D$1004,"小型船舶1級",'資格研修記録'!$F$5:$F$1004,"&gt;="&amp;TODAY()))&gt;0,"1級",IF((COUNTIFS('資格研修記録'!$A$5:$A$1004,A145,'資格研修記録'!$D$5:$D$1004,"小型船舶2級",'資格研修記録'!$F$5:$F$1004,"")+COUNTIFS('資格研修記録'!$A$5:$A$1004,A145,'資格研修記録'!$D$5:$D$1004,"小型船舶2級",'資格研修記録'!$F$5:$F$1004,"&gt;="&amp;TODAY()))&gt;0,"2級",IF(COUNTIFS('資格研修記録'!$A$5:$A$1004,A145,'資格研修記録'!$D$5:$D$1004,"小型船舶1級")+COUNTIFS('資格研修記録'!$A$5:$A$1004,A145,'資格研修記録'!$D$5:$D$1004,"小型船舶2級")&gt;0,"× 1・2級 期限切れ",""))))&amp;(IF((COUNTIFS('資格研修記録'!$A$5:$A$1004,A145,'資格研修記録'!$D$5:$D$1004,"小型船舶特殊",'資格研修記録'!$F$5:$F$1004,"")+COUNTIFS('資格研修記録'!$A$5:$A$1004,A145,'資格研修記録'!$D$5:$D$1004,"小型船舶特殊",'資格研修記録'!$F$5:$F$1004,"&gt;="&amp;TODAY()))&gt;0,"特殊",IF(COUNTIFS('資格研修記録'!$A$5:$A$1004,A145,'資格研修記録'!$D$5:$D$1004,"小型船舶特殊")&gt;0,"× 特殊 期限切れ","")))="","—",_xlfn.TEXTJOIN("・",TRUE,IF((COUNTIFS('資格研修記録'!$A$5:$A$1004,A145,'資格研修記録'!$D$5:$D$1004,"小型船舶1級",'資格研修記録'!$F$5:$F$1004,"")+COUNTIFS('資格研修記録'!$A$5:$A$1004,A145,'資格研修記録'!$D$5:$D$1004,"小型船舶1級",'資格研修記録'!$F$5:$F$1004,"&gt;="&amp;TODAY()))&gt;0,"1級",IF((COUNTIFS('資格研修記録'!$A$5:$A$1004,A145,'資格研修記録'!$D$5:$D$1004,"小型船舶2級",'資格研修記録'!$F$5:$F$1004,"")+COUNTIFS('資格研修記録'!$A$5:$A$1004,A145,'資格研修記録'!$D$5:$D$1004,"小型船舶2級",'資格研修記録'!$F$5:$F$1004,"&gt;="&amp;TODAY()))&gt;0,"2級",IF(COUNTIFS('資格研修記録'!$A$5:$A$1004,A145,'資格研修記録'!$D$5:$D$1004,"小型船舶1級")+COUNTIFS('資格研修記録'!$A$5:$A$1004,A145,'資格研修記録'!$D$5:$D$1004,"小型船舶2級")&gt;0,"× 1・2級 期限切れ",""))),IF((COUNTIFS('資格研修記録'!$A$5:$A$1004,A145,'資格研修記録'!$D$5:$D$1004,"小型船舶特殊",'資格研修記録'!$F$5:$F$1004,"")+COUNTIFS('資格研修記録'!$A$5:$A$1004,A145,'資格研修記録'!$D$5:$D$1004,"小型船舶特殊",'資格研修記録'!$F$5:$F$1004,"&gt;="&amp;TODAY()))&gt;0,"特殊",IF(COUNTIFS('資格研修記録'!$A$5:$A$1004,A145,'資格研修記録'!$D$5:$D$1004,"小型船舶特殊")&gt;0,"× 特殊 期限切れ","")))))</f>
        <v/>
      </c>
      <c r="H145" s="15">
        <f>IF(A145="","",COUNTIFS('潜水記録'!$B$5:$B$3004,A145,'潜水記録'!$AF$5:$AF$3004,$D$2))</f>
        <v/>
      </c>
      <c r="I145" s="15">
        <f>IF(A145="","",COUNTIF('潜水記録'!$B$5:$B$3004,A145))</f>
        <v/>
      </c>
      <c r="J145" s="15">
        <f>IF(A145="","",SUMIF('潜水記録'!$B$5:$B$3004,A145,'潜水記録'!$H$5:$H$3004))</f>
        <v/>
      </c>
      <c r="K145" s="15">
        <f>IF(A145="","",IF(I145=0,"",_xlfn.MAXIFS('潜水記録'!$G$5:$G$3004,'潜水記録'!$B$5:$B$3004,A145)))</f>
        <v/>
      </c>
      <c r="L145" s="16">
        <f>IF(A145="","",IF(I145=0,"",_xlfn.MAXIFS('潜水記録'!$A$5:$A$3004,'潜水記録'!$B$5:$B$3004,A145)))</f>
        <v/>
      </c>
      <c r="M145" s="15">
        <f>IF(L145="","",$B$2-L145)</f>
        <v/>
      </c>
    </row>
    <row r="146">
      <c r="A146" s="14">
        <f>IF('隊員マスタ'!A143="","",'隊員マスタ'!A143)</f>
        <v/>
      </c>
      <c r="B146" s="14">
        <f>IF(A146="","",'隊員マスタ'!B143)</f>
        <v/>
      </c>
      <c r="C146" s="14">
        <f>IF(A146="","",'隊員マスタ'!C143)</f>
        <v/>
      </c>
      <c r="D146" s="15">
        <f>IF(A146="","",'隊員マスタ'!D143)</f>
        <v/>
      </c>
      <c r="E146" s="15">
        <f>IF(A146="","",IF(COUNTIFS('資格研修記録'!$A$5:$A$1004,A146,'資格研修記録'!$D$5:$D$1004,"潜水士免許")&gt;0,"有","無"))</f>
        <v/>
      </c>
      <c r="F146" s="15">
        <f>IF(A146="","",IF(COUNTIFS('資格研修記録'!$A$5:$A$1004,A146,'資格研修記録'!$D$5:$D$1004,"水難救助研修")&gt;0,"修了","—"))</f>
        <v/>
      </c>
      <c r="G146" s="14">
        <f>IF(A146="","",IF((IF((COUNTIFS('資格研修記録'!$A$5:$A$1004,A146,'資格研修記録'!$D$5:$D$1004,"小型船舶1級",'資格研修記録'!$F$5:$F$1004,"")+COUNTIFS('資格研修記録'!$A$5:$A$1004,A146,'資格研修記録'!$D$5:$D$1004,"小型船舶1級",'資格研修記録'!$F$5:$F$1004,"&gt;="&amp;TODAY()))&gt;0,"1級",IF((COUNTIFS('資格研修記録'!$A$5:$A$1004,A146,'資格研修記録'!$D$5:$D$1004,"小型船舶2級",'資格研修記録'!$F$5:$F$1004,"")+COUNTIFS('資格研修記録'!$A$5:$A$1004,A146,'資格研修記録'!$D$5:$D$1004,"小型船舶2級",'資格研修記録'!$F$5:$F$1004,"&gt;="&amp;TODAY()))&gt;0,"2級",IF(COUNTIFS('資格研修記録'!$A$5:$A$1004,A146,'資格研修記録'!$D$5:$D$1004,"小型船舶1級")+COUNTIFS('資格研修記録'!$A$5:$A$1004,A146,'資格研修記録'!$D$5:$D$1004,"小型船舶2級")&gt;0,"× 1・2級 期限切れ",""))))&amp;(IF((COUNTIFS('資格研修記録'!$A$5:$A$1004,A146,'資格研修記録'!$D$5:$D$1004,"小型船舶特殊",'資格研修記録'!$F$5:$F$1004,"")+COUNTIFS('資格研修記録'!$A$5:$A$1004,A146,'資格研修記録'!$D$5:$D$1004,"小型船舶特殊",'資格研修記録'!$F$5:$F$1004,"&gt;="&amp;TODAY()))&gt;0,"特殊",IF(COUNTIFS('資格研修記録'!$A$5:$A$1004,A146,'資格研修記録'!$D$5:$D$1004,"小型船舶特殊")&gt;0,"× 特殊 期限切れ","")))="","—",_xlfn.TEXTJOIN("・",TRUE,IF((COUNTIFS('資格研修記録'!$A$5:$A$1004,A146,'資格研修記録'!$D$5:$D$1004,"小型船舶1級",'資格研修記録'!$F$5:$F$1004,"")+COUNTIFS('資格研修記録'!$A$5:$A$1004,A146,'資格研修記録'!$D$5:$D$1004,"小型船舶1級",'資格研修記録'!$F$5:$F$1004,"&gt;="&amp;TODAY()))&gt;0,"1級",IF((COUNTIFS('資格研修記録'!$A$5:$A$1004,A146,'資格研修記録'!$D$5:$D$1004,"小型船舶2級",'資格研修記録'!$F$5:$F$1004,"")+COUNTIFS('資格研修記録'!$A$5:$A$1004,A146,'資格研修記録'!$D$5:$D$1004,"小型船舶2級",'資格研修記録'!$F$5:$F$1004,"&gt;="&amp;TODAY()))&gt;0,"2級",IF(COUNTIFS('資格研修記録'!$A$5:$A$1004,A146,'資格研修記録'!$D$5:$D$1004,"小型船舶1級")+COUNTIFS('資格研修記録'!$A$5:$A$1004,A146,'資格研修記録'!$D$5:$D$1004,"小型船舶2級")&gt;0,"× 1・2級 期限切れ",""))),IF((COUNTIFS('資格研修記録'!$A$5:$A$1004,A146,'資格研修記録'!$D$5:$D$1004,"小型船舶特殊",'資格研修記録'!$F$5:$F$1004,"")+COUNTIFS('資格研修記録'!$A$5:$A$1004,A146,'資格研修記録'!$D$5:$D$1004,"小型船舶特殊",'資格研修記録'!$F$5:$F$1004,"&gt;="&amp;TODAY()))&gt;0,"特殊",IF(COUNTIFS('資格研修記録'!$A$5:$A$1004,A146,'資格研修記録'!$D$5:$D$1004,"小型船舶特殊")&gt;0,"× 特殊 期限切れ","")))))</f>
        <v/>
      </c>
      <c r="H146" s="15">
        <f>IF(A146="","",COUNTIFS('潜水記録'!$B$5:$B$3004,A146,'潜水記録'!$AF$5:$AF$3004,$D$2))</f>
        <v/>
      </c>
      <c r="I146" s="15">
        <f>IF(A146="","",COUNTIF('潜水記録'!$B$5:$B$3004,A146))</f>
        <v/>
      </c>
      <c r="J146" s="15">
        <f>IF(A146="","",SUMIF('潜水記録'!$B$5:$B$3004,A146,'潜水記録'!$H$5:$H$3004))</f>
        <v/>
      </c>
      <c r="K146" s="15">
        <f>IF(A146="","",IF(I146=0,"",_xlfn.MAXIFS('潜水記録'!$G$5:$G$3004,'潜水記録'!$B$5:$B$3004,A146)))</f>
        <v/>
      </c>
      <c r="L146" s="16">
        <f>IF(A146="","",IF(I146=0,"",_xlfn.MAXIFS('潜水記録'!$A$5:$A$3004,'潜水記録'!$B$5:$B$3004,A146)))</f>
        <v/>
      </c>
      <c r="M146" s="15">
        <f>IF(L146="","",$B$2-L146)</f>
        <v/>
      </c>
    </row>
    <row r="147">
      <c r="A147" s="14">
        <f>IF('隊員マスタ'!A144="","",'隊員マスタ'!A144)</f>
        <v/>
      </c>
      <c r="B147" s="14">
        <f>IF(A147="","",'隊員マスタ'!B144)</f>
        <v/>
      </c>
      <c r="C147" s="14">
        <f>IF(A147="","",'隊員マスタ'!C144)</f>
        <v/>
      </c>
      <c r="D147" s="15">
        <f>IF(A147="","",'隊員マスタ'!D144)</f>
        <v/>
      </c>
      <c r="E147" s="15">
        <f>IF(A147="","",IF(COUNTIFS('資格研修記録'!$A$5:$A$1004,A147,'資格研修記録'!$D$5:$D$1004,"潜水士免許")&gt;0,"有","無"))</f>
        <v/>
      </c>
      <c r="F147" s="15">
        <f>IF(A147="","",IF(COUNTIFS('資格研修記録'!$A$5:$A$1004,A147,'資格研修記録'!$D$5:$D$1004,"水難救助研修")&gt;0,"修了","—"))</f>
        <v/>
      </c>
      <c r="G147" s="14">
        <f>IF(A147="","",IF((IF((COUNTIFS('資格研修記録'!$A$5:$A$1004,A147,'資格研修記録'!$D$5:$D$1004,"小型船舶1級",'資格研修記録'!$F$5:$F$1004,"")+COUNTIFS('資格研修記録'!$A$5:$A$1004,A147,'資格研修記録'!$D$5:$D$1004,"小型船舶1級",'資格研修記録'!$F$5:$F$1004,"&gt;="&amp;TODAY()))&gt;0,"1級",IF((COUNTIFS('資格研修記録'!$A$5:$A$1004,A147,'資格研修記録'!$D$5:$D$1004,"小型船舶2級",'資格研修記録'!$F$5:$F$1004,"")+COUNTIFS('資格研修記録'!$A$5:$A$1004,A147,'資格研修記録'!$D$5:$D$1004,"小型船舶2級",'資格研修記録'!$F$5:$F$1004,"&gt;="&amp;TODAY()))&gt;0,"2級",IF(COUNTIFS('資格研修記録'!$A$5:$A$1004,A147,'資格研修記録'!$D$5:$D$1004,"小型船舶1級")+COUNTIFS('資格研修記録'!$A$5:$A$1004,A147,'資格研修記録'!$D$5:$D$1004,"小型船舶2級")&gt;0,"× 1・2級 期限切れ",""))))&amp;(IF((COUNTIFS('資格研修記録'!$A$5:$A$1004,A147,'資格研修記録'!$D$5:$D$1004,"小型船舶特殊",'資格研修記録'!$F$5:$F$1004,"")+COUNTIFS('資格研修記録'!$A$5:$A$1004,A147,'資格研修記録'!$D$5:$D$1004,"小型船舶特殊",'資格研修記録'!$F$5:$F$1004,"&gt;="&amp;TODAY()))&gt;0,"特殊",IF(COUNTIFS('資格研修記録'!$A$5:$A$1004,A147,'資格研修記録'!$D$5:$D$1004,"小型船舶特殊")&gt;0,"× 特殊 期限切れ","")))="","—",_xlfn.TEXTJOIN("・",TRUE,IF((COUNTIFS('資格研修記録'!$A$5:$A$1004,A147,'資格研修記録'!$D$5:$D$1004,"小型船舶1級",'資格研修記録'!$F$5:$F$1004,"")+COUNTIFS('資格研修記録'!$A$5:$A$1004,A147,'資格研修記録'!$D$5:$D$1004,"小型船舶1級",'資格研修記録'!$F$5:$F$1004,"&gt;="&amp;TODAY()))&gt;0,"1級",IF((COUNTIFS('資格研修記録'!$A$5:$A$1004,A147,'資格研修記録'!$D$5:$D$1004,"小型船舶2級",'資格研修記録'!$F$5:$F$1004,"")+COUNTIFS('資格研修記録'!$A$5:$A$1004,A147,'資格研修記録'!$D$5:$D$1004,"小型船舶2級",'資格研修記録'!$F$5:$F$1004,"&gt;="&amp;TODAY()))&gt;0,"2級",IF(COUNTIFS('資格研修記録'!$A$5:$A$1004,A147,'資格研修記録'!$D$5:$D$1004,"小型船舶1級")+COUNTIFS('資格研修記録'!$A$5:$A$1004,A147,'資格研修記録'!$D$5:$D$1004,"小型船舶2級")&gt;0,"× 1・2級 期限切れ",""))),IF((COUNTIFS('資格研修記録'!$A$5:$A$1004,A147,'資格研修記録'!$D$5:$D$1004,"小型船舶特殊",'資格研修記録'!$F$5:$F$1004,"")+COUNTIFS('資格研修記録'!$A$5:$A$1004,A147,'資格研修記録'!$D$5:$D$1004,"小型船舶特殊",'資格研修記録'!$F$5:$F$1004,"&gt;="&amp;TODAY()))&gt;0,"特殊",IF(COUNTIFS('資格研修記録'!$A$5:$A$1004,A147,'資格研修記録'!$D$5:$D$1004,"小型船舶特殊")&gt;0,"× 特殊 期限切れ","")))))</f>
        <v/>
      </c>
      <c r="H147" s="15">
        <f>IF(A147="","",COUNTIFS('潜水記録'!$B$5:$B$3004,A147,'潜水記録'!$AF$5:$AF$3004,$D$2))</f>
        <v/>
      </c>
      <c r="I147" s="15">
        <f>IF(A147="","",COUNTIF('潜水記録'!$B$5:$B$3004,A147))</f>
        <v/>
      </c>
      <c r="J147" s="15">
        <f>IF(A147="","",SUMIF('潜水記録'!$B$5:$B$3004,A147,'潜水記録'!$H$5:$H$3004))</f>
        <v/>
      </c>
      <c r="K147" s="15">
        <f>IF(A147="","",IF(I147=0,"",_xlfn.MAXIFS('潜水記録'!$G$5:$G$3004,'潜水記録'!$B$5:$B$3004,A147)))</f>
        <v/>
      </c>
      <c r="L147" s="16">
        <f>IF(A147="","",IF(I147=0,"",_xlfn.MAXIFS('潜水記録'!$A$5:$A$3004,'潜水記録'!$B$5:$B$3004,A147)))</f>
        <v/>
      </c>
      <c r="M147" s="15">
        <f>IF(L147="","",$B$2-L147)</f>
        <v/>
      </c>
    </row>
    <row r="148">
      <c r="A148" s="14">
        <f>IF('隊員マスタ'!A145="","",'隊員マスタ'!A145)</f>
        <v/>
      </c>
      <c r="B148" s="14">
        <f>IF(A148="","",'隊員マスタ'!B145)</f>
        <v/>
      </c>
      <c r="C148" s="14">
        <f>IF(A148="","",'隊員マスタ'!C145)</f>
        <v/>
      </c>
      <c r="D148" s="15">
        <f>IF(A148="","",'隊員マスタ'!D145)</f>
        <v/>
      </c>
      <c r="E148" s="15">
        <f>IF(A148="","",IF(COUNTIFS('資格研修記録'!$A$5:$A$1004,A148,'資格研修記録'!$D$5:$D$1004,"潜水士免許")&gt;0,"有","無"))</f>
        <v/>
      </c>
      <c r="F148" s="15">
        <f>IF(A148="","",IF(COUNTIFS('資格研修記録'!$A$5:$A$1004,A148,'資格研修記録'!$D$5:$D$1004,"水難救助研修")&gt;0,"修了","—"))</f>
        <v/>
      </c>
      <c r="G148" s="14">
        <f>IF(A148="","",IF((IF((COUNTIFS('資格研修記録'!$A$5:$A$1004,A148,'資格研修記録'!$D$5:$D$1004,"小型船舶1級",'資格研修記録'!$F$5:$F$1004,"")+COUNTIFS('資格研修記録'!$A$5:$A$1004,A148,'資格研修記録'!$D$5:$D$1004,"小型船舶1級",'資格研修記録'!$F$5:$F$1004,"&gt;="&amp;TODAY()))&gt;0,"1級",IF((COUNTIFS('資格研修記録'!$A$5:$A$1004,A148,'資格研修記録'!$D$5:$D$1004,"小型船舶2級",'資格研修記録'!$F$5:$F$1004,"")+COUNTIFS('資格研修記録'!$A$5:$A$1004,A148,'資格研修記録'!$D$5:$D$1004,"小型船舶2級",'資格研修記録'!$F$5:$F$1004,"&gt;="&amp;TODAY()))&gt;0,"2級",IF(COUNTIFS('資格研修記録'!$A$5:$A$1004,A148,'資格研修記録'!$D$5:$D$1004,"小型船舶1級")+COUNTIFS('資格研修記録'!$A$5:$A$1004,A148,'資格研修記録'!$D$5:$D$1004,"小型船舶2級")&gt;0,"× 1・2級 期限切れ",""))))&amp;(IF((COUNTIFS('資格研修記録'!$A$5:$A$1004,A148,'資格研修記録'!$D$5:$D$1004,"小型船舶特殊",'資格研修記録'!$F$5:$F$1004,"")+COUNTIFS('資格研修記録'!$A$5:$A$1004,A148,'資格研修記録'!$D$5:$D$1004,"小型船舶特殊",'資格研修記録'!$F$5:$F$1004,"&gt;="&amp;TODAY()))&gt;0,"特殊",IF(COUNTIFS('資格研修記録'!$A$5:$A$1004,A148,'資格研修記録'!$D$5:$D$1004,"小型船舶特殊")&gt;0,"× 特殊 期限切れ","")))="","—",_xlfn.TEXTJOIN("・",TRUE,IF((COUNTIFS('資格研修記録'!$A$5:$A$1004,A148,'資格研修記録'!$D$5:$D$1004,"小型船舶1級",'資格研修記録'!$F$5:$F$1004,"")+COUNTIFS('資格研修記録'!$A$5:$A$1004,A148,'資格研修記録'!$D$5:$D$1004,"小型船舶1級",'資格研修記録'!$F$5:$F$1004,"&gt;="&amp;TODAY()))&gt;0,"1級",IF((COUNTIFS('資格研修記録'!$A$5:$A$1004,A148,'資格研修記録'!$D$5:$D$1004,"小型船舶2級",'資格研修記録'!$F$5:$F$1004,"")+COUNTIFS('資格研修記録'!$A$5:$A$1004,A148,'資格研修記録'!$D$5:$D$1004,"小型船舶2級",'資格研修記録'!$F$5:$F$1004,"&gt;="&amp;TODAY()))&gt;0,"2級",IF(COUNTIFS('資格研修記録'!$A$5:$A$1004,A148,'資格研修記録'!$D$5:$D$1004,"小型船舶1級")+COUNTIFS('資格研修記録'!$A$5:$A$1004,A148,'資格研修記録'!$D$5:$D$1004,"小型船舶2級")&gt;0,"× 1・2級 期限切れ",""))),IF((COUNTIFS('資格研修記録'!$A$5:$A$1004,A148,'資格研修記録'!$D$5:$D$1004,"小型船舶特殊",'資格研修記録'!$F$5:$F$1004,"")+COUNTIFS('資格研修記録'!$A$5:$A$1004,A148,'資格研修記録'!$D$5:$D$1004,"小型船舶特殊",'資格研修記録'!$F$5:$F$1004,"&gt;="&amp;TODAY()))&gt;0,"特殊",IF(COUNTIFS('資格研修記録'!$A$5:$A$1004,A148,'資格研修記録'!$D$5:$D$1004,"小型船舶特殊")&gt;0,"× 特殊 期限切れ","")))))</f>
        <v/>
      </c>
      <c r="H148" s="15">
        <f>IF(A148="","",COUNTIFS('潜水記録'!$B$5:$B$3004,A148,'潜水記録'!$AF$5:$AF$3004,$D$2))</f>
        <v/>
      </c>
      <c r="I148" s="15">
        <f>IF(A148="","",COUNTIF('潜水記録'!$B$5:$B$3004,A148))</f>
        <v/>
      </c>
      <c r="J148" s="15">
        <f>IF(A148="","",SUMIF('潜水記録'!$B$5:$B$3004,A148,'潜水記録'!$H$5:$H$3004))</f>
        <v/>
      </c>
      <c r="K148" s="15">
        <f>IF(A148="","",IF(I148=0,"",_xlfn.MAXIFS('潜水記録'!$G$5:$G$3004,'潜水記録'!$B$5:$B$3004,A148)))</f>
        <v/>
      </c>
      <c r="L148" s="16">
        <f>IF(A148="","",IF(I148=0,"",_xlfn.MAXIFS('潜水記録'!$A$5:$A$3004,'潜水記録'!$B$5:$B$3004,A148)))</f>
        <v/>
      </c>
      <c r="M148" s="15">
        <f>IF(L148="","",$B$2-L148)</f>
        <v/>
      </c>
    </row>
    <row r="149">
      <c r="A149" s="14">
        <f>IF('隊員マスタ'!A146="","",'隊員マスタ'!A146)</f>
        <v/>
      </c>
      <c r="B149" s="14">
        <f>IF(A149="","",'隊員マスタ'!B146)</f>
        <v/>
      </c>
      <c r="C149" s="14">
        <f>IF(A149="","",'隊員マスタ'!C146)</f>
        <v/>
      </c>
      <c r="D149" s="15">
        <f>IF(A149="","",'隊員マスタ'!D146)</f>
        <v/>
      </c>
      <c r="E149" s="15">
        <f>IF(A149="","",IF(COUNTIFS('資格研修記録'!$A$5:$A$1004,A149,'資格研修記録'!$D$5:$D$1004,"潜水士免許")&gt;0,"有","無"))</f>
        <v/>
      </c>
      <c r="F149" s="15">
        <f>IF(A149="","",IF(COUNTIFS('資格研修記録'!$A$5:$A$1004,A149,'資格研修記録'!$D$5:$D$1004,"水難救助研修")&gt;0,"修了","—"))</f>
        <v/>
      </c>
      <c r="G149" s="14">
        <f>IF(A149="","",IF((IF((COUNTIFS('資格研修記録'!$A$5:$A$1004,A149,'資格研修記録'!$D$5:$D$1004,"小型船舶1級",'資格研修記録'!$F$5:$F$1004,"")+COUNTIFS('資格研修記録'!$A$5:$A$1004,A149,'資格研修記録'!$D$5:$D$1004,"小型船舶1級",'資格研修記録'!$F$5:$F$1004,"&gt;="&amp;TODAY()))&gt;0,"1級",IF((COUNTIFS('資格研修記録'!$A$5:$A$1004,A149,'資格研修記録'!$D$5:$D$1004,"小型船舶2級",'資格研修記録'!$F$5:$F$1004,"")+COUNTIFS('資格研修記録'!$A$5:$A$1004,A149,'資格研修記録'!$D$5:$D$1004,"小型船舶2級",'資格研修記録'!$F$5:$F$1004,"&gt;="&amp;TODAY()))&gt;0,"2級",IF(COUNTIFS('資格研修記録'!$A$5:$A$1004,A149,'資格研修記録'!$D$5:$D$1004,"小型船舶1級")+COUNTIFS('資格研修記録'!$A$5:$A$1004,A149,'資格研修記録'!$D$5:$D$1004,"小型船舶2級")&gt;0,"× 1・2級 期限切れ",""))))&amp;(IF((COUNTIFS('資格研修記録'!$A$5:$A$1004,A149,'資格研修記録'!$D$5:$D$1004,"小型船舶特殊",'資格研修記録'!$F$5:$F$1004,"")+COUNTIFS('資格研修記録'!$A$5:$A$1004,A149,'資格研修記録'!$D$5:$D$1004,"小型船舶特殊",'資格研修記録'!$F$5:$F$1004,"&gt;="&amp;TODAY()))&gt;0,"特殊",IF(COUNTIFS('資格研修記録'!$A$5:$A$1004,A149,'資格研修記録'!$D$5:$D$1004,"小型船舶特殊")&gt;0,"× 特殊 期限切れ","")))="","—",_xlfn.TEXTJOIN("・",TRUE,IF((COUNTIFS('資格研修記録'!$A$5:$A$1004,A149,'資格研修記録'!$D$5:$D$1004,"小型船舶1級",'資格研修記録'!$F$5:$F$1004,"")+COUNTIFS('資格研修記録'!$A$5:$A$1004,A149,'資格研修記録'!$D$5:$D$1004,"小型船舶1級",'資格研修記録'!$F$5:$F$1004,"&gt;="&amp;TODAY()))&gt;0,"1級",IF((COUNTIFS('資格研修記録'!$A$5:$A$1004,A149,'資格研修記録'!$D$5:$D$1004,"小型船舶2級",'資格研修記録'!$F$5:$F$1004,"")+COUNTIFS('資格研修記録'!$A$5:$A$1004,A149,'資格研修記録'!$D$5:$D$1004,"小型船舶2級",'資格研修記録'!$F$5:$F$1004,"&gt;="&amp;TODAY()))&gt;0,"2級",IF(COUNTIFS('資格研修記録'!$A$5:$A$1004,A149,'資格研修記録'!$D$5:$D$1004,"小型船舶1級")+COUNTIFS('資格研修記録'!$A$5:$A$1004,A149,'資格研修記録'!$D$5:$D$1004,"小型船舶2級")&gt;0,"× 1・2級 期限切れ",""))),IF((COUNTIFS('資格研修記録'!$A$5:$A$1004,A149,'資格研修記録'!$D$5:$D$1004,"小型船舶特殊",'資格研修記録'!$F$5:$F$1004,"")+COUNTIFS('資格研修記録'!$A$5:$A$1004,A149,'資格研修記録'!$D$5:$D$1004,"小型船舶特殊",'資格研修記録'!$F$5:$F$1004,"&gt;="&amp;TODAY()))&gt;0,"特殊",IF(COUNTIFS('資格研修記録'!$A$5:$A$1004,A149,'資格研修記録'!$D$5:$D$1004,"小型船舶特殊")&gt;0,"× 特殊 期限切れ","")))))</f>
        <v/>
      </c>
      <c r="H149" s="15">
        <f>IF(A149="","",COUNTIFS('潜水記録'!$B$5:$B$3004,A149,'潜水記録'!$AF$5:$AF$3004,$D$2))</f>
        <v/>
      </c>
      <c r="I149" s="15">
        <f>IF(A149="","",COUNTIF('潜水記録'!$B$5:$B$3004,A149))</f>
        <v/>
      </c>
      <c r="J149" s="15">
        <f>IF(A149="","",SUMIF('潜水記録'!$B$5:$B$3004,A149,'潜水記録'!$H$5:$H$3004))</f>
        <v/>
      </c>
      <c r="K149" s="15">
        <f>IF(A149="","",IF(I149=0,"",_xlfn.MAXIFS('潜水記録'!$G$5:$G$3004,'潜水記録'!$B$5:$B$3004,A149)))</f>
        <v/>
      </c>
      <c r="L149" s="16">
        <f>IF(A149="","",IF(I149=0,"",_xlfn.MAXIFS('潜水記録'!$A$5:$A$3004,'潜水記録'!$B$5:$B$3004,A149)))</f>
        <v/>
      </c>
      <c r="M149" s="15">
        <f>IF(L149="","",$B$2-L149)</f>
        <v/>
      </c>
    </row>
    <row r="150">
      <c r="A150" s="14">
        <f>IF('隊員マスタ'!A147="","",'隊員マスタ'!A147)</f>
        <v/>
      </c>
      <c r="B150" s="14">
        <f>IF(A150="","",'隊員マスタ'!B147)</f>
        <v/>
      </c>
      <c r="C150" s="14">
        <f>IF(A150="","",'隊員マスタ'!C147)</f>
        <v/>
      </c>
      <c r="D150" s="15">
        <f>IF(A150="","",'隊員マスタ'!D147)</f>
        <v/>
      </c>
      <c r="E150" s="15">
        <f>IF(A150="","",IF(COUNTIFS('資格研修記録'!$A$5:$A$1004,A150,'資格研修記録'!$D$5:$D$1004,"潜水士免許")&gt;0,"有","無"))</f>
        <v/>
      </c>
      <c r="F150" s="15">
        <f>IF(A150="","",IF(COUNTIFS('資格研修記録'!$A$5:$A$1004,A150,'資格研修記録'!$D$5:$D$1004,"水難救助研修")&gt;0,"修了","—"))</f>
        <v/>
      </c>
      <c r="G150" s="14">
        <f>IF(A150="","",IF((IF((COUNTIFS('資格研修記録'!$A$5:$A$1004,A150,'資格研修記録'!$D$5:$D$1004,"小型船舶1級",'資格研修記録'!$F$5:$F$1004,"")+COUNTIFS('資格研修記録'!$A$5:$A$1004,A150,'資格研修記録'!$D$5:$D$1004,"小型船舶1級",'資格研修記録'!$F$5:$F$1004,"&gt;="&amp;TODAY()))&gt;0,"1級",IF((COUNTIFS('資格研修記録'!$A$5:$A$1004,A150,'資格研修記録'!$D$5:$D$1004,"小型船舶2級",'資格研修記録'!$F$5:$F$1004,"")+COUNTIFS('資格研修記録'!$A$5:$A$1004,A150,'資格研修記録'!$D$5:$D$1004,"小型船舶2級",'資格研修記録'!$F$5:$F$1004,"&gt;="&amp;TODAY()))&gt;0,"2級",IF(COUNTIFS('資格研修記録'!$A$5:$A$1004,A150,'資格研修記録'!$D$5:$D$1004,"小型船舶1級")+COUNTIFS('資格研修記録'!$A$5:$A$1004,A150,'資格研修記録'!$D$5:$D$1004,"小型船舶2級")&gt;0,"× 1・2級 期限切れ",""))))&amp;(IF((COUNTIFS('資格研修記録'!$A$5:$A$1004,A150,'資格研修記録'!$D$5:$D$1004,"小型船舶特殊",'資格研修記録'!$F$5:$F$1004,"")+COUNTIFS('資格研修記録'!$A$5:$A$1004,A150,'資格研修記録'!$D$5:$D$1004,"小型船舶特殊",'資格研修記録'!$F$5:$F$1004,"&gt;="&amp;TODAY()))&gt;0,"特殊",IF(COUNTIFS('資格研修記録'!$A$5:$A$1004,A150,'資格研修記録'!$D$5:$D$1004,"小型船舶特殊")&gt;0,"× 特殊 期限切れ","")))="","—",_xlfn.TEXTJOIN("・",TRUE,IF((COUNTIFS('資格研修記録'!$A$5:$A$1004,A150,'資格研修記録'!$D$5:$D$1004,"小型船舶1級",'資格研修記録'!$F$5:$F$1004,"")+COUNTIFS('資格研修記録'!$A$5:$A$1004,A150,'資格研修記録'!$D$5:$D$1004,"小型船舶1級",'資格研修記録'!$F$5:$F$1004,"&gt;="&amp;TODAY()))&gt;0,"1級",IF((COUNTIFS('資格研修記録'!$A$5:$A$1004,A150,'資格研修記録'!$D$5:$D$1004,"小型船舶2級",'資格研修記録'!$F$5:$F$1004,"")+COUNTIFS('資格研修記録'!$A$5:$A$1004,A150,'資格研修記録'!$D$5:$D$1004,"小型船舶2級",'資格研修記録'!$F$5:$F$1004,"&gt;="&amp;TODAY()))&gt;0,"2級",IF(COUNTIFS('資格研修記録'!$A$5:$A$1004,A150,'資格研修記録'!$D$5:$D$1004,"小型船舶1級")+COUNTIFS('資格研修記録'!$A$5:$A$1004,A150,'資格研修記録'!$D$5:$D$1004,"小型船舶2級")&gt;0,"× 1・2級 期限切れ",""))),IF((COUNTIFS('資格研修記録'!$A$5:$A$1004,A150,'資格研修記録'!$D$5:$D$1004,"小型船舶特殊",'資格研修記録'!$F$5:$F$1004,"")+COUNTIFS('資格研修記録'!$A$5:$A$1004,A150,'資格研修記録'!$D$5:$D$1004,"小型船舶特殊",'資格研修記録'!$F$5:$F$1004,"&gt;="&amp;TODAY()))&gt;0,"特殊",IF(COUNTIFS('資格研修記録'!$A$5:$A$1004,A150,'資格研修記録'!$D$5:$D$1004,"小型船舶特殊")&gt;0,"× 特殊 期限切れ","")))))</f>
        <v/>
      </c>
      <c r="H150" s="15">
        <f>IF(A150="","",COUNTIFS('潜水記録'!$B$5:$B$3004,A150,'潜水記録'!$AF$5:$AF$3004,$D$2))</f>
        <v/>
      </c>
      <c r="I150" s="15">
        <f>IF(A150="","",COUNTIF('潜水記録'!$B$5:$B$3004,A150))</f>
        <v/>
      </c>
      <c r="J150" s="15">
        <f>IF(A150="","",SUMIF('潜水記録'!$B$5:$B$3004,A150,'潜水記録'!$H$5:$H$3004))</f>
        <v/>
      </c>
      <c r="K150" s="15">
        <f>IF(A150="","",IF(I150=0,"",_xlfn.MAXIFS('潜水記録'!$G$5:$G$3004,'潜水記録'!$B$5:$B$3004,A150)))</f>
        <v/>
      </c>
      <c r="L150" s="16">
        <f>IF(A150="","",IF(I150=0,"",_xlfn.MAXIFS('潜水記録'!$A$5:$A$3004,'潜水記録'!$B$5:$B$3004,A150)))</f>
        <v/>
      </c>
      <c r="M150" s="15">
        <f>IF(L150="","",$B$2-L150)</f>
        <v/>
      </c>
    </row>
    <row r="151">
      <c r="A151" s="14">
        <f>IF('隊員マスタ'!A148="","",'隊員マスタ'!A148)</f>
        <v/>
      </c>
      <c r="B151" s="14">
        <f>IF(A151="","",'隊員マスタ'!B148)</f>
        <v/>
      </c>
      <c r="C151" s="14">
        <f>IF(A151="","",'隊員マスタ'!C148)</f>
        <v/>
      </c>
      <c r="D151" s="15">
        <f>IF(A151="","",'隊員マスタ'!D148)</f>
        <v/>
      </c>
      <c r="E151" s="15">
        <f>IF(A151="","",IF(COUNTIFS('資格研修記録'!$A$5:$A$1004,A151,'資格研修記録'!$D$5:$D$1004,"潜水士免許")&gt;0,"有","無"))</f>
        <v/>
      </c>
      <c r="F151" s="15">
        <f>IF(A151="","",IF(COUNTIFS('資格研修記録'!$A$5:$A$1004,A151,'資格研修記録'!$D$5:$D$1004,"水難救助研修")&gt;0,"修了","—"))</f>
        <v/>
      </c>
      <c r="G151" s="14">
        <f>IF(A151="","",IF((IF((COUNTIFS('資格研修記録'!$A$5:$A$1004,A151,'資格研修記録'!$D$5:$D$1004,"小型船舶1級",'資格研修記録'!$F$5:$F$1004,"")+COUNTIFS('資格研修記録'!$A$5:$A$1004,A151,'資格研修記録'!$D$5:$D$1004,"小型船舶1級",'資格研修記録'!$F$5:$F$1004,"&gt;="&amp;TODAY()))&gt;0,"1級",IF((COUNTIFS('資格研修記録'!$A$5:$A$1004,A151,'資格研修記録'!$D$5:$D$1004,"小型船舶2級",'資格研修記録'!$F$5:$F$1004,"")+COUNTIFS('資格研修記録'!$A$5:$A$1004,A151,'資格研修記録'!$D$5:$D$1004,"小型船舶2級",'資格研修記録'!$F$5:$F$1004,"&gt;="&amp;TODAY()))&gt;0,"2級",IF(COUNTIFS('資格研修記録'!$A$5:$A$1004,A151,'資格研修記録'!$D$5:$D$1004,"小型船舶1級")+COUNTIFS('資格研修記録'!$A$5:$A$1004,A151,'資格研修記録'!$D$5:$D$1004,"小型船舶2級")&gt;0,"× 1・2級 期限切れ",""))))&amp;(IF((COUNTIFS('資格研修記録'!$A$5:$A$1004,A151,'資格研修記録'!$D$5:$D$1004,"小型船舶特殊",'資格研修記録'!$F$5:$F$1004,"")+COUNTIFS('資格研修記録'!$A$5:$A$1004,A151,'資格研修記録'!$D$5:$D$1004,"小型船舶特殊",'資格研修記録'!$F$5:$F$1004,"&gt;="&amp;TODAY()))&gt;0,"特殊",IF(COUNTIFS('資格研修記録'!$A$5:$A$1004,A151,'資格研修記録'!$D$5:$D$1004,"小型船舶特殊")&gt;0,"× 特殊 期限切れ","")))="","—",_xlfn.TEXTJOIN("・",TRUE,IF((COUNTIFS('資格研修記録'!$A$5:$A$1004,A151,'資格研修記録'!$D$5:$D$1004,"小型船舶1級",'資格研修記録'!$F$5:$F$1004,"")+COUNTIFS('資格研修記録'!$A$5:$A$1004,A151,'資格研修記録'!$D$5:$D$1004,"小型船舶1級",'資格研修記録'!$F$5:$F$1004,"&gt;="&amp;TODAY()))&gt;0,"1級",IF((COUNTIFS('資格研修記録'!$A$5:$A$1004,A151,'資格研修記録'!$D$5:$D$1004,"小型船舶2級",'資格研修記録'!$F$5:$F$1004,"")+COUNTIFS('資格研修記録'!$A$5:$A$1004,A151,'資格研修記録'!$D$5:$D$1004,"小型船舶2級",'資格研修記録'!$F$5:$F$1004,"&gt;="&amp;TODAY()))&gt;0,"2級",IF(COUNTIFS('資格研修記録'!$A$5:$A$1004,A151,'資格研修記録'!$D$5:$D$1004,"小型船舶1級")+COUNTIFS('資格研修記録'!$A$5:$A$1004,A151,'資格研修記録'!$D$5:$D$1004,"小型船舶2級")&gt;0,"× 1・2級 期限切れ",""))),IF((COUNTIFS('資格研修記録'!$A$5:$A$1004,A151,'資格研修記録'!$D$5:$D$1004,"小型船舶特殊",'資格研修記録'!$F$5:$F$1004,"")+COUNTIFS('資格研修記録'!$A$5:$A$1004,A151,'資格研修記録'!$D$5:$D$1004,"小型船舶特殊",'資格研修記録'!$F$5:$F$1004,"&gt;="&amp;TODAY()))&gt;0,"特殊",IF(COUNTIFS('資格研修記録'!$A$5:$A$1004,A151,'資格研修記録'!$D$5:$D$1004,"小型船舶特殊")&gt;0,"× 特殊 期限切れ","")))))</f>
        <v/>
      </c>
      <c r="H151" s="15">
        <f>IF(A151="","",COUNTIFS('潜水記録'!$B$5:$B$3004,A151,'潜水記録'!$AF$5:$AF$3004,$D$2))</f>
        <v/>
      </c>
      <c r="I151" s="15">
        <f>IF(A151="","",COUNTIF('潜水記録'!$B$5:$B$3004,A151))</f>
        <v/>
      </c>
      <c r="J151" s="15">
        <f>IF(A151="","",SUMIF('潜水記録'!$B$5:$B$3004,A151,'潜水記録'!$H$5:$H$3004))</f>
        <v/>
      </c>
      <c r="K151" s="15">
        <f>IF(A151="","",IF(I151=0,"",_xlfn.MAXIFS('潜水記録'!$G$5:$G$3004,'潜水記録'!$B$5:$B$3004,A151)))</f>
        <v/>
      </c>
      <c r="L151" s="16">
        <f>IF(A151="","",IF(I151=0,"",_xlfn.MAXIFS('潜水記録'!$A$5:$A$3004,'潜水記録'!$B$5:$B$3004,A151)))</f>
        <v/>
      </c>
      <c r="M151" s="15">
        <f>IF(L151="","",$B$2-L151)</f>
        <v/>
      </c>
    </row>
    <row r="152">
      <c r="A152" s="14">
        <f>IF('隊員マスタ'!A149="","",'隊員マスタ'!A149)</f>
        <v/>
      </c>
      <c r="B152" s="14">
        <f>IF(A152="","",'隊員マスタ'!B149)</f>
        <v/>
      </c>
      <c r="C152" s="14">
        <f>IF(A152="","",'隊員マスタ'!C149)</f>
        <v/>
      </c>
      <c r="D152" s="15">
        <f>IF(A152="","",'隊員マスタ'!D149)</f>
        <v/>
      </c>
      <c r="E152" s="15">
        <f>IF(A152="","",IF(COUNTIFS('資格研修記録'!$A$5:$A$1004,A152,'資格研修記録'!$D$5:$D$1004,"潜水士免許")&gt;0,"有","無"))</f>
        <v/>
      </c>
      <c r="F152" s="15">
        <f>IF(A152="","",IF(COUNTIFS('資格研修記録'!$A$5:$A$1004,A152,'資格研修記録'!$D$5:$D$1004,"水難救助研修")&gt;0,"修了","—"))</f>
        <v/>
      </c>
      <c r="G152" s="14">
        <f>IF(A152="","",IF((IF((COUNTIFS('資格研修記録'!$A$5:$A$1004,A152,'資格研修記録'!$D$5:$D$1004,"小型船舶1級",'資格研修記録'!$F$5:$F$1004,"")+COUNTIFS('資格研修記録'!$A$5:$A$1004,A152,'資格研修記録'!$D$5:$D$1004,"小型船舶1級",'資格研修記録'!$F$5:$F$1004,"&gt;="&amp;TODAY()))&gt;0,"1級",IF((COUNTIFS('資格研修記録'!$A$5:$A$1004,A152,'資格研修記録'!$D$5:$D$1004,"小型船舶2級",'資格研修記録'!$F$5:$F$1004,"")+COUNTIFS('資格研修記録'!$A$5:$A$1004,A152,'資格研修記録'!$D$5:$D$1004,"小型船舶2級",'資格研修記録'!$F$5:$F$1004,"&gt;="&amp;TODAY()))&gt;0,"2級",IF(COUNTIFS('資格研修記録'!$A$5:$A$1004,A152,'資格研修記録'!$D$5:$D$1004,"小型船舶1級")+COUNTIFS('資格研修記録'!$A$5:$A$1004,A152,'資格研修記録'!$D$5:$D$1004,"小型船舶2級")&gt;0,"× 1・2級 期限切れ",""))))&amp;(IF((COUNTIFS('資格研修記録'!$A$5:$A$1004,A152,'資格研修記録'!$D$5:$D$1004,"小型船舶特殊",'資格研修記録'!$F$5:$F$1004,"")+COUNTIFS('資格研修記録'!$A$5:$A$1004,A152,'資格研修記録'!$D$5:$D$1004,"小型船舶特殊",'資格研修記録'!$F$5:$F$1004,"&gt;="&amp;TODAY()))&gt;0,"特殊",IF(COUNTIFS('資格研修記録'!$A$5:$A$1004,A152,'資格研修記録'!$D$5:$D$1004,"小型船舶特殊")&gt;0,"× 特殊 期限切れ","")))="","—",_xlfn.TEXTJOIN("・",TRUE,IF((COUNTIFS('資格研修記録'!$A$5:$A$1004,A152,'資格研修記録'!$D$5:$D$1004,"小型船舶1級",'資格研修記録'!$F$5:$F$1004,"")+COUNTIFS('資格研修記録'!$A$5:$A$1004,A152,'資格研修記録'!$D$5:$D$1004,"小型船舶1級",'資格研修記録'!$F$5:$F$1004,"&gt;="&amp;TODAY()))&gt;0,"1級",IF((COUNTIFS('資格研修記録'!$A$5:$A$1004,A152,'資格研修記録'!$D$5:$D$1004,"小型船舶2級",'資格研修記録'!$F$5:$F$1004,"")+COUNTIFS('資格研修記録'!$A$5:$A$1004,A152,'資格研修記録'!$D$5:$D$1004,"小型船舶2級",'資格研修記録'!$F$5:$F$1004,"&gt;="&amp;TODAY()))&gt;0,"2級",IF(COUNTIFS('資格研修記録'!$A$5:$A$1004,A152,'資格研修記録'!$D$5:$D$1004,"小型船舶1級")+COUNTIFS('資格研修記録'!$A$5:$A$1004,A152,'資格研修記録'!$D$5:$D$1004,"小型船舶2級")&gt;0,"× 1・2級 期限切れ",""))),IF((COUNTIFS('資格研修記録'!$A$5:$A$1004,A152,'資格研修記録'!$D$5:$D$1004,"小型船舶特殊",'資格研修記録'!$F$5:$F$1004,"")+COUNTIFS('資格研修記録'!$A$5:$A$1004,A152,'資格研修記録'!$D$5:$D$1004,"小型船舶特殊",'資格研修記録'!$F$5:$F$1004,"&gt;="&amp;TODAY()))&gt;0,"特殊",IF(COUNTIFS('資格研修記録'!$A$5:$A$1004,A152,'資格研修記録'!$D$5:$D$1004,"小型船舶特殊")&gt;0,"× 特殊 期限切れ","")))))</f>
        <v/>
      </c>
      <c r="H152" s="15">
        <f>IF(A152="","",COUNTIFS('潜水記録'!$B$5:$B$3004,A152,'潜水記録'!$AF$5:$AF$3004,$D$2))</f>
        <v/>
      </c>
      <c r="I152" s="15">
        <f>IF(A152="","",COUNTIF('潜水記録'!$B$5:$B$3004,A152))</f>
        <v/>
      </c>
      <c r="J152" s="15">
        <f>IF(A152="","",SUMIF('潜水記録'!$B$5:$B$3004,A152,'潜水記録'!$H$5:$H$3004))</f>
        <v/>
      </c>
      <c r="K152" s="15">
        <f>IF(A152="","",IF(I152=0,"",_xlfn.MAXIFS('潜水記録'!$G$5:$G$3004,'潜水記録'!$B$5:$B$3004,A152)))</f>
        <v/>
      </c>
      <c r="L152" s="16">
        <f>IF(A152="","",IF(I152=0,"",_xlfn.MAXIFS('潜水記録'!$A$5:$A$3004,'潜水記録'!$B$5:$B$3004,A152)))</f>
        <v/>
      </c>
      <c r="M152" s="15">
        <f>IF(L152="","",$B$2-L152)</f>
        <v/>
      </c>
    </row>
    <row r="153">
      <c r="A153" s="14">
        <f>IF('隊員マスタ'!A150="","",'隊員マスタ'!A150)</f>
        <v/>
      </c>
      <c r="B153" s="14">
        <f>IF(A153="","",'隊員マスタ'!B150)</f>
        <v/>
      </c>
      <c r="C153" s="14">
        <f>IF(A153="","",'隊員マスタ'!C150)</f>
        <v/>
      </c>
      <c r="D153" s="15">
        <f>IF(A153="","",'隊員マスタ'!D150)</f>
        <v/>
      </c>
      <c r="E153" s="15">
        <f>IF(A153="","",IF(COUNTIFS('資格研修記録'!$A$5:$A$1004,A153,'資格研修記録'!$D$5:$D$1004,"潜水士免許")&gt;0,"有","無"))</f>
        <v/>
      </c>
      <c r="F153" s="15">
        <f>IF(A153="","",IF(COUNTIFS('資格研修記録'!$A$5:$A$1004,A153,'資格研修記録'!$D$5:$D$1004,"水難救助研修")&gt;0,"修了","—"))</f>
        <v/>
      </c>
      <c r="G153" s="14">
        <f>IF(A153="","",IF((IF((COUNTIFS('資格研修記録'!$A$5:$A$1004,A153,'資格研修記録'!$D$5:$D$1004,"小型船舶1級",'資格研修記録'!$F$5:$F$1004,"")+COUNTIFS('資格研修記録'!$A$5:$A$1004,A153,'資格研修記録'!$D$5:$D$1004,"小型船舶1級",'資格研修記録'!$F$5:$F$1004,"&gt;="&amp;TODAY()))&gt;0,"1級",IF((COUNTIFS('資格研修記録'!$A$5:$A$1004,A153,'資格研修記録'!$D$5:$D$1004,"小型船舶2級",'資格研修記録'!$F$5:$F$1004,"")+COUNTIFS('資格研修記録'!$A$5:$A$1004,A153,'資格研修記録'!$D$5:$D$1004,"小型船舶2級",'資格研修記録'!$F$5:$F$1004,"&gt;="&amp;TODAY()))&gt;0,"2級",IF(COUNTIFS('資格研修記録'!$A$5:$A$1004,A153,'資格研修記録'!$D$5:$D$1004,"小型船舶1級")+COUNTIFS('資格研修記録'!$A$5:$A$1004,A153,'資格研修記録'!$D$5:$D$1004,"小型船舶2級")&gt;0,"× 1・2級 期限切れ",""))))&amp;(IF((COUNTIFS('資格研修記録'!$A$5:$A$1004,A153,'資格研修記録'!$D$5:$D$1004,"小型船舶特殊",'資格研修記録'!$F$5:$F$1004,"")+COUNTIFS('資格研修記録'!$A$5:$A$1004,A153,'資格研修記録'!$D$5:$D$1004,"小型船舶特殊",'資格研修記録'!$F$5:$F$1004,"&gt;="&amp;TODAY()))&gt;0,"特殊",IF(COUNTIFS('資格研修記録'!$A$5:$A$1004,A153,'資格研修記録'!$D$5:$D$1004,"小型船舶特殊")&gt;0,"× 特殊 期限切れ","")))="","—",_xlfn.TEXTJOIN("・",TRUE,IF((COUNTIFS('資格研修記録'!$A$5:$A$1004,A153,'資格研修記録'!$D$5:$D$1004,"小型船舶1級",'資格研修記録'!$F$5:$F$1004,"")+COUNTIFS('資格研修記録'!$A$5:$A$1004,A153,'資格研修記録'!$D$5:$D$1004,"小型船舶1級",'資格研修記録'!$F$5:$F$1004,"&gt;="&amp;TODAY()))&gt;0,"1級",IF((COUNTIFS('資格研修記録'!$A$5:$A$1004,A153,'資格研修記録'!$D$5:$D$1004,"小型船舶2級",'資格研修記録'!$F$5:$F$1004,"")+COUNTIFS('資格研修記録'!$A$5:$A$1004,A153,'資格研修記録'!$D$5:$D$1004,"小型船舶2級",'資格研修記録'!$F$5:$F$1004,"&gt;="&amp;TODAY()))&gt;0,"2級",IF(COUNTIFS('資格研修記録'!$A$5:$A$1004,A153,'資格研修記録'!$D$5:$D$1004,"小型船舶1級")+COUNTIFS('資格研修記録'!$A$5:$A$1004,A153,'資格研修記録'!$D$5:$D$1004,"小型船舶2級")&gt;0,"× 1・2級 期限切れ",""))),IF((COUNTIFS('資格研修記録'!$A$5:$A$1004,A153,'資格研修記録'!$D$5:$D$1004,"小型船舶特殊",'資格研修記録'!$F$5:$F$1004,"")+COUNTIFS('資格研修記録'!$A$5:$A$1004,A153,'資格研修記録'!$D$5:$D$1004,"小型船舶特殊",'資格研修記録'!$F$5:$F$1004,"&gt;="&amp;TODAY()))&gt;0,"特殊",IF(COUNTIFS('資格研修記録'!$A$5:$A$1004,A153,'資格研修記録'!$D$5:$D$1004,"小型船舶特殊")&gt;0,"× 特殊 期限切れ","")))))</f>
        <v/>
      </c>
      <c r="H153" s="15">
        <f>IF(A153="","",COUNTIFS('潜水記録'!$B$5:$B$3004,A153,'潜水記録'!$AF$5:$AF$3004,$D$2))</f>
        <v/>
      </c>
      <c r="I153" s="15">
        <f>IF(A153="","",COUNTIF('潜水記録'!$B$5:$B$3004,A153))</f>
        <v/>
      </c>
      <c r="J153" s="15">
        <f>IF(A153="","",SUMIF('潜水記録'!$B$5:$B$3004,A153,'潜水記録'!$H$5:$H$3004))</f>
        <v/>
      </c>
      <c r="K153" s="15">
        <f>IF(A153="","",IF(I153=0,"",_xlfn.MAXIFS('潜水記録'!$G$5:$G$3004,'潜水記録'!$B$5:$B$3004,A153)))</f>
        <v/>
      </c>
      <c r="L153" s="16">
        <f>IF(A153="","",IF(I153=0,"",_xlfn.MAXIFS('潜水記録'!$A$5:$A$3004,'潜水記録'!$B$5:$B$3004,A153)))</f>
        <v/>
      </c>
      <c r="M153" s="15">
        <f>IF(L153="","",$B$2-L153)</f>
        <v/>
      </c>
    </row>
    <row r="154">
      <c r="A154" s="14">
        <f>IF('隊員マスタ'!A151="","",'隊員マスタ'!A151)</f>
        <v/>
      </c>
      <c r="B154" s="14">
        <f>IF(A154="","",'隊員マスタ'!B151)</f>
        <v/>
      </c>
      <c r="C154" s="14">
        <f>IF(A154="","",'隊員マスタ'!C151)</f>
        <v/>
      </c>
      <c r="D154" s="15">
        <f>IF(A154="","",'隊員マスタ'!D151)</f>
        <v/>
      </c>
      <c r="E154" s="15">
        <f>IF(A154="","",IF(COUNTIFS('資格研修記録'!$A$5:$A$1004,A154,'資格研修記録'!$D$5:$D$1004,"潜水士免許")&gt;0,"有","無"))</f>
        <v/>
      </c>
      <c r="F154" s="15">
        <f>IF(A154="","",IF(COUNTIFS('資格研修記録'!$A$5:$A$1004,A154,'資格研修記録'!$D$5:$D$1004,"水難救助研修")&gt;0,"修了","—"))</f>
        <v/>
      </c>
      <c r="G154" s="14">
        <f>IF(A154="","",IF((IF((COUNTIFS('資格研修記録'!$A$5:$A$1004,A154,'資格研修記録'!$D$5:$D$1004,"小型船舶1級",'資格研修記録'!$F$5:$F$1004,"")+COUNTIFS('資格研修記録'!$A$5:$A$1004,A154,'資格研修記録'!$D$5:$D$1004,"小型船舶1級",'資格研修記録'!$F$5:$F$1004,"&gt;="&amp;TODAY()))&gt;0,"1級",IF((COUNTIFS('資格研修記録'!$A$5:$A$1004,A154,'資格研修記録'!$D$5:$D$1004,"小型船舶2級",'資格研修記録'!$F$5:$F$1004,"")+COUNTIFS('資格研修記録'!$A$5:$A$1004,A154,'資格研修記録'!$D$5:$D$1004,"小型船舶2級",'資格研修記録'!$F$5:$F$1004,"&gt;="&amp;TODAY()))&gt;0,"2級",IF(COUNTIFS('資格研修記録'!$A$5:$A$1004,A154,'資格研修記録'!$D$5:$D$1004,"小型船舶1級")+COUNTIFS('資格研修記録'!$A$5:$A$1004,A154,'資格研修記録'!$D$5:$D$1004,"小型船舶2級")&gt;0,"× 1・2級 期限切れ",""))))&amp;(IF((COUNTIFS('資格研修記録'!$A$5:$A$1004,A154,'資格研修記録'!$D$5:$D$1004,"小型船舶特殊",'資格研修記録'!$F$5:$F$1004,"")+COUNTIFS('資格研修記録'!$A$5:$A$1004,A154,'資格研修記録'!$D$5:$D$1004,"小型船舶特殊",'資格研修記録'!$F$5:$F$1004,"&gt;="&amp;TODAY()))&gt;0,"特殊",IF(COUNTIFS('資格研修記録'!$A$5:$A$1004,A154,'資格研修記録'!$D$5:$D$1004,"小型船舶特殊")&gt;0,"× 特殊 期限切れ","")))="","—",_xlfn.TEXTJOIN("・",TRUE,IF((COUNTIFS('資格研修記録'!$A$5:$A$1004,A154,'資格研修記録'!$D$5:$D$1004,"小型船舶1級",'資格研修記録'!$F$5:$F$1004,"")+COUNTIFS('資格研修記録'!$A$5:$A$1004,A154,'資格研修記録'!$D$5:$D$1004,"小型船舶1級",'資格研修記録'!$F$5:$F$1004,"&gt;="&amp;TODAY()))&gt;0,"1級",IF((COUNTIFS('資格研修記録'!$A$5:$A$1004,A154,'資格研修記録'!$D$5:$D$1004,"小型船舶2級",'資格研修記録'!$F$5:$F$1004,"")+COUNTIFS('資格研修記録'!$A$5:$A$1004,A154,'資格研修記録'!$D$5:$D$1004,"小型船舶2級",'資格研修記録'!$F$5:$F$1004,"&gt;="&amp;TODAY()))&gt;0,"2級",IF(COUNTIFS('資格研修記録'!$A$5:$A$1004,A154,'資格研修記録'!$D$5:$D$1004,"小型船舶1級")+COUNTIFS('資格研修記録'!$A$5:$A$1004,A154,'資格研修記録'!$D$5:$D$1004,"小型船舶2級")&gt;0,"× 1・2級 期限切れ",""))),IF((COUNTIFS('資格研修記録'!$A$5:$A$1004,A154,'資格研修記録'!$D$5:$D$1004,"小型船舶特殊",'資格研修記録'!$F$5:$F$1004,"")+COUNTIFS('資格研修記録'!$A$5:$A$1004,A154,'資格研修記録'!$D$5:$D$1004,"小型船舶特殊",'資格研修記録'!$F$5:$F$1004,"&gt;="&amp;TODAY()))&gt;0,"特殊",IF(COUNTIFS('資格研修記録'!$A$5:$A$1004,A154,'資格研修記録'!$D$5:$D$1004,"小型船舶特殊")&gt;0,"× 特殊 期限切れ","")))))</f>
        <v/>
      </c>
      <c r="H154" s="15">
        <f>IF(A154="","",COUNTIFS('潜水記録'!$B$5:$B$3004,A154,'潜水記録'!$AF$5:$AF$3004,$D$2))</f>
        <v/>
      </c>
      <c r="I154" s="15">
        <f>IF(A154="","",COUNTIF('潜水記録'!$B$5:$B$3004,A154))</f>
        <v/>
      </c>
      <c r="J154" s="15">
        <f>IF(A154="","",SUMIF('潜水記録'!$B$5:$B$3004,A154,'潜水記録'!$H$5:$H$3004))</f>
        <v/>
      </c>
      <c r="K154" s="15">
        <f>IF(A154="","",IF(I154=0,"",_xlfn.MAXIFS('潜水記録'!$G$5:$G$3004,'潜水記録'!$B$5:$B$3004,A154)))</f>
        <v/>
      </c>
      <c r="L154" s="16">
        <f>IF(A154="","",IF(I154=0,"",_xlfn.MAXIFS('潜水記録'!$A$5:$A$3004,'潜水記録'!$B$5:$B$3004,A154)))</f>
        <v/>
      </c>
      <c r="M154" s="15">
        <f>IF(L154="","",$B$2-L154)</f>
        <v/>
      </c>
    </row>
    <row r="155">
      <c r="A155" s="14">
        <f>IF('隊員マスタ'!A152="","",'隊員マスタ'!A152)</f>
        <v/>
      </c>
      <c r="B155" s="14">
        <f>IF(A155="","",'隊員マスタ'!B152)</f>
        <v/>
      </c>
      <c r="C155" s="14">
        <f>IF(A155="","",'隊員マスタ'!C152)</f>
        <v/>
      </c>
      <c r="D155" s="15">
        <f>IF(A155="","",'隊員マスタ'!D152)</f>
        <v/>
      </c>
      <c r="E155" s="15">
        <f>IF(A155="","",IF(COUNTIFS('資格研修記録'!$A$5:$A$1004,A155,'資格研修記録'!$D$5:$D$1004,"潜水士免許")&gt;0,"有","無"))</f>
        <v/>
      </c>
      <c r="F155" s="15">
        <f>IF(A155="","",IF(COUNTIFS('資格研修記録'!$A$5:$A$1004,A155,'資格研修記録'!$D$5:$D$1004,"水難救助研修")&gt;0,"修了","—"))</f>
        <v/>
      </c>
      <c r="G155" s="14">
        <f>IF(A155="","",IF((IF((COUNTIFS('資格研修記録'!$A$5:$A$1004,A155,'資格研修記録'!$D$5:$D$1004,"小型船舶1級",'資格研修記録'!$F$5:$F$1004,"")+COUNTIFS('資格研修記録'!$A$5:$A$1004,A155,'資格研修記録'!$D$5:$D$1004,"小型船舶1級",'資格研修記録'!$F$5:$F$1004,"&gt;="&amp;TODAY()))&gt;0,"1級",IF((COUNTIFS('資格研修記録'!$A$5:$A$1004,A155,'資格研修記録'!$D$5:$D$1004,"小型船舶2級",'資格研修記録'!$F$5:$F$1004,"")+COUNTIFS('資格研修記録'!$A$5:$A$1004,A155,'資格研修記録'!$D$5:$D$1004,"小型船舶2級",'資格研修記録'!$F$5:$F$1004,"&gt;="&amp;TODAY()))&gt;0,"2級",IF(COUNTIFS('資格研修記録'!$A$5:$A$1004,A155,'資格研修記録'!$D$5:$D$1004,"小型船舶1級")+COUNTIFS('資格研修記録'!$A$5:$A$1004,A155,'資格研修記録'!$D$5:$D$1004,"小型船舶2級")&gt;0,"× 1・2級 期限切れ",""))))&amp;(IF((COUNTIFS('資格研修記録'!$A$5:$A$1004,A155,'資格研修記録'!$D$5:$D$1004,"小型船舶特殊",'資格研修記録'!$F$5:$F$1004,"")+COUNTIFS('資格研修記録'!$A$5:$A$1004,A155,'資格研修記録'!$D$5:$D$1004,"小型船舶特殊",'資格研修記録'!$F$5:$F$1004,"&gt;="&amp;TODAY()))&gt;0,"特殊",IF(COUNTIFS('資格研修記録'!$A$5:$A$1004,A155,'資格研修記録'!$D$5:$D$1004,"小型船舶特殊")&gt;0,"× 特殊 期限切れ","")))="","—",_xlfn.TEXTJOIN("・",TRUE,IF((COUNTIFS('資格研修記録'!$A$5:$A$1004,A155,'資格研修記録'!$D$5:$D$1004,"小型船舶1級",'資格研修記録'!$F$5:$F$1004,"")+COUNTIFS('資格研修記録'!$A$5:$A$1004,A155,'資格研修記録'!$D$5:$D$1004,"小型船舶1級",'資格研修記録'!$F$5:$F$1004,"&gt;="&amp;TODAY()))&gt;0,"1級",IF((COUNTIFS('資格研修記録'!$A$5:$A$1004,A155,'資格研修記録'!$D$5:$D$1004,"小型船舶2級",'資格研修記録'!$F$5:$F$1004,"")+COUNTIFS('資格研修記録'!$A$5:$A$1004,A155,'資格研修記録'!$D$5:$D$1004,"小型船舶2級",'資格研修記録'!$F$5:$F$1004,"&gt;="&amp;TODAY()))&gt;0,"2級",IF(COUNTIFS('資格研修記録'!$A$5:$A$1004,A155,'資格研修記録'!$D$5:$D$1004,"小型船舶1級")+COUNTIFS('資格研修記録'!$A$5:$A$1004,A155,'資格研修記録'!$D$5:$D$1004,"小型船舶2級")&gt;0,"× 1・2級 期限切れ",""))),IF((COUNTIFS('資格研修記録'!$A$5:$A$1004,A155,'資格研修記録'!$D$5:$D$1004,"小型船舶特殊",'資格研修記録'!$F$5:$F$1004,"")+COUNTIFS('資格研修記録'!$A$5:$A$1004,A155,'資格研修記録'!$D$5:$D$1004,"小型船舶特殊",'資格研修記録'!$F$5:$F$1004,"&gt;="&amp;TODAY()))&gt;0,"特殊",IF(COUNTIFS('資格研修記録'!$A$5:$A$1004,A155,'資格研修記録'!$D$5:$D$1004,"小型船舶特殊")&gt;0,"× 特殊 期限切れ","")))))</f>
        <v/>
      </c>
      <c r="H155" s="15">
        <f>IF(A155="","",COUNTIFS('潜水記録'!$B$5:$B$3004,A155,'潜水記録'!$AF$5:$AF$3004,$D$2))</f>
        <v/>
      </c>
      <c r="I155" s="15">
        <f>IF(A155="","",COUNTIF('潜水記録'!$B$5:$B$3004,A155))</f>
        <v/>
      </c>
      <c r="J155" s="15">
        <f>IF(A155="","",SUMIF('潜水記録'!$B$5:$B$3004,A155,'潜水記録'!$H$5:$H$3004))</f>
        <v/>
      </c>
      <c r="K155" s="15">
        <f>IF(A155="","",IF(I155=0,"",_xlfn.MAXIFS('潜水記録'!$G$5:$G$3004,'潜水記録'!$B$5:$B$3004,A155)))</f>
        <v/>
      </c>
      <c r="L155" s="16">
        <f>IF(A155="","",IF(I155=0,"",_xlfn.MAXIFS('潜水記録'!$A$5:$A$3004,'潜水記録'!$B$5:$B$3004,A155)))</f>
        <v/>
      </c>
      <c r="M155" s="15">
        <f>IF(L155="","",$B$2-L155)</f>
        <v/>
      </c>
    </row>
    <row r="156">
      <c r="A156" s="14">
        <f>IF('隊員マスタ'!A153="","",'隊員マスタ'!A153)</f>
        <v/>
      </c>
      <c r="B156" s="14">
        <f>IF(A156="","",'隊員マスタ'!B153)</f>
        <v/>
      </c>
      <c r="C156" s="14">
        <f>IF(A156="","",'隊員マスタ'!C153)</f>
        <v/>
      </c>
      <c r="D156" s="15">
        <f>IF(A156="","",'隊員マスタ'!D153)</f>
        <v/>
      </c>
      <c r="E156" s="15">
        <f>IF(A156="","",IF(COUNTIFS('資格研修記録'!$A$5:$A$1004,A156,'資格研修記録'!$D$5:$D$1004,"潜水士免許")&gt;0,"有","無"))</f>
        <v/>
      </c>
      <c r="F156" s="15">
        <f>IF(A156="","",IF(COUNTIFS('資格研修記録'!$A$5:$A$1004,A156,'資格研修記録'!$D$5:$D$1004,"水難救助研修")&gt;0,"修了","—"))</f>
        <v/>
      </c>
      <c r="G156" s="14">
        <f>IF(A156="","",IF((IF((COUNTIFS('資格研修記録'!$A$5:$A$1004,A156,'資格研修記録'!$D$5:$D$1004,"小型船舶1級",'資格研修記録'!$F$5:$F$1004,"")+COUNTIFS('資格研修記録'!$A$5:$A$1004,A156,'資格研修記録'!$D$5:$D$1004,"小型船舶1級",'資格研修記録'!$F$5:$F$1004,"&gt;="&amp;TODAY()))&gt;0,"1級",IF((COUNTIFS('資格研修記録'!$A$5:$A$1004,A156,'資格研修記録'!$D$5:$D$1004,"小型船舶2級",'資格研修記録'!$F$5:$F$1004,"")+COUNTIFS('資格研修記録'!$A$5:$A$1004,A156,'資格研修記録'!$D$5:$D$1004,"小型船舶2級",'資格研修記録'!$F$5:$F$1004,"&gt;="&amp;TODAY()))&gt;0,"2級",IF(COUNTIFS('資格研修記録'!$A$5:$A$1004,A156,'資格研修記録'!$D$5:$D$1004,"小型船舶1級")+COUNTIFS('資格研修記録'!$A$5:$A$1004,A156,'資格研修記録'!$D$5:$D$1004,"小型船舶2級")&gt;0,"× 1・2級 期限切れ",""))))&amp;(IF((COUNTIFS('資格研修記録'!$A$5:$A$1004,A156,'資格研修記録'!$D$5:$D$1004,"小型船舶特殊",'資格研修記録'!$F$5:$F$1004,"")+COUNTIFS('資格研修記録'!$A$5:$A$1004,A156,'資格研修記録'!$D$5:$D$1004,"小型船舶特殊",'資格研修記録'!$F$5:$F$1004,"&gt;="&amp;TODAY()))&gt;0,"特殊",IF(COUNTIFS('資格研修記録'!$A$5:$A$1004,A156,'資格研修記録'!$D$5:$D$1004,"小型船舶特殊")&gt;0,"× 特殊 期限切れ","")))="","—",_xlfn.TEXTJOIN("・",TRUE,IF((COUNTIFS('資格研修記録'!$A$5:$A$1004,A156,'資格研修記録'!$D$5:$D$1004,"小型船舶1級",'資格研修記録'!$F$5:$F$1004,"")+COUNTIFS('資格研修記録'!$A$5:$A$1004,A156,'資格研修記録'!$D$5:$D$1004,"小型船舶1級",'資格研修記録'!$F$5:$F$1004,"&gt;="&amp;TODAY()))&gt;0,"1級",IF((COUNTIFS('資格研修記録'!$A$5:$A$1004,A156,'資格研修記録'!$D$5:$D$1004,"小型船舶2級",'資格研修記録'!$F$5:$F$1004,"")+COUNTIFS('資格研修記録'!$A$5:$A$1004,A156,'資格研修記録'!$D$5:$D$1004,"小型船舶2級",'資格研修記録'!$F$5:$F$1004,"&gt;="&amp;TODAY()))&gt;0,"2級",IF(COUNTIFS('資格研修記録'!$A$5:$A$1004,A156,'資格研修記録'!$D$5:$D$1004,"小型船舶1級")+COUNTIFS('資格研修記録'!$A$5:$A$1004,A156,'資格研修記録'!$D$5:$D$1004,"小型船舶2級")&gt;0,"× 1・2級 期限切れ",""))),IF((COUNTIFS('資格研修記録'!$A$5:$A$1004,A156,'資格研修記録'!$D$5:$D$1004,"小型船舶特殊",'資格研修記録'!$F$5:$F$1004,"")+COUNTIFS('資格研修記録'!$A$5:$A$1004,A156,'資格研修記録'!$D$5:$D$1004,"小型船舶特殊",'資格研修記録'!$F$5:$F$1004,"&gt;="&amp;TODAY()))&gt;0,"特殊",IF(COUNTIFS('資格研修記録'!$A$5:$A$1004,A156,'資格研修記録'!$D$5:$D$1004,"小型船舶特殊")&gt;0,"× 特殊 期限切れ","")))))</f>
        <v/>
      </c>
      <c r="H156" s="15">
        <f>IF(A156="","",COUNTIFS('潜水記録'!$B$5:$B$3004,A156,'潜水記録'!$AF$5:$AF$3004,$D$2))</f>
        <v/>
      </c>
      <c r="I156" s="15">
        <f>IF(A156="","",COUNTIF('潜水記録'!$B$5:$B$3004,A156))</f>
        <v/>
      </c>
      <c r="J156" s="15">
        <f>IF(A156="","",SUMIF('潜水記録'!$B$5:$B$3004,A156,'潜水記録'!$H$5:$H$3004))</f>
        <v/>
      </c>
      <c r="K156" s="15">
        <f>IF(A156="","",IF(I156=0,"",_xlfn.MAXIFS('潜水記録'!$G$5:$G$3004,'潜水記録'!$B$5:$B$3004,A156)))</f>
        <v/>
      </c>
      <c r="L156" s="16">
        <f>IF(A156="","",IF(I156=0,"",_xlfn.MAXIFS('潜水記録'!$A$5:$A$3004,'潜水記録'!$B$5:$B$3004,A156)))</f>
        <v/>
      </c>
      <c r="M156" s="15">
        <f>IF(L156="","",$B$2-L156)</f>
        <v/>
      </c>
    </row>
    <row r="157">
      <c r="A157" s="14">
        <f>IF('隊員マスタ'!A154="","",'隊員マスタ'!A154)</f>
        <v/>
      </c>
      <c r="B157" s="14">
        <f>IF(A157="","",'隊員マスタ'!B154)</f>
        <v/>
      </c>
      <c r="C157" s="14">
        <f>IF(A157="","",'隊員マスタ'!C154)</f>
        <v/>
      </c>
      <c r="D157" s="15">
        <f>IF(A157="","",'隊員マスタ'!D154)</f>
        <v/>
      </c>
      <c r="E157" s="15">
        <f>IF(A157="","",IF(COUNTIFS('資格研修記録'!$A$5:$A$1004,A157,'資格研修記録'!$D$5:$D$1004,"潜水士免許")&gt;0,"有","無"))</f>
        <v/>
      </c>
      <c r="F157" s="15">
        <f>IF(A157="","",IF(COUNTIFS('資格研修記録'!$A$5:$A$1004,A157,'資格研修記録'!$D$5:$D$1004,"水難救助研修")&gt;0,"修了","—"))</f>
        <v/>
      </c>
      <c r="G157" s="14">
        <f>IF(A157="","",IF((IF((COUNTIFS('資格研修記録'!$A$5:$A$1004,A157,'資格研修記録'!$D$5:$D$1004,"小型船舶1級",'資格研修記録'!$F$5:$F$1004,"")+COUNTIFS('資格研修記録'!$A$5:$A$1004,A157,'資格研修記録'!$D$5:$D$1004,"小型船舶1級",'資格研修記録'!$F$5:$F$1004,"&gt;="&amp;TODAY()))&gt;0,"1級",IF((COUNTIFS('資格研修記録'!$A$5:$A$1004,A157,'資格研修記録'!$D$5:$D$1004,"小型船舶2級",'資格研修記録'!$F$5:$F$1004,"")+COUNTIFS('資格研修記録'!$A$5:$A$1004,A157,'資格研修記録'!$D$5:$D$1004,"小型船舶2級",'資格研修記録'!$F$5:$F$1004,"&gt;="&amp;TODAY()))&gt;0,"2級",IF(COUNTIFS('資格研修記録'!$A$5:$A$1004,A157,'資格研修記録'!$D$5:$D$1004,"小型船舶1級")+COUNTIFS('資格研修記録'!$A$5:$A$1004,A157,'資格研修記録'!$D$5:$D$1004,"小型船舶2級")&gt;0,"× 1・2級 期限切れ",""))))&amp;(IF((COUNTIFS('資格研修記録'!$A$5:$A$1004,A157,'資格研修記録'!$D$5:$D$1004,"小型船舶特殊",'資格研修記録'!$F$5:$F$1004,"")+COUNTIFS('資格研修記録'!$A$5:$A$1004,A157,'資格研修記録'!$D$5:$D$1004,"小型船舶特殊",'資格研修記録'!$F$5:$F$1004,"&gt;="&amp;TODAY()))&gt;0,"特殊",IF(COUNTIFS('資格研修記録'!$A$5:$A$1004,A157,'資格研修記録'!$D$5:$D$1004,"小型船舶特殊")&gt;0,"× 特殊 期限切れ","")))="","—",_xlfn.TEXTJOIN("・",TRUE,IF((COUNTIFS('資格研修記録'!$A$5:$A$1004,A157,'資格研修記録'!$D$5:$D$1004,"小型船舶1級",'資格研修記録'!$F$5:$F$1004,"")+COUNTIFS('資格研修記録'!$A$5:$A$1004,A157,'資格研修記録'!$D$5:$D$1004,"小型船舶1級",'資格研修記録'!$F$5:$F$1004,"&gt;="&amp;TODAY()))&gt;0,"1級",IF((COUNTIFS('資格研修記録'!$A$5:$A$1004,A157,'資格研修記録'!$D$5:$D$1004,"小型船舶2級",'資格研修記録'!$F$5:$F$1004,"")+COUNTIFS('資格研修記録'!$A$5:$A$1004,A157,'資格研修記録'!$D$5:$D$1004,"小型船舶2級",'資格研修記録'!$F$5:$F$1004,"&gt;="&amp;TODAY()))&gt;0,"2級",IF(COUNTIFS('資格研修記録'!$A$5:$A$1004,A157,'資格研修記録'!$D$5:$D$1004,"小型船舶1級")+COUNTIFS('資格研修記録'!$A$5:$A$1004,A157,'資格研修記録'!$D$5:$D$1004,"小型船舶2級")&gt;0,"× 1・2級 期限切れ",""))),IF((COUNTIFS('資格研修記録'!$A$5:$A$1004,A157,'資格研修記録'!$D$5:$D$1004,"小型船舶特殊",'資格研修記録'!$F$5:$F$1004,"")+COUNTIFS('資格研修記録'!$A$5:$A$1004,A157,'資格研修記録'!$D$5:$D$1004,"小型船舶特殊",'資格研修記録'!$F$5:$F$1004,"&gt;="&amp;TODAY()))&gt;0,"特殊",IF(COUNTIFS('資格研修記録'!$A$5:$A$1004,A157,'資格研修記録'!$D$5:$D$1004,"小型船舶特殊")&gt;0,"× 特殊 期限切れ","")))))</f>
        <v/>
      </c>
      <c r="H157" s="15">
        <f>IF(A157="","",COUNTIFS('潜水記録'!$B$5:$B$3004,A157,'潜水記録'!$AF$5:$AF$3004,$D$2))</f>
        <v/>
      </c>
      <c r="I157" s="15">
        <f>IF(A157="","",COUNTIF('潜水記録'!$B$5:$B$3004,A157))</f>
        <v/>
      </c>
      <c r="J157" s="15">
        <f>IF(A157="","",SUMIF('潜水記録'!$B$5:$B$3004,A157,'潜水記録'!$H$5:$H$3004))</f>
        <v/>
      </c>
      <c r="K157" s="15">
        <f>IF(A157="","",IF(I157=0,"",_xlfn.MAXIFS('潜水記録'!$G$5:$G$3004,'潜水記録'!$B$5:$B$3004,A157)))</f>
        <v/>
      </c>
      <c r="L157" s="16">
        <f>IF(A157="","",IF(I157=0,"",_xlfn.MAXIFS('潜水記録'!$A$5:$A$3004,'潜水記録'!$B$5:$B$3004,A157)))</f>
        <v/>
      </c>
      <c r="M157" s="15">
        <f>IF(L157="","",$B$2-L157)</f>
        <v/>
      </c>
    </row>
    <row r="158">
      <c r="A158" s="14">
        <f>IF('隊員マスタ'!A155="","",'隊員マスタ'!A155)</f>
        <v/>
      </c>
      <c r="B158" s="14">
        <f>IF(A158="","",'隊員マスタ'!B155)</f>
        <v/>
      </c>
      <c r="C158" s="14">
        <f>IF(A158="","",'隊員マスタ'!C155)</f>
        <v/>
      </c>
      <c r="D158" s="15">
        <f>IF(A158="","",'隊員マスタ'!D155)</f>
        <v/>
      </c>
      <c r="E158" s="15">
        <f>IF(A158="","",IF(COUNTIFS('資格研修記録'!$A$5:$A$1004,A158,'資格研修記録'!$D$5:$D$1004,"潜水士免許")&gt;0,"有","無"))</f>
        <v/>
      </c>
      <c r="F158" s="15">
        <f>IF(A158="","",IF(COUNTIFS('資格研修記録'!$A$5:$A$1004,A158,'資格研修記録'!$D$5:$D$1004,"水難救助研修")&gt;0,"修了","—"))</f>
        <v/>
      </c>
      <c r="G158" s="14">
        <f>IF(A158="","",IF((IF((COUNTIFS('資格研修記録'!$A$5:$A$1004,A158,'資格研修記録'!$D$5:$D$1004,"小型船舶1級",'資格研修記録'!$F$5:$F$1004,"")+COUNTIFS('資格研修記録'!$A$5:$A$1004,A158,'資格研修記録'!$D$5:$D$1004,"小型船舶1級",'資格研修記録'!$F$5:$F$1004,"&gt;="&amp;TODAY()))&gt;0,"1級",IF((COUNTIFS('資格研修記録'!$A$5:$A$1004,A158,'資格研修記録'!$D$5:$D$1004,"小型船舶2級",'資格研修記録'!$F$5:$F$1004,"")+COUNTIFS('資格研修記録'!$A$5:$A$1004,A158,'資格研修記録'!$D$5:$D$1004,"小型船舶2級",'資格研修記録'!$F$5:$F$1004,"&gt;="&amp;TODAY()))&gt;0,"2級",IF(COUNTIFS('資格研修記録'!$A$5:$A$1004,A158,'資格研修記録'!$D$5:$D$1004,"小型船舶1級")+COUNTIFS('資格研修記録'!$A$5:$A$1004,A158,'資格研修記録'!$D$5:$D$1004,"小型船舶2級")&gt;0,"× 1・2級 期限切れ",""))))&amp;(IF((COUNTIFS('資格研修記録'!$A$5:$A$1004,A158,'資格研修記録'!$D$5:$D$1004,"小型船舶特殊",'資格研修記録'!$F$5:$F$1004,"")+COUNTIFS('資格研修記録'!$A$5:$A$1004,A158,'資格研修記録'!$D$5:$D$1004,"小型船舶特殊",'資格研修記録'!$F$5:$F$1004,"&gt;="&amp;TODAY()))&gt;0,"特殊",IF(COUNTIFS('資格研修記録'!$A$5:$A$1004,A158,'資格研修記録'!$D$5:$D$1004,"小型船舶特殊")&gt;0,"× 特殊 期限切れ","")))="","—",_xlfn.TEXTJOIN("・",TRUE,IF((COUNTIFS('資格研修記録'!$A$5:$A$1004,A158,'資格研修記録'!$D$5:$D$1004,"小型船舶1級",'資格研修記録'!$F$5:$F$1004,"")+COUNTIFS('資格研修記録'!$A$5:$A$1004,A158,'資格研修記録'!$D$5:$D$1004,"小型船舶1級",'資格研修記録'!$F$5:$F$1004,"&gt;="&amp;TODAY()))&gt;0,"1級",IF((COUNTIFS('資格研修記録'!$A$5:$A$1004,A158,'資格研修記録'!$D$5:$D$1004,"小型船舶2級",'資格研修記録'!$F$5:$F$1004,"")+COUNTIFS('資格研修記録'!$A$5:$A$1004,A158,'資格研修記録'!$D$5:$D$1004,"小型船舶2級",'資格研修記録'!$F$5:$F$1004,"&gt;="&amp;TODAY()))&gt;0,"2級",IF(COUNTIFS('資格研修記録'!$A$5:$A$1004,A158,'資格研修記録'!$D$5:$D$1004,"小型船舶1級")+COUNTIFS('資格研修記録'!$A$5:$A$1004,A158,'資格研修記録'!$D$5:$D$1004,"小型船舶2級")&gt;0,"× 1・2級 期限切れ",""))),IF((COUNTIFS('資格研修記録'!$A$5:$A$1004,A158,'資格研修記録'!$D$5:$D$1004,"小型船舶特殊",'資格研修記録'!$F$5:$F$1004,"")+COUNTIFS('資格研修記録'!$A$5:$A$1004,A158,'資格研修記録'!$D$5:$D$1004,"小型船舶特殊",'資格研修記録'!$F$5:$F$1004,"&gt;="&amp;TODAY()))&gt;0,"特殊",IF(COUNTIFS('資格研修記録'!$A$5:$A$1004,A158,'資格研修記録'!$D$5:$D$1004,"小型船舶特殊")&gt;0,"× 特殊 期限切れ","")))))</f>
        <v/>
      </c>
      <c r="H158" s="15">
        <f>IF(A158="","",COUNTIFS('潜水記録'!$B$5:$B$3004,A158,'潜水記録'!$AF$5:$AF$3004,$D$2))</f>
        <v/>
      </c>
      <c r="I158" s="15">
        <f>IF(A158="","",COUNTIF('潜水記録'!$B$5:$B$3004,A158))</f>
        <v/>
      </c>
      <c r="J158" s="15">
        <f>IF(A158="","",SUMIF('潜水記録'!$B$5:$B$3004,A158,'潜水記録'!$H$5:$H$3004))</f>
        <v/>
      </c>
      <c r="K158" s="15">
        <f>IF(A158="","",IF(I158=0,"",_xlfn.MAXIFS('潜水記録'!$G$5:$G$3004,'潜水記録'!$B$5:$B$3004,A158)))</f>
        <v/>
      </c>
      <c r="L158" s="16">
        <f>IF(A158="","",IF(I158=0,"",_xlfn.MAXIFS('潜水記録'!$A$5:$A$3004,'潜水記録'!$B$5:$B$3004,A158)))</f>
        <v/>
      </c>
      <c r="M158" s="15">
        <f>IF(L158="","",$B$2-L158)</f>
        <v/>
      </c>
    </row>
    <row r="159">
      <c r="A159" s="14">
        <f>IF('隊員マスタ'!A156="","",'隊員マスタ'!A156)</f>
        <v/>
      </c>
      <c r="B159" s="14">
        <f>IF(A159="","",'隊員マスタ'!B156)</f>
        <v/>
      </c>
      <c r="C159" s="14">
        <f>IF(A159="","",'隊員マスタ'!C156)</f>
        <v/>
      </c>
      <c r="D159" s="15">
        <f>IF(A159="","",'隊員マスタ'!D156)</f>
        <v/>
      </c>
      <c r="E159" s="15">
        <f>IF(A159="","",IF(COUNTIFS('資格研修記録'!$A$5:$A$1004,A159,'資格研修記録'!$D$5:$D$1004,"潜水士免許")&gt;0,"有","無"))</f>
        <v/>
      </c>
      <c r="F159" s="15">
        <f>IF(A159="","",IF(COUNTIFS('資格研修記録'!$A$5:$A$1004,A159,'資格研修記録'!$D$5:$D$1004,"水難救助研修")&gt;0,"修了","—"))</f>
        <v/>
      </c>
      <c r="G159" s="14">
        <f>IF(A159="","",IF((IF((COUNTIFS('資格研修記録'!$A$5:$A$1004,A159,'資格研修記録'!$D$5:$D$1004,"小型船舶1級",'資格研修記録'!$F$5:$F$1004,"")+COUNTIFS('資格研修記録'!$A$5:$A$1004,A159,'資格研修記録'!$D$5:$D$1004,"小型船舶1級",'資格研修記録'!$F$5:$F$1004,"&gt;="&amp;TODAY()))&gt;0,"1級",IF((COUNTIFS('資格研修記録'!$A$5:$A$1004,A159,'資格研修記録'!$D$5:$D$1004,"小型船舶2級",'資格研修記録'!$F$5:$F$1004,"")+COUNTIFS('資格研修記録'!$A$5:$A$1004,A159,'資格研修記録'!$D$5:$D$1004,"小型船舶2級",'資格研修記録'!$F$5:$F$1004,"&gt;="&amp;TODAY()))&gt;0,"2級",IF(COUNTIFS('資格研修記録'!$A$5:$A$1004,A159,'資格研修記録'!$D$5:$D$1004,"小型船舶1級")+COUNTIFS('資格研修記録'!$A$5:$A$1004,A159,'資格研修記録'!$D$5:$D$1004,"小型船舶2級")&gt;0,"× 1・2級 期限切れ",""))))&amp;(IF((COUNTIFS('資格研修記録'!$A$5:$A$1004,A159,'資格研修記録'!$D$5:$D$1004,"小型船舶特殊",'資格研修記録'!$F$5:$F$1004,"")+COUNTIFS('資格研修記録'!$A$5:$A$1004,A159,'資格研修記録'!$D$5:$D$1004,"小型船舶特殊",'資格研修記録'!$F$5:$F$1004,"&gt;="&amp;TODAY()))&gt;0,"特殊",IF(COUNTIFS('資格研修記録'!$A$5:$A$1004,A159,'資格研修記録'!$D$5:$D$1004,"小型船舶特殊")&gt;0,"× 特殊 期限切れ","")))="","—",_xlfn.TEXTJOIN("・",TRUE,IF((COUNTIFS('資格研修記録'!$A$5:$A$1004,A159,'資格研修記録'!$D$5:$D$1004,"小型船舶1級",'資格研修記録'!$F$5:$F$1004,"")+COUNTIFS('資格研修記録'!$A$5:$A$1004,A159,'資格研修記録'!$D$5:$D$1004,"小型船舶1級",'資格研修記録'!$F$5:$F$1004,"&gt;="&amp;TODAY()))&gt;0,"1級",IF((COUNTIFS('資格研修記録'!$A$5:$A$1004,A159,'資格研修記録'!$D$5:$D$1004,"小型船舶2級",'資格研修記録'!$F$5:$F$1004,"")+COUNTIFS('資格研修記録'!$A$5:$A$1004,A159,'資格研修記録'!$D$5:$D$1004,"小型船舶2級",'資格研修記録'!$F$5:$F$1004,"&gt;="&amp;TODAY()))&gt;0,"2級",IF(COUNTIFS('資格研修記録'!$A$5:$A$1004,A159,'資格研修記録'!$D$5:$D$1004,"小型船舶1級")+COUNTIFS('資格研修記録'!$A$5:$A$1004,A159,'資格研修記録'!$D$5:$D$1004,"小型船舶2級")&gt;0,"× 1・2級 期限切れ",""))),IF((COUNTIFS('資格研修記録'!$A$5:$A$1004,A159,'資格研修記録'!$D$5:$D$1004,"小型船舶特殊",'資格研修記録'!$F$5:$F$1004,"")+COUNTIFS('資格研修記録'!$A$5:$A$1004,A159,'資格研修記録'!$D$5:$D$1004,"小型船舶特殊",'資格研修記録'!$F$5:$F$1004,"&gt;="&amp;TODAY()))&gt;0,"特殊",IF(COUNTIFS('資格研修記録'!$A$5:$A$1004,A159,'資格研修記録'!$D$5:$D$1004,"小型船舶特殊")&gt;0,"× 特殊 期限切れ","")))))</f>
        <v/>
      </c>
      <c r="H159" s="15">
        <f>IF(A159="","",COUNTIFS('潜水記録'!$B$5:$B$3004,A159,'潜水記録'!$AF$5:$AF$3004,$D$2))</f>
        <v/>
      </c>
      <c r="I159" s="15">
        <f>IF(A159="","",COUNTIF('潜水記録'!$B$5:$B$3004,A159))</f>
        <v/>
      </c>
      <c r="J159" s="15">
        <f>IF(A159="","",SUMIF('潜水記録'!$B$5:$B$3004,A159,'潜水記録'!$H$5:$H$3004))</f>
        <v/>
      </c>
      <c r="K159" s="15">
        <f>IF(A159="","",IF(I159=0,"",_xlfn.MAXIFS('潜水記録'!$G$5:$G$3004,'潜水記録'!$B$5:$B$3004,A159)))</f>
        <v/>
      </c>
      <c r="L159" s="16">
        <f>IF(A159="","",IF(I159=0,"",_xlfn.MAXIFS('潜水記録'!$A$5:$A$3004,'潜水記録'!$B$5:$B$3004,A159)))</f>
        <v/>
      </c>
      <c r="M159" s="15">
        <f>IF(L159="","",$B$2-L159)</f>
        <v/>
      </c>
    </row>
    <row r="160">
      <c r="A160" s="14">
        <f>IF('隊員マスタ'!A157="","",'隊員マスタ'!A157)</f>
        <v/>
      </c>
      <c r="B160" s="14">
        <f>IF(A160="","",'隊員マスタ'!B157)</f>
        <v/>
      </c>
      <c r="C160" s="14">
        <f>IF(A160="","",'隊員マスタ'!C157)</f>
        <v/>
      </c>
      <c r="D160" s="15">
        <f>IF(A160="","",'隊員マスタ'!D157)</f>
        <v/>
      </c>
      <c r="E160" s="15">
        <f>IF(A160="","",IF(COUNTIFS('資格研修記録'!$A$5:$A$1004,A160,'資格研修記録'!$D$5:$D$1004,"潜水士免許")&gt;0,"有","無"))</f>
        <v/>
      </c>
      <c r="F160" s="15">
        <f>IF(A160="","",IF(COUNTIFS('資格研修記録'!$A$5:$A$1004,A160,'資格研修記録'!$D$5:$D$1004,"水難救助研修")&gt;0,"修了","—"))</f>
        <v/>
      </c>
      <c r="G160" s="14">
        <f>IF(A160="","",IF((IF((COUNTIFS('資格研修記録'!$A$5:$A$1004,A160,'資格研修記録'!$D$5:$D$1004,"小型船舶1級",'資格研修記録'!$F$5:$F$1004,"")+COUNTIFS('資格研修記録'!$A$5:$A$1004,A160,'資格研修記録'!$D$5:$D$1004,"小型船舶1級",'資格研修記録'!$F$5:$F$1004,"&gt;="&amp;TODAY()))&gt;0,"1級",IF((COUNTIFS('資格研修記録'!$A$5:$A$1004,A160,'資格研修記録'!$D$5:$D$1004,"小型船舶2級",'資格研修記録'!$F$5:$F$1004,"")+COUNTIFS('資格研修記録'!$A$5:$A$1004,A160,'資格研修記録'!$D$5:$D$1004,"小型船舶2級",'資格研修記録'!$F$5:$F$1004,"&gt;="&amp;TODAY()))&gt;0,"2級",IF(COUNTIFS('資格研修記録'!$A$5:$A$1004,A160,'資格研修記録'!$D$5:$D$1004,"小型船舶1級")+COUNTIFS('資格研修記録'!$A$5:$A$1004,A160,'資格研修記録'!$D$5:$D$1004,"小型船舶2級")&gt;0,"× 1・2級 期限切れ",""))))&amp;(IF((COUNTIFS('資格研修記録'!$A$5:$A$1004,A160,'資格研修記録'!$D$5:$D$1004,"小型船舶特殊",'資格研修記録'!$F$5:$F$1004,"")+COUNTIFS('資格研修記録'!$A$5:$A$1004,A160,'資格研修記録'!$D$5:$D$1004,"小型船舶特殊",'資格研修記録'!$F$5:$F$1004,"&gt;="&amp;TODAY()))&gt;0,"特殊",IF(COUNTIFS('資格研修記録'!$A$5:$A$1004,A160,'資格研修記録'!$D$5:$D$1004,"小型船舶特殊")&gt;0,"× 特殊 期限切れ","")))="","—",_xlfn.TEXTJOIN("・",TRUE,IF((COUNTIFS('資格研修記録'!$A$5:$A$1004,A160,'資格研修記録'!$D$5:$D$1004,"小型船舶1級",'資格研修記録'!$F$5:$F$1004,"")+COUNTIFS('資格研修記録'!$A$5:$A$1004,A160,'資格研修記録'!$D$5:$D$1004,"小型船舶1級",'資格研修記録'!$F$5:$F$1004,"&gt;="&amp;TODAY()))&gt;0,"1級",IF((COUNTIFS('資格研修記録'!$A$5:$A$1004,A160,'資格研修記録'!$D$5:$D$1004,"小型船舶2級",'資格研修記録'!$F$5:$F$1004,"")+COUNTIFS('資格研修記録'!$A$5:$A$1004,A160,'資格研修記録'!$D$5:$D$1004,"小型船舶2級",'資格研修記録'!$F$5:$F$1004,"&gt;="&amp;TODAY()))&gt;0,"2級",IF(COUNTIFS('資格研修記録'!$A$5:$A$1004,A160,'資格研修記録'!$D$5:$D$1004,"小型船舶1級")+COUNTIFS('資格研修記録'!$A$5:$A$1004,A160,'資格研修記録'!$D$5:$D$1004,"小型船舶2級")&gt;0,"× 1・2級 期限切れ",""))),IF((COUNTIFS('資格研修記録'!$A$5:$A$1004,A160,'資格研修記録'!$D$5:$D$1004,"小型船舶特殊",'資格研修記録'!$F$5:$F$1004,"")+COUNTIFS('資格研修記録'!$A$5:$A$1004,A160,'資格研修記録'!$D$5:$D$1004,"小型船舶特殊",'資格研修記録'!$F$5:$F$1004,"&gt;="&amp;TODAY()))&gt;0,"特殊",IF(COUNTIFS('資格研修記録'!$A$5:$A$1004,A160,'資格研修記録'!$D$5:$D$1004,"小型船舶特殊")&gt;0,"× 特殊 期限切れ","")))))</f>
        <v/>
      </c>
      <c r="H160" s="15">
        <f>IF(A160="","",COUNTIFS('潜水記録'!$B$5:$B$3004,A160,'潜水記録'!$AF$5:$AF$3004,$D$2))</f>
        <v/>
      </c>
      <c r="I160" s="15">
        <f>IF(A160="","",COUNTIF('潜水記録'!$B$5:$B$3004,A160))</f>
        <v/>
      </c>
      <c r="J160" s="15">
        <f>IF(A160="","",SUMIF('潜水記録'!$B$5:$B$3004,A160,'潜水記録'!$H$5:$H$3004))</f>
        <v/>
      </c>
      <c r="K160" s="15">
        <f>IF(A160="","",IF(I160=0,"",_xlfn.MAXIFS('潜水記録'!$G$5:$G$3004,'潜水記録'!$B$5:$B$3004,A160)))</f>
        <v/>
      </c>
      <c r="L160" s="16">
        <f>IF(A160="","",IF(I160=0,"",_xlfn.MAXIFS('潜水記録'!$A$5:$A$3004,'潜水記録'!$B$5:$B$3004,A160)))</f>
        <v/>
      </c>
      <c r="M160" s="15">
        <f>IF(L160="","",$B$2-L160)</f>
        <v/>
      </c>
    </row>
    <row r="161">
      <c r="A161" s="14">
        <f>IF('隊員マスタ'!A158="","",'隊員マスタ'!A158)</f>
        <v/>
      </c>
      <c r="B161" s="14">
        <f>IF(A161="","",'隊員マスタ'!B158)</f>
        <v/>
      </c>
      <c r="C161" s="14">
        <f>IF(A161="","",'隊員マスタ'!C158)</f>
        <v/>
      </c>
      <c r="D161" s="15">
        <f>IF(A161="","",'隊員マスタ'!D158)</f>
        <v/>
      </c>
      <c r="E161" s="15">
        <f>IF(A161="","",IF(COUNTIFS('資格研修記録'!$A$5:$A$1004,A161,'資格研修記録'!$D$5:$D$1004,"潜水士免許")&gt;0,"有","無"))</f>
        <v/>
      </c>
      <c r="F161" s="15">
        <f>IF(A161="","",IF(COUNTIFS('資格研修記録'!$A$5:$A$1004,A161,'資格研修記録'!$D$5:$D$1004,"水難救助研修")&gt;0,"修了","—"))</f>
        <v/>
      </c>
      <c r="G161" s="14">
        <f>IF(A161="","",IF((IF((COUNTIFS('資格研修記録'!$A$5:$A$1004,A161,'資格研修記録'!$D$5:$D$1004,"小型船舶1級",'資格研修記録'!$F$5:$F$1004,"")+COUNTIFS('資格研修記録'!$A$5:$A$1004,A161,'資格研修記録'!$D$5:$D$1004,"小型船舶1級",'資格研修記録'!$F$5:$F$1004,"&gt;="&amp;TODAY()))&gt;0,"1級",IF((COUNTIFS('資格研修記録'!$A$5:$A$1004,A161,'資格研修記録'!$D$5:$D$1004,"小型船舶2級",'資格研修記録'!$F$5:$F$1004,"")+COUNTIFS('資格研修記録'!$A$5:$A$1004,A161,'資格研修記録'!$D$5:$D$1004,"小型船舶2級",'資格研修記録'!$F$5:$F$1004,"&gt;="&amp;TODAY()))&gt;0,"2級",IF(COUNTIFS('資格研修記録'!$A$5:$A$1004,A161,'資格研修記録'!$D$5:$D$1004,"小型船舶1級")+COUNTIFS('資格研修記録'!$A$5:$A$1004,A161,'資格研修記録'!$D$5:$D$1004,"小型船舶2級")&gt;0,"× 1・2級 期限切れ",""))))&amp;(IF((COUNTIFS('資格研修記録'!$A$5:$A$1004,A161,'資格研修記録'!$D$5:$D$1004,"小型船舶特殊",'資格研修記録'!$F$5:$F$1004,"")+COUNTIFS('資格研修記録'!$A$5:$A$1004,A161,'資格研修記録'!$D$5:$D$1004,"小型船舶特殊",'資格研修記録'!$F$5:$F$1004,"&gt;="&amp;TODAY()))&gt;0,"特殊",IF(COUNTIFS('資格研修記録'!$A$5:$A$1004,A161,'資格研修記録'!$D$5:$D$1004,"小型船舶特殊")&gt;0,"× 特殊 期限切れ","")))="","—",_xlfn.TEXTJOIN("・",TRUE,IF((COUNTIFS('資格研修記録'!$A$5:$A$1004,A161,'資格研修記録'!$D$5:$D$1004,"小型船舶1級",'資格研修記録'!$F$5:$F$1004,"")+COUNTIFS('資格研修記録'!$A$5:$A$1004,A161,'資格研修記録'!$D$5:$D$1004,"小型船舶1級",'資格研修記録'!$F$5:$F$1004,"&gt;="&amp;TODAY()))&gt;0,"1級",IF((COUNTIFS('資格研修記録'!$A$5:$A$1004,A161,'資格研修記録'!$D$5:$D$1004,"小型船舶2級",'資格研修記録'!$F$5:$F$1004,"")+COUNTIFS('資格研修記録'!$A$5:$A$1004,A161,'資格研修記録'!$D$5:$D$1004,"小型船舶2級",'資格研修記録'!$F$5:$F$1004,"&gt;="&amp;TODAY()))&gt;0,"2級",IF(COUNTIFS('資格研修記録'!$A$5:$A$1004,A161,'資格研修記録'!$D$5:$D$1004,"小型船舶1級")+COUNTIFS('資格研修記録'!$A$5:$A$1004,A161,'資格研修記録'!$D$5:$D$1004,"小型船舶2級")&gt;0,"× 1・2級 期限切れ",""))),IF((COUNTIFS('資格研修記録'!$A$5:$A$1004,A161,'資格研修記録'!$D$5:$D$1004,"小型船舶特殊",'資格研修記録'!$F$5:$F$1004,"")+COUNTIFS('資格研修記録'!$A$5:$A$1004,A161,'資格研修記録'!$D$5:$D$1004,"小型船舶特殊",'資格研修記録'!$F$5:$F$1004,"&gt;="&amp;TODAY()))&gt;0,"特殊",IF(COUNTIFS('資格研修記録'!$A$5:$A$1004,A161,'資格研修記録'!$D$5:$D$1004,"小型船舶特殊")&gt;0,"× 特殊 期限切れ","")))))</f>
        <v/>
      </c>
      <c r="H161" s="15">
        <f>IF(A161="","",COUNTIFS('潜水記録'!$B$5:$B$3004,A161,'潜水記録'!$AF$5:$AF$3004,$D$2))</f>
        <v/>
      </c>
      <c r="I161" s="15">
        <f>IF(A161="","",COUNTIF('潜水記録'!$B$5:$B$3004,A161))</f>
        <v/>
      </c>
      <c r="J161" s="15">
        <f>IF(A161="","",SUMIF('潜水記録'!$B$5:$B$3004,A161,'潜水記録'!$H$5:$H$3004))</f>
        <v/>
      </c>
      <c r="K161" s="15">
        <f>IF(A161="","",IF(I161=0,"",_xlfn.MAXIFS('潜水記録'!$G$5:$G$3004,'潜水記録'!$B$5:$B$3004,A161)))</f>
        <v/>
      </c>
      <c r="L161" s="16">
        <f>IF(A161="","",IF(I161=0,"",_xlfn.MAXIFS('潜水記録'!$A$5:$A$3004,'潜水記録'!$B$5:$B$3004,A161)))</f>
        <v/>
      </c>
      <c r="M161" s="15">
        <f>IF(L161="","",$B$2-L161)</f>
        <v/>
      </c>
    </row>
    <row r="162">
      <c r="A162" s="14">
        <f>IF('隊員マスタ'!A159="","",'隊員マスタ'!A159)</f>
        <v/>
      </c>
      <c r="B162" s="14">
        <f>IF(A162="","",'隊員マスタ'!B159)</f>
        <v/>
      </c>
      <c r="C162" s="14">
        <f>IF(A162="","",'隊員マスタ'!C159)</f>
        <v/>
      </c>
      <c r="D162" s="15">
        <f>IF(A162="","",'隊員マスタ'!D159)</f>
        <v/>
      </c>
      <c r="E162" s="15">
        <f>IF(A162="","",IF(COUNTIFS('資格研修記録'!$A$5:$A$1004,A162,'資格研修記録'!$D$5:$D$1004,"潜水士免許")&gt;0,"有","無"))</f>
        <v/>
      </c>
      <c r="F162" s="15">
        <f>IF(A162="","",IF(COUNTIFS('資格研修記録'!$A$5:$A$1004,A162,'資格研修記録'!$D$5:$D$1004,"水難救助研修")&gt;0,"修了","—"))</f>
        <v/>
      </c>
      <c r="G162" s="14">
        <f>IF(A162="","",IF((IF((COUNTIFS('資格研修記録'!$A$5:$A$1004,A162,'資格研修記録'!$D$5:$D$1004,"小型船舶1級",'資格研修記録'!$F$5:$F$1004,"")+COUNTIFS('資格研修記録'!$A$5:$A$1004,A162,'資格研修記録'!$D$5:$D$1004,"小型船舶1級",'資格研修記録'!$F$5:$F$1004,"&gt;="&amp;TODAY()))&gt;0,"1級",IF((COUNTIFS('資格研修記録'!$A$5:$A$1004,A162,'資格研修記録'!$D$5:$D$1004,"小型船舶2級",'資格研修記録'!$F$5:$F$1004,"")+COUNTIFS('資格研修記録'!$A$5:$A$1004,A162,'資格研修記録'!$D$5:$D$1004,"小型船舶2級",'資格研修記録'!$F$5:$F$1004,"&gt;="&amp;TODAY()))&gt;0,"2級",IF(COUNTIFS('資格研修記録'!$A$5:$A$1004,A162,'資格研修記録'!$D$5:$D$1004,"小型船舶1級")+COUNTIFS('資格研修記録'!$A$5:$A$1004,A162,'資格研修記録'!$D$5:$D$1004,"小型船舶2級")&gt;0,"× 1・2級 期限切れ",""))))&amp;(IF((COUNTIFS('資格研修記録'!$A$5:$A$1004,A162,'資格研修記録'!$D$5:$D$1004,"小型船舶特殊",'資格研修記録'!$F$5:$F$1004,"")+COUNTIFS('資格研修記録'!$A$5:$A$1004,A162,'資格研修記録'!$D$5:$D$1004,"小型船舶特殊",'資格研修記録'!$F$5:$F$1004,"&gt;="&amp;TODAY()))&gt;0,"特殊",IF(COUNTIFS('資格研修記録'!$A$5:$A$1004,A162,'資格研修記録'!$D$5:$D$1004,"小型船舶特殊")&gt;0,"× 特殊 期限切れ","")))="","—",_xlfn.TEXTJOIN("・",TRUE,IF((COUNTIFS('資格研修記録'!$A$5:$A$1004,A162,'資格研修記録'!$D$5:$D$1004,"小型船舶1級",'資格研修記録'!$F$5:$F$1004,"")+COUNTIFS('資格研修記録'!$A$5:$A$1004,A162,'資格研修記録'!$D$5:$D$1004,"小型船舶1級",'資格研修記録'!$F$5:$F$1004,"&gt;="&amp;TODAY()))&gt;0,"1級",IF((COUNTIFS('資格研修記録'!$A$5:$A$1004,A162,'資格研修記録'!$D$5:$D$1004,"小型船舶2級",'資格研修記録'!$F$5:$F$1004,"")+COUNTIFS('資格研修記録'!$A$5:$A$1004,A162,'資格研修記録'!$D$5:$D$1004,"小型船舶2級",'資格研修記録'!$F$5:$F$1004,"&gt;="&amp;TODAY()))&gt;0,"2級",IF(COUNTIFS('資格研修記録'!$A$5:$A$1004,A162,'資格研修記録'!$D$5:$D$1004,"小型船舶1級")+COUNTIFS('資格研修記録'!$A$5:$A$1004,A162,'資格研修記録'!$D$5:$D$1004,"小型船舶2級")&gt;0,"× 1・2級 期限切れ",""))),IF((COUNTIFS('資格研修記録'!$A$5:$A$1004,A162,'資格研修記録'!$D$5:$D$1004,"小型船舶特殊",'資格研修記録'!$F$5:$F$1004,"")+COUNTIFS('資格研修記録'!$A$5:$A$1004,A162,'資格研修記録'!$D$5:$D$1004,"小型船舶特殊",'資格研修記録'!$F$5:$F$1004,"&gt;="&amp;TODAY()))&gt;0,"特殊",IF(COUNTIFS('資格研修記録'!$A$5:$A$1004,A162,'資格研修記録'!$D$5:$D$1004,"小型船舶特殊")&gt;0,"× 特殊 期限切れ","")))))</f>
        <v/>
      </c>
      <c r="H162" s="15">
        <f>IF(A162="","",COUNTIFS('潜水記録'!$B$5:$B$3004,A162,'潜水記録'!$AF$5:$AF$3004,$D$2))</f>
        <v/>
      </c>
      <c r="I162" s="15">
        <f>IF(A162="","",COUNTIF('潜水記録'!$B$5:$B$3004,A162))</f>
        <v/>
      </c>
      <c r="J162" s="15">
        <f>IF(A162="","",SUMIF('潜水記録'!$B$5:$B$3004,A162,'潜水記録'!$H$5:$H$3004))</f>
        <v/>
      </c>
      <c r="K162" s="15">
        <f>IF(A162="","",IF(I162=0,"",_xlfn.MAXIFS('潜水記録'!$G$5:$G$3004,'潜水記録'!$B$5:$B$3004,A162)))</f>
        <v/>
      </c>
      <c r="L162" s="16">
        <f>IF(A162="","",IF(I162=0,"",_xlfn.MAXIFS('潜水記録'!$A$5:$A$3004,'潜水記録'!$B$5:$B$3004,A162)))</f>
        <v/>
      </c>
      <c r="M162" s="15">
        <f>IF(L162="","",$B$2-L162)</f>
        <v/>
      </c>
    </row>
    <row r="163">
      <c r="A163" s="14">
        <f>IF('隊員マスタ'!A160="","",'隊員マスタ'!A160)</f>
        <v/>
      </c>
      <c r="B163" s="14">
        <f>IF(A163="","",'隊員マスタ'!B160)</f>
        <v/>
      </c>
      <c r="C163" s="14">
        <f>IF(A163="","",'隊員マスタ'!C160)</f>
        <v/>
      </c>
      <c r="D163" s="15">
        <f>IF(A163="","",'隊員マスタ'!D160)</f>
        <v/>
      </c>
      <c r="E163" s="15">
        <f>IF(A163="","",IF(COUNTIFS('資格研修記録'!$A$5:$A$1004,A163,'資格研修記録'!$D$5:$D$1004,"潜水士免許")&gt;0,"有","無"))</f>
        <v/>
      </c>
      <c r="F163" s="15">
        <f>IF(A163="","",IF(COUNTIFS('資格研修記録'!$A$5:$A$1004,A163,'資格研修記録'!$D$5:$D$1004,"水難救助研修")&gt;0,"修了","—"))</f>
        <v/>
      </c>
      <c r="G163" s="14">
        <f>IF(A163="","",IF((IF((COUNTIFS('資格研修記録'!$A$5:$A$1004,A163,'資格研修記録'!$D$5:$D$1004,"小型船舶1級",'資格研修記録'!$F$5:$F$1004,"")+COUNTIFS('資格研修記録'!$A$5:$A$1004,A163,'資格研修記録'!$D$5:$D$1004,"小型船舶1級",'資格研修記録'!$F$5:$F$1004,"&gt;="&amp;TODAY()))&gt;0,"1級",IF((COUNTIFS('資格研修記録'!$A$5:$A$1004,A163,'資格研修記録'!$D$5:$D$1004,"小型船舶2級",'資格研修記録'!$F$5:$F$1004,"")+COUNTIFS('資格研修記録'!$A$5:$A$1004,A163,'資格研修記録'!$D$5:$D$1004,"小型船舶2級",'資格研修記録'!$F$5:$F$1004,"&gt;="&amp;TODAY()))&gt;0,"2級",IF(COUNTIFS('資格研修記録'!$A$5:$A$1004,A163,'資格研修記録'!$D$5:$D$1004,"小型船舶1級")+COUNTIFS('資格研修記録'!$A$5:$A$1004,A163,'資格研修記録'!$D$5:$D$1004,"小型船舶2級")&gt;0,"× 1・2級 期限切れ",""))))&amp;(IF((COUNTIFS('資格研修記録'!$A$5:$A$1004,A163,'資格研修記録'!$D$5:$D$1004,"小型船舶特殊",'資格研修記録'!$F$5:$F$1004,"")+COUNTIFS('資格研修記録'!$A$5:$A$1004,A163,'資格研修記録'!$D$5:$D$1004,"小型船舶特殊",'資格研修記録'!$F$5:$F$1004,"&gt;="&amp;TODAY()))&gt;0,"特殊",IF(COUNTIFS('資格研修記録'!$A$5:$A$1004,A163,'資格研修記録'!$D$5:$D$1004,"小型船舶特殊")&gt;0,"× 特殊 期限切れ","")))="","—",_xlfn.TEXTJOIN("・",TRUE,IF((COUNTIFS('資格研修記録'!$A$5:$A$1004,A163,'資格研修記録'!$D$5:$D$1004,"小型船舶1級",'資格研修記録'!$F$5:$F$1004,"")+COUNTIFS('資格研修記録'!$A$5:$A$1004,A163,'資格研修記録'!$D$5:$D$1004,"小型船舶1級",'資格研修記録'!$F$5:$F$1004,"&gt;="&amp;TODAY()))&gt;0,"1級",IF((COUNTIFS('資格研修記録'!$A$5:$A$1004,A163,'資格研修記録'!$D$5:$D$1004,"小型船舶2級",'資格研修記録'!$F$5:$F$1004,"")+COUNTIFS('資格研修記録'!$A$5:$A$1004,A163,'資格研修記録'!$D$5:$D$1004,"小型船舶2級",'資格研修記録'!$F$5:$F$1004,"&gt;="&amp;TODAY()))&gt;0,"2級",IF(COUNTIFS('資格研修記録'!$A$5:$A$1004,A163,'資格研修記録'!$D$5:$D$1004,"小型船舶1級")+COUNTIFS('資格研修記録'!$A$5:$A$1004,A163,'資格研修記録'!$D$5:$D$1004,"小型船舶2級")&gt;0,"× 1・2級 期限切れ",""))),IF((COUNTIFS('資格研修記録'!$A$5:$A$1004,A163,'資格研修記録'!$D$5:$D$1004,"小型船舶特殊",'資格研修記録'!$F$5:$F$1004,"")+COUNTIFS('資格研修記録'!$A$5:$A$1004,A163,'資格研修記録'!$D$5:$D$1004,"小型船舶特殊",'資格研修記録'!$F$5:$F$1004,"&gt;="&amp;TODAY()))&gt;0,"特殊",IF(COUNTIFS('資格研修記録'!$A$5:$A$1004,A163,'資格研修記録'!$D$5:$D$1004,"小型船舶特殊")&gt;0,"× 特殊 期限切れ","")))))</f>
        <v/>
      </c>
      <c r="H163" s="15">
        <f>IF(A163="","",COUNTIFS('潜水記録'!$B$5:$B$3004,A163,'潜水記録'!$AF$5:$AF$3004,$D$2))</f>
        <v/>
      </c>
      <c r="I163" s="15">
        <f>IF(A163="","",COUNTIF('潜水記録'!$B$5:$B$3004,A163))</f>
        <v/>
      </c>
      <c r="J163" s="15">
        <f>IF(A163="","",SUMIF('潜水記録'!$B$5:$B$3004,A163,'潜水記録'!$H$5:$H$3004))</f>
        <v/>
      </c>
      <c r="K163" s="15">
        <f>IF(A163="","",IF(I163=0,"",_xlfn.MAXIFS('潜水記録'!$G$5:$G$3004,'潜水記録'!$B$5:$B$3004,A163)))</f>
        <v/>
      </c>
      <c r="L163" s="16">
        <f>IF(A163="","",IF(I163=0,"",_xlfn.MAXIFS('潜水記録'!$A$5:$A$3004,'潜水記録'!$B$5:$B$3004,A163)))</f>
        <v/>
      </c>
      <c r="M163" s="15">
        <f>IF(L163="","",$B$2-L163)</f>
        <v/>
      </c>
    </row>
    <row r="164">
      <c r="A164" s="14">
        <f>IF('隊員マスタ'!A161="","",'隊員マスタ'!A161)</f>
        <v/>
      </c>
      <c r="B164" s="14">
        <f>IF(A164="","",'隊員マスタ'!B161)</f>
        <v/>
      </c>
      <c r="C164" s="14">
        <f>IF(A164="","",'隊員マスタ'!C161)</f>
        <v/>
      </c>
      <c r="D164" s="15">
        <f>IF(A164="","",'隊員マスタ'!D161)</f>
        <v/>
      </c>
      <c r="E164" s="15">
        <f>IF(A164="","",IF(COUNTIFS('資格研修記録'!$A$5:$A$1004,A164,'資格研修記録'!$D$5:$D$1004,"潜水士免許")&gt;0,"有","無"))</f>
        <v/>
      </c>
      <c r="F164" s="15">
        <f>IF(A164="","",IF(COUNTIFS('資格研修記録'!$A$5:$A$1004,A164,'資格研修記録'!$D$5:$D$1004,"水難救助研修")&gt;0,"修了","—"))</f>
        <v/>
      </c>
      <c r="G164" s="14">
        <f>IF(A164="","",IF((IF((COUNTIFS('資格研修記録'!$A$5:$A$1004,A164,'資格研修記録'!$D$5:$D$1004,"小型船舶1級",'資格研修記録'!$F$5:$F$1004,"")+COUNTIFS('資格研修記録'!$A$5:$A$1004,A164,'資格研修記録'!$D$5:$D$1004,"小型船舶1級",'資格研修記録'!$F$5:$F$1004,"&gt;="&amp;TODAY()))&gt;0,"1級",IF((COUNTIFS('資格研修記録'!$A$5:$A$1004,A164,'資格研修記録'!$D$5:$D$1004,"小型船舶2級",'資格研修記録'!$F$5:$F$1004,"")+COUNTIFS('資格研修記録'!$A$5:$A$1004,A164,'資格研修記録'!$D$5:$D$1004,"小型船舶2級",'資格研修記録'!$F$5:$F$1004,"&gt;="&amp;TODAY()))&gt;0,"2級",IF(COUNTIFS('資格研修記録'!$A$5:$A$1004,A164,'資格研修記録'!$D$5:$D$1004,"小型船舶1級")+COUNTIFS('資格研修記録'!$A$5:$A$1004,A164,'資格研修記録'!$D$5:$D$1004,"小型船舶2級")&gt;0,"× 1・2級 期限切れ",""))))&amp;(IF((COUNTIFS('資格研修記録'!$A$5:$A$1004,A164,'資格研修記録'!$D$5:$D$1004,"小型船舶特殊",'資格研修記録'!$F$5:$F$1004,"")+COUNTIFS('資格研修記録'!$A$5:$A$1004,A164,'資格研修記録'!$D$5:$D$1004,"小型船舶特殊",'資格研修記録'!$F$5:$F$1004,"&gt;="&amp;TODAY()))&gt;0,"特殊",IF(COUNTIFS('資格研修記録'!$A$5:$A$1004,A164,'資格研修記録'!$D$5:$D$1004,"小型船舶特殊")&gt;0,"× 特殊 期限切れ","")))="","—",_xlfn.TEXTJOIN("・",TRUE,IF((COUNTIFS('資格研修記録'!$A$5:$A$1004,A164,'資格研修記録'!$D$5:$D$1004,"小型船舶1級",'資格研修記録'!$F$5:$F$1004,"")+COUNTIFS('資格研修記録'!$A$5:$A$1004,A164,'資格研修記録'!$D$5:$D$1004,"小型船舶1級",'資格研修記録'!$F$5:$F$1004,"&gt;="&amp;TODAY()))&gt;0,"1級",IF((COUNTIFS('資格研修記録'!$A$5:$A$1004,A164,'資格研修記録'!$D$5:$D$1004,"小型船舶2級",'資格研修記録'!$F$5:$F$1004,"")+COUNTIFS('資格研修記録'!$A$5:$A$1004,A164,'資格研修記録'!$D$5:$D$1004,"小型船舶2級",'資格研修記録'!$F$5:$F$1004,"&gt;="&amp;TODAY()))&gt;0,"2級",IF(COUNTIFS('資格研修記録'!$A$5:$A$1004,A164,'資格研修記録'!$D$5:$D$1004,"小型船舶1級")+COUNTIFS('資格研修記録'!$A$5:$A$1004,A164,'資格研修記録'!$D$5:$D$1004,"小型船舶2級")&gt;0,"× 1・2級 期限切れ",""))),IF((COUNTIFS('資格研修記録'!$A$5:$A$1004,A164,'資格研修記録'!$D$5:$D$1004,"小型船舶特殊",'資格研修記録'!$F$5:$F$1004,"")+COUNTIFS('資格研修記録'!$A$5:$A$1004,A164,'資格研修記録'!$D$5:$D$1004,"小型船舶特殊",'資格研修記録'!$F$5:$F$1004,"&gt;="&amp;TODAY()))&gt;0,"特殊",IF(COUNTIFS('資格研修記録'!$A$5:$A$1004,A164,'資格研修記録'!$D$5:$D$1004,"小型船舶特殊")&gt;0,"× 特殊 期限切れ","")))))</f>
        <v/>
      </c>
      <c r="H164" s="15">
        <f>IF(A164="","",COUNTIFS('潜水記録'!$B$5:$B$3004,A164,'潜水記録'!$AF$5:$AF$3004,$D$2))</f>
        <v/>
      </c>
      <c r="I164" s="15">
        <f>IF(A164="","",COUNTIF('潜水記録'!$B$5:$B$3004,A164))</f>
        <v/>
      </c>
      <c r="J164" s="15">
        <f>IF(A164="","",SUMIF('潜水記録'!$B$5:$B$3004,A164,'潜水記録'!$H$5:$H$3004))</f>
        <v/>
      </c>
      <c r="K164" s="15">
        <f>IF(A164="","",IF(I164=0,"",_xlfn.MAXIFS('潜水記録'!$G$5:$G$3004,'潜水記録'!$B$5:$B$3004,A164)))</f>
        <v/>
      </c>
      <c r="L164" s="16">
        <f>IF(A164="","",IF(I164=0,"",_xlfn.MAXIFS('潜水記録'!$A$5:$A$3004,'潜水記録'!$B$5:$B$3004,A164)))</f>
        <v/>
      </c>
      <c r="M164" s="15">
        <f>IF(L164="","",$B$2-L164)</f>
        <v/>
      </c>
    </row>
    <row r="165">
      <c r="A165" s="14">
        <f>IF('隊員マスタ'!A162="","",'隊員マスタ'!A162)</f>
        <v/>
      </c>
      <c r="B165" s="14">
        <f>IF(A165="","",'隊員マスタ'!B162)</f>
        <v/>
      </c>
      <c r="C165" s="14">
        <f>IF(A165="","",'隊員マスタ'!C162)</f>
        <v/>
      </c>
      <c r="D165" s="15">
        <f>IF(A165="","",'隊員マスタ'!D162)</f>
        <v/>
      </c>
      <c r="E165" s="15">
        <f>IF(A165="","",IF(COUNTIFS('資格研修記録'!$A$5:$A$1004,A165,'資格研修記録'!$D$5:$D$1004,"潜水士免許")&gt;0,"有","無"))</f>
        <v/>
      </c>
      <c r="F165" s="15">
        <f>IF(A165="","",IF(COUNTIFS('資格研修記録'!$A$5:$A$1004,A165,'資格研修記録'!$D$5:$D$1004,"水難救助研修")&gt;0,"修了","—"))</f>
        <v/>
      </c>
      <c r="G165" s="14">
        <f>IF(A165="","",IF((IF((COUNTIFS('資格研修記録'!$A$5:$A$1004,A165,'資格研修記録'!$D$5:$D$1004,"小型船舶1級",'資格研修記録'!$F$5:$F$1004,"")+COUNTIFS('資格研修記録'!$A$5:$A$1004,A165,'資格研修記録'!$D$5:$D$1004,"小型船舶1級",'資格研修記録'!$F$5:$F$1004,"&gt;="&amp;TODAY()))&gt;0,"1級",IF((COUNTIFS('資格研修記録'!$A$5:$A$1004,A165,'資格研修記録'!$D$5:$D$1004,"小型船舶2級",'資格研修記録'!$F$5:$F$1004,"")+COUNTIFS('資格研修記録'!$A$5:$A$1004,A165,'資格研修記録'!$D$5:$D$1004,"小型船舶2級",'資格研修記録'!$F$5:$F$1004,"&gt;="&amp;TODAY()))&gt;0,"2級",IF(COUNTIFS('資格研修記録'!$A$5:$A$1004,A165,'資格研修記録'!$D$5:$D$1004,"小型船舶1級")+COUNTIFS('資格研修記録'!$A$5:$A$1004,A165,'資格研修記録'!$D$5:$D$1004,"小型船舶2級")&gt;0,"× 1・2級 期限切れ",""))))&amp;(IF((COUNTIFS('資格研修記録'!$A$5:$A$1004,A165,'資格研修記録'!$D$5:$D$1004,"小型船舶特殊",'資格研修記録'!$F$5:$F$1004,"")+COUNTIFS('資格研修記録'!$A$5:$A$1004,A165,'資格研修記録'!$D$5:$D$1004,"小型船舶特殊",'資格研修記録'!$F$5:$F$1004,"&gt;="&amp;TODAY()))&gt;0,"特殊",IF(COUNTIFS('資格研修記録'!$A$5:$A$1004,A165,'資格研修記録'!$D$5:$D$1004,"小型船舶特殊")&gt;0,"× 特殊 期限切れ","")))="","—",_xlfn.TEXTJOIN("・",TRUE,IF((COUNTIFS('資格研修記録'!$A$5:$A$1004,A165,'資格研修記録'!$D$5:$D$1004,"小型船舶1級",'資格研修記録'!$F$5:$F$1004,"")+COUNTIFS('資格研修記録'!$A$5:$A$1004,A165,'資格研修記録'!$D$5:$D$1004,"小型船舶1級",'資格研修記録'!$F$5:$F$1004,"&gt;="&amp;TODAY()))&gt;0,"1級",IF((COUNTIFS('資格研修記録'!$A$5:$A$1004,A165,'資格研修記録'!$D$5:$D$1004,"小型船舶2級",'資格研修記録'!$F$5:$F$1004,"")+COUNTIFS('資格研修記録'!$A$5:$A$1004,A165,'資格研修記録'!$D$5:$D$1004,"小型船舶2級",'資格研修記録'!$F$5:$F$1004,"&gt;="&amp;TODAY()))&gt;0,"2級",IF(COUNTIFS('資格研修記録'!$A$5:$A$1004,A165,'資格研修記録'!$D$5:$D$1004,"小型船舶1級")+COUNTIFS('資格研修記録'!$A$5:$A$1004,A165,'資格研修記録'!$D$5:$D$1004,"小型船舶2級")&gt;0,"× 1・2級 期限切れ",""))),IF((COUNTIFS('資格研修記録'!$A$5:$A$1004,A165,'資格研修記録'!$D$5:$D$1004,"小型船舶特殊",'資格研修記録'!$F$5:$F$1004,"")+COUNTIFS('資格研修記録'!$A$5:$A$1004,A165,'資格研修記録'!$D$5:$D$1004,"小型船舶特殊",'資格研修記録'!$F$5:$F$1004,"&gt;="&amp;TODAY()))&gt;0,"特殊",IF(COUNTIFS('資格研修記録'!$A$5:$A$1004,A165,'資格研修記録'!$D$5:$D$1004,"小型船舶特殊")&gt;0,"× 特殊 期限切れ","")))))</f>
        <v/>
      </c>
      <c r="H165" s="15">
        <f>IF(A165="","",COUNTIFS('潜水記録'!$B$5:$B$3004,A165,'潜水記録'!$AF$5:$AF$3004,$D$2))</f>
        <v/>
      </c>
      <c r="I165" s="15">
        <f>IF(A165="","",COUNTIF('潜水記録'!$B$5:$B$3004,A165))</f>
        <v/>
      </c>
      <c r="J165" s="15">
        <f>IF(A165="","",SUMIF('潜水記録'!$B$5:$B$3004,A165,'潜水記録'!$H$5:$H$3004))</f>
        <v/>
      </c>
      <c r="K165" s="15">
        <f>IF(A165="","",IF(I165=0,"",_xlfn.MAXIFS('潜水記録'!$G$5:$G$3004,'潜水記録'!$B$5:$B$3004,A165)))</f>
        <v/>
      </c>
      <c r="L165" s="16">
        <f>IF(A165="","",IF(I165=0,"",_xlfn.MAXIFS('潜水記録'!$A$5:$A$3004,'潜水記録'!$B$5:$B$3004,A165)))</f>
        <v/>
      </c>
      <c r="M165" s="15">
        <f>IF(L165="","",$B$2-L165)</f>
        <v/>
      </c>
    </row>
    <row r="166">
      <c r="A166" s="14">
        <f>IF('隊員マスタ'!A163="","",'隊員マスタ'!A163)</f>
        <v/>
      </c>
      <c r="B166" s="14">
        <f>IF(A166="","",'隊員マスタ'!B163)</f>
        <v/>
      </c>
      <c r="C166" s="14">
        <f>IF(A166="","",'隊員マスタ'!C163)</f>
        <v/>
      </c>
      <c r="D166" s="15">
        <f>IF(A166="","",'隊員マスタ'!D163)</f>
        <v/>
      </c>
      <c r="E166" s="15">
        <f>IF(A166="","",IF(COUNTIFS('資格研修記録'!$A$5:$A$1004,A166,'資格研修記録'!$D$5:$D$1004,"潜水士免許")&gt;0,"有","無"))</f>
        <v/>
      </c>
      <c r="F166" s="15">
        <f>IF(A166="","",IF(COUNTIFS('資格研修記録'!$A$5:$A$1004,A166,'資格研修記録'!$D$5:$D$1004,"水難救助研修")&gt;0,"修了","—"))</f>
        <v/>
      </c>
      <c r="G166" s="14">
        <f>IF(A166="","",IF((IF((COUNTIFS('資格研修記録'!$A$5:$A$1004,A166,'資格研修記録'!$D$5:$D$1004,"小型船舶1級",'資格研修記録'!$F$5:$F$1004,"")+COUNTIFS('資格研修記録'!$A$5:$A$1004,A166,'資格研修記録'!$D$5:$D$1004,"小型船舶1級",'資格研修記録'!$F$5:$F$1004,"&gt;="&amp;TODAY()))&gt;0,"1級",IF((COUNTIFS('資格研修記録'!$A$5:$A$1004,A166,'資格研修記録'!$D$5:$D$1004,"小型船舶2級",'資格研修記録'!$F$5:$F$1004,"")+COUNTIFS('資格研修記録'!$A$5:$A$1004,A166,'資格研修記録'!$D$5:$D$1004,"小型船舶2級",'資格研修記録'!$F$5:$F$1004,"&gt;="&amp;TODAY()))&gt;0,"2級",IF(COUNTIFS('資格研修記録'!$A$5:$A$1004,A166,'資格研修記録'!$D$5:$D$1004,"小型船舶1級")+COUNTIFS('資格研修記録'!$A$5:$A$1004,A166,'資格研修記録'!$D$5:$D$1004,"小型船舶2級")&gt;0,"× 1・2級 期限切れ",""))))&amp;(IF((COUNTIFS('資格研修記録'!$A$5:$A$1004,A166,'資格研修記録'!$D$5:$D$1004,"小型船舶特殊",'資格研修記録'!$F$5:$F$1004,"")+COUNTIFS('資格研修記録'!$A$5:$A$1004,A166,'資格研修記録'!$D$5:$D$1004,"小型船舶特殊",'資格研修記録'!$F$5:$F$1004,"&gt;="&amp;TODAY()))&gt;0,"特殊",IF(COUNTIFS('資格研修記録'!$A$5:$A$1004,A166,'資格研修記録'!$D$5:$D$1004,"小型船舶特殊")&gt;0,"× 特殊 期限切れ","")))="","—",_xlfn.TEXTJOIN("・",TRUE,IF((COUNTIFS('資格研修記録'!$A$5:$A$1004,A166,'資格研修記録'!$D$5:$D$1004,"小型船舶1級",'資格研修記録'!$F$5:$F$1004,"")+COUNTIFS('資格研修記録'!$A$5:$A$1004,A166,'資格研修記録'!$D$5:$D$1004,"小型船舶1級",'資格研修記録'!$F$5:$F$1004,"&gt;="&amp;TODAY()))&gt;0,"1級",IF((COUNTIFS('資格研修記録'!$A$5:$A$1004,A166,'資格研修記録'!$D$5:$D$1004,"小型船舶2級",'資格研修記録'!$F$5:$F$1004,"")+COUNTIFS('資格研修記録'!$A$5:$A$1004,A166,'資格研修記録'!$D$5:$D$1004,"小型船舶2級",'資格研修記録'!$F$5:$F$1004,"&gt;="&amp;TODAY()))&gt;0,"2級",IF(COUNTIFS('資格研修記録'!$A$5:$A$1004,A166,'資格研修記録'!$D$5:$D$1004,"小型船舶1級")+COUNTIFS('資格研修記録'!$A$5:$A$1004,A166,'資格研修記録'!$D$5:$D$1004,"小型船舶2級")&gt;0,"× 1・2級 期限切れ",""))),IF((COUNTIFS('資格研修記録'!$A$5:$A$1004,A166,'資格研修記録'!$D$5:$D$1004,"小型船舶特殊",'資格研修記録'!$F$5:$F$1004,"")+COUNTIFS('資格研修記録'!$A$5:$A$1004,A166,'資格研修記録'!$D$5:$D$1004,"小型船舶特殊",'資格研修記録'!$F$5:$F$1004,"&gt;="&amp;TODAY()))&gt;0,"特殊",IF(COUNTIFS('資格研修記録'!$A$5:$A$1004,A166,'資格研修記録'!$D$5:$D$1004,"小型船舶特殊")&gt;0,"× 特殊 期限切れ","")))))</f>
        <v/>
      </c>
      <c r="H166" s="15">
        <f>IF(A166="","",COUNTIFS('潜水記録'!$B$5:$B$3004,A166,'潜水記録'!$AF$5:$AF$3004,$D$2))</f>
        <v/>
      </c>
      <c r="I166" s="15">
        <f>IF(A166="","",COUNTIF('潜水記録'!$B$5:$B$3004,A166))</f>
        <v/>
      </c>
      <c r="J166" s="15">
        <f>IF(A166="","",SUMIF('潜水記録'!$B$5:$B$3004,A166,'潜水記録'!$H$5:$H$3004))</f>
        <v/>
      </c>
      <c r="K166" s="15">
        <f>IF(A166="","",IF(I166=0,"",_xlfn.MAXIFS('潜水記録'!$G$5:$G$3004,'潜水記録'!$B$5:$B$3004,A166)))</f>
        <v/>
      </c>
      <c r="L166" s="16">
        <f>IF(A166="","",IF(I166=0,"",_xlfn.MAXIFS('潜水記録'!$A$5:$A$3004,'潜水記録'!$B$5:$B$3004,A166)))</f>
        <v/>
      </c>
      <c r="M166" s="15">
        <f>IF(L166="","",$B$2-L166)</f>
        <v/>
      </c>
    </row>
    <row r="167">
      <c r="A167" s="14">
        <f>IF('隊員マスタ'!A164="","",'隊員マスタ'!A164)</f>
        <v/>
      </c>
      <c r="B167" s="14">
        <f>IF(A167="","",'隊員マスタ'!B164)</f>
        <v/>
      </c>
      <c r="C167" s="14">
        <f>IF(A167="","",'隊員マスタ'!C164)</f>
        <v/>
      </c>
      <c r="D167" s="15">
        <f>IF(A167="","",'隊員マスタ'!D164)</f>
        <v/>
      </c>
      <c r="E167" s="15">
        <f>IF(A167="","",IF(COUNTIFS('資格研修記録'!$A$5:$A$1004,A167,'資格研修記録'!$D$5:$D$1004,"潜水士免許")&gt;0,"有","無"))</f>
        <v/>
      </c>
      <c r="F167" s="15">
        <f>IF(A167="","",IF(COUNTIFS('資格研修記録'!$A$5:$A$1004,A167,'資格研修記録'!$D$5:$D$1004,"水難救助研修")&gt;0,"修了","—"))</f>
        <v/>
      </c>
      <c r="G167" s="14">
        <f>IF(A167="","",IF((IF((COUNTIFS('資格研修記録'!$A$5:$A$1004,A167,'資格研修記録'!$D$5:$D$1004,"小型船舶1級",'資格研修記録'!$F$5:$F$1004,"")+COUNTIFS('資格研修記録'!$A$5:$A$1004,A167,'資格研修記録'!$D$5:$D$1004,"小型船舶1級",'資格研修記録'!$F$5:$F$1004,"&gt;="&amp;TODAY()))&gt;0,"1級",IF((COUNTIFS('資格研修記録'!$A$5:$A$1004,A167,'資格研修記録'!$D$5:$D$1004,"小型船舶2級",'資格研修記録'!$F$5:$F$1004,"")+COUNTIFS('資格研修記録'!$A$5:$A$1004,A167,'資格研修記録'!$D$5:$D$1004,"小型船舶2級",'資格研修記録'!$F$5:$F$1004,"&gt;="&amp;TODAY()))&gt;0,"2級",IF(COUNTIFS('資格研修記録'!$A$5:$A$1004,A167,'資格研修記録'!$D$5:$D$1004,"小型船舶1級")+COUNTIFS('資格研修記録'!$A$5:$A$1004,A167,'資格研修記録'!$D$5:$D$1004,"小型船舶2級")&gt;0,"× 1・2級 期限切れ",""))))&amp;(IF((COUNTIFS('資格研修記録'!$A$5:$A$1004,A167,'資格研修記録'!$D$5:$D$1004,"小型船舶特殊",'資格研修記録'!$F$5:$F$1004,"")+COUNTIFS('資格研修記録'!$A$5:$A$1004,A167,'資格研修記録'!$D$5:$D$1004,"小型船舶特殊",'資格研修記録'!$F$5:$F$1004,"&gt;="&amp;TODAY()))&gt;0,"特殊",IF(COUNTIFS('資格研修記録'!$A$5:$A$1004,A167,'資格研修記録'!$D$5:$D$1004,"小型船舶特殊")&gt;0,"× 特殊 期限切れ","")))="","—",_xlfn.TEXTJOIN("・",TRUE,IF((COUNTIFS('資格研修記録'!$A$5:$A$1004,A167,'資格研修記録'!$D$5:$D$1004,"小型船舶1級",'資格研修記録'!$F$5:$F$1004,"")+COUNTIFS('資格研修記録'!$A$5:$A$1004,A167,'資格研修記録'!$D$5:$D$1004,"小型船舶1級",'資格研修記録'!$F$5:$F$1004,"&gt;="&amp;TODAY()))&gt;0,"1級",IF((COUNTIFS('資格研修記録'!$A$5:$A$1004,A167,'資格研修記録'!$D$5:$D$1004,"小型船舶2級",'資格研修記録'!$F$5:$F$1004,"")+COUNTIFS('資格研修記録'!$A$5:$A$1004,A167,'資格研修記録'!$D$5:$D$1004,"小型船舶2級",'資格研修記録'!$F$5:$F$1004,"&gt;="&amp;TODAY()))&gt;0,"2級",IF(COUNTIFS('資格研修記録'!$A$5:$A$1004,A167,'資格研修記録'!$D$5:$D$1004,"小型船舶1級")+COUNTIFS('資格研修記録'!$A$5:$A$1004,A167,'資格研修記録'!$D$5:$D$1004,"小型船舶2級")&gt;0,"× 1・2級 期限切れ",""))),IF((COUNTIFS('資格研修記録'!$A$5:$A$1004,A167,'資格研修記録'!$D$5:$D$1004,"小型船舶特殊",'資格研修記録'!$F$5:$F$1004,"")+COUNTIFS('資格研修記録'!$A$5:$A$1004,A167,'資格研修記録'!$D$5:$D$1004,"小型船舶特殊",'資格研修記録'!$F$5:$F$1004,"&gt;="&amp;TODAY()))&gt;0,"特殊",IF(COUNTIFS('資格研修記録'!$A$5:$A$1004,A167,'資格研修記録'!$D$5:$D$1004,"小型船舶特殊")&gt;0,"× 特殊 期限切れ","")))))</f>
        <v/>
      </c>
      <c r="H167" s="15">
        <f>IF(A167="","",COUNTIFS('潜水記録'!$B$5:$B$3004,A167,'潜水記録'!$AF$5:$AF$3004,$D$2))</f>
        <v/>
      </c>
      <c r="I167" s="15">
        <f>IF(A167="","",COUNTIF('潜水記録'!$B$5:$B$3004,A167))</f>
        <v/>
      </c>
      <c r="J167" s="15">
        <f>IF(A167="","",SUMIF('潜水記録'!$B$5:$B$3004,A167,'潜水記録'!$H$5:$H$3004))</f>
        <v/>
      </c>
      <c r="K167" s="15">
        <f>IF(A167="","",IF(I167=0,"",_xlfn.MAXIFS('潜水記録'!$G$5:$G$3004,'潜水記録'!$B$5:$B$3004,A167)))</f>
        <v/>
      </c>
      <c r="L167" s="16">
        <f>IF(A167="","",IF(I167=0,"",_xlfn.MAXIFS('潜水記録'!$A$5:$A$3004,'潜水記録'!$B$5:$B$3004,A167)))</f>
        <v/>
      </c>
      <c r="M167" s="15">
        <f>IF(L167="","",$B$2-L167)</f>
        <v/>
      </c>
    </row>
    <row r="168">
      <c r="A168" s="14">
        <f>IF('隊員マスタ'!A165="","",'隊員マスタ'!A165)</f>
        <v/>
      </c>
      <c r="B168" s="14">
        <f>IF(A168="","",'隊員マスタ'!B165)</f>
        <v/>
      </c>
      <c r="C168" s="14">
        <f>IF(A168="","",'隊員マスタ'!C165)</f>
        <v/>
      </c>
      <c r="D168" s="15">
        <f>IF(A168="","",'隊員マスタ'!D165)</f>
        <v/>
      </c>
      <c r="E168" s="15">
        <f>IF(A168="","",IF(COUNTIFS('資格研修記録'!$A$5:$A$1004,A168,'資格研修記録'!$D$5:$D$1004,"潜水士免許")&gt;0,"有","無"))</f>
        <v/>
      </c>
      <c r="F168" s="15">
        <f>IF(A168="","",IF(COUNTIFS('資格研修記録'!$A$5:$A$1004,A168,'資格研修記録'!$D$5:$D$1004,"水難救助研修")&gt;0,"修了","—"))</f>
        <v/>
      </c>
      <c r="G168" s="14">
        <f>IF(A168="","",IF((IF((COUNTIFS('資格研修記録'!$A$5:$A$1004,A168,'資格研修記録'!$D$5:$D$1004,"小型船舶1級",'資格研修記録'!$F$5:$F$1004,"")+COUNTIFS('資格研修記録'!$A$5:$A$1004,A168,'資格研修記録'!$D$5:$D$1004,"小型船舶1級",'資格研修記録'!$F$5:$F$1004,"&gt;="&amp;TODAY()))&gt;0,"1級",IF((COUNTIFS('資格研修記録'!$A$5:$A$1004,A168,'資格研修記録'!$D$5:$D$1004,"小型船舶2級",'資格研修記録'!$F$5:$F$1004,"")+COUNTIFS('資格研修記録'!$A$5:$A$1004,A168,'資格研修記録'!$D$5:$D$1004,"小型船舶2級",'資格研修記録'!$F$5:$F$1004,"&gt;="&amp;TODAY()))&gt;0,"2級",IF(COUNTIFS('資格研修記録'!$A$5:$A$1004,A168,'資格研修記録'!$D$5:$D$1004,"小型船舶1級")+COUNTIFS('資格研修記録'!$A$5:$A$1004,A168,'資格研修記録'!$D$5:$D$1004,"小型船舶2級")&gt;0,"× 1・2級 期限切れ",""))))&amp;(IF((COUNTIFS('資格研修記録'!$A$5:$A$1004,A168,'資格研修記録'!$D$5:$D$1004,"小型船舶特殊",'資格研修記録'!$F$5:$F$1004,"")+COUNTIFS('資格研修記録'!$A$5:$A$1004,A168,'資格研修記録'!$D$5:$D$1004,"小型船舶特殊",'資格研修記録'!$F$5:$F$1004,"&gt;="&amp;TODAY()))&gt;0,"特殊",IF(COUNTIFS('資格研修記録'!$A$5:$A$1004,A168,'資格研修記録'!$D$5:$D$1004,"小型船舶特殊")&gt;0,"× 特殊 期限切れ","")))="","—",_xlfn.TEXTJOIN("・",TRUE,IF((COUNTIFS('資格研修記録'!$A$5:$A$1004,A168,'資格研修記録'!$D$5:$D$1004,"小型船舶1級",'資格研修記録'!$F$5:$F$1004,"")+COUNTIFS('資格研修記録'!$A$5:$A$1004,A168,'資格研修記録'!$D$5:$D$1004,"小型船舶1級",'資格研修記録'!$F$5:$F$1004,"&gt;="&amp;TODAY()))&gt;0,"1級",IF((COUNTIFS('資格研修記録'!$A$5:$A$1004,A168,'資格研修記録'!$D$5:$D$1004,"小型船舶2級",'資格研修記録'!$F$5:$F$1004,"")+COUNTIFS('資格研修記録'!$A$5:$A$1004,A168,'資格研修記録'!$D$5:$D$1004,"小型船舶2級",'資格研修記録'!$F$5:$F$1004,"&gt;="&amp;TODAY()))&gt;0,"2級",IF(COUNTIFS('資格研修記録'!$A$5:$A$1004,A168,'資格研修記録'!$D$5:$D$1004,"小型船舶1級")+COUNTIFS('資格研修記録'!$A$5:$A$1004,A168,'資格研修記録'!$D$5:$D$1004,"小型船舶2級")&gt;0,"× 1・2級 期限切れ",""))),IF((COUNTIFS('資格研修記録'!$A$5:$A$1004,A168,'資格研修記録'!$D$5:$D$1004,"小型船舶特殊",'資格研修記録'!$F$5:$F$1004,"")+COUNTIFS('資格研修記録'!$A$5:$A$1004,A168,'資格研修記録'!$D$5:$D$1004,"小型船舶特殊",'資格研修記録'!$F$5:$F$1004,"&gt;="&amp;TODAY()))&gt;0,"特殊",IF(COUNTIFS('資格研修記録'!$A$5:$A$1004,A168,'資格研修記録'!$D$5:$D$1004,"小型船舶特殊")&gt;0,"× 特殊 期限切れ","")))))</f>
        <v/>
      </c>
      <c r="H168" s="15">
        <f>IF(A168="","",COUNTIFS('潜水記録'!$B$5:$B$3004,A168,'潜水記録'!$AF$5:$AF$3004,$D$2))</f>
        <v/>
      </c>
      <c r="I168" s="15">
        <f>IF(A168="","",COUNTIF('潜水記録'!$B$5:$B$3004,A168))</f>
        <v/>
      </c>
      <c r="J168" s="15">
        <f>IF(A168="","",SUMIF('潜水記録'!$B$5:$B$3004,A168,'潜水記録'!$H$5:$H$3004))</f>
        <v/>
      </c>
      <c r="K168" s="15">
        <f>IF(A168="","",IF(I168=0,"",_xlfn.MAXIFS('潜水記録'!$G$5:$G$3004,'潜水記録'!$B$5:$B$3004,A168)))</f>
        <v/>
      </c>
      <c r="L168" s="16">
        <f>IF(A168="","",IF(I168=0,"",_xlfn.MAXIFS('潜水記録'!$A$5:$A$3004,'潜水記録'!$B$5:$B$3004,A168)))</f>
        <v/>
      </c>
      <c r="M168" s="15">
        <f>IF(L168="","",$B$2-L168)</f>
        <v/>
      </c>
    </row>
    <row r="169">
      <c r="A169" s="14">
        <f>IF('隊員マスタ'!A166="","",'隊員マスタ'!A166)</f>
        <v/>
      </c>
      <c r="B169" s="14">
        <f>IF(A169="","",'隊員マスタ'!B166)</f>
        <v/>
      </c>
      <c r="C169" s="14">
        <f>IF(A169="","",'隊員マスタ'!C166)</f>
        <v/>
      </c>
      <c r="D169" s="15">
        <f>IF(A169="","",'隊員マスタ'!D166)</f>
        <v/>
      </c>
      <c r="E169" s="15">
        <f>IF(A169="","",IF(COUNTIFS('資格研修記録'!$A$5:$A$1004,A169,'資格研修記録'!$D$5:$D$1004,"潜水士免許")&gt;0,"有","無"))</f>
        <v/>
      </c>
      <c r="F169" s="15">
        <f>IF(A169="","",IF(COUNTIFS('資格研修記録'!$A$5:$A$1004,A169,'資格研修記録'!$D$5:$D$1004,"水難救助研修")&gt;0,"修了","—"))</f>
        <v/>
      </c>
      <c r="G169" s="14">
        <f>IF(A169="","",IF((IF((COUNTIFS('資格研修記録'!$A$5:$A$1004,A169,'資格研修記録'!$D$5:$D$1004,"小型船舶1級",'資格研修記録'!$F$5:$F$1004,"")+COUNTIFS('資格研修記録'!$A$5:$A$1004,A169,'資格研修記録'!$D$5:$D$1004,"小型船舶1級",'資格研修記録'!$F$5:$F$1004,"&gt;="&amp;TODAY()))&gt;0,"1級",IF((COUNTIFS('資格研修記録'!$A$5:$A$1004,A169,'資格研修記録'!$D$5:$D$1004,"小型船舶2級",'資格研修記録'!$F$5:$F$1004,"")+COUNTIFS('資格研修記録'!$A$5:$A$1004,A169,'資格研修記録'!$D$5:$D$1004,"小型船舶2級",'資格研修記録'!$F$5:$F$1004,"&gt;="&amp;TODAY()))&gt;0,"2級",IF(COUNTIFS('資格研修記録'!$A$5:$A$1004,A169,'資格研修記録'!$D$5:$D$1004,"小型船舶1級")+COUNTIFS('資格研修記録'!$A$5:$A$1004,A169,'資格研修記録'!$D$5:$D$1004,"小型船舶2級")&gt;0,"× 1・2級 期限切れ",""))))&amp;(IF((COUNTIFS('資格研修記録'!$A$5:$A$1004,A169,'資格研修記録'!$D$5:$D$1004,"小型船舶特殊",'資格研修記録'!$F$5:$F$1004,"")+COUNTIFS('資格研修記録'!$A$5:$A$1004,A169,'資格研修記録'!$D$5:$D$1004,"小型船舶特殊",'資格研修記録'!$F$5:$F$1004,"&gt;="&amp;TODAY()))&gt;0,"特殊",IF(COUNTIFS('資格研修記録'!$A$5:$A$1004,A169,'資格研修記録'!$D$5:$D$1004,"小型船舶特殊")&gt;0,"× 特殊 期限切れ","")))="","—",_xlfn.TEXTJOIN("・",TRUE,IF((COUNTIFS('資格研修記録'!$A$5:$A$1004,A169,'資格研修記録'!$D$5:$D$1004,"小型船舶1級",'資格研修記録'!$F$5:$F$1004,"")+COUNTIFS('資格研修記録'!$A$5:$A$1004,A169,'資格研修記録'!$D$5:$D$1004,"小型船舶1級",'資格研修記録'!$F$5:$F$1004,"&gt;="&amp;TODAY()))&gt;0,"1級",IF((COUNTIFS('資格研修記録'!$A$5:$A$1004,A169,'資格研修記録'!$D$5:$D$1004,"小型船舶2級",'資格研修記録'!$F$5:$F$1004,"")+COUNTIFS('資格研修記録'!$A$5:$A$1004,A169,'資格研修記録'!$D$5:$D$1004,"小型船舶2級",'資格研修記録'!$F$5:$F$1004,"&gt;="&amp;TODAY()))&gt;0,"2級",IF(COUNTIFS('資格研修記録'!$A$5:$A$1004,A169,'資格研修記録'!$D$5:$D$1004,"小型船舶1級")+COUNTIFS('資格研修記録'!$A$5:$A$1004,A169,'資格研修記録'!$D$5:$D$1004,"小型船舶2級")&gt;0,"× 1・2級 期限切れ",""))),IF((COUNTIFS('資格研修記録'!$A$5:$A$1004,A169,'資格研修記録'!$D$5:$D$1004,"小型船舶特殊",'資格研修記録'!$F$5:$F$1004,"")+COUNTIFS('資格研修記録'!$A$5:$A$1004,A169,'資格研修記録'!$D$5:$D$1004,"小型船舶特殊",'資格研修記録'!$F$5:$F$1004,"&gt;="&amp;TODAY()))&gt;0,"特殊",IF(COUNTIFS('資格研修記録'!$A$5:$A$1004,A169,'資格研修記録'!$D$5:$D$1004,"小型船舶特殊")&gt;0,"× 特殊 期限切れ","")))))</f>
        <v/>
      </c>
      <c r="H169" s="15">
        <f>IF(A169="","",COUNTIFS('潜水記録'!$B$5:$B$3004,A169,'潜水記録'!$AF$5:$AF$3004,$D$2))</f>
        <v/>
      </c>
      <c r="I169" s="15">
        <f>IF(A169="","",COUNTIF('潜水記録'!$B$5:$B$3004,A169))</f>
        <v/>
      </c>
      <c r="J169" s="15">
        <f>IF(A169="","",SUMIF('潜水記録'!$B$5:$B$3004,A169,'潜水記録'!$H$5:$H$3004))</f>
        <v/>
      </c>
      <c r="K169" s="15">
        <f>IF(A169="","",IF(I169=0,"",_xlfn.MAXIFS('潜水記録'!$G$5:$G$3004,'潜水記録'!$B$5:$B$3004,A169)))</f>
        <v/>
      </c>
      <c r="L169" s="16">
        <f>IF(A169="","",IF(I169=0,"",_xlfn.MAXIFS('潜水記録'!$A$5:$A$3004,'潜水記録'!$B$5:$B$3004,A169)))</f>
        <v/>
      </c>
      <c r="M169" s="15">
        <f>IF(L169="","",$B$2-L169)</f>
        <v/>
      </c>
    </row>
    <row r="170">
      <c r="A170" s="14">
        <f>IF('隊員マスタ'!A167="","",'隊員マスタ'!A167)</f>
        <v/>
      </c>
      <c r="B170" s="14">
        <f>IF(A170="","",'隊員マスタ'!B167)</f>
        <v/>
      </c>
      <c r="C170" s="14">
        <f>IF(A170="","",'隊員マスタ'!C167)</f>
        <v/>
      </c>
      <c r="D170" s="15">
        <f>IF(A170="","",'隊員マスタ'!D167)</f>
        <v/>
      </c>
      <c r="E170" s="15">
        <f>IF(A170="","",IF(COUNTIFS('資格研修記録'!$A$5:$A$1004,A170,'資格研修記録'!$D$5:$D$1004,"潜水士免許")&gt;0,"有","無"))</f>
        <v/>
      </c>
      <c r="F170" s="15">
        <f>IF(A170="","",IF(COUNTIFS('資格研修記録'!$A$5:$A$1004,A170,'資格研修記録'!$D$5:$D$1004,"水難救助研修")&gt;0,"修了","—"))</f>
        <v/>
      </c>
      <c r="G170" s="14">
        <f>IF(A170="","",IF((IF((COUNTIFS('資格研修記録'!$A$5:$A$1004,A170,'資格研修記録'!$D$5:$D$1004,"小型船舶1級",'資格研修記録'!$F$5:$F$1004,"")+COUNTIFS('資格研修記録'!$A$5:$A$1004,A170,'資格研修記録'!$D$5:$D$1004,"小型船舶1級",'資格研修記録'!$F$5:$F$1004,"&gt;="&amp;TODAY()))&gt;0,"1級",IF((COUNTIFS('資格研修記録'!$A$5:$A$1004,A170,'資格研修記録'!$D$5:$D$1004,"小型船舶2級",'資格研修記録'!$F$5:$F$1004,"")+COUNTIFS('資格研修記録'!$A$5:$A$1004,A170,'資格研修記録'!$D$5:$D$1004,"小型船舶2級",'資格研修記録'!$F$5:$F$1004,"&gt;="&amp;TODAY()))&gt;0,"2級",IF(COUNTIFS('資格研修記録'!$A$5:$A$1004,A170,'資格研修記録'!$D$5:$D$1004,"小型船舶1級")+COUNTIFS('資格研修記録'!$A$5:$A$1004,A170,'資格研修記録'!$D$5:$D$1004,"小型船舶2級")&gt;0,"× 1・2級 期限切れ",""))))&amp;(IF((COUNTIFS('資格研修記録'!$A$5:$A$1004,A170,'資格研修記録'!$D$5:$D$1004,"小型船舶特殊",'資格研修記録'!$F$5:$F$1004,"")+COUNTIFS('資格研修記録'!$A$5:$A$1004,A170,'資格研修記録'!$D$5:$D$1004,"小型船舶特殊",'資格研修記録'!$F$5:$F$1004,"&gt;="&amp;TODAY()))&gt;0,"特殊",IF(COUNTIFS('資格研修記録'!$A$5:$A$1004,A170,'資格研修記録'!$D$5:$D$1004,"小型船舶特殊")&gt;0,"× 特殊 期限切れ","")))="","—",_xlfn.TEXTJOIN("・",TRUE,IF((COUNTIFS('資格研修記録'!$A$5:$A$1004,A170,'資格研修記録'!$D$5:$D$1004,"小型船舶1級",'資格研修記録'!$F$5:$F$1004,"")+COUNTIFS('資格研修記録'!$A$5:$A$1004,A170,'資格研修記録'!$D$5:$D$1004,"小型船舶1級",'資格研修記録'!$F$5:$F$1004,"&gt;="&amp;TODAY()))&gt;0,"1級",IF((COUNTIFS('資格研修記録'!$A$5:$A$1004,A170,'資格研修記録'!$D$5:$D$1004,"小型船舶2級",'資格研修記録'!$F$5:$F$1004,"")+COUNTIFS('資格研修記録'!$A$5:$A$1004,A170,'資格研修記録'!$D$5:$D$1004,"小型船舶2級",'資格研修記録'!$F$5:$F$1004,"&gt;="&amp;TODAY()))&gt;0,"2級",IF(COUNTIFS('資格研修記録'!$A$5:$A$1004,A170,'資格研修記録'!$D$5:$D$1004,"小型船舶1級")+COUNTIFS('資格研修記録'!$A$5:$A$1004,A170,'資格研修記録'!$D$5:$D$1004,"小型船舶2級")&gt;0,"× 1・2級 期限切れ",""))),IF((COUNTIFS('資格研修記録'!$A$5:$A$1004,A170,'資格研修記録'!$D$5:$D$1004,"小型船舶特殊",'資格研修記録'!$F$5:$F$1004,"")+COUNTIFS('資格研修記録'!$A$5:$A$1004,A170,'資格研修記録'!$D$5:$D$1004,"小型船舶特殊",'資格研修記録'!$F$5:$F$1004,"&gt;="&amp;TODAY()))&gt;0,"特殊",IF(COUNTIFS('資格研修記録'!$A$5:$A$1004,A170,'資格研修記録'!$D$5:$D$1004,"小型船舶特殊")&gt;0,"× 特殊 期限切れ","")))))</f>
        <v/>
      </c>
      <c r="H170" s="15">
        <f>IF(A170="","",COUNTIFS('潜水記録'!$B$5:$B$3004,A170,'潜水記録'!$AF$5:$AF$3004,$D$2))</f>
        <v/>
      </c>
      <c r="I170" s="15">
        <f>IF(A170="","",COUNTIF('潜水記録'!$B$5:$B$3004,A170))</f>
        <v/>
      </c>
      <c r="J170" s="15">
        <f>IF(A170="","",SUMIF('潜水記録'!$B$5:$B$3004,A170,'潜水記録'!$H$5:$H$3004))</f>
        <v/>
      </c>
      <c r="K170" s="15">
        <f>IF(A170="","",IF(I170=0,"",_xlfn.MAXIFS('潜水記録'!$G$5:$G$3004,'潜水記録'!$B$5:$B$3004,A170)))</f>
        <v/>
      </c>
      <c r="L170" s="16">
        <f>IF(A170="","",IF(I170=0,"",_xlfn.MAXIFS('潜水記録'!$A$5:$A$3004,'潜水記録'!$B$5:$B$3004,A170)))</f>
        <v/>
      </c>
      <c r="M170" s="15">
        <f>IF(L170="","",$B$2-L170)</f>
        <v/>
      </c>
    </row>
    <row r="171">
      <c r="A171" s="14">
        <f>IF('隊員マスタ'!A168="","",'隊員マスタ'!A168)</f>
        <v/>
      </c>
      <c r="B171" s="14">
        <f>IF(A171="","",'隊員マスタ'!B168)</f>
        <v/>
      </c>
      <c r="C171" s="14">
        <f>IF(A171="","",'隊員マスタ'!C168)</f>
        <v/>
      </c>
      <c r="D171" s="15">
        <f>IF(A171="","",'隊員マスタ'!D168)</f>
        <v/>
      </c>
      <c r="E171" s="15">
        <f>IF(A171="","",IF(COUNTIFS('資格研修記録'!$A$5:$A$1004,A171,'資格研修記録'!$D$5:$D$1004,"潜水士免許")&gt;0,"有","無"))</f>
        <v/>
      </c>
      <c r="F171" s="15">
        <f>IF(A171="","",IF(COUNTIFS('資格研修記録'!$A$5:$A$1004,A171,'資格研修記録'!$D$5:$D$1004,"水難救助研修")&gt;0,"修了","—"))</f>
        <v/>
      </c>
      <c r="G171" s="14">
        <f>IF(A171="","",IF((IF((COUNTIFS('資格研修記録'!$A$5:$A$1004,A171,'資格研修記録'!$D$5:$D$1004,"小型船舶1級",'資格研修記録'!$F$5:$F$1004,"")+COUNTIFS('資格研修記録'!$A$5:$A$1004,A171,'資格研修記録'!$D$5:$D$1004,"小型船舶1級",'資格研修記録'!$F$5:$F$1004,"&gt;="&amp;TODAY()))&gt;0,"1級",IF((COUNTIFS('資格研修記録'!$A$5:$A$1004,A171,'資格研修記録'!$D$5:$D$1004,"小型船舶2級",'資格研修記録'!$F$5:$F$1004,"")+COUNTIFS('資格研修記録'!$A$5:$A$1004,A171,'資格研修記録'!$D$5:$D$1004,"小型船舶2級",'資格研修記録'!$F$5:$F$1004,"&gt;="&amp;TODAY()))&gt;0,"2級",IF(COUNTIFS('資格研修記録'!$A$5:$A$1004,A171,'資格研修記録'!$D$5:$D$1004,"小型船舶1級")+COUNTIFS('資格研修記録'!$A$5:$A$1004,A171,'資格研修記録'!$D$5:$D$1004,"小型船舶2級")&gt;0,"× 1・2級 期限切れ",""))))&amp;(IF((COUNTIFS('資格研修記録'!$A$5:$A$1004,A171,'資格研修記録'!$D$5:$D$1004,"小型船舶特殊",'資格研修記録'!$F$5:$F$1004,"")+COUNTIFS('資格研修記録'!$A$5:$A$1004,A171,'資格研修記録'!$D$5:$D$1004,"小型船舶特殊",'資格研修記録'!$F$5:$F$1004,"&gt;="&amp;TODAY()))&gt;0,"特殊",IF(COUNTIFS('資格研修記録'!$A$5:$A$1004,A171,'資格研修記録'!$D$5:$D$1004,"小型船舶特殊")&gt;0,"× 特殊 期限切れ","")))="","—",_xlfn.TEXTJOIN("・",TRUE,IF((COUNTIFS('資格研修記録'!$A$5:$A$1004,A171,'資格研修記録'!$D$5:$D$1004,"小型船舶1級",'資格研修記録'!$F$5:$F$1004,"")+COUNTIFS('資格研修記録'!$A$5:$A$1004,A171,'資格研修記録'!$D$5:$D$1004,"小型船舶1級",'資格研修記録'!$F$5:$F$1004,"&gt;="&amp;TODAY()))&gt;0,"1級",IF((COUNTIFS('資格研修記録'!$A$5:$A$1004,A171,'資格研修記録'!$D$5:$D$1004,"小型船舶2級",'資格研修記録'!$F$5:$F$1004,"")+COUNTIFS('資格研修記録'!$A$5:$A$1004,A171,'資格研修記録'!$D$5:$D$1004,"小型船舶2級",'資格研修記録'!$F$5:$F$1004,"&gt;="&amp;TODAY()))&gt;0,"2級",IF(COUNTIFS('資格研修記録'!$A$5:$A$1004,A171,'資格研修記録'!$D$5:$D$1004,"小型船舶1級")+COUNTIFS('資格研修記録'!$A$5:$A$1004,A171,'資格研修記録'!$D$5:$D$1004,"小型船舶2級")&gt;0,"× 1・2級 期限切れ",""))),IF((COUNTIFS('資格研修記録'!$A$5:$A$1004,A171,'資格研修記録'!$D$5:$D$1004,"小型船舶特殊",'資格研修記録'!$F$5:$F$1004,"")+COUNTIFS('資格研修記録'!$A$5:$A$1004,A171,'資格研修記録'!$D$5:$D$1004,"小型船舶特殊",'資格研修記録'!$F$5:$F$1004,"&gt;="&amp;TODAY()))&gt;0,"特殊",IF(COUNTIFS('資格研修記録'!$A$5:$A$1004,A171,'資格研修記録'!$D$5:$D$1004,"小型船舶特殊")&gt;0,"× 特殊 期限切れ","")))))</f>
        <v/>
      </c>
      <c r="H171" s="15">
        <f>IF(A171="","",COUNTIFS('潜水記録'!$B$5:$B$3004,A171,'潜水記録'!$AF$5:$AF$3004,$D$2))</f>
        <v/>
      </c>
      <c r="I171" s="15">
        <f>IF(A171="","",COUNTIF('潜水記録'!$B$5:$B$3004,A171))</f>
        <v/>
      </c>
      <c r="J171" s="15">
        <f>IF(A171="","",SUMIF('潜水記録'!$B$5:$B$3004,A171,'潜水記録'!$H$5:$H$3004))</f>
        <v/>
      </c>
      <c r="K171" s="15">
        <f>IF(A171="","",IF(I171=0,"",_xlfn.MAXIFS('潜水記録'!$G$5:$G$3004,'潜水記録'!$B$5:$B$3004,A171)))</f>
        <v/>
      </c>
      <c r="L171" s="16">
        <f>IF(A171="","",IF(I171=0,"",_xlfn.MAXIFS('潜水記録'!$A$5:$A$3004,'潜水記録'!$B$5:$B$3004,A171)))</f>
        <v/>
      </c>
      <c r="M171" s="15">
        <f>IF(L171="","",$B$2-L171)</f>
        <v/>
      </c>
    </row>
    <row r="172">
      <c r="A172" s="14">
        <f>IF('隊員マスタ'!A169="","",'隊員マスタ'!A169)</f>
        <v/>
      </c>
      <c r="B172" s="14">
        <f>IF(A172="","",'隊員マスタ'!B169)</f>
        <v/>
      </c>
      <c r="C172" s="14">
        <f>IF(A172="","",'隊員マスタ'!C169)</f>
        <v/>
      </c>
      <c r="D172" s="15">
        <f>IF(A172="","",'隊員マスタ'!D169)</f>
        <v/>
      </c>
      <c r="E172" s="15">
        <f>IF(A172="","",IF(COUNTIFS('資格研修記録'!$A$5:$A$1004,A172,'資格研修記録'!$D$5:$D$1004,"潜水士免許")&gt;0,"有","無"))</f>
        <v/>
      </c>
      <c r="F172" s="15">
        <f>IF(A172="","",IF(COUNTIFS('資格研修記録'!$A$5:$A$1004,A172,'資格研修記録'!$D$5:$D$1004,"水難救助研修")&gt;0,"修了","—"))</f>
        <v/>
      </c>
      <c r="G172" s="14">
        <f>IF(A172="","",IF((IF((COUNTIFS('資格研修記録'!$A$5:$A$1004,A172,'資格研修記録'!$D$5:$D$1004,"小型船舶1級",'資格研修記録'!$F$5:$F$1004,"")+COUNTIFS('資格研修記録'!$A$5:$A$1004,A172,'資格研修記録'!$D$5:$D$1004,"小型船舶1級",'資格研修記録'!$F$5:$F$1004,"&gt;="&amp;TODAY()))&gt;0,"1級",IF((COUNTIFS('資格研修記録'!$A$5:$A$1004,A172,'資格研修記録'!$D$5:$D$1004,"小型船舶2級",'資格研修記録'!$F$5:$F$1004,"")+COUNTIFS('資格研修記録'!$A$5:$A$1004,A172,'資格研修記録'!$D$5:$D$1004,"小型船舶2級",'資格研修記録'!$F$5:$F$1004,"&gt;="&amp;TODAY()))&gt;0,"2級",IF(COUNTIFS('資格研修記録'!$A$5:$A$1004,A172,'資格研修記録'!$D$5:$D$1004,"小型船舶1級")+COUNTIFS('資格研修記録'!$A$5:$A$1004,A172,'資格研修記録'!$D$5:$D$1004,"小型船舶2級")&gt;0,"× 1・2級 期限切れ",""))))&amp;(IF((COUNTIFS('資格研修記録'!$A$5:$A$1004,A172,'資格研修記録'!$D$5:$D$1004,"小型船舶特殊",'資格研修記録'!$F$5:$F$1004,"")+COUNTIFS('資格研修記録'!$A$5:$A$1004,A172,'資格研修記録'!$D$5:$D$1004,"小型船舶特殊",'資格研修記録'!$F$5:$F$1004,"&gt;="&amp;TODAY()))&gt;0,"特殊",IF(COUNTIFS('資格研修記録'!$A$5:$A$1004,A172,'資格研修記録'!$D$5:$D$1004,"小型船舶特殊")&gt;0,"× 特殊 期限切れ","")))="","—",_xlfn.TEXTJOIN("・",TRUE,IF((COUNTIFS('資格研修記録'!$A$5:$A$1004,A172,'資格研修記録'!$D$5:$D$1004,"小型船舶1級",'資格研修記録'!$F$5:$F$1004,"")+COUNTIFS('資格研修記録'!$A$5:$A$1004,A172,'資格研修記録'!$D$5:$D$1004,"小型船舶1級",'資格研修記録'!$F$5:$F$1004,"&gt;="&amp;TODAY()))&gt;0,"1級",IF((COUNTIFS('資格研修記録'!$A$5:$A$1004,A172,'資格研修記録'!$D$5:$D$1004,"小型船舶2級",'資格研修記録'!$F$5:$F$1004,"")+COUNTIFS('資格研修記録'!$A$5:$A$1004,A172,'資格研修記録'!$D$5:$D$1004,"小型船舶2級",'資格研修記録'!$F$5:$F$1004,"&gt;="&amp;TODAY()))&gt;0,"2級",IF(COUNTIFS('資格研修記録'!$A$5:$A$1004,A172,'資格研修記録'!$D$5:$D$1004,"小型船舶1級")+COUNTIFS('資格研修記録'!$A$5:$A$1004,A172,'資格研修記録'!$D$5:$D$1004,"小型船舶2級")&gt;0,"× 1・2級 期限切れ",""))),IF((COUNTIFS('資格研修記録'!$A$5:$A$1004,A172,'資格研修記録'!$D$5:$D$1004,"小型船舶特殊",'資格研修記録'!$F$5:$F$1004,"")+COUNTIFS('資格研修記録'!$A$5:$A$1004,A172,'資格研修記録'!$D$5:$D$1004,"小型船舶特殊",'資格研修記録'!$F$5:$F$1004,"&gt;="&amp;TODAY()))&gt;0,"特殊",IF(COUNTIFS('資格研修記録'!$A$5:$A$1004,A172,'資格研修記録'!$D$5:$D$1004,"小型船舶特殊")&gt;0,"× 特殊 期限切れ","")))))</f>
        <v/>
      </c>
      <c r="H172" s="15">
        <f>IF(A172="","",COUNTIFS('潜水記録'!$B$5:$B$3004,A172,'潜水記録'!$AF$5:$AF$3004,$D$2))</f>
        <v/>
      </c>
      <c r="I172" s="15">
        <f>IF(A172="","",COUNTIF('潜水記録'!$B$5:$B$3004,A172))</f>
        <v/>
      </c>
      <c r="J172" s="15">
        <f>IF(A172="","",SUMIF('潜水記録'!$B$5:$B$3004,A172,'潜水記録'!$H$5:$H$3004))</f>
        <v/>
      </c>
      <c r="K172" s="15">
        <f>IF(A172="","",IF(I172=0,"",_xlfn.MAXIFS('潜水記録'!$G$5:$G$3004,'潜水記録'!$B$5:$B$3004,A172)))</f>
        <v/>
      </c>
      <c r="L172" s="16">
        <f>IF(A172="","",IF(I172=0,"",_xlfn.MAXIFS('潜水記録'!$A$5:$A$3004,'潜水記録'!$B$5:$B$3004,A172)))</f>
        <v/>
      </c>
      <c r="M172" s="15">
        <f>IF(L172="","",$B$2-L172)</f>
        <v/>
      </c>
    </row>
    <row r="173">
      <c r="A173" s="14">
        <f>IF('隊員マスタ'!A170="","",'隊員マスタ'!A170)</f>
        <v/>
      </c>
      <c r="B173" s="14">
        <f>IF(A173="","",'隊員マスタ'!B170)</f>
        <v/>
      </c>
      <c r="C173" s="14">
        <f>IF(A173="","",'隊員マスタ'!C170)</f>
        <v/>
      </c>
      <c r="D173" s="15">
        <f>IF(A173="","",'隊員マスタ'!D170)</f>
        <v/>
      </c>
      <c r="E173" s="15">
        <f>IF(A173="","",IF(COUNTIFS('資格研修記録'!$A$5:$A$1004,A173,'資格研修記録'!$D$5:$D$1004,"潜水士免許")&gt;0,"有","無"))</f>
        <v/>
      </c>
      <c r="F173" s="15">
        <f>IF(A173="","",IF(COUNTIFS('資格研修記録'!$A$5:$A$1004,A173,'資格研修記録'!$D$5:$D$1004,"水難救助研修")&gt;0,"修了","—"))</f>
        <v/>
      </c>
      <c r="G173" s="14">
        <f>IF(A173="","",IF((IF((COUNTIFS('資格研修記録'!$A$5:$A$1004,A173,'資格研修記録'!$D$5:$D$1004,"小型船舶1級",'資格研修記録'!$F$5:$F$1004,"")+COUNTIFS('資格研修記録'!$A$5:$A$1004,A173,'資格研修記録'!$D$5:$D$1004,"小型船舶1級",'資格研修記録'!$F$5:$F$1004,"&gt;="&amp;TODAY()))&gt;0,"1級",IF((COUNTIFS('資格研修記録'!$A$5:$A$1004,A173,'資格研修記録'!$D$5:$D$1004,"小型船舶2級",'資格研修記録'!$F$5:$F$1004,"")+COUNTIFS('資格研修記録'!$A$5:$A$1004,A173,'資格研修記録'!$D$5:$D$1004,"小型船舶2級",'資格研修記録'!$F$5:$F$1004,"&gt;="&amp;TODAY()))&gt;0,"2級",IF(COUNTIFS('資格研修記録'!$A$5:$A$1004,A173,'資格研修記録'!$D$5:$D$1004,"小型船舶1級")+COUNTIFS('資格研修記録'!$A$5:$A$1004,A173,'資格研修記録'!$D$5:$D$1004,"小型船舶2級")&gt;0,"× 1・2級 期限切れ",""))))&amp;(IF((COUNTIFS('資格研修記録'!$A$5:$A$1004,A173,'資格研修記録'!$D$5:$D$1004,"小型船舶特殊",'資格研修記録'!$F$5:$F$1004,"")+COUNTIFS('資格研修記録'!$A$5:$A$1004,A173,'資格研修記録'!$D$5:$D$1004,"小型船舶特殊",'資格研修記録'!$F$5:$F$1004,"&gt;="&amp;TODAY()))&gt;0,"特殊",IF(COUNTIFS('資格研修記録'!$A$5:$A$1004,A173,'資格研修記録'!$D$5:$D$1004,"小型船舶特殊")&gt;0,"× 特殊 期限切れ","")))="","—",_xlfn.TEXTJOIN("・",TRUE,IF((COUNTIFS('資格研修記録'!$A$5:$A$1004,A173,'資格研修記録'!$D$5:$D$1004,"小型船舶1級",'資格研修記録'!$F$5:$F$1004,"")+COUNTIFS('資格研修記録'!$A$5:$A$1004,A173,'資格研修記録'!$D$5:$D$1004,"小型船舶1級",'資格研修記録'!$F$5:$F$1004,"&gt;="&amp;TODAY()))&gt;0,"1級",IF((COUNTIFS('資格研修記録'!$A$5:$A$1004,A173,'資格研修記録'!$D$5:$D$1004,"小型船舶2級",'資格研修記録'!$F$5:$F$1004,"")+COUNTIFS('資格研修記録'!$A$5:$A$1004,A173,'資格研修記録'!$D$5:$D$1004,"小型船舶2級",'資格研修記録'!$F$5:$F$1004,"&gt;="&amp;TODAY()))&gt;0,"2級",IF(COUNTIFS('資格研修記録'!$A$5:$A$1004,A173,'資格研修記録'!$D$5:$D$1004,"小型船舶1級")+COUNTIFS('資格研修記録'!$A$5:$A$1004,A173,'資格研修記録'!$D$5:$D$1004,"小型船舶2級")&gt;0,"× 1・2級 期限切れ",""))),IF((COUNTIFS('資格研修記録'!$A$5:$A$1004,A173,'資格研修記録'!$D$5:$D$1004,"小型船舶特殊",'資格研修記録'!$F$5:$F$1004,"")+COUNTIFS('資格研修記録'!$A$5:$A$1004,A173,'資格研修記録'!$D$5:$D$1004,"小型船舶特殊",'資格研修記録'!$F$5:$F$1004,"&gt;="&amp;TODAY()))&gt;0,"特殊",IF(COUNTIFS('資格研修記録'!$A$5:$A$1004,A173,'資格研修記録'!$D$5:$D$1004,"小型船舶特殊")&gt;0,"× 特殊 期限切れ","")))))</f>
        <v/>
      </c>
      <c r="H173" s="15">
        <f>IF(A173="","",COUNTIFS('潜水記録'!$B$5:$B$3004,A173,'潜水記録'!$AF$5:$AF$3004,$D$2))</f>
        <v/>
      </c>
      <c r="I173" s="15">
        <f>IF(A173="","",COUNTIF('潜水記録'!$B$5:$B$3004,A173))</f>
        <v/>
      </c>
      <c r="J173" s="15">
        <f>IF(A173="","",SUMIF('潜水記録'!$B$5:$B$3004,A173,'潜水記録'!$H$5:$H$3004))</f>
        <v/>
      </c>
      <c r="K173" s="15">
        <f>IF(A173="","",IF(I173=0,"",_xlfn.MAXIFS('潜水記録'!$G$5:$G$3004,'潜水記録'!$B$5:$B$3004,A173)))</f>
        <v/>
      </c>
      <c r="L173" s="16">
        <f>IF(A173="","",IF(I173=0,"",_xlfn.MAXIFS('潜水記録'!$A$5:$A$3004,'潜水記録'!$B$5:$B$3004,A173)))</f>
        <v/>
      </c>
      <c r="M173" s="15">
        <f>IF(L173="","",$B$2-L173)</f>
        <v/>
      </c>
    </row>
    <row r="174">
      <c r="A174" s="14">
        <f>IF('隊員マスタ'!A171="","",'隊員マスタ'!A171)</f>
        <v/>
      </c>
      <c r="B174" s="14">
        <f>IF(A174="","",'隊員マスタ'!B171)</f>
        <v/>
      </c>
      <c r="C174" s="14">
        <f>IF(A174="","",'隊員マスタ'!C171)</f>
        <v/>
      </c>
      <c r="D174" s="15">
        <f>IF(A174="","",'隊員マスタ'!D171)</f>
        <v/>
      </c>
      <c r="E174" s="15">
        <f>IF(A174="","",IF(COUNTIFS('資格研修記録'!$A$5:$A$1004,A174,'資格研修記録'!$D$5:$D$1004,"潜水士免許")&gt;0,"有","無"))</f>
        <v/>
      </c>
      <c r="F174" s="15">
        <f>IF(A174="","",IF(COUNTIFS('資格研修記録'!$A$5:$A$1004,A174,'資格研修記録'!$D$5:$D$1004,"水難救助研修")&gt;0,"修了","—"))</f>
        <v/>
      </c>
      <c r="G174" s="14">
        <f>IF(A174="","",IF((IF((COUNTIFS('資格研修記録'!$A$5:$A$1004,A174,'資格研修記録'!$D$5:$D$1004,"小型船舶1級",'資格研修記録'!$F$5:$F$1004,"")+COUNTIFS('資格研修記録'!$A$5:$A$1004,A174,'資格研修記録'!$D$5:$D$1004,"小型船舶1級",'資格研修記録'!$F$5:$F$1004,"&gt;="&amp;TODAY()))&gt;0,"1級",IF((COUNTIFS('資格研修記録'!$A$5:$A$1004,A174,'資格研修記録'!$D$5:$D$1004,"小型船舶2級",'資格研修記録'!$F$5:$F$1004,"")+COUNTIFS('資格研修記録'!$A$5:$A$1004,A174,'資格研修記録'!$D$5:$D$1004,"小型船舶2級",'資格研修記録'!$F$5:$F$1004,"&gt;="&amp;TODAY()))&gt;0,"2級",IF(COUNTIFS('資格研修記録'!$A$5:$A$1004,A174,'資格研修記録'!$D$5:$D$1004,"小型船舶1級")+COUNTIFS('資格研修記録'!$A$5:$A$1004,A174,'資格研修記録'!$D$5:$D$1004,"小型船舶2級")&gt;0,"× 1・2級 期限切れ",""))))&amp;(IF((COUNTIFS('資格研修記録'!$A$5:$A$1004,A174,'資格研修記録'!$D$5:$D$1004,"小型船舶特殊",'資格研修記録'!$F$5:$F$1004,"")+COUNTIFS('資格研修記録'!$A$5:$A$1004,A174,'資格研修記録'!$D$5:$D$1004,"小型船舶特殊",'資格研修記録'!$F$5:$F$1004,"&gt;="&amp;TODAY()))&gt;0,"特殊",IF(COUNTIFS('資格研修記録'!$A$5:$A$1004,A174,'資格研修記録'!$D$5:$D$1004,"小型船舶特殊")&gt;0,"× 特殊 期限切れ","")))="","—",_xlfn.TEXTJOIN("・",TRUE,IF((COUNTIFS('資格研修記録'!$A$5:$A$1004,A174,'資格研修記録'!$D$5:$D$1004,"小型船舶1級",'資格研修記録'!$F$5:$F$1004,"")+COUNTIFS('資格研修記録'!$A$5:$A$1004,A174,'資格研修記録'!$D$5:$D$1004,"小型船舶1級",'資格研修記録'!$F$5:$F$1004,"&gt;="&amp;TODAY()))&gt;0,"1級",IF((COUNTIFS('資格研修記録'!$A$5:$A$1004,A174,'資格研修記録'!$D$5:$D$1004,"小型船舶2級",'資格研修記録'!$F$5:$F$1004,"")+COUNTIFS('資格研修記録'!$A$5:$A$1004,A174,'資格研修記録'!$D$5:$D$1004,"小型船舶2級",'資格研修記録'!$F$5:$F$1004,"&gt;="&amp;TODAY()))&gt;0,"2級",IF(COUNTIFS('資格研修記録'!$A$5:$A$1004,A174,'資格研修記録'!$D$5:$D$1004,"小型船舶1級")+COUNTIFS('資格研修記録'!$A$5:$A$1004,A174,'資格研修記録'!$D$5:$D$1004,"小型船舶2級")&gt;0,"× 1・2級 期限切れ",""))),IF((COUNTIFS('資格研修記録'!$A$5:$A$1004,A174,'資格研修記録'!$D$5:$D$1004,"小型船舶特殊",'資格研修記録'!$F$5:$F$1004,"")+COUNTIFS('資格研修記録'!$A$5:$A$1004,A174,'資格研修記録'!$D$5:$D$1004,"小型船舶特殊",'資格研修記録'!$F$5:$F$1004,"&gt;="&amp;TODAY()))&gt;0,"特殊",IF(COUNTIFS('資格研修記録'!$A$5:$A$1004,A174,'資格研修記録'!$D$5:$D$1004,"小型船舶特殊")&gt;0,"× 特殊 期限切れ","")))))</f>
        <v/>
      </c>
      <c r="H174" s="15">
        <f>IF(A174="","",COUNTIFS('潜水記録'!$B$5:$B$3004,A174,'潜水記録'!$AF$5:$AF$3004,$D$2))</f>
        <v/>
      </c>
      <c r="I174" s="15">
        <f>IF(A174="","",COUNTIF('潜水記録'!$B$5:$B$3004,A174))</f>
        <v/>
      </c>
      <c r="J174" s="15">
        <f>IF(A174="","",SUMIF('潜水記録'!$B$5:$B$3004,A174,'潜水記録'!$H$5:$H$3004))</f>
        <v/>
      </c>
      <c r="K174" s="15">
        <f>IF(A174="","",IF(I174=0,"",_xlfn.MAXIFS('潜水記録'!$G$5:$G$3004,'潜水記録'!$B$5:$B$3004,A174)))</f>
        <v/>
      </c>
      <c r="L174" s="16">
        <f>IF(A174="","",IF(I174=0,"",_xlfn.MAXIFS('潜水記録'!$A$5:$A$3004,'潜水記録'!$B$5:$B$3004,A174)))</f>
        <v/>
      </c>
      <c r="M174" s="15">
        <f>IF(L174="","",$B$2-L174)</f>
        <v/>
      </c>
    </row>
    <row r="175">
      <c r="A175" s="14">
        <f>IF('隊員マスタ'!A172="","",'隊員マスタ'!A172)</f>
        <v/>
      </c>
      <c r="B175" s="14">
        <f>IF(A175="","",'隊員マスタ'!B172)</f>
        <v/>
      </c>
      <c r="C175" s="14">
        <f>IF(A175="","",'隊員マスタ'!C172)</f>
        <v/>
      </c>
      <c r="D175" s="15">
        <f>IF(A175="","",'隊員マスタ'!D172)</f>
        <v/>
      </c>
      <c r="E175" s="15">
        <f>IF(A175="","",IF(COUNTIFS('資格研修記録'!$A$5:$A$1004,A175,'資格研修記録'!$D$5:$D$1004,"潜水士免許")&gt;0,"有","無"))</f>
        <v/>
      </c>
      <c r="F175" s="15">
        <f>IF(A175="","",IF(COUNTIFS('資格研修記録'!$A$5:$A$1004,A175,'資格研修記録'!$D$5:$D$1004,"水難救助研修")&gt;0,"修了","—"))</f>
        <v/>
      </c>
      <c r="G175" s="14">
        <f>IF(A175="","",IF((IF((COUNTIFS('資格研修記録'!$A$5:$A$1004,A175,'資格研修記録'!$D$5:$D$1004,"小型船舶1級",'資格研修記録'!$F$5:$F$1004,"")+COUNTIFS('資格研修記録'!$A$5:$A$1004,A175,'資格研修記録'!$D$5:$D$1004,"小型船舶1級",'資格研修記録'!$F$5:$F$1004,"&gt;="&amp;TODAY()))&gt;0,"1級",IF((COUNTIFS('資格研修記録'!$A$5:$A$1004,A175,'資格研修記録'!$D$5:$D$1004,"小型船舶2級",'資格研修記録'!$F$5:$F$1004,"")+COUNTIFS('資格研修記録'!$A$5:$A$1004,A175,'資格研修記録'!$D$5:$D$1004,"小型船舶2級",'資格研修記録'!$F$5:$F$1004,"&gt;="&amp;TODAY()))&gt;0,"2級",IF(COUNTIFS('資格研修記録'!$A$5:$A$1004,A175,'資格研修記録'!$D$5:$D$1004,"小型船舶1級")+COUNTIFS('資格研修記録'!$A$5:$A$1004,A175,'資格研修記録'!$D$5:$D$1004,"小型船舶2級")&gt;0,"× 1・2級 期限切れ",""))))&amp;(IF((COUNTIFS('資格研修記録'!$A$5:$A$1004,A175,'資格研修記録'!$D$5:$D$1004,"小型船舶特殊",'資格研修記録'!$F$5:$F$1004,"")+COUNTIFS('資格研修記録'!$A$5:$A$1004,A175,'資格研修記録'!$D$5:$D$1004,"小型船舶特殊",'資格研修記録'!$F$5:$F$1004,"&gt;="&amp;TODAY()))&gt;0,"特殊",IF(COUNTIFS('資格研修記録'!$A$5:$A$1004,A175,'資格研修記録'!$D$5:$D$1004,"小型船舶特殊")&gt;0,"× 特殊 期限切れ","")))="","—",_xlfn.TEXTJOIN("・",TRUE,IF((COUNTIFS('資格研修記録'!$A$5:$A$1004,A175,'資格研修記録'!$D$5:$D$1004,"小型船舶1級",'資格研修記録'!$F$5:$F$1004,"")+COUNTIFS('資格研修記録'!$A$5:$A$1004,A175,'資格研修記録'!$D$5:$D$1004,"小型船舶1級",'資格研修記録'!$F$5:$F$1004,"&gt;="&amp;TODAY()))&gt;0,"1級",IF((COUNTIFS('資格研修記録'!$A$5:$A$1004,A175,'資格研修記録'!$D$5:$D$1004,"小型船舶2級",'資格研修記録'!$F$5:$F$1004,"")+COUNTIFS('資格研修記録'!$A$5:$A$1004,A175,'資格研修記録'!$D$5:$D$1004,"小型船舶2級",'資格研修記録'!$F$5:$F$1004,"&gt;="&amp;TODAY()))&gt;0,"2級",IF(COUNTIFS('資格研修記録'!$A$5:$A$1004,A175,'資格研修記録'!$D$5:$D$1004,"小型船舶1級")+COUNTIFS('資格研修記録'!$A$5:$A$1004,A175,'資格研修記録'!$D$5:$D$1004,"小型船舶2級")&gt;0,"× 1・2級 期限切れ",""))),IF((COUNTIFS('資格研修記録'!$A$5:$A$1004,A175,'資格研修記録'!$D$5:$D$1004,"小型船舶特殊",'資格研修記録'!$F$5:$F$1004,"")+COUNTIFS('資格研修記録'!$A$5:$A$1004,A175,'資格研修記録'!$D$5:$D$1004,"小型船舶特殊",'資格研修記録'!$F$5:$F$1004,"&gt;="&amp;TODAY()))&gt;0,"特殊",IF(COUNTIFS('資格研修記録'!$A$5:$A$1004,A175,'資格研修記録'!$D$5:$D$1004,"小型船舶特殊")&gt;0,"× 特殊 期限切れ","")))))</f>
        <v/>
      </c>
      <c r="H175" s="15">
        <f>IF(A175="","",COUNTIFS('潜水記録'!$B$5:$B$3004,A175,'潜水記録'!$AF$5:$AF$3004,$D$2))</f>
        <v/>
      </c>
      <c r="I175" s="15">
        <f>IF(A175="","",COUNTIF('潜水記録'!$B$5:$B$3004,A175))</f>
        <v/>
      </c>
      <c r="J175" s="15">
        <f>IF(A175="","",SUMIF('潜水記録'!$B$5:$B$3004,A175,'潜水記録'!$H$5:$H$3004))</f>
        <v/>
      </c>
      <c r="K175" s="15">
        <f>IF(A175="","",IF(I175=0,"",_xlfn.MAXIFS('潜水記録'!$G$5:$G$3004,'潜水記録'!$B$5:$B$3004,A175)))</f>
        <v/>
      </c>
      <c r="L175" s="16">
        <f>IF(A175="","",IF(I175=0,"",_xlfn.MAXIFS('潜水記録'!$A$5:$A$3004,'潜水記録'!$B$5:$B$3004,A175)))</f>
        <v/>
      </c>
      <c r="M175" s="15">
        <f>IF(L175="","",$B$2-L175)</f>
        <v/>
      </c>
    </row>
    <row r="176">
      <c r="A176" s="14">
        <f>IF('隊員マスタ'!A173="","",'隊員マスタ'!A173)</f>
        <v/>
      </c>
      <c r="B176" s="14">
        <f>IF(A176="","",'隊員マスタ'!B173)</f>
        <v/>
      </c>
      <c r="C176" s="14">
        <f>IF(A176="","",'隊員マスタ'!C173)</f>
        <v/>
      </c>
      <c r="D176" s="15">
        <f>IF(A176="","",'隊員マスタ'!D173)</f>
        <v/>
      </c>
      <c r="E176" s="15">
        <f>IF(A176="","",IF(COUNTIFS('資格研修記録'!$A$5:$A$1004,A176,'資格研修記録'!$D$5:$D$1004,"潜水士免許")&gt;0,"有","無"))</f>
        <v/>
      </c>
      <c r="F176" s="15">
        <f>IF(A176="","",IF(COUNTIFS('資格研修記録'!$A$5:$A$1004,A176,'資格研修記録'!$D$5:$D$1004,"水難救助研修")&gt;0,"修了","—"))</f>
        <v/>
      </c>
      <c r="G176" s="14">
        <f>IF(A176="","",IF((IF((COUNTIFS('資格研修記録'!$A$5:$A$1004,A176,'資格研修記録'!$D$5:$D$1004,"小型船舶1級",'資格研修記録'!$F$5:$F$1004,"")+COUNTIFS('資格研修記録'!$A$5:$A$1004,A176,'資格研修記録'!$D$5:$D$1004,"小型船舶1級",'資格研修記録'!$F$5:$F$1004,"&gt;="&amp;TODAY()))&gt;0,"1級",IF((COUNTIFS('資格研修記録'!$A$5:$A$1004,A176,'資格研修記録'!$D$5:$D$1004,"小型船舶2級",'資格研修記録'!$F$5:$F$1004,"")+COUNTIFS('資格研修記録'!$A$5:$A$1004,A176,'資格研修記録'!$D$5:$D$1004,"小型船舶2級",'資格研修記録'!$F$5:$F$1004,"&gt;="&amp;TODAY()))&gt;0,"2級",IF(COUNTIFS('資格研修記録'!$A$5:$A$1004,A176,'資格研修記録'!$D$5:$D$1004,"小型船舶1級")+COUNTIFS('資格研修記録'!$A$5:$A$1004,A176,'資格研修記録'!$D$5:$D$1004,"小型船舶2級")&gt;0,"× 1・2級 期限切れ",""))))&amp;(IF((COUNTIFS('資格研修記録'!$A$5:$A$1004,A176,'資格研修記録'!$D$5:$D$1004,"小型船舶特殊",'資格研修記録'!$F$5:$F$1004,"")+COUNTIFS('資格研修記録'!$A$5:$A$1004,A176,'資格研修記録'!$D$5:$D$1004,"小型船舶特殊",'資格研修記録'!$F$5:$F$1004,"&gt;="&amp;TODAY()))&gt;0,"特殊",IF(COUNTIFS('資格研修記録'!$A$5:$A$1004,A176,'資格研修記録'!$D$5:$D$1004,"小型船舶特殊")&gt;0,"× 特殊 期限切れ","")))="","—",_xlfn.TEXTJOIN("・",TRUE,IF((COUNTIFS('資格研修記録'!$A$5:$A$1004,A176,'資格研修記録'!$D$5:$D$1004,"小型船舶1級",'資格研修記録'!$F$5:$F$1004,"")+COUNTIFS('資格研修記録'!$A$5:$A$1004,A176,'資格研修記録'!$D$5:$D$1004,"小型船舶1級",'資格研修記録'!$F$5:$F$1004,"&gt;="&amp;TODAY()))&gt;0,"1級",IF((COUNTIFS('資格研修記録'!$A$5:$A$1004,A176,'資格研修記録'!$D$5:$D$1004,"小型船舶2級",'資格研修記録'!$F$5:$F$1004,"")+COUNTIFS('資格研修記録'!$A$5:$A$1004,A176,'資格研修記録'!$D$5:$D$1004,"小型船舶2級",'資格研修記録'!$F$5:$F$1004,"&gt;="&amp;TODAY()))&gt;0,"2級",IF(COUNTIFS('資格研修記録'!$A$5:$A$1004,A176,'資格研修記録'!$D$5:$D$1004,"小型船舶1級")+COUNTIFS('資格研修記録'!$A$5:$A$1004,A176,'資格研修記録'!$D$5:$D$1004,"小型船舶2級")&gt;0,"× 1・2級 期限切れ",""))),IF((COUNTIFS('資格研修記録'!$A$5:$A$1004,A176,'資格研修記録'!$D$5:$D$1004,"小型船舶特殊",'資格研修記録'!$F$5:$F$1004,"")+COUNTIFS('資格研修記録'!$A$5:$A$1004,A176,'資格研修記録'!$D$5:$D$1004,"小型船舶特殊",'資格研修記録'!$F$5:$F$1004,"&gt;="&amp;TODAY()))&gt;0,"特殊",IF(COUNTIFS('資格研修記録'!$A$5:$A$1004,A176,'資格研修記録'!$D$5:$D$1004,"小型船舶特殊")&gt;0,"× 特殊 期限切れ","")))))</f>
        <v/>
      </c>
      <c r="H176" s="15">
        <f>IF(A176="","",COUNTIFS('潜水記録'!$B$5:$B$3004,A176,'潜水記録'!$AF$5:$AF$3004,$D$2))</f>
        <v/>
      </c>
      <c r="I176" s="15">
        <f>IF(A176="","",COUNTIF('潜水記録'!$B$5:$B$3004,A176))</f>
        <v/>
      </c>
      <c r="J176" s="15">
        <f>IF(A176="","",SUMIF('潜水記録'!$B$5:$B$3004,A176,'潜水記録'!$H$5:$H$3004))</f>
        <v/>
      </c>
      <c r="K176" s="15">
        <f>IF(A176="","",IF(I176=0,"",_xlfn.MAXIFS('潜水記録'!$G$5:$G$3004,'潜水記録'!$B$5:$B$3004,A176)))</f>
        <v/>
      </c>
      <c r="L176" s="16">
        <f>IF(A176="","",IF(I176=0,"",_xlfn.MAXIFS('潜水記録'!$A$5:$A$3004,'潜水記録'!$B$5:$B$3004,A176)))</f>
        <v/>
      </c>
      <c r="M176" s="15">
        <f>IF(L176="","",$B$2-L176)</f>
        <v/>
      </c>
    </row>
    <row r="177">
      <c r="A177" s="14">
        <f>IF('隊員マスタ'!A174="","",'隊員マスタ'!A174)</f>
        <v/>
      </c>
      <c r="B177" s="14">
        <f>IF(A177="","",'隊員マスタ'!B174)</f>
        <v/>
      </c>
      <c r="C177" s="14">
        <f>IF(A177="","",'隊員マスタ'!C174)</f>
        <v/>
      </c>
      <c r="D177" s="15">
        <f>IF(A177="","",'隊員マスタ'!D174)</f>
        <v/>
      </c>
      <c r="E177" s="15">
        <f>IF(A177="","",IF(COUNTIFS('資格研修記録'!$A$5:$A$1004,A177,'資格研修記録'!$D$5:$D$1004,"潜水士免許")&gt;0,"有","無"))</f>
        <v/>
      </c>
      <c r="F177" s="15">
        <f>IF(A177="","",IF(COUNTIFS('資格研修記録'!$A$5:$A$1004,A177,'資格研修記録'!$D$5:$D$1004,"水難救助研修")&gt;0,"修了","—"))</f>
        <v/>
      </c>
      <c r="G177" s="14">
        <f>IF(A177="","",IF((IF((COUNTIFS('資格研修記録'!$A$5:$A$1004,A177,'資格研修記録'!$D$5:$D$1004,"小型船舶1級",'資格研修記録'!$F$5:$F$1004,"")+COUNTIFS('資格研修記録'!$A$5:$A$1004,A177,'資格研修記録'!$D$5:$D$1004,"小型船舶1級",'資格研修記録'!$F$5:$F$1004,"&gt;="&amp;TODAY()))&gt;0,"1級",IF((COUNTIFS('資格研修記録'!$A$5:$A$1004,A177,'資格研修記録'!$D$5:$D$1004,"小型船舶2級",'資格研修記録'!$F$5:$F$1004,"")+COUNTIFS('資格研修記録'!$A$5:$A$1004,A177,'資格研修記録'!$D$5:$D$1004,"小型船舶2級",'資格研修記録'!$F$5:$F$1004,"&gt;="&amp;TODAY()))&gt;0,"2級",IF(COUNTIFS('資格研修記録'!$A$5:$A$1004,A177,'資格研修記録'!$D$5:$D$1004,"小型船舶1級")+COUNTIFS('資格研修記録'!$A$5:$A$1004,A177,'資格研修記録'!$D$5:$D$1004,"小型船舶2級")&gt;0,"× 1・2級 期限切れ",""))))&amp;(IF((COUNTIFS('資格研修記録'!$A$5:$A$1004,A177,'資格研修記録'!$D$5:$D$1004,"小型船舶特殊",'資格研修記録'!$F$5:$F$1004,"")+COUNTIFS('資格研修記録'!$A$5:$A$1004,A177,'資格研修記録'!$D$5:$D$1004,"小型船舶特殊",'資格研修記録'!$F$5:$F$1004,"&gt;="&amp;TODAY()))&gt;0,"特殊",IF(COUNTIFS('資格研修記録'!$A$5:$A$1004,A177,'資格研修記録'!$D$5:$D$1004,"小型船舶特殊")&gt;0,"× 特殊 期限切れ","")))="","—",_xlfn.TEXTJOIN("・",TRUE,IF((COUNTIFS('資格研修記録'!$A$5:$A$1004,A177,'資格研修記録'!$D$5:$D$1004,"小型船舶1級",'資格研修記録'!$F$5:$F$1004,"")+COUNTIFS('資格研修記録'!$A$5:$A$1004,A177,'資格研修記録'!$D$5:$D$1004,"小型船舶1級",'資格研修記録'!$F$5:$F$1004,"&gt;="&amp;TODAY()))&gt;0,"1級",IF((COUNTIFS('資格研修記録'!$A$5:$A$1004,A177,'資格研修記録'!$D$5:$D$1004,"小型船舶2級",'資格研修記録'!$F$5:$F$1004,"")+COUNTIFS('資格研修記録'!$A$5:$A$1004,A177,'資格研修記録'!$D$5:$D$1004,"小型船舶2級",'資格研修記録'!$F$5:$F$1004,"&gt;="&amp;TODAY()))&gt;0,"2級",IF(COUNTIFS('資格研修記録'!$A$5:$A$1004,A177,'資格研修記録'!$D$5:$D$1004,"小型船舶1級")+COUNTIFS('資格研修記録'!$A$5:$A$1004,A177,'資格研修記録'!$D$5:$D$1004,"小型船舶2級")&gt;0,"× 1・2級 期限切れ",""))),IF((COUNTIFS('資格研修記録'!$A$5:$A$1004,A177,'資格研修記録'!$D$5:$D$1004,"小型船舶特殊",'資格研修記録'!$F$5:$F$1004,"")+COUNTIFS('資格研修記録'!$A$5:$A$1004,A177,'資格研修記録'!$D$5:$D$1004,"小型船舶特殊",'資格研修記録'!$F$5:$F$1004,"&gt;="&amp;TODAY()))&gt;0,"特殊",IF(COUNTIFS('資格研修記録'!$A$5:$A$1004,A177,'資格研修記録'!$D$5:$D$1004,"小型船舶特殊")&gt;0,"× 特殊 期限切れ","")))))</f>
        <v/>
      </c>
      <c r="H177" s="15">
        <f>IF(A177="","",COUNTIFS('潜水記録'!$B$5:$B$3004,A177,'潜水記録'!$AF$5:$AF$3004,$D$2))</f>
        <v/>
      </c>
      <c r="I177" s="15">
        <f>IF(A177="","",COUNTIF('潜水記録'!$B$5:$B$3004,A177))</f>
        <v/>
      </c>
      <c r="J177" s="15">
        <f>IF(A177="","",SUMIF('潜水記録'!$B$5:$B$3004,A177,'潜水記録'!$H$5:$H$3004))</f>
        <v/>
      </c>
      <c r="K177" s="15">
        <f>IF(A177="","",IF(I177=0,"",_xlfn.MAXIFS('潜水記録'!$G$5:$G$3004,'潜水記録'!$B$5:$B$3004,A177)))</f>
        <v/>
      </c>
      <c r="L177" s="16">
        <f>IF(A177="","",IF(I177=0,"",_xlfn.MAXIFS('潜水記録'!$A$5:$A$3004,'潜水記録'!$B$5:$B$3004,A177)))</f>
        <v/>
      </c>
      <c r="M177" s="15">
        <f>IF(L177="","",$B$2-L177)</f>
        <v/>
      </c>
    </row>
    <row r="178">
      <c r="A178" s="14">
        <f>IF('隊員マスタ'!A175="","",'隊員マスタ'!A175)</f>
        <v/>
      </c>
      <c r="B178" s="14">
        <f>IF(A178="","",'隊員マスタ'!B175)</f>
        <v/>
      </c>
      <c r="C178" s="14">
        <f>IF(A178="","",'隊員マスタ'!C175)</f>
        <v/>
      </c>
      <c r="D178" s="15">
        <f>IF(A178="","",'隊員マスタ'!D175)</f>
        <v/>
      </c>
      <c r="E178" s="15">
        <f>IF(A178="","",IF(COUNTIFS('資格研修記録'!$A$5:$A$1004,A178,'資格研修記録'!$D$5:$D$1004,"潜水士免許")&gt;0,"有","無"))</f>
        <v/>
      </c>
      <c r="F178" s="15">
        <f>IF(A178="","",IF(COUNTIFS('資格研修記録'!$A$5:$A$1004,A178,'資格研修記録'!$D$5:$D$1004,"水難救助研修")&gt;0,"修了","—"))</f>
        <v/>
      </c>
      <c r="G178" s="14">
        <f>IF(A178="","",IF((IF((COUNTIFS('資格研修記録'!$A$5:$A$1004,A178,'資格研修記録'!$D$5:$D$1004,"小型船舶1級",'資格研修記録'!$F$5:$F$1004,"")+COUNTIFS('資格研修記録'!$A$5:$A$1004,A178,'資格研修記録'!$D$5:$D$1004,"小型船舶1級",'資格研修記録'!$F$5:$F$1004,"&gt;="&amp;TODAY()))&gt;0,"1級",IF((COUNTIFS('資格研修記録'!$A$5:$A$1004,A178,'資格研修記録'!$D$5:$D$1004,"小型船舶2級",'資格研修記録'!$F$5:$F$1004,"")+COUNTIFS('資格研修記録'!$A$5:$A$1004,A178,'資格研修記録'!$D$5:$D$1004,"小型船舶2級",'資格研修記録'!$F$5:$F$1004,"&gt;="&amp;TODAY()))&gt;0,"2級",IF(COUNTIFS('資格研修記録'!$A$5:$A$1004,A178,'資格研修記録'!$D$5:$D$1004,"小型船舶1級")+COUNTIFS('資格研修記録'!$A$5:$A$1004,A178,'資格研修記録'!$D$5:$D$1004,"小型船舶2級")&gt;0,"× 1・2級 期限切れ",""))))&amp;(IF((COUNTIFS('資格研修記録'!$A$5:$A$1004,A178,'資格研修記録'!$D$5:$D$1004,"小型船舶特殊",'資格研修記録'!$F$5:$F$1004,"")+COUNTIFS('資格研修記録'!$A$5:$A$1004,A178,'資格研修記録'!$D$5:$D$1004,"小型船舶特殊",'資格研修記録'!$F$5:$F$1004,"&gt;="&amp;TODAY()))&gt;0,"特殊",IF(COUNTIFS('資格研修記録'!$A$5:$A$1004,A178,'資格研修記録'!$D$5:$D$1004,"小型船舶特殊")&gt;0,"× 特殊 期限切れ","")))="","—",_xlfn.TEXTJOIN("・",TRUE,IF((COUNTIFS('資格研修記録'!$A$5:$A$1004,A178,'資格研修記録'!$D$5:$D$1004,"小型船舶1級",'資格研修記録'!$F$5:$F$1004,"")+COUNTIFS('資格研修記録'!$A$5:$A$1004,A178,'資格研修記録'!$D$5:$D$1004,"小型船舶1級",'資格研修記録'!$F$5:$F$1004,"&gt;="&amp;TODAY()))&gt;0,"1級",IF((COUNTIFS('資格研修記録'!$A$5:$A$1004,A178,'資格研修記録'!$D$5:$D$1004,"小型船舶2級",'資格研修記録'!$F$5:$F$1004,"")+COUNTIFS('資格研修記録'!$A$5:$A$1004,A178,'資格研修記録'!$D$5:$D$1004,"小型船舶2級",'資格研修記録'!$F$5:$F$1004,"&gt;="&amp;TODAY()))&gt;0,"2級",IF(COUNTIFS('資格研修記録'!$A$5:$A$1004,A178,'資格研修記録'!$D$5:$D$1004,"小型船舶1級")+COUNTIFS('資格研修記録'!$A$5:$A$1004,A178,'資格研修記録'!$D$5:$D$1004,"小型船舶2級")&gt;0,"× 1・2級 期限切れ",""))),IF((COUNTIFS('資格研修記録'!$A$5:$A$1004,A178,'資格研修記録'!$D$5:$D$1004,"小型船舶特殊",'資格研修記録'!$F$5:$F$1004,"")+COUNTIFS('資格研修記録'!$A$5:$A$1004,A178,'資格研修記録'!$D$5:$D$1004,"小型船舶特殊",'資格研修記録'!$F$5:$F$1004,"&gt;="&amp;TODAY()))&gt;0,"特殊",IF(COUNTIFS('資格研修記録'!$A$5:$A$1004,A178,'資格研修記録'!$D$5:$D$1004,"小型船舶特殊")&gt;0,"× 特殊 期限切れ","")))))</f>
        <v/>
      </c>
      <c r="H178" s="15">
        <f>IF(A178="","",COUNTIFS('潜水記録'!$B$5:$B$3004,A178,'潜水記録'!$AF$5:$AF$3004,$D$2))</f>
        <v/>
      </c>
      <c r="I178" s="15">
        <f>IF(A178="","",COUNTIF('潜水記録'!$B$5:$B$3004,A178))</f>
        <v/>
      </c>
      <c r="J178" s="15">
        <f>IF(A178="","",SUMIF('潜水記録'!$B$5:$B$3004,A178,'潜水記録'!$H$5:$H$3004))</f>
        <v/>
      </c>
      <c r="K178" s="15">
        <f>IF(A178="","",IF(I178=0,"",_xlfn.MAXIFS('潜水記録'!$G$5:$G$3004,'潜水記録'!$B$5:$B$3004,A178)))</f>
        <v/>
      </c>
      <c r="L178" s="16">
        <f>IF(A178="","",IF(I178=0,"",_xlfn.MAXIFS('潜水記録'!$A$5:$A$3004,'潜水記録'!$B$5:$B$3004,A178)))</f>
        <v/>
      </c>
      <c r="M178" s="15">
        <f>IF(L178="","",$B$2-L178)</f>
        <v/>
      </c>
    </row>
    <row r="179">
      <c r="A179" s="14">
        <f>IF('隊員マスタ'!A176="","",'隊員マスタ'!A176)</f>
        <v/>
      </c>
      <c r="B179" s="14">
        <f>IF(A179="","",'隊員マスタ'!B176)</f>
        <v/>
      </c>
      <c r="C179" s="14">
        <f>IF(A179="","",'隊員マスタ'!C176)</f>
        <v/>
      </c>
      <c r="D179" s="15">
        <f>IF(A179="","",'隊員マスタ'!D176)</f>
        <v/>
      </c>
      <c r="E179" s="15">
        <f>IF(A179="","",IF(COUNTIFS('資格研修記録'!$A$5:$A$1004,A179,'資格研修記録'!$D$5:$D$1004,"潜水士免許")&gt;0,"有","無"))</f>
        <v/>
      </c>
      <c r="F179" s="15">
        <f>IF(A179="","",IF(COUNTIFS('資格研修記録'!$A$5:$A$1004,A179,'資格研修記録'!$D$5:$D$1004,"水難救助研修")&gt;0,"修了","—"))</f>
        <v/>
      </c>
      <c r="G179" s="14">
        <f>IF(A179="","",IF((IF((COUNTIFS('資格研修記録'!$A$5:$A$1004,A179,'資格研修記録'!$D$5:$D$1004,"小型船舶1級",'資格研修記録'!$F$5:$F$1004,"")+COUNTIFS('資格研修記録'!$A$5:$A$1004,A179,'資格研修記録'!$D$5:$D$1004,"小型船舶1級",'資格研修記録'!$F$5:$F$1004,"&gt;="&amp;TODAY()))&gt;0,"1級",IF((COUNTIFS('資格研修記録'!$A$5:$A$1004,A179,'資格研修記録'!$D$5:$D$1004,"小型船舶2級",'資格研修記録'!$F$5:$F$1004,"")+COUNTIFS('資格研修記録'!$A$5:$A$1004,A179,'資格研修記録'!$D$5:$D$1004,"小型船舶2級",'資格研修記録'!$F$5:$F$1004,"&gt;="&amp;TODAY()))&gt;0,"2級",IF(COUNTIFS('資格研修記録'!$A$5:$A$1004,A179,'資格研修記録'!$D$5:$D$1004,"小型船舶1級")+COUNTIFS('資格研修記録'!$A$5:$A$1004,A179,'資格研修記録'!$D$5:$D$1004,"小型船舶2級")&gt;0,"× 1・2級 期限切れ",""))))&amp;(IF((COUNTIFS('資格研修記録'!$A$5:$A$1004,A179,'資格研修記録'!$D$5:$D$1004,"小型船舶特殊",'資格研修記録'!$F$5:$F$1004,"")+COUNTIFS('資格研修記録'!$A$5:$A$1004,A179,'資格研修記録'!$D$5:$D$1004,"小型船舶特殊",'資格研修記録'!$F$5:$F$1004,"&gt;="&amp;TODAY()))&gt;0,"特殊",IF(COUNTIFS('資格研修記録'!$A$5:$A$1004,A179,'資格研修記録'!$D$5:$D$1004,"小型船舶特殊")&gt;0,"× 特殊 期限切れ","")))="","—",_xlfn.TEXTJOIN("・",TRUE,IF((COUNTIFS('資格研修記録'!$A$5:$A$1004,A179,'資格研修記録'!$D$5:$D$1004,"小型船舶1級",'資格研修記録'!$F$5:$F$1004,"")+COUNTIFS('資格研修記録'!$A$5:$A$1004,A179,'資格研修記録'!$D$5:$D$1004,"小型船舶1級",'資格研修記録'!$F$5:$F$1004,"&gt;="&amp;TODAY()))&gt;0,"1級",IF((COUNTIFS('資格研修記録'!$A$5:$A$1004,A179,'資格研修記録'!$D$5:$D$1004,"小型船舶2級",'資格研修記録'!$F$5:$F$1004,"")+COUNTIFS('資格研修記録'!$A$5:$A$1004,A179,'資格研修記録'!$D$5:$D$1004,"小型船舶2級",'資格研修記録'!$F$5:$F$1004,"&gt;="&amp;TODAY()))&gt;0,"2級",IF(COUNTIFS('資格研修記録'!$A$5:$A$1004,A179,'資格研修記録'!$D$5:$D$1004,"小型船舶1級")+COUNTIFS('資格研修記録'!$A$5:$A$1004,A179,'資格研修記録'!$D$5:$D$1004,"小型船舶2級")&gt;0,"× 1・2級 期限切れ",""))),IF((COUNTIFS('資格研修記録'!$A$5:$A$1004,A179,'資格研修記録'!$D$5:$D$1004,"小型船舶特殊",'資格研修記録'!$F$5:$F$1004,"")+COUNTIFS('資格研修記録'!$A$5:$A$1004,A179,'資格研修記録'!$D$5:$D$1004,"小型船舶特殊",'資格研修記録'!$F$5:$F$1004,"&gt;="&amp;TODAY()))&gt;0,"特殊",IF(COUNTIFS('資格研修記録'!$A$5:$A$1004,A179,'資格研修記録'!$D$5:$D$1004,"小型船舶特殊")&gt;0,"× 特殊 期限切れ","")))))</f>
        <v/>
      </c>
      <c r="H179" s="15">
        <f>IF(A179="","",COUNTIFS('潜水記録'!$B$5:$B$3004,A179,'潜水記録'!$AF$5:$AF$3004,$D$2))</f>
        <v/>
      </c>
      <c r="I179" s="15">
        <f>IF(A179="","",COUNTIF('潜水記録'!$B$5:$B$3004,A179))</f>
        <v/>
      </c>
      <c r="J179" s="15">
        <f>IF(A179="","",SUMIF('潜水記録'!$B$5:$B$3004,A179,'潜水記録'!$H$5:$H$3004))</f>
        <v/>
      </c>
      <c r="K179" s="15">
        <f>IF(A179="","",IF(I179=0,"",_xlfn.MAXIFS('潜水記録'!$G$5:$G$3004,'潜水記録'!$B$5:$B$3004,A179)))</f>
        <v/>
      </c>
      <c r="L179" s="16">
        <f>IF(A179="","",IF(I179=0,"",_xlfn.MAXIFS('潜水記録'!$A$5:$A$3004,'潜水記録'!$B$5:$B$3004,A179)))</f>
        <v/>
      </c>
      <c r="M179" s="15">
        <f>IF(L179="","",$B$2-L179)</f>
        <v/>
      </c>
    </row>
    <row r="180">
      <c r="A180" s="14">
        <f>IF('隊員マスタ'!A177="","",'隊員マスタ'!A177)</f>
        <v/>
      </c>
      <c r="B180" s="14">
        <f>IF(A180="","",'隊員マスタ'!B177)</f>
        <v/>
      </c>
      <c r="C180" s="14">
        <f>IF(A180="","",'隊員マスタ'!C177)</f>
        <v/>
      </c>
      <c r="D180" s="15">
        <f>IF(A180="","",'隊員マスタ'!D177)</f>
        <v/>
      </c>
      <c r="E180" s="15">
        <f>IF(A180="","",IF(COUNTIFS('資格研修記録'!$A$5:$A$1004,A180,'資格研修記録'!$D$5:$D$1004,"潜水士免許")&gt;0,"有","無"))</f>
        <v/>
      </c>
      <c r="F180" s="15">
        <f>IF(A180="","",IF(COUNTIFS('資格研修記録'!$A$5:$A$1004,A180,'資格研修記録'!$D$5:$D$1004,"水難救助研修")&gt;0,"修了","—"))</f>
        <v/>
      </c>
      <c r="G180" s="14">
        <f>IF(A180="","",IF((IF((COUNTIFS('資格研修記録'!$A$5:$A$1004,A180,'資格研修記録'!$D$5:$D$1004,"小型船舶1級",'資格研修記録'!$F$5:$F$1004,"")+COUNTIFS('資格研修記録'!$A$5:$A$1004,A180,'資格研修記録'!$D$5:$D$1004,"小型船舶1級",'資格研修記録'!$F$5:$F$1004,"&gt;="&amp;TODAY()))&gt;0,"1級",IF((COUNTIFS('資格研修記録'!$A$5:$A$1004,A180,'資格研修記録'!$D$5:$D$1004,"小型船舶2級",'資格研修記録'!$F$5:$F$1004,"")+COUNTIFS('資格研修記録'!$A$5:$A$1004,A180,'資格研修記録'!$D$5:$D$1004,"小型船舶2級",'資格研修記録'!$F$5:$F$1004,"&gt;="&amp;TODAY()))&gt;0,"2級",IF(COUNTIFS('資格研修記録'!$A$5:$A$1004,A180,'資格研修記録'!$D$5:$D$1004,"小型船舶1級")+COUNTIFS('資格研修記録'!$A$5:$A$1004,A180,'資格研修記録'!$D$5:$D$1004,"小型船舶2級")&gt;0,"× 1・2級 期限切れ",""))))&amp;(IF((COUNTIFS('資格研修記録'!$A$5:$A$1004,A180,'資格研修記録'!$D$5:$D$1004,"小型船舶特殊",'資格研修記録'!$F$5:$F$1004,"")+COUNTIFS('資格研修記録'!$A$5:$A$1004,A180,'資格研修記録'!$D$5:$D$1004,"小型船舶特殊",'資格研修記録'!$F$5:$F$1004,"&gt;="&amp;TODAY()))&gt;0,"特殊",IF(COUNTIFS('資格研修記録'!$A$5:$A$1004,A180,'資格研修記録'!$D$5:$D$1004,"小型船舶特殊")&gt;0,"× 特殊 期限切れ","")))="","—",_xlfn.TEXTJOIN("・",TRUE,IF((COUNTIFS('資格研修記録'!$A$5:$A$1004,A180,'資格研修記録'!$D$5:$D$1004,"小型船舶1級",'資格研修記録'!$F$5:$F$1004,"")+COUNTIFS('資格研修記録'!$A$5:$A$1004,A180,'資格研修記録'!$D$5:$D$1004,"小型船舶1級",'資格研修記録'!$F$5:$F$1004,"&gt;="&amp;TODAY()))&gt;0,"1級",IF((COUNTIFS('資格研修記録'!$A$5:$A$1004,A180,'資格研修記録'!$D$5:$D$1004,"小型船舶2級",'資格研修記録'!$F$5:$F$1004,"")+COUNTIFS('資格研修記録'!$A$5:$A$1004,A180,'資格研修記録'!$D$5:$D$1004,"小型船舶2級",'資格研修記録'!$F$5:$F$1004,"&gt;="&amp;TODAY()))&gt;0,"2級",IF(COUNTIFS('資格研修記録'!$A$5:$A$1004,A180,'資格研修記録'!$D$5:$D$1004,"小型船舶1級")+COUNTIFS('資格研修記録'!$A$5:$A$1004,A180,'資格研修記録'!$D$5:$D$1004,"小型船舶2級")&gt;0,"× 1・2級 期限切れ",""))),IF((COUNTIFS('資格研修記録'!$A$5:$A$1004,A180,'資格研修記録'!$D$5:$D$1004,"小型船舶特殊",'資格研修記録'!$F$5:$F$1004,"")+COUNTIFS('資格研修記録'!$A$5:$A$1004,A180,'資格研修記録'!$D$5:$D$1004,"小型船舶特殊",'資格研修記録'!$F$5:$F$1004,"&gt;="&amp;TODAY()))&gt;0,"特殊",IF(COUNTIFS('資格研修記録'!$A$5:$A$1004,A180,'資格研修記録'!$D$5:$D$1004,"小型船舶特殊")&gt;0,"× 特殊 期限切れ","")))))</f>
        <v/>
      </c>
      <c r="H180" s="15">
        <f>IF(A180="","",COUNTIFS('潜水記録'!$B$5:$B$3004,A180,'潜水記録'!$AF$5:$AF$3004,$D$2))</f>
        <v/>
      </c>
      <c r="I180" s="15">
        <f>IF(A180="","",COUNTIF('潜水記録'!$B$5:$B$3004,A180))</f>
        <v/>
      </c>
      <c r="J180" s="15">
        <f>IF(A180="","",SUMIF('潜水記録'!$B$5:$B$3004,A180,'潜水記録'!$H$5:$H$3004))</f>
        <v/>
      </c>
      <c r="K180" s="15">
        <f>IF(A180="","",IF(I180=0,"",_xlfn.MAXIFS('潜水記録'!$G$5:$G$3004,'潜水記録'!$B$5:$B$3004,A180)))</f>
        <v/>
      </c>
      <c r="L180" s="16">
        <f>IF(A180="","",IF(I180=0,"",_xlfn.MAXIFS('潜水記録'!$A$5:$A$3004,'潜水記録'!$B$5:$B$3004,A180)))</f>
        <v/>
      </c>
      <c r="M180" s="15">
        <f>IF(L180="","",$B$2-L180)</f>
        <v/>
      </c>
    </row>
    <row r="181">
      <c r="A181" s="14">
        <f>IF('隊員マスタ'!A178="","",'隊員マスタ'!A178)</f>
        <v/>
      </c>
      <c r="B181" s="14">
        <f>IF(A181="","",'隊員マスタ'!B178)</f>
        <v/>
      </c>
      <c r="C181" s="14">
        <f>IF(A181="","",'隊員マスタ'!C178)</f>
        <v/>
      </c>
      <c r="D181" s="15">
        <f>IF(A181="","",'隊員マスタ'!D178)</f>
        <v/>
      </c>
      <c r="E181" s="15">
        <f>IF(A181="","",IF(COUNTIFS('資格研修記録'!$A$5:$A$1004,A181,'資格研修記録'!$D$5:$D$1004,"潜水士免許")&gt;0,"有","無"))</f>
        <v/>
      </c>
      <c r="F181" s="15">
        <f>IF(A181="","",IF(COUNTIFS('資格研修記録'!$A$5:$A$1004,A181,'資格研修記録'!$D$5:$D$1004,"水難救助研修")&gt;0,"修了","—"))</f>
        <v/>
      </c>
      <c r="G181" s="14">
        <f>IF(A181="","",IF((IF((COUNTIFS('資格研修記録'!$A$5:$A$1004,A181,'資格研修記録'!$D$5:$D$1004,"小型船舶1級",'資格研修記録'!$F$5:$F$1004,"")+COUNTIFS('資格研修記録'!$A$5:$A$1004,A181,'資格研修記録'!$D$5:$D$1004,"小型船舶1級",'資格研修記録'!$F$5:$F$1004,"&gt;="&amp;TODAY()))&gt;0,"1級",IF((COUNTIFS('資格研修記録'!$A$5:$A$1004,A181,'資格研修記録'!$D$5:$D$1004,"小型船舶2級",'資格研修記録'!$F$5:$F$1004,"")+COUNTIFS('資格研修記録'!$A$5:$A$1004,A181,'資格研修記録'!$D$5:$D$1004,"小型船舶2級",'資格研修記録'!$F$5:$F$1004,"&gt;="&amp;TODAY()))&gt;0,"2級",IF(COUNTIFS('資格研修記録'!$A$5:$A$1004,A181,'資格研修記録'!$D$5:$D$1004,"小型船舶1級")+COUNTIFS('資格研修記録'!$A$5:$A$1004,A181,'資格研修記録'!$D$5:$D$1004,"小型船舶2級")&gt;0,"× 1・2級 期限切れ",""))))&amp;(IF((COUNTIFS('資格研修記録'!$A$5:$A$1004,A181,'資格研修記録'!$D$5:$D$1004,"小型船舶特殊",'資格研修記録'!$F$5:$F$1004,"")+COUNTIFS('資格研修記録'!$A$5:$A$1004,A181,'資格研修記録'!$D$5:$D$1004,"小型船舶特殊",'資格研修記録'!$F$5:$F$1004,"&gt;="&amp;TODAY()))&gt;0,"特殊",IF(COUNTIFS('資格研修記録'!$A$5:$A$1004,A181,'資格研修記録'!$D$5:$D$1004,"小型船舶特殊")&gt;0,"× 特殊 期限切れ","")))="","—",_xlfn.TEXTJOIN("・",TRUE,IF((COUNTIFS('資格研修記録'!$A$5:$A$1004,A181,'資格研修記録'!$D$5:$D$1004,"小型船舶1級",'資格研修記録'!$F$5:$F$1004,"")+COUNTIFS('資格研修記録'!$A$5:$A$1004,A181,'資格研修記録'!$D$5:$D$1004,"小型船舶1級",'資格研修記録'!$F$5:$F$1004,"&gt;="&amp;TODAY()))&gt;0,"1級",IF((COUNTIFS('資格研修記録'!$A$5:$A$1004,A181,'資格研修記録'!$D$5:$D$1004,"小型船舶2級",'資格研修記録'!$F$5:$F$1004,"")+COUNTIFS('資格研修記録'!$A$5:$A$1004,A181,'資格研修記録'!$D$5:$D$1004,"小型船舶2級",'資格研修記録'!$F$5:$F$1004,"&gt;="&amp;TODAY()))&gt;0,"2級",IF(COUNTIFS('資格研修記録'!$A$5:$A$1004,A181,'資格研修記録'!$D$5:$D$1004,"小型船舶1級")+COUNTIFS('資格研修記録'!$A$5:$A$1004,A181,'資格研修記録'!$D$5:$D$1004,"小型船舶2級")&gt;0,"× 1・2級 期限切れ",""))),IF((COUNTIFS('資格研修記録'!$A$5:$A$1004,A181,'資格研修記録'!$D$5:$D$1004,"小型船舶特殊",'資格研修記録'!$F$5:$F$1004,"")+COUNTIFS('資格研修記録'!$A$5:$A$1004,A181,'資格研修記録'!$D$5:$D$1004,"小型船舶特殊",'資格研修記録'!$F$5:$F$1004,"&gt;="&amp;TODAY()))&gt;0,"特殊",IF(COUNTIFS('資格研修記録'!$A$5:$A$1004,A181,'資格研修記録'!$D$5:$D$1004,"小型船舶特殊")&gt;0,"× 特殊 期限切れ","")))))</f>
        <v/>
      </c>
      <c r="H181" s="15">
        <f>IF(A181="","",COUNTIFS('潜水記録'!$B$5:$B$3004,A181,'潜水記録'!$AF$5:$AF$3004,$D$2))</f>
        <v/>
      </c>
      <c r="I181" s="15">
        <f>IF(A181="","",COUNTIF('潜水記録'!$B$5:$B$3004,A181))</f>
        <v/>
      </c>
      <c r="J181" s="15">
        <f>IF(A181="","",SUMIF('潜水記録'!$B$5:$B$3004,A181,'潜水記録'!$H$5:$H$3004))</f>
        <v/>
      </c>
      <c r="K181" s="15">
        <f>IF(A181="","",IF(I181=0,"",_xlfn.MAXIFS('潜水記録'!$G$5:$G$3004,'潜水記録'!$B$5:$B$3004,A181)))</f>
        <v/>
      </c>
      <c r="L181" s="16">
        <f>IF(A181="","",IF(I181=0,"",_xlfn.MAXIFS('潜水記録'!$A$5:$A$3004,'潜水記録'!$B$5:$B$3004,A181)))</f>
        <v/>
      </c>
      <c r="M181" s="15">
        <f>IF(L181="","",$B$2-L181)</f>
        <v/>
      </c>
    </row>
    <row r="182">
      <c r="A182" s="14">
        <f>IF('隊員マスタ'!A179="","",'隊員マスタ'!A179)</f>
        <v/>
      </c>
      <c r="B182" s="14">
        <f>IF(A182="","",'隊員マスタ'!B179)</f>
        <v/>
      </c>
      <c r="C182" s="14">
        <f>IF(A182="","",'隊員マスタ'!C179)</f>
        <v/>
      </c>
      <c r="D182" s="15">
        <f>IF(A182="","",'隊員マスタ'!D179)</f>
        <v/>
      </c>
      <c r="E182" s="15">
        <f>IF(A182="","",IF(COUNTIFS('資格研修記録'!$A$5:$A$1004,A182,'資格研修記録'!$D$5:$D$1004,"潜水士免許")&gt;0,"有","無"))</f>
        <v/>
      </c>
      <c r="F182" s="15">
        <f>IF(A182="","",IF(COUNTIFS('資格研修記録'!$A$5:$A$1004,A182,'資格研修記録'!$D$5:$D$1004,"水難救助研修")&gt;0,"修了","—"))</f>
        <v/>
      </c>
      <c r="G182" s="14">
        <f>IF(A182="","",IF((IF((COUNTIFS('資格研修記録'!$A$5:$A$1004,A182,'資格研修記録'!$D$5:$D$1004,"小型船舶1級",'資格研修記録'!$F$5:$F$1004,"")+COUNTIFS('資格研修記録'!$A$5:$A$1004,A182,'資格研修記録'!$D$5:$D$1004,"小型船舶1級",'資格研修記録'!$F$5:$F$1004,"&gt;="&amp;TODAY()))&gt;0,"1級",IF((COUNTIFS('資格研修記録'!$A$5:$A$1004,A182,'資格研修記録'!$D$5:$D$1004,"小型船舶2級",'資格研修記録'!$F$5:$F$1004,"")+COUNTIFS('資格研修記録'!$A$5:$A$1004,A182,'資格研修記録'!$D$5:$D$1004,"小型船舶2級",'資格研修記録'!$F$5:$F$1004,"&gt;="&amp;TODAY()))&gt;0,"2級",IF(COUNTIFS('資格研修記録'!$A$5:$A$1004,A182,'資格研修記録'!$D$5:$D$1004,"小型船舶1級")+COUNTIFS('資格研修記録'!$A$5:$A$1004,A182,'資格研修記録'!$D$5:$D$1004,"小型船舶2級")&gt;0,"× 1・2級 期限切れ",""))))&amp;(IF((COUNTIFS('資格研修記録'!$A$5:$A$1004,A182,'資格研修記録'!$D$5:$D$1004,"小型船舶特殊",'資格研修記録'!$F$5:$F$1004,"")+COUNTIFS('資格研修記録'!$A$5:$A$1004,A182,'資格研修記録'!$D$5:$D$1004,"小型船舶特殊",'資格研修記録'!$F$5:$F$1004,"&gt;="&amp;TODAY()))&gt;0,"特殊",IF(COUNTIFS('資格研修記録'!$A$5:$A$1004,A182,'資格研修記録'!$D$5:$D$1004,"小型船舶特殊")&gt;0,"× 特殊 期限切れ","")))="","—",_xlfn.TEXTJOIN("・",TRUE,IF((COUNTIFS('資格研修記録'!$A$5:$A$1004,A182,'資格研修記録'!$D$5:$D$1004,"小型船舶1級",'資格研修記録'!$F$5:$F$1004,"")+COUNTIFS('資格研修記録'!$A$5:$A$1004,A182,'資格研修記録'!$D$5:$D$1004,"小型船舶1級",'資格研修記録'!$F$5:$F$1004,"&gt;="&amp;TODAY()))&gt;0,"1級",IF((COUNTIFS('資格研修記録'!$A$5:$A$1004,A182,'資格研修記録'!$D$5:$D$1004,"小型船舶2級",'資格研修記録'!$F$5:$F$1004,"")+COUNTIFS('資格研修記録'!$A$5:$A$1004,A182,'資格研修記録'!$D$5:$D$1004,"小型船舶2級",'資格研修記録'!$F$5:$F$1004,"&gt;="&amp;TODAY()))&gt;0,"2級",IF(COUNTIFS('資格研修記録'!$A$5:$A$1004,A182,'資格研修記録'!$D$5:$D$1004,"小型船舶1級")+COUNTIFS('資格研修記録'!$A$5:$A$1004,A182,'資格研修記録'!$D$5:$D$1004,"小型船舶2級")&gt;0,"× 1・2級 期限切れ",""))),IF((COUNTIFS('資格研修記録'!$A$5:$A$1004,A182,'資格研修記録'!$D$5:$D$1004,"小型船舶特殊",'資格研修記録'!$F$5:$F$1004,"")+COUNTIFS('資格研修記録'!$A$5:$A$1004,A182,'資格研修記録'!$D$5:$D$1004,"小型船舶特殊",'資格研修記録'!$F$5:$F$1004,"&gt;="&amp;TODAY()))&gt;0,"特殊",IF(COUNTIFS('資格研修記録'!$A$5:$A$1004,A182,'資格研修記録'!$D$5:$D$1004,"小型船舶特殊")&gt;0,"× 特殊 期限切れ","")))))</f>
        <v/>
      </c>
      <c r="H182" s="15">
        <f>IF(A182="","",COUNTIFS('潜水記録'!$B$5:$B$3004,A182,'潜水記録'!$AF$5:$AF$3004,$D$2))</f>
        <v/>
      </c>
      <c r="I182" s="15">
        <f>IF(A182="","",COUNTIF('潜水記録'!$B$5:$B$3004,A182))</f>
        <v/>
      </c>
      <c r="J182" s="15">
        <f>IF(A182="","",SUMIF('潜水記録'!$B$5:$B$3004,A182,'潜水記録'!$H$5:$H$3004))</f>
        <v/>
      </c>
      <c r="K182" s="15">
        <f>IF(A182="","",IF(I182=0,"",_xlfn.MAXIFS('潜水記録'!$G$5:$G$3004,'潜水記録'!$B$5:$B$3004,A182)))</f>
        <v/>
      </c>
      <c r="L182" s="16">
        <f>IF(A182="","",IF(I182=0,"",_xlfn.MAXIFS('潜水記録'!$A$5:$A$3004,'潜水記録'!$B$5:$B$3004,A182)))</f>
        <v/>
      </c>
      <c r="M182" s="15">
        <f>IF(L182="","",$B$2-L182)</f>
        <v/>
      </c>
    </row>
    <row r="183">
      <c r="A183" s="14">
        <f>IF('隊員マスタ'!A180="","",'隊員マスタ'!A180)</f>
        <v/>
      </c>
      <c r="B183" s="14">
        <f>IF(A183="","",'隊員マスタ'!B180)</f>
        <v/>
      </c>
      <c r="C183" s="14">
        <f>IF(A183="","",'隊員マスタ'!C180)</f>
        <v/>
      </c>
      <c r="D183" s="15">
        <f>IF(A183="","",'隊員マスタ'!D180)</f>
        <v/>
      </c>
      <c r="E183" s="15">
        <f>IF(A183="","",IF(COUNTIFS('資格研修記録'!$A$5:$A$1004,A183,'資格研修記録'!$D$5:$D$1004,"潜水士免許")&gt;0,"有","無"))</f>
        <v/>
      </c>
      <c r="F183" s="15">
        <f>IF(A183="","",IF(COUNTIFS('資格研修記録'!$A$5:$A$1004,A183,'資格研修記録'!$D$5:$D$1004,"水難救助研修")&gt;0,"修了","—"))</f>
        <v/>
      </c>
      <c r="G183" s="14">
        <f>IF(A183="","",IF((IF((COUNTIFS('資格研修記録'!$A$5:$A$1004,A183,'資格研修記録'!$D$5:$D$1004,"小型船舶1級",'資格研修記録'!$F$5:$F$1004,"")+COUNTIFS('資格研修記録'!$A$5:$A$1004,A183,'資格研修記録'!$D$5:$D$1004,"小型船舶1級",'資格研修記録'!$F$5:$F$1004,"&gt;="&amp;TODAY()))&gt;0,"1級",IF((COUNTIFS('資格研修記録'!$A$5:$A$1004,A183,'資格研修記録'!$D$5:$D$1004,"小型船舶2級",'資格研修記録'!$F$5:$F$1004,"")+COUNTIFS('資格研修記録'!$A$5:$A$1004,A183,'資格研修記録'!$D$5:$D$1004,"小型船舶2級",'資格研修記録'!$F$5:$F$1004,"&gt;="&amp;TODAY()))&gt;0,"2級",IF(COUNTIFS('資格研修記録'!$A$5:$A$1004,A183,'資格研修記録'!$D$5:$D$1004,"小型船舶1級")+COUNTIFS('資格研修記録'!$A$5:$A$1004,A183,'資格研修記録'!$D$5:$D$1004,"小型船舶2級")&gt;0,"× 1・2級 期限切れ",""))))&amp;(IF((COUNTIFS('資格研修記録'!$A$5:$A$1004,A183,'資格研修記録'!$D$5:$D$1004,"小型船舶特殊",'資格研修記録'!$F$5:$F$1004,"")+COUNTIFS('資格研修記録'!$A$5:$A$1004,A183,'資格研修記録'!$D$5:$D$1004,"小型船舶特殊",'資格研修記録'!$F$5:$F$1004,"&gt;="&amp;TODAY()))&gt;0,"特殊",IF(COUNTIFS('資格研修記録'!$A$5:$A$1004,A183,'資格研修記録'!$D$5:$D$1004,"小型船舶特殊")&gt;0,"× 特殊 期限切れ","")))="","—",_xlfn.TEXTJOIN("・",TRUE,IF((COUNTIFS('資格研修記録'!$A$5:$A$1004,A183,'資格研修記録'!$D$5:$D$1004,"小型船舶1級",'資格研修記録'!$F$5:$F$1004,"")+COUNTIFS('資格研修記録'!$A$5:$A$1004,A183,'資格研修記録'!$D$5:$D$1004,"小型船舶1級",'資格研修記録'!$F$5:$F$1004,"&gt;="&amp;TODAY()))&gt;0,"1級",IF((COUNTIFS('資格研修記録'!$A$5:$A$1004,A183,'資格研修記録'!$D$5:$D$1004,"小型船舶2級",'資格研修記録'!$F$5:$F$1004,"")+COUNTIFS('資格研修記録'!$A$5:$A$1004,A183,'資格研修記録'!$D$5:$D$1004,"小型船舶2級",'資格研修記録'!$F$5:$F$1004,"&gt;="&amp;TODAY()))&gt;0,"2級",IF(COUNTIFS('資格研修記録'!$A$5:$A$1004,A183,'資格研修記録'!$D$5:$D$1004,"小型船舶1級")+COUNTIFS('資格研修記録'!$A$5:$A$1004,A183,'資格研修記録'!$D$5:$D$1004,"小型船舶2級")&gt;0,"× 1・2級 期限切れ",""))),IF((COUNTIFS('資格研修記録'!$A$5:$A$1004,A183,'資格研修記録'!$D$5:$D$1004,"小型船舶特殊",'資格研修記録'!$F$5:$F$1004,"")+COUNTIFS('資格研修記録'!$A$5:$A$1004,A183,'資格研修記録'!$D$5:$D$1004,"小型船舶特殊",'資格研修記録'!$F$5:$F$1004,"&gt;="&amp;TODAY()))&gt;0,"特殊",IF(COUNTIFS('資格研修記録'!$A$5:$A$1004,A183,'資格研修記録'!$D$5:$D$1004,"小型船舶特殊")&gt;0,"× 特殊 期限切れ","")))))</f>
        <v/>
      </c>
      <c r="H183" s="15">
        <f>IF(A183="","",COUNTIFS('潜水記録'!$B$5:$B$3004,A183,'潜水記録'!$AF$5:$AF$3004,$D$2))</f>
        <v/>
      </c>
      <c r="I183" s="15">
        <f>IF(A183="","",COUNTIF('潜水記録'!$B$5:$B$3004,A183))</f>
        <v/>
      </c>
      <c r="J183" s="15">
        <f>IF(A183="","",SUMIF('潜水記録'!$B$5:$B$3004,A183,'潜水記録'!$H$5:$H$3004))</f>
        <v/>
      </c>
      <c r="K183" s="15">
        <f>IF(A183="","",IF(I183=0,"",_xlfn.MAXIFS('潜水記録'!$G$5:$G$3004,'潜水記録'!$B$5:$B$3004,A183)))</f>
        <v/>
      </c>
      <c r="L183" s="16">
        <f>IF(A183="","",IF(I183=0,"",_xlfn.MAXIFS('潜水記録'!$A$5:$A$3004,'潜水記録'!$B$5:$B$3004,A183)))</f>
        <v/>
      </c>
      <c r="M183" s="15">
        <f>IF(L183="","",$B$2-L183)</f>
        <v/>
      </c>
    </row>
    <row r="184">
      <c r="A184" s="14">
        <f>IF('隊員マスタ'!A181="","",'隊員マスタ'!A181)</f>
        <v/>
      </c>
      <c r="B184" s="14">
        <f>IF(A184="","",'隊員マスタ'!B181)</f>
        <v/>
      </c>
      <c r="C184" s="14">
        <f>IF(A184="","",'隊員マスタ'!C181)</f>
        <v/>
      </c>
      <c r="D184" s="15">
        <f>IF(A184="","",'隊員マスタ'!D181)</f>
        <v/>
      </c>
      <c r="E184" s="15">
        <f>IF(A184="","",IF(COUNTIFS('資格研修記録'!$A$5:$A$1004,A184,'資格研修記録'!$D$5:$D$1004,"潜水士免許")&gt;0,"有","無"))</f>
        <v/>
      </c>
      <c r="F184" s="15">
        <f>IF(A184="","",IF(COUNTIFS('資格研修記録'!$A$5:$A$1004,A184,'資格研修記録'!$D$5:$D$1004,"水難救助研修")&gt;0,"修了","—"))</f>
        <v/>
      </c>
      <c r="G184" s="14">
        <f>IF(A184="","",IF((IF((COUNTIFS('資格研修記録'!$A$5:$A$1004,A184,'資格研修記録'!$D$5:$D$1004,"小型船舶1級",'資格研修記録'!$F$5:$F$1004,"")+COUNTIFS('資格研修記録'!$A$5:$A$1004,A184,'資格研修記録'!$D$5:$D$1004,"小型船舶1級",'資格研修記録'!$F$5:$F$1004,"&gt;="&amp;TODAY()))&gt;0,"1級",IF((COUNTIFS('資格研修記録'!$A$5:$A$1004,A184,'資格研修記録'!$D$5:$D$1004,"小型船舶2級",'資格研修記録'!$F$5:$F$1004,"")+COUNTIFS('資格研修記録'!$A$5:$A$1004,A184,'資格研修記録'!$D$5:$D$1004,"小型船舶2級",'資格研修記録'!$F$5:$F$1004,"&gt;="&amp;TODAY()))&gt;0,"2級",IF(COUNTIFS('資格研修記録'!$A$5:$A$1004,A184,'資格研修記録'!$D$5:$D$1004,"小型船舶1級")+COUNTIFS('資格研修記録'!$A$5:$A$1004,A184,'資格研修記録'!$D$5:$D$1004,"小型船舶2級")&gt;0,"× 1・2級 期限切れ",""))))&amp;(IF((COUNTIFS('資格研修記録'!$A$5:$A$1004,A184,'資格研修記録'!$D$5:$D$1004,"小型船舶特殊",'資格研修記録'!$F$5:$F$1004,"")+COUNTIFS('資格研修記録'!$A$5:$A$1004,A184,'資格研修記録'!$D$5:$D$1004,"小型船舶特殊",'資格研修記録'!$F$5:$F$1004,"&gt;="&amp;TODAY()))&gt;0,"特殊",IF(COUNTIFS('資格研修記録'!$A$5:$A$1004,A184,'資格研修記録'!$D$5:$D$1004,"小型船舶特殊")&gt;0,"× 特殊 期限切れ","")))="","—",_xlfn.TEXTJOIN("・",TRUE,IF((COUNTIFS('資格研修記録'!$A$5:$A$1004,A184,'資格研修記録'!$D$5:$D$1004,"小型船舶1級",'資格研修記録'!$F$5:$F$1004,"")+COUNTIFS('資格研修記録'!$A$5:$A$1004,A184,'資格研修記録'!$D$5:$D$1004,"小型船舶1級",'資格研修記録'!$F$5:$F$1004,"&gt;="&amp;TODAY()))&gt;0,"1級",IF((COUNTIFS('資格研修記録'!$A$5:$A$1004,A184,'資格研修記録'!$D$5:$D$1004,"小型船舶2級",'資格研修記録'!$F$5:$F$1004,"")+COUNTIFS('資格研修記録'!$A$5:$A$1004,A184,'資格研修記録'!$D$5:$D$1004,"小型船舶2級",'資格研修記録'!$F$5:$F$1004,"&gt;="&amp;TODAY()))&gt;0,"2級",IF(COUNTIFS('資格研修記録'!$A$5:$A$1004,A184,'資格研修記録'!$D$5:$D$1004,"小型船舶1級")+COUNTIFS('資格研修記録'!$A$5:$A$1004,A184,'資格研修記録'!$D$5:$D$1004,"小型船舶2級")&gt;0,"× 1・2級 期限切れ",""))),IF((COUNTIFS('資格研修記録'!$A$5:$A$1004,A184,'資格研修記録'!$D$5:$D$1004,"小型船舶特殊",'資格研修記録'!$F$5:$F$1004,"")+COUNTIFS('資格研修記録'!$A$5:$A$1004,A184,'資格研修記録'!$D$5:$D$1004,"小型船舶特殊",'資格研修記録'!$F$5:$F$1004,"&gt;="&amp;TODAY()))&gt;0,"特殊",IF(COUNTIFS('資格研修記録'!$A$5:$A$1004,A184,'資格研修記録'!$D$5:$D$1004,"小型船舶特殊")&gt;0,"× 特殊 期限切れ","")))))</f>
        <v/>
      </c>
      <c r="H184" s="15">
        <f>IF(A184="","",COUNTIFS('潜水記録'!$B$5:$B$3004,A184,'潜水記録'!$AF$5:$AF$3004,$D$2))</f>
        <v/>
      </c>
      <c r="I184" s="15">
        <f>IF(A184="","",COUNTIF('潜水記録'!$B$5:$B$3004,A184))</f>
        <v/>
      </c>
      <c r="J184" s="15">
        <f>IF(A184="","",SUMIF('潜水記録'!$B$5:$B$3004,A184,'潜水記録'!$H$5:$H$3004))</f>
        <v/>
      </c>
      <c r="K184" s="15">
        <f>IF(A184="","",IF(I184=0,"",_xlfn.MAXIFS('潜水記録'!$G$5:$G$3004,'潜水記録'!$B$5:$B$3004,A184)))</f>
        <v/>
      </c>
      <c r="L184" s="16">
        <f>IF(A184="","",IF(I184=0,"",_xlfn.MAXIFS('潜水記録'!$A$5:$A$3004,'潜水記録'!$B$5:$B$3004,A184)))</f>
        <v/>
      </c>
      <c r="M184" s="15">
        <f>IF(L184="","",$B$2-L184)</f>
        <v/>
      </c>
    </row>
    <row r="185">
      <c r="A185" s="14">
        <f>IF('隊員マスタ'!A182="","",'隊員マスタ'!A182)</f>
        <v/>
      </c>
      <c r="B185" s="14">
        <f>IF(A185="","",'隊員マスタ'!B182)</f>
        <v/>
      </c>
      <c r="C185" s="14">
        <f>IF(A185="","",'隊員マスタ'!C182)</f>
        <v/>
      </c>
      <c r="D185" s="15">
        <f>IF(A185="","",'隊員マスタ'!D182)</f>
        <v/>
      </c>
      <c r="E185" s="15">
        <f>IF(A185="","",IF(COUNTIFS('資格研修記録'!$A$5:$A$1004,A185,'資格研修記録'!$D$5:$D$1004,"潜水士免許")&gt;0,"有","無"))</f>
        <v/>
      </c>
      <c r="F185" s="15">
        <f>IF(A185="","",IF(COUNTIFS('資格研修記録'!$A$5:$A$1004,A185,'資格研修記録'!$D$5:$D$1004,"水難救助研修")&gt;0,"修了","—"))</f>
        <v/>
      </c>
      <c r="G185" s="14">
        <f>IF(A185="","",IF((IF((COUNTIFS('資格研修記録'!$A$5:$A$1004,A185,'資格研修記録'!$D$5:$D$1004,"小型船舶1級",'資格研修記録'!$F$5:$F$1004,"")+COUNTIFS('資格研修記録'!$A$5:$A$1004,A185,'資格研修記録'!$D$5:$D$1004,"小型船舶1級",'資格研修記録'!$F$5:$F$1004,"&gt;="&amp;TODAY()))&gt;0,"1級",IF((COUNTIFS('資格研修記録'!$A$5:$A$1004,A185,'資格研修記録'!$D$5:$D$1004,"小型船舶2級",'資格研修記録'!$F$5:$F$1004,"")+COUNTIFS('資格研修記録'!$A$5:$A$1004,A185,'資格研修記録'!$D$5:$D$1004,"小型船舶2級",'資格研修記録'!$F$5:$F$1004,"&gt;="&amp;TODAY()))&gt;0,"2級",IF(COUNTIFS('資格研修記録'!$A$5:$A$1004,A185,'資格研修記録'!$D$5:$D$1004,"小型船舶1級")+COUNTIFS('資格研修記録'!$A$5:$A$1004,A185,'資格研修記録'!$D$5:$D$1004,"小型船舶2級")&gt;0,"× 1・2級 期限切れ",""))))&amp;(IF((COUNTIFS('資格研修記録'!$A$5:$A$1004,A185,'資格研修記録'!$D$5:$D$1004,"小型船舶特殊",'資格研修記録'!$F$5:$F$1004,"")+COUNTIFS('資格研修記録'!$A$5:$A$1004,A185,'資格研修記録'!$D$5:$D$1004,"小型船舶特殊",'資格研修記録'!$F$5:$F$1004,"&gt;="&amp;TODAY()))&gt;0,"特殊",IF(COUNTIFS('資格研修記録'!$A$5:$A$1004,A185,'資格研修記録'!$D$5:$D$1004,"小型船舶特殊")&gt;0,"× 特殊 期限切れ","")))="","—",_xlfn.TEXTJOIN("・",TRUE,IF((COUNTIFS('資格研修記録'!$A$5:$A$1004,A185,'資格研修記録'!$D$5:$D$1004,"小型船舶1級",'資格研修記録'!$F$5:$F$1004,"")+COUNTIFS('資格研修記録'!$A$5:$A$1004,A185,'資格研修記録'!$D$5:$D$1004,"小型船舶1級",'資格研修記録'!$F$5:$F$1004,"&gt;="&amp;TODAY()))&gt;0,"1級",IF((COUNTIFS('資格研修記録'!$A$5:$A$1004,A185,'資格研修記録'!$D$5:$D$1004,"小型船舶2級",'資格研修記録'!$F$5:$F$1004,"")+COUNTIFS('資格研修記録'!$A$5:$A$1004,A185,'資格研修記録'!$D$5:$D$1004,"小型船舶2級",'資格研修記録'!$F$5:$F$1004,"&gt;="&amp;TODAY()))&gt;0,"2級",IF(COUNTIFS('資格研修記録'!$A$5:$A$1004,A185,'資格研修記録'!$D$5:$D$1004,"小型船舶1級")+COUNTIFS('資格研修記録'!$A$5:$A$1004,A185,'資格研修記録'!$D$5:$D$1004,"小型船舶2級")&gt;0,"× 1・2級 期限切れ",""))),IF((COUNTIFS('資格研修記録'!$A$5:$A$1004,A185,'資格研修記録'!$D$5:$D$1004,"小型船舶特殊",'資格研修記録'!$F$5:$F$1004,"")+COUNTIFS('資格研修記録'!$A$5:$A$1004,A185,'資格研修記録'!$D$5:$D$1004,"小型船舶特殊",'資格研修記録'!$F$5:$F$1004,"&gt;="&amp;TODAY()))&gt;0,"特殊",IF(COUNTIFS('資格研修記録'!$A$5:$A$1004,A185,'資格研修記録'!$D$5:$D$1004,"小型船舶特殊")&gt;0,"× 特殊 期限切れ","")))))</f>
        <v/>
      </c>
      <c r="H185" s="15">
        <f>IF(A185="","",COUNTIFS('潜水記録'!$B$5:$B$3004,A185,'潜水記録'!$AF$5:$AF$3004,$D$2))</f>
        <v/>
      </c>
      <c r="I185" s="15">
        <f>IF(A185="","",COUNTIF('潜水記録'!$B$5:$B$3004,A185))</f>
        <v/>
      </c>
      <c r="J185" s="15">
        <f>IF(A185="","",SUMIF('潜水記録'!$B$5:$B$3004,A185,'潜水記録'!$H$5:$H$3004))</f>
        <v/>
      </c>
      <c r="K185" s="15">
        <f>IF(A185="","",IF(I185=0,"",_xlfn.MAXIFS('潜水記録'!$G$5:$G$3004,'潜水記録'!$B$5:$B$3004,A185)))</f>
        <v/>
      </c>
      <c r="L185" s="16">
        <f>IF(A185="","",IF(I185=0,"",_xlfn.MAXIFS('潜水記録'!$A$5:$A$3004,'潜水記録'!$B$5:$B$3004,A185)))</f>
        <v/>
      </c>
      <c r="M185" s="15">
        <f>IF(L185="","",$B$2-L185)</f>
        <v/>
      </c>
    </row>
    <row r="186">
      <c r="A186" s="14">
        <f>IF('隊員マスタ'!A183="","",'隊員マスタ'!A183)</f>
        <v/>
      </c>
      <c r="B186" s="14">
        <f>IF(A186="","",'隊員マスタ'!B183)</f>
        <v/>
      </c>
      <c r="C186" s="14">
        <f>IF(A186="","",'隊員マスタ'!C183)</f>
        <v/>
      </c>
      <c r="D186" s="15">
        <f>IF(A186="","",'隊員マスタ'!D183)</f>
        <v/>
      </c>
      <c r="E186" s="15">
        <f>IF(A186="","",IF(COUNTIFS('資格研修記録'!$A$5:$A$1004,A186,'資格研修記録'!$D$5:$D$1004,"潜水士免許")&gt;0,"有","無"))</f>
        <v/>
      </c>
      <c r="F186" s="15">
        <f>IF(A186="","",IF(COUNTIFS('資格研修記録'!$A$5:$A$1004,A186,'資格研修記録'!$D$5:$D$1004,"水難救助研修")&gt;0,"修了","—"))</f>
        <v/>
      </c>
      <c r="G186" s="14">
        <f>IF(A186="","",IF((IF((COUNTIFS('資格研修記録'!$A$5:$A$1004,A186,'資格研修記録'!$D$5:$D$1004,"小型船舶1級",'資格研修記録'!$F$5:$F$1004,"")+COUNTIFS('資格研修記録'!$A$5:$A$1004,A186,'資格研修記録'!$D$5:$D$1004,"小型船舶1級",'資格研修記録'!$F$5:$F$1004,"&gt;="&amp;TODAY()))&gt;0,"1級",IF((COUNTIFS('資格研修記録'!$A$5:$A$1004,A186,'資格研修記録'!$D$5:$D$1004,"小型船舶2級",'資格研修記録'!$F$5:$F$1004,"")+COUNTIFS('資格研修記録'!$A$5:$A$1004,A186,'資格研修記録'!$D$5:$D$1004,"小型船舶2級",'資格研修記録'!$F$5:$F$1004,"&gt;="&amp;TODAY()))&gt;0,"2級",IF(COUNTIFS('資格研修記録'!$A$5:$A$1004,A186,'資格研修記録'!$D$5:$D$1004,"小型船舶1級")+COUNTIFS('資格研修記録'!$A$5:$A$1004,A186,'資格研修記録'!$D$5:$D$1004,"小型船舶2級")&gt;0,"× 1・2級 期限切れ",""))))&amp;(IF((COUNTIFS('資格研修記録'!$A$5:$A$1004,A186,'資格研修記録'!$D$5:$D$1004,"小型船舶特殊",'資格研修記録'!$F$5:$F$1004,"")+COUNTIFS('資格研修記録'!$A$5:$A$1004,A186,'資格研修記録'!$D$5:$D$1004,"小型船舶特殊",'資格研修記録'!$F$5:$F$1004,"&gt;="&amp;TODAY()))&gt;0,"特殊",IF(COUNTIFS('資格研修記録'!$A$5:$A$1004,A186,'資格研修記録'!$D$5:$D$1004,"小型船舶特殊")&gt;0,"× 特殊 期限切れ","")))="","—",_xlfn.TEXTJOIN("・",TRUE,IF((COUNTIFS('資格研修記録'!$A$5:$A$1004,A186,'資格研修記録'!$D$5:$D$1004,"小型船舶1級",'資格研修記録'!$F$5:$F$1004,"")+COUNTIFS('資格研修記録'!$A$5:$A$1004,A186,'資格研修記録'!$D$5:$D$1004,"小型船舶1級",'資格研修記録'!$F$5:$F$1004,"&gt;="&amp;TODAY()))&gt;0,"1級",IF((COUNTIFS('資格研修記録'!$A$5:$A$1004,A186,'資格研修記録'!$D$5:$D$1004,"小型船舶2級",'資格研修記録'!$F$5:$F$1004,"")+COUNTIFS('資格研修記録'!$A$5:$A$1004,A186,'資格研修記録'!$D$5:$D$1004,"小型船舶2級",'資格研修記録'!$F$5:$F$1004,"&gt;="&amp;TODAY()))&gt;0,"2級",IF(COUNTIFS('資格研修記録'!$A$5:$A$1004,A186,'資格研修記録'!$D$5:$D$1004,"小型船舶1級")+COUNTIFS('資格研修記録'!$A$5:$A$1004,A186,'資格研修記録'!$D$5:$D$1004,"小型船舶2級")&gt;0,"× 1・2級 期限切れ",""))),IF((COUNTIFS('資格研修記録'!$A$5:$A$1004,A186,'資格研修記録'!$D$5:$D$1004,"小型船舶特殊",'資格研修記録'!$F$5:$F$1004,"")+COUNTIFS('資格研修記録'!$A$5:$A$1004,A186,'資格研修記録'!$D$5:$D$1004,"小型船舶特殊",'資格研修記録'!$F$5:$F$1004,"&gt;="&amp;TODAY()))&gt;0,"特殊",IF(COUNTIFS('資格研修記録'!$A$5:$A$1004,A186,'資格研修記録'!$D$5:$D$1004,"小型船舶特殊")&gt;0,"× 特殊 期限切れ","")))))</f>
        <v/>
      </c>
      <c r="H186" s="15">
        <f>IF(A186="","",COUNTIFS('潜水記録'!$B$5:$B$3004,A186,'潜水記録'!$AF$5:$AF$3004,$D$2))</f>
        <v/>
      </c>
      <c r="I186" s="15">
        <f>IF(A186="","",COUNTIF('潜水記録'!$B$5:$B$3004,A186))</f>
        <v/>
      </c>
      <c r="J186" s="15">
        <f>IF(A186="","",SUMIF('潜水記録'!$B$5:$B$3004,A186,'潜水記録'!$H$5:$H$3004))</f>
        <v/>
      </c>
      <c r="K186" s="15">
        <f>IF(A186="","",IF(I186=0,"",_xlfn.MAXIFS('潜水記録'!$G$5:$G$3004,'潜水記録'!$B$5:$B$3004,A186)))</f>
        <v/>
      </c>
      <c r="L186" s="16">
        <f>IF(A186="","",IF(I186=0,"",_xlfn.MAXIFS('潜水記録'!$A$5:$A$3004,'潜水記録'!$B$5:$B$3004,A186)))</f>
        <v/>
      </c>
      <c r="M186" s="15">
        <f>IF(L186="","",$B$2-L186)</f>
        <v/>
      </c>
    </row>
    <row r="187">
      <c r="A187" s="14">
        <f>IF('隊員マスタ'!A184="","",'隊員マスタ'!A184)</f>
        <v/>
      </c>
      <c r="B187" s="14">
        <f>IF(A187="","",'隊員マスタ'!B184)</f>
        <v/>
      </c>
      <c r="C187" s="14">
        <f>IF(A187="","",'隊員マスタ'!C184)</f>
        <v/>
      </c>
      <c r="D187" s="15">
        <f>IF(A187="","",'隊員マスタ'!D184)</f>
        <v/>
      </c>
      <c r="E187" s="15">
        <f>IF(A187="","",IF(COUNTIFS('資格研修記録'!$A$5:$A$1004,A187,'資格研修記録'!$D$5:$D$1004,"潜水士免許")&gt;0,"有","無"))</f>
        <v/>
      </c>
      <c r="F187" s="15">
        <f>IF(A187="","",IF(COUNTIFS('資格研修記録'!$A$5:$A$1004,A187,'資格研修記録'!$D$5:$D$1004,"水難救助研修")&gt;0,"修了","—"))</f>
        <v/>
      </c>
      <c r="G187" s="14">
        <f>IF(A187="","",IF((IF((COUNTIFS('資格研修記録'!$A$5:$A$1004,A187,'資格研修記録'!$D$5:$D$1004,"小型船舶1級",'資格研修記録'!$F$5:$F$1004,"")+COUNTIFS('資格研修記録'!$A$5:$A$1004,A187,'資格研修記録'!$D$5:$D$1004,"小型船舶1級",'資格研修記録'!$F$5:$F$1004,"&gt;="&amp;TODAY()))&gt;0,"1級",IF((COUNTIFS('資格研修記録'!$A$5:$A$1004,A187,'資格研修記録'!$D$5:$D$1004,"小型船舶2級",'資格研修記録'!$F$5:$F$1004,"")+COUNTIFS('資格研修記録'!$A$5:$A$1004,A187,'資格研修記録'!$D$5:$D$1004,"小型船舶2級",'資格研修記録'!$F$5:$F$1004,"&gt;="&amp;TODAY()))&gt;0,"2級",IF(COUNTIFS('資格研修記録'!$A$5:$A$1004,A187,'資格研修記録'!$D$5:$D$1004,"小型船舶1級")+COUNTIFS('資格研修記録'!$A$5:$A$1004,A187,'資格研修記録'!$D$5:$D$1004,"小型船舶2級")&gt;0,"× 1・2級 期限切れ",""))))&amp;(IF((COUNTIFS('資格研修記録'!$A$5:$A$1004,A187,'資格研修記録'!$D$5:$D$1004,"小型船舶特殊",'資格研修記録'!$F$5:$F$1004,"")+COUNTIFS('資格研修記録'!$A$5:$A$1004,A187,'資格研修記録'!$D$5:$D$1004,"小型船舶特殊",'資格研修記録'!$F$5:$F$1004,"&gt;="&amp;TODAY()))&gt;0,"特殊",IF(COUNTIFS('資格研修記録'!$A$5:$A$1004,A187,'資格研修記録'!$D$5:$D$1004,"小型船舶特殊")&gt;0,"× 特殊 期限切れ","")))="","—",_xlfn.TEXTJOIN("・",TRUE,IF((COUNTIFS('資格研修記録'!$A$5:$A$1004,A187,'資格研修記録'!$D$5:$D$1004,"小型船舶1級",'資格研修記録'!$F$5:$F$1004,"")+COUNTIFS('資格研修記録'!$A$5:$A$1004,A187,'資格研修記録'!$D$5:$D$1004,"小型船舶1級",'資格研修記録'!$F$5:$F$1004,"&gt;="&amp;TODAY()))&gt;0,"1級",IF((COUNTIFS('資格研修記録'!$A$5:$A$1004,A187,'資格研修記録'!$D$5:$D$1004,"小型船舶2級",'資格研修記録'!$F$5:$F$1004,"")+COUNTIFS('資格研修記録'!$A$5:$A$1004,A187,'資格研修記録'!$D$5:$D$1004,"小型船舶2級",'資格研修記録'!$F$5:$F$1004,"&gt;="&amp;TODAY()))&gt;0,"2級",IF(COUNTIFS('資格研修記録'!$A$5:$A$1004,A187,'資格研修記録'!$D$5:$D$1004,"小型船舶1級")+COUNTIFS('資格研修記録'!$A$5:$A$1004,A187,'資格研修記録'!$D$5:$D$1004,"小型船舶2級")&gt;0,"× 1・2級 期限切れ",""))),IF((COUNTIFS('資格研修記録'!$A$5:$A$1004,A187,'資格研修記録'!$D$5:$D$1004,"小型船舶特殊",'資格研修記録'!$F$5:$F$1004,"")+COUNTIFS('資格研修記録'!$A$5:$A$1004,A187,'資格研修記録'!$D$5:$D$1004,"小型船舶特殊",'資格研修記録'!$F$5:$F$1004,"&gt;="&amp;TODAY()))&gt;0,"特殊",IF(COUNTIFS('資格研修記録'!$A$5:$A$1004,A187,'資格研修記録'!$D$5:$D$1004,"小型船舶特殊")&gt;0,"× 特殊 期限切れ","")))))</f>
        <v/>
      </c>
      <c r="H187" s="15">
        <f>IF(A187="","",COUNTIFS('潜水記録'!$B$5:$B$3004,A187,'潜水記録'!$AF$5:$AF$3004,$D$2))</f>
        <v/>
      </c>
      <c r="I187" s="15">
        <f>IF(A187="","",COUNTIF('潜水記録'!$B$5:$B$3004,A187))</f>
        <v/>
      </c>
      <c r="J187" s="15">
        <f>IF(A187="","",SUMIF('潜水記録'!$B$5:$B$3004,A187,'潜水記録'!$H$5:$H$3004))</f>
        <v/>
      </c>
      <c r="K187" s="15">
        <f>IF(A187="","",IF(I187=0,"",_xlfn.MAXIFS('潜水記録'!$G$5:$G$3004,'潜水記録'!$B$5:$B$3004,A187)))</f>
        <v/>
      </c>
      <c r="L187" s="16">
        <f>IF(A187="","",IF(I187=0,"",_xlfn.MAXIFS('潜水記録'!$A$5:$A$3004,'潜水記録'!$B$5:$B$3004,A187)))</f>
        <v/>
      </c>
      <c r="M187" s="15">
        <f>IF(L187="","",$B$2-L187)</f>
        <v/>
      </c>
    </row>
    <row r="188">
      <c r="A188" s="14">
        <f>IF('隊員マスタ'!A185="","",'隊員マスタ'!A185)</f>
        <v/>
      </c>
      <c r="B188" s="14">
        <f>IF(A188="","",'隊員マスタ'!B185)</f>
        <v/>
      </c>
      <c r="C188" s="14">
        <f>IF(A188="","",'隊員マスタ'!C185)</f>
        <v/>
      </c>
      <c r="D188" s="15">
        <f>IF(A188="","",'隊員マスタ'!D185)</f>
        <v/>
      </c>
      <c r="E188" s="15">
        <f>IF(A188="","",IF(COUNTIFS('資格研修記録'!$A$5:$A$1004,A188,'資格研修記録'!$D$5:$D$1004,"潜水士免許")&gt;0,"有","無"))</f>
        <v/>
      </c>
      <c r="F188" s="15">
        <f>IF(A188="","",IF(COUNTIFS('資格研修記録'!$A$5:$A$1004,A188,'資格研修記録'!$D$5:$D$1004,"水難救助研修")&gt;0,"修了","—"))</f>
        <v/>
      </c>
      <c r="G188" s="14">
        <f>IF(A188="","",IF((IF((COUNTIFS('資格研修記録'!$A$5:$A$1004,A188,'資格研修記録'!$D$5:$D$1004,"小型船舶1級",'資格研修記録'!$F$5:$F$1004,"")+COUNTIFS('資格研修記録'!$A$5:$A$1004,A188,'資格研修記録'!$D$5:$D$1004,"小型船舶1級",'資格研修記録'!$F$5:$F$1004,"&gt;="&amp;TODAY()))&gt;0,"1級",IF((COUNTIFS('資格研修記録'!$A$5:$A$1004,A188,'資格研修記録'!$D$5:$D$1004,"小型船舶2級",'資格研修記録'!$F$5:$F$1004,"")+COUNTIFS('資格研修記録'!$A$5:$A$1004,A188,'資格研修記録'!$D$5:$D$1004,"小型船舶2級",'資格研修記録'!$F$5:$F$1004,"&gt;="&amp;TODAY()))&gt;0,"2級",IF(COUNTIFS('資格研修記録'!$A$5:$A$1004,A188,'資格研修記録'!$D$5:$D$1004,"小型船舶1級")+COUNTIFS('資格研修記録'!$A$5:$A$1004,A188,'資格研修記録'!$D$5:$D$1004,"小型船舶2級")&gt;0,"× 1・2級 期限切れ",""))))&amp;(IF((COUNTIFS('資格研修記録'!$A$5:$A$1004,A188,'資格研修記録'!$D$5:$D$1004,"小型船舶特殊",'資格研修記録'!$F$5:$F$1004,"")+COUNTIFS('資格研修記録'!$A$5:$A$1004,A188,'資格研修記録'!$D$5:$D$1004,"小型船舶特殊",'資格研修記録'!$F$5:$F$1004,"&gt;="&amp;TODAY()))&gt;0,"特殊",IF(COUNTIFS('資格研修記録'!$A$5:$A$1004,A188,'資格研修記録'!$D$5:$D$1004,"小型船舶特殊")&gt;0,"× 特殊 期限切れ","")))="","—",_xlfn.TEXTJOIN("・",TRUE,IF((COUNTIFS('資格研修記録'!$A$5:$A$1004,A188,'資格研修記録'!$D$5:$D$1004,"小型船舶1級",'資格研修記録'!$F$5:$F$1004,"")+COUNTIFS('資格研修記録'!$A$5:$A$1004,A188,'資格研修記録'!$D$5:$D$1004,"小型船舶1級",'資格研修記録'!$F$5:$F$1004,"&gt;="&amp;TODAY()))&gt;0,"1級",IF((COUNTIFS('資格研修記録'!$A$5:$A$1004,A188,'資格研修記録'!$D$5:$D$1004,"小型船舶2級",'資格研修記録'!$F$5:$F$1004,"")+COUNTIFS('資格研修記録'!$A$5:$A$1004,A188,'資格研修記録'!$D$5:$D$1004,"小型船舶2級",'資格研修記録'!$F$5:$F$1004,"&gt;="&amp;TODAY()))&gt;0,"2級",IF(COUNTIFS('資格研修記録'!$A$5:$A$1004,A188,'資格研修記録'!$D$5:$D$1004,"小型船舶1級")+COUNTIFS('資格研修記録'!$A$5:$A$1004,A188,'資格研修記録'!$D$5:$D$1004,"小型船舶2級")&gt;0,"× 1・2級 期限切れ",""))),IF((COUNTIFS('資格研修記録'!$A$5:$A$1004,A188,'資格研修記録'!$D$5:$D$1004,"小型船舶特殊",'資格研修記録'!$F$5:$F$1004,"")+COUNTIFS('資格研修記録'!$A$5:$A$1004,A188,'資格研修記録'!$D$5:$D$1004,"小型船舶特殊",'資格研修記録'!$F$5:$F$1004,"&gt;="&amp;TODAY()))&gt;0,"特殊",IF(COUNTIFS('資格研修記録'!$A$5:$A$1004,A188,'資格研修記録'!$D$5:$D$1004,"小型船舶特殊")&gt;0,"× 特殊 期限切れ","")))))</f>
        <v/>
      </c>
      <c r="H188" s="15">
        <f>IF(A188="","",COUNTIFS('潜水記録'!$B$5:$B$3004,A188,'潜水記録'!$AF$5:$AF$3004,$D$2))</f>
        <v/>
      </c>
      <c r="I188" s="15">
        <f>IF(A188="","",COUNTIF('潜水記録'!$B$5:$B$3004,A188))</f>
        <v/>
      </c>
      <c r="J188" s="15">
        <f>IF(A188="","",SUMIF('潜水記録'!$B$5:$B$3004,A188,'潜水記録'!$H$5:$H$3004))</f>
        <v/>
      </c>
      <c r="K188" s="15">
        <f>IF(A188="","",IF(I188=0,"",_xlfn.MAXIFS('潜水記録'!$G$5:$G$3004,'潜水記録'!$B$5:$B$3004,A188)))</f>
        <v/>
      </c>
      <c r="L188" s="16">
        <f>IF(A188="","",IF(I188=0,"",_xlfn.MAXIFS('潜水記録'!$A$5:$A$3004,'潜水記録'!$B$5:$B$3004,A188)))</f>
        <v/>
      </c>
      <c r="M188" s="15">
        <f>IF(L188="","",$B$2-L188)</f>
        <v/>
      </c>
    </row>
    <row r="189">
      <c r="A189" s="14">
        <f>IF('隊員マスタ'!A186="","",'隊員マスタ'!A186)</f>
        <v/>
      </c>
      <c r="B189" s="14">
        <f>IF(A189="","",'隊員マスタ'!B186)</f>
        <v/>
      </c>
      <c r="C189" s="14">
        <f>IF(A189="","",'隊員マスタ'!C186)</f>
        <v/>
      </c>
      <c r="D189" s="15">
        <f>IF(A189="","",'隊員マスタ'!D186)</f>
        <v/>
      </c>
      <c r="E189" s="15">
        <f>IF(A189="","",IF(COUNTIFS('資格研修記録'!$A$5:$A$1004,A189,'資格研修記録'!$D$5:$D$1004,"潜水士免許")&gt;0,"有","無"))</f>
        <v/>
      </c>
      <c r="F189" s="15">
        <f>IF(A189="","",IF(COUNTIFS('資格研修記録'!$A$5:$A$1004,A189,'資格研修記録'!$D$5:$D$1004,"水難救助研修")&gt;0,"修了","—"))</f>
        <v/>
      </c>
      <c r="G189" s="14">
        <f>IF(A189="","",IF((IF((COUNTIFS('資格研修記録'!$A$5:$A$1004,A189,'資格研修記録'!$D$5:$D$1004,"小型船舶1級",'資格研修記録'!$F$5:$F$1004,"")+COUNTIFS('資格研修記録'!$A$5:$A$1004,A189,'資格研修記録'!$D$5:$D$1004,"小型船舶1級",'資格研修記録'!$F$5:$F$1004,"&gt;="&amp;TODAY()))&gt;0,"1級",IF((COUNTIFS('資格研修記録'!$A$5:$A$1004,A189,'資格研修記録'!$D$5:$D$1004,"小型船舶2級",'資格研修記録'!$F$5:$F$1004,"")+COUNTIFS('資格研修記録'!$A$5:$A$1004,A189,'資格研修記録'!$D$5:$D$1004,"小型船舶2級",'資格研修記録'!$F$5:$F$1004,"&gt;="&amp;TODAY()))&gt;0,"2級",IF(COUNTIFS('資格研修記録'!$A$5:$A$1004,A189,'資格研修記録'!$D$5:$D$1004,"小型船舶1級")+COUNTIFS('資格研修記録'!$A$5:$A$1004,A189,'資格研修記録'!$D$5:$D$1004,"小型船舶2級")&gt;0,"× 1・2級 期限切れ",""))))&amp;(IF((COUNTIFS('資格研修記録'!$A$5:$A$1004,A189,'資格研修記録'!$D$5:$D$1004,"小型船舶特殊",'資格研修記録'!$F$5:$F$1004,"")+COUNTIFS('資格研修記録'!$A$5:$A$1004,A189,'資格研修記録'!$D$5:$D$1004,"小型船舶特殊",'資格研修記録'!$F$5:$F$1004,"&gt;="&amp;TODAY()))&gt;0,"特殊",IF(COUNTIFS('資格研修記録'!$A$5:$A$1004,A189,'資格研修記録'!$D$5:$D$1004,"小型船舶特殊")&gt;0,"× 特殊 期限切れ","")))="","—",_xlfn.TEXTJOIN("・",TRUE,IF((COUNTIFS('資格研修記録'!$A$5:$A$1004,A189,'資格研修記録'!$D$5:$D$1004,"小型船舶1級",'資格研修記録'!$F$5:$F$1004,"")+COUNTIFS('資格研修記録'!$A$5:$A$1004,A189,'資格研修記録'!$D$5:$D$1004,"小型船舶1級",'資格研修記録'!$F$5:$F$1004,"&gt;="&amp;TODAY()))&gt;0,"1級",IF((COUNTIFS('資格研修記録'!$A$5:$A$1004,A189,'資格研修記録'!$D$5:$D$1004,"小型船舶2級",'資格研修記録'!$F$5:$F$1004,"")+COUNTIFS('資格研修記録'!$A$5:$A$1004,A189,'資格研修記録'!$D$5:$D$1004,"小型船舶2級",'資格研修記録'!$F$5:$F$1004,"&gt;="&amp;TODAY()))&gt;0,"2級",IF(COUNTIFS('資格研修記録'!$A$5:$A$1004,A189,'資格研修記録'!$D$5:$D$1004,"小型船舶1級")+COUNTIFS('資格研修記録'!$A$5:$A$1004,A189,'資格研修記録'!$D$5:$D$1004,"小型船舶2級")&gt;0,"× 1・2級 期限切れ",""))),IF((COUNTIFS('資格研修記録'!$A$5:$A$1004,A189,'資格研修記録'!$D$5:$D$1004,"小型船舶特殊",'資格研修記録'!$F$5:$F$1004,"")+COUNTIFS('資格研修記録'!$A$5:$A$1004,A189,'資格研修記録'!$D$5:$D$1004,"小型船舶特殊",'資格研修記録'!$F$5:$F$1004,"&gt;="&amp;TODAY()))&gt;0,"特殊",IF(COUNTIFS('資格研修記録'!$A$5:$A$1004,A189,'資格研修記録'!$D$5:$D$1004,"小型船舶特殊")&gt;0,"× 特殊 期限切れ","")))))</f>
        <v/>
      </c>
      <c r="H189" s="15">
        <f>IF(A189="","",COUNTIFS('潜水記録'!$B$5:$B$3004,A189,'潜水記録'!$AF$5:$AF$3004,$D$2))</f>
        <v/>
      </c>
      <c r="I189" s="15">
        <f>IF(A189="","",COUNTIF('潜水記録'!$B$5:$B$3004,A189))</f>
        <v/>
      </c>
      <c r="J189" s="15">
        <f>IF(A189="","",SUMIF('潜水記録'!$B$5:$B$3004,A189,'潜水記録'!$H$5:$H$3004))</f>
        <v/>
      </c>
      <c r="K189" s="15">
        <f>IF(A189="","",IF(I189=0,"",_xlfn.MAXIFS('潜水記録'!$G$5:$G$3004,'潜水記録'!$B$5:$B$3004,A189)))</f>
        <v/>
      </c>
      <c r="L189" s="16">
        <f>IF(A189="","",IF(I189=0,"",_xlfn.MAXIFS('潜水記録'!$A$5:$A$3004,'潜水記録'!$B$5:$B$3004,A189)))</f>
        <v/>
      </c>
      <c r="M189" s="15">
        <f>IF(L189="","",$B$2-L189)</f>
        <v/>
      </c>
    </row>
    <row r="190">
      <c r="A190" s="14">
        <f>IF('隊員マスタ'!A187="","",'隊員マスタ'!A187)</f>
        <v/>
      </c>
      <c r="B190" s="14">
        <f>IF(A190="","",'隊員マスタ'!B187)</f>
        <v/>
      </c>
      <c r="C190" s="14">
        <f>IF(A190="","",'隊員マスタ'!C187)</f>
        <v/>
      </c>
      <c r="D190" s="15">
        <f>IF(A190="","",'隊員マスタ'!D187)</f>
        <v/>
      </c>
      <c r="E190" s="15">
        <f>IF(A190="","",IF(COUNTIFS('資格研修記録'!$A$5:$A$1004,A190,'資格研修記録'!$D$5:$D$1004,"潜水士免許")&gt;0,"有","無"))</f>
        <v/>
      </c>
      <c r="F190" s="15">
        <f>IF(A190="","",IF(COUNTIFS('資格研修記録'!$A$5:$A$1004,A190,'資格研修記録'!$D$5:$D$1004,"水難救助研修")&gt;0,"修了","—"))</f>
        <v/>
      </c>
      <c r="G190" s="14">
        <f>IF(A190="","",IF((IF((COUNTIFS('資格研修記録'!$A$5:$A$1004,A190,'資格研修記録'!$D$5:$D$1004,"小型船舶1級",'資格研修記録'!$F$5:$F$1004,"")+COUNTIFS('資格研修記録'!$A$5:$A$1004,A190,'資格研修記録'!$D$5:$D$1004,"小型船舶1級",'資格研修記録'!$F$5:$F$1004,"&gt;="&amp;TODAY()))&gt;0,"1級",IF((COUNTIFS('資格研修記録'!$A$5:$A$1004,A190,'資格研修記録'!$D$5:$D$1004,"小型船舶2級",'資格研修記録'!$F$5:$F$1004,"")+COUNTIFS('資格研修記録'!$A$5:$A$1004,A190,'資格研修記録'!$D$5:$D$1004,"小型船舶2級",'資格研修記録'!$F$5:$F$1004,"&gt;="&amp;TODAY()))&gt;0,"2級",IF(COUNTIFS('資格研修記録'!$A$5:$A$1004,A190,'資格研修記録'!$D$5:$D$1004,"小型船舶1級")+COUNTIFS('資格研修記録'!$A$5:$A$1004,A190,'資格研修記録'!$D$5:$D$1004,"小型船舶2級")&gt;0,"× 1・2級 期限切れ",""))))&amp;(IF((COUNTIFS('資格研修記録'!$A$5:$A$1004,A190,'資格研修記録'!$D$5:$D$1004,"小型船舶特殊",'資格研修記録'!$F$5:$F$1004,"")+COUNTIFS('資格研修記録'!$A$5:$A$1004,A190,'資格研修記録'!$D$5:$D$1004,"小型船舶特殊",'資格研修記録'!$F$5:$F$1004,"&gt;="&amp;TODAY()))&gt;0,"特殊",IF(COUNTIFS('資格研修記録'!$A$5:$A$1004,A190,'資格研修記録'!$D$5:$D$1004,"小型船舶特殊")&gt;0,"× 特殊 期限切れ","")))="","—",_xlfn.TEXTJOIN("・",TRUE,IF((COUNTIFS('資格研修記録'!$A$5:$A$1004,A190,'資格研修記録'!$D$5:$D$1004,"小型船舶1級",'資格研修記録'!$F$5:$F$1004,"")+COUNTIFS('資格研修記録'!$A$5:$A$1004,A190,'資格研修記録'!$D$5:$D$1004,"小型船舶1級",'資格研修記録'!$F$5:$F$1004,"&gt;="&amp;TODAY()))&gt;0,"1級",IF((COUNTIFS('資格研修記録'!$A$5:$A$1004,A190,'資格研修記録'!$D$5:$D$1004,"小型船舶2級",'資格研修記録'!$F$5:$F$1004,"")+COUNTIFS('資格研修記録'!$A$5:$A$1004,A190,'資格研修記録'!$D$5:$D$1004,"小型船舶2級",'資格研修記録'!$F$5:$F$1004,"&gt;="&amp;TODAY()))&gt;0,"2級",IF(COUNTIFS('資格研修記録'!$A$5:$A$1004,A190,'資格研修記録'!$D$5:$D$1004,"小型船舶1級")+COUNTIFS('資格研修記録'!$A$5:$A$1004,A190,'資格研修記録'!$D$5:$D$1004,"小型船舶2級")&gt;0,"× 1・2級 期限切れ",""))),IF((COUNTIFS('資格研修記録'!$A$5:$A$1004,A190,'資格研修記録'!$D$5:$D$1004,"小型船舶特殊",'資格研修記録'!$F$5:$F$1004,"")+COUNTIFS('資格研修記録'!$A$5:$A$1004,A190,'資格研修記録'!$D$5:$D$1004,"小型船舶特殊",'資格研修記録'!$F$5:$F$1004,"&gt;="&amp;TODAY()))&gt;0,"特殊",IF(COUNTIFS('資格研修記録'!$A$5:$A$1004,A190,'資格研修記録'!$D$5:$D$1004,"小型船舶特殊")&gt;0,"× 特殊 期限切れ","")))))</f>
        <v/>
      </c>
      <c r="H190" s="15">
        <f>IF(A190="","",COUNTIFS('潜水記録'!$B$5:$B$3004,A190,'潜水記録'!$AF$5:$AF$3004,$D$2))</f>
        <v/>
      </c>
      <c r="I190" s="15">
        <f>IF(A190="","",COUNTIF('潜水記録'!$B$5:$B$3004,A190))</f>
        <v/>
      </c>
      <c r="J190" s="15">
        <f>IF(A190="","",SUMIF('潜水記録'!$B$5:$B$3004,A190,'潜水記録'!$H$5:$H$3004))</f>
        <v/>
      </c>
      <c r="K190" s="15">
        <f>IF(A190="","",IF(I190=0,"",_xlfn.MAXIFS('潜水記録'!$G$5:$G$3004,'潜水記録'!$B$5:$B$3004,A190)))</f>
        <v/>
      </c>
      <c r="L190" s="16">
        <f>IF(A190="","",IF(I190=0,"",_xlfn.MAXIFS('潜水記録'!$A$5:$A$3004,'潜水記録'!$B$5:$B$3004,A190)))</f>
        <v/>
      </c>
      <c r="M190" s="15">
        <f>IF(L190="","",$B$2-L190)</f>
        <v/>
      </c>
    </row>
    <row r="191">
      <c r="A191" s="14">
        <f>IF('隊員マスタ'!A188="","",'隊員マスタ'!A188)</f>
        <v/>
      </c>
      <c r="B191" s="14">
        <f>IF(A191="","",'隊員マスタ'!B188)</f>
        <v/>
      </c>
      <c r="C191" s="14">
        <f>IF(A191="","",'隊員マスタ'!C188)</f>
        <v/>
      </c>
      <c r="D191" s="15">
        <f>IF(A191="","",'隊員マスタ'!D188)</f>
        <v/>
      </c>
      <c r="E191" s="15">
        <f>IF(A191="","",IF(COUNTIFS('資格研修記録'!$A$5:$A$1004,A191,'資格研修記録'!$D$5:$D$1004,"潜水士免許")&gt;0,"有","無"))</f>
        <v/>
      </c>
      <c r="F191" s="15">
        <f>IF(A191="","",IF(COUNTIFS('資格研修記録'!$A$5:$A$1004,A191,'資格研修記録'!$D$5:$D$1004,"水難救助研修")&gt;0,"修了","—"))</f>
        <v/>
      </c>
      <c r="G191" s="14">
        <f>IF(A191="","",IF((IF((COUNTIFS('資格研修記録'!$A$5:$A$1004,A191,'資格研修記録'!$D$5:$D$1004,"小型船舶1級",'資格研修記録'!$F$5:$F$1004,"")+COUNTIFS('資格研修記録'!$A$5:$A$1004,A191,'資格研修記録'!$D$5:$D$1004,"小型船舶1級",'資格研修記録'!$F$5:$F$1004,"&gt;="&amp;TODAY()))&gt;0,"1級",IF((COUNTIFS('資格研修記録'!$A$5:$A$1004,A191,'資格研修記録'!$D$5:$D$1004,"小型船舶2級",'資格研修記録'!$F$5:$F$1004,"")+COUNTIFS('資格研修記録'!$A$5:$A$1004,A191,'資格研修記録'!$D$5:$D$1004,"小型船舶2級",'資格研修記録'!$F$5:$F$1004,"&gt;="&amp;TODAY()))&gt;0,"2級",IF(COUNTIFS('資格研修記録'!$A$5:$A$1004,A191,'資格研修記録'!$D$5:$D$1004,"小型船舶1級")+COUNTIFS('資格研修記録'!$A$5:$A$1004,A191,'資格研修記録'!$D$5:$D$1004,"小型船舶2級")&gt;0,"× 1・2級 期限切れ",""))))&amp;(IF((COUNTIFS('資格研修記録'!$A$5:$A$1004,A191,'資格研修記録'!$D$5:$D$1004,"小型船舶特殊",'資格研修記録'!$F$5:$F$1004,"")+COUNTIFS('資格研修記録'!$A$5:$A$1004,A191,'資格研修記録'!$D$5:$D$1004,"小型船舶特殊",'資格研修記録'!$F$5:$F$1004,"&gt;="&amp;TODAY()))&gt;0,"特殊",IF(COUNTIFS('資格研修記録'!$A$5:$A$1004,A191,'資格研修記録'!$D$5:$D$1004,"小型船舶特殊")&gt;0,"× 特殊 期限切れ","")))="","—",_xlfn.TEXTJOIN("・",TRUE,IF((COUNTIFS('資格研修記録'!$A$5:$A$1004,A191,'資格研修記録'!$D$5:$D$1004,"小型船舶1級",'資格研修記録'!$F$5:$F$1004,"")+COUNTIFS('資格研修記録'!$A$5:$A$1004,A191,'資格研修記録'!$D$5:$D$1004,"小型船舶1級",'資格研修記録'!$F$5:$F$1004,"&gt;="&amp;TODAY()))&gt;0,"1級",IF((COUNTIFS('資格研修記録'!$A$5:$A$1004,A191,'資格研修記録'!$D$5:$D$1004,"小型船舶2級",'資格研修記録'!$F$5:$F$1004,"")+COUNTIFS('資格研修記録'!$A$5:$A$1004,A191,'資格研修記録'!$D$5:$D$1004,"小型船舶2級",'資格研修記録'!$F$5:$F$1004,"&gt;="&amp;TODAY()))&gt;0,"2級",IF(COUNTIFS('資格研修記録'!$A$5:$A$1004,A191,'資格研修記録'!$D$5:$D$1004,"小型船舶1級")+COUNTIFS('資格研修記録'!$A$5:$A$1004,A191,'資格研修記録'!$D$5:$D$1004,"小型船舶2級")&gt;0,"× 1・2級 期限切れ",""))),IF((COUNTIFS('資格研修記録'!$A$5:$A$1004,A191,'資格研修記録'!$D$5:$D$1004,"小型船舶特殊",'資格研修記録'!$F$5:$F$1004,"")+COUNTIFS('資格研修記録'!$A$5:$A$1004,A191,'資格研修記録'!$D$5:$D$1004,"小型船舶特殊",'資格研修記録'!$F$5:$F$1004,"&gt;="&amp;TODAY()))&gt;0,"特殊",IF(COUNTIFS('資格研修記録'!$A$5:$A$1004,A191,'資格研修記録'!$D$5:$D$1004,"小型船舶特殊")&gt;0,"× 特殊 期限切れ","")))))</f>
        <v/>
      </c>
      <c r="H191" s="15">
        <f>IF(A191="","",COUNTIFS('潜水記録'!$B$5:$B$3004,A191,'潜水記録'!$AF$5:$AF$3004,$D$2))</f>
        <v/>
      </c>
      <c r="I191" s="15">
        <f>IF(A191="","",COUNTIF('潜水記録'!$B$5:$B$3004,A191))</f>
        <v/>
      </c>
      <c r="J191" s="15">
        <f>IF(A191="","",SUMIF('潜水記録'!$B$5:$B$3004,A191,'潜水記録'!$H$5:$H$3004))</f>
        <v/>
      </c>
      <c r="K191" s="15">
        <f>IF(A191="","",IF(I191=0,"",_xlfn.MAXIFS('潜水記録'!$G$5:$G$3004,'潜水記録'!$B$5:$B$3004,A191)))</f>
        <v/>
      </c>
      <c r="L191" s="16">
        <f>IF(A191="","",IF(I191=0,"",_xlfn.MAXIFS('潜水記録'!$A$5:$A$3004,'潜水記録'!$B$5:$B$3004,A191)))</f>
        <v/>
      </c>
      <c r="M191" s="15">
        <f>IF(L191="","",$B$2-L191)</f>
        <v/>
      </c>
    </row>
    <row r="192">
      <c r="A192" s="14">
        <f>IF('隊員マスタ'!A189="","",'隊員マスタ'!A189)</f>
        <v/>
      </c>
      <c r="B192" s="14">
        <f>IF(A192="","",'隊員マスタ'!B189)</f>
        <v/>
      </c>
      <c r="C192" s="14">
        <f>IF(A192="","",'隊員マスタ'!C189)</f>
        <v/>
      </c>
      <c r="D192" s="15">
        <f>IF(A192="","",'隊員マスタ'!D189)</f>
        <v/>
      </c>
      <c r="E192" s="15">
        <f>IF(A192="","",IF(COUNTIFS('資格研修記録'!$A$5:$A$1004,A192,'資格研修記録'!$D$5:$D$1004,"潜水士免許")&gt;0,"有","無"))</f>
        <v/>
      </c>
      <c r="F192" s="15">
        <f>IF(A192="","",IF(COUNTIFS('資格研修記録'!$A$5:$A$1004,A192,'資格研修記録'!$D$5:$D$1004,"水難救助研修")&gt;0,"修了","—"))</f>
        <v/>
      </c>
      <c r="G192" s="14">
        <f>IF(A192="","",IF((IF((COUNTIFS('資格研修記録'!$A$5:$A$1004,A192,'資格研修記録'!$D$5:$D$1004,"小型船舶1級",'資格研修記録'!$F$5:$F$1004,"")+COUNTIFS('資格研修記録'!$A$5:$A$1004,A192,'資格研修記録'!$D$5:$D$1004,"小型船舶1級",'資格研修記録'!$F$5:$F$1004,"&gt;="&amp;TODAY()))&gt;0,"1級",IF((COUNTIFS('資格研修記録'!$A$5:$A$1004,A192,'資格研修記録'!$D$5:$D$1004,"小型船舶2級",'資格研修記録'!$F$5:$F$1004,"")+COUNTIFS('資格研修記録'!$A$5:$A$1004,A192,'資格研修記録'!$D$5:$D$1004,"小型船舶2級",'資格研修記録'!$F$5:$F$1004,"&gt;="&amp;TODAY()))&gt;0,"2級",IF(COUNTIFS('資格研修記録'!$A$5:$A$1004,A192,'資格研修記録'!$D$5:$D$1004,"小型船舶1級")+COUNTIFS('資格研修記録'!$A$5:$A$1004,A192,'資格研修記録'!$D$5:$D$1004,"小型船舶2級")&gt;0,"× 1・2級 期限切れ",""))))&amp;(IF((COUNTIFS('資格研修記録'!$A$5:$A$1004,A192,'資格研修記録'!$D$5:$D$1004,"小型船舶特殊",'資格研修記録'!$F$5:$F$1004,"")+COUNTIFS('資格研修記録'!$A$5:$A$1004,A192,'資格研修記録'!$D$5:$D$1004,"小型船舶特殊",'資格研修記録'!$F$5:$F$1004,"&gt;="&amp;TODAY()))&gt;0,"特殊",IF(COUNTIFS('資格研修記録'!$A$5:$A$1004,A192,'資格研修記録'!$D$5:$D$1004,"小型船舶特殊")&gt;0,"× 特殊 期限切れ","")))="","—",_xlfn.TEXTJOIN("・",TRUE,IF((COUNTIFS('資格研修記録'!$A$5:$A$1004,A192,'資格研修記録'!$D$5:$D$1004,"小型船舶1級",'資格研修記録'!$F$5:$F$1004,"")+COUNTIFS('資格研修記録'!$A$5:$A$1004,A192,'資格研修記録'!$D$5:$D$1004,"小型船舶1級",'資格研修記録'!$F$5:$F$1004,"&gt;="&amp;TODAY()))&gt;0,"1級",IF((COUNTIFS('資格研修記録'!$A$5:$A$1004,A192,'資格研修記録'!$D$5:$D$1004,"小型船舶2級",'資格研修記録'!$F$5:$F$1004,"")+COUNTIFS('資格研修記録'!$A$5:$A$1004,A192,'資格研修記録'!$D$5:$D$1004,"小型船舶2級",'資格研修記録'!$F$5:$F$1004,"&gt;="&amp;TODAY()))&gt;0,"2級",IF(COUNTIFS('資格研修記録'!$A$5:$A$1004,A192,'資格研修記録'!$D$5:$D$1004,"小型船舶1級")+COUNTIFS('資格研修記録'!$A$5:$A$1004,A192,'資格研修記録'!$D$5:$D$1004,"小型船舶2級")&gt;0,"× 1・2級 期限切れ",""))),IF((COUNTIFS('資格研修記録'!$A$5:$A$1004,A192,'資格研修記録'!$D$5:$D$1004,"小型船舶特殊",'資格研修記録'!$F$5:$F$1004,"")+COUNTIFS('資格研修記録'!$A$5:$A$1004,A192,'資格研修記録'!$D$5:$D$1004,"小型船舶特殊",'資格研修記録'!$F$5:$F$1004,"&gt;="&amp;TODAY()))&gt;0,"特殊",IF(COUNTIFS('資格研修記録'!$A$5:$A$1004,A192,'資格研修記録'!$D$5:$D$1004,"小型船舶特殊")&gt;0,"× 特殊 期限切れ","")))))</f>
        <v/>
      </c>
      <c r="H192" s="15">
        <f>IF(A192="","",COUNTIFS('潜水記録'!$B$5:$B$3004,A192,'潜水記録'!$AF$5:$AF$3004,$D$2))</f>
        <v/>
      </c>
      <c r="I192" s="15">
        <f>IF(A192="","",COUNTIF('潜水記録'!$B$5:$B$3004,A192))</f>
        <v/>
      </c>
      <c r="J192" s="15">
        <f>IF(A192="","",SUMIF('潜水記録'!$B$5:$B$3004,A192,'潜水記録'!$H$5:$H$3004))</f>
        <v/>
      </c>
      <c r="K192" s="15">
        <f>IF(A192="","",IF(I192=0,"",_xlfn.MAXIFS('潜水記録'!$G$5:$G$3004,'潜水記録'!$B$5:$B$3004,A192)))</f>
        <v/>
      </c>
      <c r="L192" s="16">
        <f>IF(A192="","",IF(I192=0,"",_xlfn.MAXIFS('潜水記録'!$A$5:$A$3004,'潜水記録'!$B$5:$B$3004,A192)))</f>
        <v/>
      </c>
      <c r="M192" s="15">
        <f>IF(L192="","",$B$2-L192)</f>
        <v/>
      </c>
    </row>
    <row r="193">
      <c r="A193" s="14">
        <f>IF('隊員マスタ'!A190="","",'隊員マスタ'!A190)</f>
        <v/>
      </c>
      <c r="B193" s="14">
        <f>IF(A193="","",'隊員マスタ'!B190)</f>
        <v/>
      </c>
      <c r="C193" s="14">
        <f>IF(A193="","",'隊員マスタ'!C190)</f>
        <v/>
      </c>
      <c r="D193" s="15">
        <f>IF(A193="","",'隊員マスタ'!D190)</f>
        <v/>
      </c>
      <c r="E193" s="15">
        <f>IF(A193="","",IF(COUNTIFS('資格研修記録'!$A$5:$A$1004,A193,'資格研修記録'!$D$5:$D$1004,"潜水士免許")&gt;0,"有","無"))</f>
        <v/>
      </c>
      <c r="F193" s="15">
        <f>IF(A193="","",IF(COUNTIFS('資格研修記録'!$A$5:$A$1004,A193,'資格研修記録'!$D$5:$D$1004,"水難救助研修")&gt;0,"修了","—"))</f>
        <v/>
      </c>
      <c r="G193" s="14">
        <f>IF(A193="","",IF((IF((COUNTIFS('資格研修記録'!$A$5:$A$1004,A193,'資格研修記録'!$D$5:$D$1004,"小型船舶1級",'資格研修記録'!$F$5:$F$1004,"")+COUNTIFS('資格研修記録'!$A$5:$A$1004,A193,'資格研修記録'!$D$5:$D$1004,"小型船舶1級",'資格研修記録'!$F$5:$F$1004,"&gt;="&amp;TODAY()))&gt;0,"1級",IF((COUNTIFS('資格研修記録'!$A$5:$A$1004,A193,'資格研修記録'!$D$5:$D$1004,"小型船舶2級",'資格研修記録'!$F$5:$F$1004,"")+COUNTIFS('資格研修記録'!$A$5:$A$1004,A193,'資格研修記録'!$D$5:$D$1004,"小型船舶2級",'資格研修記録'!$F$5:$F$1004,"&gt;="&amp;TODAY()))&gt;0,"2級",IF(COUNTIFS('資格研修記録'!$A$5:$A$1004,A193,'資格研修記録'!$D$5:$D$1004,"小型船舶1級")+COUNTIFS('資格研修記録'!$A$5:$A$1004,A193,'資格研修記録'!$D$5:$D$1004,"小型船舶2級")&gt;0,"× 1・2級 期限切れ",""))))&amp;(IF((COUNTIFS('資格研修記録'!$A$5:$A$1004,A193,'資格研修記録'!$D$5:$D$1004,"小型船舶特殊",'資格研修記録'!$F$5:$F$1004,"")+COUNTIFS('資格研修記録'!$A$5:$A$1004,A193,'資格研修記録'!$D$5:$D$1004,"小型船舶特殊",'資格研修記録'!$F$5:$F$1004,"&gt;="&amp;TODAY()))&gt;0,"特殊",IF(COUNTIFS('資格研修記録'!$A$5:$A$1004,A193,'資格研修記録'!$D$5:$D$1004,"小型船舶特殊")&gt;0,"× 特殊 期限切れ","")))="","—",_xlfn.TEXTJOIN("・",TRUE,IF((COUNTIFS('資格研修記録'!$A$5:$A$1004,A193,'資格研修記録'!$D$5:$D$1004,"小型船舶1級",'資格研修記録'!$F$5:$F$1004,"")+COUNTIFS('資格研修記録'!$A$5:$A$1004,A193,'資格研修記録'!$D$5:$D$1004,"小型船舶1級",'資格研修記録'!$F$5:$F$1004,"&gt;="&amp;TODAY()))&gt;0,"1級",IF((COUNTIFS('資格研修記録'!$A$5:$A$1004,A193,'資格研修記録'!$D$5:$D$1004,"小型船舶2級",'資格研修記録'!$F$5:$F$1004,"")+COUNTIFS('資格研修記録'!$A$5:$A$1004,A193,'資格研修記録'!$D$5:$D$1004,"小型船舶2級",'資格研修記録'!$F$5:$F$1004,"&gt;="&amp;TODAY()))&gt;0,"2級",IF(COUNTIFS('資格研修記録'!$A$5:$A$1004,A193,'資格研修記録'!$D$5:$D$1004,"小型船舶1級")+COUNTIFS('資格研修記録'!$A$5:$A$1004,A193,'資格研修記録'!$D$5:$D$1004,"小型船舶2級")&gt;0,"× 1・2級 期限切れ",""))),IF((COUNTIFS('資格研修記録'!$A$5:$A$1004,A193,'資格研修記録'!$D$5:$D$1004,"小型船舶特殊",'資格研修記録'!$F$5:$F$1004,"")+COUNTIFS('資格研修記録'!$A$5:$A$1004,A193,'資格研修記録'!$D$5:$D$1004,"小型船舶特殊",'資格研修記録'!$F$5:$F$1004,"&gt;="&amp;TODAY()))&gt;0,"特殊",IF(COUNTIFS('資格研修記録'!$A$5:$A$1004,A193,'資格研修記録'!$D$5:$D$1004,"小型船舶特殊")&gt;0,"× 特殊 期限切れ","")))))</f>
        <v/>
      </c>
      <c r="H193" s="15">
        <f>IF(A193="","",COUNTIFS('潜水記録'!$B$5:$B$3004,A193,'潜水記録'!$AF$5:$AF$3004,$D$2))</f>
        <v/>
      </c>
      <c r="I193" s="15">
        <f>IF(A193="","",COUNTIF('潜水記録'!$B$5:$B$3004,A193))</f>
        <v/>
      </c>
      <c r="J193" s="15">
        <f>IF(A193="","",SUMIF('潜水記録'!$B$5:$B$3004,A193,'潜水記録'!$H$5:$H$3004))</f>
        <v/>
      </c>
      <c r="K193" s="15">
        <f>IF(A193="","",IF(I193=0,"",_xlfn.MAXIFS('潜水記録'!$G$5:$G$3004,'潜水記録'!$B$5:$B$3004,A193)))</f>
        <v/>
      </c>
      <c r="L193" s="16">
        <f>IF(A193="","",IF(I193=0,"",_xlfn.MAXIFS('潜水記録'!$A$5:$A$3004,'潜水記録'!$B$5:$B$3004,A193)))</f>
        <v/>
      </c>
      <c r="M193" s="15">
        <f>IF(L193="","",$B$2-L193)</f>
        <v/>
      </c>
    </row>
    <row r="194">
      <c r="A194" s="14">
        <f>IF('隊員マスタ'!A191="","",'隊員マスタ'!A191)</f>
        <v/>
      </c>
      <c r="B194" s="14">
        <f>IF(A194="","",'隊員マスタ'!B191)</f>
        <v/>
      </c>
      <c r="C194" s="14">
        <f>IF(A194="","",'隊員マスタ'!C191)</f>
        <v/>
      </c>
      <c r="D194" s="15">
        <f>IF(A194="","",'隊員マスタ'!D191)</f>
        <v/>
      </c>
      <c r="E194" s="15">
        <f>IF(A194="","",IF(COUNTIFS('資格研修記録'!$A$5:$A$1004,A194,'資格研修記録'!$D$5:$D$1004,"潜水士免許")&gt;0,"有","無"))</f>
        <v/>
      </c>
      <c r="F194" s="15">
        <f>IF(A194="","",IF(COUNTIFS('資格研修記録'!$A$5:$A$1004,A194,'資格研修記録'!$D$5:$D$1004,"水難救助研修")&gt;0,"修了","—"))</f>
        <v/>
      </c>
      <c r="G194" s="14">
        <f>IF(A194="","",IF((IF((COUNTIFS('資格研修記録'!$A$5:$A$1004,A194,'資格研修記録'!$D$5:$D$1004,"小型船舶1級",'資格研修記録'!$F$5:$F$1004,"")+COUNTIFS('資格研修記録'!$A$5:$A$1004,A194,'資格研修記録'!$D$5:$D$1004,"小型船舶1級",'資格研修記録'!$F$5:$F$1004,"&gt;="&amp;TODAY()))&gt;0,"1級",IF((COUNTIFS('資格研修記録'!$A$5:$A$1004,A194,'資格研修記録'!$D$5:$D$1004,"小型船舶2級",'資格研修記録'!$F$5:$F$1004,"")+COUNTIFS('資格研修記録'!$A$5:$A$1004,A194,'資格研修記録'!$D$5:$D$1004,"小型船舶2級",'資格研修記録'!$F$5:$F$1004,"&gt;="&amp;TODAY()))&gt;0,"2級",IF(COUNTIFS('資格研修記録'!$A$5:$A$1004,A194,'資格研修記録'!$D$5:$D$1004,"小型船舶1級")+COUNTIFS('資格研修記録'!$A$5:$A$1004,A194,'資格研修記録'!$D$5:$D$1004,"小型船舶2級")&gt;0,"× 1・2級 期限切れ",""))))&amp;(IF((COUNTIFS('資格研修記録'!$A$5:$A$1004,A194,'資格研修記録'!$D$5:$D$1004,"小型船舶特殊",'資格研修記録'!$F$5:$F$1004,"")+COUNTIFS('資格研修記録'!$A$5:$A$1004,A194,'資格研修記録'!$D$5:$D$1004,"小型船舶特殊",'資格研修記録'!$F$5:$F$1004,"&gt;="&amp;TODAY()))&gt;0,"特殊",IF(COUNTIFS('資格研修記録'!$A$5:$A$1004,A194,'資格研修記録'!$D$5:$D$1004,"小型船舶特殊")&gt;0,"× 特殊 期限切れ","")))="","—",_xlfn.TEXTJOIN("・",TRUE,IF((COUNTIFS('資格研修記録'!$A$5:$A$1004,A194,'資格研修記録'!$D$5:$D$1004,"小型船舶1級",'資格研修記録'!$F$5:$F$1004,"")+COUNTIFS('資格研修記録'!$A$5:$A$1004,A194,'資格研修記録'!$D$5:$D$1004,"小型船舶1級",'資格研修記録'!$F$5:$F$1004,"&gt;="&amp;TODAY()))&gt;0,"1級",IF((COUNTIFS('資格研修記録'!$A$5:$A$1004,A194,'資格研修記録'!$D$5:$D$1004,"小型船舶2級",'資格研修記録'!$F$5:$F$1004,"")+COUNTIFS('資格研修記録'!$A$5:$A$1004,A194,'資格研修記録'!$D$5:$D$1004,"小型船舶2級",'資格研修記録'!$F$5:$F$1004,"&gt;="&amp;TODAY()))&gt;0,"2級",IF(COUNTIFS('資格研修記録'!$A$5:$A$1004,A194,'資格研修記録'!$D$5:$D$1004,"小型船舶1級")+COUNTIFS('資格研修記録'!$A$5:$A$1004,A194,'資格研修記録'!$D$5:$D$1004,"小型船舶2級")&gt;0,"× 1・2級 期限切れ",""))),IF((COUNTIFS('資格研修記録'!$A$5:$A$1004,A194,'資格研修記録'!$D$5:$D$1004,"小型船舶特殊",'資格研修記録'!$F$5:$F$1004,"")+COUNTIFS('資格研修記録'!$A$5:$A$1004,A194,'資格研修記録'!$D$5:$D$1004,"小型船舶特殊",'資格研修記録'!$F$5:$F$1004,"&gt;="&amp;TODAY()))&gt;0,"特殊",IF(COUNTIFS('資格研修記録'!$A$5:$A$1004,A194,'資格研修記録'!$D$5:$D$1004,"小型船舶特殊")&gt;0,"× 特殊 期限切れ","")))))</f>
        <v/>
      </c>
      <c r="H194" s="15">
        <f>IF(A194="","",COUNTIFS('潜水記録'!$B$5:$B$3004,A194,'潜水記録'!$AF$5:$AF$3004,$D$2))</f>
        <v/>
      </c>
      <c r="I194" s="15">
        <f>IF(A194="","",COUNTIF('潜水記録'!$B$5:$B$3004,A194))</f>
        <v/>
      </c>
      <c r="J194" s="15">
        <f>IF(A194="","",SUMIF('潜水記録'!$B$5:$B$3004,A194,'潜水記録'!$H$5:$H$3004))</f>
        <v/>
      </c>
      <c r="K194" s="15">
        <f>IF(A194="","",IF(I194=0,"",_xlfn.MAXIFS('潜水記録'!$G$5:$G$3004,'潜水記録'!$B$5:$B$3004,A194)))</f>
        <v/>
      </c>
      <c r="L194" s="16">
        <f>IF(A194="","",IF(I194=0,"",_xlfn.MAXIFS('潜水記録'!$A$5:$A$3004,'潜水記録'!$B$5:$B$3004,A194)))</f>
        <v/>
      </c>
      <c r="M194" s="15">
        <f>IF(L194="","",$B$2-L194)</f>
        <v/>
      </c>
    </row>
    <row r="195">
      <c r="A195" s="14">
        <f>IF('隊員マスタ'!A192="","",'隊員マスタ'!A192)</f>
        <v/>
      </c>
      <c r="B195" s="14">
        <f>IF(A195="","",'隊員マスタ'!B192)</f>
        <v/>
      </c>
      <c r="C195" s="14">
        <f>IF(A195="","",'隊員マスタ'!C192)</f>
        <v/>
      </c>
      <c r="D195" s="15">
        <f>IF(A195="","",'隊員マスタ'!D192)</f>
        <v/>
      </c>
      <c r="E195" s="15">
        <f>IF(A195="","",IF(COUNTIFS('資格研修記録'!$A$5:$A$1004,A195,'資格研修記録'!$D$5:$D$1004,"潜水士免許")&gt;0,"有","無"))</f>
        <v/>
      </c>
      <c r="F195" s="15">
        <f>IF(A195="","",IF(COUNTIFS('資格研修記録'!$A$5:$A$1004,A195,'資格研修記録'!$D$5:$D$1004,"水難救助研修")&gt;0,"修了","—"))</f>
        <v/>
      </c>
      <c r="G195" s="14">
        <f>IF(A195="","",IF((IF((COUNTIFS('資格研修記録'!$A$5:$A$1004,A195,'資格研修記録'!$D$5:$D$1004,"小型船舶1級",'資格研修記録'!$F$5:$F$1004,"")+COUNTIFS('資格研修記録'!$A$5:$A$1004,A195,'資格研修記録'!$D$5:$D$1004,"小型船舶1級",'資格研修記録'!$F$5:$F$1004,"&gt;="&amp;TODAY()))&gt;0,"1級",IF((COUNTIFS('資格研修記録'!$A$5:$A$1004,A195,'資格研修記録'!$D$5:$D$1004,"小型船舶2級",'資格研修記録'!$F$5:$F$1004,"")+COUNTIFS('資格研修記録'!$A$5:$A$1004,A195,'資格研修記録'!$D$5:$D$1004,"小型船舶2級",'資格研修記録'!$F$5:$F$1004,"&gt;="&amp;TODAY()))&gt;0,"2級",IF(COUNTIFS('資格研修記録'!$A$5:$A$1004,A195,'資格研修記録'!$D$5:$D$1004,"小型船舶1級")+COUNTIFS('資格研修記録'!$A$5:$A$1004,A195,'資格研修記録'!$D$5:$D$1004,"小型船舶2級")&gt;0,"× 1・2級 期限切れ",""))))&amp;(IF((COUNTIFS('資格研修記録'!$A$5:$A$1004,A195,'資格研修記録'!$D$5:$D$1004,"小型船舶特殊",'資格研修記録'!$F$5:$F$1004,"")+COUNTIFS('資格研修記録'!$A$5:$A$1004,A195,'資格研修記録'!$D$5:$D$1004,"小型船舶特殊",'資格研修記録'!$F$5:$F$1004,"&gt;="&amp;TODAY()))&gt;0,"特殊",IF(COUNTIFS('資格研修記録'!$A$5:$A$1004,A195,'資格研修記録'!$D$5:$D$1004,"小型船舶特殊")&gt;0,"× 特殊 期限切れ","")))="","—",_xlfn.TEXTJOIN("・",TRUE,IF((COUNTIFS('資格研修記録'!$A$5:$A$1004,A195,'資格研修記録'!$D$5:$D$1004,"小型船舶1級",'資格研修記録'!$F$5:$F$1004,"")+COUNTIFS('資格研修記録'!$A$5:$A$1004,A195,'資格研修記録'!$D$5:$D$1004,"小型船舶1級",'資格研修記録'!$F$5:$F$1004,"&gt;="&amp;TODAY()))&gt;0,"1級",IF((COUNTIFS('資格研修記録'!$A$5:$A$1004,A195,'資格研修記録'!$D$5:$D$1004,"小型船舶2級",'資格研修記録'!$F$5:$F$1004,"")+COUNTIFS('資格研修記録'!$A$5:$A$1004,A195,'資格研修記録'!$D$5:$D$1004,"小型船舶2級",'資格研修記録'!$F$5:$F$1004,"&gt;="&amp;TODAY()))&gt;0,"2級",IF(COUNTIFS('資格研修記録'!$A$5:$A$1004,A195,'資格研修記録'!$D$5:$D$1004,"小型船舶1級")+COUNTIFS('資格研修記録'!$A$5:$A$1004,A195,'資格研修記録'!$D$5:$D$1004,"小型船舶2級")&gt;0,"× 1・2級 期限切れ",""))),IF((COUNTIFS('資格研修記録'!$A$5:$A$1004,A195,'資格研修記録'!$D$5:$D$1004,"小型船舶特殊",'資格研修記録'!$F$5:$F$1004,"")+COUNTIFS('資格研修記録'!$A$5:$A$1004,A195,'資格研修記録'!$D$5:$D$1004,"小型船舶特殊",'資格研修記録'!$F$5:$F$1004,"&gt;="&amp;TODAY()))&gt;0,"特殊",IF(COUNTIFS('資格研修記録'!$A$5:$A$1004,A195,'資格研修記録'!$D$5:$D$1004,"小型船舶特殊")&gt;0,"× 特殊 期限切れ","")))))</f>
        <v/>
      </c>
      <c r="H195" s="15">
        <f>IF(A195="","",COUNTIFS('潜水記録'!$B$5:$B$3004,A195,'潜水記録'!$AF$5:$AF$3004,$D$2))</f>
        <v/>
      </c>
      <c r="I195" s="15">
        <f>IF(A195="","",COUNTIF('潜水記録'!$B$5:$B$3004,A195))</f>
        <v/>
      </c>
      <c r="J195" s="15">
        <f>IF(A195="","",SUMIF('潜水記録'!$B$5:$B$3004,A195,'潜水記録'!$H$5:$H$3004))</f>
        <v/>
      </c>
      <c r="K195" s="15">
        <f>IF(A195="","",IF(I195=0,"",_xlfn.MAXIFS('潜水記録'!$G$5:$G$3004,'潜水記録'!$B$5:$B$3004,A195)))</f>
        <v/>
      </c>
      <c r="L195" s="16">
        <f>IF(A195="","",IF(I195=0,"",_xlfn.MAXIFS('潜水記録'!$A$5:$A$3004,'潜水記録'!$B$5:$B$3004,A195)))</f>
        <v/>
      </c>
      <c r="M195" s="15">
        <f>IF(L195="","",$B$2-L195)</f>
        <v/>
      </c>
    </row>
    <row r="196">
      <c r="A196" s="14">
        <f>IF('隊員マスタ'!A193="","",'隊員マスタ'!A193)</f>
        <v/>
      </c>
      <c r="B196" s="14">
        <f>IF(A196="","",'隊員マスタ'!B193)</f>
        <v/>
      </c>
      <c r="C196" s="14">
        <f>IF(A196="","",'隊員マスタ'!C193)</f>
        <v/>
      </c>
      <c r="D196" s="15">
        <f>IF(A196="","",'隊員マスタ'!D193)</f>
        <v/>
      </c>
      <c r="E196" s="15">
        <f>IF(A196="","",IF(COUNTIFS('資格研修記録'!$A$5:$A$1004,A196,'資格研修記録'!$D$5:$D$1004,"潜水士免許")&gt;0,"有","無"))</f>
        <v/>
      </c>
      <c r="F196" s="15">
        <f>IF(A196="","",IF(COUNTIFS('資格研修記録'!$A$5:$A$1004,A196,'資格研修記録'!$D$5:$D$1004,"水難救助研修")&gt;0,"修了","—"))</f>
        <v/>
      </c>
      <c r="G196" s="14">
        <f>IF(A196="","",IF((IF((COUNTIFS('資格研修記録'!$A$5:$A$1004,A196,'資格研修記録'!$D$5:$D$1004,"小型船舶1級",'資格研修記録'!$F$5:$F$1004,"")+COUNTIFS('資格研修記録'!$A$5:$A$1004,A196,'資格研修記録'!$D$5:$D$1004,"小型船舶1級",'資格研修記録'!$F$5:$F$1004,"&gt;="&amp;TODAY()))&gt;0,"1級",IF((COUNTIFS('資格研修記録'!$A$5:$A$1004,A196,'資格研修記録'!$D$5:$D$1004,"小型船舶2級",'資格研修記録'!$F$5:$F$1004,"")+COUNTIFS('資格研修記録'!$A$5:$A$1004,A196,'資格研修記録'!$D$5:$D$1004,"小型船舶2級",'資格研修記録'!$F$5:$F$1004,"&gt;="&amp;TODAY()))&gt;0,"2級",IF(COUNTIFS('資格研修記録'!$A$5:$A$1004,A196,'資格研修記録'!$D$5:$D$1004,"小型船舶1級")+COUNTIFS('資格研修記録'!$A$5:$A$1004,A196,'資格研修記録'!$D$5:$D$1004,"小型船舶2級")&gt;0,"× 1・2級 期限切れ",""))))&amp;(IF((COUNTIFS('資格研修記録'!$A$5:$A$1004,A196,'資格研修記録'!$D$5:$D$1004,"小型船舶特殊",'資格研修記録'!$F$5:$F$1004,"")+COUNTIFS('資格研修記録'!$A$5:$A$1004,A196,'資格研修記録'!$D$5:$D$1004,"小型船舶特殊",'資格研修記録'!$F$5:$F$1004,"&gt;="&amp;TODAY()))&gt;0,"特殊",IF(COUNTIFS('資格研修記録'!$A$5:$A$1004,A196,'資格研修記録'!$D$5:$D$1004,"小型船舶特殊")&gt;0,"× 特殊 期限切れ","")))="","—",_xlfn.TEXTJOIN("・",TRUE,IF((COUNTIFS('資格研修記録'!$A$5:$A$1004,A196,'資格研修記録'!$D$5:$D$1004,"小型船舶1級",'資格研修記録'!$F$5:$F$1004,"")+COUNTIFS('資格研修記録'!$A$5:$A$1004,A196,'資格研修記録'!$D$5:$D$1004,"小型船舶1級",'資格研修記録'!$F$5:$F$1004,"&gt;="&amp;TODAY()))&gt;0,"1級",IF((COUNTIFS('資格研修記録'!$A$5:$A$1004,A196,'資格研修記録'!$D$5:$D$1004,"小型船舶2級",'資格研修記録'!$F$5:$F$1004,"")+COUNTIFS('資格研修記録'!$A$5:$A$1004,A196,'資格研修記録'!$D$5:$D$1004,"小型船舶2級",'資格研修記録'!$F$5:$F$1004,"&gt;="&amp;TODAY()))&gt;0,"2級",IF(COUNTIFS('資格研修記録'!$A$5:$A$1004,A196,'資格研修記録'!$D$5:$D$1004,"小型船舶1級")+COUNTIFS('資格研修記録'!$A$5:$A$1004,A196,'資格研修記録'!$D$5:$D$1004,"小型船舶2級")&gt;0,"× 1・2級 期限切れ",""))),IF((COUNTIFS('資格研修記録'!$A$5:$A$1004,A196,'資格研修記録'!$D$5:$D$1004,"小型船舶特殊",'資格研修記録'!$F$5:$F$1004,"")+COUNTIFS('資格研修記録'!$A$5:$A$1004,A196,'資格研修記録'!$D$5:$D$1004,"小型船舶特殊",'資格研修記録'!$F$5:$F$1004,"&gt;="&amp;TODAY()))&gt;0,"特殊",IF(COUNTIFS('資格研修記録'!$A$5:$A$1004,A196,'資格研修記録'!$D$5:$D$1004,"小型船舶特殊")&gt;0,"× 特殊 期限切れ","")))))</f>
        <v/>
      </c>
      <c r="H196" s="15">
        <f>IF(A196="","",COUNTIFS('潜水記録'!$B$5:$B$3004,A196,'潜水記録'!$AF$5:$AF$3004,$D$2))</f>
        <v/>
      </c>
      <c r="I196" s="15">
        <f>IF(A196="","",COUNTIF('潜水記録'!$B$5:$B$3004,A196))</f>
        <v/>
      </c>
      <c r="J196" s="15">
        <f>IF(A196="","",SUMIF('潜水記録'!$B$5:$B$3004,A196,'潜水記録'!$H$5:$H$3004))</f>
        <v/>
      </c>
      <c r="K196" s="15">
        <f>IF(A196="","",IF(I196=0,"",_xlfn.MAXIFS('潜水記録'!$G$5:$G$3004,'潜水記録'!$B$5:$B$3004,A196)))</f>
        <v/>
      </c>
      <c r="L196" s="16">
        <f>IF(A196="","",IF(I196=0,"",_xlfn.MAXIFS('潜水記録'!$A$5:$A$3004,'潜水記録'!$B$5:$B$3004,A196)))</f>
        <v/>
      </c>
      <c r="M196" s="15">
        <f>IF(L196="","",$B$2-L196)</f>
        <v/>
      </c>
    </row>
    <row r="197">
      <c r="A197" s="14">
        <f>IF('隊員マスタ'!A194="","",'隊員マスタ'!A194)</f>
        <v/>
      </c>
      <c r="B197" s="14">
        <f>IF(A197="","",'隊員マスタ'!B194)</f>
        <v/>
      </c>
      <c r="C197" s="14">
        <f>IF(A197="","",'隊員マスタ'!C194)</f>
        <v/>
      </c>
      <c r="D197" s="15">
        <f>IF(A197="","",'隊員マスタ'!D194)</f>
        <v/>
      </c>
      <c r="E197" s="15">
        <f>IF(A197="","",IF(COUNTIFS('資格研修記録'!$A$5:$A$1004,A197,'資格研修記録'!$D$5:$D$1004,"潜水士免許")&gt;0,"有","無"))</f>
        <v/>
      </c>
      <c r="F197" s="15">
        <f>IF(A197="","",IF(COUNTIFS('資格研修記録'!$A$5:$A$1004,A197,'資格研修記録'!$D$5:$D$1004,"水難救助研修")&gt;0,"修了","—"))</f>
        <v/>
      </c>
      <c r="G197" s="14">
        <f>IF(A197="","",IF((IF((COUNTIFS('資格研修記録'!$A$5:$A$1004,A197,'資格研修記録'!$D$5:$D$1004,"小型船舶1級",'資格研修記録'!$F$5:$F$1004,"")+COUNTIFS('資格研修記録'!$A$5:$A$1004,A197,'資格研修記録'!$D$5:$D$1004,"小型船舶1級",'資格研修記録'!$F$5:$F$1004,"&gt;="&amp;TODAY()))&gt;0,"1級",IF((COUNTIFS('資格研修記録'!$A$5:$A$1004,A197,'資格研修記録'!$D$5:$D$1004,"小型船舶2級",'資格研修記録'!$F$5:$F$1004,"")+COUNTIFS('資格研修記録'!$A$5:$A$1004,A197,'資格研修記録'!$D$5:$D$1004,"小型船舶2級",'資格研修記録'!$F$5:$F$1004,"&gt;="&amp;TODAY()))&gt;0,"2級",IF(COUNTIFS('資格研修記録'!$A$5:$A$1004,A197,'資格研修記録'!$D$5:$D$1004,"小型船舶1級")+COUNTIFS('資格研修記録'!$A$5:$A$1004,A197,'資格研修記録'!$D$5:$D$1004,"小型船舶2級")&gt;0,"× 1・2級 期限切れ",""))))&amp;(IF((COUNTIFS('資格研修記録'!$A$5:$A$1004,A197,'資格研修記録'!$D$5:$D$1004,"小型船舶特殊",'資格研修記録'!$F$5:$F$1004,"")+COUNTIFS('資格研修記録'!$A$5:$A$1004,A197,'資格研修記録'!$D$5:$D$1004,"小型船舶特殊",'資格研修記録'!$F$5:$F$1004,"&gt;="&amp;TODAY()))&gt;0,"特殊",IF(COUNTIFS('資格研修記録'!$A$5:$A$1004,A197,'資格研修記録'!$D$5:$D$1004,"小型船舶特殊")&gt;0,"× 特殊 期限切れ","")))="","—",_xlfn.TEXTJOIN("・",TRUE,IF((COUNTIFS('資格研修記録'!$A$5:$A$1004,A197,'資格研修記録'!$D$5:$D$1004,"小型船舶1級",'資格研修記録'!$F$5:$F$1004,"")+COUNTIFS('資格研修記録'!$A$5:$A$1004,A197,'資格研修記録'!$D$5:$D$1004,"小型船舶1級",'資格研修記録'!$F$5:$F$1004,"&gt;="&amp;TODAY()))&gt;0,"1級",IF((COUNTIFS('資格研修記録'!$A$5:$A$1004,A197,'資格研修記録'!$D$5:$D$1004,"小型船舶2級",'資格研修記録'!$F$5:$F$1004,"")+COUNTIFS('資格研修記録'!$A$5:$A$1004,A197,'資格研修記録'!$D$5:$D$1004,"小型船舶2級",'資格研修記録'!$F$5:$F$1004,"&gt;="&amp;TODAY()))&gt;0,"2級",IF(COUNTIFS('資格研修記録'!$A$5:$A$1004,A197,'資格研修記録'!$D$5:$D$1004,"小型船舶1級")+COUNTIFS('資格研修記録'!$A$5:$A$1004,A197,'資格研修記録'!$D$5:$D$1004,"小型船舶2級")&gt;0,"× 1・2級 期限切れ",""))),IF((COUNTIFS('資格研修記録'!$A$5:$A$1004,A197,'資格研修記録'!$D$5:$D$1004,"小型船舶特殊",'資格研修記録'!$F$5:$F$1004,"")+COUNTIFS('資格研修記録'!$A$5:$A$1004,A197,'資格研修記録'!$D$5:$D$1004,"小型船舶特殊",'資格研修記録'!$F$5:$F$1004,"&gt;="&amp;TODAY()))&gt;0,"特殊",IF(COUNTIFS('資格研修記録'!$A$5:$A$1004,A197,'資格研修記録'!$D$5:$D$1004,"小型船舶特殊")&gt;0,"× 特殊 期限切れ","")))))</f>
        <v/>
      </c>
      <c r="H197" s="15">
        <f>IF(A197="","",COUNTIFS('潜水記録'!$B$5:$B$3004,A197,'潜水記録'!$AF$5:$AF$3004,$D$2))</f>
        <v/>
      </c>
      <c r="I197" s="15">
        <f>IF(A197="","",COUNTIF('潜水記録'!$B$5:$B$3004,A197))</f>
        <v/>
      </c>
      <c r="J197" s="15">
        <f>IF(A197="","",SUMIF('潜水記録'!$B$5:$B$3004,A197,'潜水記録'!$H$5:$H$3004))</f>
        <v/>
      </c>
      <c r="K197" s="15">
        <f>IF(A197="","",IF(I197=0,"",_xlfn.MAXIFS('潜水記録'!$G$5:$G$3004,'潜水記録'!$B$5:$B$3004,A197)))</f>
        <v/>
      </c>
      <c r="L197" s="16">
        <f>IF(A197="","",IF(I197=0,"",_xlfn.MAXIFS('潜水記録'!$A$5:$A$3004,'潜水記録'!$B$5:$B$3004,A197)))</f>
        <v/>
      </c>
      <c r="M197" s="15">
        <f>IF(L197="","",$B$2-L197)</f>
        <v/>
      </c>
    </row>
    <row r="198">
      <c r="A198" s="14">
        <f>IF('隊員マスタ'!A195="","",'隊員マスタ'!A195)</f>
        <v/>
      </c>
      <c r="B198" s="14">
        <f>IF(A198="","",'隊員マスタ'!B195)</f>
        <v/>
      </c>
      <c r="C198" s="14">
        <f>IF(A198="","",'隊員マスタ'!C195)</f>
        <v/>
      </c>
      <c r="D198" s="15">
        <f>IF(A198="","",'隊員マスタ'!D195)</f>
        <v/>
      </c>
      <c r="E198" s="15">
        <f>IF(A198="","",IF(COUNTIFS('資格研修記録'!$A$5:$A$1004,A198,'資格研修記録'!$D$5:$D$1004,"潜水士免許")&gt;0,"有","無"))</f>
        <v/>
      </c>
      <c r="F198" s="15">
        <f>IF(A198="","",IF(COUNTIFS('資格研修記録'!$A$5:$A$1004,A198,'資格研修記録'!$D$5:$D$1004,"水難救助研修")&gt;0,"修了","—"))</f>
        <v/>
      </c>
      <c r="G198" s="14">
        <f>IF(A198="","",IF((IF((COUNTIFS('資格研修記録'!$A$5:$A$1004,A198,'資格研修記録'!$D$5:$D$1004,"小型船舶1級",'資格研修記録'!$F$5:$F$1004,"")+COUNTIFS('資格研修記録'!$A$5:$A$1004,A198,'資格研修記録'!$D$5:$D$1004,"小型船舶1級",'資格研修記録'!$F$5:$F$1004,"&gt;="&amp;TODAY()))&gt;0,"1級",IF((COUNTIFS('資格研修記録'!$A$5:$A$1004,A198,'資格研修記録'!$D$5:$D$1004,"小型船舶2級",'資格研修記録'!$F$5:$F$1004,"")+COUNTIFS('資格研修記録'!$A$5:$A$1004,A198,'資格研修記録'!$D$5:$D$1004,"小型船舶2級",'資格研修記録'!$F$5:$F$1004,"&gt;="&amp;TODAY()))&gt;0,"2級",IF(COUNTIFS('資格研修記録'!$A$5:$A$1004,A198,'資格研修記録'!$D$5:$D$1004,"小型船舶1級")+COUNTIFS('資格研修記録'!$A$5:$A$1004,A198,'資格研修記録'!$D$5:$D$1004,"小型船舶2級")&gt;0,"× 1・2級 期限切れ",""))))&amp;(IF((COUNTIFS('資格研修記録'!$A$5:$A$1004,A198,'資格研修記録'!$D$5:$D$1004,"小型船舶特殊",'資格研修記録'!$F$5:$F$1004,"")+COUNTIFS('資格研修記録'!$A$5:$A$1004,A198,'資格研修記録'!$D$5:$D$1004,"小型船舶特殊",'資格研修記録'!$F$5:$F$1004,"&gt;="&amp;TODAY()))&gt;0,"特殊",IF(COUNTIFS('資格研修記録'!$A$5:$A$1004,A198,'資格研修記録'!$D$5:$D$1004,"小型船舶特殊")&gt;0,"× 特殊 期限切れ","")))="","—",_xlfn.TEXTJOIN("・",TRUE,IF((COUNTIFS('資格研修記録'!$A$5:$A$1004,A198,'資格研修記録'!$D$5:$D$1004,"小型船舶1級",'資格研修記録'!$F$5:$F$1004,"")+COUNTIFS('資格研修記録'!$A$5:$A$1004,A198,'資格研修記録'!$D$5:$D$1004,"小型船舶1級",'資格研修記録'!$F$5:$F$1004,"&gt;="&amp;TODAY()))&gt;0,"1級",IF((COUNTIFS('資格研修記録'!$A$5:$A$1004,A198,'資格研修記録'!$D$5:$D$1004,"小型船舶2級",'資格研修記録'!$F$5:$F$1004,"")+COUNTIFS('資格研修記録'!$A$5:$A$1004,A198,'資格研修記録'!$D$5:$D$1004,"小型船舶2級",'資格研修記録'!$F$5:$F$1004,"&gt;="&amp;TODAY()))&gt;0,"2級",IF(COUNTIFS('資格研修記録'!$A$5:$A$1004,A198,'資格研修記録'!$D$5:$D$1004,"小型船舶1級")+COUNTIFS('資格研修記録'!$A$5:$A$1004,A198,'資格研修記録'!$D$5:$D$1004,"小型船舶2級")&gt;0,"× 1・2級 期限切れ",""))),IF((COUNTIFS('資格研修記録'!$A$5:$A$1004,A198,'資格研修記録'!$D$5:$D$1004,"小型船舶特殊",'資格研修記録'!$F$5:$F$1004,"")+COUNTIFS('資格研修記録'!$A$5:$A$1004,A198,'資格研修記録'!$D$5:$D$1004,"小型船舶特殊",'資格研修記録'!$F$5:$F$1004,"&gt;="&amp;TODAY()))&gt;0,"特殊",IF(COUNTIFS('資格研修記録'!$A$5:$A$1004,A198,'資格研修記録'!$D$5:$D$1004,"小型船舶特殊")&gt;0,"× 特殊 期限切れ","")))))</f>
        <v/>
      </c>
      <c r="H198" s="15">
        <f>IF(A198="","",COUNTIFS('潜水記録'!$B$5:$B$3004,A198,'潜水記録'!$AF$5:$AF$3004,$D$2))</f>
        <v/>
      </c>
      <c r="I198" s="15">
        <f>IF(A198="","",COUNTIF('潜水記録'!$B$5:$B$3004,A198))</f>
        <v/>
      </c>
      <c r="J198" s="15">
        <f>IF(A198="","",SUMIF('潜水記録'!$B$5:$B$3004,A198,'潜水記録'!$H$5:$H$3004))</f>
        <v/>
      </c>
      <c r="K198" s="15">
        <f>IF(A198="","",IF(I198=0,"",_xlfn.MAXIFS('潜水記録'!$G$5:$G$3004,'潜水記録'!$B$5:$B$3004,A198)))</f>
        <v/>
      </c>
      <c r="L198" s="16">
        <f>IF(A198="","",IF(I198=0,"",_xlfn.MAXIFS('潜水記録'!$A$5:$A$3004,'潜水記録'!$B$5:$B$3004,A198)))</f>
        <v/>
      </c>
      <c r="M198" s="15">
        <f>IF(L198="","",$B$2-L198)</f>
        <v/>
      </c>
    </row>
    <row r="199">
      <c r="A199" s="14">
        <f>IF('隊員マスタ'!A196="","",'隊員マスタ'!A196)</f>
        <v/>
      </c>
      <c r="B199" s="14">
        <f>IF(A199="","",'隊員マスタ'!B196)</f>
        <v/>
      </c>
      <c r="C199" s="14">
        <f>IF(A199="","",'隊員マスタ'!C196)</f>
        <v/>
      </c>
      <c r="D199" s="15">
        <f>IF(A199="","",'隊員マスタ'!D196)</f>
        <v/>
      </c>
      <c r="E199" s="15">
        <f>IF(A199="","",IF(COUNTIFS('資格研修記録'!$A$5:$A$1004,A199,'資格研修記録'!$D$5:$D$1004,"潜水士免許")&gt;0,"有","無"))</f>
        <v/>
      </c>
      <c r="F199" s="15">
        <f>IF(A199="","",IF(COUNTIFS('資格研修記録'!$A$5:$A$1004,A199,'資格研修記録'!$D$5:$D$1004,"水難救助研修")&gt;0,"修了","—"))</f>
        <v/>
      </c>
      <c r="G199" s="14">
        <f>IF(A199="","",IF((IF((COUNTIFS('資格研修記録'!$A$5:$A$1004,A199,'資格研修記録'!$D$5:$D$1004,"小型船舶1級",'資格研修記録'!$F$5:$F$1004,"")+COUNTIFS('資格研修記録'!$A$5:$A$1004,A199,'資格研修記録'!$D$5:$D$1004,"小型船舶1級",'資格研修記録'!$F$5:$F$1004,"&gt;="&amp;TODAY()))&gt;0,"1級",IF((COUNTIFS('資格研修記録'!$A$5:$A$1004,A199,'資格研修記録'!$D$5:$D$1004,"小型船舶2級",'資格研修記録'!$F$5:$F$1004,"")+COUNTIFS('資格研修記録'!$A$5:$A$1004,A199,'資格研修記録'!$D$5:$D$1004,"小型船舶2級",'資格研修記録'!$F$5:$F$1004,"&gt;="&amp;TODAY()))&gt;0,"2級",IF(COUNTIFS('資格研修記録'!$A$5:$A$1004,A199,'資格研修記録'!$D$5:$D$1004,"小型船舶1級")+COUNTIFS('資格研修記録'!$A$5:$A$1004,A199,'資格研修記録'!$D$5:$D$1004,"小型船舶2級")&gt;0,"× 1・2級 期限切れ",""))))&amp;(IF((COUNTIFS('資格研修記録'!$A$5:$A$1004,A199,'資格研修記録'!$D$5:$D$1004,"小型船舶特殊",'資格研修記録'!$F$5:$F$1004,"")+COUNTIFS('資格研修記録'!$A$5:$A$1004,A199,'資格研修記録'!$D$5:$D$1004,"小型船舶特殊",'資格研修記録'!$F$5:$F$1004,"&gt;="&amp;TODAY()))&gt;0,"特殊",IF(COUNTIFS('資格研修記録'!$A$5:$A$1004,A199,'資格研修記録'!$D$5:$D$1004,"小型船舶特殊")&gt;0,"× 特殊 期限切れ","")))="","—",_xlfn.TEXTJOIN("・",TRUE,IF((COUNTIFS('資格研修記録'!$A$5:$A$1004,A199,'資格研修記録'!$D$5:$D$1004,"小型船舶1級",'資格研修記録'!$F$5:$F$1004,"")+COUNTIFS('資格研修記録'!$A$5:$A$1004,A199,'資格研修記録'!$D$5:$D$1004,"小型船舶1級",'資格研修記録'!$F$5:$F$1004,"&gt;="&amp;TODAY()))&gt;0,"1級",IF((COUNTIFS('資格研修記録'!$A$5:$A$1004,A199,'資格研修記録'!$D$5:$D$1004,"小型船舶2級",'資格研修記録'!$F$5:$F$1004,"")+COUNTIFS('資格研修記録'!$A$5:$A$1004,A199,'資格研修記録'!$D$5:$D$1004,"小型船舶2級",'資格研修記録'!$F$5:$F$1004,"&gt;="&amp;TODAY()))&gt;0,"2級",IF(COUNTIFS('資格研修記録'!$A$5:$A$1004,A199,'資格研修記録'!$D$5:$D$1004,"小型船舶1級")+COUNTIFS('資格研修記録'!$A$5:$A$1004,A199,'資格研修記録'!$D$5:$D$1004,"小型船舶2級")&gt;0,"× 1・2級 期限切れ",""))),IF((COUNTIFS('資格研修記録'!$A$5:$A$1004,A199,'資格研修記録'!$D$5:$D$1004,"小型船舶特殊",'資格研修記録'!$F$5:$F$1004,"")+COUNTIFS('資格研修記録'!$A$5:$A$1004,A199,'資格研修記録'!$D$5:$D$1004,"小型船舶特殊",'資格研修記録'!$F$5:$F$1004,"&gt;="&amp;TODAY()))&gt;0,"特殊",IF(COUNTIFS('資格研修記録'!$A$5:$A$1004,A199,'資格研修記録'!$D$5:$D$1004,"小型船舶特殊")&gt;0,"× 特殊 期限切れ","")))))</f>
        <v/>
      </c>
      <c r="H199" s="15">
        <f>IF(A199="","",COUNTIFS('潜水記録'!$B$5:$B$3004,A199,'潜水記録'!$AF$5:$AF$3004,$D$2))</f>
        <v/>
      </c>
      <c r="I199" s="15">
        <f>IF(A199="","",COUNTIF('潜水記録'!$B$5:$B$3004,A199))</f>
        <v/>
      </c>
      <c r="J199" s="15">
        <f>IF(A199="","",SUMIF('潜水記録'!$B$5:$B$3004,A199,'潜水記録'!$H$5:$H$3004))</f>
        <v/>
      </c>
      <c r="K199" s="15">
        <f>IF(A199="","",IF(I199=0,"",_xlfn.MAXIFS('潜水記録'!$G$5:$G$3004,'潜水記録'!$B$5:$B$3004,A199)))</f>
        <v/>
      </c>
      <c r="L199" s="16">
        <f>IF(A199="","",IF(I199=0,"",_xlfn.MAXIFS('潜水記録'!$A$5:$A$3004,'潜水記録'!$B$5:$B$3004,A199)))</f>
        <v/>
      </c>
      <c r="M199" s="15">
        <f>IF(L199="","",$B$2-L199)</f>
        <v/>
      </c>
    </row>
    <row r="200">
      <c r="A200" s="14">
        <f>IF('隊員マスタ'!A197="","",'隊員マスタ'!A197)</f>
        <v/>
      </c>
      <c r="B200" s="14">
        <f>IF(A200="","",'隊員マスタ'!B197)</f>
        <v/>
      </c>
      <c r="C200" s="14">
        <f>IF(A200="","",'隊員マスタ'!C197)</f>
        <v/>
      </c>
      <c r="D200" s="15">
        <f>IF(A200="","",'隊員マスタ'!D197)</f>
        <v/>
      </c>
      <c r="E200" s="15">
        <f>IF(A200="","",IF(COUNTIFS('資格研修記録'!$A$5:$A$1004,A200,'資格研修記録'!$D$5:$D$1004,"潜水士免許")&gt;0,"有","無"))</f>
        <v/>
      </c>
      <c r="F200" s="15">
        <f>IF(A200="","",IF(COUNTIFS('資格研修記録'!$A$5:$A$1004,A200,'資格研修記録'!$D$5:$D$1004,"水難救助研修")&gt;0,"修了","—"))</f>
        <v/>
      </c>
      <c r="G200" s="14">
        <f>IF(A200="","",IF((IF((COUNTIFS('資格研修記録'!$A$5:$A$1004,A200,'資格研修記録'!$D$5:$D$1004,"小型船舶1級",'資格研修記録'!$F$5:$F$1004,"")+COUNTIFS('資格研修記録'!$A$5:$A$1004,A200,'資格研修記録'!$D$5:$D$1004,"小型船舶1級",'資格研修記録'!$F$5:$F$1004,"&gt;="&amp;TODAY()))&gt;0,"1級",IF((COUNTIFS('資格研修記録'!$A$5:$A$1004,A200,'資格研修記録'!$D$5:$D$1004,"小型船舶2級",'資格研修記録'!$F$5:$F$1004,"")+COUNTIFS('資格研修記録'!$A$5:$A$1004,A200,'資格研修記録'!$D$5:$D$1004,"小型船舶2級",'資格研修記録'!$F$5:$F$1004,"&gt;="&amp;TODAY()))&gt;0,"2級",IF(COUNTIFS('資格研修記録'!$A$5:$A$1004,A200,'資格研修記録'!$D$5:$D$1004,"小型船舶1級")+COUNTIFS('資格研修記録'!$A$5:$A$1004,A200,'資格研修記録'!$D$5:$D$1004,"小型船舶2級")&gt;0,"× 1・2級 期限切れ",""))))&amp;(IF((COUNTIFS('資格研修記録'!$A$5:$A$1004,A200,'資格研修記録'!$D$5:$D$1004,"小型船舶特殊",'資格研修記録'!$F$5:$F$1004,"")+COUNTIFS('資格研修記録'!$A$5:$A$1004,A200,'資格研修記録'!$D$5:$D$1004,"小型船舶特殊",'資格研修記録'!$F$5:$F$1004,"&gt;="&amp;TODAY()))&gt;0,"特殊",IF(COUNTIFS('資格研修記録'!$A$5:$A$1004,A200,'資格研修記録'!$D$5:$D$1004,"小型船舶特殊")&gt;0,"× 特殊 期限切れ","")))="","—",_xlfn.TEXTJOIN("・",TRUE,IF((COUNTIFS('資格研修記録'!$A$5:$A$1004,A200,'資格研修記録'!$D$5:$D$1004,"小型船舶1級",'資格研修記録'!$F$5:$F$1004,"")+COUNTIFS('資格研修記録'!$A$5:$A$1004,A200,'資格研修記録'!$D$5:$D$1004,"小型船舶1級",'資格研修記録'!$F$5:$F$1004,"&gt;="&amp;TODAY()))&gt;0,"1級",IF((COUNTIFS('資格研修記録'!$A$5:$A$1004,A200,'資格研修記録'!$D$5:$D$1004,"小型船舶2級",'資格研修記録'!$F$5:$F$1004,"")+COUNTIFS('資格研修記録'!$A$5:$A$1004,A200,'資格研修記録'!$D$5:$D$1004,"小型船舶2級",'資格研修記録'!$F$5:$F$1004,"&gt;="&amp;TODAY()))&gt;0,"2級",IF(COUNTIFS('資格研修記録'!$A$5:$A$1004,A200,'資格研修記録'!$D$5:$D$1004,"小型船舶1級")+COUNTIFS('資格研修記録'!$A$5:$A$1004,A200,'資格研修記録'!$D$5:$D$1004,"小型船舶2級")&gt;0,"× 1・2級 期限切れ",""))),IF((COUNTIFS('資格研修記録'!$A$5:$A$1004,A200,'資格研修記録'!$D$5:$D$1004,"小型船舶特殊",'資格研修記録'!$F$5:$F$1004,"")+COUNTIFS('資格研修記録'!$A$5:$A$1004,A200,'資格研修記録'!$D$5:$D$1004,"小型船舶特殊",'資格研修記録'!$F$5:$F$1004,"&gt;="&amp;TODAY()))&gt;0,"特殊",IF(COUNTIFS('資格研修記録'!$A$5:$A$1004,A200,'資格研修記録'!$D$5:$D$1004,"小型船舶特殊")&gt;0,"× 特殊 期限切れ","")))))</f>
        <v/>
      </c>
      <c r="H200" s="15">
        <f>IF(A200="","",COUNTIFS('潜水記録'!$B$5:$B$3004,A200,'潜水記録'!$AF$5:$AF$3004,$D$2))</f>
        <v/>
      </c>
      <c r="I200" s="15">
        <f>IF(A200="","",COUNTIF('潜水記録'!$B$5:$B$3004,A200))</f>
        <v/>
      </c>
      <c r="J200" s="15">
        <f>IF(A200="","",SUMIF('潜水記録'!$B$5:$B$3004,A200,'潜水記録'!$H$5:$H$3004))</f>
        <v/>
      </c>
      <c r="K200" s="15">
        <f>IF(A200="","",IF(I200=0,"",_xlfn.MAXIFS('潜水記録'!$G$5:$G$3004,'潜水記録'!$B$5:$B$3004,A200)))</f>
        <v/>
      </c>
      <c r="L200" s="16">
        <f>IF(A200="","",IF(I200=0,"",_xlfn.MAXIFS('潜水記録'!$A$5:$A$3004,'潜水記録'!$B$5:$B$3004,A200)))</f>
        <v/>
      </c>
      <c r="M200" s="15">
        <f>IF(L200="","",$B$2-L200)</f>
        <v/>
      </c>
    </row>
    <row r="201">
      <c r="A201" s="14">
        <f>IF('隊員マスタ'!A198="","",'隊員マスタ'!A198)</f>
        <v/>
      </c>
      <c r="B201" s="14">
        <f>IF(A201="","",'隊員マスタ'!B198)</f>
        <v/>
      </c>
      <c r="C201" s="14">
        <f>IF(A201="","",'隊員マスタ'!C198)</f>
        <v/>
      </c>
      <c r="D201" s="15">
        <f>IF(A201="","",'隊員マスタ'!D198)</f>
        <v/>
      </c>
      <c r="E201" s="15">
        <f>IF(A201="","",IF(COUNTIFS('資格研修記録'!$A$5:$A$1004,A201,'資格研修記録'!$D$5:$D$1004,"潜水士免許")&gt;0,"有","無"))</f>
        <v/>
      </c>
      <c r="F201" s="15">
        <f>IF(A201="","",IF(COUNTIFS('資格研修記録'!$A$5:$A$1004,A201,'資格研修記録'!$D$5:$D$1004,"水難救助研修")&gt;0,"修了","—"))</f>
        <v/>
      </c>
      <c r="G201" s="14">
        <f>IF(A201="","",IF((IF((COUNTIFS('資格研修記録'!$A$5:$A$1004,A201,'資格研修記録'!$D$5:$D$1004,"小型船舶1級",'資格研修記録'!$F$5:$F$1004,"")+COUNTIFS('資格研修記録'!$A$5:$A$1004,A201,'資格研修記録'!$D$5:$D$1004,"小型船舶1級",'資格研修記録'!$F$5:$F$1004,"&gt;="&amp;TODAY()))&gt;0,"1級",IF((COUNTIFS('資格研修記録'!$A$5:$A$1004,A201,'資格研修記録'!$D$5:$D$1004,"小型船舶2級",'資格研修記録'!$F$5:$F$1004,"")+COUNTIFS('資格研修記録'!$A$5:$A$1004,A201,'資格研修記録'!$D$5:$D$1004,"小型船舶2級",'資格研修記録'!$F$5:$F$1004,"&gt;="&amp;TODAY()))&gt;0,"2級",IF(COUNTIFS('資格研修記録'!$A$5:$A$1004,A201,'資格研修記録'!$D$5:$D$1004,"小型船舶1級")+COUNTIFS('資格研修記録'!$A$5:$A$1004,A201,'資格研修記録'!$D$5:$D$1004,"小型船舶2級")&gt;0,"× 1・2級 期限切れ",""))))&amp;(IF((COUNTIFS('資格研修記録'!$A$5:$A$1004,A201,'資格研修記録'!$D$5:$D$1004,"小型船舶特殊",'資格研修記録'!$F$5:$F$1004,"")+COUNTIFS('資格研修記録'!$A$5:$A$1004,A201,'資格研修記録'!$D$5:$D$1004,"小型船舶特殊",'資格研修記録'!$F$5:$F$1004,"&gt;="&amp;TODAY()))&gt;0,"特殊",IF(COUNTIFS('資格研修記録'!$A$5:$A$1004,A201,'資格研修記録'!$D$5:$D$1004,"小型船舶特殊")&gt;0,"× 特殊 期限切れ","")))="","—",_xlfn.TEXTJOIN("・",TRUE,IF((COUNTIFS('資格研修記録'!$A$5:$A$1004,A201,'資格研修記録'!$D$5:$D$1004,"小型船舶1級",'資格研修記録'!$F$5:$F$1004,"")+COUNTIFS('資格研修記録'!$A$5:$A$1004,A201,'資格研修記録'!$D$5:$D$1004,"小型船舶1級",'資格研修記録'!$F$5:$F$1004,"&gt;="&amp;TODAY()))&gt;0,"1級",IF((COUNTIFS('資格研修記録'!$A$5:$A$1004,A201,'資格研修記録'!$D$5:$D$1004,"小型船舶2級",'資格研修記録'!$F$5:$F$1004,"")+COUNTIFS('資格研修記録'!$A$5:$A$1004,A201,'資格研修記録'!$D$5:$D$1004,"小型船舶2級",'資格研修記録'!$F$5:$F$1004,"&gt;="&amp;TODAY()))&gt;0,"2級",IF(COUNTIFS('資格研修記録'!$A$5:$A$1004,A201,'資格研修記録'!$D$5:$D$1004,"小型船舶1級")+COUNTIFS('資格研修記録'!$A$5:$A$1004,A201,'資格研修記録'!$D$5:$D$1004,"小型船舶2級")&gt;0,"× 1・2級 期限切れ",""))),IF((COUNTIFS('資格研修記録'!$A$5:$A$1004,A201,'資格研修記録'!$D$5:$D$1004,"小型船舶特殊",'資格研修記録'!$F$5:$F$1004,"")+COUNTIFS('資格研修記録'!$A$5:$A$1004,A201,'資格研修記録'!$D$5:$D$1004,"小型船舶特殊",'資格研修記録'!$F$5:$F$1004,"&gt;="&amp;TODAY()))&gt;0,"特殊",IF(COUNTIFS('資格研修記録'!$A$5:$A$1004,A201,'資格研修記録'!$D$5:$D$1004,"小型船舶特殊")&gt;0,"× 特殊 期限切れ","")))))</f>
        <v/>
      </c>
      <c r="H201" s="15">
        <f>IF(A201="","",COUNTIFS('潜水記録'!$B$5:$B$3004,A201,'潜水記録'!$AF$5:$AF$3004,$D$2))</f>
        <v/>
      </c>
      <c r="I201" s="15">
        <f>IF(A201="","",COUNTIF('潜水記録'!$B$5:$B$3004,A201))</f>
        <v/>
      </c>
      <c r="J201" s="15">
        <f>IF(A201="","",SUMIF('潜水記録'!$B$5:$B$3004,A201,'潜水記録'!$H$5:$H$3004))</f>
        <v/>
      </c>
      <c r="K201" s="15">
        <f>IF(A201="","",IF(I201=0,"",_xlfn.MAXIFS('潜水記録'!$G$5:$G$3004,'潜水記録'!$B$5:$B$3004,A201)))</f>
        <v/>
      </c>
      <c r="L201" s="16">
        <f>IF(A201="","",IF(I201=0,"",_xlfn.MAXIFS('潜水記録'!$A$5:$A$3004,'潜水記録'!$B$5:$B$3004,A201)))</f>
        <v/>
      </c>
      <c r="M201" s="15">
        <f>IF(L201="","",$B$2-L201)</f>
        <v/>
      </c>
    </row>
    <row r="202">
      <c r="A202" s="14">
        <f>IF('隊員マスタ'!A199="","",'隊員マスタ'!A199)</f>
        <v/>
      </c>
      <c r="B202" s="14">
        <f>IF(A202="","",'隊員マスタ'!B199)</f>
        <v/>
      </c>
      <c r="C202" s="14">
        <f>IF(A202="","",'隊員マスタ'!C199)</f>
        <v/>
      </c>
      <c r="D202" s="15">
        <f>IF(A202="","",'隊員マスタ'!D199)</f>
        <v/>
      </c>
      <c r="E202" s="15">
        <f>IF(A202="","",IF(COUNTIFS('資格研修記録'!$A$5:$A$1004,A202,'資格研修記録'!$D$5:$D$1004,"潜水士免許")&gt;0,"有","無"))</f>
        <v/>
      </c>
      <c r="F202" s="15">
        <f>IF(A202="","",IF(COUNTIFS('資格研修記録'!$A$5:$A$1004,A202,'資格研修記録'!$D$5:$D$1004,"水難救助研修")&gt;0,"修了","—"))</f>
        <v/>
      </c>
      <c r="G202" s="14">
        <f>IF(A202="","",IF((IF((COUNTIFS('資格研修記録'!$A$5:$A$1004,A202,'資格研修記録'!$D$5:$D$1004,"小型船舶1級",'資格研修記録'!$F$5:$F$1004,"")+COUNTIFS('資格研修記録'!$A$5:$A$1004,A202,'資格研修記録'!$D$5:$D$1004,"小型船舶1級",'資格研修記録'!$F$5:$F$1004,"&gt;="&amp;TODAY()))&gt;0,"1級",IF((COUNTIFS('資格研修記録'!$A$5:$A$1004,A202,'資格研修記録'!$D$5:$D$1004,"小型船舶2級",'資格研修記録'!$F$5:$F$1004,"")+COUNTIFS('資格研修記録'!$A$5:$A$1004,A202,'資格研修記録'!$D$5:$D$1004,"小型船舶2級",'資格研修記録'!$F$5:$F$1004,"&gt;="&amp;TODAY()))&gt;0,"2級",IF(COUNTIFS('資格研修記録'!$A$5:$A$1004,A202,'資格研修記録'!$D$5:$D$1004,"小型船舶1級")+COUNTIFS('資格研修記録'!$A$5:$A$1004,A202,'資格研修記録'!$D$5:$D$1004,"小型船舶2級")&gt;0,"× 1・2級 期限切れ",""))))&amp;(IF((COUNTIFS('資格研修記録'!$A$5:$A$1004,A202,'資格研修記録'!$D$5:$D$1004,"小型船舶特殊",'資格研修記録'!$F$5:$F$1004,"")+COUNTIFS('資格研修記録'!$A$5:$A$1004,A202,'資格研修記録'!$D$5:$D$1004,"小型船舶特殊",'資格研修記録'!$F$5:$F$1004,"&gt;="&amp;TODAY()))&gt;0,"特殊",IF(COUNTIFS('資格研修記録'!$A$5:$A$1004,A202,'資格研修記録'!$D$5:$D$1004,"小型船舶特殊")&gt;0,"× 特殊 期限切れ","")))="","—",_xlfn.TEXTJOIN("・",TRUE,IF((COUNTIFS('資格研修記録'!$A$5:$A$1004,A202,'資格研修記録'!$D$5:$D$1004,"小型船舶1級",'資格研修記録'!$F$5:$F$1004,"")+COUNTIFS('資格研修記録'!$A$5:$A$1004,A202,'資格研修記録'!$D$5:$D$1004,"小型船舶1級",'資格研修記録'!$F$5:$F$1004,"&gt;="&amp;TODAY()))&gt;0,"1級",IF((COUNTIFS('資格研修記録'!$A$5:$A$1004,A202,'資格研修記録'!$D$5:$D$1004,"小型船舶2級",'資格研修記録'!$F$5:$F$1004,"")+COUNTIFS('資格研修記録'!$A$5:$A$1004,A202,'資格研修記録'!$D$5:$D$1004,"小型船舶2級",'資格研修記録'!$F$5:$F$1004,"&gt;="&amp;TODAY()))&gt;0,"2級",IF(COUNTIFS('資格研修記録'!$A$5:$A$1004,A202,'資格研修記録'!$D$5:$D$1004,"小型船舶1級")+COUNTIFS('資格研修記録'!$A$5:$A$1004,A202,'資格研修記録'!$D$5:$D$1004,"小型船舶2級")&gt;0,"× 1・2級 期限切れ",""))),IF((COUNTIFS('資格研修記録'!$A$5:$A$1004,A202,'資格研修記録'!$D$5:$D$1004,"小型船舶特殊",'資格研修記録'!$F$5:$F$1004,"")+COUNTIFS('資格研修記録'!$A$5:$A$1004,A202,'資格研修記録'!$D$5:$D$1004,"小型船舶特殊",'資格研修記録'!$F$5:$F$1004,"&gt;="&amp;TODAY()))&gt;0,"特殊",IF(COUNTIFS('資格研修記録'!$A$5:$A$1004,A202,'資格研修記録'!$D$5:$D$1004,"小型船舶特殊")&gt;0,"× 特殊 期限切れ","")))))</f>
        <v/>
      </c>
      <c r="H202" s="15">
        <f>IF(A202="","",COUNTIFS('潜水記録'!$B$5:$B$3004,A202,'潜水記録'!$AF$5:$AF$3004,$D$2))</f>
        <v/>
      </c>
      <c r="I202" s="15">
        <f>IF(A202="","",COUNTIF('潜水記録'!$B$5:$B$3004,A202))</f>
        <v/>
      </c>
      <c r="J202" s="15">
        <f>IF(A202="","",SUMIF('潜水記録'!$B$5:$B$3004,A202,'潜水記録'!$H$5:$H$3004))</f>
        <v/>
      </c>
      <c r="K202" s="15">
        <f>IF(A202="","",IF(I202=0,"",_xlfn.MAXIFS('潜水記録'!$G$5:$G$3004,'潜水記録'!$B$5:$B$3004,A202)))</f>
        <v/>
      </c>
      <c r="L202" s="16">
        <f>IF(A202="","",IF(I202=0,"",_xlfn.MAXIFS('潜水記録'!$A$5:$A$3004,'潜水記録'!$B$5:$B$3004,A202)))</f>
        <v/>
      </c>
      <c r="M202" s="15">
        <f>IF(L202="","",$B$2-L202)</f>
        <v/>
      </c>
    </row>
    <row r="203">
      <c r="A203" s="14">
        <f>IF('隊員マスタ'!A200="","",'隊員マスタ'!A200)</f>
        <v/>
      </c>
      <c r="B203" s="14">
        <f>IF(A203="","",'隊員マスタ'!B200)</f>
        <v/>
      </c>
      <c r="C203" s="14">
        <f>IF(A203="","",'隊員マスタ'!C200)</f>
        <v/>
      </c>
      <c r="D203" s="15">
        <f>IF(A203="","",'隊員マスタ'!D200)</f>
        <v/>
      </c>
      <c r="E203" s="15">
        <f>IF(A203="","",IF(COUNTIFS('資格研修記録'!$A$5:$A$1004,A203,'資格研修記録'!$D$5:$D$1004,"潜水士免許")&gt;0,"有","無"))</f>
        <v/>
      </c>
      <c r="F203" s="15">
        <f>IF(A203="","",IF(COUNTIFS('資格研修記録'!$A$5:$A$1004,A203,'資格研修記録'!$D$5:$D$1004,"水難救助研修")&gt;0,"修了","—"))</f>
        <v/>
      </c>
      <c r="G203" s="14">
        <f>IF(A203="","",IF((IF((COUNTIFS('資格研修記録'!$A$5:$A$1004,A203,'資格研修記録'!$D$5:$D$1004,"小型船舶1級",'資格研修記録'!$F$5:$F$1004,"")+COUNTIFS('資格研修記録'!$A$5:$A$1004,A203,'資格研修記録'!$D$5:$D$1004,"小型船舶1級",'資格研修記録'!$F$5:$F$1004,"&gt;="&amp;TODAY()))&gt;0,"1級",IF((COUNTIFS('資格研修記録'!$A$5:$A$1004,A203,'資格研修記録'!$D$5:$D$1004,"小型船舶2級",'資格研修記録'!$F$5:$F$1004,"")+COUNTIFS('資格研修記録'!$A$5:$A$1004,A203,'資格研修記録'!$D$5:$D$1004,"小型船舶2級",'資格研修記録'!$F$5:$F$1004,"&gt;="&amp;TODAY()))&gt;0,"2級",IF(COUNTIFS('資格研修記録'!$A$5:$A$1004,A203,'資格研修記録'!$D$5:$D$1004,"小型船舶1級")+COUNTIFS('資格研修記録'!$A$5:$A$1004,A203,'資格研修記録'!$D$5:$D$1004,"小型船舶2級")&gt;0,"× 1・2級 期限切れ",""))))&amp;(IF((COUNTIFS('資格研修記録'!$A$5:$A$1004,A203,'資格研修記録'!$D$5:$D$1004,"小型船舶特殊",'資格研修記録'!$F$5:$F$1004,"")+COUNTIFS('資格研修記録'!$A$5:$A$1004,A203,'資格研修記録'!$D$5:$D$1004,"小型船舶特殊",'資格研修記録'!$F$5:$F$1004,"&gt;="&amp;TODAY()))&gt;0,"特殊",IF(COUNTIFS('資格研修記録'!$A$5:$A$1004,A203,'資格研修記録'!$D$5:$D$1004,"小型船舶特殊")&gt;0,"× 特殊 期限切れ","")))="","—",_xlfn.TEXTJOIN("・",TRUE,IF((COUNTIFS('資格研修記録'!$A$5:$A$1004,A203,'資格研修記録'!$D$5:$D$1004,"小型船舶1級",'資格研修記録'!$F$5:$F$1004,"")+COUNTIFS('資格研修記録'!$A$5:$A$1004,A203,'資格研修記録'!$D$5:$D$1004,"小型船舶1級",'資格研修記録'!$F$5:$F$1004,"&gt;="&amp;TODAY()))&gt;0,"1級",IF((COUNTIFS('資格研修記録'!$A$5:$A$1004,A203,'資格研修記録'!$D$5:$D$1004,"小型船舶2級",'資格研修記録'!$F$5:$F$1004,"")+COUNTIFS('資格研修記録'!$A$5:$A$1004,A203,'資格研修記録'!$D$5:$D$1004,"小型船舶2級",'資格研修記録'!$F$5:$F$1004,"&gt;="&amp;TODAY()))&gt;0,"2級",IF(COUNTIFS('資格研修記録'!$A$5:$A$1004,A203,'資格研修記録'!$D$5:$D$1004,"小型船舶1級")+COUNTIFS('資格研修記録'!$A$5:$A$1004,A203,'資格研修記録'!$D$5:$D$1004,"小型船舶2級")&gt;0,"× 1・2級 期限切れ",""))),IF((COUNTIFS('資格研修記録'!$A$5:$A$1004,A203,'資格研修記録'!$D$5:$D$1004,"小型船舶特殊",'資格研修記録'!$F$5:$F$1004,"")+COUNTIFS('資格研修記録'!$A$5:$A$1004,A203,'資格研修記録'!$D$5:$D$1004,"小型船舶特殊",'資格研修記録'!$F$5:$F$1004,"&gt;="&amp;TODAY()))&gt;0,"特殊",IF(COUNTIFS('資格研修記録'!$A$5:$A$1004,A203,'資格研修記録'!$D$5:$D$1004,"小型船舶特殊")&gt;0,"× 特殊 期限切れ","")))))</f>
        <v/>
      </c>
      <c r="H203" s="15">
        <f>IF(A203="","",COUNTIFS('潜水記録'!$B$5:$B$3004,A203,'潜水記録'!$AF$5:$AF$3004,$D$2))</f>
        <v/>
      </c>
      <c r="I203" s="15">
        <f>IF(A203="","",COUNTIF('潜水記録'!$B$5:$B$3004,A203))</f>
        <v/>
      </c>
      <c r="J203" s="15">
        <f>IF(A203="","",SUMIF('潜水記録'!$B$5:$B$3004,A203,'潜水記録'!$H$5:$H$3004))</f>
        <v/>
      </c>
      <c r="K203" s="15">
        <f>IF(A203="","",IF(I203=0,"",_xlfn.MAXIFS('潜水記録'!$G$5:$G$3004,'潜水記録'!$B$5:$B$3004,A203)))</f>
        <v/>
      </c>
      <c r="L203" s="16">
        <f>IF(A203="","",IF(I203=0,"",_xlfn.MAXIFS('潜水記録'!$A$5:$A$3004,'潜水記録'!$B$5:$B$3004,A203)))</f>
        <v/>
      </c>
      <c r="M203" s="15">
        <f>IF(L203="","",$B$2-L203)</f>
        <v/>
      </c>
    </row>
    <row r="204">
      <c r="A204" s="14">
        <f>IF('隊員マスタ'!A201="","",'隊員マスタ'!A201)</f>
        <v/>
      </c>
      <c r="B204" s="14">
        <f>IF(A204="","",'隊員マスタ'!B201)</f>
        <v/>
      </c>
      <c r="C204" s="14">
        <f>IF(A204="","",'隊員マスタ'!C201)</f>
        <v/>
      </c>
      <c r="D204" s="15">
        <f>IF(A204="","",'隊員マスタ'!D201)</f>
        <v/>
      </c>
      <c r="E204" s="15">
        <f>IF(A204="","",IF(COUNTIFS('資格研修記録'!$A$5:$A$1004,A204,'資格研修記録'!$D$5:$D$1004,"潜水士免許")&gt;0,"有","無"))</f>
        <v/>
      </c>
      <c r="F204" s="15">
        <f>IF(A204="","",IF(COUNTIFS('資格研修記録'!$A$5:$A$1004,A204,'資格研修記録'!$D$5:$D$1004,"水難救助研修")&gt;0,"修了","—"))</f>
        <v/>
      </c>
      <c r="G204" s="14">
        <f>IF(A204="","",IF((IF((COUNTIFS('資格研修記録'!$A$5:$A$1004,A204,'資格研修記録'!$D$5:$D$1004,"小型船舶1級",'資格研修記録'!$F$5:$F$1004,"")+COUNTIFS('資格研修記録'!$A$5:$A$1004,A204,'資格研修記録'!$D$5:$D$1004,"小型船舶1級",'資格研修記録'!$F$5:$F$1004,"&gt;="&amp;TODAY()))&gt;0,"1級",IF((COUNTIFS('資格研修記録'!$A$5:$A$1004,A204,'資格研修記録'!$D$5:$D$1004,"小型船舶2級",'資格研修記録'!$F$5:$F$1004,"")+COUNTIFS('資格研修記録'!$A$5:$A$1004,A204,'資格研修記録'!$D$5:$D$1004,"小型船舶2級",'資格研修記録'!$F$5:$F$1004,"&gt;="&amp;TODAY()))&gt;0,"2級",IF(COUNTIFS('資格研修記録'!$A$5:$A$1004,A204,'資格研修記録'!$D$5:$D$1004,"小型船舶1級")+COUNTIFS('資格研修記録'!$A$5:$A$1004,A204,'資格研修記録'!$D$5:$D$1004,"小型船舶2級")&gt;0,"× 1・2級 期限切れ",""))))&amp;(IF((COUNTIFS('資格研修記録'!$A$5:$A$1004,A204,'資格研修記録'!$D$5:$D$1004,"小型船舶特殊",'資格研修記録'!$F$5:$F$1004,"")+COUNTIFS('資格研修記録'!$A$5:$A$1004,A204,'資格研修記録'!$D$5:$D$1004,"小型船舶特殊",'資格研修記録'!$F$5:$F$1004,"&gt;="&amp;TODAY()))&gt;0,"特殊",IF(COUNTIFS('資格研修記録'!$A$5:$A$1004,A204,'資格研修記録'!$D$5:$D$1004,"小型船舶特殊")&gt;0,"× 特殊 期限切れ","")))="","—",_xlfn.TEXTJOIN("・",TRUE,IF((COUNTIFS('資格研修記録'!$A$5:$A$1004,A204,'資格研修記録'!$D$5:$D$1004,"小型船舶1級",'資格研修記録'!$F$5:$F$1004,"")+COUNTIFS('資格研修記録'!$A$5:$A$1004,A204,'資格研修記録'!$D$5:$D$1004,"小型船舶1級",'資格研修記録'!$F$5:$F$1004,"&gt;="&amp;TODAY()))&gt;0,"1級",IF((COUNTIFS('資格研修記録'!$A$5:$A$1004,A204,'資格研修記録'!$D$5:$D$1004,"小型船舶2級",'資格研修記録'!$F$5:$F$1004,"")+COUNTIFS('資格研修記録'!$A$5:$A$1004,A204,'資格研修記録'!$D$5:$D$1004,"小型船舶2級",'資格研修記録'!$F$5:$F$1004,"&gt;="&amp;TODAY()))&gt;0,"2級",IF(COUNTIFS('資格研修記録'!$A$5:$A$1004,A204,'資格研修記録'!$D$5:$D$1004,"小型船舶1級")+COUNTIFS('資格研修記録'!$A$5:$A$1004,A204,'資格研修記録'!$D$5:$D$1004,"小型船舶2級")&gt;0,"× 1・2級 期限切れ",""))),IF((COUNTIFS('資格研修記録'!$A$5:$A$1004,A204,'資格研修記録'!$D$5:$D$1004,"小型船舶特殊",'資格研修記録'!$F$5:$F$1004,"")+COUNTIFS('資格研修記録'!$A$5:$A$1004,A204,'資格研修記録'!$D$5:$D$1004,"小型船舶特殊",'資格研修記録'!$F$5:$F$1004,"&gt;="&amp;TODAY()))&gt;0,"特殊",IF(COUNTIFS('資格研修記録'!$A$5:$A$1004,A204,'資格研修記録'!$D$5:$D$1004,"小型船舶特殊")&gt;0,"× 特殊 期限切れ","")))))</f>
        <v/>
      </c>
      <c r="H204" s="15">
        <f>IF(A204="","",COUNTIFS('潜水記録'!$B$5:$B$3004,A204,'潜水記録'!$AF$5:$AF$3004,$D$2))</f>
        <v/>
      </c>
      <c r="I204" s="15">
        <f>IF(A204="","",COUNTIF('潜水記録'!$B$5:$B$3004,A204))</f>
        <v/>
      </c>
      <c r="J204" s="15">
        <f>IF(A204="","",SUMIF('潜水記録'!$B$5:$B$3004,A204,'潜水記録'!$H$5:$H$3004))</f>
        <v/>
      </c>
      <c r="K204" s="15">
        <f>IF(A204="","",IF(I204=0,"",_xlfn.MAXIFS('潜水記録'!$G$5:$G$3004,'潜水記録'!$B$5:$B$3004,A204)))</f>
        <v/>
      </c>
      <c r="L204" s="16">
        <f>IF(A204="","",IF(I204=0,"",_xlfn.MAXIFS('潜水記録'!$A$5:$A$3004,'潜水記録'!$B$5:$B$3004,A204)))</f>
        <v/>
      </c>
      <c r="M204" s="15">
        <f>IF(L204="","",$B$2-L204)</f>
        <v/>
      </c>
    </row>
    <row r="205">
      <c r="A205" s="14">
        <f>IF('隊員マスタ'!A202="","",'隊員マスタ'!A202)</f>
        <v/>
      </c>
      <c r="B205" s="14">
        <f>IF(A205="","",'隊員マスタ'!B202)</f>
        <v/>
      </c>
      <c r="C205" s="14">
        <f>IF(A205="","",'隊員マスタ'!C202)</f>
        <v/>
      </c>
      <c r="D205" s="15">
        <f>IF(A205="","",'隊員マスタ'!D202)</f>
        <v/>
      </c>
      <c r="E205" s="15">
        <f>IF(A205="","",IF(COUNTIFS('資格研修記録'!$A$5:$A$1004,A205,'資格研修記録'!$D$5:$D$1004,"潜水士免許")&gt;0,"有","無"))</f>
        <v/>
      </c>
      <c r="F205" s="15">
        <f>IF(A205="","",IF(COUNTIFS('資格研修記録'!$A$5:$A$1004,A205,'資格研修記録'!$D$5:$D$1004,"水難救助研修")&gt;0,"修了","—"))</f>
        <v/>
      </c>
      <c r="G205" s="14">
        <f>IF(A205="","",IF((IF((COUNTIFS('資格研修記録'!$A$5:$A$1004,A205,'資格研修記録'!$D$5:$D$1004,"小型船舶1級",'資格研修記録'!$F$5:$F$1004,"")+COUNTIFS('資格研修記録'!$A$5:$A$1004,A205,'資格研修記録'!$D$5:$D$1004,"小型船舶1級",'資格研修記録'!$F$5:$F$1004,"&gt;="&amp;TODAY()))&gt;0,"1級",IF((COUNTIFS('資格研修記録'!$A$5:$A$1004,A205,'資格研修記録'!$D$5:$D$1004,"小型船舶2級",'資格研修記録'!$F$5:$F$1004,"")+COUNTIFS('資格研修記録'!$A$5:$A$1004,A205,'資格研修記録'!$D$5:$D$1004,"小型船舶2級",'資格研修記録'!$F$5:$F$1004,"&gt;="&amp;TODAY()))&gt;0,"2級",IF(COUNTIFS('資格研修記録'!$A$5:$A$1004,A205,'資格研修記録'!$D$5:$D$1004,"小型船舶1級")+COUNTIFS('資格研修記録'!$A$5:$A$1004,A205,'資格研修記録'!$D$5:$D$1004,"小型船舶2級")&gt;0,"× 1・2級 期限切れ",""))))&amp;(IF((COUNTIFS('資格研修記録'!$A$5:$A$1004,A205,'資格研修記録'!$D$5:$D$1004,"小型船舶特殊",'資格研修記録'!$F$5:$F$1004,"")+COUNTIFS('資格研修記録'!$A$5:$A$1004,A205,'資格研修記録'!$D$5:$D$1004,"小型船舶特殊",'資格研修記録'!$F$5:$F$1004,"&gt;="&amp;TODAY()))&gt;0,"特殊",IF(COUNTIFS('資格研修記録'!$A$5:$A$1004,A205,'資格研修記録'!$D$5:$D$1004,"小型船舶特殊")&gt;0,"× 特殊 期限切れ","")))="","—",_xlfn.TEXTJOIN("・",TRUE,IF((COUNTIFS('資格研修記録'!$A$5:$A$1004,A205,'資格研修記録'!$D$5:$D$1004,"小型船舶1級",'資格研修記録'!$F$5:$F$1004,"")+COUNTIFS('資格研修記録'!$A$5:$A$1004,A205,'資格研修記録'!$D$5:$D$1004,"小型船舶1級",'資格研修記録'!$F$5:$F$1004,"&gt;="&amp;TODAY()))&gt;0,"1級",IF((COUNTIFS('資格研修記録'!$A$5:$A$1004,A205,'資格研修記録'!$D$5:$D$1004,"小型船舶2級",'資格研修記録'!$F$5:$F$1004,"")+COUNTIFS('資格研修記録'!$A$5:$A$1004,A205,'資格研修記録'!$D$5:$D$1004,"小型船舶2級",'資格研修記録'!$F$5:$F$1004,"&gt;="&amp;TODAY()))&gt;0,"2級",IF(COUNTIFS('資格研修記録'!$A$5:$A$1004,A205,'資格研修記録'!$D$5:$D$1004,"小型船舶1級")+COUNTIFS('資格研修記録'!$A$5:$A$1004,A205,'資格研修記録'!$D$5:$D$1004,"小型船舶2級")&gt;0,"× 1・2級 期限切れ",""))),IF((COUNTIFS('資格研修記録'!$A$5:$A$1004,A205,'資格研修記録'!$D$5:$D$1004,"小型船舶特殊",'資格研修記録'!$F$5:$F$1004,"")+COUNTIFS('資格研修記録'!$A$5:$A$1004,A205,'資格研修記録'!$D$5:$D$1004,"小型船舶特殊",'資格研修記録'!$F$5:$F$1004,"&gt;="&amp;TODAY()))&gt;0,"特殊",IF(COUNTIFS('資格研修記録'!$A$5:$A$1004,A205,'資格研修記録'!$D$5:$D$1004,"小型船舶特殊")&gt;0,"× 特殊 期限切れ","")))))</f>
        <v/>
      </c>
      <c r="H205" s="15">
        <f>IF(A205="","",COUNTIFS('潜水記録'!$B$5:$B$3004,A205,'潜水記録'!$AF$5:$AF$3004,$D$2))</f>
        <v/>
      </c>
      <c r="I205" s="15">
        <f>IF(A205="","",COUNTIF('潜水記録'!$B$5:$B$3004,A205))</f>
        <v/>
      </c>
      <c r="J205" s="15">
        <f>IF(A205="","",SUMIF('潜水記録'!$B$5:$B$3004,A205,'潜水記録'!$H$5:$H$3004))</f>
        <v/>
      </c>
      <c r="K205" s="15">
        <f>IF(A205="","",IF(I205=0,"",_xlfn.MAXIFS('潜水記録'!$G$5:$G$3004,'潜水記録'!$B$5:$B$3004,A205)))</f>
        <v/>
      </c>
      <c r="L205" s="16">
        <f>IF(A205="","",IF(I205=0,"",_xlfn.MAXIFS('潜水記録'!$A$5:$A$3004,'潜水記録'!$B$5:$B$3004,A205)))</f>
        <v/>
      </c>
      <c r="M205" s="15">
        <f>IF(L205="","",$B$2-L205)</f>
        <v/>
      </c>
    </row>
    <row r="206">
      <c r="A206" s="14">
        <f>IF('隊員マスタ'!A203="","",'隊員マスタ'!A203)</f>
        <v/>
      </c>
      <c r="B206" s="14">
        <f>IF(A206="","",'隊員マスタ'!B203)</f>
        <v/>
      </c>
      <c r="C206" s="14">
        <f>IF(A206="","",'隊員マスタ'!C203)</f>
        <v/>
      </c>
      <c r="D206" s="15">
        <f>IF(A206="","",'隊員マスタ'!D203)</f>
        <v/>
      </c>
      <c r="E206" s="15">
        <f>IF(A206="","",IF(COUNTIFS('資格研修記録'!$A$5:$A$1004,A206,'資格研修記録'!$D$5:$D$1004,"潜水士免許")&gt;0,"有","無"))</f>
        <v/>
      </c>
      <c r="F206" s="15">
        <f>IF(A206="","",IF(COUNTIFS('資格研修記録'!$A$5:$A$1004,A206,'資格研修記録'!$D$5:$D$1004,"水難救助研修")&gt;0,"修了","—"))</f>
        <v/>
      </c>
      <c r="G206" s="14">
        <f>IF(A206="","",IF((IF((COUNTIFS('資格研修記録'!$A$5:$A$1004,A206,'資格研修記録'!$D$5:$D$1004,"小型船舶1級",'資格研修記録'!$F$5:$F$1004,"")+COUNTIFS('資格研修記録'!$A$5:$A$1004,A206,'資格研修記録'!$D$5:$D$1004,"小型船舶1級",'資格研修記録'!$F$5:$F$1004,"&gt;="&amp;TODAY()))&gt;0,"1級",IF((COUNTIFS('資格研修記録'!$A$5:$A$1004,A206,'資格研修記録'!$D$5:$D$1004,"小型船舶2級",'資格研修記録'!$F$5:$F$1004,"")+COUNTIFS('資格研修記録'!$A$5:$A$1004,A206,'資格研修記録'!$D$5:$D$1004,"小型船舶2級",'資格研修記録'!$F$5:$F$1004,"&gt;="&amp;TODAY()))&gt;0,"2級",IF(COUNTIFS('資格研修記録'!$A$5:$A$1004,A206,'資格研修記録'!$D$5:$D$1004,"小型船舶1級")+COUNTIFS('資格研修記録'!$A$5:$A$1004,A206,'資格研修記録'!$D$5:$D$1004,"小型船舶2級")&gt;0,"× 1・2級 期限切れ",""))))&amp;(IF((COUNTIFS('資格研修記録'!$A$5:$A$1004,A206,'資格研修記録'!$D$5:$D$1004,"小型船舶特殊",'資格研修記録'!$F$5:$F$1004,"")+COUNTIFS('資格研修記録'!$A$5:$A$1004,A206,'資格研修記録'!$D$5:$D$1004,"小型船舶特殊",'資格研修記録'!$F$5:$F$1004,"&gt;="&amp;TODAY()))&gt;0,"特殊",IF(COUNTIFS('資格研修記録'!$A$5:$A$1004,A206,'資格研修記録'!$D$5:$D$1004,"小型船舶特殊")&gt;0,"× 特殊 期限切れ","")))="","—",_xlfn.TEXTJOIN("・",TRUE,IF((COUNTIFS('資格研修記録'!$A$5:$A$1004,A206,'資格研修記録'!$D$5:$D$1004,"小型船舶1級",'資格研修記録'!$F$5:$F$1004,"")+COUNTIFS('資格研修記録'!$A$5:$A$1004,A206,'資格研修記録'!$D$5:$D$1004,"小型船舶1級",'資格研修記録'!$F$5:$F$1004,"&gt;="&amp;TODAY()))&gt;0,"1級",IF((COUNTIFS('資格研修記録'!$A$5:$A$1004,A206,'資格研修記録'!$D$5:$D$1004,"小型船舶2級",'資格研修記録'!$F$5:$F$1004,"")+COUNTIFS('資格研修記録'!$A$5:$A$1004,A206,'資格研修記録'!$D$5:$D$1004,"小型船舶2級",'資格研修記録'!$F$5:$F$1004,"&gt;="&amp;TODAY()))&gt;0,"2級",IF(COUNTIFS('資格研修記録'!$A$5:$A$1004,A206,'資格研修記録'!$D$5:$D$1004,"小型船舶1級")+COUNTIFS('資格研修記録'!$A$5:$A$1004,A206,'資格研修記録'!$D$5:$D$1004,"小型船舶2級")&gt;0,"× 1・2級 期限切れ",""))),IF((COUNTIFS('資格研修記録'!$A$5:$A$1004,A206,'資格研修記録'!$D$5:$D$1004,"小型船舶特殊",'資格研修記録'!$F$5:$F$1004,"")+COUNTIFS('資格研修記録'!$A$5:$A$1004,A206,'資格研修記録'!$D$5:$D$1004,"小型船舶特殊",'資格研修記録'!$F$5:$F$1004,"&gt;="&amp;TODAY()))&gt;0,"特殊",IF(COUNTIFS('資格研修記録'!$A$5:$A$1004,A206,'資格研修記録'!$D$5:$D$1004,"小型船舶特殊")&gt;0,"× 特殊 期限切れ","")))))</f>
        <v/>
      </c>
      <c r="H206" s="15">
        <f>IF(A206="","",COUNTIFS('潜水記録'!$B$5:$B$3004,A206,'潜水記録'!$AF$5:$AF$3004,$D$2))</f>
        <v/>
      </c>
      <c r="I206" s="15">
        <f>IF(A206="","",COUNTIF('潜水記録'!$B$5:$B$3004,A206))</f>
        <v/>
      </c>
      <c r="J206" s="15">
        <f>IF(A206="","",SUMIF('潜水記録'!$B$5:$B$3004,A206,'潜水記録'!$H$5:$H$3004))</f>
        <v/>
      </c>
      <c r="K206" s="15">
        <f>IF(A206="","",IF(I206=0,"",_xlfn.MAXIFS('潜水記録'!$G$5:$G$3004,'潜水記録'!$B$5:$B$3004,A206)))</f>
        <v/>
      </c>
      <c r="L206" s="16">
        <f>IF(A206="","",IF(I206=0,"",_xlfn.MAXIFS('潜水記録'!$A$5:$A$3004,'潜水記録'!$B$5:$B$3004,A206)))</f>
        <v/>
      </c>
      <c r="M206" s="15">
        <f>IF(L206="","",$B$2-L206)</f>
        <v/>
      </c>
    </row>
    <row r="207">
      <c r="A207" s="14">
        <f>IF('隊員マスタ'!A204="","",'隊員マスタ'!A204)</f>
        <v/>
      </c>
      <c r="B207" s="14">
        <f>IF(A207="","",'隊員マスタ'!B204)</f>
        <v/>
      </c>
      <c r="C207" s="14">
        <f>IF(A207="","",'隊員マスタ'!C204)</f>
        <v/>
      </c>
      <c r="D207" s="15">
        <f>IF(A207="","",'隊員マスタ'!D204)</f>
        <v/>
      </c>
      <c r="E207" s="15">
        <f>IF(A207="","",IF(COUNTIFS('資格研修記録'!$A$5:$A$1004,A207,'資格研修記録'!$D$5:$D$1004,"潜水士免許")&gt;0,"有","無"))</f>
        <v/>
      </c>
      <c r="F207" s="15">
        <f>IF(A207="","",IF(COUNTIFS('資格研修記録'!$A$5:$A$1004,A207,'資格研修記録'!$D$5:$D$1004,"水難救助研修")&gt;0,"修了","—"))</f>
        <v/>
      </c>
      <c r="G207" s="14">
        <f>IF(A207="","",IF((IF((COUNTIFS('資格研修記録'!$A$5:$A$1004,A207,'資格研修記録'!$D$5:$D$1004,"小型船舶1級",'資格研修記録'!$F$5:$F$1004,"")+COUNTIFS('資格研修記録'!$A$5:$A$1004,A207,'資格研修記録'!$D$5:$D$1004,"小型船舶1級",'資格研修記録'!$F$5:$F$1004,"&gt;="&amp;TODAY()))&gt;0,"1級",IF((COUNTIFS('資格研修記録'!$A$5:$A$1004,A207,'資格研修記録'!$D$5:$D$1004,"小型船舶2級",'資格研修記録'!$F$5:$F$1004,"")+COUNTIFS('資格研修記録'!$A$5:$A$1004,A207,'資格研修記録'!$D$5:$D$1004,"小型船舶2級",'資格研修記録'!$F$5:$F$1004,"&gt;="&amp;TODAY()))&gt;0,"2級",IF(COUNTIFS('資格研修記録'!$A$5:$A$1004,A207,'資格研修記録'!$D$5:$D$1004,"小型船舶1級")+COUNTIFS('資格研修記録'!$A$5:$A$1004,A207,'資格研修記録'!$D$5:$D$1004,"小型船舶2級")&gt;0,"× 1・2級 期限切れ",""))))&amp;(IF((COUNTIFS('資格研修記録'!$A$5:$A$1004,A207,'資格研修記録'!$D$5:$D$1004,"小型船舶特殊",'資格研修記録'!$F$5:$F$1004,"")+COUNTIFS('資格研修記録'!$A$5:$A$1004,A207,'資格研修記録'!$D$5:$D$1004,"小型船舶特殊",'資格研修記録'!$F$5:$F$1004,"&gt;="&amp;TODAY()))&gt;0,"特殊",IF(COUNTIFS('資格研修記録'!$A$5:$A$1004,A207,'資格研修記録'!$D$5:$D$1004,"小型船舶特殊")&gt;0,"× 特殊 期限切れ","")))="","—",_xlfn.TEXTJOIN("・",TRUE,IF((COUNTIFS('資格研修記録'!$A$5:$A$1004,A207,'資格研修記録'!$D$5:$D$1004,"小型船舶1級",'資格研修記録'!$F$5:$F$1004,"")+COUNTIFS('資格研修記録'!$A$5:$A$1004,A207,'資格研修記録'!$D$5:$D$1004,"小型船舶1級",'資格研修記録'!$F$5:$F$1004,"&gt;="&amp;TODAY()))&gt;0,"1級",IF((COUNTIFS('資格研修記録'!$A$5:$A$1004,A207,'資格研修記録'!$D$5:$D$1004,"小型船舶2級",'資格研修記録'!$F$5:$F$1004,"")+COUNTIFS('資格研修記録'!$A$5:$A$1004,A207,'資格研修記録'!$D$5:$D$1004,"小型船舶2級",'資格研修記録'!$F$5:$F$1004,"&gt;="&amp;TODAY()))&gt;0,"2級",IF(COUNTIFS('資格研修記録'!$A$5:$A$1004,A207,'資格研修記録'!$D$5:$D$1004,"小型船舶1級")+COUNTIFS('資格研修記録'!$A$5:$A$1004,A207,'資格研修記録'!$D$5:$D$1004,"小型船舶2級")&gt;0,"× 1・2級 期限切れ",""))),IF((COUNTIFS('資格研修記録'!$A$5:$A$1004,A207,'資格研修記録'!$D$5:$D$1004,"小型船舶特殊",'資格研修記録'!$F$5:$F$1004,"")+COUNTIFS('資格研修記録'!$A$5:$A$1004,A207,'資格研修記録'!$D$5:$D$1004,"小型船舶特殊",'資格研修記録'!$F$5:$F$1004,"&gt;="&amp;TODAY()))&gt;0,"特殊",IF(COUNTIFS('資格研修記録'!$A$5:$A$1004,A207,'資格研修記録'!$D$5:$D$1004,"小型船舶特殊")&gt;0,"× 特殊 期限切れ","")))))</f>
        <v/>
      </c>
      <c r="H207" s="15">
        <f>IF(A207="","",COUNTIFS('潜水記録'!$B$5:$B$3004,A207,'潜水記録'!$AF$5:$AF$3004,$D$2))</f>
        <v/>
      </c>
      <c r="I207" s="15">
        <f>IF(A207="","",COUNTIF('潜水記録'!$B$5:$B$3004,A207))</f>
        <v/>
      </c>
      <c r="J207" s="15">
        <f>IF(A207="","",SUMIF('潜水記録'!$B$5:$B$3004,A207,'潜水記録'!$H$5:$H$3004))</f>
        <v/>
      </c>
      <c r="K207" s="15">
        <f>IF(A207="","",IF(I207=0,"",_xlfn.MAXIFS('潜水記録'!$G$5:$G$3004,'潜水記録'!$B$5:$B$3004,A207)))</f>
        <v/>
      </c>
      <c r="L207" s="16">
        <f>IF(A207="","",IF(I207=0,"",_xlfn.MAXIFS('潜水記録'!$A$5:$A$3004,'潜水記録'!$B$5:$B$3004,A207)))</f>
        <v/>
      </c>
      <c r="M207" s="15">
        <f>IF(L207="","",$B$2-L207)</f>
        <v/>
      </c>
    </row>
  </sheetData>
  <autoFilter ref="A7:M207"/>
  <mergeCells count="10">
    <mergeCell ref="A4:B4"/>
    <mergeCell ref="A1:D1"/>
    <mergeCell ref="F4:G4"/>
    <mergeCell ref="D2:E2"/>
    <mergeCell ref="C5:E5"/>
    <mergeCell ref="H5:J5"/>
    <mergeCell ref="F5:G5"/>
    <mergeCell ref="A5:B5"/>
    <mergeCell ref="H4:J4"/>
    <mergeCell ref="C4:E4"/>
  </mergeCells>
  <conditionalFormatting sqref="E8:E207">
    <cfRule type="expression" priority="1" dxfId="0">
      <formula>E8="無"</formula>
    </cfRule>
  </conditionalFormatting>
  <conditionalFormatting sqref="G8:G207">
    <cfRule type="expression" priority="2" dxfId="0">
      <formula>ISNUMBER(SEARCH("×",G8))</formula>
    </cfRule>
  </conditionalFormatting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4" customHeight="1">
      <c r="A1" s="1" t="inlineStr">
        <is>
          <t>資格・研修一覧</t>
        </is>
      </c>
      <c r="B1" s="2" t="n"/>
      <c r="C1" s="2" t="n"/>
      <c r="D1" s="2" t="n"/>
    </row>
    <row r="2">
      <c r="A2" s="3" t="inlineStr">
        <is>
          <t>○＝有効、× 期限切れ＝有効期限を過ぎた記録のみ、—＝記録なし、1級に含む＝1級が有効なので2級は不要。列見出しは「選択肢」の資格・研修名（先頭8件）。</t>
        </is>
      </c>
    </row>
    <row r="4" ht="32" customHeight="1">
      <c r="A4" s="13" t="inlineStr">
        <is>
          <t>職員番号</t>
        </is>
      </c>
      <c r="B4" s="13" t="inlineStr">
        <is>
          <t>氏名</t>
        </is>
      </c>
      <c r="C4" s="13" t="inlineStr">
        <is>
          <t>所属</t>
        </is>
      </c>
      <c r="D4" s="13" t="inlineStr">
        <is>
          <t>在籍</t>
        </is>
      </c>
      <c r="E4" s="17">
        <f>IF('選択肢'!D5="","",'選択肢'!D5)</f>
        <v/>
      </c>
      <c r="F4" s="17">
        <f>IF('選択肢'!D6="","",'選択肢'!D6)</f>
        <v/>
      </c>
      <c r="G4" s="17">
        <f>IF('選択肢'!D7="","",'選択肢'!D7)</f>
        <v/>
      </c>
      <c r="H4" s="17">
        <f>IF('選択肢'!D8="","",'選択肢'!D8)</f>
        <v/>
      </c>
      <c r="I4" s="17">
        <f>IF('選択肢'!D9="","",'選択肢'!D9)</f>
        <v/>
      </c>
      <c r="J4" s="17">
        <f>IF('選択肢'!D10="","",'選択肢'!D10)</f>
        <v/>
      </c>
      <c r="K4" s="17">
        <f>IF('選択肢'!D11="","",'選択肢'!D11)</f>
        <v/>
      </c>
      <c r="L4" s="17">
        <f>IF('選択肢'!D12="","",'選択肢'!D12)</f>
        <v/>
      </c>
    </row>
    <row r="5">
      <c r="A5" s="14">
        <f>IF('隊員マスタ'!A5="","",'隊員マスタ'!A5)</f>
        <v/>
      </c>
      <c r="B5" s="14">
        <f>IF(A5="","",'隊員マスタ'!B5)</f>
        <v/>
      </c>
      <c r="C5" s="14">
        <f>IF(A5="","",'隊員マスタ'!C5)</f>
        <v/>
      </c>
      <c r="D5" s="15">
        <f>IF(A5="","",'隊員マスタ'!D5)</f>
        <v/>
      </c>
      <c r="E5" s="15">
        <f>IF(OR($A5="",E$4=""),"",IF(AND(E$4="小型船舶2級",(COUNTIFS('資格研修記録'!$A$5:$A$1004,$A5,'資格研修記録'!$D$5:$D$1004,"小型船舶1級",'資格研修記録'!$F$5:$F$1004,"")+COUNTIFS('資格研修記録'!$A$5:$A$1004,$A5,'資格研修記録'!$D$5:$D$1004,"小型船舶1級",'資格研修記録'!$F$5:$F$1004,"&gt;="&amp;TODAY()))&gt;0),"1級に含む",IF(COUNTIFS('資格研修記録'!$A$5:$A$1004,$A5,'資格研修記録'!$D$5:$D$1004,E$4)=0,"—",IF(COUNTIFS('資格研修記録'!$A$5:$A$1004,$A5,'資格研修記録'!$D$5:$D$1004,E$4,'資格研修記録'!$F$5:$F$1004,"")+COUNTIFS('資格研修記録'!$A$5:$A$1004,$A5,'資格研修記録'!$D$5:$D$1004,E$4,'資格研修記録'!$F$5:$F$1004,"&gt;="&amp;TODAY())&gt;0,"○","× 期限切れ"))))</f>
        <v/>
      </c>
      <c r="F5" s="15">
        <f>IF(OR($A5="",F$4=""),"",IF(AND(F$4="小型船舶2級",(COUNTIFS('資格研修記録'!$A$5:$A$1004,$A5,'資格研修記録'!$D$5:$D$1004,"小型船舶1級",'資格研修記録'!$F$5:$F$1004,"")+COUNTIFS('資格研修記録'!$A$5:$A$1004,$A5,'資格研修記録'!$D$5:$D$1004,"小型船舶1級",'資格研修記録'!$F$5:$F$1004,"&gt;="&amp;TODAY()))&gt;0),"1級に含む",IF(COUNTIFS('資格研修記録'!$A$5:$A$1004,$A5,'資格研修記録'!$D$5:$D$1004,F$4)=0,"—",IF(COUNTIFS('資格研修記録'!$A$5:$A$1004,$A5,'資格研修記録'!$D$5:$D$1004,F$4,'資格研修記録'!$F$5:$F$1004,"")+COUNTIFS('資格研修記録'!$A$5:$A$1004,$A5,'資格研修記録'!$D$5:$D$1004,F$4,'資格研修記録'!$F$5:$F$1004,"&gt;="&amp;TODAY())&gt;0,"○","× 期限切れ"))))</f>
        <v/>
      </c>
      <c r="G5" s="15">
        <f>IF(OR($A5="",G$4=""),"",IF(AND(G$4="小型船舶2級",(COUNTIFS('資格研修記録'!$A$5:$A$1004,$A5,'資格研修記録'!$D$5:$D$1004,"小型船舶1級",'資格研修記録'!$F$5:$F$1004,"")+COUNTIFS('資格研修記録'!$A$5:$A$1004,$A5,'資格研修記録'!$D$5:$D$1004,"小型船舶1級",'資格研修記録'!$F$5:$F$1004,"&gt;="&amp;TODAY()))&gt;0),"1級に含む",IF(COUNTIFS('資格研修記録'!$A$5:$A$1004,$A5,'資格研修記録'!$D$5:$D$1004,G$4)=0,"—",IF(COUNTIFS('資格研修記録'!$A$5:$A$1004,$A5,'資格研修記録'!$D$5:$D$1004,G$4,'資格研修記録'!$F$5:$F$1004,"")+COUNTIFS('資格研修記録'!$A$5:$A$1004,$A5,'資格研修記録'!$D$5:$D$1004,G$4,'資格研修記録'!$F$5:$F$1004,"&gt;="&amp;TODAY())&gt;0,"○","× 期限切れ"))))</f>
        <v/>
      </c>
      <c r="H5" s="15">
        <f>IF(OR($A5="",H$4=""),"",IF(AND(H$4="小型船舶2級",(COUNTIFS('資格研修記録'!$A$5:$A$1004,$A5,'資格研修記録'!$D$5:$D$1004,"小型船舶1級",'資格研修記録'!$F$5:$F$1004,"")+COUNTIFS('資格研修記録'!$A$5:$A$1004,$A5,'資格研修記録'!$D$5:$D$1004,"小型船舶1級",'資格研修記録'!$F$5:$F$1004,"&gt;="&amp;TODAY()))&gt;0),"1級に含む",IF(COUNTIFS('資格研修記録'!$A$5:$A$1004,$A5,'資格研修記録'!$D$5:$D$1004,H$4)=0,"—",IF(COUNTIFS('資格研修記録'!$A$5:$A$1004,$A5,'資格研修記録'!$D$5:$D$1004,H$4,'資格研修記録'!$F$5:$F$1004,"")+COUNTIFS('資格研修記録'!$A$5:$A$1004,$A5,'資格研修記録'!$D$5:$D$1004,H$4,'資格研修記録'!$F$5:$F$1004,"&gt;="&amp;TODAY())&gt;0,"○","× 期限切れ"))))</f>
        <v/>
      </c>
      <c r="I5" s="15">
        <f>IF(OR($A5="",I$4=""),"",IF(AND(I$4="小型船舶2級",(COUNTIFS('資格研修記録'!$A$5:$A$1004,$A5,'資格研修記録'!$D$5:$D$1004,"小型船舶1級",'資格研修記録'!$F$5:$F$1004,"")+COUNTIFS('資格研修記録'!$A$5:$A$1004,$A5,'資格研修記録'!$D$5:$D$1004,"小型船舶1級",'資格研修記録'!$F$5:$F$1004,"&gt;="&amp;TODAY()))&gt;0),"1級に含む",IF(COUNTIFS('資格研修記録'!$A$5:$A$1004,$A5,'資格研修記録'!$D$5:$D$1004,I$4)=0,"—",IF(COUNTIFS('資格研修記録'!$A$5:$A$1004,$A5,'資格研修記録'!$D$5:$D$1004,I$4,'資格研修記録'!$F$5:$F$1004,"")+COUNTIFS('資格研修記録'!$A$5:$A$1004,$A5,'資格研修記録'!$D$5:$D$1004,I$4,'資格研修記録'!$F$5:$F$1004,"&gt;="&amp;TODAY())&gt;0,"○","× 期限切れ"))))</f>
        <v/>
      </c>
      <c r="J5" s="15">
        <f>IF(OR($A5="",J$4=""),"",IF(AND(J$4="小型船舶2級",(COUNTIFS('資格研修記録'!$A$5:$A$1004,$A5,'資格研修記録'!$D$5:$D$1004,"小型船舶1級",'資格研修記録'!$F$5:$F$1004,"")+COUNTIFS('資格研修記録'!$A$5:$A$1004,$A5,'資格研修記録'!$D$5:$D$1004,"小型船舶1級",'資格研修記録'!$F$5:$F$1004,"&gt;="&amp;TODAY()))&gt;0),"1級に含む",IF(COUNTIFS('資格研修記録'!$A$5:$A$1004,$A5,'資格研修記録'!$D$5:$D$1004,J$4)=0,"—",IF(COUNTIFS('資格研修記録'!$A$5:$A$1004,$A5,'資格研修記録'!$D$5:$D$1004,J$4,'資格研修記録'!$F$5:$F$1004,"")+COUNTIFS('資格研修記録'!$A$5:$A$1004,$A5,'資格研修記録'!$D$5:$D$1004,J$4,'資格研修記録'!$F$5:$F$1004,"&gt;="&amp;TODAY())&gt;0,"○","× 期限切れ"))))</f>
        <v/>
      </c>
      <c r="K5" s="15">
        <f>IF(OR($A5="",K$4=""),"",IF(AND(K$4="小型船舶2級",(COUNTIFS('資格研修記録'!$A$5:$A$1004,$A5,'資格研修記録'!$D$5:$D$1004,"小型船舶1級",'資格研修記録'!$F$5:$F$1004,"")+COUNTIFS('資格研修記録'!$A$5:$A$1004,$A5,'資格研修記録'!$D$5:$D$1004,"小型船舶1級",'資格研修記録'!$F$5:$F$1004,"&gt;="&amp;TODAY()))&gt;0),"1級に含む",IF(COUNTIFS('資格研修記録'!$A$5:$A$1004,$A5,'資格研修記録'!$D$5:$D$1004,K$4)=0,"—",IF(COUNTIFS('資格研修記録'!$A$5:$A$1004,$A5,'資格研修記録'!$D$5:$D$1004,K$4,'資格研修記録'!$F$5:$F$1004,"")+COUNTIFS('資格研修記録'!$A$5:$A$1004,$A5,'資格研修記録'!$D$5:$D$1004,K$4,'資格研修記録'!$F$5:$F$1004,"&gt;="&amp;TODAY())&gt;0,"○","× 期限切れ"))))</f>
        <v/>
      </c>
      <c r="L5" s="15">
        <f>IF(OR($A5="",L$4=""),"",IF(AND(L$4="小型船舶2級",(COUNTIFS('資格研修記録'!$A$5:$A$1004,$A5,'資格研修記録'!$D$5:$D$1004,"小型船舶1級",'資格研修記録'!$F$5:$F$1004,"")+COUNTIFS('資格研修記録'!$A$5:$A$1004,$A5,'資格研修記録'!$D$5:$D$1004,"小型船舶1級",'資格研修記録'!$F$5:$F$1004,"&gt;="&amp;TODAY()))&gt;0),"1級に含む",IF(COUNTIFS('資格研修記録'!$A$5:$A$1004,$A5,'資格研修記録'!$D$5:$D$1004,L$4)=0,"—",IF(COUNTIFS('資格研修記録'!$A$5:$A$1004,$A5,'資格研修記録'!$D$5:$D$1004,L$4,'資格研修記録'!$F$5:$F$1004,"")+COUNTIFS('資格研修記録'!$A$5:$A$1004,$A5,'資格研修記録'!$D$5:$D$1004,L$4,'資格研修記録'!$F$5:$F$1004,"&gt;="&amp;TODAY())&gt;0,"○","× 期限切れ"))))</f>
        <v/>
      </c>
    </row>
    <row r="6">
      <c r="A6" s="14">
        <f>IF('隊員マスタ'!A6="","",'隊員マスタ'!A6)</f>
        <v/>
      </c>
      <c r="B6" s="14">
        <f>IF(A6="","",'隊員マスタ'!B6)</f>
        <v/>
      </c>
      <c r="C6" s="14">
        <f>IF(A6="","",'隊員マスタ'!C6)</f>
        <v/>
      </c>
      <c r="D6" s="15">
        <f>IF(A6="","",'隊員マスタ'!D6)</f>
        <v/>
      </c>
      <c r="E6" s="15">
        <f>IF(OR($A6="",E$4=""),"",IF(AND(E$4="小型船舶2級",(COUNTIFS('資格研修記録'!$A$5:$A$1004,$A6,'資格研修記録'!$D$5:$D$1004,"小型船舶1級",'資格研修記録'!$F$5:$F$1004,"")+COUNTIFS('資格研修記録'!$A$5:$A$1004,$A6,'資格研修記録'!$D$5:$D$1004,"小型船舶1級",'資格研修記録'!$F$5:$F$1004,"&gt;="&amp;TODAY()))&gt;0),"1級に含む",IF(COUNTIFS('資格研修記録'!$A$5:$A$1004,$A6,'資格研修記録'!$D$5:$D$1004,E$4)=0,"—",IF(COUNTIFS('資格研修記録'!$A$5:$A$1004,$A6,'資格研修記録'!$D$5:$D$1004,E$4,'資格研修記録'!$F$5:$F$1004,"")+COUNTIFS('資格研修記録'!$A$5:$A$1004,$A6,'資格研修記録'!$D$5:$D$1004,E$4,'資格研修記録'!$F$5:$F$1004,"&gt;="&amp;TODAY())&gt;0,"○","× 期限切れ"))))</f>
        <v/>
      </c>
      <c r="F6" s="15">
        <f>IF(OR($A6="",F$4=""),"",IF(AND(F$4="小型船舶2級",(COUNTIFS('資格研修記録'!$A$5:$A$1004,$A6,'資格研修記録'!$D$5:$D$1004,"小型船舶1級",'資格研修記録'!$F$5:$F$1004,"")+COUNTIFS('資格研修記録'!$A$5:$A$1004,$A6,'資格研修記録'!$D$5:$D$1004,"小型船舶1級",'資格研修記録'!$F$5:$F$1004,"&gt;="&amp;TODAY()))&gt;0),"1級に含む",IF(COUNTIFS('資格研修記録'!$A$5:$A$1004,$A6,'資格研修記録'!$D$5:$D$1004,F$4)=0,"—",IF(COUNTIFS('資格研修記録'!$A$5:$A$1004,$A6,'資格研修記録'!$D$5:$D$1004,F$4,'資格研修記録'!$F$5:$F$1004,"")+COUNTIFS('資格研修記録'!$A$5:$A$1004,$A6,'資格研修記録'!$D$5:$D$1004,F$4,'資格研修記録'!$F$5:$F$1004,"&gt;="&amp;TODAY())&gt;0,"○","× 期限切れ"))))</f>
        <v/>
      </c>
      <c r="G6" s="15">
        <f>IF(OR($A6="",G$4=""),"",IF(AND(G$4="小型船舶2級",(COUNTIFS('資格研修記録'!$A$5:$A$1004,$A6,'資格研修記録'!$D$5:$D$1004,"小型船舶1級",'資格研修記録'!$F$5:$F$1004,"")+COUNTIFS('資格研修記録'!$A$5:$A$1004,$A6,'資格研修記録'!$D$5:$D$1004,"小型船舶1級",'資格研修記録'!$F$5:$F$1004,"&gt;="&amp;TODAY()))&gt;0),"1級に含む",IF(COUNTIFS('資格研修記録'!$A$5:$A$1004,$A6,'資格研修記録'!$D$5:$D$1004,G$4)=0,"—",IF(COUNTIFS('資格研修記録'!$A$5:$A$1004,$A6,'資格研修記録'!$D$5:$D$1004,G$4,'資格研修記録'!$F$5:$F$1004,"")+COUNTIFS('資格研修記録'!$A$5:$A$1004,$A6,'資格研修記録'!$D$5:$D$1004,G$4,'資格研修記録'!$F$5:$F$1004,"&gt;="&amp;TODAY())&gt;0,"○","× 期限切れ"))))</f>
        <v/>
      </c>
      <c r="H6" s="15">
        <f>IF(OR($A6="",H$4=""),"",IF(AND(H$4="小型船舶2級",(COUNTIFS('資格研修記録'!$A$5:$A$1004,$A6,'資格研修記録'!$D$5:$D$1004,"小型船舶1級",'資格研修記録'!$F$5:$F$1004,"")+COUNTIFS('資格研修記録'!$A$5:$A$1004,$A6,'資格研修記録'!$D$5:$D$1004,"小型船舶1級",'資格研修記録'!$F$5:$F$1004,"&gt;="&amp;TODAY()))&gt;0),"1級に含む",IF(COUNTIFS('資格研修記録'!$A$5:$A$1004,$A6,'資格研修記録'!$D$5:$D$1004,H$4)=0,"—",IF(COUNTIFS('資格研修記録'!$A$5:$A$1004,$A6,'資格研修記録'!$D$5:$D$1004,H$4,'資格研修記録'!$F$5:$F$1004,"")+COUNTIFS('資格研修記録'!$A$5:$A$1004,$A6,'資格研修記録'!$D$5:$D$1004,H$4,'資格研修記録'!$F$5:$F$1004,"&gt;="&amp;TODAY())&gt;0,"○","× 期限切れ"))))</f>
        <v/>
      </c>
      <c r="I6" s="15">
        <f>IF(OR($A6="",I$4=""),"",IF(AND(I$4="小型船舶2級",(COUNTIFS('資格研修記録'!$A$5:$A$1004,$A6,'資格研修記録'!$D$5:$D$1004,"小型船舶1級",'資格研修記録'!$F$5:$F$1004,"")+COUNTIFS('資格研修記録'!$A$5:$A$1004,$A6,'資格研修記録'!$D$5:$D$1004,"小型船舶1級",'資格研修記録'!$F$5:$F$1004,"&gt;="&amp;TODAY()))&gt;0),"1級に含む",IF(COUNTIFS('資格研修記録'!$A$5:$A$1004,$A6,'資格研修記録'!$D$5:$D$1004,I$4)=0,"—",IF(COUNTIFS('資格研修記録'!$A$5:$A$1004,$A6,'資格研修記録'!$D$5:$D$1004,I$4,'資格研修記録'!$F$5:$F$1004,"")+COUNTIFS('資格研修記録'!$A$5:$A$1004,$A6,'資格研修記録'!$D$5:$D$1004,I$4,'資格研修記録'!$F$5:$F$1004,"&gt;="&amp;TODAY())&gt;0,"○","× 期限切れ"))))</f>
        <v/>
      </c>
      <c r="J6" s="15">
        <f>IF(OR($A6="",J$4=""),"",IF(AND(J$4="小型船舶2級",(COUNTIFS('資格研修記録'!$A$5:$A$1004,$A6,'資格研修記録'!$D$5:$D$1004,"小型船舶1級",'資格研修記録'!$F$5:$F$1004,"")+COUNTIFS('資格研修記録'!$A$5:$A$1004,$A6,'資格研修記録'!$D$5:$D$1004,"小型船舶1級",'資格研修記録'!$F$5:$F$1004,"&gt;="&amp;TODAY()))&gt;0),"1級に含む",IF(COUNTIFS('資格研修記録'!$A$5:$A$1004,$A6,'資格研修記録'!$D$5:$D$1004,J$4)=0,"—",IF(COUNTIFS('資格研修記録'!$A$5:$A$1004,$A6,'資格研修記録'!$D$5:$D$1004,J$4,'資格研修記録'!$F$5:$F$1004,"")+COUNTIFS('資格研修記録'!$A$5:$A$1004,$A6,'資格研修記録'!$D$5:$D$1004,J$4,'資格研修記録'!$F$5:$F$1004,"&gt;="&amp;TODAY())&gt;0,"○","× 期限切れ"))))</f>
        <v/>
      </c>
      <c r="K6" s="15">
        <f>IF(OR($A6="",K$4=""),"",IF(AND(K$4="小型船舶2級",(COUNTIFS('資格研修記録'!$A$5:$A$1004,$A6,'資格研修記録'!$D$5:$D$1004,"小型船舶1級",'資格研修記録'!$F$5:$F$1004,"")+COUNTIFS('資格研修記録'!$A$5:$A$1004,$A6,'資格研修記録'!$D$5:$D$1004,"小型船舶1級",'資格研修記録'!$F$5:$F$1004,"&gt;="&amp;TODAY()))&gt;0),"1級に含む",IF(COUNTIFS('資格研修記録'!$A$5:$A$1004,$A6,'資格研修記録'!$D$5:$D$1004,K$4)=0,"—",IF(COUNTIFS('資格研修記録'!$A$5:$A$1004,$A6,'資格研修記録'!$D$5:$D$1004,K$4,'資格研修記録'!$F$5:$F$1004,"")+COUNTIFS('資格研修記録'!$A$5:$A$1004,$A6,'資格研修記録'!$D$5:$D$1004,K$4,'資格研修記録'!$F$5:$F$1004,"&gt;="&amp;TODAY())&gt;0,"○","× 期限切れ"))))</f>
        <v/>
      </c>
      <c r="L6" s="15">
        <f>IF(OR($A6="",L$4=""),"",IF(AND(L$4="小型船舶2級",(COUNTIFS('資格研修記録'!$A$5:$A$1004,$A6,'資格研修記録'!$D$5:$D$1004,"小型船舶1級",'資格研修記録'!$F$5:$F$1004,"")+COUNTIFS('資格研修記録'!$A$5:$A$1004,$A6,'資格研修記録'!$D$5:$D$1004,"小型船舶1級",'資格研修記録'!$F$5:$F$1004,"&gt;="&amp;TODAY()))&gt;0),"1級に含む",IF(COUNTIFS('資格研修記録'!$A$5:$A$1004,$A6,'資格研修記録'!$D$5:$D$1004,L$4)=0,"—",IF(COUNTIFS('資格研修記録'!$A$5:$A$1004,$A6,'資格研修記録'!$D$5:$D$1004,L$4,'資格研修記録'!$F$5:$F$1004,"")+COUNTIFS('資格研修記録'!$A$5:$A$1004,$A6,'資格研修記録'!$D$5:$D$1004,L$4,'資格研修記録'!$F$5:$F$1004,"&gt;="&amp;TODAY())&gt;0,"○","× 期限切れ"))))</f>
        <v/>
      </c>
    </row>
    <row r="7">
      <c r="A7" s="14">
        <f>IF('隊員マスタ'!A7="","",'隊員マスタ'!A7)</f>
        <v/>
      </c>
      <c r="B7" s="14">
        <f>IF(A7="","",'隊員マスタ'!B7)</f>
        <v/>
      </c>
      <c r="C7" s="14">
        <f>IF(A7="","",'隊員マスタ'!C7)</f>
        <v/>
      </c>
      <c r="D7" s="15">
        <f>IF(A7="","",'隊員マスタ'!D7)</f>
        <v/>
      </c>
      <c r="E7" s="15">
        <f>IF(OR($A7="",E$4=""),"",IF(AND(E$4="小型船舶2級",(COUNTIFS('資格研修記録'!$A$5:$A$1004,$A7,'資格研修記録'!$D$5:$D$1004,"小型船舶1級",'資格研修記録'!$F$5:$F$1004,"")+COUNTIFS('資格研修記録'!$A$5:$A$1004,$A7,'資格研修記録'!$D$5:$D$1004,"小型船舶1級",'資格研修記録'!$F$5:$F$1004,"&gt;="&amp;TODAY()))&gt;0),"1級に含む",IF(COUNTIFS('資格研修記録'!$A$5:$A$1004,$A7,'資格研修記録'!$D$5:$D$1004,E$4)=0,"—",IF(COUNTIFS('資格研修記録'!$A$5:$A$1004,$A7,'資格研修記録'!$D$5:$D$1004,E$4,'資格研修記録'!$F$5:$F$1004,"")+COUNTIFS('資格研修記録'!$A$5:$A$1004,$A7,'資格研修記録'!$D$5:$D$1004,E$4,'資格研修記録'!$F$5:$F$1004,"&gt;="&amp;TODAY())&gt;0,"○","× 期限切れ"))))</f>
        <v/>
      </c>
      <c r="F7" s="15">
        <f>IF(OR($A7="",F$4=""),"",IF(AND(F$4="小型船舶2級",(COUNTIFS('資格研修記録'!$A$5:$A$1004,$A7,'資格研修記録'!$D$5:$D$1004,"小型船舶1級",'資格研修記録'!$F$5:$F$1004,"")+COUNTIFS('資格研修記録'!$A$5:$A$1004,$A7,'資格研修記録'!$D$5:$D$1004,"小型船舶1級",'資格研修記録'!$F$5:$F$1004,"&gt;="&amp;TODAY()))&gt;0),"1級に含む",IF(COUNTIFS('資格研修記録'!$A$5:$A$1004,$A7,'資格研修記録'!$D$5:$D$1004,F$4)=0,"—",IF(COUNTIFS('資格研修記録'!$A$5:$A$1004,$A7,'資格研修記録'!$D$5:$D$1004,F$4,'資格研修記録'!$F$5:$F$1004,"")+COUNTIFS('資格研修記録'!$A$5:$A$1004,$A7,'資格研修記録'!$D$5:$D$1004,F$4,'資格研修記録'!$F$5:$F$1004,"&gt;="&amp;TODAY())&gt;0,"○","× 期限切れ"))))</f>
        <v/>
      </c>
      <c r="G7" s="15">
        <f>IF(OR($A7="",G$4=""),"",IF(AND(G$4="小型船舶2級",(COUNTIFS('資格研修記録'!$A$5:$A$1004,$A7,'資格研修記録'!$D$5:$D$1004,"小型船舶1級",'資格研修記録'!$F$5:$F$1004,"")+COUNTIFS('資格研修記録'!$A$5:$A$1004,$A7,'資格研修記録'!$D$5:$D$1004,"小型船舶1級",'資格研修記録'!$F$5:$F$1004,"&gt;="&amp;TODAY()))&gt;0),"1級に含む",IF(COUNTIFS('資格研修記録'!$A$5:$A$1004,$A7,'資格研修記録'!$D$5:$D$1004,G$4)=0,"—",IF(COUNTIFS('資格研修記録'!$A$5:$A$1004,$A7,'資格研修記録'!$D$5:$D$1004,G$4,'資格研修記録'!$F$5:$F$1004,"")+COUNTIFS('資格研修記録'!$A$5:$A$1004,$A7,'資格研修記録'!$D$5:$D$1004,G$4,'資格研修記録'!$F$5:$F$1004,"&gt;="&amp;TODAY())&gt;0,"○","× 期限切れ"))))</f>
        <v/>
      </c>
      <c r="H7" s="15">
        <f>IF(OR($A7="",H$4=""),"",IF(AND(H$4="小型船舶2級",(COUNTIFS('資格研修記録'!$A$5:$A$1004,$A7,'資格研修記録'!$D$5:$D$1004,"小型船舶1級",'資格研修記録'!$F$5:$F$1004,"")+COUNTIFS('資格研修記録'!$A$5:$A$1004,$A7,'資格研修記録'!$D$5:$D$1004,"小型船舶1級",'資格研修記録'!$F$5:$F$1004,"&gt;="&amp;TODAY()))&gt;0),"1級に含む",IF(COUNTIFS('資格研修記録'!$A$5:$A$1004,$A7,'資格研修記録'!$D$5:$D$1004,H$4)=0,"—",IF(COUNTIFS('資格研修記録'!$A$5:$A$1004,$A7,'資格研修記録'!$D$5:$D$1004,H$4,'資格研修記録'!$F$5:$F$1004,"")+COUNTIFS('資格研修記録'!$A$5:$A$1004,$A7,'資格研修記録'!$D$5:$D$1004,H$4,'資格研修記録'!$F$5:$F$1004,"&gt;="&amp;TODAY())&gt;0,"○","× 期限切れ"))))</f>
        <v/>
      </c>
      <c r="I7" s="15">
        <f>IF(OR($A7="",I$4=""),"",IF(AND(I$4="小型船舶2級",(COUNTIFS('資格研修記録'!$A$5:$A$1004,$A7,'資格研修記録'!$D$5:$D$1004,"小型船舶1級",'資格研修記録'!$F$5:$F$1004,"")+COUNTIFS('資格研修記録'!$A$5:$A$1004,$A7,'資格研修記録'!$D$5:$D$1004,"小型船舶1級",'資格研修記録'!$F$5:$F$1004,"&gt;="&amp;TODAY()))&gt;0),"1級に含む",IF(COUNTIFS('資格研修記録'!$A$5:$A$1004,$A7,'資格研修記録'!$D$5:$D$1004,I$4)=0,"—",IF(COUNTIFS('資格研修記録'!$A$5:$A$1004,$A7,'資格研修記録'!$D$5:$D$1004,I$4,'資格研修記録'!$F$5:$F$1004,"")+COUNTIFS('資格研修記録'!$A$5:$A$1004,$A7,'資格研修記録'!$D$5:$D$1004,I$4,'資格研修記録'!$F$5:$F$1004,"&gt;="&amp;TODAY())&gt;0,"○","× 期限切れ"))))</f>
        <v/>
      </c>
      <c r="J7" s="15">
        <f>IF(OR($A7="",J$4=""),"",IF(AND(J$4="小型船舶2級",(COUNTIFS('資格研修記録'!$A$5:$A$1004,$A7,'資格研修記録'!$D$5:$D$1004,"小型船舶1級",'資格研修記録'!$F$5:$F$1004,"")+COUNTIFS('資格研修記録'!$A$5:$A$1004,$A7,'資格研修記録'!$D$5:$D$1004,"小型船舶1級",'資格研修記録'!$F$5:$F$1004,"&gt;="&amp;TODAY()))&gt;0),"1級に含む",IF(COUNTIFS('資格研修記録'!$A$5:$A$1004,$A7,'資格研修記録'!$D$5:$D$1004,J$4)=0,"—",IF(COUNTIFS('資格研修記録'!$A$5:$A$1004,$A7,'資格研修記録'!$D$5:$D$1004,J$4,'資格研修記録'!$F$5:$F$1004,"")+COUNTIFS('資格研修記録'!$A$5:$A$1004,$A7,'資格研修記録'!$D$5:$D$1004,J$4,'資格研修記録'!$F$5:$F$1004,"&gt;="&amp;TODAY())&gt;0,"○","× 期限切れ"))))</f>
        <v/>
      </c>
      <c r="K7" s="15">
        <f>IF(OR($A7="",K$4=""),"",IF(AND(K$4="小型船舶2級",(COUNTIFS('資格研修記録'!$A$5:$A$1004,$A7,'資格研修記録'!$D$5:$D$1004,"小型船舶1級",'資格研修記録'!$F$5:$F$1004,"")+COUNTIFS('資格研修記録'!$A$5:$A$1004,$A7,'資格研修記録'!$D$5:$D$1004,"小型船舶1級",'資格研修記録'!$F$5:$F$1004,"&gt;="&amp;TODAY()))&gt;0),"1級に含む",IF(COUNTIFS('資格研修記録'!$A$5:$A$1004,$A7,'資格研修記録'!$D$5:$D$1004,K$4)=0,"—",IF(COUNTIFS('資格研修記録'!$A$5:$A$1004,$A7,'資格研修記録'!$D$5:$D$1004,K$4,'資格研修記録'!$F$5:$F$1004,"")+COUNTIFS('資格研修記録'!$A$5:$A$1004,$A7,'資格研修記録'!$D$5:$D$1004,K$4,'資格研修記録'!$F$5:$F$1004,"&gt;="&amp;TODAY())&gt;0,"○","× 期限切れ"))))</f>
        <v/>
      </c>
      <c r="L7" s="15">
        <f>IF(OR($A7="",L$4=""),"",IF(AND(L$4="小型船舶2級",(COUNTIFS('資格研修記録'!$A$5:$A$1004,$A7,'資格研修記録'!$D$5:$D$1004,"小型船舶1級",'資格研修記録'!$F$5:$F$1004,"")+COUNTIFS('資格研修記録'!$A$5:$A$1004,$A7,'資格研修記録'!$D$5:$D$1004,"小型船舶1級",'資格研修記録'!$F$5:$F$1004,"&gt;="&amp;TODAY()))&gt;0),"1級に含む",IF(COUNTIFS('資格研修記録'!$A$5:$A$1004,$A7,'資格研修記録'!$D$5:$D$1004,L$4)=0,"—",IF(COUNTIFS('資格研修記録'!$A$5:$A$1004,$A7,'資格研修記録'!$D$5:$D$1004,L$4,'資格研修記録'!$F$5:$F$1004,"")+COUNTIFS('資格研修記録'!$A$5:$A$1004,$A7,'資格研修記録'!$D$5:$D$1004,L$4,'資格研修記録'!$F$5:$F$1004,"&gt;="&amp;TODAY())&gt;0,"○","× 期限切れ"))))</f>
        <v/>
      </c>
    </row>
    <row r="8">
      <c r="A8" s="14">
        <f>IF('隊員マスタ'!A8="","",'隊員マスタ'!A8)</f>
        <v/>
      </c>
      <c r="B8" s="14">
        <f>IF(A8="","",'隊員マスタ'!B8)</f>
        <v/>
      </c>
      <c r="C8" s="14">
        <f>IF(A8="","",'隊員マスタ'!C8)</f>
        <v/>
      </c>
      <c r="D8" s="15">
        <f>IF(A8="","",'隊員マスタ'!D8)</f>
        <v/>
      </c>
      <c r="E8" s="15">
        <f>IF(OR($A8="",E$4=""),"",IF(AND(E$4="小型船舶2級",(COUNTIFS('資格研修記録'!$A$5:$A$1004,$A8,'資格研修記録'!$D$5:$D$1004,"小型船舶1級",'資格研修記録'!$F$5:$F$1004,"")+COUNTIFS('資格研修記録'!$A$5:$A$1004,$A8,'資格研修記録'!$D$5:$D$1004,"小型船舶1級",'資格研修記録'!$F$5:$F$1004,"&gt;="&amp;TODAY()))&gt;0),"1級に含む",IF(COUNTIFS('資格研修記録'!$A$5:$A$1004,$A8,'資格研修記録'!$D$5:$D$1004,E$4)=0,"—",IF(COUNTIFS('資格研修記録'!$A$5:$A$1004,$A8,'資格研修記録'!$D$5:$D$1004,E$4,'資格研修記録'!$F$5:$F$1004,"")+COUNTIFS('資格研修記録'!$A$5:$A$1004,$A8,'資格研修記録'!$D$5:$D$1004,E$4,'資格研修記録'!$F$5:$F$1004,"&gt;="&amp;TODAY())&gt;0,"○","× 期限切れ"))))</f>
        <v/>
      </c>
      <c r="F8" s="15">
        <f>IF(OR($A8="",F$4=""),"",IF(AND(F$4="小型船舶2級",(COUNTIFS('資格研修記録'!$A$5:$A$1004,$A8,'資格研修記録'!$D$5:$D$1004,"小型船舶1級",'資格研修記録'!$F$5:$F$1004,"")+COUNTIFS('資格研修記録'!$A$5:$A$1004,$A8,'資格研修記録'!$D$5:$D$1004,"小型船舶1級",'資格研修記録'!$F$5:$F$1004,"&gt;="&amp;TODAY()))&gt;0),"1級に含む",IF(COUNTIFS('資格研修記録'!$A$5:$A$1004,$A8,'資格研修記録'!$D$5:$D$1004,F$4)=0,"—",IF(COUNTIFS('資格研修記録'!$A$5:$A$1004,$A8,'資格研修記録'!$D$5:$D$1004,F$4,'資格研修記録'!$F$5:$F$1004,"")+COUNTIFS('資格研修記録'!$A$5:$A$1004,$A8,'資格研修記録'!$D$5:$D$1004,F$4,'資格研修記録'!$F$5:$F$1004,"&gt;="&amp;TODAY())&gt;0,"○","× 期限切れ"))))</f>
        <v/>
      </c>
      <c r="G8" s="15">
        <f>IF(OR($A8="",G$4=""),"",IF(AND(G$4="小型船舶2級",(COUNTIFS('資格研修記録'!$A$5:$A$1004,$A8,'資格研修記録'!$D$5:$D$1004,"小型船舶1級",'資格研修記録'!$F$5:$F$1004,"")+COUNTIFS('資格研修記録'!$A$5:$A$1004,$A8,'資格研修記録'!$D$5:$D$1004,"小型船舶1級",'資格研修記録'!$F$5:$F$1004,"&gt;="&amp;TODAY()))&gt;0),"1級に含む",IF(COUNTIFS('資格研修記録'!$A$5:$A$1004,$A8,'資格研修記録'!$D$5:$D$1004,G$4)=0,"—",IF(COUNTIFS('資格研修記録'!$A$5:$A$1004,$A8,'資格研修記録'!$D$5:$D$1004,G$4,'資格研修記録'!$F$5:$F$1004,"")+COUNTIFS('資格研修記録'!$A$5:$A$1004,$A8,'資格研修記録'!$D$5:$D$1004,G$4,'資格研修記録'!$F$5:$F$1004,"&gt;="&amp;TODAY())&gt;0,"○","× 期限切れ"))))</f>
        <v/>
      </c>
      <c r="H8" s="15">
        <f>IF(OR($A8="",H$4=""),"",IF(AND(H$4="小型船舶2級",(COUNTIFS('資格研修記録'!$A$5:$A$1004,$A8,'資格研修記録'!$D$5:$D$1004,"小型船舶1級",'資格研修記録'!$F$5:$F$1004,"")+COUNTIFS('資格研修記録'!$A$5:$A$1004,$A8,'資格研修記録'!$D$5:$D$1004,"小型船舶1級",'資格研修記録'!$F$5:$F$1004,"&gt;="&amp;TODAY()))&gt;0),"1級に含む",IF(COUNTIFS('資格研修記録'!$A$5:$A$1004,$A8,'資格研修記録'!$D$5:$D$1004,H$4)=0,"—",IF(COUNTIFS('資格研修記録'!$A$5:$A$1004,$A8,'資格研修記録'!$D$5:$D$1004,H$4,'資格研修記録'!$F$5:$F$1004,"")+COUNTIFS('資格研修記録'!$A$5:$A$1004,$A8,'資格研修記録'!$D$5:$D$1004,H$4,'資格研修記録'!$F$5:$F$1004,"&gt;="&amp;TODAY())&gt;0,"○","× 期限切れ"))))</f>
        <v/>
      </c>
      <c r="I8" s="15">
        <f>IF(OR($A8="",I$4=""),"",IF(AND(I$4="小型船舶2級",(COUNTIFS('資格研修記録'!$A$5:$A$1004,$A8,'資格研修記録'!$D$5:$D$1004,"小型船舶1級",'資格研修記録'!$F$5:$F$1004,"")+COUNTIFS('資格研修記録'!$A$5:$A$1004,$A8,'資格研修記録'!$D$5:$D$1004,"小型船舶1級",'資格研修記録'!$F$5:$F$1004,"&gt;="&amp;TODAY()))&gt;0),"1級に含む",IF(COUNTIFS('資格研修記録'!$A$5:$A$1004,$A8,'資格研修記録'!$D$5:$D$1004,I$4)=0,"—",IF(COUNTIFS('資格研修記録'!$A$5:$A$1004,$A8,'資格研修記録'!$D$5:$D$1004,I$4,'資格研修記録'!$F$5:$F$1004,"")+COUNTIFS('資格研修記録'!$A$5:$A$1004,$A8,'資格研修記録'!$D$5:$D$1004,I$4,'資格研修記録'!$F$5:$F$1004,"&gt;="&amp;TODAY())&gt;0,"○","× 期限切れ"))))</f>
        <v/>
      </c>
      <c r="J8" s="15">
        <f>IF(OR($A8="",J$4=""),"",IF(AND(J$4="小型船舶2級",(COUNTIFS('資格研修記録'!$A$5:$A$1004,$A8,'資格研修記録'!$D$5:$D$1004,"小型船舶1級",'資格研修記録'!$F$5:$F$1004,"")+COUNTIFS('資格研修記録'!$A$5:$A$1004,$A8,'資格研修記録'!$D$5:$D$1004,"小型船舶1級",'資格研修記録'!$F$5:$F$1004,"&gt;="&amp;TODAY()))&gt;0),"1級に含む",IF(COUNTIFS('資格研修記録'!$A$5:$A$1004,$A8,'資格研修記録'!$D$5:$D$1004,J$4)=0,"—",IF(COUNTIFS('資格研修記録'!$A$5:$A$1004,$A8,'資格研修記録'!$D$5:$D$1004,J$4,'資格研修記録'!$F$5:$F$1004,"")+COUNTIFS('資格研修記録'!$A$5:$A$1004,$A8,'資格研修記録'!$D$5:$D$1004,J$4,'資格研修記録'!$F$5:$F$1004,"&gt;="&amp;TODAY())&gt;0,"○","× 期限切れ"))))</f>
        <v/>
      </c>
      <c r="K8" s="15">
        <f>IF(OR($A8="",K$4=""),"",IF(AND(K$4="小型船舶2級",(COUNTIFS('資格研修記録'!$A$5:$A$1004,$A8,'資格研修記録'!$D$5:$D$1004,"小型船舶1級",'資格研修記録'!$F$5:$F$1004,"")+COUNTIFS('資格研修記録'!$A$5:$A$1004,$A8,'資格研修記録'!$D$5:$D$1004,"小型船舶1級",'資格研修記録'!$F$5:$F$1004,"&gt;="&amp;TODAY()))&gt;0),"1級に含む",IF(COUNTIFS('資格研修記録'!$A$5:$A$1004,$A8,'資格研修記録'!$D$5:$D$1004,K$4)=0,"—",IF(COUNTIFS('資格研修記録'!$A$5:$A$1004,$A8,'資格研修記録'!$D$5:$D$1004,K$4,'資格研修記録'!$F$5:$F$1004,"")+COUNTIFS('資格研修記録'!$A$5:$A$1004,$A8,'資格研修記録'!$D$5:$D$1004,K$4,'資格研修記録'!$F$5:$F$1004,"&gt;="&amp;TODAY())&gt;0,"○","× 期限切れ"))))</f>
        <v/>
      </c>
      <c r="L8" s="15">
        <f>IF(OR($A8="",L$4=""),"",IF(AND(L$4="小型船舶2級",(COUNTIFS('資格研修記録'!$A$5:$A$1004,$A8,'資格研修記録'!$D$5:$D$1004,"小型船舶1級",'資格研修記録'!$F$5:$F$1004,"")+COUNTIFS('資格研修記録'!$A$5:$A$1004,$A8,'資格研修記録'!$D$5:$D$1004,"小型船舶1級",'資格研修記録'!$F$5:$F$1004,"&gt;="&amp;TODAY()))&gt;0),"1級に含む",IF(COUNTIFS('資格研修記録'!$A$5:$A$1004,$A8,'資格研修記録'!$D$5:$D$1004,L$4)=0,"—",IF(COUNTIFS('資格研修記録'!$A$5:$A$1004,$A8,'資格研修記録'!$D$5:$D$1004,L$4,'資格研修記録'!$F$5:$F$1004,"")+COUNTIFS('資格研修記録'!$A$5:$A$1004,$A8,'資格研修記録'!$D$5:$D$1004,L$4,'資格研修記録'!$F$5:$F$1004,"&gt;="&amp;TODAY())&gt;0,"○","× 期限切れ"))))</f>
        <v/>
      </c>
    </row>
    <row r="9">
      <c r="A9" s="14">
        <f>IF('隊員マスタ'!A9="","",'隊員マスタ'!A9)</f>
        <v/>
      </c>
      <c r="B9" s="14">
        <f>IF(A9="","",'隊員マスタ'!B9)</f>
        <v/>
      </c>
      <c r="C9" s="14">
        <f>IF(A9="","",'隊員マスタ'!C9)</f>
        <v/>
      </c>
      <c r="D9" s="15">
        <f>IF(A9="","",'隊員マスタ'!D9)</f>
        <v/>
      </c>
      <c r="E9" s="15">
        <f>IF(OR($A9="",E$4=""),"",IF(AND(E$4="小型船舶2級",(COUNTIFS('資格研修記録'!$A$5:$A$1004,$A9,'資格研修記録'!$D$5:$D$1004,"小型船舶1級",'資格研修記録'!$F$5:$F$1004,"")+COUNTIFS('資格研修記録'!$A$5:$A$1004,$A9,'資格研修記録'!$D$5:$D$1004,"小型船舶1級",'資格研修記録'!$F$5:$F$1004,"&gt;="&amp;TODAY()))&gt;0),"1級に含む",IF(COUNTIFS('資格研修記録'!$A$5:$A$1004,$A9,'資格研修記録'!$D$5:$D$1004,E$4)=0,"—",IF(COUNTIFS('資格研修記録'!$A$5:$A$1004,$A9,'資格研修記録'!$D$5:$D$1004,E$4,'資格研修記録'!$F$5:$F$1004,"")+COUNTIFS('資格研修記録'!$A$5:$A$1004,$A9,'資格研修記録'!$D$5:$D$1004,E$4,'資格研修記録'!$F$5:$F$1004,"&gt;="&amp;TODAY())&gt;0,"○","× 期限切れ"))))</f>
        <v/>
      </c>
      <c r="F9" s="15">
        <f>IF(OR($A9="",F$4=""),"",IF(AND(F$4="小型船舶2級",(COUNTIFS('資格研修記録'!$A$5:$A$1004,$A9,'資格研修記録'!$D$5:$D$1004,"小型船舶1級",'資格研修記録'!$F$5:$F$1004,"")+COUNTIFS('資格研修記録'!$A$5:$A$1004,$A9,'資格研修記録'!$D$5:$D$1004,"小型船舶1級",'資格研修記録'!$F$5:$F$1004,"&gt;="&amp;TODAY()))&gt;0),"1級に含む",IF(COUNTIFS('資格研修記録'!$A$5:$A$1004,$A9,'資格研修記録'!$D$5:$D$1004,F$4)=0,"—",IF(COUNTIFS('資格研修記録'!$A$5:$A$1004,$A9,'資格研修記録'!$D$5:$D$1004,F$4,'資格研修記録'!$F$5:$F$1004,"")+COUNTIFS('資格研修記録'!$A$5:$A$1004,$A9,'資格研修記録'!$D$5:$D$1004,F$4,'資格研修記録'!$F$5:$F$1004,"&gt;="&amp;TODAY())&gt;0,"○","× 期限切れ"))))</f>
        <v/>
      </c>
      <c r="G9" s="15">
        <f>IF(OR($A9="",G$4=""),"",IF(AND(G$4="小型船舶2級",(COUNTIFS('資格研修記録'!$A$5:$A$1004,$A9,'資格研修記録'!$D$5:$D$1004,"小型船舶1級",'資格研修記録'!$F$5:$F$1004,"")+COUNTIFS('資格研修記録'!$A$5:$A$1004,$A9,'資格研修記録'!$D$5:$D$1004,"小型船舶1級",'資格研修記録'!$F$5:$F$1004,"&gt;="&amp;TODAY()))&gt;0),"1級に含む",IF(COUNTIFS('資格研修記録'!$A$5:$A$1004,$A9,'資格研修記録'!$D$5:$D$1004,G$4)=0,"—",IF(COUNTIFS('資格研修記録'!$A$5:$A$1004,$A9,'資格研修記録'!$D$5:$D$1004,G$4,'資格研修記録'!$F$5:$F$1004,"")+COUNTIFS('資格研修記録'!$A$5:$A$1004,$A9,'資格研修記録'!$D$5:$D$1004,G$4,'資格研修記録'!$F$5:$F$1004,"&gt;="&amp;TODAY())&gt;0,"○","× 期限切れ"))))</f>
        <v/>
      </c>
      <c r="H9" s="15">
        <f>IF(OR($A9="",H$4=""),"",IF(AND(H$4="小型船舶2級",(COUNTIFS('資格研修記録'!$A$5:$A$1004,$A9,'資格研修記録'!$D$5:$D$1004,"小型船舶1級",'資格研修記録'!$F$5:$F$1004,"")+COUNTIFS('資格研修記録'!$A$5:$A$1004,$A9,'資格研修記録'!$D$5:$D$1004,"小型船舶1級",'資格研修記録'!$F$5:$F$1004,"&gt;="&amp;TODAY()))&gt;0),"1級に含む",IF(COUNTIFS('資格研修記録'!$A$5:$A$1004,$A9,'資格研修記録'!$D$5:$D$1004,H$4)=0,"—",IF(COUNTIFS('資格研修記録'!$A$5:$A$1004,$A9,'資格研修記録'!$D$5:$D$1004,H$4,'資格研修記録'!$F$5:$F$1004,"")+COUNTIFS('資格研修記録'!$A$5:$A$1004,$A9,'資格研修記録'!$D$5:$D$1004,H$4,'資格研修記録'!$F$5:$F$1004,"&gt;="&amp;TODAY())&gt;0,"○","× 期限切れ"))))</f>
        <v/>
      </c>
      <c r="I9" s="15">
        <f>IF(OR($A9="",I$4=""),"",IF(AND(I$4="小型船舶2級",(COUNTIFS('資格研修記録'!$A$5:$A$1004,$A9,'資格研修記録'!$D$5:$D$1004,"小型船舶1級",'資格研修記録'!$F$5:$F$1004,"")+COUNTIFS('資格研修記録'!$A$5:$A$1004,$A9,'資格研修記録'!$D$5:$D$1004,"小型船舶1級",'資格研修記録'!$F$5:$F$1004,"&gt;="&amp;TODAY()))&gt;0),"1級に含む",IF(COUNTIFS('資格研修記録'!$A$5:$A$1004,$A9,'資格研修記録'!$D$5:$D$1004,I$4)=0,"—",IF(COUNTIFS('資格研修記録'!$A$5:$A$1004,$A9,'資格研修記録'!$D$5:$D$1004,I$4,'資格研修記録'!$F$5:$F$1004,"")+COUNTIFS('資格研修記録'!$A$5:$A$1004,$A9,'資格研修記録'!$D$5:$D$1004,I$4,'資格研修記録'!$F$5:$F$1004,"&gt;="&amp;TODAY())&gt;0,"○","× 期限切れ"))))</f>
        <v/>
      </c>
      <c r="J9" s="15">
        <f>IF(OR($A9="",J$4=""),"",IF(AND(J$4="小型船舶2級",(COUNTIFS('資格研修記録'!$A$5:$A$1004,$A9,'資格研修記録'!$D$5:$D$1004,"小型船舶1級",'資格研修記録'!$F$5:$F$1004,"")+COUNTIFS('資格研修記録'!$A$5:$A$1004,$A9,'資格研修記録'!$D$5:$D$1004,"小型船舶1級",'資格研修記録'!$F$5:$F$1004,"&gt;="&amp;TODAY()))&gt;0),"1級に含む",IF(COUNTIFS('資格研修記録'!$A$5:$A$1004,$A9,'資格研修記録'!$D$5:$D$1004,J$4)=0,"—",IF(COUNTIFS('資格研修記録'!$A$5:$A$1004,$A9,'資格研修記録'!$D$5:$D$1004,J$4,'資格研修記録'!$F$5:$F$1004,"")+COUNTIFS('資格研修記録'!$A$5:$A$1004,$A9,'資格研修記録'!$D$5:$D$1004,J$4,'資格研修記録'!$F$5:$F$1004,"&gt;="&amp;TODAY())&gt;0,"○","× 期限切れ"))))</f>
        <v/>
      </c>
      <c r="K9" s="15">
        <f>IF(OR($A9="",K$4=""),"",IF(AND(K$4="小型船舶2級",(COUNTIFS('資格研修記録'!$A$5:$A$1004,$A9,'資格研修記録'!$D$5:$D$1004,"小型船舶1級",'資格研修記録'!$F$5:$F$1004,"")+COUNTIFS('資格研修記録'!$A$5:$A$1004,$A9,'資格研修記録'!$D$5:$D$1004,"小型船舶1級",'資格研修記録'!$F$5:$F$1004,"&gt;="&amp;TODAY()))&gt;0),"1級に含む",IF(COUNTIFS('資格研修記録'!$A$5:$A$1004,$A9,'資格研修記録'!$D$5:$D$1004,K$4)=0,"—",IF(COUNTIFS('資格研修記録'!$A$5:$A$1004,$A9,'資格研修記録'!$D$5:$D$1004,K$4,'資格研修記録'!$F$5:$F$1004,"")+COUNTIFS('資格研修記録'!$A$5:$A$1004,$A9,'資格研修記録'!$D$5:$D$1004,K$4,'資格研修記録'!$F$5:$F$1004,"&gt;="&amp;TODAY())&gt;0,"○","× 期限切れ"))))</f>
        <v/>
      </c>
      <c r="L9" s="15">
        <f>IF(OR($A9="",L$4=""),"",IF(AND(L$4="小型船舶2級",(COUNTIFS('資格研修記録'!$A$5:$A$1004,$A9,'資格研修記録'!$D$5:$D$1004,"小型船舶1級",'資格研修記録'!$F$5:$F$1004,"")+COUNTIFS('資格研修記録'!$A$5:$A$1004,$A9,'資格研修記録'!$D$5:$D$1004,"小型船舶1級",'資格研修記録'!$F$5:$F$1004,"&gt;="&amp;TODAY()))&gt;0),"1級に含む",IF(COUNTIFS('資格研修記録'!$A$5:$A$1004,$A9,'資格研修記録'!$D$5:$D$1004,L$4)=0,"—",IF(COUNTIFS('資格研修記録'!$A$5:$A$1004,$A9,'資格研修記録'!$D$5:$D$1004,L$4,'資格研修記録'!$F$5:$F$1004,"")+COUNTIFS('資格研修記録'!$A$5:$A$1004,$A9,'資格研修記録'!$D$5:$D$1004,L$4,'資格研修記録'!$F$5:$F$1004,"&gt;="&amp;TODAY())&gt;0,"○","× 期限切れ"))))</f>
        <v/>
      </c>
    </row>
    <row r="10">
      <c r="A10" s="14">
        <f>IF('隊員マスタ'!A10="","",'隊員マスタ'!A10)</f>
        <v/>
      </c>
      <c r="B10" s="14">
        <f>IF(A10="","",'隊員マスタ'!B10)</f>
        <v/>
      </c>
      <c r="C10" s="14">
        <f>IF(A10="","",'隊員マスタ'!C10)</f>
        <v/>
      </c>
      <c r="D10" s="15">
        <f>IF(A10="","",'隊員マスタ'!D10)</f>
        <v/>
      </c>
      <c r="E10" s="15">
        <f>IF(OR($A10="",E$4=""),"",IF(AND(E$4="小型船舶2級",(COUNTIFS('資格研修記録'!$A$5:$A$1004,$A10,'資格研修記録'!$D$5:$D$1004,"小型船舶1級",'資格研修記録'!$F$5:$F$1004,"")+COUNTIFS('資格研修記録'!$A$5:$A$1004,$A10,'資格研修記録'!$D$5:$D$1004,"小型船舶1級",'資格研修記録'!$F$5:$F$1004,"&gt;="&amp;TODAY()))&gt;0),"1級に含む",IF(COUNTIFS('資格研修記録'!$A$5:$A$1004,$A10,'資格研修記録'!$D$5:$D$1004,E$4)=0,"—",IF(COUNTIFS('資格研修記録'!$A$5:$A$1004,$A10,'資格研修記録'!$D$5:$D$1004,E$4,'資格研修記録'!$F$5:$F$1004,"")+COUNTIFS('資格研修記録'!$A$5:$A$1004,$A10,'資格研修記録'!$D$5:$D$1004,E$4,'資格研修記録'!$F$5:$F$1004,"&gt;="&amp;TODAY())&gt;0,"○","× 期限切れ"))))</f>
        <v/>
      </c>
      <c r="F10" s="15">
        <f>IF(OR($A10="",F$4=""),"",IF(AND(F$4="小型船舶2級",(COUNTIFS('資格研修記録'!$A$5:$A$1004,$A10,'資格研修記録'!$D$5:$D$1004,"小型船舶1級",'資格研修記録'!$F$5:$F$1004,"")+COUNTIFS('資格研修記録'!$A$5:$A$1004,$A10,'資格研修記録'!$D$5:$D$1004,"小型船舶1級",'資格研修記録'!$F$5:$F$1004,"&gt;="&amp;TODAY()))&gt;0),"1級に含む",IF(COUNTIFS('資格研修記録'!$A$5:$A$1004,$A10,'資格研修記録'!$D$5:$D$1004,F$4)=0,"—",IF(COUNTIFS('資格研修記録'!$A$5:$A$1004,$A10,'資格研修記録'!$D$5:$D$1004,F$4,'資格研修記録'!$F$5:$F$1004,"")+COUNTIFS('資格研修記録'!$A$5:$A$1004,$A10,'資格研修記録'!$D$5:$D$1004,F$4,'資格研修記録'!$F$5:$F$1004,"&gt;="&amp;TODAY())&gt;0,"○","× 期限切れ"))))</f>
        <v/>
      </c>
      <c r="G10" s="15">
        <f>IF(OR($A10="",G$4=""),"",IF(AND(G$4="小型船舶2級",(COUNTIFS('資格研修記録'!$A$5:$A$1004,$A10,'資格研修記録'!$D$5:$D$1004,"小型船舶1級",'資格研修記録'!$F$5:$F$1004,"")+COUNTIFS('資格研修記録'!$A$5:$A$1004,$A10,'資格研修記録'!$D$5:$D$1004,"小型船舶1級",'資格研修記録'!$F$5:$F$1004,"&gt;="&amp;TODAY()))&gt;0),"1級に含む",IF(COUNTIFS('資格研修記録'!$A$5:$A$1004,$A10,'資格研修記録'!$D$5:$D$1004,G$4)=0,"—",IF(COUNTIFS('資格研修記録'!$A$5:$A$1004,$A10,'資格研修記録'!$D$5:$D$1004,G$4,'資格研修記録'!$F$5:$F$1004,"")+COUNTIFS('資格研修記録'!$A$5:$A$1004,$A10,'資格研修記録'!$D$5:$D$1004,G$4,'資格研修記録'!$F$5:$F$1004,"&gt;="&amp;TODAY())&gt;0,"○","× 期限切れ"))))</f>
        <v/>
      </c>
      <c r="H10" s="15">
        <f>IF(OR($A10="",H$4=""),"",IF(AND(H$4="小型船舶2級",(COUNTIFS('資格研修記録'!$A$5:$A$1004,$A10,'資格研修記録'!$D$5:$D$1004,"小型船舶1級",'資格研修記録'!$F$5:$F$1004,"")+COUNTIFS('資格研修記録'!$A$5:$A$1004,$A10,'資格研修記録'!$D$5:$D$1004,"小型船舶1級",'資格研修記録'!$F$5:$F$1004,"&gt;="&amp;TODAY()))&gt;0),"1級に含む",IF(COUNTIFS('資格研修記録'!$A$5:$A$1004,$A10,'資格研修記録'!$D$5:$D$1004,H$4)=0,"—",IF(COUNTIFS('資格研修記録'!$A$5:$A$1004,$A10,'資格研修記録'!$D$5:$D$1004,H$4,'資格研修記録'!$F$5:$F$1004,"")+COUNTIFS('資格研修記録'!$A$5:$A$1004,$A10,'資格研修記録'!$D$5:$D$1004,H$4,'資格研修記録'!$F$5:$F$1004,"&gt;="&amp;TODAY())&gt;0,"○","× 期限切れ"))))</f>
        <v/>
      </c>
      <c r="I10" s="15">
        <f>IF(OR($A10="",I$4=""),"",IF(AND(I$4="小型船舶2級",(COUNTIFS('資格研修記録'!$A$5:$A$1004,$A10,'資格研修記録'!$D$5:$D$1004,"小型船舶1級",'資格研修記録'!$F$5:$F$1004,"")+COUNTIFS('資格研修記録'!$A$5:$A$1004,$A10,'資格研修記録'!$D$5:$D$1004,"小型船舶1級",'資格研修記録'!$F$5:$F$1004,"&gt;="&amp;TODAY()))&gt;0),"1級に含む",IF(COUNTIFS('資格研修記録'!$A$5:$A$1004,$A10,'資格研修記録'!$D$5:$D$1004,I$4)=0,"—",IF(COUNTIFS('資格研修記録'!$A$5:$A$1004,$A10,'資格研修記録'!$D$5:$D$1004,I$4,'資格研修記録'!$F$5:$F$1004,"")+COUNTIFS('資格研修記録'!$A$5:$A$1004,$A10,'資格研修記録'!$D$5:$D$1004,I$4,'資格研修記録'!$F$5:$F$1004,"&gt;="&amp;TODAY())&gt;0,"○","× 期限切れ"))))</f>
        <v/>
      </c>
      <c r="J10" s="15">
        <f>IF(OR($A10="",J$4=""),"",IF(AND(J$4="小型船舶2級",(COUNTIFS('資格研修記録'!$A$5:$A$1004,$A10,'資格研修記録'!$D$5:$D$1004,"小型船舶1級",'資格研修記録'!$F$5:$F$1004,"")+COUNTIFS('資格研修記録'!$A$5:$A$1004,$A10,'資格研修記録'!$D$5:$D$1004,"小型船舶1級",'資格研修記録'!$F$5:$F$1004,"&gt;="&amp;TODAY()))&gt;0),"1級に含む",IF(COUNTIFS('資格研修記録'!$A$5:$A$1004,$A10,'資格研修記録'!$D$5:$D$1004,J$4)=0,"—",IF(COUNTIFS('資格研修記録'!$A$5:$A$1004,$A10,'資格研修記録'!$D$5:$D$1004,J$4,'資格研修記録'!$F$5:$F$1004,"")+COUNTIFS('資格研修記録'!$A$5:$A$1004,$A10,'資格研修記録'!$D$5:$D$1004,J$4,'資格研修記録'!$F$5:$F$1004,"&gt;="&amp;TODAY())&gt;0,"○","× 期限切れ"))))</f>
        <v/>
      </c>
      <c r="K10" s="15">
        <f>IF(OR($A10="",K$4=""),"",IF(AND(K$4="小型船舶2級",(COUNTIFS('資格研修記録'!$A$5:$A$1004,$A10,'資格研修記録'!$D$5:$D$1004,"小型船舶1級",'資格研修記録'!$F$5:$F$1004,"")+COUNTIFS('資格研修記録'!$A$5:$A$1004,$A10,'資格研修記録'!$D$5:$D$1004,"小型船舶1級",'資格研修記録'!$F$5:$F$1004,"&gt;="&amp;TODAY()))&gt;0),"1級に含む",IF(COUNTIFS('資格研修記録'!$A$5:$A$1004,$A10,'資格研修記録'!$D$5:$D$1004,K$4)=0,"—",IF(COUNTIFS('資格研修記録'!$A$5:$A$1004,$A10,'資格研修記録'!$D$5:$D$1004,K$4,'資格研修記録'!$F$5:$F$1004,"")+COUNTIFS('資格研修記録'!$A$5:$A$1004,$A10,'資格研修記録'!$D$5:$D$1004,K$4,'資格研修記録'!$F$5:$F$1004,"&gt;="&amp;TODAY())&gt;0,"○","× 期限切れ"))))</f>
        <v/>
      </c>
      <c r="L10" s="15">
        <f>IF(OR($A10="",L$4=""),"",IF(AND(L$4="小型船舶2級",(COUNTIFS('資格研修記録'!$A$5:$A$1004,$A10,'資格研修記録'!$D$5:$D$1004,"小型船舶1級",'資格研修記録'!$F$5:$F$1004,"")+COUNTIFS('資格研修記録'!$A$5:$A$1004,$A10,'資格研修記録'!$D$5:$D$1004,"小型船舶1級",'資格研修記録'!$F$5:$F$1004,"&gt;="&amp;TODAY()))&gt;0),"1級に含む",IF(COUNTIFS('資格研修記録'!$A$5:$A$1004,$A10,'資格研修記録'!$D$5:$D$1004,L$4)=0,"—",IF(COUNTIFS('資格研修記録'!$A$5:$A$1004,$A10,'資格研修記録'!$D$5:$D$1004,L$4,'資格研修記録'!$F$5:$F$1004,"")+COUNTIFS('資格研修記録'!$A$5:$A$1004,$A10,'資格研修記録'!$D$5:$D$1004,L$4,'資格研修記録'!$F$5:$F$1004,"&gt;="&amp;TODAY())&gt;0,"○","× 期限切れ"))))</f>
        <v/>
      </c>
    </row>
    <row r="11">
      <c r="A11" s="14">
        <f>IF('隊員マスタ'!A11="","",'隊員マスタ'!A11)</f>
        <v/>
      </c>
      <c r="B11" s="14">
        <f>IF(A11="","",'隊員マスタ'!B11)</f>
        <v/>
      </c>
      <c r="C11" s="14">
        <f>IF(A11="","",'隊員マスタ'!C11)</f>
        <v/>
      </c>
      <c r="D11" s="15">
        <f>IF(A11="","",'隊員マスタ'!D11)</f>
        <v/>
      </c>
      <c r="E11" s="15">
        <f>IF(OR($A11="",E$4=""),"",IF(AND(E$4="小型船舶2級",(COUNTIFS('資格研修記録'!$A$5:$A$1004,$A11,'資格研修記録'!$D$5:$D$1004,"小型船舶1級",'資格研修記録'!$F$5:$F$1004,"")+COUNTIFS('資格研修記録'!$A$5:$A$1004,$A11,'資格研修記録'!$D$5:$D$1004,"小型船舶1級",'資格研修記録'!$F$5:$F$1004,"&gt;="&amp;TODAY()))&gt;0),"1級に含む",IF(COUNTIFS('資格研修記録'!$A$5:$A$1004,$A11,'資格研修記録'!$D$5:$D$1004,E$4)=0,"—",IF(COUNTIFS('資格研修記録'!$A$5:$A$1004,$A11,'資格研修記録'!$D$5:$D$1004,E$4,'資格研修記録'!$F$5:$F$1004,"")+COUNTIFS('資格研修記録'!$A$5:$A$1004,$A11,'資格研修記録'!$D$5:$D$1004,E$4,'資格研修記録'!$F$5:$F$1004,"&gt;="&amp;TODAY())&gt;0,"○","× 期限切れ"))))</f>
        <v/>
      </c>
      <c r="F11" s="15">
        <f>IF(OR($A11="",F$4=""),"",IF(AND(F$4="小型船舶2級",(COUNTIFS('資格研修記録'!$A$5:$A$1004,$A11,'資格研修記録'!$D$5:$D$1004,"小型船舶1級",'資格研修記録'!$F$5:$F$1004,"")+COUNTIFS('資格研修記録'!$A$5:$A$1004,$A11,'資格研修記録'!$D$5:$D$1004,"小型船舶1級",'資格研修記録'!$F$5:$F$1004,"&gt;="&amp;TODAY()))&gt;0),"1級に含む",IF(COUNTIFS('資格研修記録'!$A$5:$A$1004,$A11,'資格研修記録'!$D$5:$D$1004,F$4)=0,"—",IF(COUNTIFS('資格研修記録'!$A$5:$A$1004,$A11,'資格研修記録'!$D$5:$D$1004,F$4,'資格研修記録'!$F$5:$F$1004,"")+COUNTIFS('資格研修記録'!$A$5:$A$1004,$A11,'資格研修記録'!$D$5:$D$1004,F$4,'資格研修記録'!$F$5:$F$1004,"&gt;="&amp;TODAY())&gt;0,"○","× 期限切れ"))))</f>
        <v/>
      </c>
      <c r="G11" s="15">
        <f>IF(OR($A11="",G$4=""),"",IF(AND(G$4="小型船舶2級",(COUNTIFS('資格研修記録'!$A$5:$A$1004,$A11,'資格研修記録'!$D$5:$D$1004,"小型船舶1級",'資格研修記録'!$F$5:$F$1004,"")+COUNTIFS('資格研修記録'!$A$5:$A$1004,$A11,'資格研修記録'!$D$5:$D$1004,"小型船舶1級",'資格研修記録'!$F$5:$F$1004,"&gt;="&amp;TODAY()))&gt;0),"1級に含む",IF(COUNTIFS('資格研修記録'!$A$5:$A$1004,$A11,'資格研修記録'!$D$5:$D$1004,G$4)=0,"—",IF(COUNTIFS('資格研修記録'!$A$5:$A$1004,$A11,'資格研修記録'!$D$5:$D$1004,G$4,'資格研修記録'!$F$5:$F$1004,"")+COUNTIFS('資格研修記録'!$A$5:$A$1004,$A11,'資格研修記録'!$D$5:$D$1004,G$4,'資格研修記録'!$F$5:$F$1004,"&gt;="&amp;TODAY())&gt;0,"○","× 期限切れ"))))</f>
        <v/>
      </c>
      <c r="H11" s="15">
        <f>IF(OR($A11="",H$4=""),"",IF(AND(H$4="小型船舶2級",(COUNTIFS('資格研修記録'!$A$5:$A$1004,$A11,'資格研修記録'!$D$5:$D$1004,"小型船舶1級",'資格研修記録'!$F$5:$F$1004,"")+COUNTIFS('資格研修記録'!$A$5:$A$1004,$A11,'資格研修記録'!$D$5:$D$1004,"小型船舶1級",'資格研修記録'!$F$5:$F$1004,"&gt;="&amp;TODAY()))&gt;0),"1級に含む",IF(COUNTIFS('資格研修記録'!$A$5:$A$1004,$A11,'資格研修記録'!$D$5:$D$1004,H$4)=0,"—",IF(COUNTIFS('資格研修記録'!$A$5:$A$1004,$A11,'資格研修記録'!$D$5:$D$1004,H$4,'資格研修記録'!$F$5:$F$1004,"")+COUNTIFS('資格研修記録'!$A$5:$A$1004,$A11,'資格研修記録'!$D$5:$D$1004,H$4,'資格研修記録'!$F$5:$F$1004,"&gt;="&amp;TODAY())&gt;0,"○","× 期限切れ"))))</f>
        <v/>
      </c>
      <c r="I11" s="15">
        <f>IF(OR($A11="",I$4=""),"",IF(AND(I$4="小型船舶2級",(COUNTIFS('資格研修記録'!$A$5:$A$1004,$A11,'資格研修記録'!$D$5:$D$1004,"小型船舶1級",'資格研修記録'!$F$5:$F$1004,"")+COUNTIFS('資格研修記録'!$A$5:$A$1004,$A11,'資格研修記録'!$D$5:$D$1004,"小型船舶1級",'資格研修記録'!$F$5:$F$1004,"&gt;="&amp;TODAY()))&gt;0),"1級に含む",IF(COUNTIFS('資格研修記録'!$A$5:$A$1004,$A11,'資格研修記録'!$D$5:$D$1004,I$4)=0,"—",IF(COUNTIFS('資格研修記録'!$A$5:$A$1004,$A11,'資格研修記録'!$D$5:$D$1004,I$4,'資格研修記録'!$F$5:$F$1004,"")+COUNTIFS('資格研修記録'!$A$5:$A$1004,$A11,'資格研修記録'!$D$5:$D$1004,I$4,'資格研修記録'!$F$5:$F$1004,"&gt;="&amp;TODAY())&gt;0,"○","× 期限切れ"))))</f>
        <v/>
      </c>
      <c r="J11" s="15">
        <f>IF(OR($A11="",J$4=""),"",IF(AND(J$4="小型船舶2級",(COUNTIFS('資格研修記録'!$A$5:$A$1004,$A11,'資格研修記録'!$D$5:$D$1004,"小型船舶1級",'資格研修記録'!$F$5:$F$1004,"")+COUNTIFS('資格研修記録'!$A$5:$A$1004,$A11,'資格研修記録'!$D$5:$D$1004,"小型船舶1級",'資格研修記録'!$F$5:$F$1004,"&gt;="&amp;TODAY()))&gt;0),"1級に含む",IF(COUNTIFS('資格研修記録'!$A$5:$A$1004,$A11,'資格研修記録'!$D$5:$D$1004,J$4)=0,"—",IF(COUNTIFS('資格研修記録'!$A$5:$A$1004,$A11,'資格研修記録'!$D$5:$D$1004,J$4,'資格研修記録'!$F$5:$F$1004,"")+COUNTIFS('資格研修記録'!$A$5:$A$1004,$A11,'資格研修記録'!$D$5:$D$1004,J$4,'資格研修記録'!$F$5:$F$1004,"&gt;="&amp;TODAY())&gt;0,"○","× 期限切れ"))))</f>
        <v/>
      </c>
      <c r="K11" s="15">
        <f>IF(OR($A11="",K$4=""),"",IF(AND(K$4="小型船舶2級",(COUNTIFS('資格研修記録'!$A$5:$A$1004,$A11,'資格研修記録'!$D$5:$D$1004,"小型船舶1級",'資格研修記録'!$F$5:$F$1004,"")+COUNTIFS('資格研修記録'!$A$5:$A$1004,$A11,'資格研修記録'!$D$5:$D$1004,"小型船舶1級",'資格研修記録'!$F$5:$F$1004,"&gt;="&amp;TODAY()))&gt;0),"1級に含む",IF(COUNTIFS('資格研修記録'!$A$5:$A$1004,$A11,'資格研修記録'!$D$5:$D$1004,K$4)=0,"—",IF(COUNTIFS('資格研修記録'!$A$5:$A$1004,$A11,'資格研修記録'!$D$5:$D$1004,K$4,'資格研修記録'!$F$5:$F$1004,"")+COUNTIFS('資格研修記録'!$A$5:$A$1004,$A11,'資格研修記録'!$D$5:$D$1004,K$4,'資格研修記録'!$F$5:$F$1004,"&gt;="&amp;TODAY())&gt;0,"○","× 期限切れ"))))</f>
        <v/>
      </c>
      <c r="L11" s="15">
        <f>IF(OR($A11="",L$4=""),"",IF(AND(L$4="小型船舶2級",(COUNTIFS('資格研修記録'!$A$5:$A$1004,$A11,'資格研修記録'!$D$5:$D$1004,"小型船舶1級",'資格研修記録'!$F$5:$F$1004,"")+COUNTIFS('資格研修記録'!$A$5:$A$1004,$A11,'資格研修記録'!$D$5:$D$1004,"小型船舶1級",'資格研修記録'!$F$5:$F$1004,"&gt;="&amp;TODAY()))&gt;0),"1級に含む",IF(COUNTIFS('資格研修記録'!$A$5:$A$1004,$A11,'資格研修記録'!$D$5:$D$1004,L$4)=0,"—",IF(COUNTIFS('資格研修記録'!$A$5:$A$1004,$A11,'資格研修記録'!$D$5:$D$1004,L$4,'資格研修記録'!$F$5:$F$1004,"")+COUNTIFS('資格研修記録'!$A$5:$A$1004,$A11,'資格研修記録'!$D$5:$D$1004,L$4,'資格研修記録'!$F$5:$F$1004,"&gt;="&amp;TODAY())&gt;0,"○","× 期限切れ"))))</f>
        <v/>
      </c>
    </row>
    <row r="12">
      <c r="A12" s="14">
        <f>IF('隊員マスタ'!A12="","",'隊員マスタ'!A12)</f>
        <v/>
      </c>
      <c r="B12" s="14">
        <f>IF(A12="","",'隊員マスタ'!B12)</f>
        <v/>
      </c>
      <c r="C12" s="14">
        <f>IF(A12="","",'隊員マスタ'!C12)</f>
        <v/>
      </c>
      <c r="D12" s="15">
        <f>IF(A12="","",'隊員マスタ'!D12)</f>
        <v/>
      </c>
      <c r="E12" s="15">
        <f>IF(OR($A12="",E$4=""),"",IF(AND(E$4="小型船舶2級",(COUNTIFS('資格研修記録'!$A$5:$A$1004,$A12,'資格研修記録'!$D$5:$D$1004,"小型船舶1級",'資格研修記録'!$F$5:$F$1004,"")+COUNTIFS('資格研修記録'!$A$5:$A$1004,$A12,'資格研修記録'!$D$5:$D$1004,"小型船舶1級",'資格研修記録'!$F$5:$F$1004,"&gt;="&amp;TODAY()))&gt;0),"1級に含む",IF(COUNTIFS('資格研修記録'!$A$5:$A$1004,$A12,'資格研修記録'!$D$5:$D$1004,E$4)=0,"—",IF(COUNTIFS('資格研修記録'!$A$5:$A$1004,$A12,'資格研修記録'!$D$5:$D$1004,E$4,'資格研修記録'!$F$5:$F$1004,"")+COUNTIFS('資格研修記録'!$A$5:$A$1004,$A12,'資格研修記録'!$D$5:$D$1004,E$4,'資格研修記録'!$F$5:$F$1004,"&gt;="&amp;TODAY())&gt;0,"○","× 期限切れ"))))</f>
        <v/>
      </c>
      <c r="F12" s="15">
        <f>IF(OR($A12="",F$4=""),"",IF(AND(F$4="小型船舶2級",(COUNTIFS('資格研修記録'!$A$5:$A$1004,$A12,'資格研修記録'!$D$5:$D$1004,"小型船舶1級",'資格研修記録'!$F$5:$F$1004,"")+COUNTIFS('資格研修記録'!$A$5:$A$1004,$A12,'資格研修記録'!$D$5:$D$1004,"小型船舶1級",'資格研修記録'!$F$5:$F$1004,"&gt;="&amp;TODAY()))&gt;0),"1級に含む",IF(COUNTIFS('資格研修記録'!$A$5:$A$1004,$A12,'資格研修記録'!$D$5:$D$1004,F$4)=0,"—",IF(COUNTIFS('資格研修記録'!$A$5:$A$1004,$A12,'資格研修記録'!$D$5:$D$1004,F$4,'資格研修記録'!$F$5:$F$1004,"")+COUNTIFS('資格研修記録'!$A$5:$A$1004,$A12,'資格研修記録'!$D$5:$D$1004,F$4,'資格研修記録'!$F$5:$F$1004,"&gt;="&amp;TODAY())&gt;0,"○","× 期限切れ"))))</f>
        <v/>
      </c>
      <c r="G12" s="15">
        <f>IF(OR($A12="",G$4=""),"",IF(AND(G$4="小型船舶2級",(COUNTIFS('資格研修記録'!$A$5:$A$1004,$A12,'資格研修記録'!$D$5:$D$1004,"小型船舶1級",'資格研修記録'!$F$5:$F$1004,"")+COUNTIFS('資格研修記録'!$A$5:$A$1004,$A12,'資格研修記録'!$D$5:$D$1004,"小型船舶1級",'資格研修記録'!$F$5:$F$1004,"&gt;="&amp;TODAY()))&gt;0),"1級に含む",IF(COUNTIFS('資格研修記録'!$A$5:$A$1004,$A12,'資格研修記録'!$D$5:$D$1004,G$4)=0,"—",IF(COUNTIFS('資格研修記録'!$A$5:$A$1004,$A12,'資格研修記録'!$D$5:$D$1004,G$4,'資格研修記録'!$F$5:$F$1004,"")+COUNTIFS('資格研修記録'!$A$5:$A$1004,$A12,'資格研修記録'!$D$5:$D$1004,G$4,'資格研修記録'!$F$5:$F$1004,"&gt;="&amp;TODAY())&gt;0,"○","× 期限切れ"))))</f>
        <v/>
      </c>
      <c r="H12" s="15">
        <f>IF(OR($A12="",H$4=""),"",IF(AND(H$4="小型船舶2級",(COUNTIFS('資格研修記録'!$A$5:$A$1004,$A12,'資格研修記録'!$D$5:$D$1004,"小型船舶1級",'資格研修記録'!$F$5:$F$1004,"")+COUNTIFS('資格研修記録'!$A$5:$A$1004,$A12,'資格研修記録'!$D$5:$D$1004,"小型船舶1級",'資格研修記録'!$F$5:$F$1004,"&gt;="&amp;TODAY()))&gt;0),"1級に含む",IF(COUNTIFS('資格研修記録'!$A$5:$A$1004,$A12,'資格研修記録'!$D$5:$D$1004,H$4)=0,"—",IF(COUNTIFS('資格研修記録'!$A$5:$A$1004,$A12,'資格研修記録'!$D$5:$D$1004,H$4,'資格研修記録'!$F$5:$F$1004,"")+COUNTIFS('資格研修記録'!$A$5:$A$1004,$A12,'資格研修記録'!$D$5:$D$1004,H$4,'資格研修記録'!$F$5:$F$1004,"&gt;="&amp;TODAY())&gt;0,"○","× 期限切れ"))))</f>
        <v/>
      </c>
      <c r="I12" s="15">
        <f>IF(OR($A12="",I$4=""),"",IF(AND(I$4="小型船舶2級",(COUNTIFS('資格研修記録'!$A$5:$A$1004,$A12,'資格研修記録'!$D$5:$D$1004,"小型船舶1級",'資格研修記録'!$F$5:$F$1004,"")+COUNTIFS('資格研修記録'!$A$5:$A$1004,$A12,'資格研修記録'!$D$5:$D$1004,"小型船舶1級",'資格研修記録'!$F$5:$F$1004,"&gt;="&amp;TODAY()))&gt;0),"1級に含む",IF(COUNTIFS('資格研修記録'!$A$5:$A$1004,$A12,'資格研修記録'!$D$5:$D$1004,I$4)=0,"—",IF(COUNTIFS('資格研修記録'!$A$5:$A$1004,$A12,'資格研修記録'!$D$5:$D$1004,I$4,'資格研修記録'!$F$5:$F$1004,"")+COUNTIFS('資格研修記録'!$A$5:$A$1004,$A12,'資格研修記録'!$D$5:$D$1004,I$4,'資格研修記録'!$F$5:$F$1004,"&gt;="&amp;TODAY())&gt;0,"○","× 期限切れ"))))</f>
        <v/>
      </c>
      <c r="J12" s="15">
        <f>IF(OR($A12="",J$4=""),"",IF(AND(J$4="小型船舶2級",(COUNTIFS('資格研修記録'!$A$5:$A$1004,$A12,'資格研修記録'!$D$5:$D$1004,"小型船舶1級",'資格研修記録'!$F$5:$F$1004,"")+COUNTIFS('資格研修記録'!$A$5:$A$1004,$A12,'資格研修記録'!$D$5:$D$1004,"小型船舶1級",'資格研修記録'!$F$5:$F$1004,"&gt;="&amp;TODAY()))&gt;0),"1級に含む",IF(COUNTIFS('資格研修記録'!$A$5:$A$1004,$A12,'資格研修記録'!$D$5:$D$1004,J$4)=0,"—",IF(COUNTIFS('資格研修記録'!$A$5:$A$1004,$A12,'資格研修記録'!$D$5:$D$1004,J$4,'資格研修記録'!$F$5:$F$1004,"")+COUNTIFS('資格研修記録'!$A$5:$A$1004,$A12,'資格研修記録'!$D$5:$D$1004,J$4,'資格研修記録'!$F$5:$F$1004,"&gt;="&amp;TODAY())&gt;0,"○","× 期限切れ"))))</f>
        <v/>
      </c>
      <c r="K12" s="15">
        <f>IF(OR($A12="",K$4=""),"",IF(AND(K$4="小型船舶2級",(COUNTIFS('資格研修記録'!$A$5:$A$1004,$A12,'資格研修記録'!$D$5:$D$1004,"小型船舶1級",'資格研修記録'!$F$5:$F$1004,"")+COUNTIFS('資格研修記録'!$A$5:$A$1004,$A12,'資格研修記録'!$D$5:$D$1004,"小型船舶1級",'資格研修記録'!$F$5:$F$1004,"&gt;="&amp;TODAY()))&gt;0),"1級に含む",IF(COUNTIFS('資格研修記録'!$A$5:$A$1004,$A12,'資格研修記録'!$D$5:$D$1004,K$4)=0,"—",IF(COUNTIFS('資格研修記録'!$A$5:$A$1004,$A12,'資格研修記録'!$D$5:$D$1004,K$4,'資格研修記録'!$F$5:$F$1004,"")+COUNTIFS('資格研修記録'!$A$5:$A$1004,$A12,'資格研修記録'!$D$5:$D$1004,K$4,'資格研修記録'!$F$5:$F$1004,"&gt;="&amp;TODAY())&gt;0,"○","× 期限切れ"))))</f>
        <v/>
      </c>
      <c r="L12" s="15">
        <f>IF(OR($A12="",L$4=""),"",IF(AND(L$4="小型船舶2級",(COUNTIFS('資格研修記録'!$A$5:$A$1004,$A12,'資格研修記録'!$D$5:$D$1004,"小型船舶1級",'資格研修記録'!$F$5:$F$1004,"")+COUNTIFS('資格研修記録'!$A$5:$A$1004,$A12,'資格研修記録'!$D$5:$D$1004,"小型船舶1級",'資格研修記録'!$F$5:$F$1004,"&gt;="&amp;TODAY()))&gt;0),"1級に含む",IF(COUNTIFS('資格研修記録'!$A$5:$A$1004,$A12,'資格研修記録'!$D$5:$D$1004,L$4)=0,"—",IF(COUNTIFS('資格研修記録'!$A$5:$A$1004,$A12,'資格研修記録'!$D$5:$D$1004,L$4,'資格研修記録'!$F$5:$F$1004,"")+COUNTIFS('資格研修記録'!$A$5:$A$1004,$A12,'資格研修記録'!$D$5:$D$1004,L$4,'資格研修記録'!$F$5:$F$1004,"&gt;="&amp;TODAY())&gt;0,"○","× 期限切れ"))))</f>
        <v/>
      </c>
    </row>
    <row r="13">
      <c r="A13" s="14">
        <f>IF('隊員マスタ'!A13="","",'隊員マスタ'!A13)</f>
        <v/>
      </c>
      <c r="B13" s="14">
        <f>IF(A13="","",'隊員マスタ'!B13)</f>
        <v/>
      </c>
      <c r="C13" s="14">
        <f>IF(A13="","",'隊員マスタ'!C13)</f>
        <v/>
      </c>
      <c r="D13" s="15">
        <f>IF(A13="","",'隊員マスタ'!D13)</f>
        <v/>
      </c>
      <c r="E13" s="15">
        <f>IF(OR($A13="",E$4=""),"",IF(AND(E$4="小型船舶2級",(COUNTIFS('資格研修記録'!$A$5:$A$1004,$A13,'資格研修記録'!$D$5:$D$1004,"小型船舶1級",'資格研修記録'!$F$5:$F$1004,"")+COUNTIFS('資格研修記録'!$A$5:$A$1004,$A13,'資格研修記録'!$D$5:$D$1004,"小型船舶1級",'資格研修記録'!$F$5:$F$1004,"&gt;="&amp;TODAY()))&gt;0),"1級に含む",IF(COUNTIFS('資格研修記録'!$A$5:$A$1004,$A13,'資格研修記録'!$D$5:$D$1004,E$4)=0,"—",IF(COUNTIFS('資格研修記録'!$A$5:$A$1004,$A13,'資格研修記録'!$D$5:$D$1004,E$4,'資格研修記録'!$F$5:$F$1004,"")+COUNTIFS('資格研修記録'!$A$5:$A$1004,$A13,'資格研修記録'!$D$5:$D$1004,E$4,'資格研修記録'!$F$5:$F$1004,"&gt;="&amp;TODAY())&gt;0,"○","× 期限切れ"))))</f>
        <v/>
      </c>
      <c r="F13" s="15">
        <f>IF(OR($A13="",F$4=""),"",IF(AND(F$4="小型船舶2級",(COUNTIFS('資格研修記録'!$A$5:$A$1004,$A13,'資格研修記録'!$D$5:$D$1004,"小型船舶1級",'資格研修記録'!$F$5:$F$1004,"")+COUNTIFS('資格研修記録'!$A$5:$A$1004,$A13,'資格研修記録'!$D$5:$D$1004,"小型船舶1級",'資格研修記録'!$F$5:$F$1004,"&gt;="&amp;TODAY()))&gt;0),"1級に含む",IF(COUNTIFS('資格研修記録'!$A$5:$A$1004,$A13,'資格研修記録'!$D$5:$D$1004,F$4)=0,"—",IF(COUNTIFS('資格研修記録'!$A$5:$A$1004,$A13,'資格研修記録'!$D$5:$D$1004,F$4,'資格研修記録'!$F$5:$F$1004,"")+COUNTIFS('資格研修記録'!$A$5:$A$1004,$A13,'資格研修記録'!$D$5:$D$1004,F$4,'資格研修記録'!$F$5:$F$1004,"&gt;="&amp;TODAY())&gt;0,"○","× 期限切れ"))))</f>
        <v/>
      </c>
      <c r="G13" s="15">
        <f>IF(OR($A13="",G$4=""),"",IF(AND(G$4="小型船舶2級",(COUNTIFS('資格研修記録'!$A$5:$A$1004,$A13,'資格研修記録'!$D$5:$D$1004,"小型船舶1級",'資格研修記録'!$F$5:$F$1004,"")+COUNTIFS('資格研修記録'!$A$5:$A$1004,$A13,'資格研修記録'!$D$5:$D$1004,"小型船舶1級",'資格研修記録'!$F$5:$F$1004,"&gt;="&amp;TODAY()))&gt;0),"1級に含む",IF(COUNTIFS('資格研修記録'!$A$5:$A$1004,$A13,'資格研修記録'!$D$5:$D$1004,G$4)=0,"—",IF(COUNTIFS('資格研修記録'!$A$5:$A$1004,$A13,'資格研修記録'!$D$5:$D$1004,G$4,'資格研修記録'!$F$5:$F$1004,"")+COUNTIFS('資格研修記録'!$A$5:$A$1004,$A13,'資格研修記録'!$D$5:$D$1004,G$4,'資格研修記録'!$F$5:$F$1004,"&gt;="&amp;TODAY())&gt;0,"○","× 期限切れ"))))</f>
        <v/>
      </c>
      <c r="H13" s="15">
        <f>IF(OR($A13="",H$4=""),"",IF(AND(H$4="小型船舶2級",(COUNTIFS('資格研修記録'!$A$5:$A$1004,$A13,'資格研修記録'!$D$5:$D$1004,"小型船舶1級",'資格研修記録'!$F$5:$F$1004,"")+COUNTIFS('資格研修記録'!$A$5:$A$1004,$A13,'資格研修記録'!$D$5:$D$1004,"小型船舶1級",'資格研修記録'!$F$5:$F$1004,"&gt;="&amp;TODAY()))&gt;0),"1級に含む",IF(COUNTIFS('資格研修記録'!$A$5:$A$1004,$A13,'資格研修記録'!$D$5:$D$1004,H$4)=0,"—",IF(COUNTIFS('資格研修記録'!$A$5:$A$1004,$A13,'資格研修記録'!$D$5:$D$1004,H$4,'資格研修記録'!$F$5:$F$1004,"")+COUNTIFS('資格研修記録'!$A$5:$A$1004,$A13,'資格研修記録'!$D$5:$D$1004,H$4,'資格研修記録'!$F$5:$F$1004,"&gt;="&amp;TODAY())&gt;0,"○","× 期限切れ"))))</f>
        <v/>
      </c>
      <c r="I13" s="15">
        <f>IF(OR($A13="",I$4=""),"",IF(AND(I$4="小型船舶2級",(COUNTIFS('資格研修記録'!$A$5:$A$1004,$A13,'資格研修記録'!$D$5:$D$1004,"小型船舶1級",'資格研修記録'!$F$5:$F$1004,"")+COUNTIFS('資格研修記録'!$A$5:$A$1004,$A13,'資格研修記録'!$D$5:$D$1004,"小型船舶1級",'資格研修記録'!$F$5:$F$1004,"&gt;="&amp;TODAY()))&gt;0),"1級に含む",IF(COUNTIFS('資格研修記録'!$A$5:$A$1004,$A13,'資格研修記録'!$D$5:$D$1004,I$4)=0,"—",IF(COUNTIFS('資格研修記録'!$A$5:$A$1004,$A13,'資格研修記録'!$D$5:$D$1004,I$4,'資格研修記録'!$F$5:$F$1004,"")+COUNTIFS('資格研修記録'!$A$5:$A$1004,$A13,'資格研修記録'!$D$5:$D$1004,I$4,'資格研修記録'!$F$5:$F$1004,"&gt;="&amp;TODAY())&gt;0,"○","× 期限切れ"))))</f>
        <v/>
      </c>
      <c r="J13" s="15">
        <f>IF(OR($A13="",J$4=""),"",IF(AND(J$4="小型船舶2級",(COUNTIFS('資格研修記録'!$A$5:$A$1004,$A13,'資格研修記録'!$D$5:$D$1004,"小型船舶1級",'資格研修記録'!$F$5:$F$1004,"")+COUNTIFS('資格研修記録'!$A$5:$A$1004,$A13,'資格研修記録'!$D$5:$D$1004,"小型船舶1級",'資格研修記録'!$F$5:$F$1004,"&gt;="&amp;TODAY()))&gt;0),"1級に含む",IF(COUNTIFS('資格研修記録'!$A$5:$A$1004,$A13,'資格研修記録'!$D$5:$D$1004,J$4)=0,"—",IF(COUNTIFS('資格研修記録'!$A$5:$A$1004,$A13,'資格研修記録'!$D$5:$D$1004,J$4,'資格研修記録'!$F$5:$F$1004,"")+COUNTIFS('資格研修記録'!$A$5:$A$1004,$A13,'資格研修記録'!$D$5:$D$1004,J$4,'資格研修記録'!$F$5:$F$1004,"&gt;="&amp;TODAY())&gt;0,"○","× 期限切れ"))))</f>
        <v/>
      </c>
      <c r="K13" s="15">
        <f>IF(OR($A13="",K$4=""),"",IF(AND(K$4="小型船舶2級",(COUNTIFS('資格研修記録'!$A$5:$A$1004,$A13,'資格研修記録'!$D$5:$D$1004,"小型船舶1級",'資格研修記録'!$F$5:$F$1004,"")+COUNTIFS('資格研修記録'!$A$5:$A$1004,$A13,'資格研修記録'!$D$5:$D$1004,"小型船舶1級",'資格研修記録'!$F$5:$F$1004,"&gt;="&amp;TODAY()))&gt;0),"1級に含む",IF(COUNTIFS('資格研修記録'!$A$5:$A$1004,$A13,'資格研修記録'!$D$5:$D$1004,K$4)=0,"—",IF(COUNTIFS('資格研修記録'!$A$5:$A$1004,$A13,'資格研修記録'!$D$5:$D$1004,K$4,'資格研修記録'!$F$5:$F$1004,"")+COUNTIFS('資格研修記録'!$A$5:$A$1004,$A13,'資格研修記録'!$D$5:$D$1004,K$4,'資格研修記録'!$F$5:$F$1004,"&gt;="&amp;TODAY())&gt;0,"○","× 期限切れ"))))</f>
        <v/>
      </c>
      <c r="L13" s="15">
        <f>IF(OR($A13="",L$4=""),"",IF(AND(L$4="小型船舶2級",(COUNTIFS('資格研修記録'!$A$5:$A$1004,$A13,'資格研修記録'!$D$5:$D$1004,"小型船舶1級",'資格研修記録'!$F$5:$F$1004,"")+COUNTIFS('資格研修記録'!$A$5:$A$1004,$A13,'資格研修記録'!$D$5:$D$1004,"小型船舶1級",'資格研修記録'!$F$5:$F$1004,"&gt;="&amp;TODAY()))&gt;0),"1級に含む",IF(COUNTIFS('資格研修記録'!$A$5:$A$1004,$A13,'資格研修記録'!$D$5:$D$1004,L$4)=0,"—",IF(COUNTIFS('資格研修記録'!$A$5:$A$1004,$A13,'資格研修記録'!$D$5:$D$1004,L$4,'資格研修記録'!$F$5:$F$1004,"")+COUNTIFS('資格研修記録'!$A$5:$A$1004,$A13,'資格研修記録'!$D$5:$D$1004,L$4,'資格研修記録'!$F$5:$F$1004,"&gt;="&amp;TODAY())&gt;0,"○","× 期限切れ"))))</f>
        <v/>
      </c>
    </row>
    <row r="14">
      <c r="A14" s="14">
        <f>IF('隊員マスタ'!A14="","",'隊員マスタ'!A14)</f>
        <v/>
      </c>
      <c r="B14" s="14">
        <f>IF(A14="","",'隊員マスタ'!B14)</f>
        <v/>
      </c>
      <c r="C14" s="14">
        <f>IF(A14="","",'隊員マスタ'!C14)</f>
        <v/>
      </c>
      <c r="D14" s="15">
        <f>IF(A14="","",'隊員マスタ'!D14)</f>
        <v/>
      </c>
      <c r="E14" s="15">
        <f>IF(OR($A14="",E$4=""),"",IF(AND(E$4="小型船舶2級",(COUNTIFS('資格研修記録'!$A$5:$A$1004,$A14,'資格研修記録'!$D$5:$D$1004,"小型船舶1級",'資格研修記録'!$F$5:$F$1004,"")+COUNTIFS('資格研修記録'!$A$5:$A$1004,$A14,'資格研修記録'!$D$5:$D$1004,"小型船舶1級",'資格研修記録'!$F$5:$F$1004,"&gt;="&amp;TODAY()))&gt;0),"1級に含む",IF(COUNTIFS('資格研修記録'!$A$5:$A$1004,$A14,'資格研修記録'!$D$5:$D$1004,E$4)=0,"—",IF(COUNTIFS('資格研修記録'!$A$5:$A$1004,$A14,'資格研修記録'!$D$5:$D$1004,E$4,'資格研修記録'!$F$5:$F$1004,"")+COUNTIFS('資格研修記録'!$A$5:$A$1004,$A14,'資格研修記録'!$D$5:$D$1004,E$4,'資格研修記録'!$F$5:$F$1004,"&gt;="&amp;TODAY())&gt;0,"○","× 期限切れ"))))</f>
        <v/>
      </c>
      <c r="F14" s="15">
        <f>IF(OR($A14="",F$4=""),"",IF(AND(F$4="小型船舶2級",(COUNTIFS('資格研修記録'!$A$5:$A$1004,$A14,'資格研修記録'!$D$5:$D$1004,"小型船舶1級",'資格研修記録'!$F$5:$F$1004,"")+COUNTIFS('資格研修記録'!$A$5:$A$1004,$A14,'資格研修記録'!$D$5:$D$1004,"小型船舶1級",'資格研修記録'!$F$5:$F$1004,"&gt;="&amp;TODAY()))&gt;0),"1級に含む",IF(COUNTIFS('資格研修記録'!$A$5:$A$1004,$A14,'資格研修記録'!$D$5:$D$1004,F$4)=0,"—",IF(COUNTIFS('資格研修記録'!$A$5:$A$1004,$A14,'資格研修記録'!$D$5:$D$1004,F$4,'資格研修記録'!$F$5:$F$1004,"")+COUNTIFS('資格研修記録'!$A$5:$A$1004,$A14,'資格研修記録'!$D$5:$D$1004,F$4,'資格研修記録'!$F$5:$F$1004,"&gt;="&amp;TODAY())&gt;0,"○","× 期限切れ"))))</f>
        <v/>
      </c>
      <c r="G14" s="15">
        <f>IF(OR($A14="",G$4=""),"",IF(AND(G$4="小型船舶2級",(COUNTIFS('資格研修記録'!$A$5:$A$1004,$A14,'資格研修記録'!$D$5:$D$1004,"小型船舶1級",'資格研修記録'!$F$5:$F$1004,"")+COUNTIFS('資格研修記録'!$A$5:$A$1004,$A14,'資格研修記録'!$D$5:$D$1004,"小型船舶1級",'資格研修記録'!$F$5:$F$1004,"&gt;="&amp;TODAY()))&gt;0),"1級に含む",IF(COUNTIFS('資格研修記録'!$A$5:$A$1004,$A14,'資格研修記録'!$D$5:$D$1004,G$4)=0,"—",IF(COUNTIFS('資格研修記録'!$A$5:$A$1004,$A14,'資格研修記録'!$D$5:$D$1004,G$4,'資格研修記録'!$F$5:$F$1004,"")+COUNTIFS('資格研修記録'!$A$5:$A$1004,$A14,'資格研修記録'!$D$5:$D$1004,G$4,'資格研修記録'!$F$5:$F$1004,"&gt;="&amp;TODAY())&gt;0,"○","× 期限切れ"))))</f>
        <v/>
      </c>
      <c r="H14" s="15">
        <f>IF(OR($A14="",H$4=""),"",IF(AND(H$4="小型船舶2級",(COUNTIFS('資格研修記録'!$A$5:$A$1004,$A14,'資格研修記録'!$D$5:$D$1004,"小型船舶1級",'資格研修記録'!$F$5:$F$1004,"")+COUNTIFS('資格研修記録'!$A$5:$A$1004,$A14,'資格研修記録'!$D$5:$D$1004,"小型船舶1級",'資格研修記録'!$F$5:$F$1004,"&gt;="&amp;TODAY()))&gt;0),"1級に含む",IF(COUNTIFS('資格研修記録'!$A$5:$A$1004,$A14,'資格研修記録'!$D$5:$D$1004,H$4)=0,"—",IF(COUNTIFS('資格研修記録'!$A$5:$A$1004,$A14,'資格研修記録'!$D$5:$D$1004,H$4,'資格研修記録'!$F$5:$F$1004,"")+COUNTIFS('資格研修記録'!$A$5:$A$1004,$A14,'資格研修記録'!$D$5:$D$1004,H$4,'資格研修記録'!$F$5:$F$1004,"&gt;="&amp;TODAY())&gt;0,"○","× 期限切れ"))))</f>
        <v/>
      </c>
      <c r="I14" s="15">
        <f>IF(OR($A14="",I$4=""),"",IF(AND(I$4="小型船舶2級",(COUNTIFS('資格研修記録'!$A$5:$A$1004,$A14,'資格研修記録'!$D$5:$D$1004,"小型船舶1級",'資格研修記録'!$F$5:$F$1004,"")+COUNTIFS('資格研修記録'!$A$5:$A$1004,$A14,'資格研修記録'!$D$5:$D$1004,"小型船舶1級",'資格研修記録'!$F$5:$F$1004,"&gt;="&amp;TODAY()))&gt;0),"1級に含む",IF(COUNTIFS('資格研修記録'!$A$5:$A$1004,$A14,'資格研修記録'!$D$5:$D$1004,I$4)=0,"—",IF(COUNTIFS('資格研修記録'!$A$5:$A$1004,$A14,'資格研修記録'!$D$5:$D$1004,I$4,'資格研修記録'!$F$5:$F$1004,"")+COUNTIFS('資格研修記録'!$A$5:$A$1004,$A14,'資格研修記録'!$D$5:$D$1004,I$4,'資格研修記録'!$F$5:$F$1004,"&gt;="&amp;TODAY())&gt;0,"○","× 期限切れ"))))</f>
        <v/>
      </c>
      <c r="J14" s="15">
        <f>IF(OR($A14="",J$4=""),"",IF(AND(J$4="小型船舶2級",(COUNTIFS('資格研修記録'!$A$5:$A$1004,$A14,'資格研修記録'!$D$5:$D$1004,"小型船舶1級",'資格研修記録'!$F$5:$F$1004,"")+COUNTIFS('資格研修記録'!$A$5:$A$1004,$A14,'資格研修記録'!$D$5:$D$1004,"小型船舶1級",'資格研修記録'!$F$5:$F$1004,"&gt;="&amp;TODAY()))&gt;0),"1級に含む",IF(COUNTIFS('資格研修記録'!$A$5:$A$1004,$A14,'資格研修記録'!$D$5:$D$1004,J$4)=0,"—",IF(COUNTIFS('資格研修記録'!$A$5:$A$1004,$A14,'資格研修記録'!$D$5:$D$1004,J$4,'資格研修記録'!$F$5:$F$1004,"")+COUNTIFS('資格研修記録'!$A$5:$A$1004,$A14,'資格研修記録'!$D$5:$D$1004,J$4,'資格研修記録'!$F$5:$F$1004,"&gt;="&amp;TODAY())&gt;0,"○","× 期限切れ"))))</f>
        <v/>
      </c>
      <c r="K14" s="15">
        <f>IF(OR($A14="",K$4=""),"",IF(AND(K$4="小型船舶2級",(COUNTIFS('資格研修記録'!$A$5:$A$1004,$A14,'資格研修記録'!$D$5:$D$1004,"小型船舶1級",'資格研修記録'!$F$5:$F$1004,"")+COUNTIFS('資格研修記録'!$A$5:$A$1004,$A14,'資格研修記録'!$D$5:$D$1004,"小型船舶1級",'資格研修記録'!$F$5:$F$1004,"&gt;="&amp;TODAY()))&gt;0),"1級に含む",IF(COUNTIFS('資格研修記録'!$A$5:$A$1004,$A14,'資格研修記録'!$D$5:$D$1004,K$4)=0,"—",IF(COUNTIFS('資格研修記録'!$A$5:$A$1004,$A14,'資格研修記録'!$D$5:$D$1004,K$4,'資格研修記録'!$F$5:$F$1004,"")+COUNTIFS('資格研修記録'!$A$5:$A$1004,$A14,'資格研修記録'!$D$5:$D$1004,K$4,'資格研修記録'!$F$5:$F$1004,"&gt;="&amp;TODAY())&gt;0,"○","× 期限切れ"))))</f>
        <v/>
      </c>
      <c r="L14" s="15">
        <f>IF(OR($A14="",L$4=""),"",IF(AND(L$4="小型船舶2級",(COUNTIFS('資格研修記録'!$A$5:$A$1004,$A14,'資格研修記録'!$D$5:$D$1004,"小型船舶1級",'資格研修記録'!$F$5:$F$1004,"")+COUNTIFS('資格研修記録'!$A$5:$A$1004,$A14,'資格研修記録'!$D$5:$D$1004,"小型船舶1級",'資格研修記録'!$F$5:$F$1004,"&gt;="&amp;TODAY()))&gt;0),"1級に含む",IF(COUNTIFS('資格研修記録'!$A$5:$A$1004,$A14,'資格研修記録'!$D$5:$D$1004,L$4)=0,"—",IF(COUNTIFS('資格研修記録'!$A$5:$A$1004,$A14,'資格研修記録'!$D$5:$D$1004,L$4,'資格研修記録'!$F$5:$F$1004,"")+COUNTIFS('資格研修記録'!$A$5:$A$1004,$A14,'資格研修記録'!$D$5:$D$1004,L$4,'資格研修記録'!$F$5:$F$1004,"&gt;="&amp;TODAY())&gt;0,"○","× 期限切れ"))))</f>
        <v/>
      </c>
    </row>
    <row r="15">
      <c r="A15" s="14">
        <f>IF('隊員マスタ'!A15="","",'隊員マスタ'!A15)</f>
        <v/>
      </c>
      <c r="B15" s="14">
        <f>IF(A15="","",'隊員マスタ'!B15)</f>
        <v/>
      </c>
      <c r="C15" s="14">
        <f>IF(A15="","",'隊員マスタ'!C15)</f>
        <v/>
      </c>
      <c r="D15" s="15">
        <f>IF(A15="","",'隊員マスタ'!D15)</f>
        <v/>
      </c>
      <c r="E15" s="15">
        <f>IF(OR($A15="",E$4=""),"",IF(AND(E$4="小型船舶2級",(COUNTIFS('資格研修記録'!$A$5:$A$1004,$A15,'資格研修記録'!$D$5:$D$1004,"小型船舶1級",'資格研修記録'!$F$5:$F$1004,"")+COUNTIFS('資格研修記録'!$A$5:$A$1004,$A15,'資格研修記録'!$D$5:$D$1004,"小型船舶1級",'資格研修記録'!$F$5:$F$1004,"&gt;="&amp;TODAY()))&gt;0),"1級に含む",IF(COUNTIFS('資格研修記録'!$A$5:$A$1004,$A15,'資格研修記録'!$D$5:$D$1004,E$4)=0,"—",IF(COUNTIFS('資格研修記録'!$A$5:$A$1004,$A15,'資格研修記録'!$D$5:$D$1004,E$4,'資格研修記録'!$F$5:$F$1004,"")+COUNTIFS('資格研修記録'!$A$5:$A$1004,$A15,'資格研修記録'!$D$5:$D$1004,E$4,'資格研修記録'!$F$5:$F$1004,"&gt;="&amp;TODAY())&gt;0,"○","× 期限切れ"))))</f>
        <v/>
      </c>
      <c r="F15" s="15">
        <f>IF(OR($A15="",F$4=""),"",IF(AND(F$4="小型船舶2級",(COUNTIFS('資格研修記録'!$A$5:$A$1004,$A15,'資格研修記録'!$D$5:$D$1004,"小型船舶1級",'資格研修記録'!$F$5:$F$1004,"")+COUNTIFS('資格研修記録'!$A$5:$A$1004,$A15,'資格研修記録'!$D$5:$D$1004,"小型船舶1級",'資格研修記録'!$F$5:$F$1004,"&gt;="&amp;TODAY()))&gt;0),"1級に含む",IF(COUNTIFS('資格研修記録'!$A$5:$A$1004,$A15,'資格研修記録'!$D$5:$D$1004,F$4)=0,"—",IF(COUNTIFS('資格研修記録'!$A$5:$A$1004,$A15,'資格研修記録'!$D$5:$D$1004,F$4,'資格研修記録'!$F$5:$F$1004,"")+COUNTIFS('資格研修記録'!$A$5:$A$1004,$A15,'資格研修記録'!$D$5:$D$1004,F$4,'資格研修記録'!$F$5:$F$1004,"&gt;="&amp;TODAY())&gt;0,"○","× 期限切れ"))))</f>
        <v/>
      </c>
      <c r="G15" s="15">
        <f>IF(OR($A15="",G$4=""),"",IF(AND(G$4="小型船舶2級",(COUNTIFS('資格研修記録'!$A$5:$A$1004,$A15,'資格研修記録'!$D$5:$D$1004,"小型船舶1級",'資格研修記録'!$F$5:$F$1004,"")+COUNTIFS('資格研修記録'!$A$5:$A$1004,$A15,'資格研修記録'!$D$5:$D$1004,"小型船舶1級",'資格研修記録'!$F$5:$F$1004,"&gt;="&amp;TODAY()))&gt;0),"1級に含む",IF(COUNTIFS('資格研修記録'!$A$5:$A$1004,$A15,'資格研修記録'!$D$5:$D$1004,G$4)=0,"—",IF(COUNTIFS('資格研修記録'!$A$5:$A$1004,$A15,'資格研修記録'!$D$5:$D$1004,G$4,'資格研修記録'!$F$5:$F$1004,"")+COUNTIFS('資格研修記録'!$A$5:$A$1004,$A15,'資格研修記録'!$D$5:$D$1004,G$4,'資格研修記録'!$F$5:$F$1004,"&gt;="&amp;TODAY())&gt;0,"○","× 期限切れ"))))</f>
        <v/>
      </c>
      <c r="H15" s="15">
        <f>IF(OR($A15="",H$4=""),"",IF(AND(H$4="小型船舶2級",(COUNTIFS('資格研修記録'!$A$5:$A$1004,$A15,'資格研修記録'!$D$5:$D$1004,"小型船舶1級",'資格研修記録'!$F$5:$F$1004,"")+COUNTIFS('資格研修記録'!$A$5:$A$1004,$A15,'資格研修記録'!$D$5:$D$1004,"小型船舶1級",'資格研修記録'!$F$5:$F$1004,"&gt;="&amp;TODAY()))&gt;0),"1級に含む",IF(COUNTIFS('資格研修記録'!$A$5:$A$1004,$A15,'資格研修記録'!$D$5:$D$1004,H$4)=0,"—",IF(COUNTIFS('資格研修記録'!$A$5:$A$1004,$A15,'資格研修記録'!$D$5:$D$1004,H$4,'資格研修記録'!$F$5:$F$1004,"")+COUNTIFS('資格研修記録'!$A$5:$A$1004,$A15,'資格研修記録'!$D$5:$D$1004,H$4,'資格研修記録'!$F$5:$F$1004,"&gt;="&amp;TODAY())&gt;0,"○","× 期限切れ"))))</f>
        <v/>
      </c>
      <c r="I15" s="15">
        <f>IF(OR($A15="",I$4=""),"",IF(AND(I$4="小型船舶2級",(COUNTIFS('資格研修記録'!$A$5:$A$1004,$A15,'資格研修記録'!$D$5:$D$1004,"小型船舶1級",'資格研修記録'!$F$5:$F$1004,"")+COUNTIFS('資格研修記録'!$A$5:$A$1004,$A15,'資格研修記録'!$D$5:$D$1004,"小型船舶1級",'資格研修記録'!$F$5:$F$1004,"&gt;="&amp;TODAY()))&gt;0),"1級に含む",IF(COUNTIFS('資格研修記録'!$A$5:$A$1004,$A15,'資格研修記録'!$D$5:$D$1004,I$4)=0,"—",IF(COUNTIFS('資格研修記録'!$A$5:$A$1004,$A15,'資格研修記録'!$D$5:$D$1004,I$4,'資格研修記録'!$F$5:$F$1004,"")+COUNTIFS('資格研修記録'!$A$5:$A$1004,$A15,'資格研修記録'!$D$5:$D$1004,I$4,'資格研修記録'!$F$5:$F$1004,"&gt;="&amp;TODAY())&gt;0,"○","× 期限切れ"))))</f>
        <v/>
      </c>
      <c r="J15" s="15">
        <f>IF(OR($A15="",J$4=""),"",IF(AND(J$4="小型船舶2級",(COUNTIFS('資格研修記録'!$A$5:$A$1004,$A15,'資格研修記録'!$D$5:$D$1004,"小型船舶1級",'資格研修記録'!$F$5:$F$1004,"")+COUNTIFS('資格研修記録'!$A$5:$A$1004,$A15,'資格研修記録'!$D$5:$D$1004,"小型船舶1級",'資格研修記録'!$F$5:$F$1004,"&gt;="&amp;TODAY()))&gt;0),"1級に含む",IF(COUNTIFS('資格研修記録'!$A$5:$A$1004,$A15,'資格研修記録'!$D$5:$D$1004,J$4)=0,"—",IF(COUNTIFS('資格研修記録'!$A$5:$A$1004,$A15,'資格研修記録'!$D$5:$D$1004,J$4,'資格研修記録'!$F$5:$F$1004,"")+COUNTIFS('資格研修記録'!$A$5:$A$1004,$A15,'資格研修記録'!$D$5:$D$1004,J$4,'資格研修記録'!$F$5:$F$1004,"&gt;="&amp;TODAY())&gt;0,"○","× 期限切れ"))))</f>
        <v/>
      </c>
      <c r="K15" s="15">
        <f>IF(OR($A15="",K$4=""),"",IF(AND(K$4="小型船舶2級",(COUNTIFS('資格研修記録'!$A$5:$A$1004,$A15,'資格研修記録'!$D$5:$D$1004,"小型船舶1級",'資格研修記録'!$F$5:$F$1004,"")+COUNTIFS('資格研修記録'!$A$5:$A$1004,$A15,'資格研修記録'!$D$5:$D$1004,"小型船舶1級",'資格研修記録'!$F$5:$F$1004,"&gt;="&amp;TODAY()))&gt;0),"1級に含む",IF(COUNTIFS('資格研修記録'!$A$5:$A$1004,$A15,'資格研修記録'!$D$5:$D$1004,K$4)=0,"—",IF(COUNTIFS('資格研修記録'!$A$5:$A$1004,$A15,'資格研修記録'!$D$5:$D$1004,K$4,'資格研修記録'!$F$5:$F$1004,"")+COUNTIFS('資格研修記録'!$A$5:$A$1004,$A15,'資格研修記録'!$D$5:$D$1004,K$4,'資格研修記録'!$F$5:$F$1004,"&gt;="&amp;TODAY())&gt;0,"○","× 期限切れ"))))</f>
        <v/>
      </c>
      <c r="L15" s="15">
        <f>IF(OR($A15="",L$4=""),"",IF(AND(L$4="小型船舶2級",(COUNTIFS('資格研修記録'!$A$5:$A$1004,$A15,'資格研修記録'!$D$5:$D$1004,"小型船舶1級",'資格研修記録'!$F$5:$F$1004,"")+COUNTIFS('資格研修記録'!$A$5:$A$1004,$A15,'資格研修記録'!$D$5:$D$1004,"小型船舶1級",'資格研修記録'!$F$5:$F$1004,"&gt;="&amp;TODAY()))&gt;0),"1級に含む",IF(COUNTIFS('資格研修記録'!$A$5:$A$1004,$A15,'資格研修記録'!$D$5:$D$1004,L$4)=0,"—",IF(COUNTIFS('資格研修記録'!$A$5:$A$1004,$A15,'資格研修記録'!$D$5:$D$1004,L$4,'資格研修記録'!$F$5:$F$1004,"")+COUNTIFS('資格研修記録'!$A$5:$A$1004,$A15,'資格研修記録'!$D$5:$D$1004,L$4,'資格研修記録'!$F$5:$F$1004,"&gt;="&amp;TODAY())&gt;0,"○","× 期限切れ"))))</f>
        <v/>
      </c>
    </row>
    <row r="16">
      <c r="A16" s="14">
        <f>IF('隊員マスタ'!A16="","",'隊員マスタ'!A16)</f>
        <v/>
      </c>
      <c r="B16" s="14">
        <f>IF(A16="","",'隊員マスタ'!B16)</f>
        <v/>
      </c>
      <c r="C16" s="14">
        <f>IF(A16="","",'隊員マスタ'!C16)</f>
        <v/>
      </c>
      <c r="D16" s="15">
        <f>IF(A16="","",'隊員マスタ'!D16)</f>
        <v/>
      </c>
      <c r="E16" s="15">
        <f>IF(OR($A16="",E$4=""),"",IF(AND(E$4="小型船舶2級",(COUNTIFS('資格研修記録'!$A$5:$A$1004,$A16,'資格研修記録'!$D$5:$D$1004,"小型船舶1級",'資格研修記録'!$F$5:$F$1004,"")+COUNTIFS('資格研修記録'!$A$5:$A$1004,$A16,'資格研修記録'!$D$5:$D$1004,"小型船舶1級",'資格研修記録'!$F$5:$F$1004,"&gt;="&amp;TODAY()))&gt;0),"1級に含む",IF(COUNTIFS('資格研修記録'!$A$5:$A$1004,$A16,'資格研修記録'!$D$5:$D$1004,E$4)=0,"—",IF(COUNTIFS('資格研修記録'!$A$5:$A$1004,$A16,'資格研修記録'!$D$5:$D$1004,E$4,'資格研修記録'!$F$5:$F$1004,"")+COUNTIFS('資格研修記録'!$A$5:$A$1004,$A16,'資格研修記録'!$D$5:$D$1004,E$4,'資格研修記録'!$F$5:$F$1004,"&gt;="&amp;TODAY())&gt;0,"○","× 期限切れ"))))</f>
        <v/>
      </c>
      <c r="F16" s="15">
        <f>IF(OR($A16="",F$4=""),"",IF(AND(F$4="小型船舶2級",(COUNTIFS('資格研修記録'!$A$5:$A$1004,$A16,'資格研修記録'!$D$5:$D$1004,"小型船舶1級",'資格研修記録'!$F$5:$F$1004,"")+COUNTIFS('資格研修記録'!$A$5:$A$1004,$A16,'資格研修記録'!$D$5:$D$1004,"小型船舶1級",'資格研修記録'!$F$5:$F$1004,"&gt;="&amp;TODAY()))&gt;0),"1級に含む",IF(COUNTIFS('資格研修記録'!$A$5:$A$1004,$A16,'資格研修記録'!$D$5:$D$1004,F$4)=0,"—",IF(COUNTIFS('資格研修記録'!$A$5:$A$1004,$A16,'資格研修記録'!$D$5:$D$1004,F$4,'資格研修記録'!$F$5:$F$1004,"")+COUNTIFS('資格研修記録'!$A$5:$A$1004,$A16,'資格研修記録'!$D$5:$D$1004,F$4,'資格研修記録'!$F$5:$F$1004,"&gt;="&amp;TODAY())&gt;0,"○","× 期限切れ"))))</f>
        <v/>
      </c>
      <c r="G16" s="15">
        <f>IF(OR($A16="",G$4=""),"",IF(AND(G$4="小型船舶2級",(COUNTIFS('資格研修記録'!$A$5:$A$1004,$A16,'資格研修記録'!$D$5:$D$1004,"小型船舶1級",'資格研修記録'!$F$5:$F$1004,"")+COUNTIFS('資格研修記録'!$A$5:$A$1004,$A16,'資格研修記録'!$D$5:$D$1004,"小型船舶1級",'資格研修記録'!$F$5:$F$1004,"&gt;="&amp;TODAY()))&gt;0),"1級に含む",IF(COUNTIFS('資格研修記録'!$A$5:$A$1004,$A16,'資格研修記録'!$D$5:$D$1004,G$4)=0,"—",IF(COUNTIFS('資格研修記録'!$A$5:$A$1004,$A16,'資格研修記録'!$D$5:$D$1004,G$4,'資格研修記録'!$F$5:$F$1004,"")+COUNTIFS('資格研修記録'!$A$5:$A$1004,$A16,'資格研修記録'!$D$5:$D$1004,G$4,'資格研修記録'!$F$5:$F$1004,"&gt;="&amp;TODAY())&gt;0,"○","× 期限切れ"))))</f>
        <v/>
      </c>
      <c r="H16" s="15">
        <f>IF(OR($A16="",H$4=""),"",IF(AND(H$4="小型船舶2級",(COUNTIFS('資格研修記録'!$A$5:$A$1004,$A16,'資格研修記録'!$D$5:$D$1004,"小型船舶1級",'資格研修記録'!$F$5:$F$1004,"")+COUNTIFS('資格研修記録'!$A$5:$A$1004,$A16,'資格研修記録'!$D$5:$D$1004,"小型船舶1級",'資格研修記録'!$F$5:$F$1004,"&gt;="&amp;TODAY()))&gt;0),"1級に含む",IF(COUNTIFS('資格研修記録'!$A$5:$A$1004,$A16,'資格研修記録'!$D$5:$D$1004,H$4)=0,"—",IF(COUNTIFS('資格研修記録'!$A$5:$A$1004,$A16,'資格研修記録'!$D$5:$D$1004,H$4,'資格研修記録'!$F$5:$F$1004,"")+COUNTIFS('資格研修記録'!$A$5:$A$1004,$A16,'資格研修記録'!$D$5:$D$1004,H$4,'資格研修記録'!$F$5:$F$1004,"&gt;="&amp;TODAY())&gt;0,"○","× 期限切れ"))))</f>
        <v/>
      </c>
      <c r="I16" s="15">
        <f>IF(OR($A16="",I$4=""),"",IF(AND(I$4="小型船舶2級",(COUNTIFS('資格研修記録'!$A$5:$A$1004,$A16,'資格研修記録'!$D$5:$D$1004,"小型船舶1級",'資格研修記録'!$F$5:$F$1004,"")+COUNTIFS('資格研修記録'!$A$5:$A$1004,$A16,'資格研修記録'!$D$5:$D$1004,"小型船舶1級",'資格研修記録'!$F$5:$F$1004,"&gt;="&amp;TODAY()))&gt;0),"1級に含む",IF(COUNTIFS('資格研修記録'!$A$5:$A$1004,$A16,'資格研修記録'!$D$5:$D$1004,I$4)=0,"—",IF(COUNTIFS('資格研修記録'!$A$5:$A$1004,$A16,'資格研修記録'!$D$5:$D$1004,I$4,'資格研修記録'!$F$5:$F$1004,"")+COUNTIFS('資格研修記録'!$A$5:$A$1004,$A16,'資格研修記録'!$D$5:$D$1004,I$4,'資格研修記録'!$F$5:$F$1004,"&gt;="&amp;TODAY())&gt;0,"○","× 期限切れ"))))</f>
        <v/>
      </c>
      <c r="J16" s="15">
        <f>IF(OR($A16="",J$4=""),"",IF(AND(J$4="小型船舶2級",(COUNTIFS('資格研修記録'!$A$5:$A$1004,$A16,'資格研修記録'!$D$5:$D$1004,"小型船舶1級",'資格研修記録'!$F$5:$F$1004,"")+COUNTIFS('資格研修記録'!$A$5:$A$1004,$A16,'資格研修記録'!$D$5:$D$1004,"小型船舶1級",'資格研修記録'!$F$5:$F$1004,"&gt;="&amp;TODAY()))&gt;0),"1級に含む",IF(COUNTIFS('資格研修記録'!$A$5:$A$1004,$A16,'資格研修記録'!$D$5:$D$1004,J$4)=0,"—",IF(COUNTIFS('資格研修記録'!$A$5:$A$1004,$A16,'資格研修記録'!$D$5:$D$1004,J$4,'資格研修記録'!$F$5:$F$1004,"")+COUNTIFS('資格研修記録'!$A$5:$A$1004,$A16,'資格研修記録'!$D$5:$D$1004,J$4,'資格研修記録'!$F$5:$F$1004,"&gt;="&amp;TODAY())&gt;0,"○","× 期限切れ"))))</f>
        <v/>
      </c>
      <c r="K16" s="15">
        <f>IF(OR($A16="",K$4=""),"",IF(AND(K$4="小型船舶2級",(COUNTIFS('資格研修記録'!$A$5:$A$1004,$A16,'資格研修記録'!$D$5:$D$1004,"小型船舶1級",'資格研修記録'!$F$5:$F$1004,"")+COUNTIFS('資格研修記録'!$A$5:$A$1004,$A16,'資格研修記録'!$D$5:$D$1004,"小型船舶1級",'資格研修記録'!$F$5:$F$1004,"&gt;="&amp;TODAY()))&gt;0),"1級に含む",IF(COUNTIFS('資格研修記録'!$A$5:$A$1004,$A16,'資格研修記録'!$D$5:$D$1004,K$4)=0,"—",IF(COUNTIFS('資格研修記録'!$A$5:$A$1004,$A16,'資格研修記録'!$D$5:$D$1004,K$4,'資格研修記録'!$F$5:$F$1004,"")+COUNTIFS('資格研修記録'!$A$5:$A$1004,$A16,'資格研修記録'!$D$5:$D$1004,K$4,'資格研修記録'!$F$5:$F$1004,"&gt;="&amp;TODAY())&gt;0,"○","× 期限切れ"))))</f>
        <v/>
      </c>
      <c r="L16" s="15">
        <f>IF(OR($A16="",L$4=""),"",IF(AND(L$4="小型船舶2級",(COUNTIFS('資格研修記録'!$A$5:$A$1004,$A16,'資格研修記録'!$D$5:$D$1004,"小型船舶1級",'資格研修記録'!$F$5:$F$1004,"")+COUNTIFS('資格研修記録'!$A$5:$A$1004,$A16,'資格研修記録'!$D$5:$D$1004,"小型船舶1級",'資格研修記録'!$F$5:$F$1004,"&gt;="&amp;TODAY()))&gt;0),"1級に含む",IF(COUNTIFS('資格研修記録'!$A$5:$A$1004,$A16,'資格研修記録'!$D$5:$D$1004,L$4)=0,"—",IF(COUNTIFS('資格研修記録'!$A$5:$A$1004,$A16,'資格研修記録'!$D$5:$D$1004,L$4,'資格研修記録'!$F$5:$F$1004,"")+COUNTIFS('資格研修記録'!$A$5:$A$1004,$A16,'資格研修記録'!$D$5:$D$1004,L$4,'資格研修記録'!$F$5:$F$1004,"&gt;="&amp;TODAY())&gt;0,"○","× 期限切れ"))))</f>
        <v/>
      </c>
    </row>
    <row r="17">
      <c r="A17" s="14">
        <f>IF('隊員マスタ'!A17="","",'隊員マスタ'!A17)</f>
        <v/>
      </c>
      <c r="B17" s="14">
        <f>IF(A17="","",'隊員マスタ'!B17)</f>
        <v/>
      </c>
      <c r="C17" s="14">
        <f>IF(A17="","",'隊員マスタ'!C17)</f>
        <v/>
      </c>
      <c r="D17" s="15">
        <f>IF(A17="","",'隊員マスタ'!D17)</f>
        <v/>
      </c>
      <c r="E17" s="15">
        <f>IF(OR($A17="",E$4=""),"",IF(AND(E$4="小型船舶2級",(COUNTIFS('資格研修記録'!$A$5:$A$1004,$A17,'資格研修記録'!$D$5:$D$1004,"小型船舶1級",'資格研修記録'!$F$5:$F$1004,"")+COUNTIFS('資格研修記録'!$A$5:$A$1004,$A17,'資格研修記録'!$D$5:$D$1004,"小型船舶1級",'資格研修記録'!$F$5:$F$1004,"&gt;="&amp;TODAY()))&gt;0),"1級に含む",IF(COUNTIFS('資格研修記録'!$A$5:$A$1004,$A17,'資格研修記録'!$D$5:$D$1004,E$4)=0,"—",IF(COUNTIFS('資格研修記録'!$A$5:$A$1004,$A17,'資格研修記録'!$D$5:$D$1004,E$4,'資格研修記録'!$F$5:$F$1004,"")+COUNTIFS('資格研修記録'!$A$5:$A$1004,$A17,'資格研修記録'!$D$5:$D$1004,E$4,'資格研修記録'!$F$5:$F$1004,"&gt;="&amp;TODAY())&gt;0,"○","× 期限切れ"))))</f>
        <v/>
      </c>
      <c r="F17" s="15">
        <f>IF(OR($A17="",F$4=""),"",IF(AND(F$4="小型船舶2級",(COUNTIFS('資格研修記録'!$A$5:$A$1004,$A17,'資格研修記録'!$D$5:$D$1004,"小型船舶1級",'資格研修記録'!$F$5:$F$1004,"")+COUNTIFS('資格研修記録'!$A$5:$A$1004,$A17,'資格研修記録'!$D$5:$D$1004,"小型船舶1級",'資格研修記録'!$F$5:$F$1004,"&gt;="&amp;TODAY()))&gt;0),"1級に含む",IF(COUNTIFS('資格研修記録'!$A$5:$A$1004,$A17,'資格研修記録'!$D$5:$D$1004,F$4)=0,"—",IF(COUNTIFS('資格研修記録'!$A$5:$A$1004,$A17,'資格研修記録'!$D$5:$D$1004,F$4,'資格研修記録'!$F$5:$F$1004,"")+COUNTIFS('資格研修記録'!$A$5:$A$1004,$A17,'資格研修記録'!$D$5:$D$1004,F$4,'資格研修記録'!$F$5:$F$1004,"&gt;="&amp;TODAY())&gt;0,"○","× 期限切れ"))))</f>
        <v/>
      </c>
      <c r="G17" s="15">
        <f>IF(OR($A17="",G$4=""),"",IF(AND(G$4="小型船舶2級",(COUNTIFS('資格研修記録'!$A$5:$A$1004,$A17,'資格研修記録'!$D$5:$D$1004,"小型船舶1級",'資格研修記録'!$F$5:$F$1004,"")+COUNTIFS('資格研修記録'!$A$5:$A$1004,$A17,'資格研修記録'!$D$5:$D$1004,"小型船舶1級",'資格研修記録'!$F$5:$F$1004,"&gt;="&amp;TODAY()))&gt;0),"1級に含む",IF(COUNTIFS('資格研修記録'!$A$5:$A$1004,$A17,'資格研修記録'!$D$5:$D$1004,G$4)=0,"—",IF(COUNTIFS('資格研修記録'!$A$5:$A$1004,$A17,'資格研修記録'!$D$5:$D$1004,G$4,'資格研修記録'!$F$5:$F$1004,"")+COUNTIFS('資格研修記録'!$A$5:$A$1004,$A17,'資格研修記録'!$D$5:$D$1004,G$4,'資格研修記録'!$F$5:$F$1004,"&gt;="&amp;TODAY())&gt;0,"○","× 期限切れ"))))</f>
        <v/>
      </c>
      <c r="H17" s="15">
        <f>IF(OR($A17="",H$4=""),"",IF(AND(H$4="小型船舶2級",(COUNTIFS('資格研修記録'!$A$5:$A$1004,$A17,'資格研修記録'!$D$5:$D$1004,"小型船舶1級",'資格研修記録'!$F$5:$F$1004,"")+COUNTIFS('資格研修記録'!$A$5:$A$1004,$A17,'資格研修記録'!$D$5:$D$1004,"小型船舶1級",'資格研修記録'!$F$5:$F$1004,"&gt;="&amp;TODAY()))&gt;0),"1級に含む",IF(COUNTIFS('資格研修記録'!$A$5:$A$1004,$A17,'資格研修記録'!$D$5:$D$1004,H$4)=0,"—",IF(COUNTIFS('資格研修記録'!$A$5:$A$1004,$A17,'資格研修記録'!$D$5:$D$1004,H$4,'資格研修記録'!$F$5:$F$1004,"")+COUNTIFS('資格研修記録'!$A$5:$A$1004,$A17,'資格研修記録'!$D$5:$D$1004,H$4,'資格研修記録'!$F$5:$F$1004,"&gt;="&amp;TODAY())&gt;0,"○","× 期限切れ"))))</f>
        <v/>
      </c>
      <c r="I17" s="15">
        <f>IF(OR($A17="",I$4=""),"",IF(AND(I$4="小型船舶2級",(COUNTIFS('資格研修記録'!$A$5:$A$1004,$A17,'資格研修記録'!$D$5:$D$1004,"小型船舶1級",'資格研修記録'!$F$5:$F$1004,"")+COUNTIFS('資格研修記録'!$A$5:$A$1004,$A17,'資格研修記録'!$D$5:$D$1004,"小型船舶1級",'資格研修記録'!$F$5:$F$1004,"&gt;="&amp;TODAY()))&gt;0),"1級に含む",IF(COUNTIFS('資格研修記録'!$A$5:$A$1004,$A17,'資格研修記録'!$D$5:$D$1004,I$4)=0,"—",IF(COUNTIFS('資格研修記録'!$A$5:$A$1004,$A17,'資格研修記録'!$D$5:$D$1004,I$4,'資格研修記録'!$F$5:$F$1004,"")+COUNTIFS('資格研修記録'!$A$5:$A$1004,$A17,'資格研修記録'!$D$5:$D$1004,I$4,'資格研修記録'!$F$5:$F$1004,"&gt;="&amp;TODAY())&gt;0,"○","× 期限切れ"))))</f>
        <v/>
      </c>
      <c r="J17" s="15">
        <f>IF(OR($A17="",J$4=""),"",IF(AND(J$4="小型船舶2級",(COUNTIFS('資格研修記録'!$A$5:$A$1004,$A17,'資格研修記録'!$D$5:$D$1004,"小型船舶1級",'資格研修記録'!$F$5:$F$1004,"")+COUNTIFS('資格研修記録'!$A$5:$A$1004,$A17,'資格研修記録'!$D$5:$D$1004,"小型船舶1級",'資格研修記録'!$F$5:$F$1004,"&gt;="&amp;TODAY()))&gt;0),"1級に含む",IF(COUNTIFS('資格研修記録'!$A$5:$A$1004,$A17,'資格研修記録'!$D$5:$D$1004,J$4)=0,"—",IF(COUNTIFS('資格研修記録'!$A$5:$A$1004,$A17,'資格研修記録'!$D$5:$D$1004,J$4,'資格研修記録'!$F$5:$F$1004,"")+COUNTIFS('資格研修記録'!$A$5:$A$1004,$A17,'資格研修記録'!$D$5:$D$1004,J$4,'資格研修記録'!$F$5:$F$1004,"&gt;="&amp;TODAY())&gt;0,"○","× 期限切れ"))))</f>
        <v/>
      </c>
      <c r="K17" s="15">
        <f>IF(OR($A17="",K$4=""),"",IF(AND(K$4="小型船舶2級",(COUNTIFS('資格研修記録'!$A$5:$A$1004,$A17,'資格研修記録'!$D$5:$D$1004,"小型船舶1級",'資格研修記録'!$F$5:$F$1004,"")+COUNTIFS('資格研修記録'!$A$5:$A$1004,$A17,'資格研修記録'!$D$5:$D$1004,"小型船舶1級",'資格研修記録'!$F$5:$F$1004,"&gt;="&amp;TODAY()))&gt;0),"1級に含む",IF(COUNTIFS('資格研修記録'!$A$5:$A$1004,$A17,'資格研修記録'!$D$5:$D$1004,K$4)=0,"—",IF(COUNTIFS('資格研修記録'!$A$5:$A$1004,$A17,'資格研修記録'!$D$5:$D$1004,K$4,'資格研修記録'!$F$5:$F$1004,"")+COUNTIFS('資格研修記録'!$A$5:$A$1004,$A17,'資格研修記録'!$D$5:$D$1004,K$4,'資格研修記録'!$F$5:$F$1004,"&gt;="&amp;TODAY())&gt;0,"○","× 期限切れ"))))</f>
        <v/>
      </c>
      <c r="L17" s="15">
        <f>IF(OR($A17="",L$4=""),"",IF(AND(L$4="小型船舶2級",(COUNTIFS('資格研修記録'!$A$5:$A$1004,$A17,'資格研修記録'!$D$5:$D$1004,"小型船舶1級",'資格研修記録'!$F$5:$F$1004,"")+COUNTIFS('資格研修記録'!$A$5:$A$1004,$A17,'資格研修記録'!$D$5:$D$1004,"小型船舶1級",'資格研修記録'!$F$5:$F$1004,"&gt;="&amp;TODAY()))&gt;0),"1級に含む",IF(COUNTIFS('資格研修記録'!$A$5:$A$1004,$A17,'資格研修記録'!$D$5:$D$1004,L$4)=0,"—",IF(COUNTIFS('資格研修記録'!$A$5:$A$1004,$A17,'資格研修記録'!$D$5:$D$1004,L$4,'資格研修記録'!$F$5:$F$1004,"")+COUNTIFS('資格研修記録'!$A$5:$A$1004,$A17,'資格研修記録'!$D$5:$D$1004,L$4,'資格研修記録'!$F$5:$F$1004,"&gt;="&amp;TODAY())&gt;0,"○","× 期限切れ"))))</f>
        <v/>
      </c>
    </row>
    <row r="18">
      <c r="A18" s="14">
        <f>IF('隊員マスタ'!A18="","",'隊員マスタ'!A18)</f>
        <v/>
      </c>
      <c r="B18" s="14">
        <f>IF(A18="","",'隊員マスタ'!B18)</f>
        <v/>
      </c>
      <c r="C18" s="14">
        <f>IF(A18="","",'隊員マスタ'!C18)</f>
        <v/>
      </c>
      <c r="D18" s="15">
        <f>IF(A18="","",'隊員マスタ'!D18)</f>
        <v/>
      </c>
      <c r="E18" s="15">
        <f>IF(OR($A18="",E$4=""),"",IF(AND(E$4="小型船舶2級",(COUNTIFS('資格研修記録'!$A$5:$A$1004,$A18,'資格研修記録'!$D$5:$D$1004,"小型船舶1級",'資格研修記録'!$F$5:$F$1004,"")+COUNTIFS('資格研修記録'!$A$5:$A$1004,$A18,'資格研修記録'!$D$5:$D$1004,"小型船舶1級",'資格研修記録'!$F$5:$F$1004,"&gt;="&amp;TODAY()))&gt;0),"1級に含む",IF(COUNTIFS('資格研修記録'!$A$5:$A$1004,$A18,'資格研修記録'!$D$5:$D$1004,E$4)=0,"—",IF(COUNTIFS('資格研修記録'!$A$5:$A$1004,$A18,'資格研修記録'!$D$5:$D$1004,E$4,'資格研修記録'!$F$5:$F$1004,"")+COUNTIFS('資格研修記録'!$A$5:$A$1004,$A18,'資格研修記録'!$D$5:$D$1004,E$4,'資格研修記録'!$F$5:$F$1004,"&gt;="&amp;TODAY())&gt;0,"○","× 期限切れ"))))</f>
        <v/>
      </c>
      <c r="F18" s="15">
        <f>IF(OR($A18="",F$4=""),"",IF(AND(F$4="小型船舶2級",(COUNTIFS('資格研修記録'!$A$5:$A$1004,$A18,'資格研修記録'!$D$5:$D$1004,"小型船舶1級",'資格研修記録'!$F$5:$F$1004,"")+COUNTIFS('資格研修記録'!$A$5:$A$1004,$A18,'資格研修記録'!$D$5:$D$1004,"小型船舶1級",'資格研修記録'!$F$5:$F$1004,"&gt;="&amp;TODAY()))&gt;0),"1級に含む",IF(COUNTIFS('資格研修記録'!$A$5:$A$1004,$A18,'資格研修記録'!$D$5:$D$1004,F$4)=0,"—",IF(COUNTIFS('資格研修記録'!$A$5:$A$1004,$A18,'資格研修記録'!$D$5:$D$1004,F$4,'資格研修記録'!$F$5:$F$1004,"")+COUNTIFS('資格研修記録'!$A$5:$A$1004,$A18,'資格研修記録'!$D$5:$D$1004,F$4,'資格研修記録'!$F$5:$F$1004,"&gt;="&amp;TODAY())&gt;0,"○","× 期限切れ"))))</f>
        <v/>
      </c>
      <c r="G18" s="15">
        <f>IF(OR($A18="",G$4=""),"",IF(AND(G$4="小型船舶2級",(COUNTIFS('資格研修記録'!$A$5:$A$1004,$A18,'資格研修記録'!$D$5:$D$1004,"小型船舶1級",'資格研修記録'!$F$5:$F$1004,"")+COUNTIFS('資格研修記録'!$A$5:$A$1004,$A18,'資格研修記録'!$D$5:$D$1004,"小型船舶1級",'資格研修記録'!$F$5:$F$1004,"&gt;="&amp;TODAY()))&gt;0),"1級に含む",IF(COUNTIFS('資格研修記録'!$A$5:$A$1004,$A18,'資格研修記録'!$D$5:$D$1004,G$4)=0,"—",IF(COUNTIFS('資格研修記録'!$A$5:$A$1004,$A18,'資格研修記録'!$D$5:$D$1004,G$4,'資格研修記録'!$F$5:$F$1004,"")+COUNTIFS('資格研修記録'!$A$5:$A$1004,$A18,'資格研修記録'!$D$5:$D$1004,G$4,'資格研修記録'!$F$5:$F$1004,"&gt;="&amp;TODAY())&gt;0,"○","× 期限切れ"))))</f>
        <v/>
      </c>
      <c r="H18" s="15">
        <f>IF(OR($A18="",H$4=""),"",IF(AND(H$4="小型船舶2級",(COUNTIFS('資格研修記録'!$A$5:$A$1004,$A18,'資格研修記録'!$D$5:$D$1004,"小型船舶1級",'資格研修記録'!$F$5:$F$1004,"")+COUNTIFS('資格研修記録'!$A$5:$A$1004,$A18,'資格研修記録'!$D$5:$D$1004,"小型船舶1級",'資格研修記録'!$F$5:$F$1004,"&gt;="&amp;TODAY()))&gt;0),"1級に含む",IF(COUNTIFS('資格研修記録'!$A$5:$A$1004,$A18,'資格研修記録'!$D$5:$D$1004,H$4)=0,"—",IF(COUNTIFS('資格研修記録'!$A$5:$A$1004,$A18,'資格研修記録'!$D$5:$D$1004,H$4,'資格研修記録'!$F$5:$F$1004,"")+COUNTIFS('資格研修記録'!$A$5:$A$1004,$A18,'資格研修記録'!$D$5:$D$1004,H$4,'資格研修記録'!$F$5:$F$1004,"&gt;="&amp;TODAY())&gt;0,"○","× 期限切れ"))))</f>
        <v/>
      </c>
      <c r="I18" s="15">
        <f>IF(OR($A18="",I$4=""),"",IF(AND(I$4="小型船舶2級",(COUNTIFS('資格研修記録'!$A$5:$A$1004,$A18,'資格研修記録'!$D$5:$D$1004,"小型船舶1級",'資格研修記録'!$F$5:$F$1004,"")+COUNTIFS('資格研修記録'!$A$5:$A$1004,$A18,'資格研修記録'!$D$5:$D$1004,"小型船舶1級",'資格研修記録'!$F$5:$F$1004,"&gt;="&amp;TODAY()))&gt;0),"1級に含む",IF(COUNTIFS('資格研修記録'!$A$5:$A$1004,$A18,'資格研修記録'!$D$5:$D$1004,I$4)=0,"—",IF(COUNTIFS('資格研修記録'!$A$5:$A$1004,$A18,'資格研修記録'!$D$5:$D$1004,I$4,'資格研修記録'!$F$5:$F$1004,"")+COUNTIFS('資格研修記録'!$A$5:$A$1004,$A18,'資格研修記録'!$D$5:$D$1004,I$4,'資格研修記録'!$F$5:$F$1004,"&gt;="&amp;TODAY())&gt;0,"○","× 期限切れ"))))</f>
        <v/>
      </c>
      <c r="J18" s="15">
        <f>IF(OR($A18="",J$4=""),"",IF(AND(J$4="小型船舶2級",(COUNTIFS('資格研修記録'!$A$5:$A$1004,$A18,'資格研修記録'!$D$5:$D$1004,"小型船舶1級",'資格研修記録'!$F$5:$F$1004,"")+COUNTIFS('資格研修記録'!$A$5:$A$1004,$A18,'資格研修記録'!$D$5:$D$1004,"小型船舶1級",'資格研修記録'!$F$5:$F$1004,"&gt;="&amp;TODAY()))&gt;0),"1級に含む",IF(COUNTIFS('資格研修記録'!$A$5:$A$1004,$A18,'資格研修記録'!$D$5:$D$1004,J$4)=0,"—",IF(COUNTIFS('資格研修記録'!$A$5:$A$1004,$A18,'資格研修記録'!$D$5:$D$1004,J$4,'資格研修記録'!$F$5:$F$1004,"")+COUNTIFS('資格研修記録'!$A$5:$A$1004,$A18,'資格研修記録'!$D$5:$D$1004,J$4,'資格研修記録'!$F$5:$F$1004,"&gt;="&amp;TODAY())&gt;0,"○","× 期限切れ"))))</f>
        <v/>
      </c>
      <c r="K18" s="15">
        <f>IF(OR($A18="",K$4=""),"",IF(AND(K$4="小型船舶2級",(COUNTIFS('資格研修記録'!$A$5:$A$1004,$A18,'資格研修記録'!$D$5:$D$1004,"小型船舶1級",'資格研修記録'!$F$5:$F$1004,"")+COUNTIFS('資格研修記録'!$A$5:$A$1004,$A18,'資格研修記録'!$D$5:$D$1004,"小型船舶1級",'資格研修記録'!$F$5:$F$1004,"&gt;="&amp;TODAY()))&gt;0),"1級に含む",IF(COUNTIFS('資格研修記録'!$A$5:$A$1004,$A18,'資格研修記録'!$D$5:$D$1004,K$4)=0,"—",IF(COUNTIFS('資格研修記録'!$A$5:$A$1004,$A18,'資格研修記録'!$D$5:$D$1004,K$4,'資格研修記録'!$F$5:$F$1004,"")+COUNTIFS('資格研修記録'!$A$5:$A$1004,$A18,'資格研修記録'!$D$5:$D$1004,K$4,'資格研修記録'!$F$5:$F$1004,"&gt;="&amp;TODAY())&gt;0,"○","× 期限切れ"))))</f>
        <v/>
      </c>
      <c r="L18" s="15">
        <f>IF(OR($A18="",L$4=""),"",IF(AND(L$4="小型船舶2級",(COUNTIFS('資格研修記録'!$A$5:$A$1004,$A18,'資格研修記録'!$D$5:$D$1004,"小型船舶1級",'資格研修記録'!$F$5:$F$1004,"")+COUNTIFS('資格研修記録'!$A$5:$A$1004,$A18,'資格研修記録'!$D$5:$D$1004,"小型船舶1級",'資格研修記録'!$F$5:$F$1004,"&gt;="&amp;TODAY()))&gt;0),"1級に含む",IF(COUNTIFS('資格研修記録'!$A$5:$A$1004,$A18,'資格研修記録'!$D$5:$D$1004,L$4)=0,"—",IF(COUNTIFS('資格研修記録'!$A$5:$A$1004,$A18,'資格研修記録'!$D$5:$D$1004,L$4,'資格研修記録'!$F$5:$F$1004,"")+COUNTIFS('資格研修記録'!$A$5:$A$1004,$A18,'資格研修記録'!$D$5:$D$1004,L$4,'資格研修記録'!$F$5:$F$1004,"&gt;="&amp;TODAY())&gt;0,"○","× 期限切れ"))))</f>
        <v/>
      </c>
    </row>
    <row r="19">
      <c r="A19" s="14">
        <f>IF('隊員マスタ'!A19="","",'隊員マスタ'!A19)</f>
        <v/>
      </c>
      <c r="B19" s="14">
        <f>IF(A19="","",'隊員マスタ'!B19)</f>
        <v/>
      </c>
      <c r="C19" s="14">
        <f>IF(A19="","",'隊員マスタ'!C19)</f>
        <v/>
      </c>
      <c r="D19" s="15">
        <f>IF(A19="","",'隊員マスタ'!D19)</f>
        <v/>
      </c>
      <c r="E19" s="15">
        <f>IF(OR($A19="",E$4=""),"",IF(AND(E$4="小型船舶2級",(COUNTIFS('資格研修記録'!$A$5:$A$1004,$A19,'資格研修記録'!$D$5:$D$1004,"小型船舶1級",'資格研修記録'!$F$5:$F$1004,"")+COUNTIFS('資格研修記録'!$A$5:$A$1004,$A19,'資格研修記録'!$D$5:$D$1004,"小型船舶1級",'資格研修記録'!$F$5:$F$1004,"&gt;="&amp;TODAY()))&gt;0),"1級に含む",IF(COUNTIFS('資格研修記録'!$A$5:$A$1004,$A19,'資格研修記録'!$D$5:$D$1004,E$4)=0,"—",IF(COUNTIFS('資格研修記録'!$A$5:$A$1004,$A19,'資格研修記録'!$D$5:$D$1004,E$4,'資格研修記録'!$F$5:$F$1004,"")+COUNTIFS('資格研修記録'!$A$5:$A$1004,$A19,'資格研修記録'!$D$5:$D$1004,E$4,'資格研修記録'!$F$5:$F$1004,"&gt;="&amp;TODAY())&gt;0,"○","× 期限切れ"))))</f>
        <v/>
      </c>
      <c r="F19" s="15">
        <f>IF(OR($A19="",F$4=""),"",IF(AND(F$4="小型船舶2級",(COUNTIFS('資格研修記録'!$A$5:$A$1004,$A19,'資格研修記録'!$D$5:$D$1004,"小型船舶1級",'資格研修記録'!$F$5:$F$1004,"")+COUNTIFS('資格研修記録'!$A$5:$A$1004,$A19,'資格研修記録'!$D$5:$D$1004,"小型船舶1級",'資格研修記録'!$F$5:$F$1004,"&gt;="&amp;TODAY()))&gt;0),"1級に含む",IF(COUNTIFS('資格研修記録'!$A$5:$A$1004,$A19,'資格研修記録'!$D$5:$D$1004,F$4)=0,"—",IF(COUNTIFS('資格研修記録'!$A$5:$A$1004,$A19,'資格研修記録'!$D$5:$D$1004,F$4,'資格研修記録'!$F$5:$F$1004,"")+COUNTIFS('資格研修記録'!$A$5:$A$1004,$A19,'資格研修記録'!$D$5:$D$1004,F$4,'資格研修記録'!$F$5:$F$1004,"&gt;="&amp;TODAY())&gt;0,"○","× 期限切れ"))))</f>
        <v/>
      </c>
      <c r="G19" s="15">
        <f>IF(OR($A19="",G$4=""),"",IF(AND(G$4="小型船舶2級",(COUNTIFS('資格研修記録'!$A$5:$A$1004,$A19,'資格研修記録'!$D$5:$D$1004,"小型船舶1級",'資格研修記録'!$F$5:$F$1004,"")+COUNTIFS('資格研修記録'!$A$5:$A$1004,$A19,'資格研修記録'!$D$5:$D$1004,"小型船舶1級",'資格研修記録'!$F$5:$F$1004,"&gt;="&amp;TODAY()))&gt;0),"1級に含む",IF(COUNTIFS('資格研修記録'!$A$5:$A$1004,$A19,'資格研修記録'!$D$5:$D$1004,G$4)=0,"—",IF(COUNTIFS('資格研修記録'!$A$5:$A$1004,$A19,'資格研修記録'!$D$5:$D$1004,G$4,'資格研修記録'!$F$5:$F$1004,"")+COUNTIFS('資格研修記録'!$A$5:$A$1004,$A19,'資格研修記録'!$D$5:$D$1004,G$4,'資格研修記録'!$F$5:$F$1004,"&gt;="&amp;TODAY())&gt;0,"○","× 期限切れ"))))</f>
        <v/>
      </c>
      <c r="H19" s="15">
        <f>IF(OR($A19="",H$4=""),"",IF(AND(H$4="小型船舶2級",(COUNTIFS('資格研修記録'!$A$5:$A$1004,$A19,'資格研修記録'!$D$5:$D$1004,"小型船舶1級",'資格研修記録'!$F$5:$F$1004,"")+COUNTIFS('資格研修記録'!$A$5:$A$1004,$A19,'資格研修記録'!$D$5:$D$1004,"小型船舶1級",'資格研修記録'!$F$5:$F$1004,"&gt;="&amp;TODAY()))&gt;0),"1級に含む",IF(COUNTIFS('資格研修記録'!$A$5:$A$1004,$A19,'資格研修記録'!$D$5:$D$1004,H$4)=0,"—",IF(COUNTIFS('資格研修記録'!$A$5:$A$1004,$A19,'資格研修記録'!$D$5:$D$1004,H$4,'資格研修記録'!$F$5:$F$1004,"")+COUNTIFS('資格研修記録'!$A$5:$A$1004,$A19,'資格研修記録'!$D$5:$D$1004,H$4,'資格研修記録'!$F$5:$F$1004,"&gt;="&amp;TODAY())&gt;0,"○","× 期限切れ"))))</f>
        <v/>
      </c>
      <c r="I19" s="15">
        <f>IF(OR($A19="",I$4=""),"",IF(AND(I$4="小型船舶2級",(COUNTIFS('資格研修記録'!$A$5:$A$1004,$A19,'資格研修記録'!$D$5:$D$1004,"小型船舶1級",'資格研修記録'!$F$5:$F$1004,"")+COUNTIFS('資格研修記録'!$A$5:$A$1004,$A19,'資格研修記録'!$D$5:$D$1004,"小型船舶1級",'資格研修記録'!$F$5:$F$1004,"&gt;="&amp;TODAY()))&gt;0),"1級に含む",IF(COUNTIFS('資格研修記録'!$A$5:$A$1004,$A19,'資格研修記録'!$D$5:$D$1004,I$4)=0,"—",IF(COUNTIFS('資格研修記録'!$A$5:$A$1004,$A19,'資格研修記録'!$D$5:$D$1004,I$4,'資格研修記録'!$F$5:$F$1004,"")+COUNTIFS('資格研修記録'!$A$5:$A$1004,$A19,'資格研修記録'!$D$5:$D$1004,I$4,'資格研修記録'!$F$5:$F$1004,"&gt;="&amp;TODAY())&gt;0,"○","× 期限切れ"))))</f>
        <v/>
      </c>
      <c r="J19" s="15">
        <f>IF(OR($A19="",J$4=""),"",IF(AND(J$4="小型船舶2級",(COUNTIFS('資格研修記録'!$A$5:$A$1004,$A19,'資格研修記録'!$D$5:$D$1004,"小型船舶1級",'資格研修記録'!$F$5:$F$1004,"")+COUNTIFS('資格研修記録'!$A$5:$A$1004,$A19,'資格研修記録'!$D$5:$D$1004,"小型船舶1級",'資格研修記録'!$F$5:$F$1004,"&gt;="&amp;TODAY()))&gt;0),"1級に含む",IF(COUNTIFS('資格研修記録'!$A$5:$A$1004,$A19,'資格研修記録'!$D$5:$D$1004,J$4)=0,"—",IF(COUNTIFS('資格研修記録'!$A$5:$A$1004,$A19,'資格研修記録'!$D$5:$D$1004,J$4,'資格研修記録'!$F$5:$F$1004,"")+COUNTIFS('資格研修記録'!$A$5:$A$1004,$A19,'資格研修記録'!$D$5:$D$1004,J$4,'資格研修記録'!$F$5:$F$1004,"&gt;="&amp;TODAY())&gt;0,"○","× 期限切れ"))))</f>
        <v/>
      </c>
      <c r="K19" s="15">
        <f>IF(OR($A19="",K$4=""),"",IF(AND(K$4="小型船舶2級",(COUNTIFS('資格研修記録'!$A$5:$A$1004,$A19,'資格研修記録'!$D$5:$D$1004,"小型船舶1級",'資格研修記録'!$F$5:$F$1004,"")+COUNTIFS('資格研修記録'!$A$5:$A$1004,$A19,'資格研修記録'!$D$5:$D$1004,"小型船舶1級",'資格研修記録'!$F$5:$F$1004,"&gt;="&amp;TODAY()))&gt;0),"1級に含む",IF(COUNTIFS('資格研修記録'!$A$5:$A$1004,$A19,'資格研修記録'!$D$5:$D$1004,K$4)=0,"—",IF(COUNTIFS('資格研修記録'!$A$5:$A$1004,$A19,'資格研修記録'!$D$5:$D$1004,K$4,'資格研修記録'!$F$5:$F$1004,"")+COUNTIFS('資格研修記録'!$A$5:$A$1004,$A19,'資格研修記録'!$D$5:$D$1004,K$4,'資格研修記録'!$F$5:$F$1004,"&gt;="&amp;TODAY())&gt;0,"○","× 期限切れ"))))</f>
        <v/>
      </c>
      <c r="L19" s="15">
        <f>IF(OR($A19="",L$4=""),"",IF(AND(L$4="小型船舶2級",(COUNTIFS('資格研修記録'!$A$5:$A$1004,$A19,'資格研修記録'!$D$5:$D$1004,"小型船舶1級",'資格研修記録'!$F$5:$F$1004,"")+COUNTIFS('資格研修記録'!$A$5:$A$1004,$A19,'資格研修記録'!$D$5:$D$1004,"小型船舶1級",'資格研修記録'!$F$5:$F$1004,"&gt;="&amp;TODAY()))&gt;0),"1級に含む",IF(COUNTIFS('資格研修記録'!$A$5:$A$1004,$A19,'資格研修記録'!$D$5:$D$1004,L$4)=0,"—",IF(COUNTIFS('資格研修記録'!$A$5:$A$1004,$A19,'資格研修記録'!$D$5:$D$1004,L$4,'資格研修記録'!$F$5:$F$1004,"")+COUNTIFS('資格研修記録'!$A$5:$A$1004,$A19,'資格研修記録'!$D$5:$D$1004,L$4,'資格研修記録'!$F$5:$F$1004,"&gt;="&amp;TODAY())&gt;0,"○","× 期限切れ"))))</f>
        <v/>
      </c>
    </row>
    <row r="20">
      <c r="A20" s="14">
        <f>IF('隊員マスタ'!A20="","",'隊員マスタ'!A20)</f>
        <v/>
      </c>
      <c r="B20" s="14">
        <f>IF(A20="","",'隊員マスタ'!B20)</f>
        <v/>
      </c>
      <c r="C20" s="14">
        <f>IF(A20="","",'隊員マスタ'!C20)</f>
        <v/>
      </c>
      <c r="D20" s="15">
        <f>IF(A20="","",'隊員マスタ'!D20)</f>
        <v/>
      </c>
      <c r="E20" s="15">
        <f>IF(OR($A20="",E$4=""),"",IF(AND(E$4="小型船舶2級",(COUNTIFS('資格研修記録'!$A$5:$A$1004,$A20,'資格研修記録'!$D$5:$D$1004,"小型船舶1級",'資格研修記録'!$F$5:$F$1004,"")+COUNTIFS('資格研修記録'!$A$5:$A$1004,$A20,'資格研修記録'!$D$5:$D$1004,"小型船舶1級",'資格研修記録'!$F$5:$F$1004,"&gt;="&amp;TODAY()))&gt;0),"1級に含む",IF(COUNTIFS('資格研修記録'!$A$5:$A$1004,$A20,'資格研修記録'!$D$5:$D$1004,E$4)=0,"—",IF(COUNTIFS('資格研修記録'!$A$5:$A$1004,$A20,'資格研修記録'!$D$5:$D$1004,E$4,'資格研修記録'!$F$5:$F$1004,"")+COUNTIFS('資格研修記録'!$A$5:$A$1004,$A20,'資格研修記録'!$D$5:$D$1004,E$4,'資格研修記録'!$F$5:$F$1004,"&gt;="&amp;TODAY())&gt;0,"○","× 期限切れ"))))</f>
        <v/>
      </c>
      <c r="F20" s="15">
        <f>IF(OR($A20="",F$4=""),"",IF(AND(F$4="小型船舶2級",(COUNTIFS('資格研修記録'!$A$5:$A$1004,$A20,'資格研修記録'!$D$5:$D$1004,"小型船舶1級",'資格研修記録'!$F$5:$F$1004,"")+COUNTIFS('資格研修記録'!$A$5:$A$1004,$A20,'資格研修記録'!$D$5:$D$1004,"小型船舶1級",'資格研修記録'!$F$5:$F$1004,"&gt;="&amp;TODAY()))&gt;0),"1級に含む",IF(COUNTIFS('資格研修記録'!$A$5:$A$1004,$A20,'資格研修記録'!$D$5:$D$1004,F$4)=0,"—",IF(COUNTIFS('資格研修記録'!$A$5:$A$1004,$A20,'資格研修記録'!$D$5:$D$1004,F$4,'資格研修記録'!$F$5:$F$1004,"")+COUNTIFS('資格研修記録'!$A$5:$A$1004,$A20,'資格研修記録'!$D$5:$D$1004,F$4,'資格研修記録'!$F$5:$F$1004,"&gt;="&amp;TODAY())&gt;0,"○","× 期限切れ"))))</f>
        <v/>
      </c>
      <c r="G20" s="15">
        <f>IF(OR($A20="",G$4=""),"",IF(AND(G$4="小型船舶2級",(COUNTIFS('資格研修記録'!$A$5:$A$1004,$A20,'資格研修記録'!$D$5:$D$1004,"小型船舶1級",'資格研修記録'!$F$5:$F$1004,"")+COUNTIFS('資格研修記録'!$A$5:$A$1004,$A20,'資格研修記録'!$D$5:$D$1004,"小型船舶1級",'資格研修記録'!$F$5:$F$1004,"&gt;="&amp;TODAY()))&gt;0),"1級に含む",IF(COUNTIFS('資格研修記録'!$A$5:$A$1004,$A20,'資格研修記録'!$D$5:$D$1004,G$4)=0,"—",IF(COUNTIFS('資格研修記録'!$A$5:$A$1004,$A20,'資格研修記録'!$D$5:$D$1004,G$4,'資格研修記録'!$F$5:$F$1004,"")+COUNTIFS('資格研修記録'!$A$5:$A$1004,$A20,'資格研修記録'!$D$5:$D$1004,G$4,'資格研修記録'!$F$5:$F$1004,"&gt;="&amp;TODAY())&gt;0,"○","× 期限切れ"))))</f>
        <v/>
      </c>
      <c r="H20" s="15">
        <f>IF(OR($A20="",H$4=""),"",IF(AND(H$4="小型船舶2級",(COUNTIFS('資格研修記録'!$A$5:$A$1004,$A20,'資格研修記録'!$D$5:$D$1004,"小型船舶1級",'資格研修記録'!$F$5:$F$1004,"")+COUNTIFS('資格研修記録'!$A$5:$A$1004,$A20,'資格研修記録'!$D$5:$D$1004,"小型船舶1級",'資格研修記録'!$F$5:$F$1004,"&gt;="&amp;TODAY()))&gt;0),"1級に含む",IF(COUNTIFS('資格研修記録'!$A$5:$A$1004,$A20,'資格研修記録'!$D$5:$D$1004,H$4)=0,"—",IF(COUNTIFS('資格研修記録'!$A$5:$A$1004,$A20,'資格研修記録'!$D$5:$D$1004,H$4,'資格研修記録'!$F$5:$F$1004,"")+COUNTIFS('資格研修記録'!$A$5:$A$1004,$A20,'資格研修記録'!$D$5:$D$1004,H$4,'資格研修記録'!$F$5:$F$1004,"&gt;="&amp;TODAY())&gt;0,"○","× 期限切れ"))))</f>
        <v/>
      </c>
      <c r="I20" s="15">
        <f>IF(OR($A20="",I$4=""),"",IF(AND(I$4="小型船舶2級",(COUNTIFS('資格研修記録'!$A$5:$A$1004,$A20,'資格研修記録'!$D$5:$D$1004,"小型船舶1級",'資格研修記録'!$F$5:$F$1004,"")+COUNTIFS('資格研修記録'!$A$5:$A$1004,$A20,'資格研修記録'!$D$5:$D$1004,"小型船舶1級",'資格研修記録'!$F$5:$F$1004,"&gt;="&amp;TODAY()))&gt;0),"1級に含む",IF(COUNTIFS('資格研修記録'!$A$5:$A$1004,$A20,'資格研修記録'!$D$5:$D$1004,I$4)=0,"—",IF(COUNTIFS('資格研修記録'!$A$5:$A$1004,$A20,'資格研修記録'!$D$5:$D$1004,I$4,'資格研修記録'!$F$5:$F$1004,"")+COUNTIFS('資格研修記録'!$A$5:$A$1004,$A20,'資格研修記録'!$D$5:$D$1004,I$4,'資格研修記録'!$F$5:$F$1004,"&gt;="&amp;TODAY())&gt;0,"○","× 期限切れ"))))</f>
        <v/>
      </c>
      <c r="J20" s="15">
        <f>IF(OR($A20="",J$4=""),"",IF(AND(J$4="小型船舶2級",(COUNTIFS('資格研修記録'!$A$5:$A$1004,$A20,'資格研修記録'!$D$5:$D$1004,"小型船舶1級",'資格研修記録'!$F$5:$F$1004,"")+COUNTIFS('資格研修記録'!$A$5:$A$1004,$A20,'資格研修記録'!$D$5:$D$1004,"小型船舶1級",'資格研修記録'!$F$5:$F$1004,"&gt;="&amp;TODAY()))&gt;0),"1級に含む",IF(COUNTIFS('資格研修記録'!$A$5:$A$1004,$A20,'資格研修記録'!$D$5:$D$1004,J$4)=0,"—",IF(COUNTIFS('資格研修記録'!$A$5:$A$1004,$A20,'資格研修記録'!$D$5:$D$1004,J$4,'資格研修記録'!$F$5:$F$1004,"")+COUNTIFS('資格研修記録'!$A$5:$A$1004,$A20,'資格研修記録'!$D$5:$D$1004,J$4,'資格研修記録'!$F$5:$F$1004,"&gt;="&amp;TODAY())&gt;0,"○","× 期限切れ"))))</f>
        <v/>
      </c>
      <c r="K20" s="15">
        <f>IF(OR($A20="",K$4=""),"",IF(AND(K$4="小型船舶2級",(COUNTIFS('資格研修記録'!$A$5:$A$1004,$A20,'資格研修記録'!$D$5:$D$1004,"小型船舶1級",'資格研修記録'!$F$5:$F$1004,"")+COUNTIFS('資格研修記録'!$A$5:$A$1004,$A20,'資格研修記録'!$D$5:$D$1004,"小型船舶1級",'資格研修記録'!$F$5:$F$1004,"&gt;="&amp;TODAY()))&gt;0),"1級に含む",IF(COUNTIFS('資格研修記録'!$A$5:$A$1004,$A20,'資格研修記録'!$D$5:$D$1004,K$4)=0,"—",IF(COUNTIFS('資格研修記録'!$A$5:$A$1004,$A20,'資格研修記録'!$D$5:$D$1004,K$4,'資格研修記録'!$F$5:$F$1004,"")+COUNTIFS('資格研修記録'!$A$5:$A$1004,$A20,'資格研修記録'!$D$5:$D$1004,K$4,'資格研修記録'!$F$5:$F$1004,"&gt;="&amp;TODAY())&gt;0,"○","× 期限切れ"))))</f>
        <v/>
      </c>
      <c r="L20" s="15">
        <f>IF(OR($A20="",L$4=""),"",IF(AND(L$4="小型船舶2級",(COUNTIFS('資格研修記録'!$A$5:$A$1004,$A20,'資格研修記録'!$D$5:$D$1004,"小型船舶1級",'資格研修記録'!$F$5:$F$1004,"")+COUNTIFS('資格研修記録'!$A$5:$A$1004,$A20,'資格研修記録'!$D$5:$D$1004,"小型船舶1級",'資格研修記録'!$F$5:$F$1004,"&gt;="&amp;TODAY()))&gt;0),"1級に含む",IF(COUNTIFS('資格研修記録'!$A$5:$A$1004,$A20,'資格研修記録'!$D$5:$D$1004,L$4)=0,"—",IF(COUNTIFS('資格研修記録'!$A$5:$A$1004,$A20,'資格研修記録'!$D$5:$D$1004,L$4,'資格研修記録'!$F$5:$F$1004,"")+COUNTIFS('資格研修記録'!$A$5:$A$1004,$A20,'資格研修記録'!$D$5:$D$1004,L$4,'資格研修記録'!$F$5:$F$1004,"&gt;="&amp;TODAY())&gt;0,"○","× 期限切れ"))))</f>
        <v/>
      </c>
    </row>
    <row r="21">
      <c r="A21" s="14">
        <f>IF('隊員マスタ'!A21="","",'隊員マスタ'!A21)</f>
        <v/>
      </c>
      <c r="B21" s="14">
        <f>IF(A21="","",'隊員マスタ'!B21)</f>
        <v/>
      </c>
      <c r="C21" s="14">
        <f>IF(A21="","",'隊員マスタ'!C21)</f>
        <v/>
      </c>
      <c r="D21" s="15">
        <f>IF(A21="","",'隊員マスタ'!D21)</f>
        <v/>
      </c>
      <c r="E21" s="15">
        <f>IF(OR($A21="",E$4=""),"",IF(AND(E$4="小型船舶2級",(COUNTIFS('資格研修記録'!$A$5:$A$1004,$A21,'資格研修記録'!$D$5:$D$1004,"小型船舶1級",'資格研修記録'!$F$5:$F$1004,"")+COUNTIFS('資格研修記録'!$A$5:$A$1004,$A21,'資格研修記録'!$D$5:$D$1004,"小型船舶1級",'資格研修記録'!$F$5:$F$1004,"&gt;="&amp;TODAY()))&gt;0),"1級に含む",IF(COUNTIFS('資格研修記録'!$A$5:$A$1004,$A21,'資格研修記録'!$D$5:$D$1004,E$4)=0,"—",IF(COUNTIFS('資格研修記録'!$A$5:$A$1004,$A21,'資格研修記録'!$D$5:$D$1004,E$4,'資格研修記録'!$F$5:$F$1004,"")+COUNTIFS('資格研修記録'!$A$5:$A$1004,$A21,'資格研修記録'!$D$5:$D$1004,E$4,'資格研修記録'!$F$5:$F$1004,"&gt;="&amp;TODAY())&gt;0,"○","× 期限切れ"))))</f>
        <v/>
      </c>
      <c r="F21" s="15">
        <f>IF(OR($A21="",F$4=""),"",IF(AND(F$4="小型船舶2級",(COUNTIFS('資格研修記録'!$A$5:$A$1004,$A21,'資格研修記録'!$D$5:$D$1004,"小型船舶1級",'資格研修記録'!$F$5:$F$1004,"")+COUNTIFS('資格研修記録'!$A$5:$A$1004,$A21,'資格研修記録'!$D$5:$D$1004,"小型船舶1級",'資格研修記録'!$F$5:$F$1004,"&gt;="&amp;TODAY()))&gt;0),"1級に含む",IF(COUNTIFS('資格研修記録'!$A$5:$A$1004,$A21,'資格研修記録'!$D$5:$D$1004,F$4)=0,"—",IF(COUNTIFS('資格研修記録'!$A$5:$A$1004,$A21,'資格研修記録'!$D$5:$D$1004,F$4,'資格研修記録'!$F$5:$F$1004,"")+COUNTIFS('資格研修記録'!$A$5:$A$1004,$A21,'資格研修記録'!$D$5:$D$1004,F$4,'資格研修記録'!$F$5:$F$1004,"&gt;="&amp;TODAY())&gt;0,"○","× 期限切れ"))))</f>
        <v/>
      </c>
      <c r="G21" s="15">
        <f>IF(OR($A21="",G$4=""),"",IF(AND(G$4="小型船舶2級",(COUNTIFS('資格研修記録'!$A$5:$A$1004,$A21,'資格研修記録'!$D$5:$D$1004,"小型船舶1級",'資格研修記録'!$F$5:$F$1004,"")+COUNTIFS('資格研修記録'!$A$5:$A$1004,$A21,'資格研修記録'!$D$5:$D$1004,"小型船舶1級",'資格研修記録'!$F$5:$F$1004,"&gt;="&amp;TODAY()))&gt;0),"1級に含む",IF(COUNTIFS('資格研修記録'!$A$5:$A$1004,$A21,'資格研修記録'!$D$5:$D$1004,G$4)=0,"—",IF(COUNTIFS('資格研修記録'!$A$5:$A$1004,$A21,'資格研修記録'!$D$5:$D$1004,G$4,'資格研修記録'!$F$5:$F$1004,"")+COUNTIFS('資格研修記録'!$A$5:$A$1004,$A21,'資格研修記録'!$D$5:$D$1004,G$4,'資格研修記録'!$F$5:$F$1004,"&gt;="&amp;TODAY())&gt;0,"○","× 期限切れ"))))</f>
        <v/>
      </c>
      <c r="H21" s="15">
        <f>IF(OR($A21="",H$4=""),"",IF(AND(H$4="小型船舶2級",(COUNTIFS('資格研修記録'!$A$5:$A$1004,$A21,'資格研修記録'!$D$5:$D$1004,"小型船舶1級",'資格研修記録'!$F$5:$F$1004,"")+COUNTIFS('資格研修記録'!$A$5:$A$1004,$A21,'資格研修記録'!$D$5:$D$1004,"小型船舶1級",'資格研修記録'!$F$5:$F$1004,"&gt;="&amp;TODAY()))&gt;0),"1級に含む",IF(COUNTIFS('資格研修記録'!$A$5:$A$1004,$A21,'資格研修記録'!$D$5:$D$1004,H$4)=0,"—",IF(COUNTIFS('資格研修記録'!$A$5:$A$1004,$A21,'資格研修記録'!$D$5:$D$1004,H$4,'資格研修記録'!$F$5:$F$1004,"")+COUNTIFS('資格研修記録'!$A$5:$A$1004,$A21,'資格研修記録'!$D$5:$D$1004,H$4,'資格研修記録'!$F$5:$F$1004,"&gt;="&amp;TODAY())&gt;0,"○","× 期限切れ"))))</f>
        <v/>
      </c>
      <c r="I21" s="15">
        <f>IF(OR($A21="",I$4=""),"",IF(AND(I$4="小型船舶2級",(COUNTIFS('資格研修記録'!$A$5:$A$1004,$A21,'資格研修記録'!$D$5:$D$1004,"小型船舶1級",'資格研修記録'!$F$5:$F$1004,"")+COUNTIFS('資格研修記録'!$A$5:$A$1004,$A21,'資格研修記録'!$D$5:$D$1004,"小型船舶1級",'資格研修記録'!$F$5:$F$1004,"&gt;="&amp;TODAY()))&gt;0),"1級に含む",IF(COUNTIFS('資格研修記録'!$A$5:$A$1004,$A21,'資格研修記録'!$D$5:$D$1004,I$4)=0,"—",IF(COUNTIFS('資格研修記録'!$A$5:$A$1004,$A21,'資格研修記録'!$D$5:$D$1004,I$4,'資格研修記録'!$F$5:$F$1004,"")+COUNTIFS('資格研修記録'!$A$5:$A$1004,$A21,'資格研修記録'!$D$5:$D$1004,I$4,'資格研修記録'!$F$5:$F$1004,"&gt;="&amp;TODAY())&gt;0,"○","× 期限切れ"))))</f>
        <v/>
      </c>
      <c r="J21" s="15">
        <f>IF(OR($A21="",J$4=""),"",IF(AND(J$4="小型船舶2級",(COUNTIFS('資格研修記録'!$A$5:$A$1004,$A21,'資格研修記録'!$D$5:$D$1004,"小型船舶1級",'資格研修記録'!$F$5:$F$1004,"")+COUNTIFS('資格研修記録'!$A$5:$A$1004,$A21,'資格研修記録'!$D$5:$D$1004,"小型船舶1級",'資格研修記録'!$F$5:$F$1004,"&gt;="&amp;TODAY()))&gt;0),"1級に含む",IF(COUNTIFS('資格研修記録'!$A$5:$A$1004,$A21,'資格研修記録'!$D$5:$D$1004,J$4)=0,"—",IF(COUNTIFS('資格研修記録'!$A$5:$A$1004,$A21,'資格研修記録'!$D$5:$D$1004,J$4,'資格研修記録'!$F$5:$F$1004,"")+COUNTIFS('資格研修記録'!$A$5:$A$1004,$A21,'資格研修記録'!$D$5:$D$1004,J$4,'資格研修記録'!$F$5:$F$1004,"&gt;="&amp;TODAY())&gt;0,"○","× 期限切れ"))))</f>
        <v/>
      </c>
      <c r="K21" s="15">
        <f>IF(OR($A21="",K$4=""),"",IF(AND(K$4="小型船舶2級",(COUNTIFS('資格研修記録'!$A$5:$A$1004,$A21,'資格研修記録'!$D$5:$D$1004,"小型船舶1級",'資格研修記録'!$F$5:$F$1004,"")+COUNTIFS('資格研修記録'!$A$5:$A$1004,$A21,'資格研修記録'!$D$5:$D$1004,"小型船舶1級",'資格研修記録'!$F$5:$F$1004,"&gt;="&amp;TODAY()))&gt;0),"1級に含む",IF(COUNTIFS('資格研修記録'!$A$5:$A$1004,$A21,'資格研修記録'!$D$5:$D$1004,K$4)=0,"—",IF(COUNTIFS('資格研修記録'!$A$5:$A$1004,$A21,'資格研修記録'!$D$5:$D$1004,K$4,'資格研修記録'!$F$5:$F$1004,"")+COUNTIFS('資格研修記録'!$A$5:$A$1004,$A21,'資格研修記録'!$D$5:$D$1004,K$4,'資格研修記録'!$F$5:$F$1004,"&gt;="&amp;TODAY())&gt;0,"○","× 期限切れ"))))</f>
        <v/>
      </c>
      <c r="L21" s="15">
        <f>IF(OR($A21="",L$4=""),"",IF(AND(L$4="小型船舶2級",(COUNTIFS('資格研修記録'!$A$5:$A$1004,$A21,'資格研修記録'!$D$5:$D$1004,"小型船舶1級",'資格研修記録'!$F$5:$F$1004,"")+COUNTIFS('資格研修記録'!$A$5:$A$1004,$A21,'資格研修記録'!$D$5:$D$1004,"小型船舶1級",'資格研修記録'!$F$5:$F$1004,"&gt;="&amp;TODAY()))&gt;0),"1級に含む",IF(COUNTIFS('資格研修記録'!$A$5:$A$1004,$A21,'資格研修記録'!$D$5:$D$1004,L$4)=0,"—",IF(COUNTIFS('資格研修記録'!$A$5:$A$1004,$A21,'資格研修記録'!$D$5:$D$1004,L$4,'資格研修記録'!$F$5:$F$1004,"")+COUNTIFS('資格研修記録'!$A$5:$A$1004,$A21,'資格研修記録'!$D$5:$D$1004,L$4,'資格研修記録'!$F$5:$F$1004,"&gt;="&amp;TODAY())&gt;0,"○","× 期限切れ"))))</f>
        <v/>
      </c>
    </row>
    <row r="22">
      <c r="A22" s="14">
        <f>IF('隊員マスタ'!A22="","",'隊員マスタ'!A22)</f>
        <v/>
      </c>
      <c r="B22" s="14">
        <f>IF(A22="","",'隊員マスタ'!B22)</f>
        <v/>
      </c>
      <c r="C22" s="14">
        <f>IF(A22="","",'隊員マスタ'!C22)</f>
        <v/>
      </c>
      <c r="D22" s="15">
        <f>IF(A22="","",'隊員マスタ'!D22)</f>
        <v/>
      </c>
      <c r="E22" s="15">
        <f>IF(OR($A22="",E$4=""),"",IF(AND(E$4="小型船舶2級",(COUNTIFS('資格研修記録'!$A$5:$A$1004,$A22,'資格研修記録'!$D$5:$D$1004,"小型船舶1級",'資格研修記録'!$F$5:$F$1004,"")+COUNTIFS('資格研修記録'!$A$5:$A$1004,$A22,'資格研修記録'!$D$5:$D$1004,"小型船舶1級",'資格研修記録'!$F$5:$F$1004,"&gt;="&amp;TODAY()))&gt;0),"1級に含む",IF(COUNTIFS('資格研修記録'!$A$5:$A$1004,$A22,'資格研修記録'!$D$5:$D$1004,E$4)=0,"—",IF(COUNTIFS('資格研修記録'!$A$5:$A$1004,$A22,'資格研修記録'!$D$5:$D$1004,E$4,'資格研修記録'!$F$5:$F$1004,"")+COUNTIFS('資格研修記録'!$A$5:$A$1004,$A22,'資格研修記録'!$D$5:$D$1004,E$4,'資格研修記録'!$F$5:$F$1004,"&gt;="&amp;TODAY())&gt;0,"○","× 期限切れ"))))</f>
        <v/>
      </c>
      <c r="F22" s="15">
        <f>IF(OR($A22="",F$4=""),"",IF(AND(F$4="小型船舶2級",(COUNTIFS('資格研修記録'!$A$5:$A$1004,$A22,'資格研修記録'!$D$5:$D$1004,"小型船舶1級",'資格研修記録'!$F$5:$F$1004,"")+COUNTIFS('資格研修記録'!$A$5:$A$1004,$A22,'資格研修記録'!$D$5:$D$1004,"小型船舶1級",'資格研修記録'!$F$5:$F$1004,"&gt;="&amp;TODAY()))&gt;0),"1級に含む",IF(COUNTIFS('資格研修記録'!$A$5:$A$1004,$A22,'資格研修記録'!$D$5:$D$1004,F$4)=0,"—",IF(COUNTIFS('資格研修記録'!$A$5:$A$1004,$A22,'資格研修記録'!$D$5:$D$1004,F$4,'資格研修記録'!$F$5:$F$1004,"")+COUNTIFS('資格研修記録'!$A$5:$A$1004,$A22,'資格研修記録'!$D$5:$D$1004,F$4,'資格研修記録'!$F$5:$F$1004,"&gt;="&amp;TODAY())&gt;0,"○","× 期限切れ"))))</f>
        <v/>
      </c>
      <c r="G22" s="15">
        <f>IF(OR($A22="",G$4=""),"",IF(AND(G$4="小型船舶2級",(COUNTIFS('資格研修記録'!$A$5:$A$1004,$A22,'資格研修記録'!$D$5:$D$1004,"小型船舶1級",'資格研修記録'!$F$5:$F$1004,"")+COUNTIFS('資格研修記録'!$A$5:$A$1004,$A22,'資格研修記録'!$D$5:$D$1004,"小型船舶1級",'資格研修記録'!$F$5:$F$1004,"&gt;="&amp;TODAY()))&gt;0),"1級に含む",IF(COUNTIFS('資格研修記録'!$A$5:$A$1004,$A22,'資格研修記録'!$D$5:$D$1004,G$4)=0,"—",IF(COUNTIFS('資格研修記録'!$A$5:$A$1004,$A22,'資格研修記録'!$D$5:$D$1004,G$4,'資格研修記録'!$F$5:$F$1004,"")+COUNTIFS('資格研修記録'!$A$5:$A$1004,$A22,'資格研修記録'!$D$5:$D$1004,G$4,'資格研修記録'!$F$5:$F$1004,"&gt;="&amp;TODAY())&gt;0,"○","× 期限切れ"))))</f>
        <v/>
      </c>
      <c r="H22" s="15">
        <f>IF(OR($A22="",H$4=""),"",IF(AND(H$4="小型船舶2級",(COUNTIFS('資格研修記録'!$A$5:$A$1004,$A22,'資格研修記録'!$D$5:$D$1004,"小型船舶1級",'資格研修記録'!$F$5:$F$1004,"")+COUNTIFS('資格研修記録'!$A$5:$A$1004,$A22,'資格研修記録'!$D$5:$D$1004,"小型船舶1級",'資格研修記録'!$F$5:$F$1004,"&gt;="&amp;TODAY()))&gt;0),"1級に含む",IF(COUNTIFS('資格研修記録'!$A$5:$A$1004,$A22,'資格研修記録'!$D$5:$D$1004,H$4)=0,"—",IF(COUNTIFS('資格研修記録'!$A$5:$A$1004,$A22,'資格研修記録'!$D$5:$D$1004,H$4,'資格研修記録'!$F$5:$F$1004,"")+COUNTIFS('資格研修記録'!$A$5:$A$1004,$A22,'資格研修記録'!$D$5:$D$1004,H$4,'資格研修記録'!$F$5:$F$1004,"&gt;="&amp;TODAY())&gt;0,"○","× 期限切れ"))))</f>
        <v/>
      </c>
      <c r="I22" s="15">
        <f>IF(OR($A22="",I$4=""),"",IF(AND(I$4="小型船舶2級",(COUNTIFS('資格研修記録'!$A$5:$A$1004,$A22,'資格研修記録'!$D$5:$D$1004,"小型船舶1級",'資格研修記録'!$F$5:$F$1004,"")+COUNTIFS('資格研修記録'!$A$5:$A$1004,$A22,'資格研修記録'!$D$5:$D$1004,"小型船舶1級",'資格研修記録'!$F$5:$F$1004,"&gt;="&amp;TODAY()))&gt;0),"1級に含む",IF(COUNTIFS('資格研修記録'!$A$5:$A$1004,$A22,'資格研修記録'!$D$5:$D$1004,I$4)=0,"—",IF(COUNTIFS('資格研修記録'!$A$5:$A$1004,$A22,'資格研修記録'!$D$5:$D$1004,I$4,'資格研修記録'!$F$5:$F$1004,"")+COUNTIFS('資格研修記録'!$A$5:$A$1004,$A22,'資格研修記録'!$D$5:$D$1004,I$4,'資格研修記録'!$F$5:$F$1004,"&gt;="&amp;TODAY())&gt;0,"○","× 期限切れ"))))</f>
        <v/>
      </c>
      <c r="J22" s="15">
        <f>IF(OR($A22="",J$4=""),"",IF(AND(J$4="小型船舶2級",(COUNTIFS('資格研修記録'!$A$5:$A$1004,$A22,'資格研修記録'!$D$5:$D$1004,"小型船舶1級",'資格研修記録'!$F$5:$F$1004,"")+COUNTIFS('資格研修記録'!$A$5:$A$1004,$A22,'資格研修記録'!$D$5:$D$1004,"小型船舶1級",'資格研修記録'!$F$5:$F$1004,"&gt;="&amp;TODAY()))&gt;0),"1級に含む",IF(COUNTIFS('資格研修記録'!$A$5:$A$1004,$A22,'資格研修記録'!$D$5:$D$1004,J$4)=0,"—",IF(COUNTIFS('資格研修記録'!$A$5:$A$1004,$A22,'資格研修記録'!$D$5:$D$1004,J$4,'資格研修記録'!$F$5:$F$1004,"")+COUNTIFS('資格研修記録'!$A$5:$A$1004,$A22,'資格研修記録'!$D$5:$D$1004,J$4,'資格研修記録'!$F$5:$F$1004,"&gt;="&amp;TODAY())&gt;0,"○","× 期限切れ"))))</f>
        <v/>
      </c>
      <c r="K22" s="15">
        <f>IF(OR($A22="",K$4=""),"",IF(AND(K$4="小型船舶2級",(COUNTIFS('資格研修記録'!$A$5:$A$1004,$A22,'資格研修記録'!$D$5:$D$1004,"小型船舶1級",'資格研修記録'!$F$5:$F$1004,"")+COUNTIFS('資格研修記録'!$A$5:$A$1004,$A22,'資格研修記録'!$D$5:$D$1004,"小型船舶1級",'資格研修記録'!$F$5:$F$1004,"&gt;="&amp;TODAY()))&gt;0),"1級に含む",IF(COUNTIFS('資格研修記録'!$A$5:$A$1004,$A22,'資格研修記録'!$D$5:$D$1004,K$4)=0,"—",IF(COUNTIFS('資格研修記録'!$A$5:$A$1004,$A22,'資格研修記録'!$D$5:$D$1004,K$4,'資格研修記録'!$F$5:$F$1004,"")+COUNTIFS('資格研修記録'!$A$5:$A$1004,$A22,'資格研修記録'!$D$5:$D$1004,K$4,'資格研修記録'!$F$5:$F$1004,"&gt;="&amp;TODAY())&gt;0,"○","× 期限切れ"))))</f>
        <v/>
      </c>
      <c r="L22" s="15">
        <f>IF(OR($A22="",L$4=""),"",IF(AND(L$4="小型船舶2級",(COUNTIFS('資格研修記録'!$A$5:$A$1004,$A22,'資格研修記録'!$D$5:$D$1004,"小型船舶1級",'資格研修記録'!$F$5:$F$1004,"")+COUNTIFS('資格研修記録'!$A$5:$A$1004,$A22,'資格研修記録'!$D$5:$D$1004,"小型船舶1級",'資格研修記録'!$F$5:$F$1004,"&gt;="&amp;TODAY()))&gt;0),"1級に含む",IF(COUNTIFS('資格研修記録'!$A$5:$A$1004,$A22,'資格研修記録'!$D$5:$D$1004,L$4)=0,"—",IF(COUNTIFS('資格研修記録'!$A$5:$A$1004,$A22,'資格研修記録'!$D$5:$D$1004,L$4,'資格研修記録'!$F$5:$F$1004,"")+COUNTIFS('資格研修記録'!$A$5:$A$1004,$A22,'資格研修記録'!$D$5:$D$1004,L$4,'資格研修記録'!$F$5:$F$1004,"&gt;="&amp;TODAY())&gt;0,"○","× 期限切れ"))))</f>
        <v/>
      </c>
    </row>
    <row r="23">
      <c r="A23" s="14">
        <f>IF('隊員マスタ'!A23="","",'隊員マスタ'!A23)</f>
        <v/>
      </c>
      <c r="B23" s="14">
        <f>IF(A23="","",'隊員マスタ'!B23)</f>
        <v/>
      </c>
      <c r="C23" s="14">
        <f>IF(A23="","",'隊員マスタ'!C23)</f>
        <v/>
      </c>
      <c r="D23" s="15">
        <f>IF(A23="","",'隊員マスタ'!D23)</f>
        <v/>
      </c>
      <c r="E23" s="15">
        <f>IF(OR($A23="",E$4=""),"",IF(AND(E$4="小型船舶2級",(COUNTIFS('資格研修記録'!$A$5:$A$1004,$A23,'資格研修記録'!$D$5:$D$1004,"小型船舶1級",'資格研修記録'!$F$5:$F$1004,"")+COUNTIFS('資格研修記録'!$A$5:$A$1004,$A23,'資格研修記録'!$D$5:$D$1004,"小型船舶1級",'資格研修記録'!$F$5:$F$1004,"&gt;="&amp;TODAY()))&gt;0),"1級に含む",IF(COUNTIFS('資格研修記録'!$A$5:$A$1004,$A23,'資格研修記録'!$D$5:$D$1004,E$4)=0,"—",IF(COUNTIFS('資格研修記録'!$A$5:$A$1004,$A23,'資格研修記録'!$D$5:$D$1004,E$4,'資格研修記録'!$F$5:$F$1004,"")+COUNTIFS('資格研修記録'!$A$5:$A$1004,$A23,'資格研修記録'!$D$5:$D$1004,E$4,'資格研修記録'!$F$5:$F$1004,"&gt;="&amp;TODAY())&gt;0,"○","× 期限切れ"))))</f>
        <v/>
      </c>
      <c r="F23" s="15">
        <f>IF(OR($A23="",F$4=""),"",IF(AND(F$4="小型船舶2級",(COUNTIFS('資格研修記録'!$A$5:$A$1004,$A23,'資格研修記録'!$D$5:$D$1004,"小型船舶1級",'資格研修記録'!$F$5:$F$1004,"")+COUNTIFS('資格研修記録'!$A$5:$A$1004,$A23,'資格研修記録'!$D$5:$D$1004,"小型船舶1級",'資格研修記録'!$F$5:$F$1004,"&gt;="&amp;TODAY()))&gt;0),"1級に含む",IF(COUNTIFS('資格研修記録'!$A$5:$A$1004,$A23,'資格研修記録'!$D$5:$D$1004,F$4)=0,"—",IF(COUNTIFS('資格研修記録'!$A$5:$A$1004,$A23,'資格研修記録'!$D$5:$D$1004,F$4,'資格研修記録'!$F$5:$F$1004,"")+COUNTIFS('資格研修記録'!$A$5:$A$1004,$A23,'資格研修記録'!$D$5:$D$1004,F$4,'資格研修記録'!$F$5:$F$1004,"&gt;="&amp;TODAY())&gt;0,"○","× 期限切れ"))))</f>
        <v/>
      </c>
      <c r="G23" s="15">
        <f>IF(OR($A23="",G$4=""),"",IF(AND(G$4="小型船舶2級",(COUNTIFS('資格研修記録'!$A$5:$A$1004,$A23,'資格研修記録'!$D$5:$D$1004,"小型船舶1級",'資格研修記録'!$F$5:$F$1004,"")+COUNTIFS('資格研修記録'!$A$5:$A$1004,$A23,'資格研修記録'!$D$5:$D$1004,"小型船舶1級",'資格研修記録'!$F$5:$F$1004,"&gt;="&amp;TODAY()))&gt;0),"1級に含む",IF(COUNTIFS('資格研修記録'!$A$5:$A$1004,$A23,'資格研修記録'!$D$5:$D$1004,G$4)=0,"—",IF(COUNTIFS('資格研修記録'!$A$5:$A$1004,$A23,'資格研修記録'!$D$5:$D$1004,G$4,'資格研修記録'!$F$5:$F$1004,"")+COUNTIFS('資格研修記録'!$A$5:$A$1004,$A23,'資格研修記録'!$D$5:$D$1004,G$4,'資格研修記録'!$F$5:$F$1004,"&gt;="&amp;TODAY())&gt;0,"○","× 期限切れ"))))</f>
        <v/>
      </c>
      <c r="H23" s="15">
        <f>IF(OR($A23="",H$4=""),"",IF(AND(H$4="小型船舶2級",(COUNTIFS('資格研修記録'!$A$5:$A$1004,$A23,'資格研修記録'!$D$5:$D$1004,"小型船舶1級",'資格研修記録'!$F$5:$F$1004,"")+COUNTIFS('資格研修記録'!$A$5:$A$1004,$A23,'資格研修記録'!$D$5:$D$1004,"小型船舶1級",'資格研修記録'!$F$5:$F$1004,"&gt;="&amp;TODAY()))&gt;0),"1級に含む",IF(COUNTIFS('資格研修記録'!$A$5:$A$1004,$A23,'資格研修記録'!$D$5:$D$1004,H$4)=0,"—",IF(COUNTIFS('資格研修記録'!$A$5:$A$1004,$A23,'資格研修記録'!$D$5:$D$1004,H$4,'資格研修記録'!$F$5:$F$1004,"")+COUNTIFS('資格研修記録'!$A$5:$A$1004,$A23,'資格研修記録'!$D$5:$D$1004,H$4,'資格研修記録'!$F$5:$F$1004,"&gt;="&amp;TODAY())&gt;0,"○","× 期限切れ"))))</f>
        <v/>
      </c>
      <c r="I23" s="15">
        <f>IF(OR($A23="",I$4=""),"",IF(AND(I$4="小型船舶2級",(COUNTIFS('資格研修記録'!$A$5:$A$1004,$A23,'資格研修記録'!$D$5:$D$1004,"小型船舶1級",'資格研修記録'!$F$5:$F$1004,"")+COUNTIFS('資格研修記録'!$A$5:$A$1004,$A23,'資格研修記録'!$D$5:$D$1004,"小型船舶1級",'資格研修記録'!$F$5:$F$1004,"&gt;="&amp;TODAY()))&gt;0),"1級に含む",IF(COUNTIFS('資格研修記録'!$A$5:$A$1004,$A23,'資格研修記録'!$D$5:$D$1004,I$4)=0,"—",IF(COUNTIFS('資格研修記録'!$A$5:$A$1004,$A23,'資格研修記録'!$D$5:$D$1004,I$4,'資格研修記録'!$F$5:$F$1004,"")+COUNTIFS('資格研修記録'!$A$5:$A$1004,$A23,'資格研修記録'!$D$5:$D$1004,I$4,'資格研修記録'!$F$5:$F$1004,"&gt;="&amp;TODAY())&gt;0,"○","× 期限切れ"))))</f>
        <v/>
      </c>
      <c r="J23" s="15">
        <f>IF(OR($A23="",J$4=""),"",IF(AND(J$4="小型船舶2級",(COUNTIFS('資格研修記録'!$A$5:$A$1004,$A23,'資格研修記録'!$D$5:$D$1004,"小型船舶1級",'資格研修記録'!$F$5:$F$1004,"")+COUNTIFS('資格研修記録'!$A$5:$A$1004,$A23,'資格研修記録'!$D$5:$D$1004,"小型船舶1級",'資格研修記録'!$F$5:$F$1004,"&gt;="&amp;TODAY()))&gt;0),"1級に含む",IF(COUNTIFS('資格研修記録'!$A$5:$A$1004,$A23,'資格研修記録'!$D$5:$D$1004,J$4)=0,"—",IF(COUNTIFS('資格研修記録'!$A$5:$A$1004,$A23,'資格研修記録'!$D$5:$D$1004,J$4,'資格研修記録'!$F$5:$F$1004,"")+COUNTIFS('資格研修記録'!$A$5:$A$1004,$A23,'資格研修記録'!$D$5:$D$1004,J$4,'資格研修記録'!$F$5:$F$1004,"&gt;="&amp;TODAY())&gt;0,"○","× 期限切れ"))))</f>
        <v/>
      </c>
      <c r="K23" s="15">
        <f>IF(OR($A23="",K$4=""),"",IF(AND(K$4="小型船舶2級",(COUNTIFS('資格研修記録'!$A$5:$A$1004,$A23,'資格研修記録'!$D$5:$D$1004,"小型船舶1級",'資格研修記録'!$F$5:$F$1004,"")+COUNTIFS('資格研修記録'!$A$5:$A$1004,$A23,'資格研修記録'!$D$5:$D$1004,"小型船舶1級",'資格研修記録'!$F$5:$F$1004,"&gt;="&amp;TODAY()))&gt;0),"1級に含む",IF(COUNTIFS('資格研修記録'!$A$5:$A$1004,$A23,'資格研修記録'!$D$5:$D$1004,K$4)=0,"—",IF(COUNTIFS('資格研修記録'!$A$5:$A$1004,$A23,'資格研修記録'!$D$5:$D$1004,K$4,'資格研修記録'!$F$5:$F$1004,"")+COUNTIFS('資格研修記録'!$A$5:$A$1004,$A23,'資格研修記録'!$D$5:$D$1004,K$4,'資格研修記録'!$F$5:$F$1004,"&gt;="&amp;TODAY())&gt;0,"○","× 期限切れ"))))</f>
        <v/>
      </c>
      <c r="L23" s="15">
        <f>IF(OR($A23="",L$4=""),"",IF(AND(L$4="小型船舶2級",(COUNTIFS('資格研修記録'!$A$5:$A$1004,$A23,'資格研修記録'!$D$5:$D$1004,"小型船舶1級",'資格研修記録'!$F$5:$F$1004,"")+COUNTIFS('資格研修記録'!$A$5:$A$1004,$A23,'資格研修記録'!$D$5:$D$1004,"小型船舶1級",'資格研修記録'!$F$5:$F$1004,"&gt;="&amp;TODAY()))&gt;0),"1級に含む",IF(COUNTIFS('資格研修記録'!$A$5:$A$1004,$A23,'資格研修記録'!$D$5:$D$1004,L$4)=0,"—",IF(COUNTIFS('資格研修記録'!$A$5:$A$1004,$A23,'資格研修記録'!$D$5:$D$1004,L$4,'資格研修記録'!$F$5:$F$1004,"")+COUNTIFS('資格研修記録'!$A$5:$A$1004,$A23,'資格研修記録'!$D$5:$D$1004,L$4,'資格研修記録'!$F$5:$F$1004,"&gt;="&amp;TODAY())&gt;0,"○","× 期限切れ"))))</f>
        <v/>
      </c>
    </row>
    <row r="24">
      <c r="A24" s="14">
        <f>IF('隊員マスタ'!A24="","",'隊員マスタ'!A24)</f>
        <v/>
      </c>
      <c r="B24" s="14">
        <f>IF(A24="","",'隊員マスタ'!B24)</f>
        <v/>
      </c>
      <c r="C24" s="14">
        <f>IF(A24="","",'隊員マスタ'!C24)</f>
        <v/>
      </c>
      <c r="D24" s="15">
        <f>IF(A24="","",'隊員マスタ'!D24)</f>
        <v/>
      </c>
      <c r="E24" s="15">
        <f>IF(OR($A24="",E$4=""),"",IF(AND(E$4="小型船舶2級",(COUNTIFS('資格研修記録'!$A$5:$A$1004,$A24,'資格研修記録'!$D$5:$D$1004,"小型船舶1級",'資格研修記録'!$F$5:$F$1004,"")+COUNTIFS('資格研修記録'!$A$5:$A$1004,$A24,'資格研修記録'!$D$5:$D$1004,"小型船舶1級",'資格研修記録'!$F$5:$F$1004,"&gt;="&amp;TODAY()))&gt;0),"1級に含む",IF(COUNTIFS('資格研修記録'!$A$5:$A$1004,$A24,'資格研修記録'!$D$5:$D$1004,E$4)=0,"—",IF(COUNTIFS('資格研修記録'!$A$5:$A$1004,$A24,'資格研修記録'!$D$5:$D$1004,E$4,'資格研修記録'!$F$5:$F$1004,"")+COUNTIFS('資格研修記録'!$A$5:$A$1004,$A24,'資格研修記録'!$D$5:$D$1004,E$4,'資格研修記録'!$F$5:$F$1004,"&gt;="&amp;TODAY())&gt;0,"○","× 期限切れ"))))</f>
        <v/>
      </c>
      <c r="F24" s="15">
        <f>IF(OR($A24="",F$4=""),"",IF(AND(F$4="小型船舶2級",(COUNTIFS('資格研修記録'!$A$5:$A$1004,$A24,'資格研修記録'!$D$5:$D$1004,"小型船舶1級",'資格研修記録'!$F$5:$F$1004,"")+COUNTIFS('資格研修記録'!$A$5:$A$1004,$A24,'資格研修記録'!$D$5:$D$1004,"小型船舶1級",'資格研修記録'!$F$5:$F$1004,"&gt;="&amp;TODAY()))&gt;0),"1級に含む",IF(COUNTIFS('資格研修記録'!$A$5:$A$1004,$A24,'資格研修記録'!$D$5:$D$1004,F$4)=0,"—",IF(COUNTIFS('資格研修記録'!$A$5:$A$1004,$A24,'資格研修記録'!$D$5:$D$1004,F$4,'資格研修記録'!$F$5:$F$1004,"")+COUNTIFS('資格研修記録'!$A$5:$A$1004,$A24,'資格研修記録'!$D$5:$D$1004,F$4,'資格研修記録'!$F$5:$F$1004,"&gt;="&amp;TODAY())&gt;0,"○","× 期限切れ"))))</f>
        <v/>
      </c>
      <c r="G24" s="15">
        <f>IF(OR($A24="",G$4=""),"",IF(AND(G$4="小型船舶2級",(COUNTIFS('資格研修記録'!$A$5:$A$1004,$A24,'資格研修記録'!$D$5:$D$1004,"小型船舶1級",'資格研修記録'!$F$5:$F$1004,"")+COUNTIFS('資格研修記録'!$A$5:$A$1004,$A24,'資格研修記録'!$D$5:$D$1004,"小型船舶1級",'資格研修記録'!$F$5:$F$1004,"&gt;="&amp;TODAY()))&gt;0),"1級に含む",IF(COUNTIFS('資格研修記録'!$A$5:$A$1004,$A24,'資格研修記録'!$D$5:$D$1004,G$4)=0,"—",IF(COUNTIFS('資格研修記録'!$A$5:$A$1004,$A24,'資格研修記録'!$D$5:$D$1004,G$4,'資格研修記録'!$F$5:$F$1004,"")+COUNTIFS('資格研修記録'!$A$5:$A$1004,$A24,'資格研修記録'!$D$5:$D$1004,G$4,'資格研修記録'!$F$5:$F$1004,"&gt;="&amp;TODAY())&gt;0,"○","× 期限切れ"))))</f>
        <v/>
      </c>
      <c r="H24" s="15">
        <f>IF(OR($A24="",H$4=""),"",IF(AND(H$4="小型船舶2級",(COUNTIFS('資格研修記録'!$A$5:$A$1004,$A24,'資格研修記録'!$D$5:$D$1004,"小型船舶1級",'資格研修記録'!$F$5:$F$1004,"")+COUNTIFS('資格研修記録'!$A$5:$A$1004,$A24,'資格研修記録'!$D$5:$D$1004,"小型船舶1級",'資格研修記録'!$F$5:$F$1004,"&gt;="&amp;TODAY()))&gt;0),"1級に含む",IF(COUNTIFS('資格研修記録'!$A$5:$A$1004,$A24,'資格研修記録'!$D$5:$D$1004,H$4)=0,"—",IF(COUNTIFS('資格研修記録'!$A$5:$A$1004,$A24,'資格研修記録'!$D$5:$D$1004,H$4,'資格研修記録'!$F$5:$F$1004,"")+COUNTIFS('資格研修記録'!$A$5:$A$1004,$A24,'資格研修記録'!$D$5:$D$1004,H$4,'資格研修記録'!$F$5:$F$1004,"&gt;="&amp;TODAY())&gt;0,"○","× 期限切れ"))))</f>
        <v/>
      </c>
      <c r="I24" s="15">
        <f>IF(OR($A24="",I$4=""),"",IF(AND(I$4="小型船舶2級",(COUNTIFS('資格研修記録'!$A$5:$A$1004,$A24,'資格研修記録'!$D$5:$D$1004,"小型船舶1級",'資格研修記録'!$F$5:$F$1004,"")+COUNTIFS('資格研修記録'!$A$5:$A$1004,$A24,'資格研修記録'!$D$5:$D$1004,"小型船舶1級",'資格研修記録'!$F$5:$F$1004,"&gt;="&amp;TODAY()))&gt;0),"1級に含む",IF(COUNTIFS('資格研修記録'!$A$5:$A$1004,$A24,'資格研修記録'!$D$5:$D$1004,I$4)=0,"—",IF(COUNTIFS('資格研修記録'!$A$5:$A$1004,$A24,'資格研修記録'!$D$5:$D$1004,I$4,'資格研修記録'!$F$5:$F$1004,"")+COUNTIFS('資格研修記録'!$A$5:$A$1004,$A24,'資格研修記録'!$D$5:$D$1004,I$4,'資格研修記録'!$F$5:$F$1004,"&gt;="&amp;TODAY())&gt;0,"○","× 期限切れ"))))</f>
        <v/>
      </c>
      <c r="J24" s="15">
        <f>IF(OR($A24="",J$4=""),"",IF(AND(J$4="小型船舶2級",(COUNTIFS('資格研修記録'!$A$5:$A$1004,$A24,'資格研修記録'!$D$5:$D$1004,"小型船舶1級",'資格研修記録'!$F$5:$F$1004,"")+COUNTIFS('資格研修記録'!$A$5:$A$1004,$A24,'資格研修記録'!$D$5:$D$1004,"小型船舶1級",'資格研修記録'!$F$5:$F$1004,"&gt;="&amp;TODAY()))&gt;0),"1級に含む",IF(COUNTIFS('資格研修記録'!$A$5:$A$1004,$A24,'資格研修記録'!$D$5:$D$1004,J$4)=0,"—",IF(COUNTIFS('資格研修記録'!$A$5:$A$1004,$A24,'資格研修記録'!$D$5:$D$1004,J$4,'資格研修記録'!$F$5:$F$1004,"")+COUNTIFS('資格研修記録'!$A$5:$A$1004,$A24,'資格研修記録'!$D$5:$D$1004,J$4,'資格研修記録'!$F$5:$F$1004,"&gt;="&amp;TODAY())&gt;0,"○","× 期限切れ"))))</f>
        <v/>
      </c>
      <c r="K24" s="15">
        <f>IF(OR($A24="",K$4=""),"",IF(AND(K$4="小型船舶2級",(COUNTIFS('資格研修記録'!$A$5:$A$1004,$A24,'資格研修記録'!$D$5:$D$1004,"小型船舶1級",'資格研修記録'!$F$5:$F$1004,"")+COUNTIFS('資格研修記録'!$A$5:$A$1004,$A24,'資格研修記録'!$D$5:$D$1004,"小型船舶1級",'資格研修記録'!$F$5:$F$1004,"&gt;="&amp;TODAY()))&gt;0),"1級に含む",IF(COUNTIFS('資格研修記録'!$A$5:$A$1004,$A24,'資格研修記録'!$D$5:$D$1004,K$4)=0,"—",IF(COUNTIFS('資格研修記録'!$A$5:$A$1004,$A24,'資格研修記録'!$D$5:$D$1004,K$4,'資格研修記録'!$F$5:$F$1004,"")+COUNTIFS('資格研修記録'!$A$5:$A$1004,$A24,'資格研修記録'!$D$5:$D$1004,K$4,'資格研修記録'!$F$5:$F$1004,"&gt;="&amp;TODAY())&gt;0,"○","× 期限切れ"))))</f>
        <v/>
      </c>
      <c r="L24" s="15">
        <f>IF(OR($A24="",L$4=""),"",IF(AND(L$4="小型船舶2級",(COUNTIFS('資格研修記録'!$A$5:$A$1004,$A24,'資格研修記録'!$D$5:$D$1004,"小型船舶1級",'資格研修記録'!$F$5:$F$1004,"")+COUNTIFS('資格研修記録'!$A$5:$A$1004,$A24,'資格研修記録'!$D$5:$D$1004,"小型船舶1級",'資格研修記録'!$F$5:$F$1004,"&gt;="&amp;TODAY()))&gt;0),"1級に含む",IF(COUNTIFS('資格研修記録'!$A$5:$A$1004,$A24,'資格研修記録'!$D$5:$D$1004,L$4)=0,"—",IF(COUNTIFS('資格研修記録'!$A$5:$A$1004,$A24,'資格研修記録'!$D$5:$D$1004,L$4,'資格研修記録'!$F$5:$F$1004,"")+COUNTIFS('資格研修記録'!$A$5:$A$1004,$A24,'資格研修記録'!$D$5:$D$1004,L$4,'資格研修記録'!$F$5:$F$1004,"&gt;="&amp;TODAY())&gt;0,"○","× 期限切れ"))))</f>
        <v/>
      </c>
    </row>
    <row r="25">
      <c r="A25" s="14">
        <f>IF('隊員マスタ'!A25="","",'隊員マスタ'!A25)</f>
        <v/>
      </c>
      <c r="B25" s="14">
        <f>IF(A25="","",'隊員マスタ'!B25)</f>
        <v/>
      </c>
      <c r="C25" s="14">
        <f>IF(A25="","",'隊員マスタ'!C25)</f>
        <v/>
      </c>
      <c r="D25" s="15">
        <f>IF(A25="","",'隊員マスタ'!D25)</f>
        <v/>
      </c>
      <c r="E25" s="15">
        <f>IF(OR($A25="",E$4=""),"",IF(AND(E$4="小型船舶2級",(COUNTIFS('資格研修記録'!$A$5:$A$1004,$A25,'資格研修記録'!$D$5:$D$1004,"小型船舶1級",'資格研修記録'!$F$5:$F$1004,"")+COUNTIFS('資格研修記録'!$A$5:$A$1004,$A25,'資格研修記録'!$D$5:$D$1004,"小型船舶1級",'資格研修記録'!$F$5:$F$1004,"&gt;="&amp;TODAY()))&gt;0),"1級に含む",IF(COUNTIFS('資格研修記録'!$A$5:$A$1004,$A25,'資格研修記録'!$D$5:$D$1004,E$4)=0,"—",IF(COUNTIFS('資格研修記録'!$A$5:$A$1004,$A25,'資格研修記録'!$D$5:$D$1004,E$4,'資格研修記録'!$F$5:$F$1004,"")+COUNTIFS('資格研修記録'!$A$5:$A$1004,$A25,'資格研修記録'!$D$5:$D$1004,E$4,'資格研修記録'!$F$5:$F$1004,"&gt;="&amp;TODAY())&gt;0,"○","× 期限切れ"))))</f>
        <v/>
      </c>
      <c r="F25" s="15">
        <f>IF(OR($A25="",F$4=""),"",IF(AND(F$4="小型船舶2級",(COUNTIFS('資格研修記録'!$A$5:$A$1004,$A25,'資格研修記録'!$D$5:$D$1004,"小型船舶1級",'資格研修記録'!$F$5:$F$1004,"")+COUNTIFS('資格研修記録'!$A$5:$A$1004,$A25,'資格研修記録'!$D$5:$D$1004,"小型船舶1級",'資格研修記録'!$F$5:$F$1004,"&gt;="&amp;TODAY()))&gt;0),"1級に含む",IF(COUNTIFS('資格研修記録'!$A$5:$A$1004,$A25,'資格研修記録'!$D$5:$D$1004,F$4)=0,"—",IF(COUNTIFS('資格研修記録'!$A$5:$A$1004,$A25,'資格研修記録'!$D$5:$D$1004,F$4,'資格研修記録'!$F$5:$F$1004,"")+COUNTIFS('資格研修記録'!$A$5:$A$1004,$A25,'資格研修記録'!$D$5:$D$1004,F$4,'資格研修記録'!$F$5:$F$1004,"&gt;="&amp;TODAY())&gt;0,"○","× 期限切れ"))))</f>
        <v/>
      </c>
      <c r="G25" s="15">
        <f>IF(OR($A25="",G$4=""),"",IF(AND(G$4="小型船舶2級",(COUNTIFS('資格研修記録'!$A$5:$A$1004,$A25,'資格研修記録'!$D$5:$D$1004,"小型船舶1級",'資格研修記録'!$F$5:$F$1004,"")+COUNTIFS('資格研修記録'!$A$5:$A$1004,$A25,'資格研修記録'!$D$5:$D$1004,"小型船舶1級",'資格研修記録'!$F$5:$F$1004,"&gt;="&amp;TODAY()))&gt;0),"1級に含む",IF(COUNTIFS('資格研修記録'!$A$5:$A$1004,$A25,'資格研修記録'!$D$5:$D$1004,G$4)=0,"—",IF(COUNTIFS('資格研修記録'!$A$5:$A$1004,$A25,'資格研修記録'!$D$5:$D$1004,G$4,'資格研修記録'!$F$5:$F$1004,"")+COUNTIFS('資格研修記録'!$A$5:$A$1004,$A25,'資格研修記録'!$D$5:$D$1004,G$4,'資格研修記録'!$F$5:$F$1004,"&gt;="&amp;TODAY())&gt;0,"○","× 期限切れ"))))</f>
        <v/>
      </c>
      <c r="H25" s="15">
        <f>IF(OR($A25="",H$4=""),"",IF(AND(H$4="小型船舶2級",(COUNTIFS('資格研修記録'!$A$5:$A$1004,$A25,'資格研修記録'!$D$5:$D$1004,"小型船舶1級",'資格研修記録'!$F$5:$F$1004,"")+COUNTIFS('資格研修記録'!$A$5:$A$1004,$A25,'資格研修記録'!$D$5:$D$1004,"小型船舶1級",'資格研修記録'!$F$5:$F$1004,"&gt;="&amp;TODAY()))&gt;0),"1級に含む",IF(COUNTIFS('資格研修記録'!$A$5:$A$1004,$A25,'資格研修記録'!$D$5:$D$1004,H$4)=0,"—",IF(COUNTIFS('資格研修記録'!$A$5:$A$1004,$A25,'資格研修記録'!$D$5:$D$1004,H$4,'資格研修記録'!$F$5:$F$1004,"")+COUNTIFS('資格研修記録'!$A$5:$A$1004,$A25,'資格研修記録'!$D$5:$D$1004,H$4,'資格研修記録'!$F$5:$F$1004,"&gt;="&amp;TODAY())&gt;0,"○","× 期限切れ"))))</f>
        <v/>
      </c>
      <c r="I25" s="15">
        <f>IF(OR($A25="",I$4=""),"",IF(AND(I$4="小型船舶2級",(COUNTIFS('資格研修記録'!$A$5:$A$1004,$A25,'資格研修記録'!$D$5:$D$1004,"小型船舶1級",'資格研修記録'!$F$5:$F$1004,"")+COUNTIFS('資格研修記録'!$A$5:$A$1004,$A25,'資格研修記録'!$D$5:$D$1004,"小型船舶1級",'資格研修記録'!$F$5:$F$1004,"&gt;="&amp;TODAY()))&gt;0),"1級に含む",IF(COUNTIFS('資格研修記録'!$A$5:$A$1004,$A25,'資格研修記録'!$D$5:$D$1004,I$4)=0,"—",IF(COUNTIFS('資格研修記録'!$A$5:$A$1004,$A25,'資格研修記録'!$D$5:$D$1004,I$4,'資格研修記録'!$F$5:$F$1004,"")+COUNTIFS('資格研修記録'!$A$5:$A$1004,$A25,'資格研修記録'!$D$5:$D$1004,I$4,'資格研修記録'!$F$5:$F$1004,"&gt;="&amp;TODAY())&gt;0,"○","× 期限切れ"))))</f>
        <v/>
      </c>
      <c r="J25" s="15">
        <f>IF(OR($A25="",J$4=""),"",IF(AND(J$4="小型船舶2級",(COUNTIFS('資格研修記録'!$A$5:$A$1004,$A25,'資格研修記録'!$D$5:$D$1004,"小型船舶1級",'資格研修記録'!$F$5:$F$1004,"")+COUNTIFS('資格研修記録'!$A$5:$A$1004,$A25,'資格研修記録'!$D$5:$D$1004,"小型船舶1級",'資格研修記録'!$F$5:$F$1004,"&gt;="&amp;TODAY()))&gt;0),"1級に含む",IF(COUNTIFS('資格研修記録'!$A$5:$A$1004,$A25,'資格研修記録'!$D$5:$D$1004,J$4)=0,"—",IF(COUNTIFS('資格研修記録'!$A$5:$A$1004,$A25,'資格研修記録'!$D$5:$D$1004,J$4,'資格研修記録'!$F$5:$F$1004,"")+COUNTIFS('資格研修記録'!$A$5:$A$1004,$A25,'資格研修記録'!$D$5:$D$1004,J$4,'資格研修記録'!$F$5:$F$1004,"&gt;="&amp;TODAY())&gt;0,"○","× 期限切れ"))))</f>
        <v/>
      </c>
      <c r="K25" s="15">
        <f>IF(OR($A25="",K$4=""),"",IF(AND(K$4="小型船舶2級",(COUNTIFS('資格研修記録'!$A$5:$A$1004,$A25,'資格研修記録'!$D$5:$D$1004,"小型船舶1級",'資格研修記録'!$F$5:$F$1004,"")+COUNTIFS('資格研修記録'!$A$5:$A$1004,$A25,'資格研修記録'!$D$5:$D$1004,"小型船舶1級",'資格研修記録'!$F$5:$F$1004,"&gt;="&amp;TODAY()))&gt;0),"1級に含む",IF(COUNTIFS('資格研修記録'!$A$5:$A$1004,$A25,'資格研修記録'!$D$5:$D$1004,K$4)=0,"—",IF(COUNTIFS('資格研修記録'!$A$5:$A$1004,$A25,'資格研修記録'!$D$5:$D$1004,K$4,'資格研修記録'!$F$5:$F$1004,"")+COUNTIFS('資格研修記録'!$A$5:$A$1004,$A25,'資格研修記録'!$D$5:$D$1004,K$4,'資格研修記録'!$F$5:$F$1004,"&gt;="&amp;TODAY())&gt;0,"○","× 期限切れ"))))</f>
        <v/>
      </c>
      <c r="L25" s="15">
        <f>IF(OR($A25="",L$4=""),"",IF(AND(L$4="小型船舶2級",(COUNTIFS('資格研修記録'!$A$5:$A$1004,$A25,'資格研修記録'!$D$5:$D$1004,"小型船舶1級",'資格研修記録'!$F$5:$F$1004,"")+COUNTIFS('資格研修記録'!$A$5:$A$1004,$A25,'資格研修記録'!$D$5:$D$1004,"小型船舶1級",'資格研修記録'!$F$5:$F$1004,"&gt;="&amp;TODAY()))&gt;0),"1級に含む",IF(COUNTIFS('資格研修記録'!$A$5:$A$1004,$A25,'資格研修記録'!$D$5:$D$1004,L$4)=0,"—",IF(COUNTIFS('資格研修記録'!$A$5:$A$1004,$A25,'資格研修記録'!$D$5:$D$1004,L$4,'資格研修記録'!$F$5:$F$1004,"")+COUNTIFS('資格研修記録'!$A$5:$A$1004,$A25,'資格研修記録'!$D$5:$D$1004,L$4,'資格研修記録'!$F$5:$F$1004,"&gt;="&amp;TODAY())&gt;0,"○","× 期限切れ"))))</f>
        <v/>
      </c>
    </row>
    <row r="26">
      <c r="A26" s="14">
        <f>IF('隊員マスタ'!A26="","",'隊員マスタ'!A26)</f>
        <v/>
      </c>
      <c r="B26" s="14">
        <f>IF(A26="","",'隊員マスタ'!B26)</f>
        <v/>
      </c>
      <c r="C26" s="14">
        <f>IF(A26="","",'隊員マスタ'!C26)</f>
        <v/>
      </c>
      <c r="D26" s="15">
        <f>IF(A26="","",'隊員マスタ'!D26)</f>
        <v/>
      </c>
      <c r="E26" s="15">
        <f>IF(OR($A26="",E$4=""),"",IF(AND(E$4="小型船舶2級",(COUNTIFS('資格研修記録'!$A$5:$A$1004,$A26,'資格研修記録'!$D$5:$D$1004,"小型船舶1級",'資格研修記録'!$F$5:$F$1004,"")+COUNTIFS('資格研修記録'!$A$5:$A$1004,$A26,'資格研修記録'!$D$5:$D$1004,"小型船舶1級",'資格研修記録'!$F$5:$F$1004,"&gt;="&amp;TODAY()))&gt;0),"1級に含む",IF(COUNTIFS('資格研修記録'!$A$5:$A$1004,$A26,'資格研修記録'!$D$5:$D$1004,E$4)=0,"—",IF(COUNTIFS('資格研修記録'!$A$5:$A$1004,$A26,'資格研修記録'!$D$5:$D$1004,E$4,'資格研修記録'!$F$5:$F$1004,"")+COUNTIFS('資格研修記録'!$A$5:$A$1004,$A26,'資格研修記録'!$D$5:$D$1004,E$4,'資格研修記録'!$F$5:$F$1004,"&gt;="&amp;TODAY())&gt;0,"○","× 期限切れ"))))</f>
        <v/>
      </c>
      <c r="F26" s="15">
        <f>IF(OR($A26="",F$4=""),"",IF(AND(F$4="小型船舶2級",(COUNTIFS('資格研修記録'!$A$5:$A$1004,$A26,'資格研修記録'!$D$5:$D$1004,"小型船舶1級",'資格研修記録'!$F$5:$F$1004,"")+COUNTIFS('資格研修記録'!$A$5:$A$1004,$A26,'資格研修記録'!$D$5:$D$1004,"小型船舶1級",'資格研修記録'!$F$5:$F$1004,"&gt;="&amp;TODAY()))&gt;0),"1級に含む",IF(COUNTIFS('資格研修記録'!$A$5:$A$1004,$A26,'資格研修記録'!$D$5:$D$1004,F$4)=0,"—",IF(COUNTIFS('資格研修記録'!$A$5:$A$1004,$A26,'資格研修記録'!$D$5:$D$1004,F$4,'資格研修記録'!$F$5:$F$1004,"")+COUNTIFS('資格研修記録'!$A$5:$A$1004,$A26,'資格研修記録'!$D$5:$D$1004,F$4,'資格研修記録'!$F$5:$F$1004,"&gt;="&amp;TODAY())&gt;0,"○","× 期限切れ"))))</f>
        <v/>
      </c>
      <c r="G26" s="15">
        <f>IF(OR($A26="",G$4=""),"",IF(AND(G$4="小型船舶2級",(COUNTIFS('資格研修記録'!$A$5:$A$1004,$A26,'資格研修記録'!$D$5:$D$1004,"小型船舶1級",'資格研修記録'!$F$5:$F$1004,"")+COUNTIFS('資格研修記録'!$A$5:$A$1004,$A26,'資格研修記録'!$D$5:$D$1004,"小型船舶1級",'資格研修記録'!$F$5:$F$1004,"&gt;="&amp;TODAY()))&gt;0),"1級に含む",IF(COUNTIFS('資格研修記録'!$A$5:$A$1004,$A26,'資格研修記録'!$D$5:$D$1004,G$4)=0,"—",IF(COUNTIFS('資格研修記録'!$A$5:$A$1004,$A26,'資格研修記録'!$D$5:$D$1004,G$4,'資格研修記録'!$F$5:$F$1004,"")+COUNTIFS('資格研修記録'!$A$5:$A$1004,$A26,'資格研修記録'!$D$5:$D$1004,G$4,'資格研修記録'!$F$5:$F$1004,"&gt;="&amp;TODAY())&gt;0,"○","× 期限切れ"))))</f>
        <v/>
      </c>
      <c r="H26" s="15">
        <f>IF(OR($A26="",H$4=""),"",IF(AND(H$4="小型船舶2級",(COUNTIFS('資格研修記録'!$A$5:$A$1004,$A26,'資格研修記録'!$D$5:$D$1004,"小型船舶1級",'資格研修記録'!$F$5:$F$1004,"")+COUNTIFS('資格研修記録'!$A$5:$A$1004,$A26,'資格研修記録'!$D$5:$D$1004,"小型船舶1級",'資格研修記録'!$F$5:$F$1004,"&gt;="&amp;TODAY()))&gt;0),"1級に含む",IF(COUNTIFS('資格研修記録'!$A$5:$A$1004,$A26,'資格研修記録'!$D$5:$D$1004,H$4)=0,"—",IF(COUNTIFS('資格研修記録'!$A$5:$A$1004,$A26,'資格研修記録'!$D$5:$D$1004,H$4,'資格研修記録'!$F$5:$F$1004,"")+COUNTIFS('資格研修記録'!$A$5:$A$1004,$A26,'資格研修記録'!$D$5:$D$1004,H$4,'資格研修記録'!$F$5:$F$1004,"&gt;="&amp;TODAY())&gt;0,"○","× 期限切れ"))))</f>
        <v/>
      </c>
      <c r="I26" s="15">
        <f>IF(OR($A26="",I$4=""),"",IF(AND(I$4="小型船舶2級",(COUNTIFS('資格研修記録'!$A$5:$A$1004,$A26,'資格研修記録'!$D$5:$D$1004,"小型船舶1級",'資格研修記録'!$F$5:$F$1004,"")+COUNTIFS('資格研修記録'!$A$5:$A$1004,$A26,'資格研修記録'!$D$5:$D$1004,"小型船舶1級",'資格研修記録'!$F$5:$F$1004,"&gt;="&amp;TODAY()))&gt;0),"1級に含む",IF(COUNTIFS('資格研修記録'!$A$5:$A$1004,$A26,'資格研修記録'!$D$5:$D$1004,I$4)=0,"—",IF(COUNTIFS('資格研修記録'!$A$5:$A$1004,$A26,'資格研修記録'!$D$5:$D$1004,I$4,'資格研修記録'!$F$5:$F$1004,"")+COUNTIFS('資格研修記録'!$A$5:$A$1004,$A26,'資格研修記録'!$D$5:$D$1004,I$4,'資格研修記録'!$F$5:$F$1004,"&gt;="&amp;TODAY())&gt;0,"○","× 期限切れ"))))</f>
        <v/>
      </c>
      <c r="J26" s="15">
        <f>IF(OR($A26="",J$4=""),"",IF(AND(J$4="小型船舶2級",(COUNTIFS('資格研修記録'!$A$5:$A$1004,$A26,'資格研修記録'!$D$5:$D$1004,"小型船舶1級",'資格研修記録'!$F$5:$F$1004,"")+COUNTIFS('資格研修記録'!$A$5:$A$1004,$A26,'資格研修記録'!$D$5:$D$1004,"小型船舶1級",'資格研修記録'!$F$5:$F$1004,"&gt;="&amp;TODAY()))&gt;0),"1級に含む",IF(COUNTIFS('資格研修記録'!$A$5:$A$1004,$A26,'資格研修記録'!$D$5:$D$1004,J$4)=0,"—",IF(COUNTIFS('資格研修記録'!$A$5:$A$1004,$A26,'資格研修記録'!$D$5:$D$1004,J$4,'資格研修記録'!$F$5:$F$1004,"")+COUNTIFS('資格研修記録'!$A$5:$A$1004,$A26,'資格研修記録'!$D$5:$D$1004,J$4,'資格研修記録'!$F$5:$F$1004,"&gt;="&amp;TODAY())&gt;0,"○","× 期限切れ"))))</f>
        <v/>
      </c>
      <c r="K26" s="15">
        <f>IF(OR($A26="",K$4=""),"",IF(AND(K$4="小型船舶2級",(COUNTIFS('資格研修記録'!$A$5:$A$1004,$A26,'資格研修記録'!$D$5:$D$1004,"小型船舶1級",'資格研修記録'!$F$5:$F$1004,"")+COUNTIFS('資格研修記録'!$A$5:$A$1004,$A26,'資格研修記録'!$D$5:$D$1004,"小型船舶1級",'資格研修記録'!$F$5:$F$1004,"&gt;="&amp;TODAY()))&gt;0),"1級に含む",IF(COUNTIFS('資格研修記録'!$A$5:$A$1004,$A26,'資格研修記録'!$D$5:$D$1004,K$4)=0,"—",IF(COUNTIFS('資格研修記録'!$A$5:$A$1004,$A26,'資格研修記録'!$D$5:$D$1004,K$4,'資格研修記録'!$F$5:$F$1004,"")+COUNTIFS('資格研修記録'!$A$5:$A$1004,$A26,'資格研修記録'!$D$5:$D$1004,K$4,'資格研修記録'!$F$5:$F$1004,"&gt;="&amp;TODAY())&gt;0,"○","× 期限切れ"))))</f>
        <v/>
      </c>
      <c r="L26" s="15">
        <f>IF(OR($A26="",L$4=""),"",IF(AND(L$4="小型船舶2級",(COUNTIFS('資格研修記録'!$A$5:$A$1004,$A26,'資格研修記録'!$D$5:$D$1004,"小型船舶1級",'資格研修記録'!$F$5:$F$1004,"")+COUNTIFS('資格研修記録'!$A$5:$A$1004,$A26,'資格研修記録'!$D$5:$D$1004,"小型船舶1級",'資格研修記録'!$F$5:$F$1004,"&gt;="&amp;TODAY()))&gt;0),"1級に含む",IF(COUNTIFS('資格研修記録'!$A$5:$A$1004,$A26,'資格研修記録'!$D$5:$D$1004,L$4)=0,"—",IF(COUNTIFS('資格研修記録'!$A$5:$A$1004,$A26,'資格研修記録'!$D$5:$D$1004,L$4,'資格研修記録'!$F$5:$F$1004,"")+COUNTIFS('資格研修記録'!$A$5:$A$1004,$A26,'資格研修記録'!$D$5:$D$1004,L$4,'資格研修記録'!$F$5:$F$1004,"&gt;="&amp;TODAY())&gt;0,"○","× 期限切れ"))))</f>
        <v/>
      </c>
    </row>
    <row r="27">
      <c r="A27" s="14">
        <f>IF('隊員マスタ'!A27="","",'隊員マスタ'!A27)</f>
        <v/>
      </c>
      <c r="B27" s="14">
        <f>IF(A27="","",'隊員マスタ'!B27)</f>
        <v/>
      </c>
      <c r="C27" s="14">
        <f>IF(A27="","",'隊員マスタ'!C27)</f>
        <v/>
      </c>
      <c r="D27" s="15">
        <f>IF(A27="","",'隊員マスタ'!D27)</f>
        <v/>
      </c>
      <c r="E27" s="15">
        <f>IF(OR($A27="",E$4=""),"",IF(AND(E$4="小型船舶2級",(COUNTIFS('資格研修記録'!$A$5:$A$1004,$A27,'資格研修記録'!$D$5:$D$1004,"小型船舶1級",'資格研修記録'!$F$5:$F$1004,"")+COUNTIFS('資格研修記録'!$A$5:$A$1004,$A27,'資格研修記録'!$D$5:$D$1004,"小型船舶1級",'資格研修記録'!$F$5:$F$1004,"&gt;="&amp;TODAY()))&gt;0),"1級に含む",IF(COUNTIFS('資格研修記録'!$A$5:$A$1004,$A27,'資格研修記録'!$D$5:$D$1004,E$4)=0,"—",IF(COUNTIFS('資格研修記録'!$A$5:$A$1004,$A27,'資格研修記録'!$D$5:$D$1004,E$4,'資格研修記録'!$F$5:$F$1004,"")+COUNTIFS('資格研修記録'!$A$5:$A$1004,$A27,'資格研修記録'!$D$5:$D$1004,E$4,'資格研修記録'!$F$5:$F$1004,"&gt;="&amp;TODAY())&gt;0,"○","× 期限切れ"))))</f>
        <v/>
      </c>
      <c r="F27" s="15">
        <f>IF(OR($A27="",F$4=""),"",IF(AND(F$4="小型船舶2級",(COUNTIFS('資格研修記録'!$A$5:$A$1004,$A27,'資格研修記録'!$D$5:$D$1004,"小型船舶1級",'資格研修記録'!$F$5:$F$1004,"")+COUNTIFS('資格研修記録'!$A$5:$A$1004,$A27,'資格研修記録'!$D$5:$D$1004,"小型船舶1級",'資格研修記録'!$F$5:$F$1004,"&gt;="&amp;TODAY()))&gt;0),"1級に含む",IF(COUNTIFS('資格研修記録'!$A$5:$A$1004,$A27,'資格研修記録'!$D$5:$D$1004,F$4)=0,"—",IF(COUNTIFS('資格研修記録'!$A$5:$A$1004,$A27,'資格研修記録'!$D$5:$D$1004,F$4,'資格研修記録'!$F$5:$F$1004,"")+COUNTIFS('資格研修記録'!$A$5:$A$1004,$A27,'資格研修記録'!$D$5:$D$1004,F$4,'資格研修記録'!$F$5:$F$1004,"&gt;="&amp;TODAY())&gt;0,"○","× 期限切れ"))))</f>
        <v/>
      </c>
      <c r="G27" s="15">
        <f>IF(OR($A27="",G$4=""),"",IF(AND(G$4="小型船舶2級",(COUNTIFS('資格研修記録'!$A$5:$A$1004,$A27,'資格研修記録'!$D$5:$D$1004,"小型船舶1級",'資格研修記録'!$F$5:$F$1004,"")+COUNTIFS('資格研修記録'!$A$5:$A$1004,$A27,'資格研修記録'!$D$5:$D$1004,"小型船舶1級",'資格研修記録'!$F$5:$F$1004,"&gt;="&amp;TODAY()))&gt;0),"1級に含む",IF(COUNTIFS('資格研修記録'!$A$5:$A$1004,$A27,'資格研修記録'!$D$5:$D$1004,G$4)=0,"—",IF(COUNTIFS('資格研修記録'!$A$5:$A$1004,$A27,'資格研修記録'!$D$5:$D$1004,G$4,'資格研修記録'!$F$5:$F$1004,"")+COUNTIFS('資格研修記録'!$A$5:$A$1004,$A27,'資格研修記録'!$D$5:$D$1004,G$4,'資格研修記録'!$F$5:$F$1004,"&gt;="&amp;TODAY())&gt;0,"○","× 期限切れ"))))</f>
        <v/>
      </c>
      <c r="H27" s="15">
        <f>IF(OR($A27="",H$4=""),"",IF(AND(H$4="小型船舶2級",(COUNTIFS('資格研修記録'!$A$5:$A$1004,$A27,'資格研修記録'!$D$5:$D$1004,"小型船舶1級",'資格研修記録'!$F$5:$F$1004,"")+COUNTIFS('資格研修記録'!$A$5:$A$1004,$A27,'資格研修記録'!$D$5:$D$1004,"小型船舶1級",'資格研修記録'!$F$5:$F$1004,"&gt;="&amp;TODAY()))&gt;0),"1級に含む",IF(COUNTIFS('資格研修記録'!$A$5:$A$1004,$A27,'資格研修記録'!$D$5:$D$1004,H$4)=0,"—",IF(COUNTIFS('資格研修記録'!$A$5:$A$1004,$A27,'資格研修記録'!$D$5:$D$1004,H$4,'資格研修記録'!$F$5:$F$1004,"")+COUNTIFS('資格研修記録'!$A$5:$A$1004,$A27,'資格研修記録'!$D$5:$D$1004,H$4,'資格研修記録'!$F$5:$F$1004,"&gt;="&amp;TODAY())&gt;0,"○","× 期限切れ"))))</f>
        <v/>
      </c>
      <c r="I27" s="15">
        <f>IF(OR($A27="",I$4=""),"",IF(AND(I$4="小型船舶2級",(COUNTIFS('資格研修記録'!$A$5:$A$1004,$A27,'資格研修記録'!$D$5:$D$1004,"小型船舶1級",'資格研修記録'!$F$5:$F$1004,"")+COUNTIFS('資格研修記録'!$A$5:$A$1004,$A27,'資格研修記録'!$D$5:$D$1004,"小型船舶1級",'資格研修記録'!$F$5:$F$1004,"&gt;="&amp;TODAY()))&gt;0),"1級に含む",IF(COUNTIFS('資格研修記録'!$A$5:$A$1004,$A27,'資格研修記録'!$D$5:$D$1004,I$4)=0,"—",IF(COUNTIFS('資格研修記録'!$A$5:$A$1004,$A27,'資格研修記録'!$D$5:$D$1004,I$4,'資格研修記録'!$F$5:$F$1004,"")+COUNTIFS('資格研修記録'!$A$5:$A$1004,$A27,'資格研修記録'!$D$5:$D$1004,I$4,'資格研修記録'!$F$5:$F$1004,"&gt;="&amp;TODAY())&gt;0,"○","× 期限切れ"))))</f>
        <v/>
      </c>
      <c r="J27" s="15">
        <f>IF(OR($A27="",J$4=""),"",IF(AND(J$4="小型船舶2級",(COUNTIFS('資格研修記録'!$A$5:$A$1004,$A27,'資格研修記録'!$D$5:$D$1004,"小型船舶1級",'資格研修記録'!$F$5:$F$1004,"")+COUNTIFS('資格研修記録'!$A$5:$A$1004,$A27,'資格研修記録'!$D$5:$D$1004,"小型船舶1級",'資格研修記録'!$F$5:$F$1004,"&gt;="&amp;TODAY()))&gt;0),"1級に含む",IF(COUNTIFS('資格研修記録'!$A$5:$A$1004,$A27,'資格研修記録'!$D$5:$D$1004,J$4)=0,"—",IF(COUNTIFS('資格研修記録'!$A$5:$A$1004,$A27,'資格研修記録'!$D$5:$D$1004,J$4,'資格研修記録'!$F$5:$F$1004,"")+COUNTIFS('資格研修記録'!$A$5:$A$1004,$A27,'資格研修記録'!$D$5:$D$1004,J$4,'資格研修記録'!$F$5:$F$1004,"&gt;="&amp;TODAY())&gt;0,"○","× 期限切れ"))))</f>
        <v/>
      </c>
      <c r="K27" s="15">
        <f>IF(OR($A27="",K$4=""),"",IF(AND(K$4="小型船舶2級",(COUNTIFS('資格研修記録'!$A$5:$A$1004,$A27,'資格研修記録'!$D$5:$D$1004,"小型船舶1級",'資格研修記録'!$F$5:$F$1004,"")+COUNTIFS('資格研修記録'!$A$5:$A$1004,$A27,'資格研修記録'!$D$5:$D$1004,"小型船舶1級",'資格研修記録'!$F$5:$F$1004,"&gt;="&amp;TODAY()))&gt;0),"1級に含む",IF(COUNTIFS('資格研修記録'!$A$5:$A$1004,$A27,'資格研修記録'!$D$5:$D$1004,K$4)=0,"—",IF(COUNTIFS('資格研修記録'!$A$5:$A$1004,$A27,'資格研修記録'!$D$5:$D$1004,K$4,'資格研修記録'!$F$5:$F$1004,"")+COUNTIFS('資格研修記録'!$A$5:$A$1004,$A27,'資格研修記録'!$D$5:$D$1004,K$4,'資格研修記録'!$F$5:$F$1004,"&gt;="&amp;TODAY())&gt;0,"○","× 期限切れ"))))</f>
        <v/>
      </c>
      <c r="L27" s="15">
        <f>IF(OR($A27="",L$4=""),"",IF(AND(L$4="小型船舶2級",(COUNTIFS('資格研修記録'!$A$5:$A$1004,$A27,'資格研修記録'!$D$5:$D$1004,"小型船舶1級",'資格研修記録'!$F$5:$F$1004,"")+COUNTIFS('資格研修記録'!$A$5:$A$1004,$A27,'資格研修記録'!$D$5:$D$1004,"小型船舶1級",'資格研修記録'!$F$5:$F$1004,"&gt;="&amp;TODAY()))&gt;0),"1級に含む",IF(COUNTIFS('資格研修記録'!$A$5:$A$1004,$A27,'資格研修記録'!$D$5:$D$1004,L$4)=0,"—",IF(COUNTIFS('資格研修記録'!$A$5:$A$1004,$A27,'資格研修記録'!$D$5:$D$1004,L$4,'資格研修記録'!$F$5:$F$1004,"")+COUNTIFS('資格研修記録'!$A$5:$A$1004,$A27,'資格研修記録'!$D$5:$D$1004,L$4,'資格研修記録'!$F$5:$F$1004,"&gt;="&amp;TODAY())&gt;0,"○","× 期限切れ"))))</f>
        <v/>
      </c>
    </row>
    <row r="28">
      <c r="A28" s="14">
        <f>IF('隊員マスタ'!A28="","",'隊員マスタ'!A28)</f>
        <v/>
      </c>
      <c r="B28" s="14">
        <f>IF(A28="","",'隊員マスタ'!B28)</f>
        <v/>
      </c>
      <c r="C28" s="14">
        <f>IF(A28="","",'隊員マスタ'!C28)</f>
        <v/>
      </c>
      <c r="D28" s="15">
        <f>IF(A28="","",'隊員マスタ'!D28)</f>
        <v/>
      </c>
      <c r="E28" s="15">
        <f>IF(OR($A28="",E$4=""),"",IF(AND(E$4="小型船舶2級",(COUNTIFS('資格研修記録'!$A$5:$A$1004,$A28,'資格研修記録'!$D$5:$D$1004,"小型船舶1級",'資格研修記録'!$F$5:$F$1004,"")+COUNTIFS('資格研修記録'!$A$5:$A$1004,$A28,'資格研修記録'!$D$5:$D$1004,"小型船舶1級",'資格研修記録'!$F$5:$F$1004,"&gt;="&amp;TODAY()))&gt;0),"1級に含む",IF(COUNTIFS('資格研修記録'!$A$5:$A$1004,$A28,'資格研修記録'!$D$5:$D$1004,E$4)=0,"—",IF(COUNTIFS('資格研修記録'!$A$5:$A$1004,$A28,'資格研修記録'!$D$5:$D$1004,E$4,'資格研修記録'!$F$5:$F$1004,"")+COUNTIFS('資格研修記録'!$A$5:$A$1004,$A28,'資格研修記録'!$D$5:$D$1004,E$4,'資格研修記録'!$F$5:$F$1004,"&gt;="&amp;TODAY())&gt;0,"○","× 期限切れ"))))</f>
        <v/>
      </c>
      <c r="F28" s="15">
        <f>IF(OR($A28="",F$4=""),"",IF(AND(F$4="小型船舶2級",(COUNTIFS('資格研修記録'!$A$5:$A$1004,$A28,'資格研修記録'!$D$5:$D$1004,"小型船舶1級",'資格研修記録'!$F$5:$F$1004,"")+COUNTIFS('資格研修記録'!$A$5:$A$1004,$A28,'資格研修記録'!$D$5:$D$1004,"小型船舶1級",'資格研修記録'!$F$5:$F$1004,"&gt;="&amp;TODAY()))&gt;0),"1級に含む",IF(COUNTIFS('資格研修記録'!$A$5:$A$1004,$A28,'資格研修記録'!$D$5:$D$1004,F$4)=0,"—",IF(COUNTIFS('資格研修記録'!$A$5:$A$1004,$A28,'資格研修記録'!$D$5:$D$1004,F$4,'資格研修記録'!$F$5:$F$1004,"")+COUNTIFS('資格研修記録'!$A$5:$A$1004,$A28,'資格研修記録'!$D$5:$D$1004,F$4,'資格研修記録'!$F$5:$F$1004,"&gt;="&amp;TODAY())&gt;0,"○","× 期限切れ"))))</f>
        <v/>
      </c>
      <c r="G28" s="15">
        <f>IF(OR($A28="",G$4=""),"",IF(AND(G$4="小型船舶2級",(COUNTIFS('資格研修記録'!$A$5:$A$1004,$A28,'資格研修記録'!$D$5:$D$1004,"小型船舶1級",'資格研修記録'!$F$5:$F$1004,"")+COUNTIFS('資格研修記録'!$A$5:$A$1004,$A28,'資格研修記録'!$D$5:$D$1004,"小型船舶1級",'資格研修記録'!$F$5:$F$1004,"&gt;="&amp;TODAY()))&gt;0),"1級に含む",IF(COUNTIFS('資格研修記録'!$A$5:$A$1004,$A28,'資格研修記録'!$D$5:$D$1004,G$4)=0,"—",IF(COUNTIFS('資格研修記録'!$A$5:$A$1004,$A28,'資格研修記録'!$D$5:$D$1004,G$4,'資格研修記録'!$F$5:$F$1004,"")+COUNTIFS('資格研修記録'!$A$5:$A$1004,$A28,'資格研修記録'!$D$5:$D$1004,G$4,'資格研修記録'!$F$5:$F$1004,"&gt;="&amp;TODAY())&gt;0,"○","× 期限切れ"))))</f>
        <v/>
      </c>
      <c r="H28" s="15">
        <f>IF(OR($A28="",H$4=""),"",IF(AND(H$4="小型船舶2級",(COUNTIFS('資格研修記録'!$A$5:$A$1004,$A28,'資格研修記録'!$D$5:$D$1004,"小型船舶1級",'資格研修記録'!$F$5:$F$1004,"")+COUNTIFS('資格研修記録'!$A$5:$A$1004,$A28,'資格研修記録'!$D$5:$D$1004,"小型船舶1級",'資格研修記録'!$F$5:$F$1004,"&gt;="&amp;TODAY()))&gt;0),"1級に含む",IF(COUNTIFS('資格研修記録'!$A$5:$A$1004,$A28,'資格研修記録'!$D$5:$D$1004,H$4)=0,"—",IF(COUNTIFS('資格研修記録'!$A$5:$A$1004,$A28,'資格研修記録'!$D$5:$D$1004,H$4,'資格研修記録'!$F$5:$F$1004,"")+COUNTIFS('資格研修記録'!$A$5:$A$1004,$A28,'資格研修記録'!$D$5:$D$1004,H$4,'資格研修記録'!$F$5:$F$1004,"&gt;="&amp;TODAY())&gt;0,"○","× 期限切れ"))))</f>
        <v/>
      </c>
      <c r="I28" s="15">
        <f>IF(OR($A28="",I$4=""),"",IF(AND(I$4="小型船舶2級",(COUNTIFS('資格研修記録'!$A$5:$A$1004,$A28,'資格研修記録'!$D$5:$D$1004,"小型船舶1級",'資格研修記録'!$F$5:$F$1004,"")+COUNTIFS('資格研修記録'!$A$5:$A$1004,$A28,'資格研修記録'!$D$5:$D$1004,"小型船舶1級",'資格研修記録'!$F$5:$F$1004,"&gt;="&amp;TODAY()))&gt;0),"1級に含む",IF(COUNTIFS('資格研修記録'!$A$5:$A$1004,$A28,'資格研修記録'!$D$5:$D$1004,I$4)=0,"—",IF(COUNTIFS('資格研修記録'!$A$5:$A$1004,$A28,'資格研修記録'!$D$5:$D$1004,I$4,'資格研修記録'!$F$5:$F$1004,"")+COUNTIFS('資格研修記録'!$A$5:$A$1004,$A28,'資格研修記録'!$D$5:$D$1004,I$4,'資格研修記録'!$F$5:$F$1004,"&gt;="&amp;TODAY())&gt;0,"○","× 期限切れ"))))</f>
        <v/>
      </c>
      <c r="J28" s="15">
        <f>IF(OR($A28="",J$4=""),"",IF(AND(J$4="小型船舶2級",(COUNTIFS('資格研修記録'!$A$5:$A$1004,$A28,'資格研修記録'!$D$5:$D$1004,"小型船舶1級",'資格研修記録'!$F$5:$F$1004,"")+COUNTIFS('資格研修記録'!$A$5:$A$1004,$A28,'資格研修記録'!$D$5:$D$1004,"小型船舶1級",'資格研修記録'!$F$5:$F$1004,"&gt;="&amp;TODAY()))&gt;0),"1級に含む",IF(COUNTIFS('資格研修記録'!$A$5:$A$1004,$A28,'資格研修記録'!$D$5:$D$1004,J$4)=0,"—",IF(COUNTIFS('資格研修記録'!$A$5:$A$1004,$A28,'資格研修記録'!$D$5:$D$1004,J$4,'資格研修記録'!$F$5:$F$1004,"")+COUNTIFS('資格研修記録'!$A$5:$A$1004,$A28,'資格研修記録'!$D$5:$D$1004,J$4,'資格研修記録'!$F$5:$F$1004,"&gt;="&amp;TODAY())&gt;0,"○","× 期限切れ"))))</f>
        <v/>
      </c>
      <c r="K28" s="15">
        <f>IF(OR($A28="",K$4=""),"",IF(AND(K$4="小型船舶2級",(COUNTIFS('資格研修記録'!$A$5:$A$1004,$A28,'資格研修記録'!$D$5:$D$1004,"小型船舶1級",'資格研修記録'!$F$5:$F$1004,"")+COUNTIFS('資格研修記録'!$A$5:$A$1004,$A28,'資格研修記録'!$D$5:$D$1004,"小型船舶1級",'資格研修記録'!$F$5:$F$1004,"&gt;="&amp;TODAY()))&gt;0),"1級に含む",IF(COUNTIFS('資格研修記録'!$A$5:$A$1004,$A28,'資格研修記録'!$D$5:$D$1004,K$4)=0,"—",IF(COUNTIFS('資格研修記録'!$A$5:$A$1004,$A28,'資格研修記録'!$D$5:$D$1004,K$4,'資格研修記録'!$F$5:$F$1004,"")+COUNTIFS('資格研修記録'!$A$5:$A$1004,$A28,'資格研修記録'!$D$5:$D$1004,K$4,'資格研修記録'!$F$5:$F$1004,"&gt;="&amp;TODAY())&gt;0,"○","× 期限切れ"))))</f>
        <v/>
      </c>
      <c r="L28" s="15">
        <f>IF(OR($A28="",L$4=""),"",IF(AND(L$4="小型船舶2級",(COUNTIFS('資格研修記録'!$A$5:$A$1004,$A28,'資格研修記録'!$D$5:$D$1004,"小型船舶1級",'資格研修記録'!$F$5:$F$1004,"")+COUNTIFS('資格研修記録'!$A$5:$A$1004,$A28,'資格研修記録'!$D$5:$D$1004,"小型船舶1級",'資格研修記録'!$F$5:$F$1004,"&gt;="&amp;TODAY()))&gt;0),"1級に含む",IF(COUNTIFS('資格研修記録'!$A$5:$A$1004,$A28,'資格研修記録'!$D$5:$D$1004,L$4)=0,"—",IF(COUNTIFS('資格研修記録'!$A$5:$A$1004,$A28,'資格研修記録'!$D$5:$D$1004,L$4,'資格研修記録'!$F$5:$F$1004,"")+COUNTIFS('資格研修記録'!$A$5:$A$1004,$A28,'資格研修記録'!$D$5:$D$1004,L$4,'資格研修記録'!$F$5:$F$1004,"&gt;="&amp;TODAY())&gt;0,"○","× 期限切れ"))))</f>
        <v/>
      </c>
    </row>
    <row r="29">
      <c r="A29" s="14">
        <f>IF('隊員マスタ'!A29="","",'隊員マスタ'!A29)</f>
        <v/>
      </c>
      <c r="B29" s="14">
        <f>IF(A29="","",'隊員マスタ'!B29)</f>
        <v/>
      </c>
      <c r="C29" s="14">
        <f>IF(A29="","",'隊員マスタ'!C29)</f>
        <v/>
      </c>
      <c r="D29" s="15">
        <f>IF(A29="","",'隊員マスタ'!D29)</f>
        <v/>
      </c>
      <c r="E29" s="15">
        <f>IF(OR($A29="",E$4=""),"",IF(AND(E$4="小型船舶2級",(COUNTIFS('資格研修記録'!$A$5:$A$1004,$A29,'資格研修記録'!$D$5:$D$1004,"小型船舶1級",'資格研修記録'!$F$5:$F$1004,"")+COUNTIFS('資格研修記録'!$A$5:$A$1004,$A29,'資格研修記録'!$D$5:$D$1004,"小型船舶1級",'資格研修記録'!$F$5:$F$1004,"&gt;="&amp;TODAY()))&gt;0),"1級に含む",IF(COUNTIFS('資格研修記録'!$A$5:$A$1004,$A29,'資格研修記録'!$D$5:$D$1004,E$4)=0,"—",IF(COUNTIFS('資格研修記録'!$A$5:$A$1004,$A29,'資格研修記録'!$D$5:$D$1004,E$4,'資格研修記録'!$F$5:$F$1004,"")+COUNTIFS('資格研修記録'!$A$5:$A$1004,$A29,'資格研修記録'!$D$5:$D$1004,E$4,'資格研修記録'!$F$5:$F$1004,"&gt;="&amp;TODAY())&gt;0,"○","× 期限切れ"))))</f>
        <v/>
      </c>
      <c r="F29" s="15">
        <f>IF(OR($A29="",F$4=""),"",IF(AND(F$4="小型船舶2級",(COUNTIFS('資格研修記録'!$A$5:$A$1004,$A29,'資格研修記録'!$D$5:$D$1004,"小型船舶1級",'資格研修記録'!$F$5:$F$1004,"")+COUNTIFS('資格研修記録'!$A$5:$A$1004,$A29,'資格研修記録'!$D$5:$D$1004,"小型船舶1級",'資格研修記録'!$F$5:$F$1004,"&gt;="&amp;TODAY()))&gt;0),"1級に含む",IF(COUNTIFS('資格研修記録'!$A$5:$A$1004,$A29,'資格研修記録'!$D$5:$D$1004,F$4)=0,"—",IF(COUNTIFS('資格研修記録'!$A$5:$A$1004,$A29,'資格研修記録'!$D$5:$D$1004,F$4,'資格研修記録'!$F$5:$F$1004,"")+COUNTIFS('資格研修記録'!$A$5:$A$1004,$A29,'資格研修記録'!$D$5:$D$1004,F$4,'資格研修記録'!$F$5:$F$1004,"&gt;="&amp;TODAY())&gt;0,"○","× 期限切れ"))))</f>
        <v/>
      </c>
      <c r="G29" s="15">
        <f>IF(OR($A29="",G$4=""),"",IF(AND(G$4="小型船舶2級",(COUNTIFS('資格研修記録'!$A$5:$A$1004,$A29,'資格研修記録'!$D$5:$D$1004,"小型船舶1級",'資格研修記録'!$F$5:$F$1004,"")+COUNTIFS('資格研修記録'!$A$5:$A$1004,$A29,'資格研修記録'!$D$5:$D$1004,"小型船舶1級",'資格研修記録'!$F$5:$F$1004,"&gt;="&amp;TODAY()))&gt;0),"1級に含む",IF(COUNTIFS('資格研修記録'!$A$5:$A$1004,$A29,'資格研修記録'!$D$5:$D$1004,G$4)=0,"—",IF(COUNTIFS('資格研修記録'!$A$5:$A$1004,$A29,'資格研修記録'!$D$5:$D$1004,G$4,'資格研修記録'!$F$5:$F$1004,"")+COUNTIFS('資格研修記録'!$A$5:$A$1004,$A29,'資格研修記録'!$D$5:$D$1004,G$4,'資格研修記録'!$F$5:$F$1004,"&gt;="&amp;TODAY())&gt;0,"○","× 期限切れ"))))</f>
        <v/>
      </c>
      <c r="H29" s="15">
        <f>IF(OR($A29="",H$4=""),"",IF(AND(H$4="小型船舶2級",(COUNTIFS('資格研修記録'!$A$5:$A$1004,$A29,'資格研修記録'!$D$5:$D$1004,"小型船舶1級",'資格研修記録'!$F$5:$F$1004,"")+COUNTIFS('資格研修記録'!$A$5:$A$1004,$A29,'資格研修記録'!$D$5:$D$1004,"小型船舶1級",'資格研修記録'!$F$5:$F$1004,"&gt;="&amp;TODAY()))&gt;0),"1級に含む",IF(COUNTIFS('資格研修記録'!$A$5:$A$1004,$A29,'資格研修記録'!$D$5:$D$1004,H$4)=0,"—",IF(COUNTIFS('資格研修記録'!$A$5:$A$1004,$A29,'資格研修記録'!$D$5:$D$1004,H$4,'資格研修記録'!$F$5:$F$1004,"")+COUNTIFS('資格研修記録'!$A$5:$A$1004,$A29,'資格研修記録'!$D$5:$D$1004,H$4,'資格研修記録'!$F$5:$F$1004,"&gt;="&amp;TODAY())&gt;0,"○","× 期限切れ"))))</f>
        <v/>
      </c>
      <c r="I29" s="15">
        <f>IF(OR($A29="",I$4=""),"",IF(AND(I$4="小型船舶2級",(COUNTIFS('資格研修記録'!$A$5:$A$1004,$A29,'資格研修記録'!$D$5:$D$1004,"小型船舶1級",'資格研修記録'!$F$5:$F$1004,"")+COUNTIFS('資格研修記録'!$A$5:$A$1004,$A29,'資格研修記録'!$D$5:$D$1004,"小型船舶1級",'資格研修記録'!$F$5:$F$1004,"&gt;="&amp;TODAY()))&gt;0),"1級に含む",IF(COUNTIFS('資格研修記録'!$A$5:$A$1004,$A29,'資格研修記録'!$D$5:$D$1004,I$4)=0,"—",IF(COUNTIFS('資格研修記録'!$A$5:$A$1004,$A29,'資格研修記録'!$D$5:$D$1004,I$4,'資格研修記録'!$F$5:$F$1004,"")+COUNTIFS('資格研修記録'!$A$5:$A$1004,$A29,'資格研修記録'!$D$5:$D$1004,I$4,'資格研修記録'!$F$5:$F$1004,"&gt;="&amp;TODAY())&gt;0,"○","× 期限切れ"))))</f>
        <v/>
      </c>
      <c r="J29" s="15">
        <f>IF(OR($A29="",J$4=""),"",IF(AND(J$4="小型船舶2級",(COUNTIFS('資格研修記録'!$A$5:$A$1004,$A29,'資格研修記録'!$D$5:$D$1004,"小型船舶1級",'資格研修記録'!$F$5:$F$1004,"")+COUNTIFS('資格研修記録'!$A$5:$A$1004,$A29,'資格研修記録'!$D$5:$D$1004,"小型船舶1級",'資格研修記録'!$F$5:$F$1004,"&gt;="&amp;TODAY()))&gt;0),"1級に含む",IF(COUNTIFS('資格研修記録'!$A$5:$A$1004,$A29,'資格研修記録'!$D$5:$D$1004,J$4)=0,"—",IF(COUNTIFS('資格研修記録'!$A$5:$A$1004,$A29,'資格研修記録'!$D$5:$D$1004,J$4,'資格研修記録'!$F$5:$F$1004,"")+COUNTIFS('資格研修記録'!$A$5:$A$1004,$A29,'資格研修記録'!$D$5:$D$1004,J$4,'資格研修記録'!$F$5:$F$1004,"&gt;="&amp;TODAY())&gt;0,"○","× 期限切れ"))))</f>
        <v/>
      </c>
      <c r="K29" s="15">
        <f>IF(OR($A29="",K$4=""),"",IF(AND(K$4="小型船舶2級",(COUNTIFS('資格研修記録'!$A$5:$A$1004,$A29,'資格研修記録'!$D$5:$D$1004,"小型船舶1級",'資格研修記録'!$F$5:$F$1004,"")+COUNTIFS('資格研修記録'!$A$5:$A$1004,$A29,'資格研修記録'!$D$5:$D$1004,"小型船舶1級",'資格研修記録'!$F$5:$F$1004,"&gt;="&amp;TODAY()))&gt;0),"1級に含む",IF(COUNTIFS('資格研修記録'!$A$5:$A$1004,$A29,'資格研修記録'!$D$5:$D$1004,K$4)=0,"—",IF(COUNTIFS('資格研修記録'!$A$5:$A$1004,$A29,'資格研修記録'!$D$5:$D$1004,K$4,'資格研修記録'!$F$5:$F$1004,"")+COUNTIFS('資格研修記録'!$A$5:$A$1004,$A29,'資格研修記録'!$D$5:$D$1004,K$4,'資格研修記録'!$F$5:$F$1004,"&gt;="&amp;TODAY())&gt;0,"○","× 期限切れ"))))</f>
        <v/>
      </c>
      <c r="L29" s="15">
        <f>IF(OR($A29="",L$4=""),"",IF(AND(L$4="小型船舶2級",(COUNTIFS('資格研修記録'!$A$5:$A$1004,$A29,'資格研修記録'!$D$5:$D$1004,"小型船舶1級",'資格研修記録'!$F$5:$F$1004,"")+COUNTIFS('資格研修記録'!$A$5:$A$1004,$A29,'資格研修記録'!$D$5:$D$1004,"小型船舶1級",'資格研修記録'!$F$5:$F$1004,"&gt;="&amp;TODAY()))&gt;0),"1級に含む",IF(COUNTIFS('資格研修記録'!$A$5:$A$1004,$A29,'資格研修記録'!$D$5:$D$1004,L$4)=0,"—",IF(COUNTIFS('資格研修記録'!$A$5:$A$1004,$A29,'資格研修記録'!$D$5:$D$1004,L$4,'資格研修記録'!$F$5:$F$1004,"")+COUNTIFS('資格研修記録'!$A$5:$A$1004,$A29,'資格研修記録'!$D$5:$D$1004,L$4,'資格研修記録'!$F$5:$F$1004,"&gt;="&amp;TODAY())&gt;0,"○","× 期限切れ"))))</f>
        <v/>
      </c>
    </row>
    <row r="30">
      <c r="A30" s="14">
        <f>IF('隊員マスタ'!A30="","",'隊員マスタ'!A30)</f>
        <v/>
      </c>
      <c r="B30" s="14">
        <f>IF(A30="","",'隊員マスタ'!B30)</f>
        <v/>
      </c>
      <c r="C30" s="14">
        <f>IF(A30="","",'隊員マスタ'!C30)</f>
        <v/>
      </c>
      <c r="D30" s="15">
        <f>IF(A30="","",'隊員マスタ'!D30)</f>
        <v/>
      </c>
      <c r="E30" s="15">
        <f>IF(OR($A30="",E$4=""),"",IF(AND(E$4="小型船舶2級",(COUNTIFS('資格研修記録'!$A$5:$A$1004,$A30,'資格研修記録'!$D$5:$D$1004,"小型船舶1級",'資格研修記録'!$F$5:$F$1004,"")+COUNTIFS('資格研修記録'!$A$5:$A$1004,$A30,'資格研修記録'!$D$5:$D$1004,"小型船舶1級",'資格研修記録'!$F$5:$F$1004,"&gt;="&amp;TODAY()))&gt;0),"1級に含む",IF(COUNTIFS('資格研修記録'!$A$5:$A$1004,$A30,'資格研修記録'!$D$5:$D$1004,E$4)=0,"—",IF(COUNTIFS('資格研修記録'!$A$5:$A$1004,$A30,'資格研修記録'!$D$5:$D$1004,E$4,'資格研修記録'!$F$5:$F$1004,"")+COUNTIFS('資格研修記録'!$A$5:$A$1004,$A30,'資格研修記録'!$D$5:$D$1004,E$4,'資格研修記録'!$F$5:$F$1004,"&gt;="&amp;TODAY())&gt;0,"○","× 期限切れ"))))</f>
        <v/>
      </c>
      <c r="F30" s="15">
        <f>IF(OR($A30="",F$4=""),"",IF(AND(F$4="小型船舶2級",(COUNTIFS('資格研修記録'!$A$5:$A$1004,$A30,'資格研修記録'!$D$5:$D$1004,"小型船舶1級",'資格研修記録'!$F$5:$F$1004,"")+COUNTIFS('資格研修記録'!$A$5:$A$1004,$A30,'資格研修記録'!$D$5:$D$1004,"小型船舶1級",'資格研修記録'!$F$5:$F$1004,"&gt;="&amp;TODAY()))&gt;0),"1級に含む",IF(COUNTIFS('資格研修記録'!$A$5:$A$1004,$A30,'資格研修記録'!$D$5:$D$1004,F$4)=0,"—",IF(COUNTIFS('資格研修記録'!$A$5:$A$1004,$A30,'資格研修記録'!$D$5:$D$1004,F$4,'資格研修記録'!$F$5:$F$1004,"")+COUNTIFS('資格研修記録'!$A$5:$A$1004,$A30,'資格研修記録'!$D$5:$D$1004,F$4,'資格研修記録'!$F$5:$F$1004,"&gt;="&amp;TODAY())&gt;0,"○","× 期限切れ"))))</f>
        <v/>
      </c>
      <c r="G30" s="15">
        <f>IF(OR($A30="",G$4=""),"",IF(AND(G$4="小型船舶2級",(COUNTIFS('資格研修記録'!$A$5:$A$1004,$A30,'資格研修記録'!$D$5:$D$1004,"小型船舶1級",'資格研修記録'!$F$5:$F$1004,"")+COUNTIFS('資格研修記録'!$A$5:$A$1004,$A30,'資格研修記録'!$D$5:$D$1004,"小型船舶1級",'資格研修記録'!$F$5:$F$1004,"&gt;="&amp;TODAY()))&gt;0),"1級に含む",IF(COUNTIFS('資格研修記録'!$A$5:$A$1004,$A30,'資格研修記録'!$D$5:$D$1004,G$4)=0,"—",IF(COUNTIFS('資格研修記録'!$A$5:$A$1004,$A30,'資格研修記録'!$D$5:$D$1004,G$4,'資格研修記録'!$F$5:$F$1004,"")+COUNTIFS('資格研修記録'!$A$5:$A$1004,$A30,'資格研修記録'!$D$5:$D$1004,G$4,'資格研修記録'!$F$5:$F$1004,"&gt;="&amp;TODAY())&gt;0,"○","× 期限切れ"))))</f>
        <v/>
      </c>
      <c r="H30" s="15">
        <f>IF(OR($A30="",H$4=""),"",IF(AND(H$4="小型船舶2級",(COUNTIFS('資格研修記録'!$A$5:$A$1004,$A30,'資格研修記録'!$D$5:$D$1004,"小型船舶1級",'資格研修記録'!$F$5:$F$1004,"")+COUNTIFS('資格研修記録'!$A$5:$A$1004,$A30,'資格研修記録'!$D$5:$D$1004,"小型船舶1級",'資格研修記録'!$F$5:$F$1004,"&gt;="&amp;TODAY()))&gt;0),"1級に含む",IF(COUNTIFS('資格研修記録'!$A$5:$A$1004,$A30,'資格研修記録'!$D$5:$D$1004,H$4)=0,"—",IF(COUNTIFS('資格研修記録'!$A$5:$A$1004,$A30,'資格研修記録'!$D$5:$D$1004,H$4,'資格研修記録'!$F$5:$F$1004,"")+COUNTIFS('資格研修記録'!$A$5:$A$1004,$A30,'資格研修記録'!$D$5:$D$1004,H$4,'資格研修記録'!$F$5:$F$1004,"&gt;="&amp;TODAY())&gt;0,"○","× 期限切れ"))))</f>
        <v/>
      </c>
      <c r="I30" s="15">
        <f>IF(OR($A30="",I$4=""),"",IF(AND(I$4="小型船舶2級",(COUNTIFS('資格研修記録'!$A$5:$A$1004,$A30,'資格研修記録'!$D$5:$D$1004,"小型船舶1級",'資格研修記録'!$F$5:$F$1004,"")+COUNTIFS('資格研修記録'!$A$5:$A$1004,$A30,'資格研修記録'!$D$5:$D$1004,"小型船舶1級",'資格研修記録'!$F$5:$F$1004,"&gt;="&amp;TODAY()))&gt;0),"1級に含む",IF(COUNTIFS('資格研修記録'!$A$5:$A$1004,$A30,'資格研修記録'!$D$5:$D$1004,I$4)=0,"—",IF(COUNTIFS('資格研修記録'!$A$5:$A$1004,$A30,'資格研修記録'!$D$5:$D$1004,I$4,'資格研修記録'!$F$5:$F$1004,"")+COUNTIFS('資格研修記録'!$A$5:$A$1004,$A30,'資格研修記録'!$D$5:$D$1004,I$4,'資格研修記録'!$F$5:$F$1004,"&gt;="&amp;TODAY())&gt;0,"○","× 期限切れ"))))</f>
        <v/>
      </c>
      <c r="J30" s="15">
        <f>IF(OR($A30="",J$4=""),"",IF(AND(J$4="小型船舶2級",(COUNTIFS('資格研修記録'!$A$5:$A$1004,$A30,'資格研修記録'!$D$5:$D$1004,"小型船舶1級",'資格研修記録'!$F$5:$F$1004,"")+COUNTIFS('資格研修記録'!$A$5:$A$1004,$A30,'資格研修記録'!$D$5:$D$1004,"小型船舶1級",'資格研修記録'!$F$5:$F$1004,"&gt;="&amp;TODAY()))&gt;0),"1級に含む",IF(COUNTIFS('資格研修記録'!$A$5:$A$1004,$A30,'資格研修記録'!$D$5:$D$1004,J$4)=0,"—",IF(COUNTIFS('資格研修記録'!$A$5:$A$1004,$A30,'資格研修記録'!$D$5:$D$1004,J$4,'資格研修記録'!$F$5:$F$1004,"")+COUNTIFS('資格研修記録'!$A$5:$A$1004,$A30,'資格研修記録'!$D$5:$D$1004,J$4,'資格研修記録'!$F$5:$F$1004,"&gt;="&amp;TODAY())&gt;0,"○","× 期限切れ"))))</f>
        <v/>
      </c>
      <c r="K30" s="15">
        <f>IF(OR($A30="",K$4=""),"",IF(AND(K$4="小型船舶2級",(COUNTIFS('資格研修記録'!$A$5:$A$1004,$A30,'資格研修記録'!$D$5:$D$1004,"小型船舶1級",'資格研修記録'!$F$5:$F$1004,"")+COUNTIFS('資格研修記録'!$A$5:$A$1004,$A30,'資格研修記録'!$D$5:$D$1004,"小型船舶1級",'資格研修記録'!$F$5:$F$1004,"&gt;="&amp;TODAY()))&gt;0),"1級に含む",IF(COUNTIFS('資格研修記録'!$A$5:$A$1004,$A30,'資格研修記録'!$D$5:$D$1004,K$4)=0,"—",IF(COUNTIFS('資格研修記録'!$A$5:$A$1004,$A30,'資格研修記録'!$D$5:$D$1004,K$4,'資格研修記録'!$F$5:$F$1004,"")+COUNTIFS('資格研修記録'!$A$5:$A$1004,$A30,'資格研修記録'!$D$5:$D$1004,K$4,'資格研修記録'!$F$5:$F$1004,"&gt;="&amp;TODAY())&gt;0,"○","× 期限切れ"))))</f>
        <v/>
      </c>
      <c r="L30" s="15">
        <f>IF(OR($A30="",L$4=""),"",IF(AND(L$4="小型船舶2級",(COUNTIFS('資格研修記録'!$A$5:$A$1004,$A30,'資格研修記録'!$D$5:$D$1004,"小型船舶1級",'資格研修記録'!$F$5:$F$1004,"")+COUNTIFS('資格研修記録'!$A$5:$A$1004,$A30,'資格研修記録'!$D$5:$D$1004,"小型船舶1級",'資格研修記録'!$F$5:$F$1004,"&gt;="&amp;TODAY()))&gt;0),"1級に含む",IF(COUNTIFS('資格研修記録'!$A$5:$A$1004,$A30,'資格研修記録'!$D$5:$D$1004,L$4)=0,"—",IF(COUNTIFS('資格研修記録'!$A$5:$A$1004,$A30,'資格研修記録'!$D$5:$D$1004,L$4,'資格研修記録'!$F$5:$F$1004,"")+COUNTIFS('資格研修記録'!$A$5:$A$1004,$A30,'資格研修記録'!$D$5:$D$1004,L$4,'資格研修記録'!$F$5:$F$1004,"&gt;="&amp;TODAY())&gt;0,"○","× 期限切れ"))))</f>
        <v/>
      </c>
    </row>
    <row r="31">
      <c r="A31" s="14">
        <f>IF('隊員マスタ'!A31="","",'隊員マスタ'!A31)</f>
        <v/>
      </c>
      <c r="B31" s="14">
        <f>IF(A31="","",'隊員マスタ'!B31)</f>
        <v/>
      </c>
      <c r="C31" s="14">
        <f>IF(A31="","",'隊員マスタ'!C31)</f>
        <v/>
      </c>
      <c r="D31" s="15">
        <f>IF(A31="","",'隊員マスタ'!D31)</f>
        <v/>
      </c>
      <c r="E31" s="15">
        <f>IF(OR($A31="",E$4=""),"",IF(AND(E$4="小型船舶2級",(COUNTIFS('資格研修記録'!$A$5:$A$1004,$A31,'資格研修記録'!$D$5:$D$1004,"小型船舶1級",'資格研修記録'!$F$5:$F$1004,"")+COUNTIFS('資格研修記録'!$A$5:$A$1004,$A31,'資格研修記録'!$D$5:$D$1004,"小型船舶1級",'資格研修記録'!$F$5:$F$1004,"&gt;="&amp;TODAY()))&gt;0),"1級に含む",IF(COUNTIFS('資格研修記録'!$A$5:$A$1004,$A31,'資格研修記録'!$D$5:$D$1004,E$4)=0,"—",IF(COUNTIFS('資格研修記録'!$A$5:$A$1004,$A31,'資格研修記録'!$D$5:$D$1004,E$4,'資格研修記録'!$F$5:$F$1004,"")+COUNTIFS('資格研修記録'!$A$5:$A$1004,$A31,'資格研修記録'!$D$5:$D$1004,E$4,'資格研修記録'!$F$5:$F$1004,"&gt;="&amp;TODAY())&gt;0,"○","× 期限切れ"))))</f>
        <v/>
      </c>
      <c r="F31" s="15">
        <f>IF(OR($A31="",F$4=""),"",IF(AND(F$4="小型船舶2級",(COUNTIFS('資格研修記録'!$A$5:$A$1004,$A31,'資格研修記録'!$D$5:$D$1004,"小型船舶1級",'資格研修記録'!$F$5:$F$1004,"")+COUNTIFS('資格研修記録'!$A$5:$A$1004,$A31,'資格研修記録'!$D$5:$D$1004,"小型船舶1級",'資格研修記録'!$F$5:$F$1004,"&gt;="&amp;TODAY()))&gt;0),"1級に含む",IF(COUNTIFS('資格研修記録'!$A$5:$A$1004,$A31,'資格研修記録'!$D$5:$D$1004,F$4)=0,"—",IF(COUNTIFS('資格研修記録'!$A$5:$A$1004,$A31,'資格研修記録'!$D$5:$D$1004,F$4,'資格研修記録'!$F$5:$F$1004,"")+COUNTIFS('資格研修記録'!$A$5:$A$1004,$A31,'資格研修記録'!$D$5:$D$1004,F$4,'資格研修記録'!$F$5:$F$1004,"&gt;="&amp;TODAY())&gt;0,"○","× 期限切れ"))))</f>
        <v/>
      </c>
      <c r="G31" s="15">
        <f>IF(OR($A31="",G$4=""),"",IF(AND(G$4="小型船舶2級",(COUNTIFS('資格研修記録'!$A$5:$A$1004,$A31,'資格研修記録'!$D$5:$D$1004,"小型船舶1級",'資格研修記録'!$F$5:$F$1004,"")+COUNTIFS('資格研修記録'!$A$5:$A$1004,$A31,'資格研修記録'!$D$5:$D$1004,"小型船舶1級",'資格研修記録'!$F$5:$F$1004,"&gt;="&amp;TODAY()))&gt;0),"1級に含む",IF(COUNTIFS('資格研修記録'!$A$5:$A$1004,$A31,'資格研修記録'!$D$5:$D$1004,G$4)=0,"—",IF(COUNTIFS('資格研修記録'!$A$5:$A$1004,$A31,'資格研修記録'!$D$5:$D$1004,G$4,'資格研修記録'!$F$5:$F$1004,"")+COUNTIFS('資格研修記録'!$A$5:$A$1004,$A31,'資格研修記録'!$D$5:$D$1004,G$4,'資格研修記録'!$F$5:$F$1004,"&gt;="&amp;TODAY())&gt;0,"○","× 期限切れ"))))</f>
        <v/>
      </c>
      <c r="H31" s="15">
        <f>IF(OR($A31="",H$4=""),"",IF(AND(H$4="小型船舶2級",(COUNTIFS('資格研修記録'!$A$5:$A$1004,$A31,'資格研修記録'!$D$5:$D$1004,"小型船舶1級",'資格研修記録'!$F$5:$F$1004,"")+COUNTIFS('資格研修記録'!$A$5:$A$1004,$A31,'資格研修記録'!$D$5:$D$1004,"小型船舶1級",'資格研修記録'!$F$5:$F$1004,"&gt;="&amp;TODAY()))&gt;0),"1級に含む",IF(COUNTIFS('資格研修記録'!$A$5:$A$1004,$A31,'資格研修記録'!$D$5:$D$1004,H$4)=0,"—",IF(COUNTIFS('資格研修記録'!$A$5:$A$1004,$A31,'資格研修記録'!$D$5:$D$1004,H$4,'資格研修記録'!$F$5:$F$1004,"")+COUNTIFS('資格研修記録'!$A$5:$A$1004,$A31,'資格研修記録'!$D$5:$D$1004,H$4,'資格研修記録'!$F$5:$F$1004,"&gt;="&amp;TODAY())&gt;0,"○","× 期限切れ"))))</f>
        <v/>
      </c>
      <c r="I31" s="15">
        <f>IF(OR($A31="",I$4=""),"",IF(AND(I$4="小型船舶2級",(COUNTIFS('資格研修記録'!$A$5:$A$1004,$A31,'資格研修記録'!$D$5:$D$1004,"小型船舶1級",'資格研修記録'!$F$5:$F$1004,"")+COUNTIFS('資格研修記録'!$A$5:$A$1004,$A31,'資格研修記録'!$D$5:$D$1004,"小型船舶1級",'資格研修記録'!$F$5:$F$1004,"&gt;="&amp;TODAY()))&gt;0),"1級に含む",IF(COUNTIFS('資格研修記録'!$A$5:$A$1004,$A31,'資格研修記録'!$D$5:$D$1004,I$4)=0,"—",IF(COUNTIFS('資格研修記録'!$A$5:$A$1004,$A31,'資格研修記録'!$D$5:$D$1004,I$4,'資格研修記録'!$F$5:$F$1004,"")+COUNTIFS('資格研修記録'!$A$5:$A$1004,$A31,'資格研修記録'!$D$5:$D$1004,I$4,'資格研修記録'!$F$5:$F$1004,"&gt;="&amp;TODAY())&gt;0,"○","× 期限切れ"))))</f>
        <v/>
      </c>
      <c r="J31" s="15">
        <f>IF(OR($A31="",J$4=""),"",IF(AND(J$4="小型船舶2級",(COUNTIFS('資格研修記録'!$A$5:$A$1004,$A31,'資格研修記録'!$D$5:$D$1004,"小型船舶1級",'資格研修記録'!$F$5:$F$1004,"")+COUNTIFS('資格研修記録'!$A$5:$A$1004,$A31,'資格研修記録'!$D$5:$D$1004,"小型船舶1級",'資格研修記録'!$F$5:$F$1004,"&gt;="&amp;TODAY()))&gt;0),"1級に含む",IF(COUNTIFS('資格研修記録'!$A$5:$A$1004,$A31,'資格研修記録'!$D$5:$D$1004,J$4)=0,"—",IF(COUNTIFS('資格研修記録'!$A$5:$A$1004,$A31,'資格研修記録'!$D$5:$D$1004,J$4,'資格研修記録'!$F$5:$F$1004,"")+COUNTIFS('資格研修記録'!$A$5:$A$1004,$A31,'資格研修記録'!$D$5:$D$1004,J$4,'資格研修記録'!$F$5:$F$1004,"&gt;="&amp;TODAY())&gt;0,"○","× 期限切れ"))))</f>
        <v/>
      </c>
      <c r="K31" s="15">
        <f>IF(OR($A31="",K$4=""),"",IF(AND(K$4="小型船舶2級",(COUNTIFS('資格研修記録'!$A$5:$A$1004,$A31,'資格研修記録'!$D$5:$D$1004,"小型船舶1級",'資格研修記録'!$F$5:$F$1004,"")+COUNTIFS('資格研修記録'!$A$5:$A$1004,$A31,'資格研修記録'!$D$5:$D$1004,"小型船舶1級",'資格研修記録'!$F$5:$F$1004,"&gt;="&amp;TODAY()))&gt;0),"1級に含む",IF(COUNTIFS('資格研修記録'!$A$5:$A$1004,$A31,'資格研修記録'!$D$5:$D$1004,K$4)=0,"—",IF(COUNTIFS('資格研修記録'!$A$5:$A$1004,$A31,'資格研修記録'!$D$5:$D$1004,K$4,'資格研修記録'!$F$5:$F$1004,"")+COUNTIFS('資格研修記録'!$A$5:$A$1004,$A31,'資格研修記録'!$D$5:$D$1004,K$4,'資格研修記録'!$F$5:$F$1004,"&gt;="&amp;TODAY())&gt;0,"○","× 期限切れ"))))</f>
        <v/>
      </c>
      <c r="L31" s="15">
        <f>IF(OR($A31="",L$4=""),"",IF(AND(L$4="小型船舶2級",(COUNTIFS('資格研修記録'!$A$5:$A$1004,$A31,'資格研修記録'!$D$5:$D$1004,"小型船舶1級",'資格研修記録'!$F$5:$F$1004,"")+COUNTIFS('資格研修記録'!$A$5:$A$1004,$A31,'資格研修記録'!$D$5:$D$1004,"小型船舶1級",'資格研修記録'!$F$5:$F$1004,"&gt;="&amp;TODAY()))&gt;0),"1級に含む",IF(COUNTIFS('資格研修記録'!$A$5:$A$1004,$A31,'資格研修記録'!$D$5:$D$1004,L$4)=0,"—",IF(COUNTIFS('資格研修記録'!$A$5:$A$1004,$A31,'資格研修記録'!$D$5:$D$1004,L$4,'資格研修記録'!$F$5:$F$1004,"")+COUNTIFS('資格研修記録'!$A$5:$A$1004,$A31,'資格研修記録'!$D$5:$D$1004,L$4,'資格研修記録'!$F$5:$F$1004,"&gt;="&amp;TODAY())&gt;0,"○","× 期限切れ"))))</f>
        <v/>
      </c>
    </row>
    <row r="32">
      <c r="A32" s="14">
        <f>IF('隊員マスタ'!A32="","",'隊員マスタ'!A32)</f>
        <v/>
      </c>
      <c r="B32" s="14">
        <f>IF(A32="","",'隊員マスタ'!B32)</f>
        <v/>
      </c>
      <c r="C32" s="14">
        <f>IF(A32="","",'隊員マスタ'!C32)</f>
        <v/>
      </c>
      <c r="D32" s="15">
        <f>IF(A32="","",'隊員マスタ'!D32)</f>
        <v/>
      </c>
      <c r="E32" s="15">
        <f>IF(OR($A32="",E$4=""),"",IF(AND(E$4="小型船舶2級",(COUNTIFS('資格研修記録'!$A$5:$A$1004,$A32,'資格研修記録'!$D$5:$D$1004,"小型船舶1級",'資格研修記録'!$F$5:$F$1004,"")+COUNTIFS('資格研修記録'!$A$5:$A$1004,$A32,'資格研修記録'!$D$5:$D$1004,"小型船舶1級",'資格研修記録'!$F$5:$F$1004,"&gt;="&amp;TODAY()))&gt;0),"1級に含む",IF(COUNTIFS('資格研修記録'!$A$5:$A$1004,$A32,'資格研修記録'!$D$5:$D$1004,E$4)=0,"—",IF(COUNTIFS('資格研修記録'!$A$5:$A$1004,$A32,'資格研修記録'!$D$5:$D$1004,E$4,'資格研修記録'!$F$5:$F$1004,"")+COUNTIFS('資格研修記録'!$A$5:$A$1004,$A32,'資格研修記録'!$D$5:$D$1004,E$4,'資格研修記録'!$F$5:$F$1004,"&gt;="&amp;TODAY())&gt;0,"○","× 期限切れ"))))</f>
        <v/>
      </c>
      <c r="F32" s="15">
        <f>IF(OR($A32="",F$4=""),"",IF(AND(F$4="小型船舶2級",(COUNTIFS('資格研修記録'!$A$5:$A$1004,$A32,'資格研修記録'!$D$5:$D$1004,"小型船舶1級",'資格研修記録'!$F$5:$F$1004,"")+COUNTIFS('資格研修記録'!$A$5:$A$1004,$A32,'資格研修記録'!$D$5:$D$1004,"小型船舶1級",'資格研修記録'!$F$5:$F$1004,"&gt;="&amp;TODAY()))&gt;0),"1級に含む",IF(COUNTIFS('資格研修記録'!$A$5:$A$1004,$A32,'資格研修記録'!$D$5:$D$1004,F$4)=0,"—",IF(COUNTIFS('資格研修記録'!$A$5:$A$1004,$A32,'資格研修記録'!$D$5:$D$1004,F$4,'資格研修記録'!$F$5:$F$1004,"")+COUNTIFS('資格研修記録'!$A$5:$A$1004,$A32,'資格研修記録'!$D$5:$D$1004,F$4,'資格研修記録'!$F$5:$F$1004,"&gt;="&amp;TODAY())&gt;0,"○","× 期限切れ"))))</f>
        <v/>
      </c>
      <c r="G32" s="15">
        <f>IF(OR($A32="",G$4=""),"",IF(AND(G$4="小型船舶2級",(COUNTIFS('資格研修記録'!$A$5:$A$1004,$A32,'資格研修記録'!$D$5:$D$1004,"小型船舶1級",'資格研修記録'!$F$5:$F$1004,"")+COUNTIFS('資格研修記録'!$A$5:$A$1004,$A32,'資格研修記録'!$D$5:$D$1004,"小型船舶1級",'資格研修記録'!$F$5:$F$1004,"&gt;="&amp;TODAY()))&gt;0),"1級に含む",IF(COUNTIFS('資格研修記録'!$A$5:$A$1004,$A32,'資格研修記録'!$D$5:$D$1004,G$4)=0,"—",IF(COUNTIFS('資格研修記録'!$A$5:$A$1004,$A32,'資格研修記録'!$D$5:$D$1004,G$4,'資格研修記録'!$F$5:$F$1004,"")+COUNTIFS('資格研修記録'!$A$5:$A$1004,$A32,'資格研修記録'!$D$5:$D$1004,G$4,'資格研修記録'!$F$5:$F$1004,"&gt;="&amp;TODAY())&gt;0,"○","× 期限切れ"))))</f>
        <v/>
      </c>
      <c r="H32" s="15">
        <f>IF(OR($A32="",H$4=""),"",IF(AND(H$4="小型船舶2級",(COUNTIFS('資格研修記録'!$A$5:$A$1004,$A32,'資格研修記録'!$D$5:$D$1004,"小型船舶1級",'資格研修記録'!$F$5:$F$1004,"")+COUNTIFS('資格研修記録'!$A$5:$A$1004,$A32,'資格研修記録'!$D$5:$D$1004,"小型船舶1級",'資格研修記録'!$F$5:$F$1004,"&gt;="&amp;TODAY()))&gt;0),"1級に含む",IF(COUNTIFS('資格研修記録'!$A$5:$A$1004,$A32,'資格研修記録'!$D$5:$D$1004,H$4)=0,"—",IF(COUNTIFS('資格研修記録'!$A$5:$A$1004,$A32,'資格研修記録'!$D$5:$D$1004,H$4,'資格研修記録'!$F$5:$F$1004,"")+COUNTIFS('資格研修記録'!$A$5:$A$1004,$A32,'資格研修記録'!$D$5:$D$1004,H$4,'資格研修記録'!$F$5:$F$1004,"&gt;="&amp;TODAY())&gt;0,"○","× 期限切れ"))))</f>
        <v/>
      </c>
      <c r="I32" s="15">
        <f>IF(OR($A32="",I$4=""),"",IF(AND(I$4="小型船舶2級",(COUNTIFS('資格研修記録'!$A$5:$A$1004,$A32,'資格研修記録'!$D$5:$D$1004,"小型船舶1級",'資格研修記録'!$F$5:$F$1004,"")+COUNTIFS('資格研修記録'!$A$5:$A$1004,$A32,'資格研修記録'!$D$5:$D$1004,"小型船舶1級",'資格研修記録'!$F$5:$F$1004,"&gt;="&amp;TODAY()))&gt;0),"1級に含む",IF(COUNTIFS('資格研修記録'!$A$5:$A$1004,$A32,'資格研修記録'!$D$5:$D$1004,I$4)=0,"—",IF(COUNTIFS('資格研修記録'!$A$5:$A$1004,$A32,'資格研修記録'!$D$5:$D$1004,I$4,'資格研修記録'!$F$5:$F$1004,"")+COUNTIFS('資格研修記録'!$A$5:$A$1004,$A32,'資格研修記録'!$D$5:$D$1004,I$4,'資格研修記録'!$F$5:$F$1004,"&gt;="&amp;TODAY())&gt;0,"○","× 期限切れ"))))</f>
        <v/>
      </c>
      <c r="J32" s="15">
        <f>IF(OR($A32="",J$4=""),"",IF(AND(J$4="小型船舶2級",(COUNTIFS('資格研修記録'!$A$5:$A$1004,$A32,'資格研修記録'!$D$5:$D$1004,"小型船舶1級",'資格研修記録'!$F$5:$F$1004,"")+COUNTIFS('資格研修記録'!$A$5:$A$1004,$A32,'資格研修記録'!$D$5:$D$1004,"小型船舶1級",'資格研修記録'!$F$5:$F$1004,"&gt;="&amp;TODAY()))&gt;0),"1級に含む",IF(COUNTIFS('資格研修記録'!$A$5:$A$1004,$A32,'資格研修記録'!$D$5:$D$1004,J$4)=0,"—",IF(COUNTIFS('資格研修記録'!$A$5:$A$1004,$A32,'資格研修記録'!$D$5:$D$1004,J$4,'資格研修記録'!$F$5:$F$1004,"")+COUNTIFS('資格研修記録'!$A$5:$A$1004,$A32,'資格研修記録'!$D$5:$D$1004,J$4,'資格研修記録'!$F$5:$F$1004,"&gt;="&amp;TODAY())&gt;0,"○","× 期限切れ"))))</f>
        <v/>
      </c>
      <c r="K32" s="15">
        <f>IF(OR($A32="",K$4=""),"",IF(AND(K$4="小型船舶2級",(COUNTIFS('資格研修記録'!$A$5:$A$1004,$A32,'資格研修記録'!$D$5:$D$1004,"小型船舶1級",'資格研修記録'!$F$5:$F$1004,"")+COUNTIFS('資格研修記録'!$A$5:$A$1004,$A32,'資格研修記録'!$D$5:$D$1004,"小型船舶1級",'資格研修記録'!$F$5:$F$1004,"&gt;="&amp;TODAY()))&gt;0),"1級に含む",IF(COUNTIFS('資格研修記録'!$A$5:$A$1004,$A32,'資格研修記録'!$D$5:$D$1004,K$4)=0,"—",IF(COUNTIFS('資格研修記録'!$A$5:$A$1004,$A32,'資格研修記録'!$D$5:$D$1004,K$4,'資格研修記録'!$F$5:$F$1004,"")+COUNTIFS('資格研修記録'!$A$5:$A$1004,$A32,'資格研修記録'!$D$5:$D$1004,K$4,'資格研修記録'!$F$5:$F$1004,"&gt;="&amp;TODAY())&gt;0,"○","× 期限切れ"))))</f>
        <v/>
      </c>
      <c r="L32" s="15">
        <f>IF(OR($A32="",L$4=""),"",IF(AND(L$4="小型船舶2級",(COUNTIFS('資格研修記録'!$A$5:$A$1004,$A32,'資格研修記録'!$D$5:$D$1004,"小型船舶1級",'資格研修記録'!$F$5:$F$1004,"")+COUNTIFS('資格研修記録'!$A$5:$A$1004,$A32,'資格研修記録'!$D$5:$D$1004,"小型船舶1級",'資格研修記録'!$F$5:$F$1004,"&gt;="&amp;TODAY()))&gt;0),"1級に含む",IF(COUNTIFS('資格研修記録'!$A$5:$A$1004,$A32,'資格研修記録'!$D$5:$D$1004,L$4)=0,"—",IF(COUNTIFS('資格研修記録'!$A$5:$A$1004,$A32,'資格研修記録'!$D$5:$D$1004,L$4,'資格研修記録'!$F$5:$F$1004,"")+COUNTIFS('資格研修記録'!$A$5:$A$1004,$A32,'資格研修記録'!$D$5:$D$1004,L$4,'資格研修記録'!$F$5:$F$1004,"&gt;="&amp;TODAY())&gt;0,"○","× 期限切れ"))))</f>
        <v/>
      </c>
    </row>
    <row r="33">
      <c r="A33" s="14">
        <f>IF('隊員マスタ'!A33="","",'隊員マスタ'!A33)</f>
        <v/>
      </c>
      <c r="B33" s="14">
        <f>IF(A33="","",'隊員マスタ'!B33)</f>
        <v/>
      </c>
      <c r="C33" s="14">
        <f>IF(A33="","",'隊員マスタ'!C33)</f>
        <v/>
      </c>
      <c r="D33" s="15">
        <f>IF(A33="","",'隊員マスタ'!D33)</f>
        <v/>
      </c>
      <c r="E33" s="15">
        <f>IF(OR($A33="",E$4=""),"",IF(AND(E$4="小型船舶2級",(COUNTIFS('資格研修記録'!$A$5:$A$1004,$A33,'資格研修記録'!$D$5:$D$1004,"小型船舶1級",'資格研修記録'!$F$5:$F$1004,"")+COUNTIFS('資格研修記録'!$A$5:$A$1004,$A33,'資格研修記録'!$D$5:$D$1004,"小型船舶1級",'資格研修記録'!$F$5:$F$1004,"&gt;="&amp;TODAY()))&gt;0),"1級に含む",IF(COUNTIFS('資格研修記録'!$A$5:$A$1004,$A33,'資格研修記録'!$D$5:$D$1004,E$4)=0,"—",IF(COUNTIFS('資格研修記録'!$A$5:$A$1004,$A33,'資格研修記録'!$D$5:$D$1004,E$4,'資格研修記録'!$F$5:$F$1004,"")+COUNTIFS('資格研修記録'!$A$5:$A$1004,$A33,'資格研修記録'!$D$5:$D$1004,E$4,'資格研修記録'!$F$5:$F$1004,"&gt;="&amp;TODAY())&gt;0,"○","× 期限切れ"))))</f>
        <v/>
      </c>
      <c r="F33" s="15">
        <f>IF(OR($A33="",F$4=""),"",IF(AND(F$4="小型船舶2級",(COUNTIFS('資格研修記録'!$A$5:$A$1004,$A33,'資格研修記録'!$D$5:$D$1004,"小型船舶1級",'資格研修記録'!$F$5:$F$1004,"")+COUNTIFS('資格研修記録'!$A$5:$A$1004,$A33,'資格研修記録'!$D$5:$D$1004,"小型船舶1級",'資格研修記録'!$F$5:$F$1004,"&gt;="&amp;TODAY()))&gt;0),"1級に含む",IF(COUNTIFS('資格研修記録'!$A$5:$A$1004,$A33,'資格研修記録'!$D$5:$D$1004,F$4)=0,"—",IF(COUNTIFS('資格研修記録'!$A$5:$A$1004,$A33,'資格研修記録'!$D$5:$D$1004,F$4,'資格研修記録'!$F$5:$F$1004,"")+COUNTIFS('資格研修記録'!$A$5:$A$1004,$A33,'資格研修記録'!$D$5:$D$1004,F$4,'資格研修記録'!$F$5:$F$1004,"&gt;="&amp;TODAY())&gt;0,"○","× 期限切れ"))))</f>
        <v/>
      </c>
      <c r="G33" s="15">
        <f>IF(OR($A33="",G$4=""),"",IF(AND(G$4="小型船舶2級",(COUNTIFS('資格研修記録'!$A$5:$A$1004,$A33,'資格研修記録'!$D$5:$D$1004,"小型船舶1級",'資格研修記録'!$F$5:$F$1004,"")+COUNTIFS('資格研修記録'!$A$5:$A$1004,$A33,'資格研修記録'!$D$5:$D$1004,"小型船舶1級",'資格研修記録'!$F$5:$F$1004,"&gt;="&amp;TODAY()))&gt;0),"1級に含む",IF(COUNTIFS('資格研修記録'!$A$5:$A$1004,$A33,'資格研修記録'!$D$5:$D$1004,G$4)=0,"—",IF(COUNTIFS('資格研修記録'!$A$5:$A$1004,$A33,'資格研修記録'!$D$5:$D$1004,G$4,'資格研修記録'!$F$5:$F$1004,"")+COUNTIFS('資格研修記録'!$A$5:$A$1004,$A33,'資格研修記録'!$D$5:$D$1004,G$4,'資格研修記録'!$F$5:$F$1004,"&gt;="&amp;TODAY())&gt;0,"○","× 期限切れ"))))</f>
        <v/>
      </c>
      <c r="H33" s="15">
        <f>IF(OR($A33="",H$4=""),"",IF(AND(H$4="小型船舶2級",(COUNTIFS('資格研修記録'!$A$5:$A$1004,$A33,'資格研修記録'!$D$5:$D$1004,"小型船舶1級",'資格研修記録'!$F$5:$F$1004,"")+COUNTIFS('資格研修記録'!$A$5:$A$1004,$A33,'資格研修記録'!$D$5:$D$1004,"小型船舶1級",'資格研修記録'!$F$5:$F$1004,"&gt;="&amp;TODAY()))&gt;0),"1級に含む",IF(COUNTIFS('資格研修記録'!$A$5:$A$1004,$A33,'資格研修記録'!$D$5:$D$1004,H$4)=0,"—",IF(COUNTIFS('資格研修記録'!$A$5:$A$1004,$A33,'資格研修記録'!$D$5:$D$1004,H$4,'資格研修記録'!$F$5:$F$1004,"")+COUNTIFS('資格研修記録'!$A$5:$A$1004,$A33,'資格研修記録'!$D$5:$D$1004,H$4,'資格研修記録'!$F$5:$F$1004,"&gt;="&amp;TODAY())&gt;0,"○","× 期限切れ"))))</f>
        <v/>
      </c>
      <c r="I33" s="15">
        <f>IF(OR($A33="",I$4=""),"",IF(AND(I$4="小型船舶2級",(COUNTIFS('資格研修記録'!$A$5:$A$1004,$A33,'資格研修記録'!$D$5:$D$1004,"小型船舶1級",'資格研修記録'!$F$5:$F$1004,"")+COUNTIFS('資格研修記録'!$A$5:$A$1004,$A33,'資格研修記録'!$D$5:$D$1004,"小型船舶1級",'資格研修記録'!$F$5:$F$1004,"&gt;="&amp;TODAY()))&gt;0),"1級に含む",IF(COUNTIFS('資格研修記録'!$A$5:$A$1004,$A33,'資格研修記録'!$D$5:$D$1004,I$4)=0,"—",IF(COUNTIFS('資格研修記録'!$A$5:$A$1004,$A33,'資格研修記録'!$D$5:$D$1004,I$4,'資格研修記録'!$F$5:$F$1004,"")+COUNTIFS('資格研修記録'!$A$5:$A$1004,$A33,'資格研修記録'!$D$5:$D$1004,I$4,'資格研修記録'!$F$5:$F$1004,"&gt;="&amp;TODAY())&gt;0,"○","× 期限切れ"))))</f>
        <v/>
      </c>
      <c r="J33" s="15">
        <f>IF(OR($A33="",J$4=""),"",IF(AND(J$4="小型船舶2級",(COUNTIFS('資格研修記録'!$A$5:$A$1004,$A33,'資格研修記録'!$D$5:$D$1004,"小型船舶1級",'資格研修記録'!$F$5:$F$1004,"")+COUNTIFS('資格研修記録'!$A$5:$A$1004,$A33,'資格研修記録'!$D$5:$D$1004,"小型船舶1級",'資格研修記録'!$F$5:$F$1004,"&gt;="&amp;TODAY()))&gt;0),"1級に含む",IF(COUNTIFS('資格研修記録'!$A$5:$A$1004,$A33,'資格研修記録'!$D$5:$D$1004,J$4)=0,"—",IF(COUNTIFS('資格研修記録'!$A$5:$A$1004,$A33,'資格研修記録'!$D$5:$D$1004,J$4,'資格研修記録'!$F$5:$F$1004,"")+COUNTIFS('資格研修記録'!$A$5:$A$1004,$A33,'資格研修記録'!$D$5:$D$1004,J$4,'資格研修記録'!$F$5:$F$1004,"&gt;="&amp;TODAY())&gt;0,"○","× 期限切れ"))))</f>
        <v/>
      </c>
      <c r="K33" s="15">
        <f>IF(OR($A33="",K$4=""),"",IF(AND(K$4="小型船舶2級",(COUNTIFS('資格研修記録'!$A$5:$A$1004,$A33,'資格研修記録'!$D$5:$D$1004,"小型船舶1級",'資格研修記録'!$F$5:$F$1004,"")+COUNTIFS('資格研修記録'!$A$5:$A$1004,$A33,'資格研修記録'!$D$5:$D$1004,"小型船舶1級",'資格研修記録'!$F$5:$F$1004,"&gt;="&amp;TODAY()))&gt;0),"1級に含む",IF(COUNTIFS('資格研修記録'!$A$5:$A$1004,$A33,'資格研修記録'!$D$5:$D$1004,K$4)=0,"—",IF(COUNTIFS('資格研修記録'!$A$5:$A$1004,$A33,'資格研修記録'!$D$5:$D$1004,K$4,'資格研修記録'!$F$5:$F$1004,"")+COUNTIFS('資格研修記録'!$A$5:$A$1004,$A33,'資格研修記録'!$D$5:$D$1004,K$4,'資格研修記録'!$F$5:$F$1004,"&gt;="&amp;TODAY())&gt;0,"○","× 期限切れ"))))</f>
        <v/>
      </c>
      <c r="L33" s="15">
        <f>IF(OR($A33="",L$4=""),"",IF(AND(L$4="小型船舶2級",(COUNTIFS('資格研修記録'!$A$5:$A$1004,$A33,'資格研修記録'!$D$5:$D$1004,"小型船舶1級",'資格研修記録'!$F$5:$F$1004,"")+COUNTIFS('資格研修記録'!$A$5:$A$1004,$A33,'資格研修記録'!$D$5:$D$1004,"小型船舶1級",'資格研修記録'!$F$5:$F$1004,"&gt;="&amp;TODAY()))&gt;0),"1級に含む",IF(COUNTIFS('資格研修記録'!$A$5:$A$1004,$A33,'資格研修記録'!$D$5:$D$1004,L$4)=0,"—",IF(COUNTIFS('資格研修記録'!$A$5:$A$1004,$A33,'資格研修記録'!$D$5:$D$1004,L$4,'資格研修記録'!$F$5:$F$1004,"")+COUNTIFS('資格研修記録'!$A$5:$A$1004,$A33,'資格研修記録'!$D$5:$D$1004,L$4,'資格研修記録'!$F$5:$F$1004,"&gt;="&amp;TODAY())&gt;0,"○","× 期限切れ"))))</f>
        <v/>
      </c>
    </row>
    <row r="34">
      <c r="A34" s="14">
        <f>IF('隊員マスタ'!A34="","",'隊員マスタ'!A34)</f>
        <v/>
      </c>
      <c r="B34" s="14">
        <f>IF(A34="","",'隊員マスタ'!B34)</f>
        <v/>
      </c>
      <c r="C34" s="14">
        <f>IF(A34="","",'隊員マスタ'!C34)</f>
        <v/>
      </c>
      <c r="D34" s="15">
        <f>IF(A34="","",'隊員マスタ'!D34)</f>
        <v/>
      </c>
      <c r="E34" s="15">
        <f>IF(OR($A34="",E$4=""),"",IF(AND(E$4="小型船舶2級",(COUNTIFS('資格研修記録'!$A$5:$A$1004,$A34,'資格研修記録'!$D$5:$D$1004,"小型船舶1級",'資格研修記録'!$F$5:$F$1004,"")+COUNTIFS('資格研修記録'!$A$5:$A$1004,$A34,'資格研修記録'!$D$5:$D$1004,"小型船舶1級",'資格研修記録'!$F$5:$F$1004,"&gt;="&amp;TODAY()))&gt;0),"1級に含む",IF(COUNTIFS('資格研修記録'!$A$5:$A$1004,$A34,'資格研修記録'!$D$5:$D$1004,E$4)=0,"—",IF(COUNTIFS('資格研修記録'!$A$5:$A$1004,$A34,'資格研修記録'!$D$5:$D$1004,E$4,'資格研修記録'!$F$5:$F$1004,"")+COUNTIFS('資格研修記録'!$A$5:$A$1004,$A34,'資格研修記録'!$D$5:$D$1004,E$4,'資格研修記録'!$F$5:$F$1004,"&gt;="&amp;TODAY())&gt;0,"○","× 期限切れ"))))</f>
        <v/>
      </c>
      <c r="F34" s="15">
        <f>IF(OR($A34="",F$4=""),"",IF(AND(F$4="小型船舶2級",(COUNTIFS('資格研修記録'!$A$5:$A$1004,$A34,'資格研修記録'!$D$5:$D$1004,"小型船舶1級",'資格研修記録'!$F$5:$F$1004,"")+COUNTIFS('資格研修記録'!$A$5:$A$1004,$A34,'資格研修記録'!$D$5:$D$1004,"小型船舶1級",'資格研修記録'!$F$5:$F$1004,"&gt;="&amp;TODAY()))&gt;0),"1級に含む",IF(COUNTIFS('資格研修記録'!$A$5:$A$1004,$A34,'資格研修記録'!$D$5:$D$1004,F$4)=0,"—",IF(COUNTIFS('資格研修記録'!$A$5:$A$1004,$A34,'資格研修記録'!$D$5:$D$1004,F$4,'資格研修記録'!$F$5:$F$1004,"")+COUNTIFS('資格研修記録'!$A$5:$A$1004,$A34,'資格研修記録'!$D$5:$D$1004,F$4,'資格研修記録'!$F$5:$F$1004,"&gt;="&amp;TODAY())&gt;0,"○","× 期限切れ"))))</f>
        <v/>
      </c>
      <c r="G34" s="15">
        <f>IF(OR($A34="",G$4=""),"",IF(AND(G$4="小型船舶2級",(COUNTIFS('資格研修記録'!$A$5:$A$1004,$A34,'資格研修記録'!$D$5:$D$1004,"小型船舶1級",'資格研修記録'!$F$5:$F$1004,"")+COUNTIFS('資格研修記録'!$A$5:$A$1004,$A34,'資格研修記録'!$D$5:$D$1004,"小型船舶1級",'資格研修記録'!$F$5:$F$1004,"&gt;="&amp;TODAY()))&gt;0),"1級に含む",IF(COUNTIFS('資格研修記録'!$A$5:$A$1004,$A34,'資格研修記録'!$D$5:$D$1004,G$4)=0,"—",IF(COUNTIFS('資格研修記録'!$A$5:$A$1004,$A34,'資格研修記録'!$D$5:$D$1004,G$4,'資格研修記録'!$F$5:$F$1004,"")+COUNTIFS('資格研修記録'!$A$5:$A$1004,$A34,'資格研修記録'!$D$5:$D$1004,G$4,'資格研修記録'!$F$5:$F$1004,"&gt;="&amp;TODAY())&gt;0,"○","× 期限切れ"))))</f>
        <v/>
      </c>
      <c r="H34" s="15">
        <f>IF(OR($A34="",H$4=""),"",IF(AND(H$4="小型船舶2級",(COUNTIFS('資格研修記録'!$A$5:$A$1004,$A34,'資格研修記録'!$D$5:$D$1004,"小型船舶1級",'資格研修記録'!$F$5:$F$1004,"")+COUNTIFS('資格研修記録'!$A$5:$A$1004,$A34,'資格研修記録'!$D$5:$D$1004,"小型船舶1級",'資格研修記録'!$F$5:$F$1004,"&gt;="&amp;TODAY()))&gt;0),"1級に含む",IF(COUNTIFS('資格研修記録'!$A$5:$A$1004,$A34,'資格研修記録'!$D$5:$D$1004,H$4)=0,"—",IF(COUNTIFS('資格研修記録'!$A$5:$A$1004,$A34,'資格研修記録'!$D$5:$D$1004,H$4,'資格研修記録'!$F$5:$F$1004,"")+COUNTIFS('資格研修記録'!$A$5:$A$1004,$A34,'資格研修記録'!$D$5:$D$1004,H$4,'資格研修記録'!$F$5:$F$1004,"&gt;="&amp;TODAY())&gt;0,"○","× 期限切れ"))))</f>
        <v/>
      </c>
      <c r="I34" s="15">
        <f>IF(OR($A34="",I$4=""),"",IF(AND(I$4="小型船舶2級",(COUNTIFS('資格研修記録'!$A$5:$A$1004,$A34,'資格研修記録'!$D$5:$D$1004,"小型船舶1級",'資格研修記録'!$F$5:$F$1004,"")+COUNTIFS('資格研修記録'!$A$5:$A$1004,$A34,'資格研修記録'!$D$5:$D$1004,"小型船舶1級",'資格研修記録'!$F$5:$F$1004,"&gt;="&amp;TODAY()))&gt;0),"1級に含む",IF(COUNTIFS('資格研修記録'!$A$5:$A$1004,$A34,'資格研修記録'!$D$5:$D$1004,I$4)=0,"—",IF(COUNTIFS('資格研修記録'!$A$5:$A$1004,$A34,'資格研修記録'!$D$5:$D$1004,I$4,'資格研修記録'!$F$5:$F$1004,"")+COUNTIFS('資格研修記録'!$A$5:$A$1004,$A34,'資格研修記録'!$D$5:$D$1004,I$4,'資格研修記録'!$F$5:$F$1004,"&gt;="&amp;TODAY())&gt;0,"○","× 期限切れ"))))</f>
        <v/>
      </c>
      <c r="J34" s="15">
        <f>IF(OR($A34="",J$4=""),"",IF(AND(J$4="小型船舶2級",(COUNTIFS('資格研修記録'!$A$5:$A$1004,$A34,'資格研修記録'!$D$5:$D$1004,"小型船舶1級",'資格研修記録'!$F$5:$F$1004,"")+COUNTIFS('資格研修記録'!$A$5:$A$1004,$A34,'資格研修記録'!$D$5:$D$1004,"小型船舶1級",'資格研修記録'!$F$5:$F$1004,"&gt;="&amp;TODAY()))&gt;0),"1級に含む",IF(COUNTIFS('資格研修記録'!$A$5:$A$1004,$A34,'資格研修記録'!$D$5:$D$1004,J$4)=0,"—",IF(COUNTIFS('資格研修記録'!$A$5:$A$1004,$A34,'資格研修記録'!$D$5:$D$1004,J$4,'資格研修記録'!$F$5:$F$1004,"")+COUNTIFS('資格研修記録'!$A$5:$A$1004,$A34,'資格研修記録'!$D$5:$D$1004,J$4,'資格研修記録'!$F$5:$F$1004,"&gt;="&amp;TODAY())&gt;0,"○","× 期限切れ"))))</f>
        <v/>
      </c>
      <c r="K34" s="15">
        <f>IF(OR($A34="",K$4=""),"",IF(AND(K$4="小型船舶2級",(COUNTIFS('資格研修記録'!$A$5:$A$1004,$A34,'資格研修記録'!$D$5:$D$1004,"小型船舶1級",'資格研修記録'!$F$5:$F$1004,"")+COUNTIFS('資格研修記録'!$A$5:$A$1004,$A34,'資格研修記録'!$D$5:$D$1004,"小型船舶1級",'資格研修記録'!$F$5:$F$1004,"&gt;="&amp;TODAY()))&gt;0),"1級に含む",IF(COUNTIFS('資格研修記録'!$A$5:$A$1004,$A34,'資格研修記録'!$D$5:$D$1004,K$4)=0,"—",IF(COUNTIFS('資格研修記録'!$A$5:$A$1004,$A34,'資格研修記録'!$D$5:$D$1004,K$4,'資格研修記録'!$F$5:$F$1004,"")+COUNTIFS('資格研修記録'!$A$5:$A$1004,$A34,'資格研修記録'!$D$5:$D$1004,K$4,'資格研修記録'!$F$5:$F$1004,"&gt;="&amp;TODAY())&gt;0,"○","× 期限切れ"))))</f>
        <v/>
      </c>
      <c r="L34" s="15">
        <f>IF(OR($A34="",L$4=""),"",IF(AND(L$4="小型船舶2級",(COUNTIFS('資格研修記録'!$A$5:$A$1004,$A34,'資格研修記録'!$D$5:$D$1004,"小型船舶1級",'資格研修記録'!$F$5:$F$1004,"")+COUNTIFS('資格研修記録'!$A$5:$A$1004,$A34,'資格研修記録'!$D$5:$D$1004,"小型船舶1級",'資格研修記録'!$F$5:$F$1004,"&gt;="&amp;TODAY()))&gt;0),"1級に含む",IF(COUNTIFS('資格研修記録'!$A$5:$A$1004,$A34,'資格研修記録'!$D$5:$D$1004,L$4)=0,"—",IF(COUNTIFS('資格研修記録'!$A$5:$A$1004,$A34,'資格研修記録'!$D$5:$D$1004,L$4,'資格研修記録'!$F$5:$F$1004,"")+COUNTIFS('資格研修記録'!$A$5:$A$1004,$A34,'資格研修記録'!$D$5:$D$1004,L$4,'資格研修記録'!$F$5:$F$1004,"&gt;="&amp;TODAY())&gt;0,"○","× 期限切れ"))))</f>
        <v/>
      </c>
    </row>
    <row r="35">
      <c r="A35" s="14">
        <f>IF('隊員マスタ'!A35="","",'隊員マスタ'!A35)</f>
        <v/>
      </c>
      <c r="B35" s="14">
        <f>IF(A35="","",'隊員マスタ'!B35)</f>
        <v/>
      </c>
      <c r="C35" s="14">
        <f>IF(A35="","",'隊員マスタ'!C35)</f>
        <v/>
      </c>
      <c r="D35" s="15">
        <f>IF(A35="","",'隊員マスタ'!D35)</f>
        <v/>
      </c>
      <c r="E35" s="15">
        <f>IF(OR($A35="",E$4=""),"",IF(AND(E$4="小型船舶2級",(COUNTIFS('資格研修記録'!$A$5:$A$1004,$A35,'資格研修記録'!$D$5:$D$1004,"小型船舶1級",'資格研修記録'!$F$5:$F$1004,"")+COUNTIFS('資格研修記録'!$A$5:$A$1004,$A35,'資格研修記録'!$D$5:$D$1004,"小型船舶1級",'資格研修記録'!$F$5:$F$1004,"&gt;="&amp;TODAY()))&gt;0),"1級に含む",IF(COUNTIFS('資格研修記録'!$A$5:$A$1004,$A35,'資格研修記録'!$D$5:$D$1004,E$4)=0,"—",IF(COUNTIFS('資格研修記録'!$A$5:$A$1004,$A35,'資格研修記録'!$D$5:$D$1004,E$4,'資格研修記録'!$F$5:$F$1004,"")+COUNTIFS('資格研修記録'!$A$5:$A$1004,$A35,'資格研修記録'!$D$5:$D$1004,E$4,'資格研修記録'!$F$5:$F$1004,"&gt;="&amp;TODAY())&gt;0,"○","× 期限切れ"))))</f>
        <v/>
      </c>
      <c r="F35" s="15">
        <f>IF(OR($A35="",F$4=""),"",IF(AND(F$4="小型船舶2級",(COUNTIFS('資格研修記録'!$A$5:$A$1004,$A35,'資格研修記録'!$D$5:$D$1004,"小型船舶1級",'資格研修記録'!$F$5:$F$1004,"")+COUNTIFS('資格研修記録'!$A$5:$A$1004,$A35,'資格研修記録'!$D$5:$D$1004,"小型船舶1級",'資格研修記録'!$F$5:$F$1004,"&gt;="&amp;TODAY()))&gt;0),"1級に含む",IF(COUNTIFS('資格研修記録'!$A$5:$A$1004,$A35,'資格研修記録'!$D$5:$D$1004,F$4)=0,"—",IF(COUNTIFS('資格研修記録'!$A$5:$A$1004,$A35,'資格研修記録'!$D$5:$D$1004,F$4,'資格研修記録'!$F$5:$F$1004,"")+COUNTIFS('資格研修記録'!$A$5:$A$1004,$A35,'資格研修記録'!$D$5:$D$1004,F$4,'資格研修記録'!$F$5:$F$1004,"&gt;="&amp;TODAY())&gt;0,"○","× 期限切れ"))))</f>
        <v/>
      </c>
      <c r="G35" s="15">
        <f>IF(OR($A35="",G$4=""),"",IF(AND(G$4="小型船舶2級",(COUNTIFS('資格研修記録'!$A$5:$A$1004,$A35,'資格研修記録'!$D$5:$D$1004,"小型船舶1級",'資格研修記録'!$F$5:$F$1004,"")+COUNTIFS('資格研修記録'!$A$5:$A$1004,$A35,'資格研修記録'!$D$5:$D$1004,"小型船舶1級",'資格研修記録'!$F$5:$F$1004,"&gt;="&amp;TODAY()))&gt;0),"1級に含む",IF(COUNTIFS('資格研修記録'!$A$5:$A$1004,$A35,'資格研修記録'!$D$5:$D$1004,G$4)=0,"—",IF(COUNTIFS('資格研修記録'!$A$5:$A$1004,$A35,'資格研修記録'!$D$5:$D$1004,G$4,'資格研修記録'!$F$5:$F$1004,"")+COUNTIFS('資格研修記録'!$A$5:$A$1004,$A35,'資格研修記録'!$D$5:$D$1004,G$4,'資格研修記録'!$F$5:$F$1004,"&gt;="&amp;TODAY())&gt;0,"○","× 期限切れ"))))</f>
        <v/>
      </c>
      <c r="H35" s="15">
        <f>IF(OR($A35="",H$4=""),"",IF(AND(H$4="小型船舶2級",(COUNTIFS('資格研修記録'!$A$5:$A$1004,$A35,'資格研修記録'!$D$5:$D$1004,"小型船舶1級",'資格研修記録'!$F$5:$F$1004,"")+COUNTIFS('資格研修記録'!$A$5:$A$1004,$A35,'資格研修記録'!$D$5:$D$1004,"小型船舶1級",'資格研修記録'!$F$5:$F$1004,"&gt;="&amp;TODAY()))&gt;0),"1級に含む",IF(COUNTIFS('資格研修記録'!$A$5:$A$1004,$A35,'資格研修記録'!$D$5:$D$1004,H$4)=0,"—",IF(COUNTIFS('資格研修記録'!$A$5:$A$1004,$A35,'資格研修記録'!$D$5:$D$1004,H$4,'資格研修記録'!$F$5:$F$1004,"")+COUNTIFS('資格研修記録'!$A$5:$A$1004,$A35,'資格研修記録'!$D$5:$D$1004,H$4,'資格研修記録'!$F$5:$F$1004,"&gt;="&amp;TODAY())&gt;0,"○","× 期限切れ"))))</f>
        <v/>
      </c>
      <c r="I35" s="15">
        <f>IF(OR($A35="",I$4=""),"",IF(AND(I$4="小型船舶2級",(COUNTIFS('資格研修記録'!$A$5:$A$1004,$A35,'資格研修記録'!$D$5:$D$1004,"小型船舶1級",'資格研修記録'!$F$5:$F$1004,"")+COUNTIFS('資格研修記録'!$A$5:$A$1004,$A35,'資格研修記録'!$D$5:$D$1004,"小型船舶1級",'資格研修記録'!$F$5:$F$1004,"&gt;="&amp;TODAY()))&gt;0),"1級に含む",IF(COUNTIFS('資格研修記録'!$A$5:$A$1004,$A35,'資格研修記録'!$D$5:$D$1004,I$4)=0,"—",IF(COUNTIFS('資格研修記録'!$A$5:$A$1004,$A35,'資格研修記録'!$D$5:$D$1004,I$4,'資格研修記録'!$F$5:$F$1004,"")+COUNTIFS('資格研修記録'!$A$5:$A$1004,$A35,'資格研修記録'!$D$5:$D$1004,I$4,'資格研修記録'!$F$5:$F$1004,"&gt;="&amp;TODAY())&gt;0,"○","× 期限切れ"))))</f>
        <v/>
      </c>
      <c r="J35" s="15">
        <f>IF(OR($A35="",J$4=""),"",IF(AND(J$4="小型船舶2級",(COUNTIFS('資格研修記録'!$A$5:$A$1004,$A35,'資格研修記録'!$D$5:$D$1004,"小型船舶1級",'資格研修記録'!$F$5:$F$1004,"")+COUNTIFS('資格研修記録'!$A$5:$A$1004,$A35,'資格研修記録'!$D$5:$D$1004,"小型船舶1級",'資格研修記録'!$F$5:$F$1004,"&gt;="&amp;TODAY()))&gt;0),"1級に含む",IF(COUNTIFS('資格研修記録'!$A$5:$A$1004,$A35,'資格研修記録'!$D$5:$D$1004,J$4)=0,"—",IF(COUNTIFS('資格研修記録'!$A$5:$A$1004,$A35,'資格研修記録'!$D$5:$D$1004,J$4,'資格研修記録'!$F$5:$F$1004,"")+COUNTIFS('資格研修記録'!$A$5:$A$1004,$A35,'資格研修記録'!$D$5:$D$1004,J$4,'資格研修記録'!$F$5:$F$1004,"&gt;="&amp;TODAY())&gt;0,"○","× 期限切れ"))))</f>
        <v/>
      </c>
      <c r="K35" s="15">
        <f>IF(OR($A35="",K$4=""),"",IF(AND(K$4="小型船舶2級",(COUNTIFS('資格研修記録'!$A$5:$A$1004,$A35,'資格研修記録'!$D$5:$D$1004,"小型船舶1級",'資格研修記録'!$F$5:$F$1004,"")+COUNTIFS('資格研修記録'!$A$5:$A$1004,$A35,'資格研修記録'!$D$5:$D$1004,"小型船舶1級",'資格研修記録'!$F$5:$F$1004,"&gt;="&amp;TODAY()))&gt;0),"1級に含む",IF(COUNTIFS('資格研修記録'!$A$5:$A$1004,$A35,'資格研修記録'!$D$5:$D$1004,K$4)=0,"—",IF(COUNTIFS('資格研修記録'!$A$5:$A$1004,$A35,'資格研修記録'!$D$5:$D$1004,K$4,'資格研修記録'!$F$5:$F$1004,"")+COUNTIFS('資格研修記録'!$A$5:$A$1004,$A35,'資格研修記録'!$D$5:$D$1004,K$4,'資格研修記録'!$F$5:$F$1004,"&gt;="&amp;TODAY())&gt;0,"○","× 期限切れ"))))</f>
        <v/>
      </c>
      <c r="L35" s="15">
        <f>IF(OR($A35="",L$4=""),"",IF(AND(L$4="小型船舶2級",(COUNTIFS('資格研修記録'!$A$5:$A$1004,$A35,'資格研修記録'!$D$5:$D$1004,"小型船舶1級",'資格研修記録'!$F$5:$F$1004,"")+COUNTIFS('資格研修記録'!$A$5:$A$1004,$A35,'資格研修記録'!$D$5:$D$1004,"小型船舶1級",'資格研修記録'!$F$5:$F$1004,"&gt;="&amp;TODAY()))&gt;0),"1級に含む",IF(COUNTIFS('資格研修記録'!$A$5:$A$1004,$A35,'資格研修記録'!$D$5:$D$1004,L$4)=0,"—",IF(COUNTIFS('資格研修記録'!$A$5:$A$1004,$A35,'資格研修記録'!$D$5:$D$1004,L$4,'資格研修記録'!$F$5:$F$1004,"")+COUNTIFS('資格研修記録'!$A$5:$A$1004,$A35,'資格研修記録'!$D$5:$D$1004,L$4,'資格研修記録'!$F$5:$F$1004,"&gt;="&amp;TODAY())&gt;0,"○","× 期限切れ"))))</f>
        <v/>
      </c>
    </row>
    <row r="36">
      <c r="A36" s="14">
        <f>IF('隊員マスタ'!A36="","",'隊員マスタ'!A36)</f>
        <v/>
      </c>
      <c r="B36" s="14">
        <f>IF(A36="","",'隊員マスタ'!B36)</f>
        <v/>
      </c>
      <c r="C36" s="14">
        <f>IF(A36="","",'隊員マスタ'!C36)</f>
        <v/>
      </c>
      <c r="D36" s="15">
        <f>IF(A36="","",'隊員マスタ'!D36)</f>
        <v/>
      </c>
      <c r="E36" s="15">
        <f>IF(OR($A36="",E$4=""),"",IF(AND(E$4="小型船舶2級",(COUNTIFS('資格研修記録'!$A$5:$A$1004,$A36,'資格研修記録'!$D$5:$D$1004,"小型船舶1級",'資格研修記録'!$F$5:$F$1004,"")+COUNTIFS('資格研修記録'!$A$5:$A$1004,$A36,'資格研修記録'!$D$5:$D$1004,"小型船舶1級",'資格研修記録'!$F$5:$F$1004,"&gt;="&amp;TODAY()))&gt;0),"1級に含む",IF(COUNTIFS('資格研修記録'!$A$5:$A$1004,$A36,'資格研修記録'!$D$5:$D$1004,E$4)=0,"—",IF(COUNTIFS('資格研修記録'!$A$5:$A$1004,$A36,'資格研修記録'!$D$5:$D$1004,E$4,'資格研修記録'!$F$5:$F$1004,"")+COUNTIFS('資格研修記録'!$A$5:$A$1004,$A36,'資格研修記録'!$D$5:$D$1004,E$4,'資格研修記録'!$F$5:$F$1004,"&gt;="&amp;TODAY())&gt;0,"○","× 期限切れ"))))</f>
        <v/>
      </c>
      <c r="F36" s="15">
        <f>IF(OR($A36="",F$4=""),"",IF(AND(F$4="小型船舶2級",(COUNTIFS('資格研修記録'!$A$5:$A$1004,$A36,'資格研修記録'!$D$5:$D$1004,"小型船舶1級",'資格研修記録'!$F$5:$F$1004,"")+COUNTIFS('資格研修記録'!$A$5:$A$1004,$A36,'資格研修記録'!$D$5:$D$1004,"小型船舶1級",'資格研修記録'!$F$5:$F$1004,"&gt;="&amp;TODAY()))&gt;0),"1級に含む",IF(COUNTIFS('資格研修記録'!$A$5:$A$1004,$A36,'資格研修記録'!$D$5:$D$1004,F$4)=0,"—",IF(COUNTIFS('資格研修記録'!$A$5:$A$1004,$A36,'資格研修記録'!$D$5:$D$1004,F$4,'資格研修記録'!$F$5:$F$1004,"")+COUNTIFS('資格研修記録'!$A$5:$A$1004,$A36,'資格研修記録'!$D$5:$D$1004,F$4,'資格研修記録'!$F$5:$F$1004,"&gt;="&amp;TODAY())&gt;0,"○","× 期限切れ"))))</f>
        <v/>
      </c>
      <c r="G36" s="15">
        <f>IF(OR($A36="",G$4=""),"",IF(AND(G$4="小型船舶2級",(COUNTIFS('資格研修記録'!$A$5:$A$1004,$A36,'資格研修記録'!$D$5:$D$1004,"小型船舶1級",'資格研修記録'!$F$5:$F$1004,"")+COUNTIFS('資格研修記録'!$A$5:$A$1004,$A36,'資格研修記録'!$D$5:$D$1004,"小型船舶1級",'資格研修記録'!$F$5:$F$1004,"&gt;="&amp;TODAY()))&gt;0),"1級に含む",IF(COUNTIFS('資格研修記録'!$A$5:$A$1004,$A36,'資格研修記録'!$D$5:$D$1004,G$4)=0,"—",IF(COUNTIFS('資格研修記録'!$A$5:$A$1004,$A36,'資格研修記録'!$D$5:$D$1004,G$4,'資格研修記録'!$F$5:$F$1004,"")+COUNTIFS('資格研修記録'!$A$5:$A$1004,$A36,'資格研修記録'!$D$5:$D$1004,G$4,'資格研修記録'!$F$5:$F$1004,"&gt;="&amp;TODAY())&gt;0,"○","× 期限切れ"))))</f>
        <v/>
      </c>
      <c r="H36" s="15">
        <f>IF(OR($A36="",H$4=""),"",IF(AND(H$4="小型船舶2級",(COUNTIFS('資格研修記録'!$A$5:$A$1004,$A36,'資格研修記録'!$D$5:$D$1004,"小型船舶1級",'資格研修記録'!$F$5:$F$1004,"")+COUNTIFS('資格研修記録'!$A$5:$A$1004,$A36,'資格研修記録'!$D$5:$D$1004,"小型船舶1級",'資格研修記録'!$F$5:$F$1004,"&gt;="&amp;TODAY()))&gt;0),"1級に含む",IF(COUNTIFS('資格研修記録'!$A$5:$A$1004,$A36,'資格研修記録'!$D$5:$D$1004,H$4)=0,"—",IF(COUNTIFS('資格研修記録'!$A$5:$A$1004,$A36,'資格研修記録'!$D$5:$D$1004,H$4,'資格研修記録'!$F$5:$F$1004,"")+COUNTIFS('資格研修記録'!$A$5:$A$1004,$A36,'資格研修記録'!$D$5:$D$1004,H$4,'資格研修記録'!$F$5:$F$1004,"&gt;="&amp;TODAY())&gt;0,"○","× 期限切れ"))))</f>
        <v/>
      </c>
      <c r="I36" s="15">
        <f>IF(OR($A36="",I$4=""),"",IF(AND(I$4="小型船舶2級",(COUNTIFS('資格研修記録'!$A$5:$A$1004,$A36,'資格研修記録'!$D$5:$D$1004,"小型船舶1級",'資格研修記録'!$F$5:$F$1004,"")+COUNTIFS('資格研修記録'!$A$5:$A$1004,$A36,'資格研修記録'!$D$5:$D$1004,"小型船舶1級",'資格研修記録'!$F$5:$F$1004,"&gt;="&amp;TODAY()))&gt;0),"1級に含む",IF(COUNTIFS('資格研修記録'!$A$5:$A$1004,$A36,'資格研修記録'!$D$5:$D$1004,I$4)=0,"—",IF(COUNTIFS('資格研修記録'!$A$5:$A$1004,$A36,'資格研修記録'!$D$5:$D$1004,I$4,'資格研修記録'!$F$5:$F$1004,"")+COUNTIFS('資格研修記録'!$A$5:$A$1004,$A36,'資格研修記録'!$D$5:$D$1004,I$4,'資格研修記録'!$F$5:$F$1004,"&gt;="&amp;TODAY())&gt;0,"○","× 期限切れ"))))</f>
        <v/>
      </c>
      <c r="J36" s="15">
        <f>IF(OR($A36="",J$4=""),"",IF(AND(J$4="小型船舶2級",(COUNTIFS('資格研修記録'!$A$5:$A$1004,$A36,'資格研修記録'!$D$5:$D$1004,"小型船舶1級",'資格研修記録'!$F$5:$F$1004,"")+COUNTIFS('資格研修記録'!$A$5:$A$1004,$A36,'資格研修記録'!$D$5:$D$1004,"小型船舶1級",'資格研修記録'!$F$5:$F$1004,"&gt;="&amp;TODAY()))&gt;0),"1級に含む",IF(COUNTIFS('資格研修記録'!$A$5:$A$1004,$A36,'資格研修記録'!$D$5:$D$1004,J$4)=0,"—",IF(COUNTIFS('資格研修記録'!$A$5:$A$1004,$A36,'資格研修記録'!$D$5:$D$1004,J$4,'資格研修記録'!$F$5:$F$1004,"")+COUNTIFS('資格研修記録'!$A$5:$A$1004,$A36,'資格研修記録'!$D$5:$D$1004,J$4,'資格研修記録'!$F$5:$F$1004,"&gt;="&amp;TODAY())&gt;0,"○","× 期限切れ"))))</f>
        <v/>
      </c>
      <c r="K36" s="15">
        <f>IF(OR($A36="",K$4=""),"",IF(AND(K$4="小型船舶2級",(COUNTIFS('資格研修記録'!$A$5:$A$1004,$A36,'資格研修記録'!$D$5:$D$1004,"小型船舶1級",'資格研修記録'!$F$5:$F$1004,"")+COUNTIFS('資格研修記録'!$A$5:$A$1004,$A36,'資格研修記録'!$D$5:$D$1004,"小型船舶1級",'資格研修記録'!$F$5:$F$1004,"&gt;="&amp;TODAY()))&gt;0),"1級に含む",IF(COUNTIFS('資格研修記録'!$A$5:$A$1004,$A36,'資格研修記録'!$D$5:$D$1004,K$4)=0,"—",IF(COUNTIFS('資格研修記録'!$A$5:$A$1004,$A36,'資格研修記録'!$D$5:$D$1004,K$4,'資格研修記録'!$F$5:$F$1004,"")+COUNTIFS('資格研修記録'!$A$5:$A$1004,$A36,'資格研修記録'!$D$5:$D$1004,K$4,'資格研修記録'!$F$5:$F$1004,"&gt;="&amp;TODAY())&gt;0,"○","× 期限切れ"))))</f>
        <v/>
      </c>
      <c r="L36" s="15">
        <f>IF(OR($A36="",L$4=""),"",IF(AND(L$4="小型船舶2級",(COUNTIFS('資格研修記録'!$A$5:$A$1004,$A36,'資格研修記録'!$D$5:$D$1004,"小型船舶1級",'資格研修記録'!$F$5:$F$1004,"")+COUNTIFS('資格研修記録'!$A$5:$A$1004,$A36,'資格研修記録'!$D$5:$D$1004,"小型船舶1級",'資格研修記録'!$F$5:$F$1004,"&gt;="&amp;TODAY()))&gt;0),"1級に含む",IF(COUNTIFS('資格研修記録'!$A$5:$A$1004,$A36,'資格研修記録'!$D$5:$D$1004,L$4)=0,"—",IF(COUNTIFS('資格研修記録'!$A$5:$A$1004,$A36,'資格研修記録'!$D$5:$D$1004,L$4,'資格研修記録'!$F$5:$F$1004,"")+COUNTIFS('資格研修記録'!$A$5:$A$1004,$A36,'資格研修記録'!$D$5:$D$1004,L$4,'資格研修記録'!$F$5:$F$1004,"&gt;="&amp;TODAY())&gt;0,"○","× 期限切れ"))))</f>
        <v/>
      </c>
    </row>
    <row r="37">
      <c r="A37" s="14">
        <f>IF('隊員マスタ'!A37="","",'隊員マスタ'!A37)</f>
        <v/>
      </c>
      <c r="B37" s="14">
        <f>IF(A37="","",'隊員マスタ'!B37)</f>
        <v/>
      </c>
      <c r="C37" s="14">
        <f>IF(A37="","",'隊員マスタ'!C37)</f>
        <v/>
      </c>
      <c r="D37" s="15">
        <f>IF(A37="","",'隊員マスタ'!D37)</f>
        <v/>
      </c>
      <c r="E37" s="15">
        <f>IF(OR($A37="",E$4=""),"",IF(AND(E$4="小型船舶2級",(COUNTIFS('資格研修記録'!$A$5:$A$1004,$A37,'資格研修記録'!$D$5:$D$1004,"小型船舶1級",'資格研修記録'!$F$5:$F$1004,"")+COUNTIFS('資格研修記録'!$A$5:$A$1004,$A37,'資格研修記録'!$D$5:$D$1004,"小型船舶1級",'資格研修記録'!$F$5:$F$1004,"&gt;="&amp;TODAY()))&gt;0),"1級に含む",IF(COUNTIFS('資格研修記録'!$A$5:$A$1004,$A37,'資格研修記録'!$D$5:$D$1004,E$4)=0,"—",IF(COUNTIFS('資格研修記録'!$A$5:$A$1004,$A37,'資格研修記録'!$D$5:$D$1004,E$4,'資格研修記録'!$F$5:$F$1004,"")+COUNTIFS('資格研修記録'!$A$5:$A$1004,$A37,'資格研修記録'!$D$5:$D$1004,E$4,'資格研修記録'!$F$5:$F$1004,"&gt;="&amp;TODAY())&gt;0,"○","× 期限切れ"))))</f>
        <v/>
      </c>
      <c r="F37" s="15">
        <f>IF(OR($A37="",F$4=""),"",IF(AND(F$4="小型船舶2級",(COUNTIFS('資格研修記録'!$A$5:$A$1004,$A37,'資格研修記録'!$D$5:$D$1004,"小型船舶1級",'資格研修記録'!$F$5:$F$1004,"")+COUNTIFS('資格研修記録'!$A$5:$A$1004,$A37,'資格研修記録'!$D$5:$D$1004,"小型船舶1級",'資格研修記録'!$F$5:$F$1004,"&gt;="&amp;TODAY()))&gt;0),"1級に含む",IF(COUNTIFS('資格研修記録'!$A$5:$A$1004,$A37,'資格研修記録'!$D$5:$D$1004,F$4)=0,"—",IF(COUNTIFS('資格研修記録'!$A$5:$A$1004,$A37,'資格研修記録'!$D$5:$D$1004,F$4,'資格研修記録'!$F$5:$F$1004,"")+COUNTIFS('資格研修記録'!$A$5:$A$1004,$A37,'資格研修記録'!$D$5:$D$1004,F$4,'資格研修記録'!$F$5:$F$1004,"&gt;="&amp;TODAY())&gt;0,"○","× 期限切れ"))))</f>
        <v/>
      </c>
      <c r="G37" s="15">
        <f>IF(OR($A37="",G$4=""),"",IF(AND(G$4="小型船舶2級",(COUNTIFS('資格研修記録'!$A$5:$A$1004,$A37,'資格研修記録'!$D$5:$D$1004,"小型船舶1級",'資格研修記録'!$F$5:$F$1004,"")+COUNTIFS('資格研修記録'!$A$5:$A$1004,$A37,'資格研修記録'!$D$5:$D$1004,"小型船舶1級",'資格研修記録'!$F$5:$F$1004,"&gt;="&amp;TODAY()))&gt;0),"1級に含む",IF(COUNTIFS('資格研修記録'!$A$5:$A$1004,$A37,'資格研修記録'!$D$5:$D$1004,G$4)=0,"—",IF(COUNTIFS('資格研修記録'!$A$5:$A$1004,$A37,'資格研修記録'!$D$5:$D$1004,G$4,'資格研修記録'!$F$5:$F$1004,"")+COUNTIFS('資格研修記録'!$A$5:$A$1004,$A37,'資格研修記録'!$D$5:$D$1004,G$4,'資格研修記録'!$F$5:$F$1004,"&gt;="&amp;TODAY())&gt;0,"○","× 期限切れ"))))</f>
        <v/>
      </c>
      <c r="H37" s="15">
        <f>IF(OR($A37="",H$4=""),"",IF(AND(H$4="小型船舶2級",(COUNTIFS('資格研修記録'!$A$5:$A$1004,$A37,'資格研修記録'!$D$5:$D$1004,"小型船舶1級",'資格研修記録'!$F$5:$F$1004,"")+COUNTIFS('資格研修記録'!$A$5:$A$1004,$A37,'資格研修記録'!$D$5:$D$1004,"小型船舶1級",'資格研修記録'!$F$5:$F$1004,"&gt;="&amp;TODAY()))&gt;0),"1級に含む",IF(COUNTIFS('資格研修記録'!$A$5:$A$1004,$A37,'資格研修記録'!$D$5:$D$1004,H$4)=0,"—",IF(COUNTIFS('資格研修記録'!$A$5:$A$1004,$A37,'資格研修記録'!$D$5:$D$1004,H$4,'資格研修記録'!$F$5:$F$1004,"")+COUNTIFS('資格研修記録'!$A$5:$A$1004,$A37,'資格研修記録'!$D$5:$D$1004,H$4,'資格研修記録'!$F$5:$F$1004,"&gt;="&amp;TODAY())&gt;0,"○","× 期限切れ"))))</f>
        <v/>
      </c>
      <c r="I37" s="15">
        <f>IF(OR($A37="",I$4=""),"",IF(AND(I$4="小型船舶2級",(COUNTIFS('資格研修記録'!$A$5:$A$1004,$A37,'資格研修記録'!$D$5:$D$1004,"小型船舶1級",'資格研修記録'!$F$5:$F$1004,"")+COUNTIFS('資格研修記録'!$A$5:$A$1004,$A37,'資格研修記録'!$D$5:$D$1004,"小型船舶1級",'資格研修記録'!$F$5:$F$1004,"&gt;="&amp;TODAY()))&gt;0),"1級に含む",IF(COUNTIFS('資格研修記録'!$A$5:$A$1004,$A37,'資格研修記録'!$D$5:$D$1004,I$4)=0,"—",IF(COUNTIFS('資格研修記録'!$A$5:$A$1004,$A37,'資格研修記録'!$D$5:$D$1004,I$4,'資格研修記録'!$F$5:$F$1004,"")+COUNTIFS('資格研修記録'!$A$5:$A$1004,$A37,'資格研修記録'!$D$5:$D$1004,I$4,'資格研修記録'!$F$5:$F$1004,"&gt;="&amp;TODAY())&gt;0,"○","× 期限切れ"))))</f>
        <v/>
      </c>
      <c r="J37" s="15">
        <f>IF(OR($A37="",J$4=""),"",IF(AND(J$4="小型船舶2級",(COUNTIFS('資格研修記録'!$A$5:$A$1004,$A37,'資格研修記録'!$D$5:$D$1004,"小型船舶1級",'資格研修記録'!$F$5:$F$1004,"")+COUNTIFS('資格研修記録'!$A$5:$A$1004,$A37,'資格研修記録'!$D$5:$D$1004,"小型船舶1級",'資格研修記録'!$F$5:$F$1004,"&gt;="&amp;TODAY()))&gt;0),"1級に含む",IF(COUNTIFS('資格研修記録'!$A$5:$A$1004,$A37,'資格研修記録'!$D$5:$D$1004,J$4)=0,"—",IF(COUNTIFS('資格研修記録'!$A$5:$A$1004,$A37,'資格研修記録'!$D$5:$D$1004,J$4,'資格研修記録'!$F$5:$F$1004,"")+COUNTIFS('資格研修記録'!$A$5:$A$1004,$A37,'資格研修記録'!$D$5:$D$1004,J$4,'資格研修記録'!$F$5:$F$1004,"&gt;="&amp;TODAY())&gt;0,"○","× 期限切れ"))))</f>
        <v/>
      </c>
      <c r="K37" s="15">
        <f>IF(OR($A37="",K$4=""),"",IF(AND(K$4="小型船舶2級",(COUNTIFS('資格研修記録'!$A$5:$A$1004,$A37,'資格研修記録'!$D$5:$D$1004,"小型船舶1級",'資格研修記録'!$F$5:$F$1004,"")+COUNTIFS('資格研修記録'!$A$5:$A$1004,$A37,'資格研修記録'!$D$5:$D$1004,"小型船舶1級",'資格研修記録'!$F$5:$F$1004,"&gt;="&amp;TODAY()))&gt;0),"1級に含む",IF(COUNTIFS('資格研修記録'!$A$5:$A$1004,$A37,'資格研修記録'!$D$5:$D$1004,K$4)=0,"—",IF(COUNTIFS('資格研修記録'!$A$5:$A$1004,$A37,'資格研修記録'!$D$5:$D$1004,K$4,'資格研修記録'!$F$5:$F$1004,"")+COUNTIFS('資格研修記録'!$A$5:$A$1004,$A37,'資格研修記録'!$D$5:$D$1004,K$4,'資格研修記録'!$F$5:$F$1004,"&gt;="&amp;TODAY())&gt;0,"○","× 期限切れ"))))</f>
        <v/>
      </c>
      <c r="L37" s="15">
        <f>IF(OR($A37="",L$4=""),"",IF(AND(L$4="小型船舶2級",(COUNTIFS('資格研修記録'!$A$5:$A$1004,$A37,'資格研修記録'!$D$5:$D$1004,"小型船舶1級",'資格研修記録'!$F$5:$F$1004,"")+COUNTIFS('資格研修記録'!$A$5:$A$1004,$A37,'資格研修記録'!$D$5:$D$1004,"小型船舶1級",'資格研修記録'!$F$5:$F$1004,"&gt;="&amp;TODAY()))&gt;0),"1級に含む",IF(COUNTIFS('資格研修記録'!$A$5:$A$1004,$A37,'資格研修記録'!$D$5:$D$1004,L$4)=0,"—",IF(COUNTIFS('資格研修記録'!$A$5:$A$1004,$A37,'資格研修記録'!$D$5:$D$1004,L$4,'資格研修記録'!$F$5:$F$1004,"")+COUNTIFS('資格研修記録'!$A$5:$A$1004,$A37,'資格研修記録'!$D$5:$D$1004,L$4,'資格研修記録'!$F$5:$F$1004,"&gt;="&amp;TODAY())&gt;0,"○","× 期限切れ"))))</f>
        <v/>
      </c>
    </row>
    <row r="38">
      <c r="A38" s="14">
        <f>IF('隊員マスタ'!A38="","",'隊員マスタ'!A38)</f>
        <v/>
      </c>
      <c r="B38" s="14">
        <f>IF(A38="","",'隊員マスタ'!B38)</f>
        <v/>
      </c>
      <c r="C38" s="14">
        <f>IF(A38="","",'隊員マスタ'!C38)</f>
        <v/>
      </c>
      <c r="D38" s="15">
        <f>IF(A38="","",'隊員マスタ'!D38)</f>
        <v/>
      </c>
      <c r="E38" s="15">
        <f>IF(OR($A38="",E$4=""),"",IF(AND(E$4="小型船舶2級",(COUNTIFS('資格研修記録'!$A$5:$A$1004,$A38,'資格研修記録'!$D$5:$D$1004,"小型船舶1級",'資格研修記録'!$F$5:$F$1004,"")+COUNTIFS('資格研修記録'!$A$5:$A$1004,$A38,'資格研修記録'!$D$5:$D$1004,"小型船舶1級",'資格研修記録'!$F$5:$F$1004,"&gt;="&amp;TODAY()))&gt;0),"1級に含む",IF(COUNTIFS('資格研修記録'!$A$5:$A$1004,$A38,'資格研修記録'!$D$5:$D$1004,E$4)=0,"—",IF(COUNTIFS('資格研修記録'!$A$5:$A$1004,$A38,'資格研修記録'!$D$5:$D$1004,E$4,'資格研修記録'!$F$5:$F$1004,"")+COUNTIFS('資格研修記録'!$A$5:$A$1004,$A38,'資格研修記録'!$D$5:$D$1004,E$4,'資格研修記録'!$F$5:$F$1004,"&gt;="&amp;TODAY())&gt;0,"○","× 期限切れ"))))</f>
        <v/>
      </c>
      <c r="F38" s="15">
        <f>IF(OR($A38="",F$4=""),"",IF(AND(F$4="小型船舶2級",(COUNTIFS('資格研修記録'!$A$5:$A$1004,$A38,'資格研修記録'!$D$5:$D$1004,"小型船舶1級",'資格研修記録'!$F$5:$F$1004,"")+COUNTIFS('資格研修記録'!$A$5:$A$1004,$A38,'資格研修記録'!$D$5:$D$1004,"小型船舶1級",'資格研修記録'!$F$5:$F$1004,"&gt;="&amp;TODAY()))&gt;0),"1級に含む",IF(COUNTIFS('資格研修記録'!$A$5:$A$1004,$A38,'資格研修記録'!$D$5:$D$1004,F$4)=0,"—",IF(COUNTIFS('資格研修記録'!$A$5:$A$1004,$A38,'資格研修記録'!$D$5:$D$1004,F$4,'資格研修記録'!$F$5:$F$1004,"")+COUNTIFS('資格研修記録'!$A$5:$A$1004,$A38,'資格研修記録'!$D$5:$D$1004,F$4,'資格研修記録'!$F$5:$F$1004,"&gt;="&amp;TODAY())&gt;0,"○","× 期限切れ"))))</f>
        <v/>
      </c>
      <c r="G38" s="15">
        <f>IF(OR($A38="",G$4=""),"",IF(AND(G$4="小型船舶2級",(COUNTIFS('資格研修記録'!$A$5:$A$1004,$A38,'資格研修記録'!$D$5:$D$1004,"小型船舶1級",'資格研修記録'!$F$5:$F$1004,"")+COUNTIFS('資格研修記録'!$A$5:$A$1004,$A38,'資格研修記録'!$D$5:$D$1004,"小型船舶1級",'資格研修記録'!$F$5:$F$1004,"&gt;="&amp;TODAY()))&gt;0),"1級に含む",IF(COUNTIFS('資格研修記録'!$A$5:$A$1004,$A38,'資格研修記録'!$D$5:$D$1004,G$4)=0,"—",IF(COUNTIFS('資格研修記録'!$A$5:$A$1004,$A38,'資格研修記録'!$D$5:$D$1004,G$4,'資格研修記録'!$F$5:$F$1004,"")+COUNTIFS('資格研修記録'!$A$5:$A$1004,$A38,'資格研修記録'!$D$5:$D$1004,G$4,'資格研修記録'!$F$5:$F$1004,"&gt;="&amp;TODAY())&gt;0,"○","× 期限切れ"))))</f>
        <v/>
      </c>
      <c r="H38" s="15">
        <f>IF(OR($A38="",H$4=""),"",IF(AND(H$4="小型船舶2級",(COUNTIFS('資格研修記録'!$A$5:$A$1004,$A38,'資格研修記録'!$D$5:$D$1004,"小型船舶1級",'資格研修記録'!$F$5:$F$1004,"")+COUNTIFS('資格研修記録'!$A$5:$A$1004,$A38,'資格研修記録'!$D$5:$D$1004,"小型船舶1級",'資格研修記録'!$F$5:$F$1004,"&gt;="&amp;TODAY()))&gt;0),"1級に含む",IF(COUNTIFS('資格研修記録'!$A$5:$A$1004,$A38,'資格研修記録'!$D$5:$D$1004,H$4)=0,"—",IF(COUNTIFS('資格研修記録'!$A$5:$A$1004,$A38,'資格研修記録'!$D$5:$D$1004,H$4,'資格研修記録'!$F$5:$F$1004,"")+COUNTIFS('資格研修記録'!$A$5:$A$1004,$A38,'資格研修記録'!$D$5:$D$1004,H$4,'資格研修記録'!$F$5:$F$1004,"&gt;="&amp;TODAY())&gt;0,"○","× 期限切れ"))))</f>
        <v/>
      </c>
      <c r="I38" s="15">
        <f>IF(OR($A38="",I$4=""),"",IF(AND(I$4="小型船舶2級",(COUNTIFS('資格研修記録'!$A$5:$A$1004,$A38,'資格研修記録'!$D$5:$D$1004,"小型船舶1級",'資格研修記録'!$F$5:$F$1004,"")+COUNTIFS('資格研修記録'!$A$5:$A$1004,$A38,'資格研修記録'!$D$5:$D$1004,"小型船舶1級",'資格研修記録'!$F$5:$F$1004,"&gt;="&amp;TODAY()))&gt;0),"1級に含む",IF(COUNTIFS('資格研修記録'!$A$5:$A$1004,$A38,'資格研修記録'!$D$5:$D$1004,I$4)=0,"—",IF(COUNTIFS('資格研修記録'!$A$5:$A$1004,$A38,'資格研修記録'!$D$5:$D$1004,I$4,'資格研修記録'!$F$5:$F$1004,"")+COUNTIFS('資格研修記録'!$A$5:$A$1004,$A38,'資格研修記録'!$D$5:$D$1004,I$4,'資格研修記録'!$F$5:$F$1004,"&gt;="&amp;TODAY())&gt;0,"○","× 期限切れ"))))</f>
        <v/>
      </c>
      <c r="J38" s="15">
        <f>IF(OR($A38="",J$4=""),"",IF(AND(J$4="小型船舶2級",(COUNTIFS('資格研修記録'!$A$5:$A$1004,$A38,'資格研修記録'!$D$5:$D$1004,"小型船舶1級",'資格研修記録'!$F$5:$F$1004,"")+COUNTIFS('資格研修記録'!$A$5:$A$1004,$A38,'資格研修記録'!$D$5:$D$1004,"小型船舶1級",'資格研修記録'!$F$5:$F$1004,"&gt;="&amp;TODAY()))&gt;0),"1級に含む",IF(COUNTIFS('資格研修記録'!$A$5:$A$1004,$A38,'資格研修記録'!$D$5:$D$1004,J$4)=0,"—",IF(COUNTIFS('資格研修記録'!$A$5:$A$1004,$A38,'資格研修記録'!$D$5:$D$1004,J$4,'資格研修記録'!$F$5:$F$1004,"")+COUNTIFS('資格研修記録'!$A$5:$A$1004,$A38,'資格研修記録'!$D$5:$D$1004,J$4,'資格研修記録'!$F$5:$F$1004,"&gt;="&amp;TODAY())&gt;0,"○","× 期限切れ"))))</f>
        <v/>
      </c>
      <c r="K38" s="15">
        <f>IF(OR($A38="",K$4=""),"",IF(AND(K$4="小型船舶2級",(COUNTIFS('資格研修記録'!$A$5:$A$1004,$A38,'資格研修記録'!$D$5:$D$1004,"小型船舶1級",'資格研修記録'!$F$5:$F$1004,"")+COUNTIFS('資格研修記録'!$A$5:$A$1004,$A38,'資格研修記録'!$D$5:$D$1004,"小型船舶1級",'資格研修記録'!$F$5:$F$1004,"&gt;="&amp;TODAY()))&gt;0),"1級に含む",IF(COUNTIFS('資格研修記録'!$A$5:$A$1004,$A38,'資格研修記録'!$D$5:$D$1004,K$4)=0,"—",IF(COUNTIFS('資格研修記録'!$A$5:$A$1004,$A38,'資格研修記録'!$D$5:$D$1004,K$4,'資格研修記録'!$F$5:$F$1004,"")+COUNTIFS('資格研修記録'!$A$5:$A$1004,$A38,'資格研修記録'!$D$5:$D$1004,K$4,'資格研修記録'!$F$5:$F$1004,"&gt;="&amp;TODAY())&gt;0,"○","× 期限切れ"))))</f>
        <v/>
      </c>
      <c r="L38" s="15">
        <f>IF(OR($A38="",L$4=""),"",IF(AND(L$4="小型船舶2級",(COUNTIFS('資格研修記録'!$A$5:$A$1004,$A38,'資格研修記録'!$D$5:$D$1004,"小型船舶1級",'資格研修記録'!$F$5:$F$1004,"")+COUNTIFS('資格研修記録'!$A$5:$A$1004,$A38,'資格研修記録'!$D$5:$D$1004,"小型船舶1級",'資格研修記録'!$F$5:$F$1004,"&gt;="&amp;TODAY()))&gt;0),"1級に含む",IF(COUNTIFS('資格研修記録'!$A$5:$A$1004,$A38,'資格研修記録'!$D$5:$D$1004,L$4)=0,"—",IF(COUNTIFS('資格研修記録'!$A$5:$A$1004,$A38,'資格研修記録'!$D$5:$D$1004,L$4,'資格研修記録'!$F$5:$F$1004,"")+COUNTIFS('資格研修記録'!$A$5:$A$1004,$A38,'資格研修記録'!$D$5:$D$1004,L$4,'資格研修記録'!$F$5:$F$1004,"&gt;="&amp;TODAY())&gt;0,"○","× 期限切れ"))))</f>
        <v/>
      </c>
    </row>
    <row r="39">
      <c r="A39" s="14">
        <f>IF('隊員マスタ'!A39="","",'隊員マスタ'!A39)</f>
        <v/>
      </c>
      <c r="B39" s="14">
        <f>IF(A39="","",'隊員マスタ'!B39)</f>
        <v/>
      </c>
      <c r="C39" s="14">
        <f>IF(A39="","",'隊員マスタ'!C39)</f>
        <v/>
      </c>
      <c r="D39" s="15">
        <f>IF(A39="","",'隊員マスタ'!D39)</f>
        <v/>
      </c>
      <c r="E39" s="15">
        <f>IF(OR($A39="",E$4=""),"",IF(AND(E$4="小型船舶2級",(COUNTIFS('資格研修記録'!$A$5:$A$1004,$A39,'資格研修記録'!$D$5:$D$1004,"小型船舶1級",'資格研修記録'!$F$5:$F$1004,"")+COUNTIFS('資格研修記録'!$A$5:$A$1004,$A39,'資格研修記録'!$D$5:$D$1004,"小型船舶1級",'資格研修記録'!$F$5:$F$1004,"&gt;="&amp;TODAY()))&gt;0),"1級に含む",IF(COUNTIFS('資格研修記録'!$A$5:$A$1004,$A39,'資格研修記録'!$D$5:$D$1004,E$4)=0,"—",IF(COUNTIFS('資格研修記録'!$A$5:$A$1004,$A39,'資格研修記録'!$D$5:$D$1004,E$4,'資格研修記録'!$F$5:$F$1004,"")+COUNTIFS('資格研修記録'!$A$5:$A$1004,$A39,'資格研修記録'!$D$5:$D$1004,E$4,'資格研修記録'!$F$5:$F$1004,"&gt;="&amp;TODAY())&gt;0,"○","× 期限切れ"))))</f>
        <v/>
      </c>
      <c r="F39" s="15">
        <f>IF(OR($A39="",F$4=""),"",IF(AND(F$4="小型船舶2級",(COUNTIFS('資格研修記録'!$A$5:$A$1004,$A39,'資格研修記録'!$D$5:$D$1004,"小型船舶1級",'資格研修記録'!$F$5:$F$1004,"")+COUNTIFS('資格研修記録'!$A$5:$A$1004,$A39,'資格研修記録'!$D$5:$D$1004,"小型船舶1級",'資格研修記録'!$F$5:$F$1004,"&gt;="&amp;TODAY()))&gt;0),"1級に含む",IF(COUNTIFS('資格研修記録'!$A$5:$A$1004,$A39,'資格研修記録'!$D$5:$D$1004,F$4)=0,"—",IF(COUNTIFS('資格研修記録'!$A$5:$A$1004,$A39,'資格研修記録'!$D$5:$D$1004,F$4,'資格研修記録'!$F$5:$F$1004,"")+COUNTIFS('資格研修記録'!$A$5:$A$1004,$A39,'資格研修記録'!$D$5:$D$1004,F$4,'資格研修記録'!$F$5:$F$1004,"&gt;="&amp;TODAY())&gt;0,"○","× 期限切れ"))))</f>
        <v/>
      </c>
      <c r="G39" s="15">
        <f>IF(OR($A39="",G$4=""),"",IF(AND(G$4="小型船舶2級",(COUNTIFS('資格研修記録'!$A$5:$A$1004,$A39,'資格研修記録'!$D$5:$D$1004,"小型船舶1級",'資格研修記録'!$F$5:$F$1004,"")+COUNTIFS('資格研修記録'!$A$5:$A$1004,$A39,'資格研修記録'!$D$5:$D$1004,"小型船舶1級",'資格研修記録'!$F$5:$F$1004,"&gt;="&amp;TODAY()))&gt;0),"1級に含む",IF(COUNTIFS('資格研修記録'!$A$5:$A$1004,$A39,'資格研修記録'!$D$5:$D$1004,G$4)=0,"—",IF(COUNTIFS('資格研修記録'!$A$5:$A$1004,$A39,'資格研修記録'!$D$5:$D$1004,G$4,'資格研修記録'!$F$5:$F$1004,"")+COUNTIFS('資格研修記録'!$A$5:$A$1004,$A39,'資格研修記録'!$D$5:$D$1004,G$4,'資格研修記録'!$F$5:$F$1004,"&gt;="&amp;TODAY())&gt;0,"○","× 期限切れ"))))</f>
        <v/>
      </c>
      <c r="H39" s="15">
        <f>IF(OR($A39="",H$4=""),"",IF(AND(H$4="小型船舶2級",(COUNTIFS('資格研修記録'!$A$5:$A$1004,$A39,'資格研修記録'!$D$5:$D$1004,"小型船舶1級",'資格研修記録'!$F$5:$F$1004,"")+COUNTIFS('資格研修記録'!$A$5:$A$1004,$A39,'資格研修記録'!$D$5:$D$1004,"小型船舶1級",'資格研修記録'!$F$5:$F$1004,"&gt;="&amp;TODAY()))&gt;0),"1級に含む",IF(COUNTIFS('資格研修記録'!$A$5:$A$1004,$A39,'資格研修記録'!$D$5:$D$1004,H$4)=0,"—",IF(COUNTIFS('資格研修記録'!$A$5:$A$1004,$A39,'資格研修記録'!$D$5:$D$1004,H$4,'資格研修記録'!$F$5:$F$1004,"")+COUNTIFS('資格研修記録'!$A$5:$A$1004,$A39,'資格研修記録'!$D$5:$D$1004,H$4,'資格研修記録'!$F$5:$F$1004,"&gt;="&amp;TODAY())&gt;0,"○","× 期限切れ"))))</f>
        <v/>
      </c>
      <c r="I39" s="15">
        <f>IF(OR($A39="",I$4=""),"",IF(AND(I$4="小型船舶2級",(COUNTIFS('資格研修記録'!$A$5:$A$1004,$A39,'資格研修記録'!$D$5:$D$1004,"小型船舶1級",'資格研修記録'!$F$5:$F$1004,"")+COUNTIFS('資格研修記録'!$A$5:$A$1004,$A39,'資格研修記録'!$D$5:$D$1004,"小型船舶1級",'資格研修記録'!$F$5:$F$1004,"&gt;="&amp;TODAY()))&gt;0),"1級に含む",IF(COUNTIFS('資格研修記録'!$A$5:$A$1004,$A39,'資格研修記録'!$D$5:$D$1004,I$4)=0,"—",IF(COUNTIFS('資格研修記録'!$A$5:$A$1004,$A39,'資格研修記録'!$D$5:$D$1004,I$4,'資格研修記録'!$F$5:$F$1004,"")+COUNTIFS('資格研修記録'!$A$5:$A$1004,$A39,'資格研修記録'!$D$5:$D$1004,I$4,'資格研修記録'!$F$5:$F$1004,"&gt;="&amp;TODAY())&gt;0,"○","× 期限切れ"))))</f>
        <v/>
      </c>
      <c r="J39" s="15">
        <f>IF(OR($A39="",J$4=""),"",IF(AND(J$4="小型船舶2級",(COUNTIFS('資格研修記録'!$A$5:$A$1004,$A39,'資格研修記録'!$D$5:$D$1004,"小型船舶1級",'資格研修記録'!$F$5:$F$1004,"")+COUNTIFS('資格研修記録'!$A$5:$A$1004,$A39,'資格研修記録'!$D$5:$D$1004,"小型船舶1級",'資格研修記録'!$F$5:$F$1004,"&gt;="&amp;TODAY()))&gt;0),"1級に含む",IF(COUNTIFS('資格研修記録'!$A$5:$A$1004,$A39,'資格研修記録'!$D$5:$D$1004,J$4)=0,"—",IF(COUNTIFS('資格研修記録'!$A$5:$A$1004,$A39,'資格研修記録'!$D$5:$D$1004,J$4,'資格研修記録'!$F$5:$F$1004,"")+COUNTIFS('資格研修記録'!$A$5:$A$1004,$A39,'資格研修記録'!$D$5:$D$1004,J$4,'資格研修記録'!$F$5:$F$1004,"&gt;="&amp;TODAY())&gt;0,"○","× 期限切れ"))))</f>
        <v/>
      </c>
      <c r="K39" s="15">
        <f>IF(OR($A39="",K$4=""),"",IF(AND(K$4="小型船舶2級",(COUNTIFS('資格研修記録'!$A$5:$A$1004,$A39,'資格研修記録'!$D$5:$D$1004,"小型船舶1級",'資格研修記録'!$F$5:$F$1004,"")+COUNTIFS('資格研修記録'!$A$5:$A$1004,$A39,'資格研修記録'!$D$5:$D$1004,"小型船舶1級",'資格研修記録'!$F$5:$F$1004,"&gt;="&amp;TODAY()))&gt;0),"1級に含む",IF(COUNTIFS('資格研修記録'!$A$5:$A$1004,$A39,'資格研修記録'!$D$5:$D$1004,K$4)=0,"—",IF(COUNTIFS('資格研修記録'!$A$5:$A$1004,$A39,'資格研修記録'!$D$5:$D$1004,K$4,'資格研修記録'!$F$5:$F$1004,"")+COUNTIFS('資格研修記録'!$A$5:$A$1004,$A39,'資格研修記録'!$D$5:$D$1004,K$4,'資格研修記録'!$F$5:$F$1004,"&gt;="&amp;TODAY())&gt;0,"○","× 期限切れ"))))</f>
        <v/>
      </c>
      <c r="L39" s="15">
        <f>IF(OR($A39="",L$4=""),"",IF(AND(L$4="小型船舶2級",(COUNTIFS('資格研修記録'!$A$5:$A$1004,$A39,'資格研修記録'!$D$5:$D$1004,"小型船舶1級",'資格研修記録'!$F$5:$F$1004,"")+COUNTIFS('資格研修記録'!$A$5:$A$1004,$A39,'資格研修記録'!$D$5:$D$1004,"小型船舶1級",'資格研修記録'!$F$5:$F$1004,"&gt;="&amp;TODAY()))&gt;0),"1級に含む",IF(COUNTIFS('資格研修記録'!$A$5:$A$1004,$A39,'資格研修記録'!$D$5:$D$1004,L$4)=0,"—",IF(COUNTIFS('資格研修記録'!$A$5:$A$1004,$A39,'資格研修記録'!$D$5:$D$1004,L$4,'資格研修記録'!$F$5:$F$1004,"")+COUNTIFS('資格研修記録'!$A$5:$A$1004,$A39,'資格研修記録'!$D$5:$D$1004,L$4,'資格研修記録'!$F$5:$F$1004,"&gt;="&amp;TODAY())&gt;0,"○","× 期限切れ"))))</f>
        <v/>
      </c>
    </row>
    <row r="40">
      <c r="A40" s="14">
        <f>IF('隊員マスタ'!A40="","",'隊員マスタ'!A40)</f>
        <v/>
      </c>
      <c r="B40" s="14">
        <f>IF(A40="","",'隊員マスタ'!B40)</f>
        <v/>
      </c>
      <c r="C40" s="14">
        <f>IF(A40="","",'隊員マスタ'!C40)</f>
        <v/>
      </c>
      <c r="D40" s="15">
        <f>IF(A40="","",'隊員マスタ'!D40)</f>
        <v/>
      </c>
      <c r="E40" s="15">
        <f>IF(OR($A40="",E$4=""),"",IF(AND(E$4="小型船舶2級",(COUNTIFS('資格研修記録'!$A$5:$A$1004,$A40,'資格研修記録'!$D$5:$D$1004,"小型船舶1級",'資格研修記録'!$F$5:$F$1004,"")+COUNTIFS('資格研修記録'!$A$5:$A$1004,$A40,'資格研修記録'!$D$5:$D$1004,"小型船舶1級",'資格研修記録'!$F$5:$F$1004,"&gt;="&amp;TODAY()))&gt;0),"1級に含む",IF(COUNTIFS('資格研修記録'!$A$5:$A$1004,$A40,'資格研修記録'!$D$5:$D$1004,E$4)=0,"—",IF(COUNTIFS('資格研修記録'!$A$5:$A$1004,$A40,'資格研修記録'!$D$5:$D$1004,E$4,'資格研修記録'!$F$5:$F$1004,"")+COUNTIFS('資格研修記録'!$A$5:$A$1004,$A40,'資格研修記録'!$D$5:$D$1004,E$4,'資格研修記録'!$F$5:$F$1004,"&gt;="&amp;TODAY())&gt;0,"○","× 期限切れ"))))</f>
        <v/>
      </c>
      <c r="F40" s="15">
        <f>IF(OR($A40="",F$4=""),"",IF(AND(F$4="小型船舶2級",(COUNTIFS('資格研修記録'!$A$5:$A$1004,$A40,'資格研修記録'!$D$5:$D$1004,"小型船舶1級",'資格研修記録'!$F$5:$F$1004,"")+COUNTIFS('資格研修記録'!$A$5:$A$1004,$A40,'資格研修記録'!$D$5:$D$1004,"小型船舶1級",'資格研修記録'!$F$5:$F$1004,"&gt;="&amp;TODAY()))&gt;0),"1級に含む",IF(COUNTIFS('資格研修記録'!$A$5:$A$1004,$A40,'資格研修記録'!$D$5:$D$1004,F$4)=0,"—",IF(COUNTIFS('資格研修記録'!$A$5:$A$1004,$A40,'資格研修記録'!$D$5:$D$1004,F$4,'資格研修記録'!$F$5:$F$1004,"")+COUNTIFS('資格研修記録'!$A$5:$A$1004,$A40,'資格研修記録'!$D$5:$D$1004,F$4,'資格研修記録'!$F$5:$F$1004,"&gt;="&amp;TODAY())&gt;0,"○","× 期限切れ"))))</f>
        <v/>
      </c>
      <c r="G40" s="15">
        <f>IF(OR($A40="",G$4=""),"",IF(AND(G$4="小型船舶2級",(COUNTIFS('資格研修記録'!$A$5:$A$1004,$A40,'資格研修記録'!$D$5:$D$1004,"小型船舶1級",'資格研修記録'!$F$5:$F$1004,"")+COUNTIFS('資格研修記録'!$A$5:$A$1004,$A40,'資格研修記録'!$D$5:$D$1004,"小型船舶1級",'資格研修記録'!$F$5:$F$1004,"&gt;="&amp;TODAY()))&gt;0),"1級に含む",IF(COUNTIFS('資格研修記録'!$A$5:$A$1004,$A40,'資格研修記録'!$D$5:$D$1004,G$4)=0,"—",IF(COUNTIFS('資格研修記録'!$A$5:$A$1004,$A40,'資格研修記録'!$D$5:$D$1004,G$4,'資格研修記録'!$F$5:$F$1004,"")+COUNTIFS('資格研修記録'!$A$5:$A$1004,$A40,'資格研修記録'!$D$5:$D$1004,G$4,'資格研修記録'!$F$5:$F$1004,"&gt;="&amp;TODAY())&gt;0,"○","× 期限切れ"))))</f>
        <v/>
      </c>
      <c r="H40" s="15">
        <f>IF(OR($A40="",H$4=""),"",IF(AND(H$4="小型船舶2級",(COUNTIFS('資格研修記録'!$A$5:$A$1004,$A40,'資格研修記録'!$D$5:$D$1004,"小型船舶1級",'資格研修記録'!$F$5:$F$1004,"")+COUNTIFS('資格研修記録'!$A$5:$A$1004,$A40,'資格研修記録'!$D$5:$D$1004,"小型船舶1級",'資格研修記録'!$F$5:$F$1004,"&gt;="&amp;TODAY()))&gt;0),"1級に含む",IF(COUNTIFS('資格研修記録'!$A$5:$A$1004,$A40,'資格研修記録'!$D$5:$D$1004,H$4)=0,"—",IF(COUNTIFS('資格研修記録'!$A$5:$A$1004,$A40,'資格研修記録'!$D$5:$D$1004,H$4,'資格研修記録'!$F$5:$F$1004,"")+COUNTIFS('資格研修記録'!$A$5:$A$1004,$A40,'資格研修記録'!$D$5:$D$1004,H$4,'資格研修記録'!$F$5:$F$1004,"&gt;="&amp;TODAY())&gt;0,"○","× 期限切れ"))))</f>
        <v/>
      </c>
      <c r="I40" s="15">
        <f>IF(OR($A40="",I$4=""),"",IF(AND(I$4="小型船舶2級",(COUNTIFS('資格研修記録'!$A$5:$A$1004,$A40,'資格研修記録'!$D$5:$D$1004,"小型船舶1級",'資格研修記録'!$F$5:$F$1004,"")+COUNTIFS('資格研修記録'!$A$5:$A$1004,$A40,'資格研修記録'!$D$5:$D$1004,"小型船舶1級",'資格研修記録'!$F$5:$F$1004,"&gt;="&amp;TODAY()))&gt;0),"1級に含む",IF(COUNTIFS('資格研修記録'!$A$5:$A$1004,$A40,'資格研修記録'!$D$5:$D$1004,I$4)=0,"—",IF(COUNTIFS('資格研修記録'!$A$5:$A$1004,$A40,'資格研修記録'!$D$5:$D$1004,I$4,'資格研修記録'!$F$5:$F$1004,"")+COUNTIFS('資格研修記録'!$A$5:$A$1004,$A40,'資格研修記録'!$D$5:$D$1004,I$4,'資格研修記録'!$F$5:$F$1004,"&gt;="&amp;TODAY())&gt;0,"○","× 期限切れ"))))</f>
        <v/>
      </c>
      <c r="J40" s="15">
        <f>IF(OR($A40="",J$4=""),"",IF(AND(J$4="小型船舶2級",(COUNTIFS('資格研修記録'!$A$5:$A$1004,$A40,'資格研修記録'!$D$5:$D$1004,"小型船舶1級",'資格研修記録'!$F$5:$F$1004,"")+COUNTIFS('資格研修記録'!$A$5:$A$1004,$A40,'資格研修記録'!$D$5:$D$1004,"小型船舶1級",'資格研修記録'!$F$5:$F$1004,"&gt;="&amp;TODAY()))&gt;0),"1級に含む",IF(COUNTIFS('資格研修記録'!$A$5:$A$1004,$A40,'資格研修記録'!$D$5:$D$1004,J$4)=0,"—",IF(COUNTIFS('資格研修記録'!$A$5:$A$1004,$A40,'資格研修記録'!$D$5:$D$1004,J$4,'資格研修記録'!$F$5:$F$1004,"")+COUNTIFS('資格研修記録'!$A$5:$A$1004,$A40,'資格研修記録'!$D$5:$D$1004,J$4,'資格研修記録'!$F$5:$F$1004,"&gt;="&amp;TODAY())&gt;0,"○","× 期限切れ"))))</f>
        <v/>
      </c>
      <c r="K40" s="15">
        <f>IF(OR($A40="",K$4=""),"",IF(AND(K$4="小型船舶2級",(COUNTIFS('資格研修記録'!$A$5:$A$1004,$A40,'資格研修記録'!$D$5:$D$1004,"小型船舶1級",'資格研修記録'!$F$5:$F$1004,"")+COUNTIFS('資格研修記録'!$A$5:$A$1004,$A40,'資格研修記録'!$D$5:$D$1004,"小型船舶1級",'資格研修記録'!$F$5:$F$1004,"&gt;="&amp;TODAY()))&gt;0),"1級に含む",IF(COUNTIFS('資格研修記録'!$A$5:$A$1004,$A40,'資格研修記録'!$D$5:$D$1004,K$4)=0,"—",IF(COUNTIFS('資格研修記録'!$A$5:$A$1004,$A40,'資格研修記録'!$D$5:$D$1004,K$4,'資格研修記録'!$F$5:$F$1004,"")+COUNTIFS('資格研修記録'!$A$5:$A$1004,$A40,'資格研修記録'!$D$5:$D$1004,K$4,'資格研修記録'!$F$5:$F$1004,"&gt;="&amp;TODAY())&gt;0,"○","× 期限切れ"))))</f>
        <v/>
      </c>
      <c r="L40" s="15">
        <f>IF(OR($A40="",L$4=""),"",IF(AND(L$4="小型船舶2級",(COUNTIFS('資格研修記録'!$A$5:$A$1004,$A40,'資格研修記録'!$D$5:$D$1004,"小型船舶1級",'資格研修記録'!$F$5:$F$1004,"")+COUNTIFS('資格研修記録'!$A$5:$A$1004,$A40,'資格研修記録'!$D$5:$D$1004,"小型船舶1級",'資格研修記録'!$F$5:$F$1004,"&gt;="&amp;TODAY()))&gt;0),"1級に含む",IF(COUNTIFS('資格研修記録'!$A$5:$A$1004,$A40,'資格研修記録'!$D$5:$D$1004,L$4)=0,"—",IF(COUNTIFS('資格研修記録'!$A$5:$A$1004,$A40,'資格研修記録'!$D$5:$D$1004,L$4,'資格研修記録'!$F$5:$F$1004,"")+COUNTIFS('資格研修記録'!$A$5:$A$1004,$A40,'資格研修記録'!$D$5:$D$1004,L$4,'資格研修記録'!$F$5:$F$1004,"&gt;="&amp;TODAY())&gt;0,"○","× 期限切れ"))))</f>
        <v/>
      </c>
    </row>
    <row r="41">
      <c r="A41" s="14">
        <f>IF('隊員マスタ'!A41="","",'隊員マスタ'!A41)</f>
        <v/>
      </c>
      <c r="B41" s="14">
        <f>IF(A41="","",'隊員マスタ'!B41)</f>
        <v/>
      </c>
      <c r="C41" s="14">
        <f>IF(A41="","",'隊員マスタ'!C41)</f>
        <v/>
      </c>
      <c r="D41" s="15">
        <f>IF(A41="","",'隊員マスタ'!D41)</f>
        <v/>
      </c>
      <c r="E41" s="15">
        <f>IF(OR($A41="",E$4=""),"",IF(AND(E$4="小型船舶2級",(COUNTIFS('資格研修記録'!$A$5:$A$1004,$A41,'資格研修記録'!$D$5:$D$1004,"小型船舶1級",'資格研修記録'!$F$5:$F$1004,"")+COUNTIFS('資格研修記録'!$A$5:$A$1004,$A41,'資格研修記録'!$D$5:$D$1004,"小型船舶1級",'資格研修記録'!$F$5:$F$1004,"&gt;="&amp;TODAY()))&gt;0),"1級に含む",IF(COUNTIFS('資格研修記録'!$A$5:$A$1004,$A41,'資格研修記録'!$D$5:$D$1004,E$4)=0,"—",IF(COUNTIFS('資格研修記録'!$A$5:$A$1004,$A41,'資格研修記録'!$D$5:$D$1004,E$4,'資格研修記録'!$F$5:$F$1004,"")+COUNTIFS('資格研修記録'!$A$5:$A$1004,$A41,'資格研修記録'!$D$5:$D$1004,E$4,'資格研修記録'!$F$5:$F$1004,"&gt;="&amp;TODAY())&gt;0,"○","× 期限切れ"))))</f>
        <v/>
      </c>
      <c r="F41" s="15">
        <f>IF(OR($A41="",F$4=""),"",IF(AND(F$4="小型船舶2級",(COUNTIFS('資格研修記録'!$A$5:$A$1004,$A41,'資格研修記録'!$D$5:$D$1004,"小型船舶1級",'資格研修記録'!$F$5:$F$1004,"")+COUNTIFS('資格研修記録'!$A$5:$A$1004,$A41,'資格研修記録'!$D$5:$D$1004,"小型船舶1級",'資格研修記録'!$F$5:$F$1004,"&gt;="&amp;TODAY()))&gt;0),"1級に含む",IF(COUNTIFS('資格研修記録'!$A$5:$A$1004,$A41,'資格研修記録'!$D$5:$D$1004,F$4)=0,"—",IF(COUNTIFS('資格研修記録'!$A$5:$A$1004,$A41,'資格研修記録'!$D$5:$D$1004,F$4,'資格研修記録'!$F$5:$F$1004,"")+COUNTIFS('資格研修記録'!$A$5:$A$1004,$A41,'資格研修記録'!$D$5:$D$1004,F$4,'資格研修記録'!$F$5:$F$1004,"&gt;="&amp;TODAY())&gt;0,"○","× 期限切れ"))))</f>
        <v/>
      </c>
      <c r="G41" s="15">
        <f>IF(OR($A41="",G$4=""),"",IF(AND(G$4="小型船舶2級",(COUNTIFS('資格研修記録'!$A$5:$A$1004,$A41,'資格研修記録'!$D$5:$D$1004,"小型船舶1級",'資格研修記録'!$F$5:$F$1004,"")+COUNTIFS('資格研修記録'!$A$5:$A$1004,$A41,'資格研修記録'!$D$5:$D$1004,"小型船舶1級",'資格研修記録'!$F$5:$F$1004,"&gt;="&amp;TODAY()))&gt;0),"1級に含む",IF(COUNTIFS('資格研修記録'!$A$5:$A$1004,$A41,'資格研修記録'!$D$5:$D$1004,G$4)=0,"—",IF(COUNTIFS('資格研修記録'!$A$5:$A$1004,$A41,'資格研修記録'!$D$5:$D$1004,G$4,'資格研修記録'!$F$5:$F$1004,"")+COUNTIFS('資格研修記録'!$A$5:$A$1004,$A41,'資格研修記録'!$D$5:$D$1004,G$4,'資格研修記録'!$F$5:$F$1004,"&gt;="&amp;TODAY())&gt;0,"○","× 期限切れ"))))</f>
        <v/>
      </c>
      <c r="H41" s="15">
        <f>IF(OR($A41="",H$4=""),"",IF(AND(H$4="小型船舶2級",(COUNTIFS('資格研修記録'!$A$5:$A$1004,$A41,'資格研修記録'!$D$5:$D$1004,"小型船舶1級",'資格研修記録'!$F$5:$F$1004,"")+COUNTIFS('資格研修記録'!$A$5:$A$1004,$A41,'資格研修記録'!$D$5:$D$1004,"小型船舶1級",'資格研修記録'!$F$5:$F$1004,"&gt;="&amp;TODAY()))&gt;0),"1級に含む",IF(COUNTIFS('資格研修記録'!$A$5:$A$1004,$A41,'資格研修記録'!$D$5:$D$1004,H$4)=0,"—",IF(COUNTIFS('資格研修記録'!$A$5:$A$1004,$A41,'資格研修記録'!$D$5:$D$1004,H$4,'資格研修記録'!$F$5:$F$1004,"")+COUNTIFS('資格研修記録'!$A$5:$A$1004,$A41,'資格研修記録'!$D$5:$D$1004,H$4,'資格研修記録'!$F$5:$F$1004,"&gt;="&amp;TODAY())&gt;0,"○","× 期限切れ"))))</f>
        <v/>
      </c>
      <c r="I41" s="15">
        <f>IF(OR($A41="",I$4=""),"",IF(AND(I$4="小型船舶2級",(COUNTIFS('資格研修記録'!$A$5:$A$1004,$A41,'資格研修記録'!$D$5:$D$1004,"小型船舶1級",'資格研修記録'!$F$5:$F$1004,"")+COUNTIFS('資格研修記録'!$A$5:$A$1004,$A41,'資格研修記録'!$D$5:$D$1004,"小型船舶1級",'資格研修記録'!$F$5:$F$1004,"&gt;="&amp;TODAY()))&gt;0),"1級に含む",IF(COUNTIFS('資格研修記録'!$A$5:$A$1004,$A41,'資格研修記録'!$D$5:$D$1004,I$4)=0,"—",IF(COUNTIFS('資格研修記録'!$A$5:$A$1004,$A41,'資格研修記録'!$D$5:$D$1004,I$4,'資格研修記録'!$F$5:$F$1004,"")+COUNTIFS('資格研修記録'!$A$5:$A$1004,$A41,'資格研修記録'!$D$5:$D$1004,I$4,'資格研修記録'!$F$5:$F$1004,"&gt;="&amp;TODAY())&gt;0,"○","× 期限切れ"))))</f>
        <v/>
      </c>
      <c r="J41" s="15">
        <f>IF(OR($A41="",J$4=""),"",IF(AND(J$4="小型船舶2級",(COUNTIFS('資格研修記録'!$A$5:$A$1004,$A41,'資格研修記録'!$D$5:$D$1004,"小型船舶1級",'資格研修記録'!$F$5:$F$1004,"")+COUNTIFS('資格研修記録'!$A$5:$A$1004,$A41,'資格研修記録'!$D$5:$D$1004,"小型船舶1級",'資格研修記録'!$F$5:$F$1004,"&gt;="&amp;TODAY()))&gt;0),"1級に含む",IF(COUNTIFS('資格研修記録'!$A$5:$A$1004,$A41,'資格研修記録'!$D$5:$D$1004,J$4)=0,"—",IF(COUNTIFS('資格研修記録'!$A$5:$A$1004,$A41,'資格研修記録'!$D$5:$D$1004,J$4,'資格研修記録'!$F$5:$F$1004,"")+COUNTIFS('資格研修記録'!$A$5:$A$1004,$A41,'資格研修記録'!$D$5:$D$1004,J$4,'資格研修記録'!$F$5:$F$1004,"&gt;="&amp;TODAY())&gt;0,"○","× 期限切れ"))))</f>
        <v/>
      </c>
      <c r="K41" s="15">
        <f>IF(OR($A41="",K$4=""),"",IF(AND(K$4="小型船舶2級",(COUNTIFS('資格研修記録'!$A$5:$A$1004,$A41,'資格研修記録'!$D$5:$D$1004,"小型船舶1級",'資格研修記録'!$F$5:$F$1004,"")+COUNTIFS('資格研修記録'!$A$5:$A$1004,$A41,'資格研修記録'!$D$5:$D$1004,"小型船舶1級",'資格研修記録'!$F$5:$F$1004,"&gt;="&amp;TODAY()))&gt;0),"1級に含む",IF(COUNTIFS('資格研修記録'!$A$5:$A$1004,$A41,'資格研修記録'!$D$5:$D$1004,K$4)=0,"—",IF(COUNTIFS('資格研修記録'!$A$5:$A$1004,$A41,'資格研修記録'!$D$5:$D$1004,K$4,'資格研修記録'!$F$5:$F$1004,"")+COUNTIFS('資格研修記録'!$A$5:$A$1004,$A41,'資格研修記録'!$D$5:$D$1004,K$4,'資格研修記録'!$F$5:$F$1004,"&gt;="&amp;TODAY())&gt;0,"○","× 期限切れ"))))</f>
        <v/>
      </c>
      <c r="L41" s="15">
        <f>IF(OR($A41="",L$4=""),"",IF(AND(L$4="小型船舶2級",(COUNTIFS('資格研修記録'!$A$5:$A$1004,$A41,'資格研修記録'!$D$5:$D$1004,"小型船舶1級",'資格研修記録'!$F$5:$F$1004,"")+COUNTIFS('資格研修記録'!$A$5:$A$1004,$A41,'資格研修記録'!$D$5:$D$1004,"小型船舶1級",'資格研修記録'!$F$5:$F$1004,"&gt;="&amp;TODAY()))&gt;0),"1級に含む",IF(COUNTIFS('資格研修記録'!$A$5:$A$1004,$A41,'資格研修記録'!$D$5:$D$1004,L$4)=0,"—",IF(COUNTIFS('資格研修記録'!$A$5:$A$1004,$A41,'資格研修記録'!$D$5:$D$1004,L$4,'資格研修記録'!$F$5:$F$1004,"")+COUNTIFS('資格研修記録'!$A$5:$A$1004,$A41,'資格研修記録'!$D$5:$D$1004,L$4,'資格研修記録'!$F$5:$F$1004,"&gt;="&amp;TODAY())&gt;0,"○","× 期限切れ"))))</f>
        <v/>
      </c>
    </row>
    <row r="42">
      <c r="A42" s="14">
        <f>IF('隊員マスタ'!A42="","",'隊員マスタ'!A42)</f>
        <v/>
      </c>
      <c r="B42" s="14">
        <f>IF(A42="","",'隊員マスタ'!B42)</f>
        <v/>
      </c>
      <c r="C42" s="14">
        <f>IF(A42="","",'隊員マスタ'!C42)</f>
        <v/>
      </c>
      <c r="D42" s="15">
        <f>IF(A42="","",'隊員マスタ'!D42)</f>
        <v/>
      </c>
      <c r="E42" s="15">
        <f>IF(OR($A42="",E$4=""),"",IF(AND(E$4="小型船舶2級",(COUNTIFS('資格研修記録'!$A$5:$A$1004,$A42,'資格研修記録'!$D$5:$D$1004,"小型船舶1級",'資格研修記録'!$F$5:$F$1004,"")+COUNTIFS('資格研修記録'!$A$5:$A$1004,$A42,'資格研修記録'!$D$5:$D$1004,"小型船舶1級",'資格研修記録'!$F$5:$F$1004,"&gt;="&amp;TODAY()))&gt;0),"1級に含む",IF(COUNTIFS('資格研修記録'!$A$5:$A$1004,$A42,'資格研修記録'!$D$5:$D$1004,E$4)=0,"—",IF(COUNTIFS('資格研修記録'!$A$5:$A$1004,$A42,'資格研修記録'!$D$5:$D$1004,E$4,'資格研修記録'!$F$5:$F$1004,"")+COUNTIFS('資格研修記録'!$A$5:$A$1004,$A42,'資格研修記録'!$D$5:$D$1004,E$4,'資格研修記録'!$F$5:$F$1004,"&gt;="&amp;TODAY())&gt;0,"○","× 期限切れ"))))</f>
        <v/>
      </c>
      <c r="F42" s="15">
        <f>IF(OR($A42="",F$4=""),"",IF(AND(F$4="小型船舶2級",(COUNTIFS('資格研修記録'!$A$5:$A$1004,$A42,'資格研修記録'!$D$5:$D$1004,"小型船舶1級",'資格研修記録'!$F$5:$F$1004,"")+COUNTIFS('資格研修記録'!$A$5:$A$1004,$A42,'資格研修記録'!$D$5:$D$1004,"小型船舶1級",'資格研修記録'!$F$5:$F$1004,"&gt;="&amp;TODAY()))&gt;0),"1級に含む",IF(COUNTIFS('資格研修記録'!$A$5:$A$1004,$A42,'資格研修記録'!$D$5:$D$1004,F$4)=0,"—",IF(COUNTIFS('資格研修記録'!$A$5:$A$1004,$A42,'資格研修記録'!$D$5:$D$1004,F$4,'資格研修記録'!$F$5:$F$1004,"")+COUNTIFS('資格研修記録'!$A$5:$A$1004,$A42,'資格研修記録'!$D$5:$D$1004,F$4,'資格研修記録'!$F$5:$F$1004,"&gt;="&amp;TODAY())&gt;0,"○","× 期限切れ"))))</f>
        <v/>
      </c>
      <c r="G42" s="15">
        <f>IF(OR($A42="",G$4=""),"",IF(AND(G$4="小型船舶2級",(COUNTIFS('資格研修記録'!$A$5:$A$1004,$A42,'資格研修記録'!$D$5:$D$1004,"小型船舶1級",'資格研修記録'!$F$5:$F$1004,"")+COUNTIFS('資格研修記録'!$A$5:$A$1004,$A42,'資格研修記録'!$D$5:$D$1004,"小型船舶1級",'資格研修記録'!$F$5:$F$1004,"&gt;="&amp;TODAY()))&gt;0),"1級に含む",IF(COUNTIFS('資格研修記録'!$A$5:$A$1004,$A42,'資格研修記録'!$D$5:$D$1004,G$4)=0,"—",IF(COUNTIFS('資格研修記録'!$A$5:$A$1004,$A42,'資格研修記録'!$D$5:$D$1004,G$4,'資格研修記録'!$F$5:$F$1004,"")+COUNTIFS('資格研修記録'!$A$5:$A$1004,$A42,'資格研修記録'!$D$5:$D$1004,G$4,'資格研修記録'!$F$5:$F$1004,"&gt;="&amp;TODAY())&gt;0,"○","× 期限切れ"))))</f>
        <v/>
      </c>
      <c r="H42" s="15">
        <f>IF(OR($A42="",H$4=""),"",IF(AND(H$4="小型船舶2級",(COUNTIFS('資格研修記録'!$A$5:$A$1004,$A42,'資格研修記録'!$D$5:$D$1004,"小型船舶1級",'資格研修記録'!$F$5:$F$1004,"")+COUNTIFS('資格研修記録'!$A$5:$A$1004,$A42,'資格研修記録'!$D$5:$D$1004,"小型船舶1級",'資格研修記録'!$F$5:$F$1004,"&gt;="&amp;TODAY()))&gt;0),"1級に含む",IF(COUNTIFS('資格研修記録'!$A$5:$A$1004,$A42,'資格研修記録'!$D$5:$D$1004,H$4)=0,"—",IF(COUNTIFS('資格研修記録'!$A$5:$A$1004,$A42,'資格研修記録'!$D$5:$D$1004,H$4,'資格研修記録'!$F$5:$F$1004,"")+COUNTIFS('資格研修記録'!$A$5:$A$1004,$A42,'資格研修記録'!$D$5:$D$1004,H$4,'資格研修記録'!$F$5:$F$1004,"&gt;="&amp;TODAY())&gt;0,"○","× 期限切れ"))))</f>
        <v/>
      </c>
      <c r="I42" s="15">
        <f>IF(OR($A42="",I$4=""),"",IF(AND(I$4="小型船舶2級",(COUNTIFS('資格研修記録'!$A$5:$A$1004,$A42,'資格研修記録'!$D$5:$D$1004,"小型船舶1級",'資格研修記録'!$F$5:$F$1004,"")+COUNTIFS('資格研修記録'!$A$5:$A$1004,$A42,'資格研修記録'!$D$5:$D$1004,"小型船舶1級",'資格研修記録'!$F$5:$F$1004,"&gt;="&amp;TODAY()))&gt;0),"1級に含む",IF(COUNTIFS('資格研修記録'!$A$5:$A$1004,$A42,'資格研修記録'!$D$5:$D$1004,I$4)=0,"—",IF(COUNTIFS('資格研修記録'!$A$5:$A$1004,$A42,'資格研修記録'!$D$5:$D$1004,I$4,'資格研修記録'!$F$5:$F$1004,"")+COUNTIFS('資格研修記録'!$A$5:$A$1004,$A42,'資格研修記録'!$D$5:$D$1004,I$4,'資格研修記録'!$F$5:$F$1004,"&gt;="&amp;TODAY())&gt;0,"○","× 期限切れ"))))</f>
        <v/>
      </c>
      <c r="J42" s="15">
        <f>IF(OR($A42="",J$4=""),"",IF(AND(J$4="小型船舶2級",(COUNTIFS('資格研修記録'!$A$5:$A$1004,$A42,'資格研修記録'!$D$5:$D$1004,"小型船舶1級",'資格研修記録'!$F$5:$F$1004,"")+COUNTIFS('資格研修記録'!$A$5:$A$1004,$A42,'資格研修記録'!$D$5:$D$1004,"小型船舶1級",'資格研修記録'!$F$5:$F$1004,"&gt;="&amp;TODAY()))&gt;0),"1級に含む",IF(COUNTIFS('資格研修記録'!$A$5:$A$1004,$A42,'資格研修記録'!$D$5:$D$1004,J$4)=0,"—",IF(COUNTIFS('資格研修記録'!$A$5:$A$1004,$A42,'資格研修記録'!$D$5:$D$1004,J$4,'資格研修記録'!$F$5:$F$1004,"")+COUNTIFS('資格研修記録'!$A$5:$A$1004,$A42,'資格研修記録'!$D$5:$D$1004,J$4,'資格研修記録'!$F$5:$F$1004,"&gt;="&amp;TODAY())&gt;0,"○","× 期限切れ"))))</f>
        <v/>
      </c>
      <c r="K42" s="15">
        <f>IF(OR($A42="",K$4=""),"",IF(AND(K$4="小型船舶2級",(COUNTIFS('資格研修記録'!$A$5:$A$1004,$A42,'資格研修記録'!$D$5:$D$1004,"小型船舶1級",'資格研修記録'!$F$5:$F$1004,"")+COUNTIFS('資格研修記録'!$A$5:$A$1004,$A42,'資格研修記録'!$D$5:$D$1004,"小型船舶1級",'資格研修記録'!$F$5:$F$1004,"&gt;="&amp;TODAY()))&gt;0),"1級に含む",IF(COUNTIFS('資格研修記録'!$A$5:$A$1004,$A42,'資格研修記録'!$D$5:$D$1004,K$4)=0,"—",IF(COUNTIFS('資格研修記録'!$A$5:$A$1004,$A42,'資格研修記録'!$D$5:$D$1004,K$4,'資格研修記録'!$F$5:$F$1004,"")+COUNTIFS('資格研修記録'!$A$5:$A$1004,$A42,'資格研修記録'!$D$5:$D$1004,K$4,'資格研修記録'!$F$5:$F$1004,"&gt;="&amp;TODAY())&gt;0,"○","× 期限切れ"))))</f>
        <v/>
      </c>
      <c r="L42" s="15">
        <f>IF(OR($A42="",L$4=""),"",IF(AND(L$4="小型船舶2級",(COUNTIFS('資格研修記録'!$A$5:$A$1004,$A42,'資格研修記録'!$D$5:$D$1004,"小型船舶1級",'資格研修記録'!$F$5:$F$1004,"")+COUNTIFS('資格研修記録'!$A$5:$A$1004,$A42,'資格研修記録'!$D$5:$D$1004,"小型船舶1級",'資格研修記録'!$F$5:$F$1004,"&gt;="&amp;TODAY()))&gt;0),"1級に含む",IF(COUNTIFS('資格研修記録'!$A$5:$A$1004,$A42,'資格研修記録'!$D$5:$D$1004,L$4)=0,"—",IF(COUNTIFS('資格研修記録'!$A$5:$A$1004,$A42,'資格研修記録'!$D$5:$D$1004,L$4,'資格研修記録'!$F$5:$F$1004,"")+COUNTIFS('資格研修記録'!$A$5:$A$1004,$A42,'資格研修記録'!$D$5:$D$1004,L$4,'資格研修記録'!$F$5:$F$1004,"&gt;="&amp;TODAY())&gt;0,"○","× 期限切れ"))))</f>
        <v/>
      </c>
    </row>
    <row r="43">
      <c r="A43" s="14">
        <f>IF('隊員マスタ'!A43="","",'隊員マスタ'!A43)</f>
        <v/>
      </c>
      <c r="B43" s="14">
        <f>IF(A43="","",'隊員マスタ'!B43)</f>
        <v/>
      </c>
      <c r="C43" s="14">
        <f>IF(A43="","",'隊員マスタ'!C43)</f>
        <v/>
      </c>
      <c r="D43" s="15">
        <f>IF(A43="","",'隊員マスタ'!D43)</f>
        <v/>
      </c>
      <c r="E43" s="15">
        <f>IF(OR($A43="",E$4=""),"",IF(AND(E$4="小型船舶2級",(COUNTIFS('資格研修記録'!$A$5:$A$1004,$A43,'資格研修記録'!$D$5:$D$1004,"小型船舶1級",'資格研修記録'!$F$5:$F$1004,"")+COUNTIFS('資格研修記録'!$A$5:$A$1004,$A43,'資格研修記録'!$D$5:$D$1004,"小型船舶1級",'資格研修記録'!$F$5:$F$1004,"&gt;="&amp;TODAY()))&gt;0),"1級に含む",IF(COUNTIFS('資格研修記録'!$A$5:$A$1004,$A43,'資格研修記録'!$D$5:$D$1004,E$4)=0,"—",IF(COUNTIFS('資格研修記録'!$A$5:$A$1004,$A43,'資格研修記録'!$D$5:$D$1004,E$4,'資格研修記録'!$F$5:$F$1004,"")+COUNTIFS('資格研修記録'!$A$5:$A$1004,$A43,'資格研修記録'!$D$5:$D$1004,E$4,'資格研修記録'!$F$5:$F$1004,"&gt;="&amp;TODAY())&gt;0,"○","× 期限切れ"))))</f>
        <v/>
      </c>
      <c r="F43" s="15">
        <f>IF(OR($A43="",F$4=""),"",IF(AND(F$4="小型船舶2級",(COUNTIFS('資格研修記録'!$A$5:$A$1004,$A43,'資格研修記録'!$D$5:$D$1004,"小型船舶1級",'資格研修記録'!$F$5:$F$1004,"")+COUNTIFS('資格研修記録'!$A$5:$A$1004,$A43,'資格研修記録'!$D$5:$D$1004,"小型船舶1級",'資格研修記録'!$F$5:$F$1004,"&gt;="&amp;TODAY()))&gt;0),"1級に含む",IF(COUNTIFS('資格研修記録'!$A$5:$A$1004,$A43,'資格研修記録'!$D$5:$D$1004,F$4)=0,"—",IF(COUNTIFS('資格研修記録'!$A$5:$A$1004,$A43,'資格研修記録'!$D$5:$D$1004,F$4,'資格研修記録'!$F$5:$F$1004,"")+COUNTIFS('資格研修記録'!$A$5:$A$1004,$A43,'資格研修記録'!$D$5:$D$1004,F$4,'資格研修記録'!$F$5:$F$1004,"&gt;="&amp;TODAY())&gt;0,"○","× 期限切れ"))))</f>
        <v/>
      </c>
      <c r="G43" s="15">
        <f>IF(OR($A43="",G$4=""),"",IF(AND(G$4="小型船舶2級",(COUNTIFS('資格研修記録'!$A$5:$A$1004,$A43,'資格研修記録'!$D$5:$D$1004,"小型船舶1級",'資格研修記録'!$F$5:$F$1004,"")+COUNTIFS('資格研修記録'!$A$5:$A$1004,$A43,'資格研修記録'!$D$5:$D$1004,"小型船舶1級",'資格研修記録'!$F$5:$F$1004,"&gt;="&amp;TODAY()))&gt;0),"1級に含む",IF(COUNTIFS('資格研修記録'!$A$5:$A$1004,$A43,'資格研修記録'!$D$5:$D$1004,G$4)=0,"—",IF(COUNTIFS('資格研修記録'!$A$5:$A$1004,$A43,'資格研修記録'!$D$5:$D$1004,G$4,'資格研修記録'!$F$5:$F$1004,"")+COUNTIFS('資格研修記録'!$A$5:$A$1004,$A43,'資格研修記録'!$D$5:$D$1004,G$4,'資格研修記録'!$F$5:$F$1004,"&gt;="&amp;TODAY())&gt;0,"○","× 期限切れ"))))</f>
        <v/>
      </c>
      <c r="H43" s="15">
        <f>IF(OR($A43="",H$4=""),"",IF(AND(H$4="小型船舶2級",(COUNTIFS('資格研修記録'!$A$5:$A$1004,$A43,'資格研修記録'!$D$5:$D$1004,"小型船舶1級",'資格研修記録'!$F$5:$F$1004,"")+COUNTIFS('資格研修記録'!$A$5:$A$1004,$A43,'資格研修記録'!$D$5:$D$1004,"小型船舶1級",'資格研修記録'!$F$5:$F$1004,"&gt;="&amp;TODAY()))&gt;0),"1級に含む",IF(COUNTIFS('資格研修記録'!$A$5:$A$1004,$A43,'資格研修記録'!$D$5:$D$1004,H$4)=0,"—",IF(COUNTIFS('資格研修記録'!$A$5:$A$1004,$A43,'資格研修記録'!$D$5:$D$1004,H$4,'資格研修記録'!$F$5:$F$1004,"")+COUNTIFS('資格研修記録'!$A$5:$A$1004,$A43,'資格研修記録'!$D$5:$D$1004,H$4,'資格研修記録'!$F$5:$F$1004,"&gt;="&amp;TODAY())&gt;0,"○","× 期限切れ"))))</f>
        <v/>
      </c>
      <c r="I43" s="15">
        <f>IF(OR($A43="",I$4=""),"",IF(AND(I$4="小型船舶2級",(COUNTIFS('資格研修記録'!$A$5:$A$1004,$A43,'資格研修記録'!$D$5:$D$1004,"小型船舶1級",'資格研修記録'!$F$5:$F$1004,"")+COUNTIFS('資格研修記録'!$A$5:$A$1004,$A43,'資格研修記録'!$D$5:$D$1004,"小型船舶1級",'資格研修記録'!$F$5:$F$1004,"&gt;="&amp;TODAY()))&gt;0),"1級に含む",IF(COUNTIFS('資格研修記録'!$A$5:$A$1004,$A43,'資格研修記録'!$D$5:$D$1004,I$4)=0,"—",IF(COUNTIFS('資格研修記録'!$A$5:$A$1004,$A43,'資格研修記録'!$D$5:$D$1004,I$4,'資格研修記録'!$F$5:$F$1004,"")+COUNTIFS('資格研修記録'!$A$5:$A$1004,$A43,'資格研修記録'!$D$5:$D$1004,I$4,'資格研修記録'!$F$5:$F$1004,"&gt;="&amp;TODAY())&gt;0,"○","× 期限切れ"))))</f>
        <v/>
      </c>
      <c r="J43" s="15">
        <f>IF(OR($A43="",J$4=""),"",IF(AND(J$4="小型船舶2級",(COUNTIFS('資格研修記録'!$A$5:$A$1004,$A43,'資格研修記録'!$D$5:$D$1004,"小型船舶1級",'資格研修記録'!$F$5:$F$1004,"")+COUNTIFS('資格研修記録'!$A$5:$A$1004,$A43,'資格研修記録'!$D$5:$D$1004,"小型船舶1級",'資格研修記録'!$F$5:$F$1004,"&gt;="&amp;TODAY()))&gt;0),"1級に含む",IF(COUNTIFS('資格研修記録'!$A$5:$A$1004,$A43,'資格研修記録'!$D$5:$D$1004,J$4)=0,"—",IF(COUNTIFS('資格研修記録'!$A$5:$A$1004,$A43,'資格研修記録'!$D$5:$D$1004,J$4,'資格研修記録'!$F$5:$F$1004,"")+COUNTIFS('資格研修記録'!$A$5:$A$1004,$A43,'資格研修記録'!$D$5:$D$1004,J$4,'資格研修記録'!$F$5:$F$1004,"&gt;="&amp;TODAY())&gt;0,"○","× 期限切れ"))))</f>
        <v/>
      </c>
      <c r="K43" s="15">
        <f>IF(OR($A43="",K$4=""),"",IF(AND(K$4="小型船舶2級",(COUNTIFS('資格研修記録'!$A$5:$A$1004,$A43,'資格研修記録'!$D$5:$D$1004,"小型船舶1級",'資格研修記録'!$F$5:$F$1004,"")+COUNTIFS('資格研修記録'!$A$5:$A$1004,$A43,'資格研修記録'!$D$5:$D$1004,"小型船舶1級",'資格研修記録'!$F$5:$F$1004,"&gt;="&amp;TODAY()))&gt;0),"1級に含む",IF(COUNTIFS('資格研修記録'!$A$5:$A$1004,$A43,'資格研修記録'!$D$5:$D$1004,K$4)=0,"—",IF(COUNTIFS('資格研修記録'!$A$5:$A$1004,$A43,'資格研修記録'!$D$5:$D$1004,K$4,'資格研修記録'!$F$5:$F$1004,"")+COUNTIFS('資格研修記録'!$A$5:$A$1004,$A43,'資格研修記録'!$D$5:$D$1004,K$4,'資格研修記録'!$F$5:$F$1004,"&gt;="&amp;TODAY())&gt;0,"○","× 期限切れ"))))</f>
        <v/>
      </c>
      <c r="L43" s="15">
        <f>IF(OR($A43="",L$4=""),"",IF(AND(L$4="小型船舶2級",(COUNTIFS('資格研修記録'!$A$5:$A$1004,$A43,'資格研修記録'!$D$5:$D$1004,"小型船舶1級",'資格研修記録'!$F$5:$F$1004,"")+COUNTIFS('資格研修記録'!$A$5:$A$1004,$A43,'資格研修記録'!$D$5:$D$1004,"小型船舶1級",'資格研修記録'!$F$5:$F$1004,"&gt;="&amp;TODAY()))&gt;0),"1級に含む",IF(COUNTIFS('資格研修記録'!$A$5:$A$1004,$A43,'資格研修記録'!$D$5:$D$1004,L$4)=0,"—",IF(COUNTIFS('資格研修記録'!$A$5:$A$1004,$A43,'資格研修記録'!$D$5:$D$1004,L$4,'資格研修記録'!$F$5:$F$1004,"")+COUNTIFS('資格研修記録'!$A$5:$A$1004,$A43,'資格研修記録'!$D$5:$D$1004,L$4,'資格研修記録'!$F$5:$F$1004,"&gt;="&amp;TODAY())&gt;0,"○","× 期限切れ"))))</f>
        <v/>
      </c>
    </row>
    <row r="44">
      <c r="A44" s="14">
        <f>IF('隊員マスタ'!A44="","",'隊員マスタ'!A44)</f>
        <v/>
      </c>
      <c r="B44" s="14">
        <f>IF(A44="","",'隊員マスタ'!B44)</f>
        <v/>
      </c>
      <c r="C44" s="14">
        <f>IF(A44="","",'隊員マスタ'!C44)</f>
        <v/>
      </c>
      <c r="D44" s="15">
        <f>IF(A44="","",'隊員マスタ'!D44)</f>
        <v/>
      </c>
      <c r="E44" s="15">
        <f>IF(OR($A44="",E$4=""),"",IF(AND(E$4="小型船舶2級",(COUNTIFS('資格研修記録'!$A$5:$A$1004,$A44,'資格研修記録'!$D$5:$D$1004,"小型船舶1級",'資格研修記録'!$F$5:$F$1004,"")+COUNTIFS('資格研修記録'!$A$5:$A$1004,$A44,'資格研修記録'!$D$5:$D$1004,"小型船舶1級",'資格研修記録'!$F$5:$F$1004,"&gt;="&amp;TODAY()))&gt;0),"1級に含む",IF(COUNTIFS('資格研修記録'!$A$5:$A$1004,$A44,'資格研修記録'!$D$5:$D$1004,E$4)=0,"—",IF(COUNTIFS('資格研修記録'!$A$5:$A$1004,$A44,'資格研修記録'!$D$5:$D$1004,E$4,'資格研修記録'!$F$5:$F$1004,"")+COUNTIFS('資格研修記録'!$A$5:$A$1004,$A44,'資格研修記録'!$D$5:$D$1004,E$4,'資格研修記録'!$F$5:$F$1004,"&gt;="&amp;TODAY())&gt;0,"○","× 期限切れ"))))</f>
        <v/>
      </c>
      <c r="F44" s="15">
        <f>IF(OR($A44="",F$4=""),"",IF(AND(F$4="小型船舶2級",(COUNTIFS('資格研修記録'!$A$5:$A$1004,$A44,'資格研修記録'!$D$5:$D$1004,"小型船舶1級",'資格研修記録'!$F$5:$F$1004,"")+COUNTIFS('資格研修記録'!$A$5:$A$1004,$A44,'資格研修記録'!$D$5:$D$1004,"小型船舶1級",'資格研修記録'!$F$5:$F$1004,"&gt;="&amp;TODAY()))&gt;0),"1級に含む",IF(COUNTIFS('資格研修記録'!$A$5:$A$1004,$A44,'資格研修記録'!$D$5:$D$1004,F$4)=0,"—",IF(COUNTIFS('資格研修記録'!$A$5:$A$1004,$A44,'資格研修記録'!$D$5:$D$1004,F$4,'資格研修記録'!$F$5:$F$1004,"")+COUNTIFS('資格研修記録'!$A$5:$A$1004,$A44,'資格研修記録'!$D$5:$D$1004,F$4,'資格研修記録'!$F$5:$F$1004,"&gt;="&amp;TODAY())&gt;0,"○","× 期限切れ"))))</f>
        <v/>
      </c>
      <c r="G44" s="15">
        <f>IF(OR($A44="",G$4=""),"",IF(AND(G$4="小型船舶2級",(COUNTIFS('資格研修記録'!$A$5:$A$1004,$A44,'資格研修記録'!$D$5:$D$1004,"小型船舶1級",'資格研修記録'!$F$5:$F$1004,"")+COUNTIFS('資格研修記録'!$A$5:$A$1004,$A44,'資格研修記録'!$D$5:$D$1004,"小型船舶1級",'資格研修記録'!$F$5:$F$1004,"&gt;="&amp;TODAY()))&gt;0),"1級に含む",IF(COUNTIFS('資格研修記録'!$A$5:$A$1004,$A44,'資格研修記録'!$D$5:$D$1004,G$4)=0,"—",IF(COUNTIFS('資格研修記録'!$A$5:$A$1004,$A44,'資格研修記録'!$D$5:$D$1004,G$4,'資格研修記録'!$F$5:$F$1004,"")+COUNTIFS('資格研修記録'!$A$5:$A$1004,$A44,'資格研修記録'!$D$5:$D$1004,G$4,'資格研修記録'!$F$5:$F$1004,"&gt;="&amp;TODAY())&gt;0,"○","× 期限切れ"))))</f>
        <v/>
      </c>
      <c r="H44" s="15">
        <f>IF(OR($A44="",H$4=""),"",IF(AND(H$4="小型船舶2級",(COUNTIFS('資格研修記録'!$A$5:$A$1004,$A44,'資格研修記録'!$D$5:$D$1004,"小型船舶1級",'資格研修記録'!$F$5:$F$1004,"")+COUNTIFS('資格研修記録'!$A$5:$A$1004,$A44,'資格研修記録'!$D$5:$D$1004,"小型船舶1級",'資格研修記録'!$F$5:$F$1004,"&gt;="&amp;TODAY()))&gt;0),"1級に含む",IF(COUNTIFS('資格研修記録'!$A$5:$A$1004,$A44,'資格研修記録'!$D$5:$D$1004,H$4)=0,"—",IF(COUNTIFS('資格研修記録'!$A$5:$A$1004,$A44,'資格研修記録'!$D$5:$D$1004,H$4,'資格研修記録'!$F$5:$F$1004,"")+COUNTIFS('資格研修記録'!$A$5:$A$1004,$A44,'資格研修記録'!$D$5:$D$1004,H$4,'資格研修記録'!$F$5:$F$1004,"&gt;="&amp;TODAY())&gt;0,"○","× 期限切れ"))))</f>
        <v/>
      </c>
      <c r="I44" s="15">
        <f>IF(OR($A44="",I$4=""),"",IF(AND(I$4="小型船舶2級",(COUNTIFS('資格研修記録'!$A$5:$A$1004,$A44,'資格研修記録'!$D$5:$D$1004,"小型船舶1級",'資格研修記録'!$F$5:$F$1004,"")+COUNTIFS('資格研修記録'!$A$5:$A$1004,$A44,'資格研修記録'!$D$5:$D$1004,"小型船舶1級",'資格研修記録'!$F$5:$F$1004,"&gt;="&amp;TODAY()))&gt;0),"1級に含む",IF(COUNTIFS('資格研修記録'!$A$5:$A$1004,$A44,'資格研修記録'!$D$5:$D$1004,I$4)=0,"—",IF(COUNTIFS('資格研修記録'!$A$5:$A$1004,$A44,'資格研修記録'!$D$5:$D$1004,I$4,'資格研修記録'!$F$5:$F$1004,"")+COUNTIFS('資格研修記録'!$A$5:$A$1004,$A44,'資格研修記録'!$D$5:$D$1004,I$4,'資格研修記録'!$F$5:$F$1004,"&gt;="&amp;TODAY())&gt;0,"○","× 期限切れ"))))</f>
        <v/>
      </c>
      <c r="J44" s="15">
        <f>IF(OR($A44="",J$4=""),"",IF(AND(J$4="小型船舶2級",(COUNTIFS('資格研修記録'!$A$5:$A$1004,$A44,'資格研修記録'!$D$5:$D$1004,"小型船舶1級",'資格研修記録'!$F$5:$F$1004,"")+COUNTIFS('資格研修記録'!$A$5:$A$1004,$A44,'資格研修記録'!$D$5:$D$1004,"小型船舶1級",'資格研修記録'!$F$5:$F$1004,"&gt;="&amp;TODAY()))&gt;0),"1級に含む",IF(COUNTIFS('資格研修記録'!$A$5:$A$1004,$A44,'資格研修記録'!$D$5:$D$1004,J$4)=0,"—",IF(COUNTIFS('資格研修記録'!$A$5:$A$1004,$A44,'資格研修記録'!$D$5:$D$1004,J$4,'資格研修記録'!$F$5:$F$1004,"")+COUNTIFS('資格研修記録'!$A$5:$A$1004,$A44,'資格研修記録'!$D$5:$D$1004,J$4,'資格研修記録'!$F$5:$F$1004,"&gt;="&amp;TODAY())&gt;0,"○","× 期限切れ"))))</f>
        <v/>
      </c>
      <c r="K44" s="15">
        <f>IF(OR($A44="",K$4=""),"",IF(AND(K$4="小型船舶2級",(COUNTIFS('資格研修記録'!$A$5:$A$1004,$A44,'資格研修記録'!$D$5:$D$1004,"小型船舶1級",'資格研修記録'!$F$5:$F$1004,"")+COUNTIFS('資格研修記録'!$A$5:$A$1004,$A44,'資格研修記録'!$D$5:$D$1004,"小型船舶1級",'資格研修記録'!$F$5:$F$1004,"&gt;="&amp;TODAY()))&gt;0),"1級に含む",IF(COUNTIFS('資格研修記録'!$A$5:$A$1004,$A44,'資格研修記録'!$D$5:$D$1004,K$4)=0,"—",IF(COUNTIFS('資格研修記録'!$A$5:$A$1004,$A44,'資格研修記録'!$D$5:$D$1004,K$4,'資格研修記録'!$F$5:$F$1004,"")+COUNTIFS('資格研修記録'!$A$5:$A$1004,$A44,'資格研修記録'!$D$5:$D$1004,K$4,'資格研修記録'!$F$5:$F$1004,"&gt;="&amp;TODAY())&gt;0,"○","× 期限切れ"))))</f>
        <v/>
      </c>
      <c r="L44" s="15">
        <f>IF(OR($A44="",L$4=""),"",IF(AND(L$4="小型船舶2級",(COUNTIFS('資格研修記録'!$A$5:$A$1004,$A44,'資格研修記録'!$D$5:$D$1004,"小型船舶1級",'資格研修記録'!$F$5:$F$1004,"")+COUNTIFS('資格研修記録'!$A$5:$A$1004,$A44,'資格研修記録'!$D$5:$D$1004,"小型船舶1級",'資格研修記録'!$F$5:$F$1004,"&gt;="&amp;TODAY()))&gt;0),"1級に含む",IF(COUNTIFS('資格研修記録'!$A$5:$A$1004,$A44,'資格研修記録'!$D$5:$D$1004,L$4)=0,"—",IF(COUNTIFS('資格研修記録'!$A$5:$A$1004,$A44,'資格研修記録'!$D$5:$D$1004,L$4,'資格研修記録'!$F$5:$F$1004,"")+COUNTIFS('資格研修記録'!$A$5:$A$1004,$A44,'資格研修記録'!$D$5:$D$1004,L$4,'資格研修記録'!$F$5:$F$1004,"&gt;="&amp;TODAY())&gt;0,"○","× 期限切れ"))))</f>
        <v/>
      </c>
    </row>
    <row r="45">
      <c r="A45" s="14">
        <f>IF('隊員マスタ'!A45="","",'隊員マスタ'!A45)</f>
        <v/>
      </c>
      <c r="B45" s="14">
        <f>IF(A45="","",'隊員マスタ'!B45)</f>
        <v/>
      </c>
      <c r="C45" s="14">
        <f>IF(A45="","",'隊員マスタ'!C45)</f>
        <v/>
      </c>
      <c r="D45" s="15">
        <f>IF(A45="","",'隊員マスタ'!D45)</f>
        <v/>
      </c>
      <c r="E45" s="15">
        <f>IF(OR($A45="",E$4=""),"",IF(AND(E$4="小型船舶2級",(COUNTIFS('資格研修記録'!$A$5:$A$1004,$A45,'資格研修記録'!$D$5:$D$1004,"小型船舶1級",'資格研修記録'!$F$5:$F$1004,"")+COUNTIFS('資格研修記録'!$A$5:$A$1004,$A45,'資格研修記録'!$D$5:$D$1004,"小型船舶1級",'資格研修記録'!$F$5:$F$1004,"&gt;="&amp;TODAY()))&gt;0),"1級に含む",IF(COUNTIFS('資格研修記録'!$A$5:$A$1004,$A45,'資格研修記録'!$D$5:$D$1004,E$4)=0,"—",IF(COUNTIFS('資格研修記録'!$A$5:$A$1004,$A45,'資格研修記録'!$D$5:$D$1004,E$4,'資格研修記録'!$F$5:$F$1004,"")+COUNTIFS('資格研修記録'!$A$5:$A$1004,$A45,'資格研修記録'!$D$5:$D$1004,E$4,'資格研修記録'!$F$5:$F$1004,"&gt;="&amp;TODAY())&gt;0,"○","× 期限切れ"))))</f>
        <v/>
      </c>
      <c r="F45" s="15">
        <f>IF(OR($A45="",F$4=""),"",IF(AND(F$4="小型船舶2級",(COUNTIFS('資格研修記録'!$A$5:$A$1004,$A45,'資格研修記録'!$D$5:$D$1004,"小型船舶1級",'資格研修記録'!$F$5:$F$1004,"")+COUNTIFS('資格研修記録'!$A$5:$A$1004,$A45,'資格研修記録'!$D$5:$D$1004,"小型船舶1級",'資格研修記録'!$F$5:$F$1004,"&gt;="&amp;TODAY()))&gt;0),"1級に含む",IF(COUNTIFS('資格研修記録'!$A$5:$A$1004,$A45,'資格研修記録'!$D$5:$D$1004,F$4)=0,"—",IF(COUNTIFS('資格研修記録'!$A$5:$A$1004,$A45,'資格研修記録'!$D$5:$D$1004,F$4,'資格研修記録'!$F$5:$F$1004,"")+COUNTIFS('資格研修記録'!$A$5:$A$1004,$A45,'資格研修記録'!$D$5:$D$1004,F$4,'資格研修記録'!$F$5:$F$1004,"&gt;="&amp;TODAY())&gt;0,"○","× 期限切れ"))))</f>
        <v/>
      </c>
      <c r="G45" s="15">
        <f>IF(OR($A45="",G$4=""),"",IF(AND(G$4="小型船舶2級",(COUNTIFS('資格研修記録'!$A$5:$A$1004,$A45,'資格研修記録'!$D$5:$D$1004,"小型船舶1級",'資格研修記録'!$F$5:$F$1004,"")+COUNTIFS('資格研修記録'!$A$5:$A$1004,$A45,'資格研修記録'!$D$5:$D$1004,"小型船舶1級",'資格研修記録'!$F$5:$F$1004,"&gt;="&amp;TODAY()))&gt;0),"1級に含む",IF(COUNTIFS('資格研修記録'!$A$5:$A$1004,$A45,'資格研修記録'!$D$5:$D$1004,G$4)=0,"—",IF(COUNTIFS('資格研修記録'!$A$5:$A$1004,$A45,'資格研修記録'!$D$5:$D$1004,G$4,'資格研修記録'!$F$5:$F$1004,"")+COUNTIFS('資格研修記録'!$A$5:$A$1004,$A45,'資格研修記録'!$D$5:$D$1004,G$4,'資格研修記録'!$F$5:$F$1004,"&gt;="&amp;TODAY())&gt;0,"○","× 期限切れ"))))</f>
        <v/>
      </c>
      <c r="H45" s="15">
        <f>IF(OR($A45="",H$4=""),"",IF(AND(H$4="小型船舶2級",(COUNTIFS('資格研修記録'!$A$5:$A$1004,$A45,'資格研修記録'!$D$5:$D$1004,"小型船舶1級",'資格研修記録'!$F$5:$F$1004,"")+COUNTIFS('資格研修記録'!$A$5:$A$1004,$A45,'資格研修記録'!$D$5:$D$1004,"小型船舶1級",'資格研修記録'!$F$5:$F$1004,"&gt;="&amp;TODAY()))&gt;0),"1級に含む",IF(COUNTIFS('資格研修記録'!$A$5:$A$1004,$A45,'資格研修記録'!$D$5:$D$1004,H$4)=0,"—",IF(COUNTIFS('資格研修記録'!$A$5:$A$1004,$A45,'資格研修記録'!$D$5:$D$1004,H$4,'資格研修記録'!$F$5:$F$1004,"")+COUNTIFS('資格研修記録'!$A$5:$A$1004,$A45,'資格研修記録'!$D$5:$D$1004,H$4,'資格研修記録'!$F$5:$F$1004,"&gt;="&amp;TODAY())&gt;0,"○","× 期限切れ"))))</f>
        <v/>
      </c>
      <c r="I45" s="15">
        <f>IF(OR($A45="",I$4=""),"",IF(AND(I$4="小型船舶2級",(COUNTIFS('資格研修記録'!$A$5:$A$1004,$A45,'資格研修記録'!$D$5:$D$1004,"小型船舶1級",'資格研修記録'!$F$5:$F$1004,"")+COUNTIFS('資格研修記録'!$A$5:$A$1004,$A45,'資格研修記録'!$D$5:$D$1004,"小型船舶1級",'資格研修記録'!$F$5:$F$1004,"&gt;="&amp;TODAY()))&gt;0),"1級に含む",IF(COUNTIFS('資格研修記録'!$A$5:$A$1004,$A45,'資格研修記録'!$D$5:$D$1004,I$4)=0,"—",IF(COUNTIFS('資格研修記録'!$A$5:$A$1004,$A45,'資格研修記録'!$D$5:$D$1004,I$4,'資格研修記録'!$F$5:$F$1004,"")+COUNTIFS('資格研修記録'!$A$5:$A$1004,$A45,'資格研修記録'!$D$5:$D$1004,I$4,'資格研修記録'!$F$5:$F$1004,"&gt;="&amp;TODAY())&gt;0,"○","× 期限切れ"))))</f>
        <v/>
      </c>
      <c r="J45" s="15">
        <f>IF(OR($A45="",J$4=""),"",IF(AND(J$4="小型船舶2級",(COUNTIFS('資格研修記録'!$A$5:$A$1004,$A45,'資格研修記録'!$D$5:$D$1004,"小型船舶1級",'資格研修記録'!$F$5:$F$1004,"")+COUNTIFS('資格研修記録'!$A$5:$A$1004,$A45,'資格研修記録'!$D$5:$D$1004,"小型船舶1級",'資格研修記録'!$F$5:$F$1004,"&gt;="&amp;TODAY()))&gt;0),"1級に含む",IF(COUNTIFS('資格研修記録'!$A$5:$A$1004,$A45,'資格研修記録'!$D$5:$D$1004,J$4)=0,"—",IF(COUNTIFS('資格研修記録'!$A$5:$A$1004,$A45,'資格研修記録'!$D$5:$D$1004,J$4,'資格研修記録'!$F$5:$F$1004,"")+COUNTIFS('資格研修記録'!$A$5:$A$1004,$A45,'資格研修記録'!$D$5:$D$1004,J$4,'資格研修記録'!$F$5:$F$1004,"&gt;="&amp;TODAY())&gt;0,"○","× 期限切れ"))))</f>
        <v/>
      </c>
      <c r="K45" s="15">
        <f>IF(OR($A45="",K$4=""),"",IF(AND(K$4="小型船舶2級",(COUNTIFS('資格研修記録'!$A$5:$A$1004,$A45,'資格研修記録'!$D$5:$D$1004,"小型船舶1級",'資格研修記録'!$F$5:$F$1004,"")+COUNTIFS('資格研修記録'!$A$5:$A$1004,$A45,'資格研修記録'!$D$5:$D$1004,"小型船舶1級",'資格研修記録'!$F$5:$F$1004,"&gt;="&amp;TODAY()))&gt;0),"1級に含む",IF(COUNTIFS('資格研修記録'!$A$5:$A$1004,$A45,'資格研修記録'!$D$5:$D$1004,K$4)=0,"—",IF(COUNTIFS('資格研修記録'!$A$5:$A$1004,$A45,'資格研修記録'!$D$5:$D$1004,K$4,'資格研修記録'!$F$5:$F$1004,"")+COUNTIFS('資格研修記録'!$A$5:$A$1004,$A45,'資格研修記録'!$D$5:$D$1004,K$4,'資格研修記録'!$F$5:$F$1004,"&gt;="&amp;TODAY())&gt;0,"○","× 期限切れ"))))</f>
        <v/>
      </c>
      <c r="L45" s="15">
        <f>IF(OR($A45="",L$4=""),"",IF(AND(L$4="小型船舶2級",(COUNTIFS('資格研修記録'!$A$5:$A$1004,$A45,'資格研修記録'!$D$5:$D$1004,"小型船舶1級",'資格研修記録'!$F$5:$F$1004,"")+COUNTIFS('資格研修記録'!$A$5:$A$1004,$A45,'資格研修記録'!$D$5:$D$1004,"小型船舶1級",'資格研修記録'!$F$5:$F$1004,"&gt;="&amp;TODAY()))&gt;0),"1級に含む",IF(COUNTIFS('資格研修記録'!$A$5:$A$1004,$A45,'資格研修記録'!$D$5:$D$1004,L$4)=0,"—",IF(COUNTIFS('資格研修記録'!$A$5:$A$1004,$A45,'資格研修記録'!$D$5:$D$1004,L$4,'資格研修記録'!$F$5:$F$1004,"")+COUNTIFS('資格研修記録'!$A$5:$A$1004,$A45,'資格研修記録'!$D$5:$D$1004,L$4,'資格研修記録'!$F$5:$F$1004,"&gt;="&amp;TODAY())&gt;0,"○","× 期限切れ"))))</f>
        <v/>
      </c>
    </row>
    <row r="46">
      <c r="A46" s="14">
        <f>IF('隊員マスタ'!A46="","",'隊員マスタ'!A46)</f>
        <v/>
      </c>
      <c r="B46" s="14">
        <f>IF(A46="","",'隊員マスタ'!B46)</f>
        <v/>
      </c>
      <c r="C46" s="14">
        <f>IF(A46="","",'隊員マスタ'!C46)</f>
        <v/>
      </c>
      <c r="D46" s="15">
        <f>IF(A46="","",'隊員マスタ'!D46)</f>
        <v/>
      </c>
      <c r="E46" s="15">
        <f>IF(OR($A46="",E$4=""),"",IF(AND(E$4="小型船舶2級",(COUNTIFS('資格研修記録'!$A$5:$A$1004,$A46,'資格研修記録'!$D$5:$D$1004,"小型船舶1級",'資格研修記録'!$F$5:$F$1004,"")+COUNTIFS('資格研修記録'!$A$5:$A$1004,$A46,'資格研修記録'!$D$5:$D$1004,"小型船舶1級",'資格研修記録'!$F$5:$F$1004,"&gt;="&amp;TODAY()))&gt;0),"1級に含む",IF(COUNTIFS('資格研修記録'!$A$5:$A$1004,$A46,'資格研修記録'!$D$5:$D$1004,E$4)=0,"—",IF(COUNTIFS('資格研修記録'!$A$5:$A$1004,$A46,'資格研修記録'!$D$5:$D$1004,E$4,'資格研修記録'!$F$5:$F$1004,"")+COUNTIFS('資格研修記録'!$A$5:$A$1004,$A46,'資格研修記録'!$D$5:$D$1004,E$4,'資格研修記録'!$F$5:$F$1004,"&gt;="&amp;TODAY())&gt;0,"○","× 期限切れ"))))</f>
        <v/>
      </c>
      <c r="F46" s="15">
        <f>IF(OR($A46="",F$4=""),"",IF(AND(F$4="小型船舶2級",(COUNTIFS('資格研修記録'!$A$5:$A$1004,$A46,'資格研修記録'!$D$5:$D$1004,"小型船舶1級",'資格研修記録'!$F$5:$F$1004,"")+COUNTIFS('資格研修記録'!$A$5:$A$1004,$A46,'資格研修記録'!$D$5:$D$1004,"小型船舶1級",'資格研修記録'!$F$5:$F$1004,"&gt;="&amp;TODAY()))&gt;0),"1級に含む",IF(COUNTIFS('資格研修記録'!$A$5:$A$1004,$A46,'資格研修記録'!$D$5:$D$1004,F$4)=0,"—",IF(COUNTIFS('資格研修記録'!$A$5:$A$1004,$A46,'資格研修記録'!$D$5:$D$1004,F$4,'資格研修記録'!$F$5:$F$1004,"")+COUNTIFS('資格研修記録'!$A$5:$A$1004,$A46,'資格研修記録'!$D$5:$D$1004,F$4,'資格研修記録'!$F$5:$F$1004,"&gt;="&amp;TODAY())&gt;0,"○","× 期限切れ"))))</f>
        <v/>
      </c>
      <c r="G46" s="15">
        <f>IF(OR($A46="",G$4=""),"",IF(AND(G$4="小型船舶2級",(COUNTIFS('資格研修記録'!$A$5:$A$1004,$A46,'資格研修記録'!$D$5:$D$1004,"小型船舶1級",'資格研修記録'!$F$5:$F$1004,"")+COUNTIFS('資格研修記録'!$A$5:$A$1004,$A46,'資格研修記録'!$D$5:$D$1004,"小型船舶1級",'資格研修記録'!$F$5:$F$1004,"&gt;="&amp;TODAY()))&gt;0),"1級に含む",IF(COUNTIFS('資格研修記録'!$A$5:$A$1004,$A46,'資格研修記録'!$D$5:$D$1004,G$4)=0,"—",IF(COUNTIFS('資格研修記録'!$A$5:$A$1004,$A46,'資格研修記録'!$D$5:$D$1004,G$4,'資格研修記録'!$F$5:$F$1004,"")+COUNTIFS('資格研修記録'!$A$5:$A$1004,$A46,'資格研修記録'!$D$5:$D$1004,G$4,'資格研修記録'!$F$5:$F$1004,"&gt;="&amp;TODAY())&gt;0,"○","× 期限切れ"))))</f>
        <v/>
      </c>
      <c r="H46" s="15">
        <f>IF(OR($A46="",H$4=""),"",IF(AND(H$4="小型船舶2級",(COUNTIFS('資格研修記録'!$A$5:$A$1004,$A46,'資格研修記録'!$D$5:$D$1004,"小型船舶1級",'資格研修記録'!$F$5:$F$1004,"")+COUNTIFS('資格研修記録'!$A$5:$A$1004,$A46,'資格研修記録'!$D$5:$D$1004,"小型船舶1級",'資格研修記録'!$F$5:$F$1004,"&gt;="&amp;TODAY()))&gt;0),"1級に含む",IF(COUNTIFS('資格研修記録'!$A$5:$A$1004,$A46,'資格研修記録'!$D$5:$D$1004,H$4)=0,"—",IF(COUNTIFS('資格研修記録'!$A$5:$A$1004,$A46,'資格研修記録'!$D$5:$D$1004,H$4,'資格研修記録'!$F$5:$F$1004,"")+COUNTIFS('資格研修記録'!$A$5:$A$1004,$A46,'資格研修記録'!$D$5:$D$1004,H$4,'資格研修記録'!$F$5:$F$1004,"&gt;="&amp;TODAY())&gt;0,"○","× 期限切れ"))))</f>
        <v/>
      </c>
      <c r="I46" s="15">
        <f>IF(OR($A46="",I$4=""),"",IF(AND(I$4="小型船舶2級",(COUNTIFS('資格研修記録'!$A$5:$A$1004,$A46,'資格研修記録'!$D$5:$D$1004,"小型船舶1級",'資格研修記録'!$F$5:$F$1004,"")+COUNTIFS('資格研修記録'!$A$5:$A$1004,$A46,'資格研修記録'!$D$5:$D$1004,"小型船舶1級",'資格研修記録'!$F$5:$F$1004,"&gt;="&amp;TODAY()))&gt;0),"1級に含む",IF(COUNTIFS('資格研修記録'!$A$5:$A$1004,$A46,'資格研修記録'!$D$5:$D$1004,I$4)=0,"—",IF(COUNTIFS('資格研修記録'!$A$5:$A$1004,$A46,'資格研修記録'!$D$5:$D$1004,I$4,'資格研修記録'!$F$5:$F$1004,"")+COUNTIFS('資格研修記録'!$A$5:$A$1004,$A46,'資格研修記録'!$D$5:$D$1004,I$4,'資格研修記録'!$F$5:$F$1004,"&gt;="&amp;TODAY())&gt;0,"○","× 期限切れ"))))</f>
        <v/>
      </c>
      <c r="J46" s="15">
        <f>IF(OR($A46="",J$4=""),"",IF(AND(J$4="小型船舶2級",(COUNTIFS('資格研修記録'!$A$5:$A$1004,$A46,'資格研修記録'!$D$5:$D$1004,"小型船舶1級",'資格研修記録'!$F$5:$F$1004,"")+COUNTIFS('資格研修記録'!$A$5:$A$1004,$A46,'資格研修記録'!$D$5:$D$1004,"小型船舶1級",'資格研修記録'!$F$5:$F$1004,"&gt;="&amp;TODAY()))&gt;0),"1級に含む",IF(COUNTIFS('資格研修記録'!$A$5:$A$1004,$A46,'資格研修記録'!$D$5:$D$1004,J$4)=0,"—",IF(COUNTIFS('資格研修記録'!$A$5:$A$1004,$A46,'資格研修記録'!$D$5:$D$1004,J$4,'資格研修記録'!$F$5:$F$1004,"")+COUNTIFS('資格研修記録'!$A$5:$A$1004,$A46,'資格研修記録'!$D$5:$D$1004,J$4,'資格研修記録'!$F$5:$F$1004,"&gt;="&amp;TODAY())&gt;0,"○","× 期限切れ"))))</f>
        <v/>
      </c>
      <c r="K46" s="15">
        <f>IF(OR($A46="",K$4=""),"",IF(AND(K$4="小型船舶2級",(COUNTIFS('資格研修記録'!$A$5:$A$1004,$A46,'資格研修記録'!$D$5:$D$1004,"小型船舶1級",'資格研修記録'!$F$5:$F$1004,"")+COUNTIFS('資格研修記録'!$A$5:$A$1004,$A46,'資格研修記録'!$D$5:$D$1004,"小型船舶1級",'資格研修記録'!$F$5:$F$1004,"&gt;="&amp;TODAY()))&gt;0),"1級に含む",IF(COUNTIFS('資格研修記録'!$A$5:$A$1004,$A46,'資格研修記録'!$D$5:$D$1004,K$4)=0,"—",IF(COUNTIFS('資格研修記録'!$A$5:$A$1004,$A46,'資格研修記録'!$D$5:$D$1004,K$4,'資格研修記録'!$F$5:$F$1004,"")+COUNTIFS('資格研修記録'!$A$5:$A$1004,$A46,'資格研修記録'!$D$5:$D$1004,K$4,'資格研修記録'!$F$5:$F$1004,"&gt;="&amp;TODAY())&gt;0,"○","× 期限切れ"))))</f>
        <v/>
      </c>
      <c r="L46" s="15">
        <f>IF(OR($A46="",L$4=""),"",IF(AND(L$4="小型船舶2級",(COUNTIFS('資格研修記録'!$A$5:$A$1004,$A46,'資格研修記録'!$D$5:$D$1004,"小型船舶1級",'資格研修記録'!$F$5:$F$1004,"")+COUNTIFS('資格研修記録'!$A$5:$A$1004,$A46,'資格研修記録'!$D$5:$D$1004,"小型船舶1級",'資格研修記録'!$F$5:$F$1004,"&gt;="&amp;TODAY()))&gt;0),"1級に含む",IF(COUNTIFS('資格研修記録'!$A$5:$A$1004,$A46,'資格研修記録'!$D$5:$D$1004,L$4)=0,"—",IF(COUNTIFS('資格研修記録'!$A$5:$A$1004,$A46,'資格研修記録'!$D$5:$D$1004,L$4,'資格研修記録'!$F$5:$F$1004,"")+COUNTIFS('資格研修記録'!$A$5:$A$1004,$A46,'資格研修記録'!$D$5:$D$1004,L$4,'資格研修記録'!$F$5:$F$1004,"&gt;="&amp;TODAY())&gt;0,"○","× 期限切れ"))))</f>
        <v/>
      </c>
    </row>
    <row r="47">
      <c r="A47" s="14">
        <f>IF('隊員マスタ'!A47="","",'隊員マスタ'!A47)</f>
        <v/>
      </c>
      <c r="B47" s="14">
        <f>IF(A47="","",'隊員マスタ'!B47)</f>
        <v/>
      </c>
      <c r="C47" s="14">
        <f>IF(A47="","",'隊員マスタ'!C47)</f>
        <v/>
      </c>
      <c r="D47" s="15">
        <f>IF(A47="","",'隊員マスタ'!D47)</f>
        <v/>
      </c>
      <c r="E47" s="15">
        <f>IF(OR($A47="",E$4=""),"",IF(AND(E$4="小型船舶2級",(COUNTIFS('資格研修記録'!$A$5:$A$1004,$A47,'資格研修記録'!$D$5:$D$1004,"小型船舶1級",'資格研修記録'!$F$5:$F$1004,"")+COUNTIFS('資格研修記録'!$A$5:$A$1004,$A47,'資格研修記録'!$D$5:$D$1004,"小型船舶1級",'資格研修記録'!$F$5:$F$1004,"&gt;="&amp;TODAY()))&gt;0),"1級に含む",IF(COUNTIFS('資格研修記録'!$A$5:$A$1004,$A47,'資格研修記録'!$D$5:$D$1004,E$4)=0,"—",IF(COUNTIFS('資格研修記録'!$A$5:$A$1004,$A47,'資格研修記録'!$D$5:$D$1004,E$4,'資格研修記録'!$F$5:$F$1004,"")+COUNTIFS('資格研修記録'!$A$5:$A$1004,$A47,'資格研修記録'!$D$5:$D$1004,E$4,'資格研修記録'!$F$5:$F$1004,"&gt;="&amp;TODAY())&gt;0,"○","× 期限切れ"))))</f>
        <v/>
      </c>
      <c r="F47" s="15">
        <f>IF(OR($A47="",F$4=""),"",IF(AND(F$4="小型船舶2級",(COUNTIFS('資格研修記録'!$A$5:$A$1004,$A47,'資格研修記録'!$D$5:$D$1004,"小型船舶1級",'資格研修記録'!$F$5:$F$1004,"")+COUNTIFS('資格研修記録'!$A$5:$A$1004,$A47,'資格研修記録'!$D$5:$D$1004,"小型船舶1級",'資格研修記録'!$F$5:$F$1004,"&gt;="&amp;TODAY()))&gt;0),"1級に含む",IF(COUNTIFS('資格研修記録'!$A$5:$A$1004,$A47,'資格研修記録'!$D$5:$D$1004,F$4)=0,"—",IF(COUNTIFS('資格研修記録'!$A$5:$A$1004,$A47,'資格研修記録'!$D$5:$D$1004,F$4,'資格研修記録'!$F$5:$F$1004,"")+COUNTIFS('資格研修記録'!$A$5:$A$1004,$A47,'資格研修記録'!$D$5:$D$1004,F$4,'資格研修記録'!$F$5:$F$1004,"&gt;="&amp;TODAY())&gt;0,"○","× 期限切れ"))))</f>
        <v/>
      </c>
      <c r="G47" s="15">
        <f>IF(OR($A47="",G$4=""),"",IF(AND(G$4="小型船舶2級",(COUNTIFS('資格研修記録'!$A$5:$A$1004,$A47,'資格研修記録'!$D$5:$D$1004,"小型船舶1級",'資格研修記録'!$F$5:$F$1004,"")+COUNTIFS('資格研修記録'!$A$5:$A$1004,$A47,'資格研修記録'!$D$5:$D$1004,"小型船舶1級",'資格研修記録'!$F$5:$F$1004,"&gt;="&amp;TODAY()))&gt;0),"1級に含む",IF(COUNTIFS('資格研修記録'!$A$5:$A$1004,$A47,'資格研修記録'!$D$5:$D$1004,G$4)=0,"—",IF(COUNTIFS('資格研修記録'!$A$5:$A$1004,$A47,'資格研修記録'!$D$5:$D$1004,G$4,'資格研修記録'!$F$5:$F$1004,"")+COUNTIFS('資格研修記録'!$A$5:$A$1004,$A47,'資格研修記録'!$D$5:$D$1004,G$4,'資格研修記録'!$F$5:$F$1004,"&gt;="&amp;TODAY())&gt;0,"○","× 期限切れ"))))</f>
        <v/>
      </c>
      <c r="H47" s="15">
        <f>IF(OR($A47="",H$4=""),"",IF(AND(H$4="小型船舶2級",(COUNTIFS('資格研修記録'!$A$5:$A$1004,$A47,'資格研修記録'!$D$5:$D$1004,"小型船舶1級",'資格研修記録'!$F$5:$F$1004,"")+COUNTIFS('資格研修記録'!$A$5:$A$1004,$A47,'資格研修記録'!$D$5:$D$1004,"小型船舶1級",'資格研修記録'!$F$5:$F$1004,"&gt;="&amp;TODAY()))&gt;0),"1級に含む",IF(COUNTIFS('資格研修記録'!$A$5:$A$1004,$A47,'資格研修記録'!$D$5:$D$1004,H$4)=0,"—",IF(COUNTIFS('資格研修記録'!$A$5:$A$1004,$A47,'資格研修記録'!$D$5:$D$1004,H$4,'資格研修記録'!$F$5:$F$1004,"")+COUNTIFS('資格研修記録'!$A$5:$A$1004,$A47,'資格研修記録'!$D$5:$D$1004,H$4,'資格研修記録'!$F$5:$F$1004,"&gt;="&amp;TODAY())&gt;0,"○","× 期限切れ"))))</f>
        <v/>
      </c>
      <c r="I47" s="15">
        <f>IF(OR($A47="",I$4=""),"",IF(AND(I$4="小型船舶2級",(COUNTIFS('資格研修記録'!$A$5:$A$1004,$A47,'資格研修記録'!$D$5:$D$1004,"小型船舶1級",'資格研修記録'!$F$5:$F$1004,"")+COUNTIFS('資格研修記録'!$A$5:$A$1004,$A47,'資格研修記録'!$D$5:$D$1004,"小型船舶1級",'資格研修記録'!$F$5:$F$1004,"&gt;="&amp;TODAY()))&gt;0),"1級に含む",IF(COUNTIFS('資格研修記録'!$A$5:$A$1004,$A47,'資格研修記録'!$D$5:$D$1004,I$4)=0,"—",IF(COUNTIFS('資格研修記録'!$A$5:$A$1004,$A47,'資格研修記録'!$D$5:$D$1004,I$4,'資格研修記録'!$F$5:$F$1004,"")+COUNTIFS('資格研修記録'!$A$5:$A$1004,$A47,'資格研修記録'!$D$5:$D$1004,I$4,'資格研修記録'!$F$5:$F$1004,"&gt;="&amp;TODAY())&gt;0,"○","× 期限切れ"))))</f>
        <v/>
      </c>
      <c r="J47" s="15">
        <f>IF(OR($A47="",J$4=""),"",IF(AND(J$4="小型船舶2級",(COUNTIFS('資格研修記録'!$A$5:$A$1004,$A47,'資格研修記録'!$D$5:$D$1004,"小型船舶1級",'資格研修記録'!$F$5:$F$1004,"")+COUNTIFS('資格研修記録'!$A$5:$A$1004,$A47,'資格研修記録'!$D$5:$D$1004,"小型船舶1級",'資格研修記録'!$F$5:$F$1004,"&gt;="&amp;TODAY()))&gt;0),"1級に含む",IF(COUNTIFS('資格研修記録'!$A$5:$A$1004,$A47,'資格研修記録'!$D$5:$D$1004,J$4)=0,"—",IF(COUNTIFS('資格研修記録'!$A$5:$A$1004,$A47,'資格研修記録'!$D$5:$D$1004,J$4,'資格研修記録'!$F$5:$F$1004,"")+COUNTIFS('資格研修記録'!$A$5:$A$1004,$A47,'資格研修記録'!$D$5:$D$1004,J$4,'資格研修記録'!$F$5:$F$1004,"&gt;="&amp;TODAY())&gt;0,"○","× 期限切れ"))))</f>
        <v/>
      </c>
      <c r="K47" s="15">
        <f>IF(OR($A47="",K$4=""),"",IF(AND(K$4="小型船舶2級",(COUNTIFS('資格研修記録'!$A$5:$A$1004,$A47,'資格研修記録'!$D$5:$D$1004,"小型船舶1級",'資格研修記録'!$F$5:$F$1004,"")+COUNTIFS('資格研修記録'!$A$5:$A$1004,$A47,'資格研修記録'!$D$5:$D$1004,"小型船舶1級",'資格研修記録'!$F$5:$F$1004,"&gt;="&amp;TODAY()))&gt;0),"1級に含む",IF(COUNTIFS('資格研修記録'!$A$5:$A$1004,$A47,'資格研修記録'!$D$5:$D$1004,K$4)=0,"—",IF(COUNTIFS('資格研修記録'!$A$5:$A$1004,$A47,'資格研修記録'!$D$5:$D$1004,K$4,'資格研修記録'!$F$5:$F$1004,"")+COUNTIFS('資格研修記録'!$A$5:$A$1004,$A47,'資格研修記録'!$D$5:$D$1004,K$4,'資格研修記録'!$F$5:$F$1004,"&gt;="&amp;TODAY())&gt;0,"○","× 期限切れ"))))</f>
        <v/>
      </c>
      <c r="L47" s="15">
        <f>IF(OR($A47="",L$4=""),"",IF(AND(L$4="小型船舶2級",(COUNTIFS('資格研修記録'!$A$5:$A$1004,$A47,'資格研修記録'!$D$5:$D$1004,"小型船舶1級",'資格研修記録'!$F$5:$F$1004,"")+COUNTIFS('資格研修記録'!$A$5:$A$1004,$A47,'資格研修記録'!$D$5:$D$1004,"小型船舶1級",'資格研修記録'!$F$5:$F$1004,"&gt;="&amp;TODAY()))&gt;0),"1級に含む",IF(COUNTIFS('資格研修記録'!$A$5:$A$1004,$A47,'資格研修記録'!$D$5:$D$1004,L$4)=0,"—",IF(COUNTIFS('資格研修記録'!$A$5:$A$1004,$A47,'資格研修記録'!$D$5:$D$1004,L$4,'資格研修記録'!$F$5:$F$1004,"")+COUNTIFS('資格研修記録'!$A$5:$A$1004,$A47,'資格研修記録'!$D$5:$D$1004,L$4,'資格研修記録'!$F$5:$F$1004,"&gt;="&amp;TODAY())&gt;0,"○","× 期限切れ"))))</f>
        <v/>
      </c>
    </row>
    <row r="48">
      <c r="A48" s="14">
        <f>IF('隊員マスタ'!A48="","",'隊員マスタ'!A48)</f>
        <v/>
      </c>
      <c r="B48" s="14">
        <f>IF(A48="","",'隊員マスタ'!B48)</f>
        <v/>
      </c>
      <c r="C48" s="14">
        <f>IF(A48="","",'隊員マスタ'!C48)</f>
        <v/>
      </c>
      <c r="D48" s="15">
        <f>IF(A48="","",'隊員マスタ'!D48)</f>
        <v/>
      </c>
      <c r="E48" s="15">
        <f>IF(OR($A48="",E$4=""),"",IF(AND(E$4="小型船舶2級",(COUNTIFS('資格研修記録'!$A$5:$A$1004,$A48,'資格研修記録'!$D$5:$D$1004,"小型船舶1級",'資格研修記録'!$F$5:$F$1004,"")+COUNTIFS('資格研修記録'!$A$5:$A$1004,$A48,'資格研修記録'!$D$5:$D$1004,"小型船舶1級",'資格研修記録'!$F$5:$F$1004,"&gt;="&amp;TODAY()))&gt;0),"1級に含む",IF(COUNTIFS('資格研修記録'!$A$5:$A$1004,$A48,'資格研修記録'!$D$5:$D$1004,E$4)=0,"—",IF(COUNTIFS('資格研修記録'!$A$5:$A$1004,$A48,'資格研修記録'!$D$5:$D$1004,E$4,'資格研修記録'!$F$5:$F$1004,"")+COUNTIFS('資格研修記録'!$A$5:$A$1004,$A48,'資格研修記録'!$D$5:$D$1004,E$4,'資格研修記録'!$F$5:$F$1004,"&gt;="&amp;TODAY())&gt;0,"○","× 期限切れ"))))</f>
        <v/>
      </c>
      <c r="F48" s="15">
        <f>IF(OR($A48="",F$4=""),"",IF(AND(F$4="小型船舶2級",(COUNTIFS('資格研修記録'!$A$5:$A$1004,$A48,'資格研修記録'!$D$5:$D$1004,"小型船舶1級",'資格研修記録'!$F$5:$F$1004,"")+COUNTIFS('資格研修記録'!$A$5:$A$1004,$A48,'資格研修記録'!$D$5:$D$1004,"小型船舶1級",'資格研修記録'!$F$5:$F$1004,"&gt;="&amp;TODAY()))&gt;0),"1級に含む",IF(COUNTIFS('資格研修記録'!$A$5:$A$1004,$A48,'資格研修記録'!$D$5:$D$1004,F$4)=0,"—",IF(COUNTIFS('資格研修記録'!$A$5:$A$1004,$A48,'資格研修記録'!$D$5:$D$1004,F$4,'資格研修記録'!$F$5:$F$1004,"")+COUNTIFS('資格研修記録'!$A$5:$A$1004,$A48,'資格研修記録'!$D$5:$D$1004,F$4,'資格研修記録'!$F$5:$F$1004,"&gt;="&amp;TODAY())&gt;0,"○","× 期限切れ"))))</f>
        <v/>
      </c>
      <c r="G48" s="15">
        <f>IF(OR($A48="",G$4=""),"",IF(AND(G$4="小型船舶2級",(COUNTIFS('資格研修記録'!$A$5:$A$1004,$A48,'資格研修記録'!$D$5:$D$1004,"小型船舶1級",'資格研修記録'!$F$5:$F$1004,"")+COUNTIFS('資格研修記録'!$A$5:$A$1004,$A48,'資格研修記録'!$D$5:$D$1004,"小型船舶1級",'資格研修記録'!$F$5:$F$1004,"&gt;="&amp;TODAY()))&gt;0),"1級に含む",IF(COUNTIFS('資格研修記録'!$A$5:$A$1004,$A48,'資格研修記録'!$D$5:$D$1004,G$4)=0,"—",IF(COUNTIFS('資格研修記録'!$A$5:$A$1004,$A48,'資格研修記録'!$D$5:$D$1004,G$4,'資格研修記録'!$F$5:$F$1004,"")+COUNTIFS('資格研修記録'!$A$5:$A$1004,$A48,'資格研修記録'!$D$5:$D$1004,G$4,'資格研修記録'!$F$5:$F$1004,"&gt;="&amp;TODAY())&gt;0,"○","× 期限切れ"))))</f>
        <v/>
      </c>
      <c r="H48" s="15">
        <f>IF(OR($A48="",H$4=""),"",IF(AND(H$4="小型船舶2級",(COUNTIFS('資格研修記録'!$A$5:$A$1004,$A48,'資格研修記録'!$D$5:$D$1004,"小型船舶1級",'資格研修記録'!$F$5:$F$1004,"")+COUNTIFS('資格研修記録'!$A$5:$A$1004,$A48,'資格研修記録'!$D$5:$D$1004,"小型船舶1級",'資格研修記録'!$F$5:$F$1004,"&gt;="&amp;TODAY()))&gt;0),"1級に含む",IF(COUNTIFS('資格研修記録'!$A$5:$A$1004,$A48,'資格研修記録'!$D$5:$D$1004,H$4)=0,"—",IF(COUNTIFS('資格研修記録'!$A$5:$A$1004,$A48,'資格研修記録'!$D$5:$D$1004,H$4,'資格研修記録'!$F$5:$F$1004,"")+COUNTIFS('資格研修記録'!$A$5:$A$1004,$A48,'資格研修記録'!$D$5:$D$1004,H$4,'資格研修記録'!$F$5:$F$1004,"&gt;="&amp;TODAY())&gt;0,"○","× 期限切れ"))))</f>
        <v/>
      </c>
      <c r="I48" s="15">
        <f>IF(OR($A48="",I$4=""),"",IF(AND(I$4="小型船舶2級",(COUNTIFS('資格研修記録'!$A$5:$A$1004,$A48,'資格研修記録'!$D$5:$D$1004,"小型船舶1級",'資格研修記録'!$F$5:$F$1004,"")+COUNTIFS('資格研修記録'!$A$5:$A$1004,$A48,'資格研修記録'!$D$5:$D$1004,"小型船舶1級",'資格研修記録'!$F$5:$F$1004,"&gt;="&amp;TODAY()))&gt;0),"1級に含む",IF(COUNTIFS('資格研修記録'!$A$5:$A$1004,$A48,'資格研修記録'!$D$5:$D$1004,I$4)=0,"—",IF(COUNTIFS('資格研修記録'!$A$5:$A$1004,$A48,'資格研修記録'!$D$5:$D$1004,I$4,'資格研修記録'!$F$5:$F$1004,"")+COUNTIFS('資格研修記録'!$A$5:$A$1004,$A48,'資格研修記録'!$D$5:$D$1004,I$4,'資格研修記録'!$F$5:$F$1004,"&gt;="&amp;TODAY())&gt;0,"○","× 期限切れ"))))</f>
        <v/>
      </c>
      <c r="J48" s="15">
        <f>IF(OR($A48="",J$4=""),"",IF(AND(J$4="小型船舶2級",(COUNTIFS('資格研修記録'!$A$5:$A$1004,$A48,'資格研修記録'!$D$5:$D$1004,"小型船舶1級",'資格研修記録'!$F$5:$F$1004,"")+COUNTIFS('資格研修記録'!$A$5:$A$1004,$A48,'資格研修記録'!$D$5:$D$1004,"小型船舶1級",'資格研修記録'!$F$5:$F$1004,"&gt;="&amp;TODAY()))&gt;0),"1級に含む",IF(COUNTIFS('資格研修記録'!$A$5:$A$1004,$A48,'資格研修記録'!$D$5:$D$1004,J$4)=0,"—",IF(COUNTIFS('資格研修記録'!$A$5:$A$1004,$A48,'資格研修記録'!$D$5:$D$1004,J$4,'資格研修記録'!$F$5:$F$1004,"")+COUNTIFS('資格研修記録'!$A$5:$A$1004,$A48,'資格研修記録'!$D$5:$D$1004,J$4,'資格研修記録'!$F$5:$F$1004,"&gt;="&amp;TODAY())&gt;0,"○","× 期限切れ"))))</f>
        <v/>
      </c>
      <c r="K48" s="15">
        <f>IF(OR($A48="",K$4=""),"",IF(AND(K$4="小型船舶2級",(COUNTIFS('資格研修記録'!$A$5:$A$1004,$A48,'資格研修記録'!$D$5:$D$1004,"小型船舶1級",'資格研修記録'!$F$5:$F$1004,"")+COUNTIFS('資格研修記録'!$A$5:$A$1004,$A48,'資格研修記録'!$D$5:$D$1004,"小型船舶1級",'資格研修記録'!$F$5:$F$1004,"&gt;="&amp;TODAY()))&gt;0),"1級に含む",IF(COUNTIFS('資格研修記録'!$A$5:$A$1004,$A48,'資格研修記録'!$D$5:$D$1004,K$4)=0,"—",IF(COUNTIFS('資格研修記録'!$A$5:$A$1004,$A48,'資格研修記録'!$D$5:$D$1004,K$4,'資格研修記録'!$F$5:$F$1004,"")+COUNTIFS('資格研修記録'!$A$5:$A$1004,$A48,'資格研修記録'!$D$5:$D$1004,K$4,'資格研修記録'!$F$5:$F$1004,"&gt;="&amp;TODAY())&gt;0,"○","× 期限切れ"))))</f>
        <v/>
      </c>
      <c r="L48" s="15">
        <f>IF(OR($A48="",L$4=""),"",IF(AND(L$4="小型船舶2級",(COUNTIFS('資格研修記録'!$A$5:$A$1004,$A48,'資格研修記録'!$D$5:$D$1004,"小型船舶1級",'資格研修記録'!$F$5:$F$1004,"")+COUNTIFS('資格研修記録'!$A$5:$A$1004,$A48,'資格研修記録'!$D$5:$D$1004,"小型船舶1級",'資格研修記録'!$F$5:$F$1004,"&gt;="&amp;TODAY()))&gt;0),"1級に含む",IF(COUNTIFS('資格研修記録'!$A$5:$A$1004,$A48,'資格研修記録'!$D$5:$D$1004,L$4)=0,"—",IF(COUNTIFS('資格研修記録'!$A$5:$A$1004,$A48,'資格研修記録'!$D$5:$D$1004,L$4,'資格研修記録'!$F$5:$F$1004,"")+COUNTIFS('資格研修記録'!$A$5:$A$1004,$A48,'資格研修記録'!$D$5:$D$1004,L$4,'資格研修記録'!$F$5:$F$1004,"&gt;="&amp;TODAY())&gt;0,"○","× 期限切れ"))))</f>
        <v/>
      </c>
    </row>
    <row r="49">
      <c r="A49" s="14">
        <f>IF('隊員マスタ'!A49="","",'隊員マスタ'!A49)</f>
        <v/>
      </c>
      <c r="B49" s="14">
        <f>IF(A49="","",'隊員マスタ'!B49)</f>
        <v/>
      </c>
      <c r="C49" s="14">
        <f>IF(A49="","",'隊員マスタ'!C49)</f>
        <v/>
      </c>
      <c r="D49" s="15">
        <f>IF(A49="","",'隊員マスタ'!D49)</f>
        <v/>
      </c>
      <c r="E49" s="15">
        <f>IF(OR($A49="",E$4=""),"",IF(AND(E$4="小型船舶2級",(COUNTIFS('資格研修記録'!$A$5:$A$1004,$A49,'資格研修記録'!$D$5:$D$1004,"小型船舶1級",'資格研修記録'!$F$5:$F$1004,"")+COUNTIFS('資格研修記録'!$A$5:$A$1004,$A49,'資格研修記録'!$D$5:$D$1004,"小型船舶1級",'資格研修記録'!$F$5:$F$1004,"&gt;="&amp;TODAY()))&gt;0),"1級に含む",IF(COUNTIFS('資格研修記録'!$A$5:$A$1004,$A49,'資格研修記録'!$D$5:$D$1004,E$4)=0,"—",IF(COUNTIFS('資格研修記録'!$A$5:$A$1004,$A49,'資格研修記録'!$D$5:$D$1004,E$4,'資格研修記録'!$F$5:$F$1004,"")+COUNTIFS('資格研修記録'!$A$5:$A$1004,$A49,'資格研修記録'!$D$5:$D$1004,E$4,'資格研修記録'!$F$5:$F$1004,"&gt;="&amp;TODAY())&gt;0,"○","× 期限切れ"))))</f>
        <v/>
      </c>
      <c r="F49" s="15">
        <f>IF(OR($A49="",F$4=""),"",IF(AND(F$4="小型船舶2級",(COUNTIFS('資格研修記録'!$A$5:$A$1004,$A49,'資格研修記録'!$D$5:$D$1004,"小型船舶1級",'資格研修記録'!$F$5:$F$1004,"")+COUNTIFS('資格研修記録'!$A$5:$A$1004,$A49,'資格研修記録'!$D$5:$D$1004,"小型船舶1級",'資格研修記録'!$F$5:$F$1004,"&gt;="&amp;TODAY()))&gt;0),"1級に含む",IF(COUNTIFS('資格研修記録'!$A$5:$A$1004,$A49,'資格研修記録'!$D$5:$D$1004,F$4)=0,"—",IF(COUNTIFS('資格研修記録'!$A$5:$A$1004,$A49,'資格研修記録'!$D$5:$D$1004,F$4,'資格研修記録'!$F$5:$F$1004,"")+COUNTIFS('資格研修記録'!$A$5:$A$1004,$A49,'資格研修記録'!$D$5:$D$1004,F$4,'資格研修記録'!$F$5:$F$1004,"&gt;="&amp;TODAY())&gt;0,"○","× 期限切れ"))))</f>
        <v/>
      </c>
      <c r="G49" s="15">
        <f>IF(OR($A49="",G$4=""),"",IF(AND(G$4="小型船舶2級",(COUNTIFS('資格研修記録'!$A$5:$A$1004,$A49,'資格研修記録'!$D$5:$D$1004,"小型船舶1級",'資格研修記録'!$F$5:$F$1004,"")+COUNTIFS('資格研修記録'!$A$5:$A$1004,$A49,'資格研修記録'!$D$5:$D$1004,"小型船舶1級",'資格研修記録'!$F$5:$F$1004,"&gt;="&amp;TODAY()))&gt;0),"1級に含む",IF(COUNTIFS('資格研修記録'!$A$5:$A$1004,$A49,'資格研修記録'!$D$5:$D$1004,G$4)=0,"—",IF(COUNTIFS('資格研修記録'!$A$5:$A$1004,$A49,'資格研修記録'!$D$5:$D$1004,G$4,'資格研修記録'!$F$5:$F$1004,"")+COUNTIFS('資格研修記録'!$A$5:$A$1004,$A49,'資格研修記録'!$D$5:$D$1004,G$4,'資格研修記録'!$F$5:$F$1004,"&gt;="&amp;TODAY())&gt;0,"○","× 期限切れ"))))</f>
        <v/>
      </c>
      <c r="H49" s="15">
        <f>IF(OR($A49="",H$4=""),"",IF(AND(H$4="小型船舶2級",(COUNTIFS('資格研修記録'!$A$5:$A$1004,$A49,'資格研修記録'!$D$5:$D$1004,"小型船舶1級",'資格研修記録'!$F$5:$F$1004,"")+COUNTIFS('資格研修記録'!$A$5:$A$1004,$A49,'資格研修記録'!$D$5:$D$1004,"小型船舶1級",'資格研修記録'!$F$5:$F$1004,"&gt;="&amp;TODAY()))&gt;0),"1級に含む",IF(COUNTIFS('資格研修記録'!$A$5:$A$1004,$A49,'資格研修記録'!$D$5:$D$1004,H$4)=0,"—",IF(COUNTIFS('資格研修記録'!$A$5:$A$1004,$A49,'資格研修記録'!$D$5:$D$1004,H$4,'資格研修記録'!$F$5:$F$1004,"")+COUNTIFS('資格研修記録'!$A$5:$A$1004,$A49,'資格研修記録'!$D$5:$D$1004,H$4,'資格研修記録'!$F$5:$F$1004,"&gt;="&amp;TODAY())&gt;0,"○","× 期限切れ"))))</f>
        <v/>
      </c>
      <c r="I49" s="15">
        <f>IF(OR($A49="",I$4=""),"",IF(AND(I$4="小型船舶2級",(COUNTIFS('資格研修記録'!$A$5:$A$1004,$A49,'資格研修記録'!$D$5:$D$1004,"小型船舶1級",'資格研修記録'!$F$5:$F$1004,"")+COUNTIFS('資格研修記録'!$A$5:$A$1004,$A49,'資格研修記録'!$D$5:$D$1004,"小型船舶1級",'資格研修記録'!$F$5:$F$1004,"&gt;="&amp;TODAY()))&gt;0),"1級に含む",IF(COUNTIFS('資格研修記録'!$A$5:$A$1004,$A49,'資格研修記録'!$D$5:$D$1004,I$4)=0,"—",IF(COUNTIFS('資格研修記録'!$A$5:$A$1004,$A49,'資格研修記録'!$D$5:$D$1004,I$4,'資格研修記録'!$F$5:$F$1004,"")+COUNTIFS('資格研修記録'!$A$5:$A$1004,$A49,'資格研修記録'!$D$5:$D$1004,I$4,'資格研修記録'!$F$5:$F$1004,"&gt;="&amp;TODAY())&gt;0,"○","× 期限切れ"))))</f>
        <v/>
      </c>
      <c r="J49" s="15">
        <f>IF(OR($A49="",J$4=""),"",IF(AND(J$4="小型船舶2級",(COUNTIFS('資格研修記録'!$A$5:$A$1004,$A49,'資格研修記録'!$D$5:$D$1004,"小型船舶1級",'資格研修記録'!$F$5:$F$1004,"")+COUNTIFS('資格研修記録'!$A$5:$A$1004,$A49,'資格研修記録'!$D$5:$D$1004,"小型船舶1級",'資格研修記録'!$F$5:$F$1004,"&gt;="&amp;TODAY()))&gt;0),"1級に含む",IF(COUNTIFS('資格研修記録'!$A$5:$A$1004,$A49,'資格研修記録'!$D$5:$D$1004,J$4)=0,"—",IF(COUNTIFS('資格研修記録'!$A$5:$A$1004,$A49,'資格研修記録'!$D$5:$D$1004,J$4,'資格研修記録'!$F$5:$F$1004,"")+COUNTIFS('資格研修記録'!$A$5:$A$1004,$A49,'資格研修記録'!$D$5:$D$1004,J$4,'資格研修記録'!$F$5:$F$1004,"&gt;="&amp;TODAY())&gt;0,"○","× 期限切れ"))))</f>
        <v/>
      </c>
      <c r="K49" s="15">
        <f>IF(OR($A49="",K$4=""),"",IF(AND(K$4="小型船舶2級",(COUNTIFS('資格研修記録'!$A$5:$A$1004,$A49,'資格研修記録'!$D$5:$D$1004,"小型船舶1級",'資格研修記録'!$F$5:$F$1004,"")+COUNTIFS('資格研修記録'!$A$5:$A$1004,$A49,'資格研修記録'!$D$5:$D$1004,"小型船舶1級",'資格研修記録'!$F$5:$F$1004,"&gt;="&amp;TODAY()))&gt;0),"1級に含む",IF(COUNTIFS('資格研修記録'!$A$5:$A$1004,$A49,'資格研修記録'!$D$5:$D$1004,K$4)=0,"—",IF(COUNTIFS('資格研修記録'!$A$5:$A$1004,$A49,'資格研修記録'!$D$5:$D$1004,K$4,'資格研修記録'!$F$5:$F$1004,"")+COUNTIFS('資格研修記録'!$A$5:$A$1004,$A49,'資格研修記録'!$D$5:$D$1004,K$4,'資格研修記録'!$F$5:$F$1004,"&gt;="&amp;TODAY())&gt;0,"○","× 期限切れ"))))</f>
        <v/>
      </c>
      <c r="L49" s="15">
        <f>IF(OR($A49="",L$4=""),"",IF(AND(L$4="小型船舶2級",(COUNTIFS('資格研修記録'!$A$5:$A$1004,$A49,'資格研修記録'!$D$5:$D$1004,"小型船舶1級",'資格研修記録'!$F$5:$F$1004,"")+COUNTIFS('資格研修記録'!$A$5:$A$1004,$A49,'資格研修記録'!$D$5:$D$1004,"小型船舶1級",'資格研修記録'!$F$5:$F$1004,"&gt;="&amp;TODAY()))&gt;0),"1級に含む",IF(COUNTIFS('資格研修記録'!$A$5:$A$1004,$A49,'資格研修記録'!$D$5:$D$1004,L$4)=0,"—",IF(COUNTIFS('資格研修記録'!$A$5:$A$1004,$A49,'資格研修記録'!$D$5:$D$1004,L$4,'資格研修記録'!$F$5:$F$1004,"")+COUNTIFS('資格研修記録'!$A$5:$A$1004,$A49,'資格研修記録'!$D$5:$D$1004,L$4,'資格研修記録'!$F$5:$F$1004,"&gt;="&amp;TODAY())&gt;0,"○","× 期限切れ"))))</f>
        <v/>
      </c>
    </row>
    <row r="50">
      <c r="A50" s="14">
        <f>IF('隊員マスタ'!A50="","",'隊員マスタ'!A50)</f>
        <v/>
      </c>
      <c r="B50" s="14">
        <f>IF(A50="","",'隊員マスタ'!B50)</f>
        <v/>
      </c>
      <c r="C50" s="14">
        <f>IF(A50="","",'隊員マスタ'!C50)</f>
        <v/>
      </c>
      <c r="D50" s="15">
        <f>IF(A50="","",'隊員マスタ'!D50)</f>
        <v/>
      </c>
      <c r="E50" s="15">
        <f>IF(OR($A50="",E$4=""),"",IF(AND(E$4="小型船舶2級",(COUNTIFS('資格研修記録'!$A$5:$A$1004,$A50,'資格研修記録'!$D$5:$D$1004,"小型船舶1級",'資格研修記録'!$F$5:$F$1004,"")+COUNTIFS('資格研修記録'!$A$5:$A$1004,$A50,'資格研修記録'!$D$5:$D$1004,"小型船舶1級",'資格研修記録'!$F$5:$F$1004,"&gt;="&amp;TODAY()))&gt;0),"1級に含む",IF(COUNTIFS('資格研修記録'!$A$5:$A$1004,$A50,'資格研修記録'!$D$5:$D$1004,E$4)=0,"—",IF(COUNTIFS('資格研修記録'!$A$5:$A$1004,$A50,'資格研修記録'!$D$5:$D$1004,E$4,'資格研修記録'!$F$5:$F$1004,"")+COUNTIFS('資格研修記録'!$A$5:$A$1004,$A50,'資格研修記録'!$D$5:$D$1004,E$4,'資格研修記録'!$F$5:$F$1004,"&gt;="&amp;TODAY())&gt;0,"○","× 期限切れ"))))</f>
        <v/>
      </c>
      <c r="F50" s="15">
        <f>IF(OR($A50="",F$4=""),"",IF(AND(F$4="小型船舶2級",(COUNTIFS('資格研修記録'!$A$5:$A$1004,$A50,'資格研修記録'!$D$5:$D$1004,"小型船舶1級",'資格研修記録'!$F$5:$F$1004,"")+COUNTIFS('資格研修記録'!$A$5:$A$1004,$A50,'資格研修記録'!$D$5:$D$1004,"小型船舶1級",'資格研修記録'!$F$5:$F$1004,"&gt;="&amp;TODAY()))&gt;0),"1級に含む",IF(COUNTIFS('資格研修記録'!$A$5:$A$1004,$A50,'資格研修記録'!$D$5:$D$1004,F$4)=0,"—",IF(COUNTIFS('資格研修記録'!$A$5:$A$1004,$A50,'資格研修記録'!$D$5:$D$1004,F$4,'資格研修記録'!$F$5:$F$1004,"")+COUNTIFS('資格研修記録'!$A$5:$A$1004,$A50,'資格研修記録'!$D$5:$D$1004,F$4,'資格研修記録'!$F$5:$F$1004,"&gt;="&amp;TODAY())&gt;0,"○","× 期限切れ"))))</f>
        <v/>
      </c>
      <c r="G50" s="15">
        <f>IF(OR($A50="",G$4=""),"",IF(AND(G$4="小型船舶2級",(COUNTIFS('資格研修記録'!$A$5:$A$1004,$A50,'資格研修記録'!$D$5:$D$1004,"小型船舶1級",'資格研修記録'!$F$5:$F$1004,"")+COUNTIFS('資格研修記録'!$A$5:$A$1004,$A50,'資格研修記録'!$D$5:$D$1004,"小型船舶1級",'資格研修記録'!$F$5:$F$1004,"&gt;="&amp;TODAY()))&gt;0),"1級に含む",IF(COUNTIFS('資格研修記録'!$A$5:$A$1004,$A50,'資格研修記録'!$D$5:$D$1004,G$4)=0,"—",IF(COUNTIFS('資格研修記録'!$A$5:$A$1004,$A50,'資格研修記録'!$D$5:$D$1004,G$4,'資格研修記録'!$F$5:$F$1004,"")+COUNTIFS('資格研修記録'!$A$5:$A$1004,$A50,'資格研修記録'!$D$5:$D$1004,G$4,'資格研修記録'!$F$5:$F$1004,"&gt;="&amp;TODAY())&gt;0,"○","× 期限切れ"))))</f>
        <v/>
      </c>
      <c r="H50" s="15">
        <f>IF(OR($A50="",H$4=""),"",IF(AND(H$4="小型船舶2級",(COUNTIFS('資格研修記録'!$A$5:$A$1004,$A50,'資格研修記録'!$D$5:$D$1004,"小型船舶1級",'資格研修記録'!$F$5:$F$1004,"")+COUNTIFS('資格研修記録'!$A$5:$A$1004,$A50,'資格研修記録'!$D$5:$D$1004,"小型船舶1級",'資格研修記録'!$F$5:$F$1004,"&gt;="&amp;TODAY()))&gt;0),"1級に含む",IF(COUNTIFS('資格研修記録'!$A$5:$A$1004,$A50,'資格研修記録'!$D$5:$D$1004,H$4)=0,"—",IF(COUNTIFS('資格研修記録'!$A$5:$A$1004,$A50,'資格研修記録'!$D$5:$D$1004,H$4,'資格研修記録'!$F$5:$F$1004,"")+COUNTIFS('資格研修記録'!$A$5:$A$1004,$A50,'資格研修記録'!$D$5:$D$1004,H$4,'資格研修記録'!$F$5:$F$1004,"&gt;="&amp;TODAY())&gt;0,"○","× 期限切れ"))))</f>
        <v/>
      </c>
      <c r="I50" s="15">
        <f>IF(OR($A50="",I$4=""),"",IF(AND(I$4="小型船舶2級",(COUNTIFS('資格研修記録'!$A$5:$A$1004,$A50,'資格研修記録'!$D$5:$D$1004,"小型船舶1級",'資格研修記録'!$F$5:$F$1004,"")+COUNTIFS('資格研修記録'!$A$5:$A$1004,$A50,'資格研修記録'!$D$5:$D$1004,"小型船舶1級",'資格研修記録'!$F$5:$F$1004,"&gt;="&amp;TODAY()))&gt;0),"1級に含む",IF(COUNTIFS('資格研修記録'!$A$5:$A$1004,$A50,'資格研修記録'!$D$5:$D$1004,I$4)=0,"—",IF(COUNTIFS('資格研修記録'!$A$5:$A$1004,$A50,'資格研修記録'!$D$5:$D$1004,I$4,'資格研修記録'!$F$5:$F$1004,"")+COUNTIFS('資格研修記録'!$A$5:$A$1004,$A50,'資格研修記録'!$D$5:$D$1004,I$4,'資格研修記録'!$F$5:$F$1004,"&gt;="&amp;TODAY())&gt;0,"○","× 期限切れ"))))</f>
        <v/>
      </c>
      <c r="J50" s="15">
        <f>IF(OR($A50="",J$4=""),"",IF(AND(J$4="小型船舶2級",(COUNTIFS('資格研修記録'!$A$5:$A$1004,$A50,'資格研修記録'!$D$5:$D$1004,"小型船舶1級",'資格研修記録'!$F$5:$F$1004,"")+COUNTIFS('資格研修記録'!$A$5:$A$1004,$A50,'資格研修記録'!$D$5:$D$1004,"小型船舶1級",'資格研修記録'!$F$5:$F$1004,"&gt;="&amp;TODAY()))&gt;0),"1級に含む",IF(COUNTIFS('資格研修記録'!$A$5:$A$1004,$A50,'資格研修記録'!$D$5:$D$1004,J$4)=0,"—",IF(COUNTIFS('資格研修記録'!$A$5:$A$1004,$A50,'資格研修記録'!$D$5:$D$1004,J$4,'資格研修記録'!$F$5:$F$1004,"")+COUNTIFS('資格研修記録'!$A$5:$A$1004,$A50,'資格研修記録'!$D$5:$D$1004,J$4,'資格研修記録'!$F$5:$F$1004,"&gt;="&amp;TODAY())&gt;0,"○","× 期限切れ"))))</f>
        <v/>
      </c>
      <c r="K50" s="15">
        <f>IF(OR($A50="",K$4=""),"",IF(AND(K$4="小型船舶2級",(COUNTIFS('資格研修記録'!$A$5:$A$1004,$A50,'資格研修記録'!$D$5:$D$1004,"小型船舶1級",'資格研修記録'!$F$5:$F$1004,"")+COUNTIFS('資格研修記録'!$A$5:$A$1004,$A50,'資格研修記録'!$D$5:$D$1004,"小型船舶1級",'資格研修記録'!$F$5:$F$1004,"&gt;="&amp;TODAY()))&gt;0),"1級に含む",IF(COUNTIFS('資格研修記録'!$A$5:$A$1004,$A50,'資格研修記録'!$D$5:$D$1004,K$4)=0,"—",IF(COUNTIFS('資格研修記録'!$A$5:$A$1004,$A50,'資格研修記録'!$D$5:$D$1004,K$4,'資格研修記録'!$F$5:$F$1004,"")+COUNTIFS('資格研修記録'!$A$5:$A$1004,$A50,'資格研修記録'!$D$5:$D$1004,K$4,'資格研修記録'!$F$5:$F$1004,"&gt;="&amp;TODAY())&gt;0,"○","× 期限切れ"))))</f>
        <v/>
      </c>
      <c r="L50" s="15">
        <f>IF(OR($A50="",L$4=""),"",IF(AND(L$4="小型船舶2級",(COUNTIFS('資格研修記録'!$A$5:$A$1004,$A50,'資格研修記録'!$D$5:$D$1004,"小型船舶1級",'資格研修記録'!$F$5:$F$1004,"")+COUNTIFS('資格研修記録'!$A$5:$A$1004,$A50,'資格研修記録'!$D$5:$D$1004,"小型船舶1級",'資格研修記録'!$F$5:$F$1004,"&gt;="&amp;TODAY()))&gt;0),"1級に含む",IF(COUNTIFS('資格研修記録'!$A$5:$A$1004,$A50,'資格研修記録'!$D$5:$D$1004,L$4)=0,"—",IF(COUNTIFS('資格研修記録'!$A$5:$A$1004,$A50,'資格研修記録'!$D$5:$D$1004,L$4,'資格研修記録'!$F$5:$F$1004,"")+COUNTIFS('資格研修記録'!$A$5:$A$1004,$A50,'資格研修記録'!$D$5:$D$1004,L$4,'資格研修記録'!$F$5:$F$1004,"&gt;="&amp;TODAY())&gt;0,"○","× 期限切れ"))))</f>
        <v/>
      </c>
    </row>
    <row r="51">
      <c r="A51" s="14">
        <f>IF('隊員マスタ'!A51="","",'隊員マスタ'!A51)</f>
        <v/>
      </c>
      <c r="B51" s="14">
        <f>IF(A51="","",'隊員マスタ'!B51)</f>
        <v/>
      </c>
      <c r="C51" s="14">
        <f>IF(A51="","",'隊員マスタ'!C51)</f>
        <v/>
      </c>
      <c r="D51" s="15">
        <f>IF(A51="","",'隊員マスタ'!D51)</f>
        <v/>
      </c>
      <c r="E51" s="15">
        <f>IF(OR($A51="",E$4=""),"",IF(AND(E$4="小型船舶2級",(COUNTIFS('資格研修記録'!$A$5:$A$1004,$A51,'資格研修記録'!$D$5:$D$1004,"小型船舶1級",'資格研修記録'!$F$5:$F$1004,"")+COUNTIFS('資格研修記録'!$A$5:$A$1004,$A51,'資格研修記録'!$D$5:$D$1004,"小型船舶1級",'資格研修記録'!$F$5:$F$1004,"&gt;="&amp;TODAY()))&gt;0),"1級に含む",IF(COUNTIFS('資格研修記録'!$A$5:$A$1004,$A51,'資格研修記録'!$D$5:$D$1004,E$4)=0,"—",IF(COUNTIFS('資格研修記録'!$A$5:$A$1004,$A51,'資格研修記録'!$D$5:$D$1004,E$4,'資格研修記録'!$F$5:$F$1004,"")+COUNTIFS('資格研修記録'!$A$5:$A$1004,$A51,'資格研修記録'!$D$5:$D$1004,E$4,'資格研修記録'!$F$5:$F$1004,"&gt;="&amp;TODAY())&gt;0,"○","× 期限切れ"))))</f>
        <v/>
      </c>
      <c r="F51" s="15">
        <f>IF(OR($A51="",F$4=""),"",IF(AND(F$4="小型船舶2級",(COUNTIFS('資格研修記録'!$A$5:$A$1004,$A51,'資格研修記録'!$D$5:$D$1004,"小型船舶1級",'資格研修記録'!$F$5:$F$1004,"")+COUNTIFS('資格研修記録'!$A$5:$A$1004,$A51,'資格研修記録'!$D$5:$D$1004,"小型船舶1級",'資格研修記録'!$F$5:$F$1004,"&gt;="&amp;TODAY()))&gt;0),"1級に含む",IF(COUNTIFS('資格研修記録'!$A$5:$A$1004,$A51,'資格研修記録'!$D$5:$D$1004,F$4)=0,"—",IF(COUNTIFS('資格研修記録'!$A$5:$A$1004,$A51,'資格研修記録'!$D$5:$D$1004,F$4,'資格研修記録'!$F$5:$F$1004,"")+COUNTIFS('資格研修記録'!$A$5:$A$1004,$A51,'資格研修記録'!$D$5:$D$1004,F$4,'資格研修記録'!$F$5:$F$1004,"&gt;="&amp;TODAY())&gt;0,"○","× 期限切れ"))))</f>
        <v/>
      </c>
      <c r="G51" s="15">
        <f>IF(OR($A51="",G$4=""),"",IF(AND(G$4="小型船舶2級",(COUNTIFS('資格研修記録'!$A$5:$A$1004,$A51,'資格研修記録'!$D$5:$D$1004,"小型船舶1級",'資格研修記録'!$F$5:$F$1004,"")+COUNTIFS('資格研修記録'!$A$5:$A$1004,$A51,'資格研修記録'!$D$5:$D$1004,"小型船舶1級",'資格研修記録'!$F$5:$F$1004,"&gt;="&amp;TODAY()))&gt;0),"1級に含む",IF(COUNTIFS('資格研修記録'!$A$5:$A$1004,$A51,'資格研修記録'!$D$5:$D$1004,G$4)=0,"—",IF(COUNTIFS('資格研修記録'!$A$5:$A$1004,$A51,'資格研修記録'!$D$5:$D$1004,G$4,'資格研修記録'!$F$5:$F$1004,"")+COUNTIFS('資格研修記録'!$A$5:$A$1004,$A51,'資格研修記録'!$D$5:$D$1004,G$4,'資格研修記録'!$F$5:$F$1004,"&gt;="&amp;TODAY())&gt;0,"○","× 期限切れ"))))</f>
        <v/>
      </c>
      <c r="H51" s="15">
        <f>IF(OR($A51="",H$4=""),"",IF(AND(H$4="小型船舶2級",(COUNTIFS('資格研修記録'!$A$5:$A$1004,$A51,'資格研修記録'!$D$5:$D$1004,"小型船舶1級",'資格研修記録'!$F$5:$F$1004,"")+COUNTIFS('資格研修記録'!$A$5:$A$1004,$A51,'資格研修記録'!$D$5:$D$1004,"小型船舶1級",'資格研修記録'!$F$5:$F$1004,"&gt;="&amp;TODAY()))&gt;0),"1級に含む",IF(COUNTIFS('資格研修記録'!$A$5:$A$1004,$A51,'資格研修記録'!$D$5:$D$1004,H$4)=0,"—",IF(COUNTIFS('資格研修記録'!$A$5:$A$1004,$A51,'資格研修記録'!$D$5:$D$1004,H$4,'資格研修記録'!$F$5:$F$1004,"")+COUNTIFS('資格研修記録'!$A$5:$A$1004,$A51,'資格研修記録'!$D$5:$D$1004,H$4,'資格研修記録'!$F$5:$F$1004,"&gt;="&amp;TODAY())&gt;0,"○","× 期限切れ"))))</f>
        <v/>
      </c>
      <c r="I51" s="15">
        <f>IF(OR($A51="",I$4=""),"",IF(AND(I$4="小型船舶2級",(COUNTIFS('資格研修記録'!$A$5:$A$1004,$A51,'資格研修記録'!$D$5:$D$1004,"小型船舶1級",'資格研修記録'!$F$5:$F$1004,"")+COUNTIFS('資格研修記録'!$A$5:$A$1004,$A51,'資格研修記録'!$D$5:$D$1004,"小型船舶1級",'資格研修記録'!$F$5:$F$1004,"&gt;="&amp;TODAY()))&gt;0),"1級に含む",IF(COUNTIFS('資格研修記録'!$A$5:$A$1004,$A51,'資格研修記録'!$D$5:$D$1004,I$4)=0,"—",IF(COUNTIFS('資格研修記録'!$A$5:$A$1004,$A51,'資格研修記録'!$D$5:$D$1004,I$4,'資格研修記録'!$F$5:$F$1004,"")+COUNTIFS('資格研修記録'!$A$5:$A$1004,$A51,'資格研修記録'!$D$5:$D$1004,I$4,'資格研修記録'!$F$5:$F$1004,"&gt;="&amp;TODAY())&gt;0,"○","× 期限切れ"))))</f>
        <v/>
      </c>
      <c r="J51" s="15">
        <f>IF(OR($A51="",J$4=""),"",IF(AND(J$4="小型船舶2級",(COUNTIFS('資格研修記録'!$A$5:$A$1004,$A51,'資格研修記録'!$D$5:$D$1004,"小型船舶1級",'資格研修記録'!$F$5:$F$1004,"")+COUNTIFS('資格研修記録'!$A$5:$A$1004,$A51,'資格研修記録'!$D$5:$D$1004,"小型船舶1級",'資格研修記録'!$F$5:$F$1004,"&gt;="&amp;TODAY()))&gt;0),"1級に含む",IF(COUNTIFS('資格研修記録'!$A$5:$A$1004,$A51,'資格研修記録'!$D$5:$D$1004,J$4)=0,"—",IF(COUNTIFS('資格研修記録'!$A$5:$A$1004,$A51,'資格研修記録'!$D$5:$D$1004,J$4,'資格研修記録'!$F$5:$F$1004,"")+COUNTIFS('資格研修記録'!$A$5:$A$1004,$A51,'資格研修記録'!$D$5:$D$1004,J$4,'資格研修記録'!$F$5:$F$1004,"&gt;="&amp;TODAY())&gt;0,"○","× 期限切れ"))))</f>
        <v/>
      </c>
      <c r="K51" s="15">
        <f>IF(OR($A51="",K$4=""),"",IF(AND(K$4="小型船舶2級",(COUNTIFS('資格研修記録'!$A$5:$A$1004,$A51,'資格研修記録'!$D$5:$D$1004,"小型船舶1級",'資格研修記録'!$F$5:$F$1004,"")+COUNTIFS('資格研修記録'!$A$5:$A$1004,$A51,'資格研修記録'!$D$5:$D$1004,"小型船舶1級",'資格研修記録'!$F$5:$F$1004,"&gt;="&amp;TODAY()))&gt;0),"1級に含む",IF(COUNTIFS('資格研修記録'!$A$5:$A$1004,$A51,'資格研修記録'!$D$5:$D$1004,K$4)=0,"—",IF(COUNTIFS('資格研修記録'!$A$5:$A$1004,$A51,'資格研修記録'!$D$5:$D$1004,K$4,'資格研修記録'!$F$5:$F$1004,"")+COUNTIFS('資格研修記録'!$A$5:$A$1004,$A51,'資格研修記録'!$D$5:$D$1004,K$4,'資格研修記録'!$F$5:$F$1004,"&gt;="&amp;TODAY())&gt;0,"○","× 期限切れ"))))</f>
        <v/>
      </c>
      <c r="L51" s="15">
        <f>IF(OR($A51="",L$4=""),"",IF(AND(L$4="小型船舶2級",(COUNTIFS('資格研修記録'!$A$5:$A$1004,$A51,'資格研修記録'!$D$5:$D$1004,"小型船舶1級",'資格研修記録'!$F$5:$F$1004,"")+COUNTIFS('資格研修記録'!$A$5:$A$1004,$A51,'資格研修記録'!$D$5:$D$1004,"小型船舶1級",'資格研修記録'!$F$5:$F$1004,"&gt;="&amp;TODAY()))&gt;0),"1級に含む",IF(COUNTIFS('資格研修記録'!$A$5:$A$1004,$A51,'資格研修記録'!$D$5:$D$1004,L$4)=0,"—",IF(COUNTIFS('資格研修記録'!$A$5:$A$1004,$A51,'資格研修記録'!$D$5:$D$1004,L$4,'資格研修記録'!$F$5:$F$1004,"")+COUNTIFS('資格研修記録'!$A$5:$A$1004,$A51,'資格研修記録'!$D$5:$D$1004,L$4,'資格研修記録'!$F$5:$F$1004,"&gt;="&amp;TODAY())&gt;0,"○","× 期限切れ"))))</f>
        <v/>
      </c>
    </row>
    <row r="52">
      <c r="A52" s="14">
        <f>IF('隊員マスタ'!A52="","",'隊員マスタ'!A52)</f>
        <v/>
      </c>
      <c r="B52" s="14">
        <f>IF(A52="","",'隊員マスタ'!B52)</f>
        <v/>
      </c>
      <c r="C52" s="14">
        <f>IF(A52="","",'隊員マスタ'!C52)</f>
        <v/>
      </c>
      <c r="D52" s="15">
        <f>IF(A52="","",'隊員マスタ'!D52)</f>
        <v/>
      </c>
      <c r="E52" s="15">
        <f>IF(OR($A52="",E$4=""),"",IF(AND(E$4="小型船舶2級",(COUNTIFS('資格研修記録'!$A$5:$A$1004,$A52,'資格研修記録'!$D$5:$D$1004,"小型船舶1級",'資格研修記録'!$F$5:$F$1004,"")+COUNTIFS('資格研修記録'!$A$5:$A$1004,$A52,'資格研修記録'!$D$5:$D$1004,"小型船舶1級",'資格研修記録'!$F$5:$F$1004,"&gt;="&amp;TODAY()))&gt;0),"1級に含む",IF(COUNTIFS('資格研修記録'!$A$5:$A$1004,$A52,'資格研修記録'!$D$5:$D$1004,E$4)=0,"—",IF(COUNTIFS('資格研修記録'!$A$5:$A$1004,$A52,'資格研修記録'!$D$5:$D$1004,E$4,'資格研修記録'!$F$5:$F$1004,"")+COUNTIFS('資格研修記録'!$A$5:$A$1004,$A52,'資格研修記録'!$D$5:$D$1004,E$4,'資格研修記録'!$F$5:$F$1004,"&gt;="&amp;TODAY())&gt;0,"○","× 期限切れ"))))</f>
        <v/>
      </c>
      <c r="F52" s="15">
        <f>IF(OR($A52="",F$4=""),"",IF(AND(F$4="小型船舶2級",(COUNTIFS('資格研修記録'!$A$5:$A$1004,$A52,'資格研修記録'!$D$5:$D$1004,"小型船舶1級",'資格研修記録'!$F$5:$F$1004,"")+COUNTIFS('資格研修記録'!$A$5:$A$1004,$A52,'資格研修記録'!$D$5:$D$1004,"小型船舶1級",'資格研修記録'!$F$5:$F$1004,"&gt;="&amp;TODAY()))&gt;0),"1級に含む",IF(COUNTIFS('資格研修記録'!$A$5:$A$1004,$A52,'資格研修記録'!$D$5:$D$1004,F$4)=0,"—",IF(COUNTIFS('資格研修記録'!$A$5:$A$1004,$A52,'資格研修記録'!$D$5:$D$1004,F$4,'資格研修記録'!$F$5:$F$1004,"")+COUNTIFS('資格研修記録'!$A$5:$A$1004,$A52,'資格研修記録'!$D$5:$D$1004,F$4,'資格研修記録'!$F$5:$F$1004,"&gt;="&amp;TODAY())&gt;0,"○","× 期限切れ"))))</f>
        <v/>
      </c>
      <c r="G52" s="15">
        <f>IF(OR($A52="",G$4=""),"",IF(AND(G$4="小型船舶2級",(COUNTIFS('資格研修記録'!$A$5:$A$1004,$A52,'資格研修記録'!$D$5:$D$1004,"小型船舶1級",'資格研修記録'!$F$5:$F$1004,"")+COUNTIFS('資格研修記録'!$A$5:$A$1004,$A52,'資格研修記録'!$D$5:$D$1004,"小型船舶1級",'資格研修記録'!$F$5:$F$1004,"&gt;="&amp;TODAY()))&gt;0),"1級に含む",IF(COUNTIFS('資格研修記録'!$A$5:$A$1004,$A52,'資格研修記録'!$D$5:$D$1004,G$4)=0,"—",IF(COUNTIFS('資格研修記録'!$A$5:$A$1004,$A52,'資格研修記録'!$D$5:$D$1004,G$4,'資格研修記録'!$F$5:$F$1004,"")+COUNTIFS('資格研修記録'!$A$5:$A$1004,$A52,'資格研修記録'!$D$5:$D$1004,G$4,'資格研修記録'!$F$5:$F$1004,"&gt;="&amp;TODAY())&gt;0,"○","× 期限切れ"))))</f>
        <v/>
      </c>
      <c r="H52" s="15">
        <f>IF(OR($A52="",H$4=""),"",IF(AND(H$4="小型船舶2級",(COUNTIFS('資格研修記録'!$A$5:$A$1004,$A52,'資格研修記録'!$D$5:$D$1004,"小型船舶1級",'資格研修記録'!$F$5:$F$1004,"")+COUNTIFS('資格研修記録'!$A$5:$A$1004,$A52,'資格研修記録'!$D$5:$D$1004,"小型船舶1級",'資格研修記録'!$F$5:$F$1004,"&gt;="&amp;TODAY()))&gt;0),"1級に含む",IF(COUNTIFS('資格研修記録'!$A$5:$A$1004,$A52,'資格研修記録'!$D$5:$D$1004,H$4)=0,"—",IF(COUNTIFS('資格研修記録'!$A$5:$A$1004,$A52,'資格研修記録'!$D$5:$D$1004,H$4,'資格研修記録'!$F$5:$F$1004,"")+COUNTIFS('資格研修記録'!$A$5:$A$1004,$A52,'資格研修記録'!$D$5:$D$1004,H$4,'資格研修記録'!$F$5:$F$1004,"&gt;="&amp;TODAY())&gt;0,"○","× 期限切れ"))))</f>
        <v/>
      </c>
      <c r="I52" s="15">
        <f>IF(OR($A52="",I$4=""),"",IF(AND(I$4="小型船舶2級",(COUNTIFS('資格研修記録'!$A$5:$A$1004,$A52,'資格研修記録'!$D$5:$D$1004,"小型船舶1級",'資格研修記録'!$F$5:$F$1004,"")+COUNTIFS('資格研修記録'!$A$5:$A$1004,$A52,'資格研修記録'!$D$5:$D$1004,"小型船舶1級",'資格研修記録'!$F$5:$F$1004,"&gt;="&amp;TODAY()))&gt;0),"1級に含む",IF(COUNTIFS('資格研修記録'!$A$5:$A$1004,$A52,'資格研修記録'!$D$5:$D$1004,I$4)=0,"—",IF(COUNTIFS('資格研修記録'!$A$5:$A$1004,$A52,'資格研修記録'!$D$5:$D$1004,I$4,'資格研修記録'!$F$5:$F$1004,"")+COUNTIFS('資格研修記録'!$A$5:$A$1004,$A52,'資格研修記録'!$D$5:$D$1004,I$4,'資格研修記録'!$F$5:$F$1004,"&gt;="&amp;TODAY())&gt;0,"○","× 期限切れ"))))</f>
        <v/>
      </c>
      <c r="J52" s="15">
        <f>IF(OR($A52="",J$4=""),"",IF(AND(J$4="小型船舶2級",(COUNTIFS('資格研修記録'!$A$5:$A$1004,$A52,'資格研修記録'!$D$5:$D$1004,"小型船舶1級",'資格研修記録'!$F$5:$F$1004,"")+COUNTIFS('資格研修記録'!$A$5:$A$1004,$A52,'資格研修記録'!$D$5:$D$1004,"小型船舶1級",'資格研修記録'!$F$5:$F$1004,"&gt;="&amp;TODAY()))&gt;0),"1級に含む",IF(COUNTIFS('資格研修記録'!$A$5:$A$1004,$A52,'資格研修記録'!$D$5:$D$1004,J$4)=0,"—",IF(COUNTIFS('資格研修記録'!$A$5:$A$1004,$A52,'資格研修記録'!$D$5:$D$1004,J$4,'資格研修記録'!$F$5:$F$1004,"")+COUNTIFS('資格研修記録'!$A$5:$A$1004,$A52,'資格研修記録'!$D$5:$D$1004,J$4,'資格研修記録'!$F$5:$F$1004,"&gt;="&amp;TODAY())&gt;0,"○","× 期限切れ"))))</f>
        <v/>
      </c>
      <c r="K52" s="15">
        <f>IF(OR($A52="",K$4=""),"",IF(AND(K$4="小型船舶2級",(COUNTIFS('資格研修記録'!$A$5:$A$1004,$A52,'資格研修記録'!$D$5:$D$1004,"小型船舶1級",'資格研修記録'!$F$5:$F$1004,"")+COUNTIFS('資格研修記録'!$A$5:$A$1004,$A52,'資格研修記録'!$D$5:$D$1004,"小型船舶1級",'資格研修記録'!$F$5:$F$1004,"&gt;="&amp;TODAY()))&gt;0),"1級に含む",IF(COUNTIFS('資格研修記録'!$A$5:$A$1004,$A52,'資格研修記録'!$D$5:$D$1004,K$4)=0,"—",IF(COUNTIFS('資格研修記録'!$A$5:$A$1004,$A52,'資格研修記録'!$D$5:$D$1004,K$4,'資格研修記録'!$F$5:$F$1004,"")+COUNTIFS('資格研修記録'!$A$5:$A$1004,$A52,'資格研修記録'!$D$5:$D$1004,K$4,'資格研修記録'!$F$5:$F$1004,"&gt;="&amp;TODAY())&gt;0,"○","× 期限切れ"))))</f>
        <v/>
      </c>
      <c r="L52" s="15">
        <f>IF(OR($A52="",L$4=""),"",IF(AND(L$4="小型船舶2級",(COUNTIFS('資格研修記録'!$A$5:$A$1004,$A52,'資格研修記録'!$D$5:$D$1004,"小型船舶1級",'資格研修記録'!$F$5:$F$1004,"")+COUNTIFS('資格研修記録'!$A$5:$A$1004,$A52,'資格研修記録'!$D$5:$D$1004,"小型船舶1級",'資格研修記録'!$F$5:$F$1004,"&gt;="&amp;TODAY()))&gt;0),"1級に含む",IF(COUNTIFS('資格研修記録'!$A$5:$A$1004,$A52,'資格研修記録'!$D$5:$D$1004,L$4)=0,"—",IF(COUNTIFS('資格研修記録'!$A$5:$A$1004,$A52,'資格研修記録'!$D$5:$D$1004,L$4,'資格研修記録'!$F$5:$F$1004,"")+COUNTIFS('資格研修記録'!$A$5:$A$1004,$A52,'資格研修記録'!$D$5:$D$1004,L$4,'資格研修記録'!$F$5:$F$1004,"&gt;="&amp;TODAY())&gt;0,"○","× 期限切れ"))))</f>
        <v/>
      </c>
    </row>
    <row r="53">
      <c r="A53" s="14">
        <f>IF('隊員マスタ'!A53="","",'隊員マスタ'!A53)</f>
        <v/>
      </c>
      <c r="B53" s="14">
        <f>IF(A53="","",'隊員マスタ'!B53)</f>
        <v/>
      </c>
      <c r="C53" s="14">
        <f>IF(A53="","",'隊員マスタ'!C53)</f>
        <v/>
      </c>
      <c r="D53" s="15">
        <f>IF(A53="","",'隊員マスタ'!D53)</f>
        <v/>
      </c>
      <c r="E53" s="15">
        <f>IF(OR($A53="",E$4=""),"",IF(AND(E$4="小型船舶2級",(COUNTIFS('資格研修記録'!$A$5:$A$1004,$A53,'資格研修記録'!$D$5:$D$1004,"小型船舶1級",'資格研修記録'!$F$5:$F$1004,"")+COUNTIFS('資格研修記録'!$A$5:$A$1004,$A53,'資格研修記録'!$D$5:$D$1004,"小型船舶1級",'資格研修記録'!$F$5:$F$1004,"&gt;="&amp;TODAY()))&gt;0),"1級に含む",IF(COUNTIFS('資格研修記録'!$A$5:$A$1004,$A53,'資格研修記録'!$D$5:$D$1004,E$4)=0,"—",IF(COUNTIFS('資格研修記録'!$A$5:$A$1004,$A53,'資格研修記録'!$D$5:$D$1004,E$4,'資格研修記録'!$F$5:$F$1004,"")+COUNTIFS('資格研修記録'!$A$5:$A$1004,$A53,'資格研修記録'!$D$5:$D$1004,E$4,'資格研修記録'!$F$5:$F$1004,"&gt;="&amp;TODAY())&gt;0,"○","× 期限切れ"))))</f>
        <v/>
      </c>
      <c r="F53" s="15">
        <f>IF(OR($A53="",F$4=""),"",IF(AND(F$4="小型船舶2級",(COUNTIFS('資格研修記録'!$A$5:$A$1004,$A53,'資格研修記録'!$D$5:$D$1004,"小型船舶1級",'資格研修記録'!$F$5:$F$1004,"")+COUNTIFS('資格研修記録'!$A$5:$A$1004,$A53,'資格研修記録'!$D$5:$D$1004,"小型船舶1級",'資格研修記録'!$F$5:$F$1004,"&gt;="&amp;TODAY()))&gt;0),"1級に含む",IF(COUNTIFS('資格研修記録'!$A$5:$A$1004,$A53,'資格研修記録'!$D$5:$D$1004,F$4)=0,"—",IF(COUNTIFS('資格研修記録'!$A$5:$A$1004,$A53,'資格研修記録'!$D$5:$D$1004,F$4,'資格研修記録'!$F$5:$F$1004,"")+COUNTIFS('資格研修記録'!$A$5:$A$1004,$A53,'資格研修記録'!$D$5:$D$1004,F$4,'資格研修記録'!$F$5:$F$1004,"&gt;="&amp;TODAY())&gt;0,"○","× 期限切れ"))))</f>
        <v/>
      </c>
      <c r="G53" s="15">
        <f>IF(OR($A53="",G$4=""),"",IF(AND(G$4="小型船舶2級",(COUNTIFS('資格研修記録'!$A$5:$A$1004,$A53,'資格研修記録'!$D$5:$D$1004,"小型船舶1級",'資格研修記録'!$F$5:$F$1004,"")+COUNTIFS('資格研修記録'!$A$5:$A$1004,$A53,'資格研修記録'!$D$5:$D$1004,"小型船舶1級",'資格研修記録'!$F$5:$F$1004,"&gt;="&amp;TODAY()))&gt;0),"1級に含む",IF(COUNTIFS('資格研修記録'!$A$5:$A$1004,$A53,'資格研修記録'!$D$5:$D$1004,G$4)=0,"—",IF(COUNTIFS('資格研修記録'!$A$5:$A$1004,$A53,'資格研修記録'!$D$5:$D$1004,G$4,'資格研修記録'!$F$5:$F$1004,"")+COUNTIFS('資格研修記録'!$A$5:$A$1004,$A53,'資格研修記録'!$D$5:$D$1004,G$4,'資格研修記録'!$F$5:$F$1004,"&gt;="&amp;TODAY())&gt;0,"○","× 期限切れ"))))</f>
        <v/>
      </c>
      <c r="H53" s="15">
        <f>IF(OR($A53="",H$4=""),"",IF(AND(H$4="小型船舶2級",(COUNTIFS('資格研修記録'!$A$5:$A$1004,$A53,'資格研修記録'!$D$5:$D$1004,"小型船舶1級",'資格研修記録'!$F$5:$F$1004,"")+COUNTIFS('資格研修記録'!$A$5:$A$1004,$A53,'資格研修記録'!$D$5:$D$1004,"小型船舶1級",'資格研修記録'!$F$5:$F$1004,"&gt;="&amp;TODAY()))&gt;0),"1級に含む",IF(COUNTIFS('資格研修記録'!$A$5:$A$1004,$A53,'資格研修記録'!$D$5:$D$1004,H$4)=0,"—",IF(COUNTIFS('資格研修記録'!$A$5:$A$1004,$A53,'資格研修記録'!$D$5:$D$1004,H$4,'資格研修記録'!$F$5:$F$1004,"")+COUNTIFS('資格研修記録'!$A$5:$A$1004,$A53,'資格研修記録'!$D$5:$D$1004,H$4,'資格研修記録'!$F$5:$F$1004,"&gt;="&amp;TODAY())&gt;0,"○","× 期限切れ"))))</f>
        <v/>
      </c>
      <c r="I53" s="15">
        <f>IF(OR($A53="",I$4=""),"",IF(AND(I$4="小型船舶2級",(COUNTIFS('資格研修記録'!$A$5:$A$1004,$A53,'資格研修記録'!$D$5:$D$1004,"小型船舶1級",'資格研修記録'!$F$5:$F$1004,"")+COUNTIFS('資格研修記録'!$A$5:$A$1004,$A53,'資格研修記録'!$D$5:$D$1004,"小型船舶1級",'資格研修記録'!$F$5:$F$1004,"&gt;="&amp;TODAY()))&gt;0),"1級に含む",IF(COUNTIFS('資格研修記録'!$A$5:$A$1004,$A53,'資格研修記録'!$D$5:$D$1004,I$4)=0,"—",IF(COUNTIFS('資格研修記録'!$A$5:$A$1004,$A53,'資格研修記録'!$D$5:$D$1004,I$4,'資格研修記録'!$F$5:$F$1004,"")+COUNTIFS('資格研修記録'!$A$5:$A$1004,$A53,'資格研修記録'!$D$5:$D$1004,I$4,'資格研修記録'!$F$5:$F$1004,"&gt;="&amp;TODAY())&gt;0,"○","× 期限切れ"))))</f>
        <v/>
      </c>
      <c r="J53" s="15">
        <f>IF(OR($A53="",J$4=""),"",IF(AND(J$4="小型船舶2級",(COUNTIFS('資格研修記録'!$A$5:$A$1004,$A53,'資格研修記録'!$D$5:$D$1004,"小型船舶1級",'資格研修記録'!$F$5:$F$1004,"")+COUNTIFS('資格研修記録'!$A$5:$A$1004,$A53,'資格研修記録'!$D$5:$D$1004,"小型船舶1級",'資格研修記録'!$F$5:$F$1004,"&gt;="&amp;TODAY()))&gt;0),"1級に含む",IF(COUNTIFS('資格研修記録'!$A$5:$A$1004,$A53,'資格研修記録'!$D$5:$D$1004,J$4)=0,"—",IF(COUNTIFS('資格研修記録'!$A$5:$A$1004,$A53,'資格研修記録'!$D$5:$D$1004,J$4,'資格研修記録'!$F$5:$F$1004,"")+COUNTIFS('資格研修記録'!$A$5:$A$1004,$A53,'資格研修記録'!$D$5:$D$1004,J$4,'資格研修記録'!$F$5:$F$1004,"&gt;="&amp;TODAY())&gt;0,"○","× 期限切れ"))))</f>
        <v/>
      </c>
      <c r="K53" s="15">
        <f>IF(OR($A53="",K$4=""),"",IF(AND(K$4="小型船舶2級",(COUNTIFS('資格研修記録'!$A$5:$A$1004,$A53,'資格研修記録'!$D$5:$D$1004,"小型船舶1級",'資格研修記録'!$F$5:$F$1004,"")+COUNTIFS('資格研修記録'!$A$5:$A$1004,$A53,'資格研修記録'!$D$5:$D$1004,"小型船舶1級",'資格研修記録'!$F$5:$F$1004,"&gt;="&amp;TODAY()))&gt;0),"1級に含む",IF(COUNTIFS('資格研修記録'!$A$5:$A$1004,$A53,'資格研修記録'!$D$5:$D$1004,K$4)=0,"—",IF(COUNTIFS('資格研修記録'!$A$5:$A$1004,$A53,'資格研修記録'!$D$5:$D$1004,K$4,'資格研修記録'!$F$5:$F$1004,"")+COUNTIFS('資格研修記録'!$A$5:$A$1004,$A53,'資格研修記録'!$D$5:$D$1004,K$4,'資格研修記録'!$F$5:$F$1004,"&gt;="&amp;TODAY())&gt;0,"○","× 期限切れ"))))</f>
        <v/>
      </c>
      <c r="L53" s="15">
        <f>IF(OR($A53="",L$4=""),"",IF(AND(L$4="小型船舶2級",(COUNTIFS('資格研修記録'!$A$5:$A$1004,$A53,'資格研修記録'!$D$5:$D$1004,"小型船舶1級",'資格研修記録'!$F$5:$F$1004,"")+COUNTIFS('資格研修記録'!$A$5:$A$1004,$A53,'資格研修記録'!$D$5:$D$1004,"小型船舶1級",'資格研修記録'!$F$5:$F$1004,"&gt;="&amp;TODAY()))&gt;0),"1級に含む",IF(COUNTIFS('資格研修記録'!$A$5:$A$1004,$A53,'資格研修記録'!$D$5:$D$1004,L$4)=0,"—",IF(COUNTIFS('資格研修記録'!$A$5:$A$1004,$A53,'資格研修記録'!$D$5:$D$1004,L$4,'資格研修記録'!$F$5:$F$1004,"")+COUNTIFS('資格研修記録'!$A$5:$A$1004,$A53,'資格研修記録'!$D$5:$D$1004,L$4,'資格研修記録'!$F$5:$F$1004,"&gt;="&amp;TODAY())&gt;0,"○","× 期限切れ"))))</f>
        <v/>
      </c>
    </row>
    <row r="54">
      <c r="A54" s="14">
        <f>IF('隊員マスタ'!A54="","",'隊員マスタ'!A54)</f>
        <v/>
      </c>
      <c r="B54" s="14">
        <f>IF(A54="","",'隊員マスタ'!B54)</f>
        <v/>
      </c>
      <c r="C54" s="14">
        <f>IF(A54="","",'隊員マスタ'!C54)</f>
        <v/>
      </c>
      <c r="D54" s="15">
        <f>IF(A54="","",'隊員マスタ'!D54)</f>
        <v/>
      </c>
      <c r="E54" s="15">
        <f>IF(OR($A54="",E$4=""),"",IF(AND(E$4="小型船舶2級",(COUNTIFS('資格研修記録'!$A$5:$A$1004,$A54,'資格研修記録'!$D$5:$D$1004,"小型船舶1級",'資格研修記録'!$F$5:$F$1004,"")+COUNTIFS('資格研修記録'!$A$5:$A$1004,$A54,'資格研修記録'!$D$5:$D$1004,"小型船舶1級",'資格研修記録'!$F$5:$F$1004,"&gt;="&amp;TODAY()))&gt;0),"1級に含む",IF(COUNTIFS('資格研修記録'!$A$5:$A$1004,$A54,'資格研修記録'!$D$5:$D$1004,E$4)=0,"—",IF(COUNTIFS('資格研修記録'!$A$5:$A$1004,$A54,'資格研修記録'!$D$5:$D$1004,E$4,'資格研修記録'!$F$5:$F$1004,"")+COUNTIFS('資格研修記録'!$A$5:$A$1004,$A54,'資格研修記録'!$D$5:$D$1004,E$4,'資格研修記録'!$F$5:$F$1004,"&gt;="&amp;TODAY())&gt;0,"○","× 期限切れ"))))</f>
        <v/>
      </c>
      <c r="F54" s="15">
        <f>IF(OR($A54="",F$4=""),"",IF(AND(F$4="小型船舶2級",(COUNTIFS('資格研修記録'!$A$5:$A$1004,$A54,'資格研修記録'!$D$5:$D$1004,"小型船舶1級",'資格研修記録'!$F$5:$F$1004,"")+COUNTIFS('資格研修記録'!$A$5:$A$1004,$A54,'資格研修記録'!$D$5:$D$1004,"小型船舶1級",'資格研修記録'!$F$5:$F$1004,"&gt;="&amp;TODAY()))&gt;0),"1級に含む",IF(COUNTIFS('資格研修記録'!$A$5:$A$1004,$A54,'資格研修記録'!$D$5:$D$1004,F$4)=0,"—",IF(COUNTIFS('資格研修記録'!$A$5:$A$1004,$A54,'資格研修記録'!$D$5:$D$1004,F$4,'資格研修記録'!$F$5:$F$1004,"")+COUNTIFS('資格研修記録'!$A$5:$A$1004,$A54,'資格研修記録'!$D$5:$D$1004,F$4,'資格研修記録'!$F$5:$F$1004,"&gt;="&amp;TODAY())&gt;0,"○","× 期限切れ"))))</f>
        <v/>
      </c>
      <c r="G54" s="15">
        <f>IF(OR($A54="",G$4=""),"",IF(AND(G$4="小型船舶2級",(COUNTIFS('資格研修記録'!$A$5:$A$1004,$A54,'資格研修記録'!$D$5:$D$1004,"小型船舶1級",'資格研修記録'!$F$5:$F$1004,"")+COUNTIFS('資格研修記録'!$A$5:$A$1004,$A54,'資格研修記録'!$D$5:$D$1004,"小型船舶1級",'資格研修記録'!$F$5:$F$1004,"&gt;="&amp;TODAY()))&gt;0),"1級に含む",IF(COUNTIFS('資格研修記録'!$A$5:$A$1004,$A54,'資格研修記録'!$D$5:$D$1004,G$4)=0,"—",IF(COUNTIFS('資格研修記録'!$A$5:$A$1004,$A54,'資格研修記録'!$D$5:$D$1004,G$4,'資格研修記録'!$F$5:$F$1004,"")+COUNTIFS('資格研修記録'!$A$5:$A$1004,$A54,'資格研修記録'!$D$5:$D$1004,G$4,'資格研修記録'!$F$5:$F$1004,"&gt;="&amp;TODAY())&gt;0,"○","× 期限切れ"))))</f>
        <v/>
      </c>
      <c r="H54" s="15">
        <f>IF(OR($A54="",H$4=""),"",IF(AND(H$4="小型船舶2級",(COUNTIFS('資格研修記録'!$A$5:$A$1004,$A54,'資格研修記録'!$D$5:$D$1004,"小型船舶1級",'資格研修記録'!$F$5:$F$1004,"")+COUNTIFS('資格研修記録'!$A$5:$A$1004,$A54,'資格研修記録'!$D$5:$D$1004,"小型船舶1級",'資格研修記録'!$F$5:$F$1004,"&gt;="&amp;TODAY()))&gt;0),"1級に含む",IF(COUNTIFS('資格研修記録'!$A$5:$A$1004,$A54,'資格研修記録'!$D$5:$D$1004,H$4)=0,"—",IF(COUNTIFS('資格研修記録'!$A$5:$A$1004,$A54,'資格研修記録'!$D$5:$D$1004,H$4,'資格研修記録'!$F$5:$F$1004,"")+COUNTIFS('資格研修記録'!$A$5:$A$1004,$A54,'資格研修記録'!$D$5:$D$1004,H$4,'資格研修記録'!$F$5:$F$1004,"&gt;="&amp;TODAY())&gt;0,"○","× 期限切れ"))))</f>
        <v/>
      </c>
      <c r="I54" s="15">
        <f>IF(OR($A54="",I$4=""),"",IF(AND(I$4="小型船舶2級",(COUNTIFS('資格研修記録'!$A$5:$A$1004,$A54,'資格研修記録'!$D$5:$D$1004,"小型船舶1級",'資格研修記録'!$F$5:$F$1004,"")+COUNTIFS('資格研修記録'!$A$5:$A$1004,$A54,'資格研修記録'!$D$5:$D$1004,"小型船舶1級",'資格研修記録'!$F$5:$F$1004,"&gt;="&amp;TODAY()))&gt;0),"1級に含む",IF(COUNTIFS('資格研修記録'!$A$5:$A$1004,$A54,'資格研修記録'!$D$5:$D$1004,I$4)=0,"—",IF(COUNTIFS('資格研修記録'!$A$5:$A$1004,$A54,'資格研修記録'!$D$5:$D$1004,I$4,'資格研修記録'!$F$5:$F$1004,"")+COUNTIFS('資格研修記録'!$A$5:$A$1004,$A54,'資格研修記録'!$D$5:$D$1004,I$4,'資格研修記録'!$F$5:$F$1004,"&gt;="&amp;TODAY())&gt;0,"○","× 期限切れ"))))</f>
        <v/>
      </c>
      <c r="J54" s="15">
        <f>IF(OR($A54="",J$4=""),"",IF(AND(J$4="小型船舶2級",(COUNTIFS('資格研修記録'!$A$5:$A$1004,$A54,'資格研修記録'!$D$5:$D$1004,"小型船舶1級",'資格研修記録'!$F$5:$F$1004,"")+COUNTIFS('資格研修記録'!$A$5:$A$1004,$A54,'資格研修記録'!$D$5:$D$1004,"小型船舶1級",'資格研修記録'!$F$5:$F$1004,"&gt;="&amp;TODAY()))&gt;0),"1級に含む",IF(COUNTIFS('資格研修記録'!$A$5:$A$1004,$A54,'資格研修記録'!$D$5:$D$1004,J$4)=0,"—",IF(COUNTIFS('資格研修記録'!$A$5:$A$1004,$A54,'資格研修記録'!$D$5:$D$1004,J$4,'資格研修記録'!$F$5:$F$1004,"")+COUNTIFS('資格研修記録'!$A$5:$A$1004,$A54,'資格研修記録'!$D$5:$D$1004,J$4,'資格研修記録'!$F$5:$F$1004,"&gt;="&amp;TODAY())&gt;0,"○","× 期限切れ"))))</f>
        <v/>
      </c>
      <c r="K54" s="15">
        <f>IF(OR($A54="",K$4=""),"",IF(AND(K$4="小型船舶2級",(COUNTIFS('資格研修記録'!$A$5:$A$1004,$A54,'資格研修記録'!$D$5:$D$1004,"小型船舶1級",'資格研修記録'!$F$5:$F$1004,"")+COUNTIFS('資格研修記録'!$A$5:$A$1004,$A54,'資格研修記録'!$D$5:$D$1004,"小型船舶1級",'資格研修記録'!$F$5:$F$1004,"&gt;="&amp;TODAY()))&gt;0),"1級に含む",IF(COUNTIFS('資格研修記録'!$A$5:$A$1004,$A54,'資格研修記録'!$D$5:$D$1004,K$4)=0,"—",IF(COUNTIFS('資格研修記録'!$A$5:$A$1004,$A54,'資格研修記録'!$D$5:$D$1004,K$4,'資格研修記録'!$F$5:$F$1004,"")+COUNTIFS('資格研修記録'!$A$5:$A$1004,$A54,'資格研修記録'!$D$5:$D$1004,K$4,'資格研修記録'!$F$5:$F$1004,"&gt;="&amp;TODAY())&gt;0,"○","× 期限切れ"))))</f>
        <v/>
      </c>
      <c r="L54" s="15">
        <f>IF(OR($A54="",L$4=""),"",IF(AND(L$4="小型船舶2級",(COUNTIFS('資格研修記録'!$A$5:$A$1004,$A54,'資格研修記録'!$D$5:$D$1004,"小型船舶1級",'資格研修記録'!$F$5:$F$1004,"")+COUNTIFS('資格研修記録'!$A$5:$A$1004,$A54,'資格研修記録'!$D$5:$D$1004,"小型船舶1級",'資格研修記録'!$F$5:$F$1004,"&gt;="&amp;TODAY()))&gt;0),"1級に含む",IF(COUNTIFS('資格研修記録'!$A$5:$A$1004,$A54,'資格研修記録'!$D$5:$D$1004,L$4)=0,"—",IF(COUNTIFS('資格研修記録'!$A$5:$A$1004,$A54,'資格研修記録'!$D$5:$D$1004,L$4,'資格研修記録'!$F$5:$F$1004,"")+COUNTIFS('資格研修記録'!$A$5:$A$1004,$A54,'資格研修記録'!$D$5:$D$1004,L$4,'資格研修記録'!$F$5:$F$1004,"&gt;="&amp;TODAY())&gt;0,"○","× 期限切れ"))))</f>
        <v/>
      </c>
    </row>
    <row r="55">
      <c r="A55" s="14">
        <f>IF('隊員マスタ'!A55="","",'隊員マスタ'!A55)</f>
        <v/>
      </c>
      <c r="B55" s="14">
        <f>IF(A55="","",'隊員マスタ'!B55)</f>
        <v/>
      </c>
      <c r="C55" s="14">
        <f>IF(A55="","",'隊員マスタ'!C55)</f>
        <v/>
      </c>
      <c r="D55" s="15">
        <f>IF(A55="","",'隊員マスタ'!D55)</f>
        <v/>
      </c>
      <c r="E55" s="15">
        <f>IF(OR($A55="",E$4=""),"",IF(AND(E$4="小型船舶2級",(COUNTIFS('資格研修記録'!$A$5:$A$1004,$A55,'資格研修記録'!$D$5:$D$1004,"小型船舶1級",'資格研修記録'!$F$5:$F$1004,"")+COUNTIFS('資格研修記録'!$A$5:$A$1004,$A55,'資格研修記録'!$D$5:$D$1004,"小型船舶1級",'資格研修記録'!$F$5:$F$1004,"&gt;="&amp;TODAY()))&gt;0),"1級に含む",IF(COUNTIFS('資格研修記録'!$A$5:$A$1004,$A55,'資格研修記録'!$D$5:$D$1004,E$4)=0,"—",IF(COUNTIFS('資格研修記録'!$A$5:$A$1004,$A55,'資格研修記録'!$D$5:$D$1004,E$4,'資格研修記録'!$F$5:$F$1004,"")+COUNTIFS('資格研修記録'!$A$5:$A$1004,$A55,'資格研修記録'!$D$5:$D$1004,E$4,'資格研修記録'!$F$5:$F$1004,"&gt;="&amp;TODAY())&gt;0,"○","× 期限切れ"))))</f>
        <v/>
      </c>
      <c r="F55" s="15">
        <f>IF(OR($A55="",F$4=""),"",IF(AND(F$4="小型船舶2級",(COUNTIFS('資格研修記録'!$A$5:$A$1004,$A55,'資格研修記録'!$D$5:$D$1004,"小型船舶1級",'資格研修記録'!$F$5:$F$1004,"")+COUNTIFS('資格研修記録'!$A$5:$A$1004,$A55,'資格研修記録'!$D$5:$D$1004,"小型船舶1級",'資格研修記録'!$F$5:$F$1004,"&gt;="&amp;TODAY()))&gt;0),"1級に含む",IF(COUNTIFS('資格研修記録'!$A$5:$A$1004,$A55,'資格研修記録'!$D$5:$D$1004,F$4)=0,"—",IF(COUNTIFS('資格研修記録'!$A$5:$A$1004,$A55,'資格研修記録'!$D$5:$D$1004,F$4,'資格研修記録'!$F$5:$F$1004,"")+COUNTIFS('資格研修記録'!$A$5:$A$1004,$A55,'資格研修記録'!$D$5:$D$1004,F$4,'資格研修記録'!$F$5:$F$1004,"&gt;="&amp;TODAY())&gt;0,"○","× 期限切れ"))))</f>
        <v/>
      </c>
      <c r="G55" s="15">
        <f>IF(OR($A55="",G$4=""),"",IF(AND(G$4="小型船舶2級",(COUNTIFS('資格研修記録'!$A$5:$A$1004,$A55,'資格研修記録'!$D$5:$D$1004,"小型船舶1級",'資格研修記録'!$F$5:$F$1004,"")+COUNTIFS('資格研修記録'!$A$5:$A$1004,$A55,'資格研修記録'!$D$5:$D$1004,"小型船舶1級",'資格研修記録'!$F$5:$F$1004,"&gt;="&amp;TODAY()))&gt;0),"1級に含む",IF(COUNTIFS('資格研修記録'!$A$5:$A$1004,$A55,'資格研修記録'!$D$5:$D$1004,G$4)=0,"—",IF(COUNTIFS('資格研修記録'!$A$5:$A$1004,$A55,'資格研修記録'!$D$5:$D$1004,G$4,'資格研修記録'!$F$5:$F$1004,"")+COUNTIFS('資格研修記録'!$A$5:$A$1004,$A55,'資格研修記録'!$D$5:$D$1004,G$4,'資格研修記録'!$F$5:$F$1004,"&gt;="&amp;TODAY())&gt;0,"○","× 期限切れ"))))</f>
        <v/>
      </c>
      <c r="H55" s="15">
        <f>IF(OR($A55="",H$4=""),"",IF(AND(H$4="小型船舶2級",(COUNTIFS('資格研修記録'!$A$5:$A$1004,$A55,'資格研修記録'!$D$5:$D$1004,"小型船舶1級",'資格研修記録'!$F$5:$F$1004,"")+COUNTIFS('資格研修記録'!$A$5:$A$1004,$A55,'資格研修記録'!$D$5:$D$1004,"小型船舶1級",'資格研修記録'!$F$5:$F$1004,"&gt;="&amp;TODAY()))&gt;0),"1級に含む",IF(COUNTIFS('資格研修記録'!$A$5:$A$1004,$A55,'資格研修記録'!$D$5:$D$1004,H$4)=0,"—",IF(COUNTIFS('資格研修記録'!$A$5:$A$1004,$A55,'資格研修記録'!$D$5:$D$1004,H$4,'資格研修記録'!$F$5:$F$1004,"")+COUNTIFS('資格研修記録'!$A$5:$A$1004,$A55,'資格研修記録'!$D$5:$D$1004,H$4,'資格研修記録'!$F$5:$F$1004,"&gt;="&amp;TODAY())&gt;0,"○","× 期限切れ"))))</f>
        <v/>
      </c>
      <c r="I55" s="15">
        <f>IF(OR($A55="",I$4=""),"",IF(AND(I$4="小型船舶2級",(COUNTIFS('資格研修記録'!$A$5:$A$1004,$A55,'資格研修記録'!$D$5:$D$1004,"小型船舶1級",'資格研修記録'!$F$5:$F$1004,"")+COUNTIFS('資格研修記録'!$A$5:$A$1004,$A55,'資格研修記録'!$D$5:$D$1004,"小型船舶1級",'資格研修記録'!$F$5:$F$1004,"&gt;="&amp;TODAY()))&gt;0),"1級に含む",IF(COUNTIFS('資格研修記録'!$A$5:$A$1004,$A55,'資格研修記録'!$D$5:$D$1004,I$4)=0,"—",IF(COUNTIFS('資格研修記録'!$A$5:$A$1004,$A55,'資格研修記録'!$D$5:$D$1004,I$4,'資格研修記録'!$F$5:$F$1004,"")+COUNTIFS('資格研修記録'!$A$5:$A$1004,$A55,'資格研修記録'!$D$5:$D$1004,I$4,'資格研修記録'!$F$5:$F$1004,"&gt;="&amp;TODAY())&gt;0,"○","× 期限切れ"))))</f>
        <v/>
      </c>
      <c r="J55" s="15">
        <f>IF(OR($A55="",J$4=""),"",IF(AND(J$4="小型船舶2級",(COUNTIFS('資格研修記録'!$A$5:$A$1004,$A55,'資格研修記録'!$D$5:$D$1004,"小型船舶1級",'資格研修記録'!$F$5:$F$1004,"")+COUNTIFS('資格研修記録'!$A$5:$A$1004,$A55,'資格研修記録'!$D$5:$D$1004,"小型船舶1級",'資格研修記録'!$F$5:$F$1004,"&gt;="&amp;TODAY()))&gt;0),"1級に含む",IF(COUNTIFS('資格研修記録'!$A$5:$A$1004,$A55,'資格研修記録'!$D$5:$D$1004,J$4)=0,"—",IF(COUNTIFS('資格研修記録'!$A$5:$A$1004,$A55,'資格研修記録'!$D$5:$D$1004,J$4,'資格研修記録'!$F$5:$F$1004,"")+COUNTIFS('資格研修記録'!$A$5:$A$1004,$A55,'資格研修記録'!$D$5:$D$1004,J$4,'資格研修記録'!$F$5:$F$1004,"&gt;="&amp;TODAY())&gt;0,"○","× 期限切れ"))))</f>
        <v/>
      </c>
      <c r="K55" s="15">
        <f>IF(OR($A55="",K$4=""),"",IF(AND(K$4="小型船舶2級",(COUNTIFS('資格研修記録'!$A$5:$A$1004,$A55,'資格研修記録'!$D$5:$D$1004,"小型船舶1級",'資格研修記録'!$F$5:$F$1004,"")+COUNTIFS('資格研修記録'!$A$5:$A$1004,$A55,'資格研修記録'!$D$5:$D$1004,"小型船舶1級",'資格研修記録'!$F$5:$F$1004,"&gt;="&amp;TODAY()))&gt;0),"1級に含む",IF(COUNTIFS('資格研修記録'!$A$5:$A$1004,$A55,'資格研修記録'!$D$5:$D$1004,K$4)=0,"—",IF(COUNTIFS('資格研修記録'!$A$5:$A$1004,$A55,'資格研修記録'!$D$5:$D$1004,K$4,'資格研修記録'!$F$5:$F$1004,"")+COUNTIFS('資格研修記録'!$A$5:$A$1004,$A55,'資格研修記録'!$D$5:$D$1004,K$4,'資格研修記録'!$F$5:$F$1004,"&gt;="&amp;TODAY())&gt;0,"○","× 期限切れ"))))</f>
        <v/>
      </c>
      <c r="L55" s="15">
        <f>IF(OR($A55="",L$4=""),"",IF(AND(L$4="小型船舶2級",(COUNTIFS('資格研修記録'!$A$5:$A$1004,$A55,'資格研修記録'!$D$5:$D$1004,"小型船舶1級",'資格研修記録'!$F$5:$F$1004,"")+COUNTIFS('資格研修記録'!$A$5:$A$1004,$A55,'資格研修記録'!$D$5:$D$1004,"小型船舶1級",'資格研修記録'!$F$5:$F$1004,"&gt;="&amp;TODAY()))&gt;0),"1級に含む",IF(COUNTIFS('資格研修記録'!$A$5:$A$1004,$A55,'資格研修記録'!$D$5:$D$1004,L$4)=0,"—",IF(COUNTIFS('資格研修記録'!$A$5:$A$1004,$A55,'資格研修記録'!$D$5:$D$1004,L$4,'資格研修記録'!$F$5:$F$1004,"")+COUNTIFS('資格研修記録'!$A$5:$A$1004,$A55,'資格研修記録'!$D$5:$D$1004,L$4,'資格研修記録'!$F$5:$F$1004,"&gt;="&amp;TODAY())&gt;0,"○","× 期限切れ"))))</f>
        <v/>
      </c>
    </row>
    <row r="56">
      <c r="A56" s="14">
        <f>IF('隊員マスタ'!A56="","",'隊員マスタ'!A56)</f>
        <v/>
      </c>
      <c r="B56" s="14">
        <f>IF(A56="","",'隊員マスタ'!B56)</f>
        <v/>
      </c>
      <c r="C56" s="14">
        <f>IF(A56="","",'隊員マスタ'!C56)</f>
        <v/>
      </c>
      <c r="D56" s="15">
        <f>IF(A56="","",'隊員マスタ'!D56)</f>
        <v/>
      </c>
      <c r="E56" s="15">
        <f>IF(OR($A56="",E$4=""),"",IF(AND(E$4="小型船舶2級",(COUNTIFS('資格研修記録'!$A$5:$A$1004,$A56,'資格研修記録'!$D$5:$D$1004,"小型船舶1級",'資格研修記録'!$F$5:$F$1004,"")+COUNTIFS('資格研修記録'!$A$5:$A$1004,$A56,'資格研修記録'!$D$5:$D$1004,"小型船舶1級",'資格研修記録'!$F$5:$F$1004,"&gt;="&amp;TODAY()))&gt;0),"1級に含む",IF(COUNTIFS('資格研修記録'!$A$5:$A$1004,$A56,'資格研修記録'!$D$5:$D$1004,E$4)=0,"—",IF(COUNTIFS('資格研修記録'!$A$5:$A$1004,$A56,'資格研修記録'!$D$5:$D$1004,E$4,'資格研修記録'!$F$5:$F$1004,"")+COUNTIFS('資格研修記録'!$A$5:$A$1004,$A56,'資格研修記録'!$D$5:$D$1004,E$4,'資格研修記録'!$F$5:$F$1004,"&gt;="&amp;TODAY())&gt;0,"○","× 期限切れ"))))</f>
        <v/>
      </c>
      <c r="F56" s="15">
        <f>IF(OR($A56="",F$4=""),"",IF(AND(F$4="小型船舶2級",(COUNTIFS('資格研修記録'!$A$5:$A$1004,$A56,'資格研修記録'!$D$5:$D$1004,"小型船舶1級",'資格研修記録'!$F$5:$F$1004,"")+COUNTIFS('資格研修記録'!$A$5:$A$1004,$A56,'資格研修記録'!$D$5:$D$1004,"小型船舶1級",'資格研修記録'!$F$5:$F$1004,"&gt;="&amp;TODAY()))&gt;0),"1級に含む",IF(COUNTIFS('資格研修記録'!$A$5:$A$1004,$A56,'資格研修記録'!$D$5:$D$1004,F$4)=0,"—",IF(COUNTIFS('資格研修記録'!$A$5:$A$1004,$A56,'資格研修記録'!$D$5:$D$1004,F$4,'資格研修記録'!$F$5:$F$1004,"")+COUNTIFS('資格研修記録'!$A$5:$A$1004,$A56,'資格研修記録'!$D$5:$D$1004,F$4,'資格研修記録'!$F$5:$F$1004,"&gt;="&amp;TODAY())&gt;0,"○","× 期限切れ"))))</f>
        <v/>
      </c>
      <c r="G56" s="15">
        <f>IF(OR($A56="",G$4=""),"",IF(AND(G$4="小型船舶2級",(COUNTIFS('資格研修記録'!$A$5:$A$1004,$A56,'資格研修記録'!$D$5:$D$1004,"小型船舶1級",'資格研修記録'!$F$5:$F$1004,"")+COUNTIFS('資格研修記録'!$A$5:$A$1004,$A56,'資格研修記録'!$D$5:$D$1004,"小型船舶1級",'資格研修記録'!$F$5:$F$1004,"&gt;="&amp;TODAY()))&gt;0),"1級に含む",IF(COUNTIFS('資格研修記録'!$A$5:$A$1004,$A56,'資格研修記録'!$D$5:$D$1004,G$4)=0,"—",IF(COUNTIFS('資格研修記録'!$A$5:$A$1004,$A56,'資格研修記録'!$D$5:$D$1004,G$4,'資格研修記録'!$F$5:$F$1004,"")+COUNTIFS('資格研修記録'!$A$5:$A$1004,$A56,'資格研修記録'!$D$5:$D$1004,G$4,'資格研修記録'!$F$5:$F$1004,"&gt;="&amp;TODAY())&gt;0,"○","× 期限切れ"))))</f>
        <v/>
      </c>
      <c r="H56" s="15">
        <f>IF(OR($A56="",H$4=""),"",IF(AND(H$4="小型船舶2級",(COUNTIFS('資格研修記録'!$A$5:$A$1004,$A56,'資格研修記録'!$D$5:$D$1004,"小型船舶1級",'資格研修記録'!$F$5:$F$1004,"")+COUNTIFS('資格研修記録'!$A$5:$A$1004,$A56,'資格研修記録'!$D$5:$D$1004,"小型船舶1級",'資格研修記録'!$F$5:$F$1004,"&gt;="&amp;TODAY()))&gt;0),"1級に含む",IF(COUNTIFS('資格研修記録'!$A$5:$A$1004,$A56,'資格研修記録'!$D$5:$D$1004,H$4)=0,"—",IF(COUNTIFS('資格研修記録'!$A$5:$A$1004,$A56,'資格研修記録'!$D$5:$D$1004,H$4,'資格研修記録'!$F$5:$F$1004,"")+COUNTIFS('資格研修記録'!$A$5:$A$1004,$A56,'資格研修記録'!$D$5:$D$1004,H$4,'資格研修記録'!$F$5:$F$1004,"&gt;="&amp;TODAY())&gt;0,"○","× 期限切れ"))))</f>
        <v/>
      </c>
      <c r="I56" s="15">
        <f>IF(OR($A56="",I$4=""),"",IF(AND(I$4="小型船舶2級",(COUNTIFS('資格研修記録'!$A$5:$A$1004,$A56,'資格研修記録'!$D$5:$D$1004,"小型船舶1級",'資格研修記録'!$F$5:$F$1004,"")+COUNTIFS('資格研修記録'!$A$5:$A$1004,$A56,'資格研修記録'!$D$5:$D$1004,"小型船舶1級",'資格研修記録'!$F$5:$F$1004,"&gt;="&amp;TODAY()))&gt;0),"1級に含む",IF(COUNTIFS('資格研修記録'!$A$5:$A$1004,$A56,'資格研修記録'!$D$5:$D$1004,I$4)=0,"—",IF(COUNTIFS('資格研修記録'!$A$5:$A$1004,$A56,'資格研修記録'!$D$5:$D$1004,I$4,'資格研修記録'!$F$5:$F$1004,"")+COUNTIFS('資格研修記録'!$A$5:$A$1004,$A56,'資格研修記録'!$D$5:$D$1004,I$4,'資格研修記録'!$F$5:$F$1004,"&gt;="&amp;TODAY())&gt;0,"○","× 期限切れ"))))</f>
        <v/>
      </c>
      <c r="J56" s="15">
        <f>IF(OR($A56="",J$4=""),"",IF(AND(J$4="小型船舶2級",(COUNTIFS('資格研修記録'!$A$5:$A$1004,$A56,'資格研修記録'!$D$5:$D$1004,"小型船舶1級",'資格研修記録'!$F$5:$F$1004,"")+COUNTIFS('資格研修記録'!$A$5:$A$1004,$A56,'資格研修記録'!$D$5:$D$1004,"小型船舶1級",'資格研修記録'!$F$5:$F$1004,"&gt;="&amp;TODAY()))&gt;0),"1級に含む",IF(COUNTIFS('資格研修記録'!$A$5:$A$1004,$A56,'資格研修記録'!$D$5:$D$1004,J$4)=0,"—",IF(COUNTIFS('資格研修記録'!$A$5:$A$1004,$A56,'資格研修記録'!$D$5:$D$1004,J$4,'資格研修記録'!$F$5:$F$1004,"")+COUNTIFS('資格研修記録'!$A$5:$A$1004,$A56,'資格研修記録'!$D$5:$D$1004,J$4,'資格研修記録'!$F$5:$F$1004,"&gt;="&amp;TODAY())&gt;0,"○","× 期限切れ"))))</f>
        <v/>
      </c>
      <c r="K56" s="15">
        <f>IF(OR($A56="",K$4=""),"",IF(AND(K$4="小型船舶2級",(COUNTIFS('資格研修記録'!$A$5:$A$1004,$A56,'資格研修記録'!$D$5:$D$1004,"小型船舶1級",'資格研修記録'!$F$5:$F$1004,"")+COUNTIFS('資格研修記録'!$A$5:$A$1004,$A56,'資格研修記録'!$D$5:$D$1004,"小型船舶1級",'資格研修記録'!$F$5:$F$1004,"&gt;="&amp;TODAY()))&gt;0),"1級に含む",IF(COUNTIFS('資格研修記録'!$A$5:$A$1004,$A56,'資格研修記録'!$D$5:$D$1004,K$4)=0,"—",IF(COUNTIFS('資格研修記録'!$A$5:$A$1004,$A56,'資格研修記録'!$D$5:$D$1004,K$4,'資格研修記録'!$F$5:$F$1004,"")+COUNTIFS('資格研修記録'!$A$5:$A$1004,$A56,'資格研修記録'!$D$5:$D$1004,K$4,'資格研修記録'!$F$5:$F$1004,"&gt;="&amp;TODAY())&gt;0,"○","× 期限切れ"))))</f>
        <v/>
      </c>
      <c r="L56" s="15">
        <f>IF(OR($A56="",L$4=""),"",IF(AND(L$4="小型船舶2級",(COUNTIFS('資格研修記録'!$A$5:$A$1004,$A56,'資格研修記録'!$D$5:$D$1004,"小型船舶1級",'資格研修記録'!$F$5:$F$1004,"")+COUNTIFS('資格研修記録'!$A$5:$A$1004,$A56,'資格研修記録'!$D$5:$D$1004,"小型船舶1級",'資格研修記録'!$F$5:$F$1004,"&gt;="&amp;TODAY()))&gt;0),"1級に含む",IF(COUNTIFS('資格研修記録'!$A$5:$A$1004,$A56,'資格研修記録'!$D$5:$D$1004,L$4)=0,"—",IF(COUNTIFS('資格研修記録'!$A$5:$A$1004,$A56,'資格研修記録'!$D$5:$D$1004,L$4,'資格研修記録'!$F$5:$F$1004,"")+COUNTIFS('資格研修記録'!$A$5:$A$1004,$A56,'資格研修記録'!$D$5:$D$1004,L$4,'資格研修記録'!$F$5:$F$1004,"&gt;="&amp;TODAY())&gt;0,"○","× 期限切れ"))))</f>
        <v/>
      </c>
    </row>
    <row r="57">
      <c r="A57" s="14">
        <f>IF('隊員マスタ'!A57="","",'隊員マスタ'!A57)</f>
        <v/>
      </c>
      <c r="B57" s="14">
        <f>IF(A57="","",'隊員マスタ'!B57)</f>
        <v/>
      </c>
      <c r="C57" s="14">
        <f>IF(A57="","",'隊員マスタ'!C57)</f>
        <v/>
      </c>
      <c r="D57" s="15">
        <f>IF(A57="","",'隊員マスタ'!D57)</f>
        <v/>
      </c>
      <c r="E57" s="15">
        <f>IF(OR($A57="",E$4=""),"",IF(AND(E$4="小型船舶2級",(COUNTIFS('資格研修記録'!$A$5:$A$1004,$A57,'資格研修記録'!$D$5:$D$1004,"小型船舶1級",'資格研修記録'!$F$5:$F$1004,"")+COUNTIFS('資格研修記録'!$A$5:$A$1004,$A57,'資格研修記録'!$D$5:$D$1004,"小型船舶1級",'資格研修記録'!$F$5:$F$1004,"&gt;="&amp;TODAY()))&gt;0),"1級に含む",IF(COUNTIFS('資格研修記録'!$A$5:$A$1004,$A57,'資格研修記録'!$D$5:$D$1004,E$4)=0,"—",IF(COUNTIFS('資格研修記録'!$A$5:$A$1004,$A57,'資格研修記録'!$D$5:$D$1004,E$4,'資格研修記録'!$F$5:$F$1004,"")+COUNTIFS('資格研修記録'!$A$5:$A$1004,$A57,'資格研修記録'!$D$5:$D$1004,E$4,'資格研修記録'!$F$5:$F$1004,"&gt;="&amp;TODAY())&gt;0,"○","× 期限切れ"))))</f>
        <v/>
      </c>
      <c r="F57" s="15">
        <f>IF(OR($A57="",F$4=""),"",IF(AND(F$4="小型船舶2級",(COUNTIFS('資格研修記録'!$A$5:$A$1004,$A57,'資格研修記録'!$D$5:$D$1004,"小型船舶1級",'資格研修記録'!$F$5:$F$1004,"")+COUNTIFS('資格研修記録'!$A$5:$A$1004,$A57,'資格研修記録'!$D$5:$D$1004,"小型船舶1級",'資格研修記録'!$F$5:$F$1004,"&gt;="&amp;TODAY()))&gt;0),"1級に含む",IF(COUNTIFS('資格研修記録'!$A$5:$A$1004,$A57,'資格研修記録'!$D$5:$D$1004,F$4)=0,"—",IF(COUNTIFS('資格研修記録'!$A$5:$A$1004,$A57,'資格研修記録'!$D$5:$D$1004,F$4,'資格研修記録'!$F$5:$F$1004,"")+COUNTIFS('資格研修記録'!$A$5:$A$1004,$A57,'資格研修記録'!$D$5:$D$1004,F$4,'資格研修記録'!$F$5:$F$1004,"&gt;="&amp;TODAY())&gt;0,"○","× 期限切れ"))))</f>
        <v/>
      </c>
      <c r="G57" s="15">
        <f>IF(OR($A57="",G$4=""),"",IF(AND(G$4="小型船舶2級",(COUNTIFS('資格研修記録'!$A$5:$A$1004,$A57,'資格研修記録'!$D$5:$D$1004,"小型船舶1級",'資格研修記録'!$F$5:$F$1004,"")+COUNTIFS('資格研修記録'!$A$5:$A$1004,$A57,'資格研修記録'!$D$5:$D$1004,"小型船舶1級",'資格研修記録'!$F$5:$F$1004,"&gt;="&amp;TODAY()))&gt;0),"1級に含む",IF(COUNTIFS('資格研修記録'!$A$5:$A$1004,$A57,'資格研修記録'!$D$5:$D$1004,G$4)=0,"—",IF(COUNTIFS('資格研修記録'!$A$5:$A$1004,$A57,'資格研修記録'!$D$5:$D$1004,G$4,'資格研修記録'!$F$5:$F$1004,"")+COUNTIFS('資格研修記録'!$A$5:$A$1004,$A57,'資格研修記録'!$D$5:$D$1004,G$4,'資格研修記録'!$F$5:$F$1004,"&gt;="&amp;TODAY())&gt;0,"○","× 期限切れ"))))</f>
        <v/>
      </c>
      <c r="H57" s="15">
        <f>IF(OR($A57="",H$4=""),"",IF(AND(H$4="小型船舶2級",(COUNTIFS('資格研修記録'!$A$5:$A$1004,$A57,'資格研修記録'!$D$5:$D$1004,"小型船舶1級",'資格研修記録'!$F$5:$F$1004,"")+COUNTIFS('資格研修記録'!$A$5:$A$1004,$A57,'資格研修記録'!$D$5:$D$1004,"小型船舶1級",'資格研修記録'!$F$5:$F$1004,"&gt;="&amp;TODAY()))&gt;0),"1級に含む",IF(COUNTIFS('資格研修記録'!$A$5:$A$1004,$A57,'資格研修記録'!$D$5:$D$1004,H$4)=0,"—",IF(COUNTIFS('資格研修記録'!$A$5:$A$1004,$A57,'資格研修記録'!$D$5:$D$1004,H$4,'資格研修記録'!$F$5:$F$1004,"")+COUNTIFS('資格研修記録'!$A$5:$A$1004,$A57,'資格研修記録'!$D$5:$D$1004,H$4,'資格研修記録'!$F$5:$F$1004,"&gt;="&amp;TODAY())&gt;0,"○","× 期限切れ"))))</f>
        <v/>
      </c>
      <c r="I57" s="15">
        <f>IF(OR($A57="",I$4=""),"",IF(AND(I$4="小型船舶2級",(COUNTIFS('資格研修記録'!$A$5:$A$1004,$A57,'資格研修記録'!$D$5:$D$1004,"小型船舶1級",'資格研修記録'!$F$5:$F$1004,"")+COUNTIFS('資格研修記録'!$A$5:$A$1004,$A57,'資格研修記録'!$D$5:$D$1004,"小型船舶1級",'資格研修記録'!$F$5:$F$1004,"&gt;="&amp;TODAY()))&gt;0),"1級に含む",IF(COUNTIFS('資格研修記録'!$A$5:$A$1004,$A57,'資格研修記録'!$D$5:$D$1004,I$4)=0,"—",IF(COUNTIFS('資格研修記録'!$A$5:$A$1004,$A57,'資格研修記録'!$D$5:$D$1004,I$4,'資格研修記録'!$F$5:$F$1004,"")+COUNTIFS('資格研修記録'!$A$5:$A$1004,$A57,'資格研修記録'!$D$5:$D$1004,I$4,'資格研修記録'!$F$5:$F$1004,"&gt;="&amp;TODAY())&gt;0,"○","× 期限切れ"))))</f>
        <v/>
      </c>
      <c r="J57" s="15">
        <f>IF(OR($A57="",J$4=""),"",IF(AND(J$4="小型船舶2級",(COUNTIFS('資格研修記録'!$A$5:$A$1004,$A57,'資格研修記録'!$D$5:$D$1004,"小型船舶1級",'資格研修記録'!$F$5:$F$1004,"")+COUNTIFS('資格研修記録'!$A$5:$A$1004,$A57,'資格研修記録'!$D$5:$D$1004,"小型船舶1級",'資格研修記録'!$F$5:$F$1004,"&gt;="&amp;TODAY()))&gt;0),"1級に含む",IF(COUNTIFS('資格研修記録'!$A$5:$A$1004,$A57,'資格研修記録'!$D$5:$D$1004,J$4)=0,"—",IF(COUNTIFS('資格研修記録'!$A$5:$A$1004,$A57,'資格研修記録'!$D$5:$D$1004,J$4,'資格研修記録'!$F$5:$F$1004,"")+COUNTIFS('資格研修記録'!$A$5:$A$1004,$A57,'資格研修記録'!$D$5:$D$1004,J$4,'資格研修記録'!$F$5:$F$1004,"&gt;="&amp;TODAY())&gt;0,"○","× 期限切れ"))))</f>
        <v/>
      </c>
      <c r="K57" s="15">
        <f>IF(OR($A57="",K$4=""),"",IF(AND(K$4="小型船舶2級",(COUNTIFS('資格研修記録'!$A$5:$A$1004,$A57,'資格研修記録'!$D$5:$D$1004,"小型船舶1級",'資格研修記録'!$F$5:$F$1004,"")+COUNTIFS('資格研修記録'!$A$5:$A$1004,$A57,'資格研修記録'!$D$5:$D$1004,"小型船舶1級",'資格研修記録'!$F$5:$F$1004,"&gt;="&amp;TODAY()))&gt;0),"1級に含む",IF(COUNTIFS('資格研修記録'!$A$5:$A$1004,$A57,'資格研修記録'!$D$5:$D$1004,K$4)=0,"—",IF(COUNTIFS('資格研修記録'!$A$5:$A$1004,$A57,'資格研修記録'!$D$5:$D$1004,K$4,'資格研修記録'!$F$5:$F$1004,"")+COUNTIFS('資格研修記録'!$A$5:$A$1004,$A57,'資格研修記録'!$D$5:$D$1004,K$4,'資格研修記録'!$F$5:$F$1004,"&gt;="&amp;TODAY())&gt;0,"○","× 期限切れ"))))</f>
        <v/>
      </c>
      <c r="L57" s="15">
        <f>IF(OR($A57="",L$4=""),"",IF(AND(L$4="小型船舶2級",(COUNTIFS('資格研修記録'!$A$5:$A$1004,$A57,'資格研修記録'!$D$5:$D$1004,"小型船舶1級",'資格研修記録'!$F$5:$F$1004,"")+COUNTIFS('資格研修記録'!$A$5:$A$1004,$A57,'資格研修記録'!$D$5:$D$1004,"小型船舶1級",'資格研修記録'!$F$5:$F$1004,"&gt;="&amp;TODAY()))&gt;0),"1級に含む",IF(COUNTIFS('資格研修記録'!$A$5:$A$1004,$A57,'資格研修記録'!$D$5:$D$1004,L$4)=0,"—",IF(COUNTIFS('資格研修記録'!$A$5:$A$1004,$A57,'資格研修記録'!$D$5:$D$1004,L$4,'資格研修記録'!$F$5:$F$1004,"")+COUNTIFS('資格研修記録'!$A$5:$A$1004,$A57,'資格研修記録'!$D$5:$D$1004,L$4,'資格研修記録'!$F$5:$F$1004,"&gt;="&amp;TODAY())&gt;0,"○","× 期限切れ"))))</f>
        <v/>
      </c>
    </row>
    <row r="58">
      <c r="A58" s="14">
        <f>IF('隊員マスタ'!A58="","",'隊員マスタ'!A58)</f>
        <v/>
      </c>
      <c r="B58" s="14">
        <f>IF(A58="","",'隊員マスタ'!B58)</f>
        <v/>
      </c>
      <c r="C58" s="14">
        <f>IF(A58="","",'隊員マスタ'!C58)</f>
        <v/>
      </c>
      <c r="D58" s="15">
        <f>IF(A58="","",'隊員マスタ'!D58)</f>
        <v/>
      </c>
      <c r="E58" s="15">
        <f>IF(OR($A58="",E$4=""),"",IF(AND(E$4="小型船舶2級",(COUNTIFS('資格研修記録'!$A$5:$A$1004,$A58,'資格研修記録'!$D$5:$D$1004,"小型船舶1級",'資格研修記録'!$F$5:$F$1004,"")+COUNTIFS('資格研修記録'!$A$5:$A$1004,$A58,'資格研修記録'!$D$5:$D$1004,"小型船舶1級",'資格研修記録'!$F$5:$F$1004,"&gt;="&amp;TODAY()))&gt;0),"1級に含む",IF(COUNTIFS('資格研修記録'!$A$5:$A$1004,$A58,'資格研修記録'!$D$5:$D$1004,E$4)=0,"—",IF(COUNTIFS('資格研修記録'!$A$5:$A$1004,$A58,'資格研修記録'!$D$5:$D$1004,E$4,'資格研修記録'!$F$5:$F$1004,"")+COUNTIFS('資格研修記録'!$A$5:$A$1004,$A58,'資格研修記録'!$D$5:$D$1004,E$4,'資格研修記録'!$F$5:$F$1004,"&gt;="&amp;TODAY())&gt;0,"○","× 期限切れ"))))</f>
        <v/>
      </c>
      <c r="F58" s="15">
        <f>IF(OR($A58="",F$4=""),"",IF(AND(F$4="小型船舶2級",(COUNTIFS('資格研修記録'!$A$5:$A$1004,$A58,'資格研修記録'!$D$5:$D$1004,"小型船舶1級",'資格研修記録'!$F$5:$F$1004,"")+COUNTIFS('資格研修記録'!$A$5:$A$1004,$A58,'資格研修記録'!$D$5:$D$1004,"小型船舶1級",'資格研修記録'!$F$5:$F$1004,"&gt;="&amp;TODAY()))&gt;0),"1級に含む",IF(COUNTIFS('資格研修記録'!$A$5:$A$1004,$A58,'資格研修記録'!$D$5:$D$1004,F$4)=0,"—",IF(COUNTIFS('資格研修記録'!$A$5:$A$1004,$A58,'資格研修記録'!$D$5:$D$1004,F$4,'資格研修記録'!$F$5:$F$1004,"")+COUNTIFS('資格研修記録'!$A$5:$A$1004,$A58,'資格研修記録'!$D$5:$D$1004,F$4,'資格研修記録'!$F$5:$F$1004,"&gt;="&amp;TODAY())&gt;0,"○","× 期限切れ"))))</f>
        <v/>
      </c>
      <c r="G58" s="15">
        <f>IF(OR($A58="",G$4=""),"",IF(AND(G$4="小型船舶2級",(COUNTIFS('資格研修記録'!$A$5:$A$1004,$A58,'資格研修記録'!$D$5:$D$1004,"小型船舶1級",'資格研修記録'!$F$5:$F$1004,"")+COUNTIFS('資格研修記録'!$A$5:$A$1004,$A58,'資格研修記録'!$D$5:$D$1004,"小型船舶1級",'資格研修記録'!$F$5:$F$1004,"&gt;="&amp;TODAY()))&gt;0),"1級に含む",IF(COUNTIFS('資格研修記録'!$A$5:$A$1004,$A58,'資格研修記録'!$D$5:$D$1004,G$4)=0,"—",IF(COUNTIFS('資格研修記録'!$A$5:$A$1004,$A58,'資格研修記録'!$D$5:$D$1004,G$4,'資格研修記録'!$F$5:$F$1004,"")+COUNTIFS('資格研修記録'!$A$5:$A$1004,$A58,'資格研修記録'!$D$5:$D$1004,G$4,'資格研修記録'!$F$5:$F$1004,"&gt;="&amp;TODAY())&gt;0,"○","× 期限切れ"))))</f>
        <v/>
      </c>
      <c r="H58" s="15">
        <f>IF(OR($A58="",H$4=""),"",IF(AND(H$4="小型船舶2級",(COUNTIFS('資格研修記録'!$A$5:$A$1004,$A58,'資格研修記録'!$D$5:$D$1004,"小型船舶1級",'資格研修記録'!$F$5:$F$1004,"")+COUNTIFS('資格研修記録'!$A$5:$A$1004,$A58,'資格研修記録'!$D$5:$D$1004,"小型船舶1級",'資格研修記録'!$F$5:$F$1004,"&gt;="&amp;TODAY()))&gt;0),"1級に含む",IF(COUNTIFS('資格研修記録'!$A$5:$A$1004,$A58,'資格研修記録'!$D$5:$D$1004,H$4)=0,"—",IF(COUNTIFS('資格研修記録'!$A$5:$A$1004,$A58,'資格研修記録'!$D$5:$D$1004,H$4,'資格研修記録'!$F$5:$F$1004,"")+COUNTIFS('資格研修記録'!$A$5:$A$1004,$A58,'資格研修記録'!$D$5:$D$1004,H$4,'資格研修記録'!$F$5:$F$1004,"&gt;="&amp;TODAY())&gt;0,"○","× 期限切れ"))))</f>
        <v/>
      </c>
      <c r="I58" s="15">
        <f>IF(OR($A58="",I$4=""),"",IF(AND(I$4="小型船舶2級",(COUNTIFS('資格研修記録'!$A$5:$A$1004,$A58,'資格研修記録'!$D$5:$D$1004,"小型船舶1級",'資格研修記録'!$F$5:$F$1004,"")+COUNTIFS('資格研修記録'!$A$5:$A$1004,$A58,'資格研修記録'!$D$5:$D$1004,"小型船舶1級",'資格研修記録'!$F$5:$F$1004,"&gt;="&amp;TODAY()))&gt;0),"1級に含む",IF(COUNTIFS('資格研修記録'!$A$5:$A$1004,$A58,'資格研修記録'!$D$5:$D$1004,I$4)=0,"—",IF(COUNTIFS('資格研修記録'!$A$5:$A$1004,$A58,'資格研修記録'!$D$5:$D$1004,I$4,'資格研修記録'!$F$5:$F$1004,"")+COUNTIFS('資格研修記録'!$A$5:$A$1004,$A58,'資格研修記録'!$D$5:$D$1004,I$4,'資格研修記録'!$F$5:$F$1004,"&gt;="&amp;TODAY())&gt;0,"○","× 期限切れ"))))</f>
        <v/>
      </c>
      <c r="J58" s="15">
        <f>IF(OR($A58="",J$4=""),"",IF(AND(J$4="小型船舶2級",(COUNTIFS('資格研修記録'!$A$5:$A$1004,$A58,'資格研修記録'!$D$5:$D$1004,"小型船舶1級",'資格研修記録'!$F$5:$F$1004,"")+COUNTIFS('資格研修記録'!$A$5:$A$1004,$A58,'資格研修記録'!$D$5:$D$1004,"小型船舶1級",'資格研修記録'!$F$5:$F$1004,"&gt;="&amp;TODAY()))&gt;0),"1級に含む",IF(COUNTIFS('資格研修記録'!$A$5:$A$1004,$A58,'資格研修記録'!$D$5:$D$1004,J$4)=0,"—",IF(COUNTIFS('資格研修記録'!$A$5:$A$1004,$A58,'資格研修記録'!$D$5:$D$1004,J$4,'資格研修記録'!$F$5:$F$1004,"")+COUNTIFS('資格研修記録'!$A$5:$A$1004,$A58,'資格研修記録'!$D$5:$D$1004,J$4,'資格研修記録'!$F$5:$F$1004,"&gt;="&amp;TODAY())&gt;0,"○","× 期限切れ"))))</f>
        <v/>
      </c>
      <c r="K58" s="15">
        <f>IF(OR($A58="",K$4=""),"",IF(AND(K$4="小型船舶2級",(COUNTIFS('資格研修記録'!$A$5:$A$1004,$A58,'資格研修記録'!$D$5:$D$1004,"小型船舶1級",'資格研修記録'!$F$5:$F$1004,"")+COUNTIFS('資格研修記録'!$A$5:$A$1004,$A58,'資格研修記録'!$D$5:$D$1004,"小型船舶1級",'資格研修記録'!$F$5:$F$1004,"&gt;="&amp;TODAY()))&gt;0),"1級に含む",IF(COUNTIFS('資格研修記録'!$A$5:$A$1004,$A58,'資格研修記録'!$D$5:$D$1004,K$4)=0,"—",IF(COUNTIFS('資格研修記録'!$A$5:$A$1004,$A58,'資格研修記録'!$D$5:$D$1004,K$4,'資格研修記録'!$F$5:$F$1004,"")+COUNTIFS('資格研修記録'!$A$5:$A$1004,$A58,'資格研修記録'!$D$5:$D$1004,K$4,'資格研修記録'!$F$5:$F$1004,"&gt;="&amp;TODAY())&gt;0,"○","× 期限切れ"))))</f>
        <v/>
      </c>
      <c r="L58" s="15">
        <f>IF(OR($A58="",L$4=""),"",IF(AND(L$4="小型船舶2級",(COUNTIFS('資格研修記録'!$A$5:$A$1004,$A58,'資格研修記録'!$D$5:$D$1004,"小型船舶1級",'資格研修記録'!$F$5:$F$1004,"")+COUNTIFS('資格研修記録'!$A$5:$A$1004,$A58,'資格研修記録'!$D$5:$D$1004,"小型船舶1級",'資格研修記録'!$F$5:$F$1004,"&gt;="&amp;TODAY()))&gt;0),"1級に含む",IF(COUNTIFS('資格研修記録'!$A$5:$A$1004,$A58,'資格研修記録'!$D$5:$D$1004,L$4)=0,"—",IF(COUNTIFS('資格研修記録'!$A$5:$A$1004,$A58,'資格研修記録'!$D$5:$D$1004,L$4,'資格研修記録'!$F$5:$F$1004,"")+COUNTIFS('資格研修記録'!$A$5:$A$1004,$A58,'資格研修記録'!$D$5:$D$1004,L$4,'資格研修記録'!$F$5:$F$1004,"&gt;="&amp;TODAY())&gt;0,"○","× 期限切れ"))))</f>
        <v/>
      </c>
    </row>
    <row r="59">
      <c r="A59" s="14">
        <f>IF('隊員マスタ'!A59="","",'隊員マスタ'!A59)</f>
        <v/>
      </c>
      <c r="B59" s="14">
        <f>IF(A59="","",'隊員マスタ'!B59)</f>
        <v/>
      </c>
      <c r="C59" s="14">
        <f>IF(A59="","",'隊員マスタ'!C59)</f>
        <v/>
      </c>
      <c r="D59" s="15">
        <f>IF(A59="","",'隊員マスタ'!D59)</f>
        <v/>
      </c>
      <c r="E59" s="15">
        <f>IF(OR($A59="",E$4=""),"",IF(AND(E$4="小型船舶2級",(COUNTIFS('資格研修記録'!$A$5:$A$1004,$A59,'資格研修記録'!$D$5:$D$1004,"小型船舶1級",'資格研修記録'!$F$5:$F$1004,"")+COUNTIFS('資格研修記録'!$A$5:$A$1004,$A59,'資格研修記録'!$D$5:$D$1004,"小型船舶1級",'資格研修記録'!$F$5:$F$1004,"&gt;="&amp;TODAY()))&gt;0),"1級に含む",IF(COUNTIFS('資格研修記録'!$A$5:$A$1004,$A59,'資格研修記録'!$D$5:$D$1004,E$4)=0,"—",IF(COUNTIFS('資格研修記録'!$A$5:$A$1004,$A59,'資格研修記録'!$D$5:$D$1004,E$4,'資格研修記録'!$F$5:$F$1004,"")+COUNTIFS('資格研修記録'!$A$5:$A$1004,$A59,'資格研修記録'!$D$5:$D$1004,E$4,'資格研修記録'!$F$5:$F$1004,"&gt;="&amp;TODAY())&gt;0,"○","× 期限切れ"))))</f>
        <v/>
      </c>
      <c r="F59" s="15">
        <f>IF(OR($A59="",F$4=""),"",IF(AND(F$4="小型船舶2級",(COUNTIFS('資格研修記録'!$A$5:$A$1004,$A59,'資格研修記録'!$D$5:$D$1004,"小型船舶1級",'資格研修記録'!$F$5:$F$1004,"")+COUNTIFS('資格研修記録'!$A$5:$A$1004,$A59,'資格研修記録'!$D$5:$D$1004,"小型船舶1級",'資格研修記録'!$F$5:$F$1004,"&gt;="&amp;TODAY()))&gt;0),"1級に含む",IF(COUNTIFS('資格研修記録'!$A$5:$A$1004,$A59,'資格研修記録'!$D$5:$D$1004,F$4)=0,"—",IF(COUNTIFS('資格研修記録'!$A$5:$A$1004,$A59,'資格研修記録'!$D$5:$D$1004,F$4,'資格研修記録'!$F$5:$F$1004,"")+COUNTIFS('資格研修記録'!$A$5:$A$1004,$A59,'資格研修記録'!$D$5:$D$1004,F$4,'資格研修記録'!$F$5:$F$1004,"&gt;="&amp;TODAY())&gt;0,"○","× 期限切れ"))))</f>
        <v/>
      </c>
      <c r="G59" s="15">
        <f>IF(OR($A59="",G$4=""),"",IF(AND(G$4="小型船舶2級",(COUNTIFS('資格研修記録'!$A$5:$A$1004,$A59,'資格研修記録'!$D$5:$D$1004,"小型船舶1級",'資格研修記録'!$F$5:$F$1004,"")+COUNTIFS('資格研修記録'!$A$5:$A$1004,$A59,'資格研修記録'!$D$5:$D$1004,"小型船舶1級",'資格研修記録'!$F$5:$F$1004,"&gt;="&amp;TODAY()))&gt;0),"1級に含む",IF(COUNTIFS('資格研修記録'!$A$5:$A$1004,$A59,'資格研修記録'!$D$5:$D$1004,G$4)=0,"—",IF(COUNTIFS('資格研修記録'!$A$5:$A$1004,$A59,'資格研修記録'!$D$5:$D$1004,G$4,'資格研修記録'!$F$5:$F$1004,"")+COUNTIFS('資格研修記録'!$A$5:$A$1004,$A59,'資格研修記録'!$D$5:$D$1004,G$4,'資格研修記録'!$F$5:$F$1004,"&gt;="&amp;TODAY())&gt;0,"○","× 期限切れ"))))</f>
        <v/>
      </c>
      <c r="H59" s="15">
        <f>IF(OR($A59="",H$4=""),"",IF(AND(H$4="小型船舶2級",(COUNTIFS('資格研修記録'!$A$5:$A$1004,$A59,'資格研修記録'!$D$5:$D$1004,"小型船舶1級",'資格研修記録'!$F$5:$F$1004,"")+COUNTIFS('資格研修記録'!$A$5:$A$1004,$A59,'資格研修記録'!$D$5:$D$1004,"小型船舶1級",'資格研修記録'!$F$5:$F$1004,"&gt;="&amp;TODAY()))&gt;0),"1級に含む",IF(COUNTIFS('資格研修記録'!$A$5:$A$1004,$A59,'資格研修記録'!$D$5:$D$1004,H$4)=0,"—",IF(COUNTIFS('資格研修記録'!$A$5:$A$1004,$A59,'資格研修記録'!$D$5:$D$1004,H$4,'資格研修記録'!$F$5:$F$1004,"")+COUNTIFS('資格研修記録'!$A$5:$A$1004,$A59,'資格研修記録'!$D$5:$D$1004,H$4,'資格研修記録'!$F$5:$F$1004,"&gt;="&amp;TODAY())&gt;0,"○","× 期限切れ"))))</f>
        <v/>
      </c>
      <c r="I59" s="15">
        <f>IF(OR($A59="",I$4=""),"",IF(AND(I$4="小型船舶2級",(COUNTIFS('資格研修記録'!$A$5:$A$1004,$A59,'資格研修記録'!$D$5:$D$1004,"小型船舶1級",'資格研修記録'!$F$5:$F$1004,"")+COUNTIFS('資格研修記録'!$A$5:$A$1004,$A59,'資格研修記録'!$D$5:$D$1004,"小型船舶1級",'資格研修記録'!$F$5:$F$1004,"&gt;="&amp;TODAY()))&gt;0),"1級に含む",IF(COUNTIFS('資格研修記録'!$A$5:$A$1004,$A59,'資格研修記録'!$D$5:$D$1004,I$4)=0,"—",IF(COUNTIFS('資格研修記録'!$A$5:$A$1004,$A59,'資格研修記録'!$D$5:$D$1004,I$4,'資格研修記録'!$F$5:$F$1004,"")+COUNTIFS('資格研修記録'!$A$5:$A$1004,$A59,'資格研修記録'!$D$5:$D$1004,I$4,'資格研修記録'!$F$5:$F$1004,"&gt;="&amp;TODAY())&gt;0,"○","× 期限切れ"))))</f>
        <v/>
      </c>
      <c r="J59" s="15">
        <f>IF(OR($A59="",J$4=""),"",IF(AND(J$4="小型船舶2級",(COUNTIFS('資格研修記録'!$A$5:$A$1004,$A59,'資格研修記録'!$D$5:$D$1004,"小型船舶1級",'資格研修記録'!$F$5:$F$1004,"")+COUNTIFS('資格研修記録'!$A$5:$A$1004,$A59,'資格研修記録'!$D$5:$D$1004,"小型船舶1級",'資格研修記録'!$F$5:$F$1004,"&gt;="&amp;TODAY()))&gt;0),"1級に含む",IF(COUNTIFS('資格研修記録'!$A$5:$A$1004,$A59,'資格研修記録'!$D$5:$D$1004,J$4)=0,"—",IF(COUNTIFS('資格研修記録'!$A$5:$A$1004,$A59,'資格研修記録'!$D$5:$D$1004,J$4,'資格研修記録'!$F$5:$F$1004,"")+COUNTIFS('資格研修記録'!$A$5:$A$1004,$A59,'資格研修記録'!$D$5:$D$1004,J$4,'資格研修記録'!$F$5:$F$1004,"&gt;="&amp;TODAY())&gt;0,"○","× 期限切れ"))))</f>
        <v/>
      </c>
      <c r="K59" s="15">
        <f>IF(OR($A59="",K$4=""),"",IF(AND(K$4="小型船舶2級",(COUNTIFS('資格研修記録'!$A$5:$A$1004,$A59,'資格研修記録'!$D$5:$D$1004,"小型船舶1級",'資格研修記録'!$F$5:$F$1004,"")+COUNTIFS('資格研修記録'!$A$5:$A$1004,$A59,'資格研修記録'!$D$5:$D$1004,"小型船舶1級",'資格研修記録'!$F$5:$F$1004,"&gt;="&amp;TODAY()))&gt;0),"1級に含む",IF(COUNTIFS('資格研修記録'!$A$5:$A$1004,$A59,'資格研修記録'!$D$5:$D$1004,K$4)=0,"—",IF(COUNTIFS('資格研修記録'!$A$5:$A$1004,$A59,'資格研修記録'!$D$5:$D$1004,K$4,'資格研修記録'!$F$5:$F$1004,"")+COUNTIFS('資格研修記録'!$A$5:$A$1004,$A59,'資格研修記録'!$D$5:$D$1004,K$4,'資格研修記録'!$F$5:$F$1004,"&gt;="&amp;TODAY())&gt;0,"○","× 期限切れ"))))</f>
        <v/>
      </c>
      <c r="L59" s="15">
        <f>IF(OR($A59="",L$4=""),"",IF(AND(L$4="小型船舶2級",(COUNTIFS('資格研修記録'!$A$5:$A$1004,$A59,'資格研修記録'!$D$5:$D$1004,"小型船舶1級",'資格研修記録'!$F$5:$F$1004,"")+COUNTIFS('資格研修記録'!$A$5:$A$1004,$A59,'資格研修記録'!$D$5:$D$1004,"小型船舶1級",'資格研修記録'!$F$5:$F$1004,"&gt;="&amp;TODAY()))&gt;0),"1級に含む",IF(COUNTIFS('資格研修記録'!$A$5:$A$1004,$A59,'資格研修記録'!$D$5:$D$1004,L$4)=0,"—",IF(COUNTIFS('資格研修記録'!$A$5:$A$1004,$A59,'資格研修記録'!$D$5:$D$1004,L$4,'資格研修記録'!$F$5:$F$1004,"")+COUNTIFS('資格研修記録'!$A$5:$A$1004,$A59,'資格研修記録'!$D$5:$D$1004,L$4,'資格研修記録'!$F$5:$F$1004,"&gt;="&amp;TODAY())&gt;0,"○","× 期限切れ"))))</f>
        <v/>
      </c>
    </row>
    <row r="60">
      <c r="A60" s="14">
        <f>IF('隊員マスタ'!A60="","",'隊員マスタ'!A60)</f>
        <v/>
      </c>
      <c r="B60" s="14">
        <f>IF(A60="","",'隊員マスタ'!B60)</f>
        <v/>
      </c>
      <c r="C60" s="14">
        <f>IF(A60="","",'隊員マスタ'!C60)</f>
        <v/>
      </c>
      <c r="D60" s="15">
        <f>IF(A60="","",'隊員マスタ'!D60)</f>
        <v/>
      </c>
      <c r="E60" s="15">
        <f>IF(OR($A60="",E$4=""),"",IF(AND(E$4="小型船舶2級",(COUNTIFS('資格研修記録'!$A$5:$A$1004,$A60,'資格研修記録'!$D$5:$D$1004,"小型船舶1級",'資格研修記録'!$F$5:$F$1004,"")+COUNTIFS('資格研修記録'!$A$5:$A$1004,$A60,'資格研修記録'!$D$5:$D$1004,"小型船舶1級",'資格研修記録'!$F$5:$F$1004,"&gt;="&amp;TODAY()))&gt;0),"1級に含む",IF(COUNTIFS('資格研修記録'!$A$5:$A$1004,$A60,'資格研修記録'!$D$5:$D$1004,E$4)=0,"—",IF(COUNTIFS('資格研修記録'!$A$5:$A$1004,$A60,'資格研修記録'!$D$5:$D$1004,E$4,'資格研修記録'!$F$5:$F$1004,"")+COUNTIFS('資格研修記録'!$A$5:$A$1004,$A60,'資格研修記録'!$D$5:$D$1004,E$4,'資格研修記録'!$F$5:$F$1004,"&gt;="&amp;TODAY())&gt;0,"○","× 期限切れ"))))</f>
        <v/>
      </c>
      <c r="F60" s="15">
        <f>IF(OR($A60="",F$4=""),"",IF(AND(F$4="小型船舶2級",(COUNTIFS('資格研修記録'!$A$5:$A$1004,$A60,'資格研修記録'!$D$5:$D$1004,"小型船舶1級",'資格研修記録'!$F$5:$F$1004,"")+COUNTIFS('資格研修記録'!$A$5:$A$1004,$A60,'資格研修記録'!$D$5:$D$1004,"小型船舶1級",'資格研修記録'!$F$5:$F$1004,"&gt;="&amp;TODAY()))&gt;0),"1級に含む",IF(COUNTIFS('資格研修記録'!$A$5:$A$1004,$A60,'資格研修記録'!$D$5:$D$1004,F$4)=0,"—",IF(COUNTIFS('資格研修記録'!$A$5:$A$1004,$A60,'資格研修記録'!$D$5:$D$1004,F$4,'資格研修記録'!$F$5:$F$1004,"")+COUNTIFS('資格研修記録'!$A$5:$A$1004,$A60,'資格研修記録'!$D$5:$D$1004,F$4,'資格研修記録'!$F$5:$F$1004,"&gt;="&amp;TODAY())&gt;0,"○","× 期限切れ"))))</f>
        <v/>
      </c>
      <c r="G60" s="15">
        <f>IF(OR($A60="",G$4=""),"",IF(AND(G$4="小型船舶2級",(COUNTIFS('資格研修記録'!$A$5:$A$1004,$A60,'資格研修記録'!$D$5:$D$1004,"小型船舶1級",'資格研修記録'!$F$5:$F$1004,"")+COUNTIFS('資格研修記録'!$A$5:$A$1004,$A60,'資格研修記録'!$D$5:$D$1004,"小型船舶1級",'資格研修記録'!$F$5:$F$1004,"&gt;="&amp;TODAY()))&gt;0),"1級に含む",IF(COUNTIFS('資格研修記録'!$A$5:$A$1004,$A60,'資格研修記録'!$D$5:$D$1004,G$4)=0,"—",IF(COUNTIFS('資格研修記録'!$A$5:$A$1004,$A60,'資格研修記録'!$D$5:$D$1004,G$4,'資格研修記録'!$F$5:$F$1004,"")+COUNTIFS('資格研修記録'!$A$5:$A$1004,$A60,'資格研修記録'!$D$5:$D$1004,G$4,'資格研修記録'!$F$5:$F$1004,"&gt;="&amp;TODAY())&gt;0,"○","× 期限切れ"))))</f>
        <v/>
      </c>
      <c r="H60" s="15">
        <f>IF(OR($A60="",H$4=""),"",IF(AND(H$4="小型船舶2級",(COUNTIFS('資格研修記録'!$A$5:$A$1004,$A60,'資格研修記録'!$D$5:$D$1004,"小型船舶1級",'資格研修記録'!$F$5:$F$1004,"")+COUNTIFS('資格研修記録'!$A$5:$A$1004,$A60,'資格研修記録'!$D$5:$D$1004,"小型船舶1級",'資格研修記録'!$F$5:$F$1004,"&gt;="&amp;TODAY()))&gt;0),"1級に含む",IF(COUNTIFS('資格研修記録'!$A$5:$A$1004,$A60,'資格研修記録'!$D$5:$D$1004,H$4)=0,"—",IF(COUNTIFS('資格研修記録'!$A$5:$A$1004,$A60,'資格研修記録'!$D$5:$D$1004,H$4,'資格研修記録'!$F$5:$F$1004,"")+COUNTIFS('資格研修記録'!$A$5:$A$1004,$A60,'資格研修記録'!$D$5:$D$1004,H$4,'資格研修記録'!$F$5:$F$1004,"&gt;="&amp;TODAY())&gt;0,"○","× 期限切れ"))))</f>
        <v/>
      </c>
      <c r="I60" s="15">
        <f>IF(OR($A60="",I$4=""),"",IF(AND(I$4="小型船舶2級",(COUNTIFS('資格研修記録'!$A$5:$A$1004,$A60,'資格研修記録'!$D$5:$D$1004,"小型船舶1級",'資格研修記録'!$F$5:$F$1004,"")+COUNTIFS('資格研修記録'!$A$5:$A$1004,$A60,'資格研修記録'!$D$5:$D$1004,"小型船舶1級",'資格研修記録'!$F$5:$F$1004,"&gt;="&amp;TODAY()))&gt;0),"1級に含む",IF(COUNTIFS('資格研修記録'!$A$5:$A$1004,$A60,'資格研修記録'!$D$5:$D$1004,I$4)=0,"—",IF(COUNTIFS('資格研修記録'!$A$5:$A$1004,$A60,'資格研修記録'!$D$5:$D$1004,I$4,'資格研修記録'!$F$5:$F$1004,"")+COUNTIFS('資格研修記録'!$A$5:$A$1004,$A60,'資格研修記録'!$D$5:$D$1004,I$4,'資格研修記録'!$F$5:$F$1004,"&gt;="&amp;TODAY())&gt;0,"○","× 期限切れ"))))</f>
        <v/>
      </c>
      <c r="J60" s="15">
        <f>IF(OR($A60="",J$4=""),"",IF(AND(J$4="小型船舶2級",(COUNTIFS('資格研修記録'!$A$5:$A$1004,$A60,'資格研修記録'!$D$5:$D$1004,"小型船舶1級",'資格研修記録'!$F$5:$F$1004,"")+COUNTIFS('資格研修記録'!$A$5:$A$1004,$A60,'資格研修記録'!$D$5:$D$1004,"小型船舶1級",'資格研修記録'!$F$5:$F$1004,"&gt;="&amp;TODAY()))&gt;0),"1級に含む",IF(COUNTIFS('資格研修記録'!$A$5:$A$1004,$A60,'資格研修記録'!$D$5:$D$1004,J$4)=0,"—",IF(COUNTIFS('資格研修記録'!$A$5:$A$1004,$A60,'資格研修記録'!$D$5:$D$1004,J$4,'資格研修記録'!$F$5:$F$1004,"")+COUNTIFS('資格研修記録'!$A$5:$A$1004,$A60,'資格研修記録'!$D$5:$D$1004,J$4,'資格研修記録'!$F$5:$F$1004,"&gt;="&amp;TODAY())&gt;0,"○","× 期限切れ"))))</f>
        <v/>
      </c>
      <c r="K60" s="15">
        <f>IF(OR($A60="",K$4=""),"",IF(AND(K$4="小型船舶2級",(COUNTIFS('資格研修記録'!$A$5:$A$1004,$A60,'資格研修記録'!$D$5:$D$1004,"小型船舶1級",'資格研修記録'!$F$5:$F$1004,"")+COUNTIFS('資格研修記録'!$A$5:$A$1004,$A60,'資格研修記録'!$D$5:$D$1004,"小型船舶1級",'資格研修記録'!$F$5:$F$1004,"&gt;="&amp;TODAY()))&gt;0),"1級に含む",IF(COUNTIFS('資格研修記録'!$A$5:$A$1004,$A60,'資格研修記録'!$D$5:$D$1004,K$4)=0,"—",IF(COUNTIFS('資格研修記録'!$A$5:$A$1004,$A60,'資格研修記録'!$D$5:$D$1004,K$4,'資格研修記録'!$F$5:$F$1004,"")+COUNTIFS('資格研修記録'!$A$5:$A$1004,$A60,'資格研修記録'!$D$5:$D$1004,K$4,'資格研修記録'!$F$5:$F$1004,"&gt;="&amp;TODAY())&gt;0,"○","× 期限切れ"))))</f>
        <v/>
      </c>
      <c r="L60" s="15">
        <f>IF(OR($A60="",L$4=""),"",IF(AND(L$4="小型船舶2級",(COUNTIFS('資格研修記録'!$A$5:$A$1004,$A60,'資格研修記録'!$D$5:$D$1004,"小型船舶1級",'資格研修記録'!$F$5:$F$1004,"")+COUNTIFS('資格研修記録'!$A$5:$A$1004,$A60,'資格研修記録'!$D$5:$D$1004,"小型船舶1級",'資格研修記録'!$F$5:$F$1004,"&gt;="&amp;TODAY()))&gt;0),"1級に含む",IF(COUNTIFS('資格研修記録'!$A$5:$A$1004,$A60,'資格研修記録'!$D$5:$D$1004,L$4)=0,"—",IF(COUNTIFS('資格研修記録'!$A$5:$A$1004,$A60,'資格研修記録'!$D$5:$D$1004,L$4,'資格研修記録'!$F$5:$F$1004,"")+COUNTIFS('資格研修記録'!$A$5:$A$1004,$A60,'資格研修記録'!$D$5:$D$1004,L$4,'資格研修記録'!$F$5:$F$1004,"&gt;="&amp;TODAY())&gt;0,"○","× 期限切れ"))))</f>
        <v/>
      </c>
    </row>
    <row r="61">
      <c r="A61" s="14">
        <f>IF('隊員マスタ'!A61="","",'隊員マスタ'!A61)</f>
        <v/>
      </c>
      <c r="B61" s="14">
        <f>IF(A61="","",'隊員マスタ'!B61)</f>
        <v/>
      </c>
      <c r="C61" s="14">
        <f>IF(A61="","",'隊員マスタ'!C61)</f>
        <v/>
      </c>
      <c r="D61" s="15">
        <f>IF(A61="","",'隊員マスタ'!D61)</f>
        <v/>
      </c>
      <c r="E61" s="15">
        <f>IF(OR($A61="",E$4=""),"",IF(AND(E$4="小型船舶2級",(COUNTIFS('資格研修記録'!$A$5:$A$1004,$A61,'資格研修記録'!$D$5:$D$1004,"小型船舶1級",'資格研修記録'!$F$5:$F$1004,"")+COUNTIFS('資格研修記録'!$A$5:$A$1004,$A61,'資格研修記録'!$D$5:$D$1004,"小型船舶1級",'資格研修記録'!$F$5:$F$1004,"&gt;="&amp;TODAY()))&gt;0),"1級に含む",IF(COUNTIFS('資格研修記録'!$A$5:$A$1004,$A61,'資格研修記録'!$D$5:$D$1004,E$4)=0,"—",IF(COUNTIFS('資格研修記録'!$A$5:$A$1004,$A61,'資格研修記録'!$D$5:$D$1004,E$4,'資格研修記録'!$F$5:$F$1004,"")+COUNTIFS('資格研修記録'!$A$5:$A$1004,$A61,'資格研修記録'!$D$5:$D$1004,E$4,'資格研修記録'!$F$5:$F$1004,"&gt;="&amp;TODAY())&gt;0,"○","× 期限切れ"))))</f>
        <v/>
      </c>
      <c r="F61" s="15">
        <f>IF(OR($A61="",F$4=""),"",IF(AND(F$4="小型船舶2級",(COUNTIFS('資格研修記録'!$A$5:$A$1004,$A61,'資格研修記録'!$D$5:$D$1004,"小型船舶1級",'資格研修記録'!$F$5:$F$1004,"")+COUNTIFS('資格研修記録'!$A$5:$A$1004,$A61,'資格研修記録'!$D$5:$D$1004,"小型船舶1級",'資格研修記録'!$F$5:$F$1004,"&gt;="&amp;TODAY()))&gt;0),"1級に含む",IF(COUNTIFS('資格研修記録'!$A$5:$A$1004,$A61,'資格研修記録'!$D$5:$D$1004,F$4)=0,"—",IF(COUNTIFS('資格研修記録'!$A$5:$A$1004,$A61,'資格研修記録'!$D$5:$D$1004,F$4,'資格研修記録'!$F$5:$F$1004,"")+COUNTIFS('資格研修記録'!$A$5:$A$1004,$A61,'資格研修記録'!$D$5:$D$1004,F$4,'資格研修記録'!$F$5:$F$1004,"&gt;="&amp;TODAY())&gt;0,"○","× 期限切れ"))))</f>
        <v/>
      </c>
      <c r="G61" s="15">
        <f>IF(OR($A61="",G$4=""),"",IF(AND(G$4="小型船舶2級",(COUNTIFS('資格研修記録'!$A$5:$A$1004,$A61,'資格研修記録'!$D$5:$D$1004,"小型船舶1級",'資格研修記録'!$F$5:$F$1004,"")+COUNTIFS('資格研修記録'!$A$5:$A$1004,$A61,'資格研修記録'!$D$5:$D$1004,"小型船舶1級",'資格研修記録'!$F$5:$F$1004,"&gt;="&amp;TODAY()))&gt;0),"1級に含む",IF(COUNTIFS('資格研修記録'!$A$5:$A$1004,$A61,'資格研修記録'!$D$5:$D$1004,G$4)=0,"—",IF(COUNTIFS('資格研修記録'!$A$5:$A$1004,$A61,'資格研修記録'!$D$5:$D$1004,G$4,'資格研修記録'!$F$5:$F$1004,"")+COUNTIFS('資格研修記録'!$A$5:$A$1004,$A61,'資格研修記録'!$D$5:$D$1004,G$4,'資格研修記録'!$F$5:$F$1004,"&gt;="&amp;TODAY())&gt;0,"○","× 期限切れ"))))</f>
        <v/>
      </c>
      <c r="H61" s="15">
        <f>IF(OR($A61="",H$4=""),"",IF(AND(H$4="小型船舶2級",(COUNTIFS('資格研修記録'!$A$5:$A$1004,$A61,'資格研修記録'!$D$5:$D$1004,"小型船舶1級",'資格研修記録'!$F$5:$F$1004,"")+COUNTIFS('資格研修記録'!$A$5:$A$1004,$A61,'資格研修記録'!$D$5:$D$1004,"小型船舶1級",'資格研修記録'!$F$5:$F$1004,"&gt;="&amp;TODAY()))&gt;0),"1級に含む",IF(COUNTIFS('資格研修記録'!$A$5:$A$1004,$A61,'資格研修記録'!$D$5:$D$1004,H$4)=0,"—",IF(COUNTIFS('資格研修記録'!$A$5:$A$1004,$A61,'資格研修記録'!$D$5:$D$1004,H$4,'資格研修記録'!$F$5:$F$1004,"")+COUNTIFS('資格研修記録'!$A$5:$A$1004,$A61,'資格研修記録'!$D$5:$D$1004,H$4,'資格研修記録'!$F$5:$F$1004,"&gt;="&amp;TODAY())&gt;0,"○","× 期限切れ"))))</f>
        <v/>
      </c>
      <c r="I61" s="15">
        <f>IF(OR($A61="",I$4=""),"",IF(AND(I$4="小型船舶2級",(COUNTIFS('資格研修記録'!$A$5:$A$1004,$A61,'資格研修記録'!$D$5:$D$1004,"小型船舶1級",'資格研修記録'!$F$5:$F$1004,"")+COUNTIFS('資格研修記録'!$A$5:$A$1004,$A61,'資格研修記録'!$D$5:$D$1004,"小型船舶1級",'資格研修記録'!$F$5:$F$1004,"&gt;="&amp;TODAY()))&gt;0),"1級に含む",IF(COUNTIFS('資格研修記録'!$A$5:$A$1004,$A61,'資格研修記録'!$D$5:$D$1004,I$4)=0,"—",IF(COUNTIFS('資格研修記録'!$A$5:$A$1004,$A61,'資格研修記録'!$D$5:$D$1004,I$4,'資格研修記録'!$F$5:$F$1004,"")+COUNTIFS('資格研修記録'!$A$5:$A$1004,$A61,'資格研修記録'!$D$5:$D$1004,I$4,'資格研修記録'!$F$5:$F$1004,"&gt;="&amp;TODAY())&gt;0,"○","× 期限切れ"))))</f>
        <v/>
      </c>
      <c r="J61" s="15">
        <f>IF(OR($A61="",J$4=""),"",IF(AND(J$4="小型船舶2級",(COUNTIFS('資格研修記録'!$A$5:$A$1004,$A61,'資格研修記録'!$D$5:$D$1004,"小型船舶1級",'資格研修記録'!$F$5:$F$1004,"")+COUNTIFS('資格研修記録'!$A$5:$A$1004,$A61,'資格研修記録'!$D$5:$D$1004,"小型船舶1級",'資格研修記録'!$F$5:$F$1004,"&gt;="&amp;TODAY()))&gt;0),"1級に含む",IF(COUNTIFS('資格研修記録'!$A$5:$A$1004,$A61,'資格研修記録'!$D$5:$D$1004,J$4)=0,"—",IF(COUNTIFS('資格研修記録'!$A$5:$A$1004,$A61,'資格研修記録'!$D$5:$D$1004,J$4,'資格研修記録'!$F$5:$F$1004,"")+COUNTIFS('資格研修記録'!$A$5:$A$1004,$A61,'資格研修記録'!$D$5:$D$1004,J$4,'資格研修記録'!$F$5:$F$1004,"&gt;="&amp;TODAY())&gt;0,"○","× 期限切れ"))))</f>
        <v/>
      </c>
      <c r="K61" s="15">
        <f>IF(OR($A61="",K$4=""),"",IF(AND(K$4="小型船舶2級",(COUNTIFS('資格研修記録'!$A$5:$A$1004,$A61,'資格研修記録'!$D$5:$D$1004,"小型船舶1級",'資格研修記録'!$F$5:$F$1004,"")+COUNTIFS('資格研修記録'!$A$5:$A$1004,$A61,'資格研修記録'!$D$5:$D$1004,"小型船舶1級",'資格研修記録'!$F$5:$F$1004,"&gt;="&amp;TODAY()))&gt;0),"1級に含む",IF(COUNTIFS('資格研修記録'!$A$5:$A$1004,$A61,'資格研修記録'!$D$5:$D$1004,K$4)=0,"—",IF(COUNTIFS('資格研修記録'!$A$5:$A$1004,$A61,'資格研修記録'!$D$5:$D$1004,K$4,'資格研修記録'!$F$5:$F$1004,"")+COUNTIFS('資格研修記録'!$A$5:$A$1004,$A61,'資格研修記録'!$D$5:$D$1004,K$4,'資格研修記録'!$F$5:$F$1004,"&gt;="&amp;TODAY())&gt;0,"○","× 期限切れ"))))</f>
        <v/>
      </c>
      <c r="L61" s="15">
        <f>IF(OR($A61="",L$4=""),"",IF(AND(L$4="小型船舶2級",(COUNTIFS('資格研修記録'!$A$5:$A$1004,$A61,'資格研修記録'!$D$5:$D$1004,"小型船舶1級",'資格研修記録'!$F$5:$F$1004,"")+COUNTIFS('資格研修記録'!$A$5:$A$1004,$A61,'資格研修記録'!$D$5:$D$1004,"小型船舶1級",'資格研修記録'!$F$5:$F$1004,"&gt;="&amp;TODAY()))&gt;0),"1級に含む",IF(COUNTIFS('資格研修記録'!$A$5:$A$1004,$A61,'資格研修記録'!$D$5:$D$1004,L$4)=0,"—",IF(COUNTIFS('資格研修記録'!$A$5:$A$1004,$A61,'資格研修記録'!$D$5:$D$1004,L$4,'資格研修記録'!$F$5:$F$1004,"")+COUNTIFS('資格研修記録'!$A$5:$A$1004,$A61,'資格研修記録'!$D$5:$D$1004,L$4,'資格研修記録'!$F$5:$F$1004,"&gt;="&amp;TODAY())&gt;0,"○","× 期限切れ"))))</f>
        <v/>
      </c>
    </row>
    <row r="62">
      <c r="A62" s="14">
        <f>IF('隊員マスタ'!A62="","",'隊員マスタ'!A62)</f>
        <v/>
      </c>
      <c r="B62" s="14">
        <f>IF(A62="","",'隊員マスタ'!B62)</f>
        <v/>
      </c>
      <c r="C62" s="14">
        <f>IF(A62="","",'隊員マスタ'!C62)</f>
        <v/>
      </c>
      <c r="D62" s="15">
        <f>IF(A62="","",'隊員マスタ'!D62)</f>
        <v/>
      </c>
      <c r="E62" s="15">
        <f>IF(OR($A62="",E$4=""),"",IF(AND(E$4="小型船舶2級",(COUNTIFS('資格研修記録'!$A$5:$A$1004,$A62,'資格研修記録'!$D$5:$D$1004,"小型船舶1級",'資格研修記録'!$F$5:$F$1004,"")+COUNTIFS('資格研修記録'!$A$5:$A$1004,$A62,'資格研修記録'!$D$5:$D$1004,"小型船舶1級",'資格研修記録'!$F$5:$F$1004,"&gt;="&amp;TODAY()))&gt;0),"1級に含む",IF(COUNTIFS('資格研修記録'!$A$5:$A$1004,$A62,'資格研修記録'!$D$5:$D$1004,E$4)=0,"—",IF(COUNTIFS('資格研修記録'!$A$5:$A$1004,$A62,'資格研修記録'!$D$5:$D$1004,E$4,'資格研修記録'!$F$5:$F$1004,"")+COUNTIFS('資格研修記録'!$A$5:$A$1004,$A62,'資格研修記録'!$D$5:$D$1004,E$4,'資格研修記録'!$F$5:$F$1004,"&gt;="&amp;TODAY())&gt;0,"○","× 期限切れ"))))</f>
        <v/>
      </c>
      <c r="F62" s="15">
        <f>IF(OR($A62="",F$4=""),"",IF(AND(F$4="小型船舶2級",(COUNTIFS('資格研修記録'!$A$5:$A$1004,$A62,'資格研修記録'!$D$5:$D$1004,"小型船舶1級",'資格研修記録'!$F$5:$F$1004,"")+COUNTIFS('資格研修記録'!$A$5:$A$1004,$A62,'資格研修記録'!$D$5:$D$1004,"小型船舶1級",'資格研修記録'!$F$5:$F$1004,"&gt;="&amp;TODAY()))&gt;0),"1級に含む",IF(COUNTIFS('資格研修記録'!$A$5:$A$1004,$A62,'資格研修記録'!$D$5:$D$1004,F$4)=0,"—",IF(COUNTIFS('資格研修記録'!$A$5:$A$1004,$A62,'資格研修記録'!$D$5:$D$1004,F$4,'資格研修記録'!$F$5:$F$1004,"")+COUNTIFS('資格研修記録'!$A$5:$A$1004,$A62,'資格研修記録'!$D$5:$D$1004,F$4,'資格研修記録'!$F$5:$F$1004,"&gt;="&amp;TODAY())&gt;0,"○","× 期限切れ"))))</f>
        <v/>
      </c>
      <c r="G62" s="15">
        <f>IF(OR($A62="",G$4=""),"",IF(AND(G$4="小型船舶2級",(COUNTIFS('資格研修記録'!$A$5:$A$1004,$A62,'資格研修記録'!$D$5:$D$1004,"小型船舶1級",'資格研修記録'!$F$5:$F$1004,"")+COUNTIFS('資格研修記録'!$A$5:$A$1004,$A62,'資格研修記録'!$D$5:$D$1004,"小型船舶1級",'資格研修記録'!$F$5:$F$1004,"&gt;="&amp;TODAY()))&gt;0),"1級に含む",IF(COUNTIFS('資格研修記録'!$A$5:$A$1004,$A62,'資格研修記録'!$D$5:$D$1004,G$4)=0,"—",IF(COUNTIFS('資格研修記録'!$A$5:$A$1004,$A62,'資格研修記録'!$D$5:$D$1004,G$4,'資格研修記録'!$F$5:$F$1004,"")+COUNTIFS('資格研修記録'!$A$5:$A$1004,$A62,'資格研修記録'!$D$5:$D$1004,G$4,'資格研修記録'!$F$5:$F$1004,"&gt;="&amp;TODAY())&gt;0,"○","× 期限切れ"))))</f>
        <v/>
      </c>
      <c r="H62" s="15">
        <f>IF(OR($A62="",H$4=""),"",IF(AND(H$4="小型船舶2級",(COUNTIFS('資格研修記録'!$A$5:$A$1004,$A62,'資格研修記録'!$D$5:$D$1004,"小型船舶1級",'資格研修記録'!$F$5:$F$1004,"")+COUNTIFS('資格研修記録'!$A$5:$A$1004,$A62,'資格研修記録'!$D$5:$D$1004,"小型船舶1級",'資格研修記録'!$F$5:$F$1004,"&gt;="&amp;TODAY()))&gt;0),"1級に含む",IF(COUNTIFS('資格研修記録'!$A$5:$A$1004,$A62,'資格研修記録'!$D$5:$D$1004,H$4)=0,"—",IF(COUNTIFS('資格研修記録'!$A$5:$A$1004,$A62,'資格研修記録'!$D$5:$D$1004,H$4,'資格研修記録'!$F$5:$F$1004,"")+COUNTIFS('資格研修記録'!$A$5:$A$1004,$A62,'資格研修記録'!$D$5:$D$1004,H$4,'資格研修記録'!$F$5:$F$1004,"&gt;="&amp;TODAY())&gt;0,"○","× 期限切れ"))))</f>
        <v/>
      </c>
      <c r="I62" s="15">
        <f>IF(OR($A62="",I$4=""),"",IF(AND(I$4="小型船舶2級",(COUNTIFS('資格研修記録'!$A$5:$A$1004,$A62,'資格研修記録'!$D$5:$D$1004,"小型船舶1級",'資格研修記録'!$F$5:$F$1004,"")+COUNTIFS('資格研修記録'!$A$5:$A$1004,$A62,'資格研修記録'!$D$5:$D$1004,"小型船舶1級",'資格研修記録'!$F$5:$F$1004,"&gt;="&amp;TODAY()))&gt;0),"1級に含む",IF(COUNTIFS('資格研修記録'!$A$5:$A$1004,$A62,'資格研修記録'!$D$5:$D$1004,I$4)=0,"—",IF(COUNTIFS('資格研修記録'!$A$5:$A$1004,$A62,'資格研修記録'!$D$5:$D$1004,I$4,'資格研修記録'!$F$5:$F$1004,"")+COUNTIFS('資格研修記録'!$A$5:$A$1004,$A62,'資格研修記録'!$D$5:$D$1004,I$4,'資格研修記録'!$F$5:$F$1004,"&gt;="&amp;TODAY())&gt;0,"○","× 期限切れ"))))</f>
        <v/>
      </c>
      <c r="J62" s="15">
        <f>IF(OR($A62="",J$4=""),"",IF(AND(J$4="小型船舶2級",(COUNTIFS('資格研修記録'!$A$5:$A$1004,$A62,'資格研修記録'!$D$5:$D$1004,"小型船舶1級",'資格研修記録'!$F$5:$F$1004,"")+COUNTIFS('資格研修記録'!$A$5:$A$1004,$A62,'資格研修記録'!$D$5:$D$1004,"小型船舶1級",'資格研修記録'!$F$5:$F$1004,"&gt;="&amp;TODAY()))&gt;0),"1級に含む",IF(COUNTIFS('資格研修記録'!$A$5:$A$1004,$A62,'資格研修記録'!$D$5:$D$1004,J$4)=0,"—",IF(COUNTIFS('資格研修記録'!$A$5:$A$1004,$A62,'資格研修記録'!$D$5:$D$1004,J$4,'資格研修記録'!$F$5:$F$1004,"")+COUNTIFS('資格研修記録'!$A$5:$A$1004,$A62,'資格研修記録'!$D$5:$D$1004,J$4,'資格研修記録'!$F$5:$F$1004,"&gt;="&amp;TODAY())&gt;0,"○","× 期限切れ"))))</f>
        <v/>
      </c>
      <c r="K62" s="15">
        <f>IF(OR($A62="",K$4=""),"",IF(AND(K$4="小型船舶2級",(COUNTIFS('資格研修記録'!$A$5:$A$1004,$A62,'資格研修記録'!$D$5:$D$1004,"小型船舶1級",'資格研修記録'!$F$5:$F$1004,"")+COUNTIFS('資格研修記録'!$A$5:$A$1004,$A62,'資格研修記録'!$D$5:$D$1004,"小型船舶1級",'資格研修記録'!$F$5:$F$1004,"&gt;="&amp;TODAY()))&gt;0),"1級に含む",IF(COUNTIFS('資格研修記録'!$A$5:$A$1004,$A62,'資格研修記録'!$D$5:$D$1004,K$4)=0,"—",IF(COUNTIFS('資格研修記録'!$A$5:$A$1004,$A62,'資格研修記録'!$D$5:$D$1004,K$4,'資格研修記録'!$F$5:$F$1004,"")+COUNTIFS('資格研修記録'!$A$5:$A$1004,$A62,'資格研修記録'!$D$5:$D$1004,K$4,'資格研修記録'!$F$5:$F$1004,"&gt;="&amp;TODAY())&gt;0,"○","× 期限切れ"))))</f>
        <v/>
      </c>
      <c r="L62" s="15">
        <f>IF(OR($A62="",L$4=""),"",IF(AND(L$4="小型船舶2級",(COUNTIFS('資格研修記録'!$A$5:$A$1004,$A62,'資格研修記録'!$D$5:$D$1004,"小型船舶1級",'資格研修記録'!$F$5:$F$1004,"")+COUNTIFS('資格研修記録'!$A$5:$A$1004,$A62,'資格研修記録'!$D$5:$D$1004,"小型船舶1級",'資格研修記録'!$F$5:$F$1004,"&gt;="&amp;TODAY()))&gt;0),"1級に含む",IF(COUNTIFS('資格研修記録'!$A$5:$A$1004,$A62,'資格研修記録'!$D$5:$D$1004,L$4)=0,"—",IF(COUNTIFS('資格研修記録'!$A$5:$A$1004,$A62,'資格研修記録'!$D$5:$D$1004,L$4,'資格研修記録'!$F$5:$F$1004,"")+COUNTIFS('資格研修記録'!$A$5:$A$1004,$A62,'資格研修記録'!$D$5:$D$1004,L$4,'資格研修記録'!$F$5:$F$1004,"&gt;="&amp;TODAY())&gt;0,"○","× 期限切れ"))))</f>
        <v/>
      </c>
    </row>
    <row r="63">
      <c r="A63" s="14">
        <f>IF('隊員マスタ'!A63="","",'隊員マスタ'!A63)</f>
        <v/>
      </c>
      <c r="B63" s="14">
        <f>IF(A63="","",'隊員マスタ'!B63)</f>
        <v/>
      </c>
      <c r="C63" s="14">
        <f>IF(A63="","",'隊員マスタ'!C63)</f>
        <v/>
      </c>
      <c r="D63" s="15">
        <f>IF(A63="","",'隊員マスタ'!D63)</f>
        <v/>
      </c>
      <c r="E63" s="15">
        <f>IF(OR($A63="",E$4=""),"",IF(AND(E$4="小型船舶2級",(COUNTIFS('資格研修記録'!$A$5:$A$1004,$A63,'資格研修記録'!$D$5:$D$1004,"小型船舶1級",'資格研修記録'!$F$5:$F$1004,"")+COUNTIFS('資格研修記録'!$A$5:$A$1004,$A63,'資格研修記録'!$D$5:$D$1004,"小型船舶1級",'資格研修記録'!$F$5:$F$1004,"&gt;="&amp;TODAY()))&gt;0),"1級に含む",IF(COUNTIFS('資格研修記録'!$A$5:$A$1004,$A63,'資格研修記録'!$D$5:$D$1004,E$4)=0,"—",IF(COUNTIFS('資格研修記録'!$A$5:$A$1004,$A63,'資格研修記録'!$D$5:$D$1004,E$4,'資格研修記録'!$F$5:$F$1004,"")+COUNTIFS('資格研修記録'!$A$5:$A$1004,$A63,'資格研修記録'!$D$5:$D$1004,E$4,'資格研修記録'!$F$5:$F$1004,"&gt;="&amp;TODAY())&gt;0,"○","× 期限切れ"))))</f>
        <v/>
      </c>
      <c r="F63" s="15">
        <f>IF(OR($A63="",F$4=""),"",IF(AND(F$4="小型船舶2級",(COUNTIFS('資格研修記録'!$A$5:$A$1004,$A63,'資格研修記録'!$D$5:$D$1004,"小型船舶1級",'資格研修記録'!$F$5:$F$1004,"")+COUNTIFS('資格研修記録'!$A$5:$A$1004,$A63,'資格研修記録'!$D$5:$D$1004,"小型船舶1級",'資格研修記録'!$F$5:$F$1004,"&gt;="&amp;TODAY()))&gt;0),"1級に含む",IF(COUNTIFS('資格研修記録'!$A$5:$A$1004,$A63,'資格研修記録'!$D$5:$D$1004,F$4)=0,"—",IF(COUNTIFS('資格研修記録'!$A$5:$A$1004,$A63,'資格研修記録'!$D$5:$D$1004,F$4,'資格研修記録'!$F$5:$F$1004,"")+COUNTIFS('資格研修記録'!$A$5:$A$1004,$A63,'資格研修記録'!$D$5:$D$1004,F$4,'資格研修記録'!$F$5:$F$1004,"&gt;="&amp;TODAY())&gt;0,"○","× 期限切れ"))))</f>
        <v/>
      </c>
      <c r="G63" s="15">
        <f>IF(OR($A63="",G$4=""),"",IF(AND(G$4="小型船舶2級",(COUNTIFS('資格研修記録'!$A$5:$A$1004,$A63,'資格研修記録'!$D$5:$D$1004,"小型船舶1級",'資格研修記録'!$F$5:$F$1004,"")+COUNTIFS('資格研修記録'!$A$5:$A$1004,$A63,'資格研修記録'!$D$5:$D$1004,"小型船舶1級",'資格研修記録'!$F$5:$F$1004,"&gt;="&amp;TODAY()))&gt;0),"1級に含む",IF(COUNTIFS('資格研修記録'!$A$5:$A$1004,$A63,'資格研修記録'!$D$5:$D$1004,G$4)=0,"—",IF(COUNTIFS('資格研修記録'!$A$5:$A$1004,$A63,'資格研修記録'!$D$5:$D$1004,G$4,'資格研修記録'!$F$5:$F$1004,"")+COUNTIFS('資格研修記録'!$A$5:$A$1004,$A63,'資格研修記録'!$D$5:$D$1004,G$4,'資格研修記録'!$F$5:$F$1004,"&gt;="&amp;TODAY())&gt;0,"○","× 期限切れ"))))</f>
        <v/>
      </c>
      <c r="H63" s="15">
        <f>IF(OR($A63="",H$4=""),"",IF(AND(H$4="小型船舶2級",(COUNTIFS('資格研修記録'!$A$5:$A$1004,$A63,'資格研修記録'!$D$5:$D$1004,"小型船舶1級",'資格研修記録'!$F$5:$F$1004,"")+COUNTIFS('資格研修記録'!$A$5:$A$1004,$A63,'資格研修記録'!$D$5:$D$1004,"小型船舶1級",'資格研修記録'!$F$5:$F$1004,"&gt;="&amp;TODAY()))&gt;0),"1級に含む",IF(COUNTIFS('資格研修記録'!$A$5:$A$1004,$A63,'資格研修記録'!$D$5:$D$1004,H$4)=0,"—",IF(COUNTIFS('資格研修記録'!$A$5:$A$1004,$A63,'資格研修記録'!$D$5:$D$1004,H$4,'資格研修記録'!$F$5:$F$1004,"")+COUNTIFS('資格研修記録'!$A$5:$A$1004,$A63,'資格研修記録'!$D$5:$D$1004,H$4,'資格研修記録'!$F$5:$F$1004,"&gt;="&amp;TODAY())&gt;0,"○","× 期限切れ"))))</f>
        <v/>
      </c>
      <c r="I63" s="15">
        <f>IF(OR($A63="",I$4=""),"",IF(AND(I$4="小型船舶2級",(COUNTIFS('資格研修記録'!$A$5:$A$1004,$A63,'資格研修記録'!$D$5:$D$1004,"小型船舶1級",'資格研修記録'!$F$5:$F$1004,"")+COUNTIFS('資格研修記録'!$A$5:$A$1004,$A63,'資格研修記録'!$D$5:$D$1004,"小型船舶1級",'資格研修記録'!$F$5:$F$1004,"&gt;="&amp;TODAY()))&gt;0),"1級に含む",IF(COUNTIFS('資格研修記録'!$A$5:$A$1004,$A63,'資格研修記録'!$D$5:$D$1004,I$4)=0,"—",IF(COUNTIFS('資格研修記録'!$A$5:$A$1004,$A63,'資格研修記録'!$D$5:$D$1004,I$4,'資格研修記録'!$F$5:$F$1004,"")+COUNTIFS('資格研修記録'!$A$5:$A$1004,$A63,'資格研修記録'!$D$5:$D$1004,I$4,'資格研修記録'!$F$5:$F$1004,"&gt;="&amp;TODAY())&gt;0,"○","× 期限切れ"))))</f>
        <v/>
      </c>
      <c r="J63" s="15">
        <f>IF(OR($A63="",J$4=""),"",IF(AND(J$4="小型船舶2級",(COUNTIFS('資格研修記録'!$A$5:$A$1004,$A63,'資格研修記録'!$D$5:$D$1004,"小型船舶1級",'資格研修記録'!$F$5:$F$1004,"")+COUNTIFS('資格研修記録'!$A$5:$A$1004,$A63,'資格研修記録'!$D$5:$D$1004,"小型船舶1級",'資格研修記録'!$F$5:$F$1004,"&gt;="&amp;TODAY()))&gt;0),"1級に含む",IF(COUNTIFS('資格研修記録'!$A$5:$A$1004,$A63,'資格研修記録'!$D$5:$D$1004,J$4)=0,"—",IF(COUNTIFS('資格研修記録'!$A$5:$A$1004,$A63,'資格研修記録'!$D$5:$D$1004,J$4,'資格研修記録'!$F$5:$F$1004,"")+COUNTIFS('資格研修記録'!$A$5:$A$1004,$A63,'資格研修記録'!$D$5:$D$1004,J$4,'資格研修記録'!$F$5:$F$1004,"&gt;="&amp;TODAY())&gt;0,"○","× 期限切れ"))))</f>
        <v/>
      </c>
      <c r="K63" s="15">
        <f>IF(OR($A63="",K$4=""),"",IF(AND(K$4="小型船舶2級",(COUNTIFS('資格研修記録'!$A$5:$A$1004,$A63,'資格研修記録'!$D$5:$D$1004,"小型船舶1級",'資格研修記録'!$F$5:$F$1004,"")+COUNTIFS('資格研修記録'!$A$5:$A$1004,$A63,'資格研修記録'!$D$5:$D$1004,"小型船舶1級",'資格研修記録'!$F$5:$F$1004,"&gt;="&amp;TODAY()))&gt;0),"1級に含む",IF(COUNTIFS('資格研修記録'!$A$5:$A$1004,$A63,'資格研修記録'!$D$5:$D$1004,K$4)=0,"—",IF(COUNTIFS('資格研修記録'!$A$5:$A$1004,$A63,'資格研修記録'!$D$5:$D$1004,K$4,'資格研修記録'!$F$5:$F$1004,"")+COUNTIFS('資格研修記録'!$A$5:$A$1004,$A63,'資格研修記録'!$D$5:$D$1004,K$4,'資格研修記録'!$F$5:$F$1004,"&gt;="&amp;TODAY())&gt;0,"○","× 期限切れ"))))</f>
        <v/>
      </c>
      <c r="L63" s="15">
        <f>IF(OR($A63="",L$4=""),"",IF(AND(L$4="小型船舶2級",(COUNTIFS('資格研修記録'!$A$5:$A$1004,$A63,'資格研修記録'!$D$5:$D$1004,"小型船舶1級",'資格研修記録'!$F$5:$F$1004,"")+COUNTIFS('資格研修記録'!$A$5:$A$1004,$A63,'資格研修記録'!$D$5:$D$1004,"小型船舶1級",'資格研修記録'!$F$5:$F$1004,"&gt;="&amp;TODAY()))&gt;0),"1級に含む",IF(COUNTIFS('資格研修記録'!$A$5:$A$1004,$A63,'資格研修記録'!$D$5:$D$1004,L$4)=0,"—",IF(COUNTIFS('資格研修記録'!$A$5:$A$1004,$A63,'資格研修記録'!$D$5:$D$1004,L$4,'資格研修記録'!$F$5:$F$1004,"")+COUNTIFS('資格研修記録'!$A$5:$A$1004,$A63,'資格研修記録'!$D$5:$D$1004,L$4,'資格研修記録'!$F$5:$F$1004,"&gt;="&amp;TODAY())&gt;0,"○","× 期限切れ"))))</f>
        <v/>
      </c>
    </row>
    <row r="64">
      <c r="A64" s="14">
        <f>IF('隊員マスタ'!A64="","",'隊員マスタ'!A64)</f>
        <v/>
      </c>
      <c r="B64" s="14">
        <f>IF(A64="","",'隊員マスタ'!B64)</f>
        <v/>
      </c>
      <c r="C64" s="14">
        <f>IF(A64="","",'隊員マスタ'!C64)</f>
        <v/>
      </c>
      <c r="D64" s="15">
        <f>IF(A64="","",'隊員マスタ'!D64)</f>
        <v/>
      </c>
      <c r="E64" s="15">
        <f>IF(OR($A64="",E$4=""),"",IF(AND(E$4="小型船舶2級",(COUNTIFS('資格研修記録'!$A$5:$A$1004,$A64,'資格研修記録'!$D$5:$D$1004,"小型船舶1級",'資格研修記録'!$F$5:$F$1004,"")+COUNTIFS('資格研修記録'!$A$5:$A$1004,$A64,'資格研修記録'!$D$5:$D$1004,"小型船舶1級",'資格研修記録'!$F$5:$F$1004,"&gt;="&amp;TODAY()))&gt;0),"1級に含む",IF(COUNTIFS('資格研修記録'!$A$5:$A$1004,$A64,'資格研修記録'!$D$5:$D$1004,E$4)=0,"—",IF(COUNTIFS('資格研修記録'!$A$5:$A$1004,$A64,'資格研修記録'!$D$5:$D$1004,E$4,'資格研修記録'!$F$5:$F$1004,"")+COUNTIFS('資格研修記録'!$A$5:$A$1004,$A64,'資格研修記録'!$D$5:$D$1004,E$4,'資格研修記録'!$F$5:$F$1004,"&gt;="&amp;TODAY())&gt;0,"○","× 期限切れ"))))</f>
        <v/>
      </c>
      <c r="F64" s="15">
        <f>IF(OR($A64="",F$4=""),"",IF(AND(F$4="小型船舶2級",(COUNTIFS('資格研修記録'!$A$5:$A$1004,$A64,'資格研修記録'!$D$5:$D$1004,"小型船舶1級",'資格研修記録'!$F$5:$F$1004,"")+COUNTIFS('資格研修記録'!$A$5:$A$1004,$A64,'資格研修記録'!$D$5:$D$1004,"小型船舶1級",'資格研修記録'!$F$5:$F$1004,"&gt;="&amp;TODAY()))&gt;0),"1級に含む",IF(COUNTIFS('資格研修記録'!$A$5:$A$1004,$A64,'資格研修記録'!$D$5:$D$1004,F$4)=0,"—",IF(COUNTIFS('資格研修記録'!$A$5:$A$1004,$A64,'資格研修記録'!$D$5:$D$1004,F$4,'資格研修記録'!$F$5:$F$1004,"")+COUNTIFS('資格研修記録'!$A$5:$A$1004,$A64,'資格研修記録'!$D$5:$D$1004,F$4,'資格研修記録'!$F$5:$F$1004,"&gt;="&amp;TODAY())&gt;0,"○","× 期限切れ"))))</f>
        <v/>
      </c>
      <c r="G64" s="15">
        <f>IF(OR($A64="",G$4=""),"",IF(AND(G$4="小型船舶2級",(COUNTIFS('資格研修記録'!$A$5:$A$1004,$A64,'資格研修記録'!$D$5:$D$1004,"小型船舶1級",'資格研修記録'!$F$5:$F$1004,"")+COUNTIFS('資格研修記録'!$A$5:$A$1004,$A64,'資格研修記録'!$D$5:$D$1004,"小型船舶1級",'資格研修記録'!$F$5:$F$1004,"&gt;="&amp;TODAY()))&gt;0),"1級に含む",IF(COUNTIFS('資格研修記録'!$A$5:$A$1004,$A64,'資格研修記録'!$D$5:$D$1004,G$4)=0,"—",IF(COUNTIFS('資格研修記録'!$A$5:$A$1004,$A64,'資格研修記録'!$D$5:$D$1004,G$4,'資格研修記録'!$F$5:$F$1004,"")+COUNTIFS('資格研修記録'!$A$5:$A$1004,$A64,'資格研修記録'!$D$5:$D$1004,G$4,'資格研修記録'!$F$5:$F$1004,"&gt;="&amp;TODAY())&gt;0,"○","× 期限切れ"))))</f>
        <v/>
      </c>
      <c r="H64" s="15">
        <f>IF(OR($A64="",H$4=""),"",IF(AND(H$4="小型船舶2級",(COUNTIFS('資格研修記録'!$A$5:$A$1004,$A64,'資格研修記録'!$D$5:$D$1004,"小型船舶1級",'資格研修記録'!$F$5:$F$1004,"")+COUNTIFS('資格研修記録'!$A$5:$A$1004,$A64,'資格研修記録'!$D$5:$D$1004,"小型船舶1級",'資格研修記録'!$F$5:$F$1004,"&gt;="&amp;TODAY()))&gt;0),"1級に含む",IF(COUNTIFS('資格研修記録'!$A$5:$A$1004,$A64,'資格研修記録'!$D$5:$D$1004,H$4)=0,"—",IF(COUNTIFS('資格研修記録'!$A$5:$A$1004,$A64,'資格研修記録'!$D$5:$D$1004,H$4,'資格研修記録'!$F$5:$F$1004,"")+COUNTIFS('資格研修記録'!$A$5:$A$1004,$A64,'資格研修記録'!$D$5:$D$1004,H$4,'資格研修記録'!$F$5:$F$1004,"&gt;="&amp;TODAY())&gt;0,"○","× 期限切れ"))))</f>
        <v/>
      </c>
      <c r="I64" s="15">
        <f>IF(OR($A64="",I$4=""),"",IF(AND(I$4="小型船舶2級",(COUNTIFS('資格研修記録'!$A$5:$A$1004,$A64,'資格研修記録'!$D$5:$D$1004,"小型船舶1級",'資格研修記録'!$F$5:$F$1004,"")+COUNTIFS('資格研修記録'!$A$5:$A$1004,$A64,'資格研修記録'!$D$5:$D$1004,"小型船舶1級",'資格研修記録'!$F$5:$F$1004,"&gt;="&amp;TODAY()))&gt;0),"1級に含む",IF(COUNTIFS('資格研修記録'!$A$5:$A$1004,$A64,'資格研修記録'!$D$5:$D$1004,I$4)=0,"—",IF(COUNTIFS('資格研修記録'!$A$5:$A$1004,$A64,'資格研修記録'!$D$5:$D$1004,I$4,'資格研修記録'!$F$5:$F$1004,"")+COUNTIFS('資格研修記録'!$A$5:$A$1004,$A64,'資格研修記録'!$D$5:$D$1004,I$4,'資格研修記録'!$F$5:$F$1004,"&gt;="&amp;TODAY())&gt;0,"○","× 期限切れ"))))</f>
        <v/>
      </c>
      <c r="J64" s="15">
        <f>IF(OR($A64="",J$4=""),"",IF(AND(J$4="小型船舶2級",(COUNTIFS('資格研修記録'!$A$5:$A$1004,$A64,'資格研修記録'!$D$5:$D$1004,"小型船舶1級",'資格研修記録'!$F$5:$F$1004,"")+COUNTIFS('資格研修記録'!$A$5:$A$1004,$A64,'資格研修記録'!$D$5:$D$1004,"小型船舶1級",'資格研修記録'!$F$5:$F$1004,"&gt;="&amp;TODAY()))&gt;0),"1級に含む",IF(COUNTIFS('資格研修記録'!$A$5:$A$1004,$A64,'資格研修記録'!$D$5:$D$1004,J$4)=0,"—",IF(COUNTIFS('資格研修記録'!$A$5:$A$1004,$A64,'資格研修記録'!$D$5:$D$1004,J$4,'資格研修記録'!$F$5:$F$1004,"")+COUNTIFS('資格研修記録'!$A$5:$A$1004,$A64,'資格研修記録'!$D$5:$D$1004,J$4,'資格研修記録'!$F$5:$F$1004,"&gt;="&amp;TODAY())&gt;0,"○","× 期限切れ"))))</f>
        <v/>
      </c>
      <c r="K64" s="15">
        <f>IF(OR($A64="",K$4=""),"",IF(AND(K$4="小型船舶2級",(COUNTIFS('資格研修記録'!$A$5:$A$1004,$A64,'資格研修記録'!$D$5:$D$1004,"小型船舶1級",'資格研修記録'!$F$5:$F$1004,"")+COUNTIFS('資格研修記録'!$A$5:$A$1004,$A64,'資格研修記録'!$D$5:$D$1004,"小型船舶1級",'資格研修記録'!$F$5:$F$1004,"&gt;="&amp;TODAY()))&gt;0),"1級に含む",IF(COUNTIFS('資格研修記録'!$A$5:$A$1004,$A64,'資格研修記録'!$D$5:$D$1004,K$4)=0,"—",IF(COUNTIFS('資格研修記録'!$A$5:$A$1004,$A64,'資格研修記録'!$D$5:$D$1004,K$4,'資格研修記録'!$F$5:$F$1004,"")+COUNTIFS('資格研修記録'!$A$5:$A$1004,$A64,'資格研修記録'!$D$5:$D$1004,K$4,'資格研修記録'!$F$5:$F$1004,"&gt;="&amp;TODAY())&gt;0,"○","× 期限切れ"))))</f>
        <v/>
      </c>
      <c r="L64" s="15">
        <f>IF(OR($A64="",L$4=""),"",IF(AND(L$4="小型船舶2級",(COUNTIFS('資格研修記録'!$A$5:$A$1004,$A64,'資格研修記録'!$D$5:$D$1004,"小型船舶1級",'資格研修記録'!$F$5:$F$1004,"")+COUNTIFS('資格研修記録'!$A$5:$A$1004,$A64,'資格研修記録'!$D$5:$D$1004,"小型船舶1級",'資格研修記録'!$F$5:$F$1004,"&gt;="&amp;TODAY()))&gt;0),"1級に含む",IF(COUNTIFS('資格研修記録'!$A$5:$A$1004,$A64,'資格研修記録'!$D$5:$D$1004,L$4)=0,"—",IF(COUNTIFS('資格研修記録'!$A$5:$A$1004,$A64,'資格研修記録'!$D$5:$D$1004,L$4,'資格研修記録'!$F$5:$F$1004,"")+COUNTIFS('資格研修記録'!$A$5:$A$1004,$A64,'資格研修記録'!$D$5:$D$1004,L$4,'資格研修記録'!$F$5:$F$1004,"&gt;="&amp;TODAY())&gt;0,"○","× 期限切れ"))))</f>
        <v/>
      </c>
    </row>
    <row r="65">
      <c r="A65" s="14">
        <f>IF('隊員マスタ'!A65="","",'隊員マスタ'!A65)</f>
        <v/>
      </c>
      <c r="B65" s="14">
        <f>IF(A65="","",'隊員マスタ'!B65)</f>
        <v/>
      </c>
      <c r="C65" s="14">
        <f>IF(A65="","",'隊員マスタ'!C65)</f>
        <v/>
      </c>
      <c r="D65" s="15">
        <f>IF(A65="","",'隊員マスタ'!D65)</f>
        <v/>
      </c>
      <c r="E65" s="15">
        <f>IF(OR($A65="",E$4=""),"",IF(AND(E$4="小型船舶2級",(COUNTIFS('資格研修記録'!$A$5:$A$1004,$A65,'資格研修記録'!$D$5:$D$1004,"小型船舶1級",'資格研修記録'!$F$5:$F$1004,"")+COUNTIFS('資格研修記録'!$A$5:$A$1004,$A65,'資格研修記録'!$D$5:$D$1004,"小型船舶1級",'資格研修記録'!$F$5:$F$1004,"&gt;="&amp;TODAY()))&gt;0),"1級に含む",IF(COUNTIFS('資格研修記録'!$A$5:$A$1004,$A65,'資格研修記録'!$D$5:$D$1004,E$4)=0,"—",IF(COUNTIFS('資格研修記録'!$A$5:$A$1004,$A65,'資格研修記録'!$D$5:$D$1004,E$4,'資格研修記録'!$F$5:$F$1004,"")+COUNTIFS('資格研修記録'!$A$5:$A$1004,$A65,'資格研修記録'!$D$5:$D$1004,E$4,'資格研修記録'!$F$5:$F$1004,"&gt;="&amp;TODAY())&gt;0,"○","× 期限切れ"))))</f>
        <v/>
      </c>
      <c r="F65" s="15">
        <f>IF(OR($A65="",F$4=""),"",IF(AND(F$4="小型船舶2級",(COUNTIFS('資格研修記録'!$A$5:$A$1004,$A65,'資格研修記録'!$D$5:$D$1004,"小型船舶1級",'資格研修記録'!$F$5:$F$1004,"")+COUNTIFS('資格研修記録'!$A$5:$A$1004,$A65,'資格研修記録'!$D$5:$D$1004,"小型船舶1級",'資格研修記録'!$F$5:$F$1004,"&gt;="&amp;TODAY()))&gt;0),"1級に含む",IF(COUNTIFS('資格研修記録'!$A$5:$A$1004,$A65,'資格研修記録'!$D$5:$D$1004,F$4)=0,"—",IF(COUNTIFS('資格研修記録'!$A$5:$A$1004,$A65,'資格研修記録'!$D$5:$D$1004,F$4,'資格研修記録'!$F$5:$F$1004,"")+COUNTIFS('資格研修記録'!$A$5:$A$1004,$A65,'資格研修記録'!$D$5:$D$1004,F$4,'資格研修記録'!$F$5:$F$1004,"&gt;="&amp;TODAY())&gt;0,"○","× 期限切れ"))))</f>
        <v/>
      </c>
      <c r="G65" s="15">
        <f>IF(OR($A65="",G$4=""),"",IF(AND(G$4="小型船舶2級",(COUNTIFS('資格研修記録'!$A$5:$A$1004,$A65,'資格研修記録'!$D$5:$D$1004,"小型船舶1級",'資格研修記録'!$F$5:$F$1004,"")+COUNTIFS('資格研修記録'!$A$5:$A$1004,$A65,'資格研修記録'!$D$5:$D$1004,"小型船舶1級",'資格研修記録'!$F$5:$F$1004,"&gt;="&amp;TODAY()))&gt;0),"1級に含む",IF(COUNTIFS('資格研修記録'!$A$5:$A$1004,$A65,'資格研修記録'!$D$5:$D$1004,G$4)=0,"—",IF(COUNTIFS('資格研修記録'!$A$5:$A$1004,$A65,'資格研修記録'!$D$5:$D$1004,G$4,'資格研修記録'!$F$5:$F$1004,"")+COUNTIFS('資格研修記録'!$A$5:$A$1004,$A65,'資格研修記録'!$D$5:$D$1004,G$4,'資格研修記録'!$F$5:$F$1004,"&gt;="&amp;TODAY())&gt;0,"○","× 期限切れ"))))</f>
        <v/>
      </c>
      <c r="H65" s="15">
        <f>IF(OR($A65="",H$4=""),"",IF(AND(H$4="小型船舶2級",(COUNTIFS('資格研修記録'!$A$5:$A$1004,$A65,'資格研修記録'!$D$5:$D$1004,"小型船舶1級",'資格研修記録'!$F$5:$F$1004,"")+COUNTIFS('資格研修記録'!$A$5:$A$1004,$A65,'資格研修記録'!$D$5:$D$1004,"小型船舶1級",'資格研修記録'!$F$5:$F$1004,"&gt;="&amp;TODAY()))&gt;0),"1級に含む",IF(COUNTIFS('資格研修記録'!$A$5:$A$1004,$A65,'資格研修記録'!$D$5:$D$1004,H$4)=0,"—",IF(COUNTIFS('資格研修記録'!$A$5:$A$1004,$A65,'資格研修記録'!$D$5:$D$1004,H$4,'資格研修記録'!$F$5:$F$1004,"")+COUNTIFS('資格研修記録'!$A$5:$A$1004,$A65,'資格研修記録'!$D$5:$D$1004,H$4,'資格研修記録'!$F$5:$F$1004,"&gt;="&amp;TODAY())&gt;0,"○","× 期限切れ"))))</f>
        <v/>
      </c>
      <c r="I65" s="15">
        <f>IF(OR($A65="",I$4=""),"",IF(AND(I$4="小型船舶2級",(COUNTIFS('資格研修記録'!$A$5:$A$1004,$A65,'資格研修記録'!$D$5:$D$1004,"小型船舶1級",'資格研修記録'!$F$5:$F$1004,"")+COUNTIFS('資格研修記録'!$A$5:$A$1004,$A65,'資格研修記録'!$D$5:$D$1004,"小型船舶1級",'資格研修記録'!$F$5:$F$1004,"&gt;="&amp;TODAY()))&gt;0),"1級に含む",IF(COUNTIFS('資格研修記録'!$A$5:$A$1004,$A65,'資格研修記録'!$D$5:$D$1004,I$4)=0,"—",IF(COUNTIFS('資格研修記録'!$A$5:$A$1004,$A65,'資格研修記録'!$D$5:$D$1004,I$4,'資格研修記録'!$F$5:$F$1004,"")+COUNTIFS('資格研修記録'!$A$5:$A$1004,$A65,'資格研修記録'!$D$5:$D$1004,I$4,'資格研修記録'!$F$5:$F$1004,"&gt;="&amp;TODAY())&gt;0,"○","× 期限切れ"))))</f>
        <v/>
      </c>
      <c r="J65" s="15">
        <f>IF(OR($A65="",J$4=""),"",IF(AND(J$4="小型船舶2級",(COUNTIFS('資格研修記録'!$A$5:$A$1004,$A65,'資格研修記録'!$D$5:$D$1004,"小型船舶1級",'資格研修記録'!$F$5:$F$1004,"")+COUNTIFS('資格研修記録'!$A$5:$A$1004,$A65,'資格研修記録'!$D$5:$D$1004,"小型船舶1級",'資格研修記録'!$F$5:$F$1004,"&gt;="&amp;TODAY()))&gt;0),"1級に含む",IF(COUNTIFS('資格研修記録'!$A$5:$A$1004,$A65,'資格研修記録'!$D$5:$D$1004,J$4)=0,"—",IF(COUNTIFS('資格研修記録'!$A$5:$A$1004,$A65,'資格研修記録'!$D$5:$D$1004,J$4,'資格研修記録'!$F$5:$F$1004,"")+COUNTIFS('資格研修記録'!$A$5:$A$1004,$A65,'資格研修記録'!$D$5:$D$1004,J$4,'資格研修記録'!$F$5:$F$1004,"&gt;="&amp;TODAY())&gt;0,"○","× 期限切れ"))))</f>
        <v/>
      </c>
      <c r="K65" s="15">
        <f>IF(OR($A65="",K$4=""),"",IF(AND(K$4="小型船舶2級",(COUNTIFS('資格研修記録'!$A$5:$A$1004,$A65,'資格研修記録'!$D$5:$D$1004,"小型船舶1級",'資格研修記録'!$F$5:$F$1004,"")+COUNTIFS('資格研修記録'!$A$5:$A$1004,$A65,'資格研修記録'!$D$5:$D$1004,"小型船舶1級",'資格研修記録'!$F$5:$F$1004,"&gt;="&amp;TODAY()))&gt;0),"1級に含む",IF(COUNTIFS('資格研修記録'!$A$5:$A$1004,$A65,'資格研修記録'!$D$5:$D$1004,K$4)=0,"—",IF(COUNTIFS('資格研修記録'!$A$5:$A$1004,$A65,'資格研修記録'!$D$5:$D$1004,K$4,'資格研修記録'!$F$5:$F$1004,"")+COUNTIFS('資格研修記録'!$A$5:$A$1004,$A65,'資格研修記録'!$D$5:$D$1004,K$4,'資格研修記録'!$F$5:$F$1004,"&gt;="&amp;TODAY())&gt;0,"○","× 期限切れ"))))</f>
        <v/>
      </c>
      <c r="L65" s="15">
        <f>IF(OR($A65="",L$4=""),"",IF(AND(L$4="小型船舶2級",(COUNTIFS('資格研修記録'!$A$5:$A$1004,$A65,'資格研修記録'!$D$5:$D$1004,"小型船舶1級",'資格研修記録'!$F$5:$F$1004,"")+COUNTIFS('資格研修記録'!$A$5:$A$1004,$A65,'資格研修記録'!$D$5:$D$1004,"小型船舶1級",'資格研修記録'!$F$5:$F$1004,"&gt;="&amp;TODAY()))&gt;0),"1級に含む",IF(COUNTIFS('資格研修記録'!$A$5:$A$1004,$A65,'資格研修記録'!$D$5:$D$1004,L$4)=0,"—",IF(COUNTIFS('資格研修記録'!$A$5:$A$1004,$A65,'資格研修記録'!$D$5:$D$1004,L$4,'資格研修記録'!$F$5:$F$1004,"")+COUNTIFS('資格研修記録'!$A$5:$A$1004,$A65,'資格研修記録'!$D$5:$D$1004,L$4,'資格研修記録'!$F$5:$F$1004,"&gt;="&amp;TODAY())&gt;0,"○","× 期限切れ"))))</f>
        <v/>
      </c>
    </row>
    <row r="66">
      <c r="A66" s="14">
        <f>IF('隊員マスタ'!A66="","",'隊員マスタ'!A66)</f>
        <v/>
      </c>
      <c r="B66" s="14">
        <f>IF(A66="","",'隊員マスタ'!B66)</f>
        <v/>
      </c>
      <c r="C66" s="14">
        <f>IF(A66="","",'隊員マスタ'!C66)</f>
        <v/>
      </c>
      <c r="D66" s="15">
        <f>IF(A66="","",'隊員マスタ'!D66)</f>
        <v/>
      </c>
      <c r="E66" s="15">
        <f>IF(OR($A66="",E$4=""),"",IF(AND(E$4="小型船舶2級",(COUNTIFS('資格研修記録'!$A$5:$A$1004,$A66,'資格研修記録'!$D$5:$D$1004,"小型船舶1級",'資格研修記録'!$F$5:$F$1004,"")+COUNTIFS('資格研修記録'!$A$5:$A$1004,$A66,'資格研修記録'!$D$5:$D$1004,"小型船舶1級",'資格研修記録'!$F$5:$F$1004,"&gt;="&amp;TODAY()))&gt;0),"1級に含む",IF(COUNTIFS('資格研修記録'!$A$5:$A$1004,$A66,'資格研修記録'!$D$5:$D$1004,E$4)=0,"—",IF(COUNTIFS('資格研修記録'!$A$5:$A$1004,$A66,'資格研修記録'!$D$5:$D$1004,E$4,'資格研修記録'!$F$5:$F$1004,"")+COUNTIFS('資格研修記録'!$A$5:$A$1004,$A66,'資格研修記録'!$D$5:$D$1004,E$4,'資格研修記録'!$F$5:$F$1004,"&gt;="&amp;TODAY())&gt;0,"○","× 期限切れ"))))</f>
        <v/>
      </c>
      <c r="F66" s="15">
        <f>IF(OR($A66="",F$4=""),"",IF(AND(F$4="小型船舶2級",(COUNTIFS('資格研修記録'!$A$5:$A$1004,$A66,'資格研修記録'!$D$5:$D$1004,"小型船舶1級",'資格研修記録'!$F$5:$F$1004,"")+COUNTIFS('資格研修記録'!$A$5:$A$1004,$A66,'資格研修記録'!$D$5:$D$1004,"小型船舶1級",'資格研修記録'!$F$5:$F$1004,"&gt;="&amp;TODAY()))&gt;0),"1級に含む",IF(COUNTIFS('資格研修記録'!$A$5:$A$1004,$A66,'資格研修記録'!$D$5:$D$1004,F$4)=0,"—",IF(COUNTIFS('資格研修記録'!$A$5:$A$1004,$A66,'資格研修記録'!$D$5:$D$1004,F$4,'資格研修記録'!$F$5:$F$1004,"")+COUNTIFS('資格研修記録'!$A$5:$A$1004,$A66,'資格研修記録'!$D$5:$D$1004,F$4,'資格研修記録'!$F$5:$F$1004,"&gt;="&amp;TODAY())&gt;0,"○","× 期限切れ"))))</f>
        <v/>
      </c>
      <c r="G66" s="15">
        <f>IF(OR($A66="",G$4=""),"",IF(AND(G$4="小型船舶2級",(COUNTIFS('資格研修記録'!$A$5:$A$1004,$A66,'資格研修記録'!$D$5:$D$1004,"小型船舶1級",'資格研修記録'!$F$5:$F$1004,"")+COUNTIFS('資格研修記録'!$A$5:$A$1004,$A66,'資格研修記録'!$D$5:$D$1004,"小型船舶1級",'資格研修記録'!$F$5:$F$1004,"&gt;="&amp;TODAY()))&gt;0),"1級に含む",IF(COUNTIFS('資格研修記録'!$A$5:$A$1004,$A66,'資格研修記録'!$D$5:$D$1004,G$4)=0,"—",IF(COUNTIFS('資格研修記録'!$A$5:$A$1004,$A66,'資格研修記録'!$D$5:$D$1004,G$4,'資格研修記録'!$F$5:$F$1004,"")+COUNTIFS('資格研修記録'!$A$5:$A$1004,$A66,'資格研修記録'!$D$5:$D$1004,G$4,'資格研修記録'!$F$5:$F$1004,"&gt;="&amp;TODAY())&gt;0,"○","× 期限切れ"))))</f>
        <v/>
      </c>
      <c r="H66" s="15">
        <f>IF(OR($A66="",H$4=""),"",IF(AND(H$4="小型船舶2級",(COUNTIFS('資格研修記録'!$A$5:$A$1004,$A66,'資格研修記録'!$D$5:$D$1004,"小型船舶1級",'資格研修記録'!$F$5:$F$1004,"")+COUNTIFS('資格研修記録'!$A$5:$A$1004,$A66,'資格研修記録'!$D$5:$D$1004,"小型船舶1級",'資格研修記録'!$F$5:$F$1004,"&gt;="&amp;TODAY()))&gt;0),"1級に含む",IF(COUNTIFS('資格研修記録'!$A$5:$A$1004,$A66,'資格研修記録'!$D$5:$D$1004,H$4)=0,"—",IF(COUNTIFS('資格研修記録'!$A$5:$A$1004,$A66,'資格研修記録'!$D$5:$D$1004,H$4,'資格研修記録'!$F$5:$F$1004,"")+COUNTIFS('資格研修記録'!$A$5:$A$1004,$A66,'資格研修記録'!$D$5:$D$1004,H$4,'資格研修記録'!$F$5:$F$1004,"&gt;="&amp;TODAY())&gt;0,"○","× 期限切れ"))))</f>
        <v/>
      </c>
      <c r="I66" s="15">
        <f>IF(OR($A66="",I$4=""),"",IF(AND(I$4="小型船舶2級",(COUNTIFS('資格研修記録'!$A$5:$A$1004,$A66,'資格研修記録'!$D$5:$D$1004,"小型船舶1級",'資格研修記録'!$F$5:$F$1004,"")+COUNTIFS('資格研修記録'!$A$5:$A$1004,$A66,'資格研修記録'!$D$5:$D$1004,"小型船舶1級",'資格研修記録'!$F$5:$F$1004,"&gt;="&amp;TODAY()))&gt;0),"1級に含む",IF(COUNTIFS('資格研修記録'!$A$5:$A$1004,$A66,'資格研修記録'!$D$5:$D$1004,I$4)=0,"—",IF(COUNTIFS('資格研修記録'!$A$5:$A$1004,$A66,'資格研修記録'!$D$5:$D$1004,I$4,'資格研修記録'!$F$5:$F$1004,"")+COUNTIFS('資格研修記録'!$A$5:$A$1004,$A66,'資格研修記録'!$D$5:$D$1004,I$4,'資格研修記録'!$F$5:$F$1004,"&gt;="&amp;TODAY())&gt;0,"○","× 期限切れ"))))</f>
        <v/>
      </c>
      <c r="J66" s="15">
        <f>IF(OR($A66="",J$4=""),"",IF(AND(J$4="小型船舶2級",(COUNTIFS('資格研修記録'!$A$5:$A$1004,$A66,'資格研修記録'!$D$5:$D$1004,"小型船舶1級",'資格研修記録'!$F$5:$F$1004,"")+COUNTIFS('資格研修記録'!$A$5:$A$1004,$A66,'資格研修記録'!$D$5:$D$1004,"小型船舶1級",'資格研修記録'!$F$5:$F$1004,"&gt;="&amp;TODAY()))&gt;0),"1級に含む",IF(COUNTIFS('資格研修記録'!$A$5:$A$1004,$A66,'資格研修記録'!$D$5:$D$1004,J$4)=0,"—",IF(COUNTIFS('資格研修記録'!$A$5:$A$1004,$A66,'資格研修記録'!$D$5:$D$1004,J$4,'資格研修記録'!$F$5:$F$1004,"")+COUNTIFS('資格研修記録'!$A$5:$A$1004,$A66,'資格研修記録'!$D$5:$D$1004,J$4,'資格研修記録'!$F$5:$F$1004,"&gt;="&amp;TODAY())&gt;0,"○","× 期限切れ"))))</f>
        <v/>
      </c>
      <c r="K66" s="15">
        <f>IF(OR($A66="",K$4=""),"",IF(AND(K$4="小型船舶2級",(COUNTIFS('資格研修記録'!$A$5:$A$1004,$A66,'資格研修記録'!$D$5:$D$1004,"小型船舶1級",'資格研修記録'!$F$5:$F$1004,"")+COUNTIFS('資格研修記録'!$A$5:$A$1004,$A66,'資格研修記録'!$D$5:$D$1004,"小型船舶1級",'資格研修記録'!$F$5:$F$1004,"&gt;="&amp;TODAY()))&gt;0),"1級に含む",IF(COUNTIFS('資格研修記録'!$A$5:$A$1004,$A66,'資格研修記録'!$D$5:$D$1004,K$4)=0,"—",IF(COUNTIFS('資格研修記録'!$A$5:$A$1004,$A66,'資格研修記録'!$D$5:$D$1004,K$4,'資格研修記録'!$F$5:$F$1004,"")+COUNTIFS('資格研修記録'!$A$5:$A$1004,$A66,'資格研修記録'!$D$5:$D$1004,K$4,'資格研修記録'!$F$5:$F$1004,"&gt;="&amp;TODAY())&gt;0,"○","× 期限切れ"))))</f>
        <v/>
      </c>
      <c r="L66" s="15">
        <f>IF(OR($A66="",L$4=""),"",IF(AND(L$4="小型船舶2級",(COUNTIFS('資格研修記録'!$A$5:$A$1004,$A66,'資格研修記録'!$D$5:$D$1004,"小型船舶1級",'資格研修記録'!$F$5:$F$1004,"")+COUNTIFS('資格研修記録'!$A$5:$A$1004,$A66,'資格研修記録'!$D$5:$D$1004,"小型船舶1級",'資格研修記録'!$F$5:$F$1004,"&gt;="&amp;TODAY()))&gt;0),"1級に含む",IF(COUNTIFS('資格研修記録'!$A$5:$A$1004,$A66,'資格研修記録'!$D$5:$D$1004,L$4)=0,"—",IF(COUNTIFS('資格研修記録'!$A$5:$A$1004,$A66,'資格研修記録'!$D$5:$D$1004,L$4,'資格研修記録'!$F$5:$F$1004,"")+COUNTIFS('資格研修記録'!$A$5:$A$1004,$A66,'資格研修記録'!$D$5:$D$1004,L$4,'資格研修記録'!$F$5:$F$1004,"&gt;="&amp;TODAY())&gt;0,"○","× 期限切れ"))))</f>
        <v/>
      </c>
    </row>
    <row r="67">
      <c r="A67" s="14">
        <f>IF('隊員マスタ'!A67="","",'隊員マスタ'!A67)</f>
        <v/>
      </c>
      <c r="B67" s="14">
        <f>IF(A67="","",'隊員マスタ'!B67)</f>
        <v/>
      </c>
      <c r="C67" s="14">
        <f>IF(A67="","",'隊員マスタ'!C67)</f>
        <v/>
      </c>
      <c r="D67" s="15">
        <f>IF(A67="","",'隊員マスタ'!D67)</f>
        <v/>
      </c>
      <c r="E67" s="15">
        <f>IF(OR($A67="",E$4=""),"",IF(AND(E$4="小型船舶2級",(COUNTIFS('資格研修記録'!$A$5:$A$1004,$A67,'資格研修記録'!$D$5:$D$1004,"小型船舶1級",'資格研修記録'!$F$5:$F$1004,"")+COUNTIFS('資格研修記録'!$A$5:$A$1004,$A67,'資格研修記録'!$D$5:$D$1004,"小型船舶1級",'資格研修記録'!$F$5:$F$1004,"&gt;="&amp;TODAY()))&gt;0),"1級に含む",IF(COUNTIFS('資格研修記録'!$A$5:$A$1004,$A67,'資格研修記録'!$D$5:$D$1004,E$4)=0,"—",IF(COUNTIFS('資格研修記録'!$A$5:$A$1004,$A67,'資格研修記録'!$D$5:$D$1004,E$4,'資格研修記録'!$F$5:$F$1004,"")+COUNTIFS('資格研修記録'!$A$5:$A$1004,$A67,'資格研修記録'!$D$5:$D$1004,E$4,'資格研修記録'!$F$5:$F$1004,"&gt;="&amp;TODAY())&gt;0,"○","× 期限切れ"))))</f>
        <v/>
      </c>
      <c r="F67" s="15">
        <f>IF(OR($A67="",F$4=""),"",IF(AND(F$4="小型船舶2級",(COUNTIFS('資格研修記録'!$A$5:$A$1004,$A67,'資格研修記録'!$D$5:$D$1004,"小型船舶1級",'資格研修記録'!$F$5:$F$1004,"")+COUNTIFS('資格研修記録'!$A$5:$A$1004,$A67,'資格研修記録'!$D$5:$D$1004,"小型船舶1級",'資格研修記録'!$F$5:$F$1004,"&gt;="&amp;TODAY()))&gt;0),"1級に含む",IF(COUNTIFS('資格研修記録'!$A$5:$A$1004,$A67,'資格研修記録'!$D$5:$D$1004,F$4)=0,"—",IF(COUNTIFS('資格研修記録'!$A$5:$A$1004,$A67,'資格研修記録'!$D$5:$D$1004,F$4,'資格研修記録'!$F$5:$F$1004,"")+COUNTIFS('資格研修記録'!$A$5:$A$1004,$A67,'資格研修記録'!$D$5:$D$1004,F$4,'資格研修記録'!$F$5:$F$1004,"&gt;="&amp;TODAY())&gt;0,"○","× 期限切れ"))))</f>
        <v/>
      </c>
      <c r="G67" s="15">
        <f>IF(OR($A67="",G$4=""),"",IF(AND(G$4="小型船舶2級",(COUNTIFS('資格研修記録'!$A$5:$A$1004,$A67,'資格研修記録'!$D$5:$D$1004,"小型船舶1級",'資格研修記録'!$F$5:$F$1004,"")+COUNTIFS('資格研修記録'!$A$5:$A$1004,$A67,'資格研修記録'!$D$5:$D$1004,"小型船舶1級",'資格研修記録'!$F$5:$F$1004,"&gt;="&amp;TODAY()))&gt;0),"1級に含む",IF(COUNTIFS('資格研修記録'!$A$5:$A$1004,$A67,'資格研修記録'!$D$5:$D$1004,G$4)=0,"—",IF(COUNTIFS('資格研修記録'!$A$5:$A$1004,$A67,'資格研修記録'!$D$5:$D$1004,G$4,'資格研修記録'!$F$5:$F$1004,"")+COUNTIFS('資格研修記録'!$A$5:$A$1004,$A67,'資格研修記録'!$D$5:$D$1004,G$4,'資格研修記録'!$F$5:$F$1004,"&gt;="&amp;TODAY())&gt;0,"○","× 期限切れ"))))</f>
        <v/>
      </c>
      <c r="H67" s="15">
        <f>IF(OR($A67="",H$4=""),"",IF(AND(H$4="小型船舶2級",(COUNTIFS('資格研修記録'!$A$5:$A$1004,$A67,'資格研修記録'!$D$5:$D$1004,"小型船舶1級",'資格研修記録'!$F$5:$F$1004,"")+COUNTIFS('資格研修記録'!$A$5:$A$1004,$A67,'資格研修記録'!$D$5:$D$1004,"小型船舶1級",'資格研修記録'!$F$5:$F$1004,"&gt;="&amp;TODAY()))&gt;0),"1級に含む",IF(COUNTIFS('資格研修記録'!$A$5:$A$1004,$A67,'資格研修記録'!$D$5:$D$1004,H$4)=0,"—",IF(COUNTIFS('資格研修記録'!$A$5:$A$1004,$A67,'資格研修記録'!$D$5:$D$1004,H$4,'資格研修記録'!$F$5:$F$1004,"")+COUNTIFS('資格研修記録'!$A$5:$A$1004,$A67,'資格研修記録'!$D$5:$D$1004,H$4,'資格研修記録'!$F$5:$F$1004,"&gt;="&amp;TODAY())&gt;0,"○","× 期限切れ"))))</f>
        <v/>
      </c>
      <c r="I67" s="15">
        <f>IF(OR($A67="",I$4=""),"",IF(AND(I$4="小型船舶2級",(COUNTIFS('資格研修記録'!$A$5:$A$1004,$A67,'資格研修記録'!$D$5:$D$1004,"小型船舶1級",'資格研修記録'!$F$5:$F$1004,"")+COUNTIFS('資格研修記録'!$A$5:$A$1004,$A67,'資格研修記録'!$D$5:$D$1004,"小型船舶1級",'資格研修記録'!$F$5:$F$1004,"&gt;="&amp;TODAY()))&gt;0),"1級に含む",IF(COUNTIFS('資格研修記録'!$A$5:$A$1004,$A67,'資格研修記録'!$D$5:$D$1004,I$4)=0,"—",IF(COUNTIFS('資格研修記録'!$A$5:$A$1004,$A67,'資格研修記録'!$D$5:$D$1004,I$4,'資格研修記録'!$F$5:$F$1004,"")+COUNTIFS('資格研修記録'!$A$5:$A$1004,$A67,'資格研修記録'!$D$5:$D$1004,I$4,'資格研修記録'!$F$5:$F$1004,"&gt;="&amp;TODAY())&gt;0,"○","× 期限切れ"))))</f>
        <v/>
      </c>
      <c r="J67" s="15">
        <f>IF(OR($A67="",J$4=""),"",IF(AND(J$4="小型船舶2級",(COUNTIFS('資格研修記録'!$A$5:$A$1004,$A67,'資格研修記録'!$D$5:$D$1004,"小型船舶1級",'資格研修記録'!$F$5:$F$1004,"")+COUNTIFS('資格研修記録'!$A$5:$A$1004,$A67,'資格研修記録'!$D$5:$D$1004,"小型船舶1級",'資格研修記録'!$F$5:$F$1004,"&gt;="&amp;TODAY()))&gt;0),"1級に含む",IF(COUNTIFS('資格研修記録'!$A$5:$A$1004,$A67,'資格研修記録'!$D$5:$D$1004,J$4)=0,"—",IF(COUNTIFS('資格研修記録'!$A$5:$A$1004,$A67,'資格研修記録'!$D$5:$D$1004,J$4,'資格研修記録'!$F$5:$F$1004,"")+COUNTIFS('資格研修記録'!$A$5:$A$1004,$A67,'資格研修記録'!$D$5:$D$1004,J$4,'資格研修記録'!$F$5:$F$1004,"&gt;="&amp;TODAY())&gt;0,"○","× 期限切れ"))))</f>
        <v/>
      </c>
      <c r="K67" s="15">
        <f>IF(OR($A67="",K$4=""),"",IF(AND(K$4="小型船舶2級",(COUNTIFS('資格研修記録'!$A$5:$A$1004,$A67,'資格研修記録'!$D$5:$D$1004,"小型船舶1級",'資格研修記録'!$F$5:$F$1004,"")+COUNTIFS('資格研修記録'!$A$5:$A$1004,$A67,'資格研修記録'!$D$5:$D$1004,"小型船舶1級",'資格研修記録'!$F$5:$F$1004,"&gt;="&amp;TODAY()))&gt;0),"1級に含む",IF(COUNTIFS('資格研修記録'!$A$5:$A$1004,$A67,'資格研修記録'!$D$5:$D$1004,K$4)=0,"—",IF(COUNTIFS('資格研修記録'!$A$5:$A$1004,$A67,'資格研修記録'!$D$5:$D$1004,K$4,'資格研修記録'!$F$5:$F$1004,"")+COUNTIFS('資格研修記録'!$A$5:$A$1004,$A67,'資格研修記録'!$D$5:$D$1004,K$4,'資格研修記録'!$F$5:$F$1004,"&gt;="&amp;TODAY())&gt;0,"○","× 期限切れ"))))</f>
        <v/>
      </c>
      <c r="L67" s="15">
        <f>IF(OR($A67="",L$4=""),"",IF(AND(L$4="小型船舶2級",(COUNTIFS('資格研修記録'!$A$5:$A$1004,$A67,'資格研修記録'!$D$5:$D$1004,"小型船舶1級",'資格研修記録'!$F$5:$F$1004,"")+COUNTIFS('資格研修記録'!$A$5:$A$1004,$A67,'資格研修記録'!$D$5:$D$1004,"小型船舶1級",'資格研修記録'!$F$5:$F$1004,"&gt;="&amp;TODAY()))&gt;0),"1級に含む",IF(COUNTIFS('資格研修記録'!$A$5:$A$1004,$A67,'資格研修記録'!$D$5:$D$1004,L$4)=0,"—",IF(COUNTIFS('資格研修記録'!$A$5:$A$1004,$A67,'資格研修記録'!$D$5:$D$1004,L$4,'資格研修記録'!$F$5:$F$1004,"")+COUNTIFS('資格研修記録'!$A$5:$A$1004,$A67,'資格研修記録'!$D$5:$D$1004,L$4,'資格研修記録'!$F$5:$F$1004,"&gt;="&amp;TODAY())&gt;0,"○","× 期限切れ"))))</f>
        <v/>
      </c>
    </row>
    <row r="68">
      <c r="A68" s="14">
        <f>IF('隊員マスタ'!A68="","",'隊員マスタ'!A68)</f>
        <v/>
      </c>
      <c r="B68" s="14">
        <f>IF(A68="","",'隊員マスタ'!B68)</f>
        <v/>
      </c>
      <c r="C68" s="14">
        <f>IF(A68="","",'隊員マスタ'!C68)</f>
        <v/>
      </c>
      <c r="D68" s="15">
        <f>IF(A68="","",'隊員マスタ'!D68)</f>
        <v/>
      </c>
      <c r="E68" s="15">
        <f>IF(OR($A68="",E$4=""),"",IF(AND(E$4="小型船舶2級",(COUNTIFS('資格研修記録'!$A$5:$A$1004,$A68,'資格研修記録'!$D$5:$D$1004,"小型船舶1級",'資格研修記録'!$F$5:$F$1004,"")+COUNTIFS('資格研修記録'!$A$5:$A$1004,$A68,'資格研修記録'!$D$5:$D$1004,"小型船舶1級",'資格研修記録'!$F$5:$F$1004,"&gt;="&amp;TODAY()))&gt;0),"1級に含む",IF(COUNTIFS('資格研修記録'!$A$5:$A$1004,$A68,'資格研修記録'!$D$5:$D$1004,E$4)=0,"—",IF(COUNTIFS('資格研修記録'!$A$5:$A$1004,$A68,'資格研修記録'!$D$5:$D$1004,E$4,'資格研修記録'!$F$5:$F$1004,"")+COUNTIFS('資格研修記録'!$A$5:$A$1004,$A68,'資格研修記録'!$D$5:$D$1004,E$4,'資格研修記録'!$F$5:$F$1004,"&gt;="&amp;TODAY())&gt;0,"○","× 期限切れ"))))</f>
        <v/>
      </c>
      <c r="F68" s="15">
        <f>IF(OR($A68="",F$4=""),"",IF(AND(F$4="小型船舶2級",(COUNTIFS('資格研修記録'!$A$5:$A$1004,$A68,'資格研修記録'!$D$5:$D$1004,"小型船舶1級",'資格研修記録'!$F$5:$F$1004,"")+COUNTIFS('資格研修記録'!$A$5:$A$1004,$A68,'資格研修記録'!$D$5:$D$1004,"小型船舶1級",'資格研修記録'!$F$5:$F$1004,"&gt;="&amp;TODAY()))&gt;0),"1級に含む",IF(COUNTIFS('資格研修記録'!$A$5:$A$1004,$A68,'資格研修記録'!$D$5:$D$1004,F$4)=0,"—",IF(COUNTIFS('資格研修記録'!$A$5:$A$1004,$A68,'資格研修記録'!$D$5:$D$1004,F$4,'資格研修記録'!$F$5:$F$1004,"")+COUNTIFS('資格研修記録'!$A$5:$A$1004,$A68,'資格研修記録'!$D$5:$D$1004,F$4,'資格研修記録'!$F$5:$F$1004,"&gt;="&amp;TODAY())&gt;0,"○","× 期限切れ"))))</f>
        <v/>
      </c>
      <c r="G68" s="15">
        <f>IF(OR($A68="",G$4=""),"",IF(AND(G$4="小型船舶2級",(COUNTIFS('資格研修記録'!$A$5:$A$1004,$A68,'資格研修記録'!$D$5:$D$1004,"小型船舶1級",'資格研修記録'!$F$5:$F$1004,"")+COUNTIFS('資格研修記録'!$A$5:$A$1004,$A68,'資格研修記録'!$D$5:$D$1004,"小型船舶1級",'資格研修記録'!$F$5:$F$1004,"&gt;="&amp;TODAY()))&gt;0),"1級に含む",IF(COUNTIFS('資格研修記録'!$A$5:$A$1004,$A68,'資格研修記録'!$D$5:$D$1004,G$4)=0,"—",IF(COUNTIFS('資格研修記録'!$A$5:$A$1004,$A68,'資格研修記録'!$D$5:$D$1004,G$4,'資格研修記録'!$F$5:$F$1004,"")+COUNTIFS('資格研修記録'!$A$5:$A$1004,$A68,'資格研修記録'!$D$5:$D$1004,G$4,'資格研修記録'!$F$5:$F$1004,"&gt;="&amp;TODAY())&gt;0,"○","× 期限切れ"))))</f>
        <v/>
      </c>
      <c r="H68" s="15">
        <f>IF(OR($A68="",H$4=""),"",IF(AND(H$4="小型船舶2級",(COUNTIFS('資格研修記録'!$A$5:$A$1004,$A68,'資格研修記録'!$D$5:$D$1004,"小型船舶1級",'資格研修記録'!$F$5:$F$1004,"")+COUNTIFS('資格研修記録'!$A$5:$A$1004,$A68,'資格研修記録'!$D$5:$D$1004,"小型船舶1級",'資格研修記録'!$F$5:$F$1004,"&gt;="&amp;TODAY()))&gt;0),"1級に含む",IF(COUNTIFS('資格研修記録'!$A$5:$A$1004,$A68,'資格研修記録'!$D$5:$D$1004,H$4)=0,"—",IF(COUNTIFS('資格研修記録'!$A$5:$A$1004,$A68,'資格研修記録'!$D$5:$D$1004,H$4,'資格研修記録'!$F$5:$F$1004,"")+COUNTIFS('資格研修記録'!$A$5:$A$1004,$A68,'資格研修記録'!$D$5:$D$1004,H$4,'資格研修記録'!$F$5:$F$1004,"&gt;="&amp;TODAY())&gt;0,"○","× 期限切れ"))))</f>
        <v/>
      </c>
      <c r="I68" s="15">
        <f>IF(OR($A68="",I$4=""),"",IF(AND(I$4="小型船舶2級",(COUNTIFS('資格研修記録'!$A$5:$A$1004,$A68,'資格研修記録'!$D$5:$D$1004,"小型船舶1級",'資格研修記録'!$F$5:$F$1004,"")+COUNTIFS('資格研修記録'!$A$5:$A$1004,$A68,'資格研修記録'!$D$5:$D$1004,"小型船舶1級",'資格研修記録'!$F$5:$F$1004,"&gt;="&amp;TODAY()))&gt;0),"1級に含む",IF(COUNTIFS('資格研修記録'!$A$5:$A$1004,$A68,'資格研修記録'!$D$5:$D$1004,I$4)=0,"—",IF(COUNTIFS('資格研修記録'!$A$5:$A$1004,$A68,'資格研修記録'!$D$5:$D$1004,I$4,'資格研修記録'!$F$5:$F$1004,"")+COUNTIFS('資格研修記録'!$A$5:$A$1004,$A68,'資格研修記録'!$D$5:$D$1004,I$4,'資格研修記録'!$F$5:$F$1004,"&gt;="&amp;TODAY())&gt;0,"○","× 期限切れ"))))</f>
        <v/>
      </c>
      <c r="J68" s="15">
        <f>IF(OR($A68="",J$4=""),"",IF(AND(J$4="小型船舶2級",(COUNTIFS('資格研修記録'!$A$5:$A$1004,$A68,'資格研修記録'!$D$5:$D$1004,"小型船舶1級",'資格研修記録'!$F$5:$F$1004,"")+COUNTIFS('資格研修記録'!$A$5:$A$1004,$A68,'資格研修記録'!$D$5:$D$1004,"小型船舶1級",'資格研修記録'!$F$5:$F$1004,"&gt;="&amp;TODAY()))&gt;0),"1級に含む",IF(COUNTIFS('資格研修記録'!$A$5:$A$1004,$A68,'資格研修記録'!$D$5:$D$1004,J$4)=0,"—",IF(COUNTIFS('資格研修記録'!$A$5:$A$1004,$A68,'資格研修記録'!$D$5:$D$1004,J$4,'資格研修記録'!$F$5:$F$1004,"")+COUNTIFS('資格研修記録'!$A$5:$A$1004,$A68,'資格研修記録'!$D$5:$D$1004,J$4,'資格研修記録'!$F$5:$F$1004,"&gt;="&amp;TODAY())&gt;0,"○","× 期限切れ"))))</f>
        <v/>
      </c>
      <c r="K68" s="15">
        <f>IF(OR($A68="",K$4=""),"",IF(AND(K$4="小型船舶2級",(COUNTIFS('資格研修記録'!$A$5:$A$1004,$A68,'資格研修記録'!$D$5:$D$1004,"小型船舶1級",'資格研修記録'!$F$5:$F$1004,"")+COUNTIFS('資格研修記録'!$A$5:$A$1004,$A68,'資格研修記録'!$D$5:$D$1004,"小型船舶1級",'資格研修記録'!$F$5:$F$1004,"&gt;="&amp;TODAY()))&gt;0),"1級に含む",IF(COUNTIFS('資格研修記録'!$A$5:$A$1004,$A68,'資格研修記録'!$D$5:$D$1004,K$4)=0,"—",IF(COUNTIFS('資格研修記録'!$A$5:$A$1004,$A68,'資格研修記録'!$D$5:$D$1004,K$4,'資格研修記録'!$F$5:$F$1004,"")+COUNTIFS('資格研修記録'!$A$5:$A$1004,$A68,'資格研修記録'!$D$5:$D$1004,K$4,'資格研修記録'!$F$5:$F$1004,"&gt;="&amp;TODAY())&gt;0,"○","× 期限切れ"))))</f>
        <v/>
      </c>
      <c r="L68" s="15">
        <f>IF(OR($A68="",L$4=""),"",IF(AND(L$4="小型船舶2級",(COUNTIFS('資格研修記録'!$A$5:$A$1004,$A68,'資格研修記録'!$D$5:$D$1004,"小型船舶1級",'資格研修記録'!$F$5:$F$1004,"")+COUNTIFS('資格研修記録'!$A$5:$A$1004,$A68,'資格研修記録'!$D$5:$D$1004,"小型船舶1級",'資格研修記録'!$F$5:$F$1004,"&gt;="&amp;TODAY()))&gt;0),"1級に含む",IF(COUNTIFS('資格研修記録'!$A$5:$A$1004,$A68,'資格研修記録'!$D$5:$D$1004,L$4)=0,"—",IF(COUNTIFS('資格研修記録'!$A$5:$A$1004,$A68,'資格研修記録'!$D$5:$D$1004,L$4,'資格研修記録'!$F$5:$F$1004,"")+COUNTIFS('資格研修記録'!$A$5:$A$1004,$A68,'資格研修記録'!$D$5:$D$1004,L$4,'資格研修記録'!$F$5:$F$1004,"&gt;="&amp;TODAY())&gt;0,"○","× 期限切れ"))))</f>
        <v/>
      </c>
    </row>
    <row r="69">
      <c r="A69" s="14">
        <f>IF('隊員マスタ'!A69="","",'隊員マスタ'!A69)</f>
        <v/>
      </c>
      <c r="B69" s="14">
        <f>IF(A69="","",'隊員マスタ'!B69)</f>
        <v/>
      </c>
      <c r="C69" s="14">
        <f>IF(A69="","",'隊員マスタ'!C69)</f>
        <v/>
      </c>
      <c r="D69" s="15">
        <f>IF(A69="","",'隊員マスタ'!D69)</f>
        <v/>
      </c>
      <c r="E69" s="15">
        <f>IF(OR($A69="",E$4=""),"",IF(AND(E$4="小型船舶2級",(COUNTIFS('資格研修記録'!$A$5:$A$1004,$A69,'資格研修記録'!$D$5:$D$1004,"小型船舶1級",'資格研修記録'!$F$5:$F$1004,"")+COUNTIFS('資格研修記録'!$A$5:$A$1004,$A69,'資格研修記録'!$D$5:$D$1004,"小型船舶1級",'資格研修記録'!$F$5:$F$1004,"&gt;="&amp;TODAY()))&gt;0),"1級に含む",IF(COUNTIFS('資格研修記録'!$A$5:$A$1004,$A69,'資格研修記録'!$D$5:$D$1004,E$4)=0,"—",IF(COUNTIFS('資格研修記録'!$A$5:$A$1004,$A69,'資格研修記録'!$D$5:$D$1004,E$4,'資格研修記録'!$F$5:$F$1004,"")+COUNTIFS('資格研修記録'!$A$5:$A$1004,$A69,'資格研修記録'!$D$5:$D$1004,E$4,'資格研修記録'!$F$5:$F$1004,"&gt;="&amp;TODAY())&gt;0,"○","× 期限切れ"))))</f>
        <v/>
      </c>
      <c r="F69" s="15">
        <f>IF(OR($A69="",F$4=""),"",IF(AND(F$4="小型船舶2級",(COUNTIFS('資格研修記録'!$A$5:$A$1004,$A69,'資格研修記録'!$D$5:$D$1004,"小型船舶1級",'資格研修記録'!$F$5:$F$1004,"")+COUNTIFS('資格研修記録'!$A$5:$A$1004,$A69,'資格研修記録'!$D$5:$D$1004,"小型船舶1級",'資格研修記録'!$F$5:$F$1004,"&gt;="&amp;TODAY()))&gt;0),"1級に含む",IF(COUNTIFS('資格研修記録'!$A$5:$A$1004,$A69,'資格研修記録'!$D$5:$D$1004,F$4)=0,"—",IF(COUNTIFS('資格研修記録'!$A$5:$A$1004,$A69,'資格研修記録'!$D$5:$D$1004,F$4,'資格研修記録'!$F$5:$F$1004,"")+COUNTIFS('資格研修記録'!$A$5:$A$1004,$A69,'資格研修記録'!$D$5:$D$1004,F$4,'資格研修記録'!$F$5:$F$1004,"&gt;="&amp;TODAY())&gt;0,"○","× 期限切れ"))))</f>
        <v/>
      </c>
      <c r="G69" s="15">
        <f>IF(OR($A69="",G$4=""),"",IF(AND(G$4="小型船舶2級",(COUNTIFS('資格研修記録'!$A$5:$A$1004,$A69,'資格研修記録'!$D$5:$D$1004,"小型船舶1級",'資格研修記録'!$F$5:$F$1004,"")+COUNTIFS('資格研修記録'!$A$5:$A$1004,$A69,'資格研修記録'!$D$5:$D$1004,"小型船舶1級",'資格研修記録'!$F$5:$F$1004,"&gt;="&amp;TODAY()))&gt;0),"1級に含む",IF(COUNTIFS('資格研修記録'!$A$5:$A$1004,$A69,'資格研修記録'!$D$5:$D$1004,G$4)=0,"—",IF(COUNTIFS('資格研修記録'!$A$5:$A$1004,$A69,'資格研修記録'!$D$5:$D$1004,G$4,'資格研修記録'!$F$5:$F$1004,"")+COUNTIFS('資格研修記録'!$A$5:$A$1004,$A69,'資格研修記録'!$D$5:$D$1004,G$4,'資格研修記録'!$F$5:$F$1004,"&gt;="&amp;TODAY())&gt;0,"○","× 期限切れ"))))</f>
        <v/>
      </c>
      <c r="H69" s="15">
        <f>IF(OR($A69="",H$4=""),"",IF(AND(H$4="小型船舶2級",(COUNTIFS('資格研修記録'!$A$5:$A$1004,$A69,'資格研修記録'!$D$5:$D$1004,"小型船舶1級",'資格研修記録'!$F$5:$F$1004,"")+COUNTIFS('資格研修記録'!$A$5:$A$1004,$A69,'資格研修記録'!$D$5:$D$1004,"小型船舶1級",'資格研修記録'!$F$5:$F$1004,"&gt;="&amp;TODAY()))&gt;0),"1級に含む",IF(COUNTIFS('資格研修記録'!$A$5:$A$1004,$A69,'資格研修記録'!$D$5:$D$1004,H$4)=0,"—",IF(COUNTIFS('資格研修記録'!$A$5:$A$1004,$A69,'資格研修記録'!$D$5:$D$1004,H$4,'資格研修記録'!$F$5:$F$1004,"")+COUNTIFS('資格研修記録'!$A$5:$A$1004,$A69,'資格研修記録'!$D$5:$D$1004,H$4,'資格研修記録'!$F$5:$F$1004,"&gt;="&amp;TODAY())&gt;0,"○","× 期限切れ"))))</f>
        <v/>
      </c>
      <c r="I69" s="15">
        <f>IF(OR($A69="",I$4=""),"",IF(AND(I$4="小型船舶2級",(COUNTIFS('資格研修記録'!$A$5:$A$1004,$A69,'資格研修記録'!$D$5:$D$1004,"小型船舶1級",'資格研修記録'!$F$5:$F$1004,"")+COUNTIFS('資格研修記録'!$A$5:$A$1004,$A69,'資格研修記録'!$D$5:$D$1004,"小型船舶1級",'資格研修記録'!$F$5:$F$1004,"&gt;="&amp;TODAY()))&gt;0),"1級に含む",IF(COUNTIFS('資格研修記録'!$A$5:$A$1004,$A69,'資格研修記録'!$D$5:$D$1004,I$4)=0,"—",IF(COUNTIFS('資格研修記録'!$A$5:$A$1004,$A69,'資格研修記録'!$D$5:$D$1004,I$4,'資格研修記録'!$F$5:$F$1004,"")+COUNTIFS('資格研修記録'!$A$5:$A$1004,$A69,'資格研修記録'!$D$5:$D$1004,I$4,'資格研修記録'!$F$5:$F$1004,"&gt;="&amp;TODAY())&gt;0,"○","× 期限切れ"))))</f>
        <v/>
      </c>
      <c r="J69" s="15">
        <f>IF(OR($A69="",J$4=""),"",IF(AND(J$4="小型船舶2級",(COUNTIFS('資格研修記録'!$A$5:$A$1004,$A69,'資格研修記録'!$D$5:$D$1004,"小型船舶1級",'資格研修記録'!$F$5:$F$1004,"")+COUNTIFS('資格研修記録'!$A$5:$A$1004,$A69,'資格研修記録'!$D$5:$D$1004,"小型船舶1級",'資格研修記録'!$F$5:$F$1004,"&gt;="&amp;TODAY()))&gt;0),"1級に含む",IF(COUNTIFS('資格研修記録'!$A$5:$A$1004,$A69,'資格研修記録'!$D$5:$D$1004,J$4)=0,"—",IF(COUNTIFS('資格研修記録'!$A$5:$A$1004,$A69,'資格研修記録'!$D$5:$D$1004,J$4,'資格研修記録'!$F$5:$F$1004,"")+COUNTIFS('資格研修記録'!$A$5:$A$1004,$A69,'資格研修記録'!$D$5:$D$1004,J$4,'資格研修記録'!$F$5:$F$1004,"&gt;="&amp;TODAY())&gt;0,"○","× 期限切れ"))))</f>
        <v/>
      </c>
      <c r="K69" s="15">
        <f>IF(OR($A69="",K$4=""),"",IF(AND(K$4="小型船舶2級",(COUNTIFS('資格研修記録'!$A$5:$A$1004,$A69,'資格研修記録'!$D$5:$D$1004,"小型船舶1級",'資格研修記録'!$F$5:$F$1004,"")+COUNTIFS('資格研修記録'!$A$5:$A$1004,$A69,'資格研修記録'!$D$5:$D$1004,"小型船舶1級",'資格研修記録'!$F$5:$F$1004,"&gt;="&amp;TODAY()))&gt;0),"1級に含む",IF(COUNTIFS('資格研修記録'!$A$5:$A$1004,$A69,'資格研修記録'!$D$5:$D$1004,K$4)=0,"—",IF(COUNTIFS('資格研修記録'!$A$5:$A$1004,$A69,'資格研修記録'!$D$5:$D$1004,K$4,'資格研修記録'!$F$5:$F$1004,"")+COUNTIFS('資格研修記録'!$A$5:$A$1004,$A69,'資格研修記録'!$D$5:$D$1004,K$4,'資格研修記録'!$F$5:$F$1004,"&gt;="&amp;TODAY())&gt;0,"○","× 期限切れ"))))</f>
        <v/>
      </c>
      <c r="L69" s="15">
        <f>IF(OR($A69="",L$4=""),"",IF(AND(L$4="小型船舶2級",(COUNTIFS('資格研修記録'!$A$5:$A$1004,$A69,'資格研修記録'!$D$5:$D$1004,"小型船舶1級",'資格研修記録'!$F$5:$F$1004,"")+COUNTIFS('資格研修記録'!$A$5:$A$1004,$A69,'資格研修記録'!$D$5:$D$1004,"小型船舶1級",'資格研修記録'!$F$5:$F$1004,"&gt;="&amp;TODAY()))&gt;0),"1級に含む",IF(COUNTIFS('資格研修記録'!$A$5:$A$1004,$A69,'資格研修記録'!$D$5:$D$1004,L$4)=0,"—",IF(COUNTIFS('資格研修記録'!$A$5:$A$1004,$A69,'資格研修記録'!$D$5:$D$1004,L$4,'資格研修記録'!$F$5:$F$1004,"")+COUNTIFS('資格研修記録'!$A$5:$A$1004,$A69,'資格研修記録'!$D$5:$D$1004,L$4,'資格研修記録'!$F$5:$F$1004,"&gt;="&amp;TODAY())&gt;0,"○","× 期限切れ"))))</f>
        <v/>
      </c>
    </row>
    <row r="70">
      <c r="A70" s="14">
        <f>IF('隊員マスタ'!A70="","",'隊員マスタ'!A70)</f>
        <v/>
      </c>
      <c r="B70" s="14">
        <f>IF(A70="","",'隊員マスタ'!B70)</f>
        <v/>
      </c>
      <c r="C70" s="14">
        <f>IF(A70="","",'隊員マスタ'!C70)</f>
        <v/>
      </c>
      <c r="D70" s="15">
        <f>IF(A70="","",'隊員マスタ'!D70)</f>
        <v/>
      </c>
      <c r="E70" s="15">
        <f>IF(OR($A70="",E$4=""),"",IF(AND(E$4="小型船舶2級",(COUNTIFS('資格研修記録'!$A$5:$A$1004,$A70,'資格研修記録'!$D$5:$D$1004,"小型船舶1級",'資格研修記録'!$F$5:$F$1004,"")+COUNTIFS('資格研修記録'!$A$5:$A$1004,$A70,'資格研修記録'!$D$5:$D$1004,"小型船舶1級",'資格研修記録'!$F$5:$F$1004,"&gt;="&amp;TODAY()))&gt;0),"1級に含む",IF(COUNTIFS('資格研修記録'!$A$5:$A$1004,$A70,'資格研修記録'!$D$5:$D$1004,E$4)=0,"—",IF(COUNTIFS('資格研修記録'!$A$5:$A$1004,$A70,'資格研修記録'!$D$5:$D$1004,E$4,'資格研修記録'!$F$5:$F$1004,"")+COUNTIFS('資格研修記録'!$A$5:$A$1004,$A70,'資格研修記録'!$D$5:$D$1004,E$4,'資格研修記録'!$F$5:$F$1004,"&gt;="&amp;TODAY())&gt;0,"○","× 期限切れ"))))</f>
        <v/>
      </c>
      <c r="F70" s="15">
        <f>IF(OR($A70="",F$4=""),"",IF(AND(F$4="小型船舶2級",(COUNTIFS('資格研修記録'!$A$5:$A$1004,$A70,'資格研修記録'!$D$5:$D$1004,"小型船舶1級",'資格研修記録'!$F$5:$F$1004,"")+COUNTIFS('資格研修記録'!$A$5:$A$1004,$A70,'資格研修記録'!$D$5:$D$1004,"小型船舶1級",'資格研修記録'!$F$5:$F$1004,"&gt;="&amp;TODAY()))&gt;0),"1級に含む",IF(COUNTIFS('資格研修記録'!$A$5:$A$1004,$A70,'資格研修記録'!$D$5:$D$1004,F$4)=0,"—",IF(COUNTIFS('資格研修記録'!$A$5:$A$1004,$A70,'資格研修記録'!$D$5:$D$1004,F$4,'資格研修記録'!$F$5:$F$1004,"")+COUNTIFS('資格研修記録'!$A$5:$A$1004,$A70,'資格研修記録'!$D$5:$D$1004,F$4,'資格研修記録'!$F$5:$F$1004,"&gt;="&amp;TODAY())&gt;0,"○","× 期限切れ"))))</f>
        <v/>
      </c>
      <c r="G70" s="15">
        <f>IF(OR($A70="",G$4=""),"",IF(AND(G$4="小型船舶2級",(COUNTIFS('資格研修記録'!$A$5:$A$1004,$A70,'資格研修記録'!$D$5:$D$1004,"小型船舶1級",'資格研修記録'!$F$5:$F$1004,"")+COUNTIFS('資格研修記録'!$A$5:$A$1004,$A70,'資格研修記録'!$D$5:$D$1004,"小型船舶1級",'資格研修記録'!$F$5:$F$1004,"&gt;="&amp;TODAY()))&gt;0),"1級に含む",IF(COUNTIFS('資格研修記録'!$A$5:$A$1004,$A70,'資格研修記録'!$D$5:$D$1004,G$4)=0,"—",IF(COUNTIFS('資格研修記録'!$A$5:$A$1004,$A70,'資格研修記録'!$D$5:$D$1004,G$4,'資格研修記録'!$F$5:$F$1004,"")+COUNTIFS('資格研修記録'!$A$5:$A$1004,$A70,'資格研修記録'!$D$5:$D$1004,G$4,'資格研修記録'!$F$5:$F$1004,"&gt;="&amp;TODAY())&gt;0,"○","× 期限切れ"))))</f>
        <v/>
      </c>
      <c r="H70" s="15">
        <f>IF(OR($A70="",H$4=""),"",IF(AND(H$4="小型船舶2級",(COUNTIFS('資格研修記録'!$A$5:$A$1004,$A70,'資格研修記録'!$D$5:$D$1004,"小型船舶1級",'資格研修記録'!$F$5:$F$1004,"")+COUNTIFS('資格研修記録'!$A$5:$A$1004,$A70,'資格研修記録'!$D$5:$D$1004,"小型船舶1級",'資格研修記録'!$F$5:$F$1004,"&gt;="&amp;TODAY()))&gt;0),"1級に含む",IF(COUNTIFS('資格研修記録'!$A$5:$A$1004,$A70,'資格研修記録'!$D$5:$D$1004,H$4)=0,"—",IF(COUNTIFS('資格研修記録'!$A$5:$A$1004,$A70,'資格研修記録'!$D$5:$D$1004,H$4,'資格研修記録'!$F$5:$F$1004,"")+COUNTIFS('資格研修記録'!$A$5:$A$1004,$A70,'資格研修記録'!$D$5:$D$1004,H$4,'資格研修記録'!$F$5:$F$1004,"&gt;="&amp;TODAY())&gt;0,"○","× 期限切れ"))))</f>
        <v/>
      </c>
      <c r="I70" s="15">
        <f>IF(OR($A70="",I$4=""),"",IF(AND(I$4="小型船舶2級",(COUNTIFS('資格研修記録'!$A$5:$A$1004,$A70,'資格研修記録'!$D$5:$D$1004,"小型船舶1級",'資格研修記録'!$F$5:$F$1004,"")+COUNTIFS('資格研修記録'!$A$5:$A$1004,$A70,'資格研修記録'!$D$5:$D$1004,"小型船舶1級",'資格研修記録'!$F$5:$F$1004,"&gt;="&amp;TODAY()))&gt;0),"1級に含む",IF(COUNTIFS('資格研修記録'!$A$5:$A$1004,$A70,'資格研修記録'!$D$5:$D$1004,I$4)=0,"—",IF(COUNTIFS('資格研修記録'!$A$5:$A$1004,$A70,'資格研修記録'!$D$5:$D$1004,I$4,'資格研修記録'!$F$5:$F$1004,"")+COUNTIFS('資格研修記録'!$A$5:$A$1004,$A70,'資格研修記録'!$D$5:$D$1004,I$4,'資格研修記録'!$F$5:$F$1004,"&gt;="&amp;TODAY())&gt;0,"○","× 期限切れ"))))</f>
        <v/>
      </c>
      <c r="J70" s="15">
        <f>IF(OR($A70="",J$4=""),"",IF(AND(J$4="小型船舶2級",(COUNTIFS('資格研修記録'!$A$5:$A$1004,$A70,'資格研修記録'!$D$5:$D$1004,"小型船舶1級",'資格研修記録'!$F$5:$F$1004,"")+COUNTIFS('資格研修記録'!$A$5:$A$1004,$A70,'資格研修記録'!$D$5:$D$1004,"小型船舶1級",'資格研修記録'!$F$5:$F$1004,"&gt;="&amp;TODAY()))&gt;0),"1級に含む",IF(COUNTIFS('資格研修記録'!$A$5:$A$1004,$A70,'資格研修記録'!$D$5:$D$1004,J$4)=0,"—",IF(COUNTIFS('資格研修記録'!$A$5:$A$1004,$A70,'資格研修記録'!$D$5:$D$1004,J$4,'資格研修記録'!$F$5:$F$1004,"")+COUNTIFS('資格研修記録'!$A$5:$A$1004,$A70,'資格研修記録'!$D$5:$D$1004,J$4,'資格研修記録'!$F$5:$F$1004,"&gt;="&amp;TODAY())&gt;0,"○","× 期限切れ"))))</f>
        <v/>
      </c>
      <c r="K70" s="15">
        <f>IF(OR($A70="",K$4=""),"",IF(AND(K$4="小型船舶2級",(COUNTIFS('資格研修記録'!$A$5:$A$1004,$A70,'資格研修記録'!$D$5:$D$1004,"小型船舶1級",'資格研修記録'!$F$5:$F$1004,"")+COUNTIFS('資格研修記録'!$A$5:$A$1004,$A70,'資格研修記録'!$D$5:$D$1004,"小型船舶1級",'資格研修記録'!$F$5:$F$1004,"&gt;="&amp;TODAY()))&gt;0),"1級に含む",IF(COUNTIFS('資格研修記録'!$A$5:$A$1004,$A70,'資格研修記録'!$D$5:$D$1004,K$4)=0,"—",IF(COUNTIFS('資格研修記録'!$A$5:$A$1004,$A70,'資格研修記録'!$D$5:$D$1004,K$4,'資格研修記録'!$F$5:$F$1004,"")+COUNTIFS('資格研修記録'!$A$5:$A$1004,$A70,'資格研修記録'!$D$5:$D$1004,K$4,'資格研修記録'!$F$5:$F$1004,"&gt;="&amp;TODAY())&gt;0,"○","× 期限切れ"))))</f>
        <v/>
      </c>
      <c r="L70" s="15">
        <f>IF(OR($A70="",L$4=""),"",IF(AND(L$4="小型船舶2級",(COUNTIFS('資格研修記録'!$A$5:$A$1004,$A70,'資格研修記録'!$D$5:$D$1004,"小型船舶1級",'資格研修記録'!$F$5:$F$1004,"")+COUNTIFS('資格研修記録'!$A$5:$A$1004,$A70,'資格研修記録'!$D$5:$D$1004,"小型船舶1級",'資格研修記録'!$F$5:$F$1004,"&gt;="&amp;TODAY()))&gt;0),"1級に含む",IF(COUNTIFS('資格研修記録'!$A$5:$A$1004,$A70,'資格研修記録'!$D$5:$D$1004,L$4)=0,"—",IF(COUNTIFS('資格研修記録'!$A$5:$A$1004,$A70,'資格研修記録'!$D$5:$D$1004,L$4,'資格研修記録'!$F$5:$F$1004,"")+COUNTIFS('資格研修記録'!$A$5:$A$1004,$A70,'資格研修記録'!$D$5:$D$1004,L$4,'資格研修記録'!$F$5:$F$1004,"&gt;="&amp;TODAY())&gt;0,"○","× 期限切れ"))))</f>
        <v/>
      </c>
    </row>
    <row r="71">
      <c r="A71" s="14">
        <f>IF('隊員マスタ'!A71="","",'隊員マスタ'!A71)</f>
        <v/>
      </c>
      <c r="B71" s="14">
        <f>IF(A71="","",'隊員マスタ'!B71)</f>
        <v/>
      </c>
      <c r="C71" s="14">
        <f>IF(A71="","",'隊員マスタ'!C71)</f>
        <v/>
      </c>
      <c r="D71" s="15">
        <f>IF(A71="","",'隊員マスタ'!D71)</f>
        <v/>
      </c>
      <c r="E71" s="15">
        <f>IF(OR($A71="",E$4=""),"",IF(AND(E$4="小型船舶2級",(COUNTIFS('資格研修記録'!$A$5:$A$1004,$A71,'資格研修記録'!$D$5:$D$1004,"小型船舶1級",'資格研修記録'!$F$5:$F$1004,"")+COUNTIFS('資格研修記録'!$A$5:$A$1004,$A71,'資格研修記録'!$D$5:$D$1004,"小型船舶1級",'資格研修記録'!$F$5:$F$1004,"&gt;="&amp;TODAY()))&gt;0),"1級に含む",IF(COUNTIFS('資格研修記録'!$A$5:$A$1004,$A71,'資格研修記録'!$D$5:$D$1004,E$4)=0,"—",IF(COUNTIFS('資格研修記録'!$A$5:$A$1004,$A71,'資格研修記録'!$D$5:$D$1004,E$4,'資格研修記録'!$F$5:$F$1004,"")+COUNTIFS('資格研修記録'!$A$5:$A$1004,$A71,'資格研修記録'!$D$5:$D$1004,E$4,'資格研修記録'!$F$5:$F$1004,"&gt;="&amp;TODAY())&gt;0,"○","× 期限切れ"))))</f>
        <v/>
      </c>
      <c r="F71" s="15">
        <f>IF(OR($A71="",F$4=""),"",IF(AND(F$4="小型船舶2級",(COUNTIFS('資格研修記録'!$A$5:$A$1004,$A71,'資格研修記録'!$D$5:$D$1004,"小型船舶1級",'資格研修記録'!$F$5:$F$1004,"")+COUNTIFS('資格研修記録'!$A$5:$A$1004,$A71,'資格研修記録'!$D$5:$D$1004,"小型船舶1級",'資格研修記録'!$F$5:$F$1004,"&gt;="&amp;TODAY()))&gt;0),"1級に含む",IF(COUNTIFS('資格研修記録'!$A$5:$A$1004,$A71,'資格研修記録'!$D$5:$D$1004,F$4)=0,"—",IF(COUNTIFS('資格研修記録'!$A$5:$A$1004,$A71,'資格研修記録'!$D$5:$D$1004,F$4,'資格研修記録'!$F$5:$F$1004,"")+COUNTIFS('資格研修記録'!$A$5:$A$1004,$A71,'資格研修記録'!$D$5:$D$1004,F$4,'資格研修記録'!$F$5:$F$1004,"&gt;="&amp;TODAY())&gt;0,"○","× 期限切れ"))))</f>
        <v/>
      </c>
      <c r="G71" s="15">
        <f>IF(OR($A71="",G$4=""),"",IF(AND(G$4="小型船舶2級",(COUNTIFS('資格研修記録'!$A$5:$A$1004,$A71,'資格研修記録'!$D$5:$D$1004,"小型船舶1級",'資格研修記録'!$F$5:$F$1004,"")+COUNTIFS('資格研修記録'!$A$5:$A$1004,$A71,'資格研修記録'!$D$5:$D$1004,"小型船舶1級",'資格研修記録'!$F$5:$F$1004,"&gt;="&amp;TODAY()))&gt;0),"1級に含む",IF(COUNTIFS('資格研修記録'!$A$5:$A$1004,$A71,'資格研修記録'!$D$5:$D$1004,G$4)=0,"—",IF(COUNTIFS('資格研修記録'!$A$5:$A$1004,$A71,'資格研修記録'!$D$5:$D$1004,G$4,'資格研修記録'!$F$5:$F$1004,"")+COUNTIFS('資格研修記録'!$A$5:$A$1004,$A71,'資格研修記録'!$D$5:$D$1004,G$4,'資格研修記録'!$F$5:$F$1004,"&gt;="&amp;TODAY())&gt;0,"○","× 期限切れ"))))</f>
        <v/>
      </c>
      <c r="H71" s="15">
        <f>IF(OR($A71="",H$4=""),"",IF(AND(H$4="小型船舶2級",(COUNTIFS('資格研修記録'!$A$5:$A$1004,$A71,'資格研修記録'!$D$5:$D$1004,"小型船舶1級",'資格研修記録'!$F$5:$F$1004,"")+COUNTIFS('資格研修記録'!$A$5:$A$1004,$A71,'資格研修記録'!$D$5:$D$1004,"小型船舶1級",'資格研修記録'!$F$5:$F$1004,"&gt;="&amp;TODAY()))&gt;0),"1級に含む",IF(COUNTIFS('資格研修記録'!$A$5:$A$1004,$A71,'資格研修記録'!$D$5:$D$1004,H$4)=0,"—",IF(COUNTIFS('資格研修記録'!$A$5:$A$1004,$A71,'資格研修記録'!$D$5:$D$1004,H$4,'資格研修記録'!$F$5:$F$1004,"")+COUNTIFS('資格研修記録'!$A$5:$A$1004,$A71,'資格研修記録'!$D$5:$D$1004,H$4,'資格研修記録'!$F$5:$F$1004,"&gt;="&amp;TODAY())&gt;0,"○","× 期限切れ"))))</f>
        <v/>
      </c>
      <c r="I71" s="15">
        <f>IF(OR($A71="",I$4=""),"",IF(AND(I$4="小型船舶2級",(COUNTIFS('資格研修記録'!$A$5:$A$1004,$A71,'資格研修記録'!$D$5:$D$1004,"小型船舶1級",'資格研修記録'!$F$5:$F$1004,"")+COUNTIFS('資格研修記録'!$A$5:$A$1004,$A71,'資格研修記録'!$D$5:$D$1004,"小型船舶1級",'資格研修記録'!$F$5:$F$1004,"&gt;="&amp;TODAY()))&gt;0),"1級に含む",IF(COUNTIFS('資格研修記録'!$A$5:$A$1004,$A71,'資格研修記録'!$D$5:$D$1004,I$4)=0,"—",IF(COUNTIFS('資格研修記録'!$A$5:$A$1004,$A71,'資格研修記録'!$D$5:$D$1004,I$4,'資格研修記録'!$F$5:$F$1004,"")+COUNTIFS('資格研修記録'!$A$5:$A$1004,$A71,'資格研修記録'!$D$5:$D$1004,I$4,'資格研修記録'!$F$5:$F$1004,"&gt;="&amp;TODAY())&gt;0,"○","× 期限切れ"))))</f>
        <v/>
      </c>
      <c r="J71" s="15">
        <f>IF(OR($A71="",J$4=""),"",IF(AND(J$4="小型船舶2級",(COUNTIFS('資格研修記録'!$A$5:$A$1004,$A71,'資格研修記録'!$D$5:$D$1004,"小型船舶1級",'資格研修記録'!$F$5:$F$1004,"")+COUNTIFS('資格研修記録'!$A$5:$A$1004,$A71,'資格研修記録'!$D$5:$D$1004,"小型船舶1級",'資格研修記録'!$F$5:$F$1004,"&gt;="&amp;TODAY()))&gt;0),"1級に含む",IF(COUNTIFS('資格研修記録'!$A$5:$A$1004,$A71,'資格研修記録'!$D$5:$D$1004,J$4)=0,"—",IF(COUNTIFS('資格研修記録'!$A$5:$A$1004,$A71,'資格研修記録'!$D$5:$D$1004,J$4,'資格研修記録'!$F$5:$F$1004,"")+COUNTIFS('資格研修記録'!$A$5:$A$1004,$A71,'資格研修記録'!$D$5:$D$1004,J$4,'資格研修記録'!$F$5:$F$1004,"&gt;="&amp;TODAY())&gt;0,"○","× 期限切れ"))))</f>
        <v/>
      </c>
      <c r="K71" s="15">
        <f>IF(OR($A71="",K$4=""),"",IF(AND(K$4="小型船舶2級",(COUNTIFS('資格研修記録'!$A$5:$A$1004,$A71,'資格研修記録'!$D$5:$D$1004,"小型船舶1級",'資格研修記録'!$F$5:$F$1004,"")+COUNTIFS('資格研修記録'!$A$5:$A$1004,$A71,'資格研修記録'!$D$5:$D$1004,"小型船舶1級",'資格研修記録'!$F$5:$F$1004,"&gt;="&amp;TODAY()))&gt;0),"1級に含む",IF(COUNTIFS('資格研修記録'!$A$5:$A$1004,$A71,'資格研修記録'!$D$5:$D$1004,K$4)=0,"—",IF(COUNTIFS('資格研修記録'!$A$5:$A$1004,$A71,'資格研修記録'!$D$5:$D$1004,K$4,'資格研修記録'!$F$5:$F$1004,"")+COUNTIFS('資格研修記録'!$A$5:$A$1004,$A71,'資格研修記録'!$D$5:$D$1004,K$4,'資格研修記録'!$F$5:$F$1004,"&gt;="&amp;TODAY())&gt;0,"○","× 期限切れ"))))</f>
        <v/>
      </c>
      <c r="L71" s="15">
        <f>IF(OR($A71="",L$4=""),"",IF(AND(L$4="小型船舶2級",(COUNTIFS('資格研修記録'!$A$5:$A$1004,$A71,'資格研修記録'!$D$5:$D$1004,"小型船舶1級",'資格研修記録'!$F$5:$F$1004,"")+COUNTIFS('資格研修記録'!$A$5:$A$1004,$A71,'資格研修記録'!$D$5:$D$1004,"小型船舶1級",'資格研修記録'!$F$5:$F$1004,"&gt;="&amp;TODAY()))&gt;0),"1級に含む",IF(COUNTIFS('資格研修記録'!$A$5:$A$1004,$A71,'資格研修記録'!$D$5:$D$1004,L$4)=0,"—",IF(COUNTIFS('資格研修記録'!$A$5:$A$1004,$A71,'資格研修記録'!$D$5:$D$1004,L$4,'資格研修記録'!$F$5:$F$1004,"")+COUNTIFS('資格研修記録'!$A$5:$A$1004,$A71,'資格研修記録'!$D$5:$D$1004,L$4,'資格研修記録'!$F$5:$F$1004,"&gt;="&amp;TODAY())&gt;0,"○","× 期限切れ"))))</f>
        <v/>
      </c>
    </row>
    <row r="72">
      <c r="A72" s="14">
        <f>IF('隊員マスタ'!A72="","",'隊員マスタ'!A72)</f>
        <v/>
      </c>
      <c r="B72" s="14">
        <f>IF(A72="","",'隊員マスタ'!B72)</f>
        <v/>
      </c>
      <c r="C72" s="14">
        <f>IF(A72="","",'隊員マスタ'!C72)</f>
        <v/>
      </c>
      <c r="D72" s="15">
        <f>IF(A72="","",'隊員マスタ'!D72)</f>
        <v/>
      </c>
      <c r="E72" s="15">
        <f>IF(OR($A72="",E$4=""),"",IF(AND(E$4="小型船舶2級",(COUNTIFS('資格研修記録'!$A$5:$A$1004,$A72,'資格研修記録'!$D$5:$D$1004,"小型船舶1級",'資格研修記録'!$F$5:$F$1004,"")+COUNTIFS('資格研修記録'!$A$5:$A$1004,$A72,'資格研修記録'!$D$5:$D$1004,"小型船舶1級",'資格研修記録'!$F$5:$F$1004,"&gt;="&amp;TODAY()))&gt;0),"1級に含む",IF(COUNTIFS('資格研修記録'!$A$5:$A$1004,$A72,'資格研修記録'!$D$5:$D$1004,E$4)=0,"—",IF(COUNTIFS('資格研修記録'!$A$5:$A$1004,$A72,'資格研修記録'!$D$5:$D$1004,E$4,'資格研修記録'!$F$5:$F$1004,"")+COUNTIFS('資格研修記録'!$A$5:$A$1004,$A72,'資格研修記録'!$D$5:$D$1004,E$4,'資格研修記録'!$F$5:$F$1004,"&gt;="&amp;TODAY())&gt;0,"○","× 期限切れ"))))</f>
        <v/>
      </c>
      <c r="F72" s="15">
        <f>IF(OR($A72="",F$4=""),"",IF(AND(F$4="小型船舶2級",(COUNTIFS('資格研修記録'!$A$5:$A$1004,$A72,'資格研修記録'!$D$5:$D$1004,"小型船舶1級",'資格研修記録'!$F$5:$F$1004,"")+COUNTIFS('資格研修記録'!$A$5:$A$1004,$A72,'資格研修記録'!$D$5:$D$1004,"小型船舶1級",'資格研修記録'!$F$5:$F$1004,"&gt;="&amp;TODAY()))&gt;0),"1級に含む",IF(COUNTIFS('資格研修記録'!$A$5:$A$1004,$A72,'資格研修記録'!$D$5:$D$1004,F$4)=0,"—",IF(COUNTIFS('資格研修記録'!$A$5:$A$1004,$A72,'資格研修記録'!$D$5:$D$1004,F$4,'資格研修記録'!$F$5:$F$1004,"")+COUNTIFS('資格研修記録'!$A$5:$A$1004,$A72,'資格研修記録'!$D$5:$D$1004,F$4,'資格研修記録'!$F$5:$F$1004,"&gt;="&amp;TODAY())&gt;0,"○","× 期限切れ"))))</f>
        <v/>
      </c>
      <c r="G72" s="15">
        <f>IF(OR($A72="",G$4=""),"",IF(AND(G$4="小型船舶2級",(COUNTIFS('資格研修記録'!$A$5:$A$1004,$A72,'資格研修記録'!$D$5:$D$1004,"小型船舶1級",'資格研修記録'!$F$5:$F$1004,"")+COUNTIFS('資格研修記録'!$A$5:$A$1004,$A72,'資格研修記録'!$D$5:$D$1004,"小型船舶1級",'資格研修記録'!$F$5:$F$1004,"&gt;="&amp;TODAY()))&gt;0),"1級に含む",IF(COUNTIFS('資格研修記録'!$A$5:$A$1004,$A72,'資格研修記録'!$D$5:$D$1004,G$4)=0,"—",IF(COUNTIFS('資格研修記録'!$A$5:$A$1004,$A72,'資格研修記録'!$D$5:$D$1004,G$4,'資格研修記録'!$F$5:$F$1004,"")+COUNTIFS('資格研修記録'!$A$5:$A$1004,$A72,'資格研修記録'!$D$5:$D$1004,G$4,'資格研修記録'!$F$5:$F$1004,"&gt;="&amp;TODAY())&gt;0,"○","× 期限切れ"))))</f>
        <v/>
      </c>
      <c r="H72" s="15">
        <f>IF(OR($A72="",H$4=""),"",IF(AND(H$4="小型船舶2級",(COUNTIFS('資格研修記録'!$A$5:$A$1004,$A72,'資格研修記録'!$D$5:$D$1004,"小型船舶1級",'資格研修記録'!$F$5:$F$1004,"")+COUNTIFS('資格研修記録'!$A$5:$A$1004,$A72,'資格研修記録'!$D$5:$D$1004,"小型船舶1級",'資格研修記録'!$F$5:$F$1004,"&gt;="&amp;TODAY()))&gt;0),"1級に含む",IF(COUNTIFS('資格研修記録'!$A$5:$A$1004,$A72,'資格研修記録'!$D$5:$D$1004,H$4)=0,"—",IF(COUNTIFS('資格研修記録'!$A$5:$A$1004,$A72,'資格研修記録'!$D$5:$D$1004,H$4,'資格研修記録'!$F$5:$F$1004,"")+COUNTIFS('資格研修記録'!$A$5:$A$1004,$A72,'資格研修記録'!$D$5:$D$1004,H$4,'資格研修記録'!$F$5:$F$1004,"&gt;="&amp;TODAY())&gt;0,"○","× 期限切れ"))))</f>
        <v/>
      </c>
      <c r="I72" s="15">
        <f>IF(OR($A72="",I$4=""),"",IF(AND(I$4="小型船舶2級",(COUNTIFS('資格研修記録'!$A$5:$A$1004,$A72,'資格研修記録'!$D$5:$D$1004,"小型船舶1級",'資格研修記録'!$F$5:$F$1004,"")+COUNTIFS('資格研修記録'!$A$5:$A$1004,$A72,'資格研修記録'!$D$5:$D$1004,"小型船舶1級",'資格研修記録'!$F$5:$F$1004,"&gt;="&amp;TODAY()))&gt;0),"1級に含む",IF(COUNTIFS('資格研修記録'!$A$5:$A$1004,$A72,'資格研修記録'!$D$5:$D$1004,I$4)=0,"—",IF(COUNTIFS('資格研修記録'!$A$5:$A$1004,$A72,'資格研修記録'!$D$5:$D$1004,I$4,'資格研修記録'!$F$5:$F$1004,"")+COUNTIFS('資格研修記録'!$A$5:$A$1004,$A72,'資格研修記録'!$D$5:$D$1004,I$4,'資格研修記録'!$F$5:$F$1004,"&gt;="&amp;TODAY())&gt;0,"○","× 期限切れ"))))</f>
        <v/>
      </c>
      <c r="J72" s="15">
        <f>IF(OR($A72="",J$4=""),"",IF(AND(J$4="小型船舶2級",(COUNTIFS('資格研修記録'!$A$5:$A$1004,$A72,'資格研修記録'!$D$5:$D$1004,"小型船舶1級",'資格研修記録'!$F$5:$F$1004,"")+COUNTIFS('資格研修記録'!$A$5:$A$1004,$A72,'資格研修記録'!$D$5:$D$1004,"小型船舶1級",'資格研修記録'!$F$5:$F$1004,"&gt;="&amp;TODAY()))&gt;0),"1級に含む",IF(COUNTIFS('資格研修記録'!$A$5:$A$1004,$A72,'資格研修記録'!$D$5:$D$1004,J$4)=0,"—",IF(COUNTIFS('資格研修記録'!$A$5:$A$1004,$A72,'資格研修記録'!$D$5:$D$1004,J$4,'資格研修記録'!$F$5:$F$1004,"")+COUNTIFS('資格研修記録'!$A$5:$A$1004,$A72,'資格研修記録'!$D$5:$D$1004,J$4,'資格研修記録'!$F$5:$F$1004,"&gt;="&amp;TODAY())&gt;0,"○","× 期限切れ"))))</f>
        <v/>
      </c>
      <c r="K72" s="15">
        <f>IF(OR($A72="",K$4=""),"",IF(AND(K$4="小型船舶2級",(COUNTIFS('資格研修記録'!$A$5:$A$1004,$A72,'資格研修記録'!$D$5:$D$1004,"小型船舶1級",'資格研修記録'!$F$5:$F$1004,"")+COUNTIFS('資格研修記録'!$A$5:$A$1004,$A72,'資格研修記録'!$D$5:$D$1004,"小型船舶1級",'資格研修記録'!$F$5:$F$1004,"&gt;="&amp;TODAY()))&gt;0),"1級に含む",IF(COUNTIFS('資格研修記録'!$A$5:$A$1004,$A72,'資格研修記録'!$D$5:$D$1004,K$4)=0,"—",IF(COUNTIFS('資格研修記録'!$A$5:$A$1004,$A72,'資格研修記録'!$D$5:$D$1004,K$4,'資格研修記録'!$F$5:$F$1004,"")+COUNTIFS('資格研修記録'!$A$5:$A$1004,$A72,'資格研修記録'!$D$5:$D$1004,K$4,'資格研修記録'!$F$5:$F$1004,"&gt;="&amp;TODAY())&gt;0,"○","× 期限切れ"))))</f>
        <v/>
      </c>
      <c r="L72" s="15">
        <f>IF(OR($A72="",L$4=""),"",IF(AND(L$4="小型船舶2級",(COUNTIFS('資格研修記録'!$A$5:$A$1004,$A72,'資格研修記録'!$D$5:$D$1004,"小型船舶1級",'資格研修記録'!$F$5:$F$1004,"")+COUNTIFS('資格研修記録'!$A$5:$A$1004,$A72,'資格研修記録'!$D$5:$D$1004,"小型船舶1級",'資格研修記録'!$F$5:$F$1004,"&gt;="&amp;TODAY()))&gt;0),"1級に含む",IF(COUNTIFS('資格研修記録'!$A$5:$A$1004,$A72,'資格研修記録'!$D$5:$D$1004,L$4)=0,"—",IF(COUNTIFS('資格研修記録'!$A$5:$A$1004,$A72,'資格研修記録'!$D$5:$D$1004,L$4,'資格研修記録'!$F$5:$F$1004,"")+COUNTIFS('資格研修記録'!$A$5:$A$1004,$A72,'資格研修記録'!$D$5:$D$1004,L$4,'資格研修記録'!$F$5:$F$1004,"&gt;="&amp;TODAY())&gt;0,"○","× 期限切れ"))))</f>
        <v/>
      </c>
    </row>
    <row r="73">
      <c r="A73" s="14">
        <f>IF('隊員マスタ'!A73="","",'隊員マスタ'!A73)</f>
        <v/>
      </c>
      <c r="B73" s="14">
        <f>IF(A73="","",'隊員マスタ'!B73)</f>
        <v/>
      </c>
      <c r="C73" s="14">
        <f>IF(A73="","",'隊員マスタ'!C73)</f>
        <v/>
      </c>
      <c r="D73" s="15">
        <f>IF(A73="","",'隊員マスタ'!D73)</f>
        <v/>
      </c>
      <c r="E73" s="15">
        <f>IF(OR($A73="",E$4=""),"",IF(AND(E$4="小型船舶2級",(COUNTIFS('資格研修記録'!$A$5:$A$1004,$A73,'資格研修記録'!$D$5:$D$1004,"小型船舶1級",'資格研修記録'!$F$5:$F$1004,"")+COUNTIFS('資格研修記録'!$A$5:$A$1004,$A73,'資格研修記録'!$D$5:$D$1004,"小型船舶1級",'資格研修記録'!$F$5:$F$1004,"&gt;="&amp;TODAY()))&gt;0),"1級に含む",IF(COUNTIFS('資格研修記録'!$A$5:$A$1004,$A73,'資格研修記録'!$D$5:$D$1004,E$4)=0,"—",IF(COUNTIFS('資格研修記録'!$A$5:$A$1004,$A73,'資格研修記録'!$D$5:$D$1004,E$4,'資格研修記録'!$F$5:$F$1004,"")+COUNTIFS('資格研修記録'!$A$5:$A$1004,$A73,'資格研修記録'!$D$5:$D$1004,E$4,'資格研修記録'!$F$5:$F$1004,"&gt;="&amp;TODAY())&gt;0,"○","× 期限切れ"))))</f>
        <v/>
      </c>
      <c r="F73" s="15">
        <f>IF(OR($A73="",F$4=""),"",IF(AND(F$4="小型船舶2級",(COUNTIFS('資格研修記録'!$A$5:$A$1004,$A73,'資格研修記録'!$D$5:$D$1004,"小型船舶1級",'資格研修記録'!$F$5:$F$1004,"")+COUNTIFS('資格研修記録'!$A$5:$A$1004,$A73,'資格研修記録'!$D$5:$D$1004,"小型船舶1級",'資格研修記録'!$F$5:$F$1004,"&gt;="&amp;TODAY()))&gt;0),"1級に含む",IF(COUNTIFS('資格研修記録'!$A$5:$A$1004,$A73,'資格研修記録'!$D$5:$D$1004,F$4)=0,"—",IF(COUNTIFS('資格研修記録'!$A$5:$A$1004,$A73,'資格研修記録'!$D$5:$D$1004,F$4,'資格研修記録'!$F$5:$F$1004,"")+COUNTIFS('資格研修記録'!$A$5:$A$1004,$A73,'資格研修記録'!$D$5:$D$1004,F$4,'資格研修記録'!$F$5:$F$1004,"&gt;="&amp;TODAY())&gt;0,"○","× 期限切れ"))))</f>
        <v/>
      </c>
      <c r="G73" s="15">
        <f>IF(OR($A73="",G$4=""),"",IF(AND(G$4="小型船舶2級",(COUNTIFS('資格研修記録'!$A$5:$A$1004,$A73,'資格研修記録'!$D$5:$D$1004,"小型船舶1級",'資格研修記録'!$F$5:$F$1004,"")+COUNTIFS('資格研修記録'!$A$5:$A$1004,$A73,'資格研修記録'!$D$5:$D$1004,"小型船舶1級",'資格研修記録'!$F$5:$F$1004,"&gt;="&amp;TODAY()))&gt;0),"1級に含む",IF(COUNTIFS('資格研修記録'!$A$5:$A$1004,$A73,'資格研修記録'!$D$5:$D$1004,G$4)=0,"—",IF(COUNTIFS('資格研修記録'!$A$5:$A$1004,$A73,'資格研修記録'!$D$5:$D$1004,G$4,'資格研修記録'!$F$5:$F$1004,"")+COUNTIFS('資格研修記録'!$A$5:$A$1004,$A73,'資格研修記録'!$D$5:$D$1004,G$4,'資格研修記録'!$F$5:$F$1004,"&gt;="&amp;TODAY())&gt;0,"○","× 期限切れ"))))</f>
        <v/>
      </c>
      <c r="H73" s="15">
        <f>IF(OR($A73="",H$4=""),"",IF(AND(H$4="小型船舶2級",(COUNTIFS('資格研修記録'!$A$5:$A$1004,$A73,'資格研修記録'!$D$5:$D$1004,"小型船舶1級",'資格研修記録'!$F$5:$F$1004,"")+COUNTIFS('資格研修記録'!$A$5:$A$1004,$A73,'資格研修記録'!$D$5:$D$1004,"小型船舶1級",'資格研修記録'!$F$5:$F$1004,"&gt;="&amp;TODAY()))&gt;0),"1級に含む",IF(COUNTIFS('資格研修記録'!$A$5:$A$1004,$A73,'資格研修記録'!$D$5:$D$1004,H$4)=0,"—",IF(COUNTIFS('資格研修記録'!$A$5:$A$1004,$A73,'資格研修記録'!$D$5:$D$1004,H$4,'資格研修記録'!$F$5:$F$1004,"")+COUNTIFS('資格研修記録'!$A$5:$A$1004,$A73,'資格研修記録'!$D$5:$D$1004,H$4,'資格研修記録'!$F$5:$F$1004,"&gt;="&amp;TODAY())&gt;0,"○","× 期限切れ"))))</f>
        <v/>
      </c>
      <c r="I73" s="15">
        <f>IF(OR($A73="",I$4=""),"",IF(AND(I$4="小型船舶2級",(COUNTIFS('資格研修記録'!$A$5:$A$1004,$A73,'資格研修記録'!$D$5:$D$1004,"小型船舶1級",'資格研修記録'!$F$5:$F$1004,"")+COUNTIFS('資格研修記録'!$A$5:$A$1004,$A73,'資格研修記録'!$D$5:$D$1004,"小型船舶1級",'資格研修記録'!$F$5:$F$1004,"&gt;="&amp;TODAY()))&gt;0),"1級に含む",IF(COUNTIFS('資格研修記録'!$A$5:$A$1004,$A73,'資格研修記録'!$D$5:$D$1004,I$4)=0,"—",IF(COUNTIFS('資格研修記録'!$A$5:$A$1004,$A73,'資格研修記録'!$D$5:$D$1004,I$4,'資格研修記録'!$F$5:$F$1004,"")+COUNTIFS('資格研修記録'!$A$5:$A$1004,$A73,'資格研修記録'!$D$5:$D$1004,I$4,'資格研修記録'!$F$5:$F$1004,"&gt;="&amp;TODAY())&gt;0,"○","× 期限切れ"))))</f>
        <v/>
      </c>
      <c r="J73" s="15">
        <f>IF(OR($A73="",J$4=""),"",IF(AND(J$4="小型船舶2級",(COUNTIFS('資格研修記録'!$A$5:$A$1004,$A73,'資格研修記録'!$D$5:$D$1004,"小型船舶1級",'資格研修記録'!$F$5:$F$1004,"")+COUNTIFS('資格研修記録'!$A$5:$A$1004,$A73,'資格研修記録'!$D$5:$D$1004,"小型船舶1級",'資格研修記録'!$F$5:$F$1004,"&gt;="&amp;TODAY()))&gt;0),"1級に含む",IF(COUNTIFS('資格研修記録'!$A$5:$A$1004,$A73,'資格研修記録'!$D$5:$D$1004,J$4)=0,"—",IF(COUNTIFS('資格研修記録'!$A$5:$A$1004,$A73,'資格研修記録'!$D$5:$D$1004,J$4,'資格研修記録'!$F$5:$F$1004,"")+COUNTIFS('資格研修記録'!$A$5:$A$1004,$A73,'資格研修記録'!$D$5:$D$1004,J$4,'資格研修記録'!$F$5:$F$1004,"&gt;="&amp;TODAY())&gt;0,"○","× 期限切れ"))))</f>
        <v/>
      </c>
      <c r="K73" s="15">
        <f>IF(OR($A73="",K$4=""),"",IF(AND(K$4="小型船舶2級",(COUNTIFS('資格研修記録'!$A$5:$A$1004,$A73,'資格研修記録'!$D$5:$D$1004,"小型船舶1級",'資格研修記録'!$F$5:$F$1004,"")+COUNTIFS('資格研修記録'!$A$5:$A$1004,$A73,'資格研修記録'!$D$5:$D$1004,"小型船舶1級",'資格研修記録'!$F$5:$F$1004,"&gt;="&amp;TODAY()))&gt;0),"1級に含む",IF(COUNTIFS('資格研修記録'!$A$5:$A$1004,$A73,'資格研修記録'!$D$5:$D$1004,K$4)=0,"—",IF(COUNTIFS('資格研修記録'!$A$5:$A$1004,$A73,'資格研修記録'!$D$5:$D$1004,K$4,'資格研修記録'!$F$5:$F$1004,"")+COUNTIFS('資格研修記録'!$A$5:$A$1004,$A73,'資格研修記録'!$D$5:$D$1004,K$4,'資格研修記録'!$F$5:$F$1004,"&gt;="&amp;TODAY())&gt;0,"○","× 期限切れ"))))</f>
        <v/>
      </c>
      <c r="L73" s="15">
        <f>IF(OR($A73="",L$4=""),"",IF(AND(L$4="小型船舶2級",(COUNTIFS('資格研修記録'!$A$5:$A$1004,$A73,'資格研修記録'!$D$5:$D$1004,"小型船舶1級",'資格研修記録'!$F$5:$F$1004,"")+COUNTIFS('資格研修記録'!$A$5:$A$1004,$A73,'資格研修記録'!$D$5:$D$1004,"小型船舶1級",'資格研修記録'!$F$5:$F$1004,"&gt;="&amp;TODAY()))&gt;0),"1級に含む",IF(COUNTIFS('資格研修記録'!$A$5:$A$1004,$A73,'資格研修記録'!$D$5:$D$1004,L$4)=0,"—",IF(COUNTIFS('資格研修記録'!$A$5:$A$1004,$A73,'資格研修記録'!$D$5:$D$1004,L$4,'資格研修記録'!$F$5:$F$1004,"")+COUNTIFS('資格研修記録'!$A$5:$A$1004,$A73,'資格研修記録'!$D$5:$D$1004,L$4,'資格研修記録'!$F$5:$F$1004,"&gt;="&amp;TODAY())&gt;0,"○","× 期限切れ"))))</f>
        <v/>
      </c>
    </row>
    <row r="74">
      <c r="A74" s="14">
        <f>IF('隊員マスタ'!A74="","",'隊員マスタ'!A74)</f>
        <v/>
      </c>
      <c r="B74" s="14">
        <f>IF(A74="","",'隊員マスタ'!B74)</f>
        <v/>
      </c>
      <c r="C74" s="14">
        <f>IF(A74="","",'隊員マスタ'!C74)</f>
        <v/>
      </c>
      <c r="D74" s="15">
        <f>IF(A74="","",'隊員マスタ'!D74)</f>
        <v/>
      </c>
      <c r="E74" s="15">
        <f>IF(OR($A74="",E$4=""),"",IF(AND(E$4="小型船舶2級",(COUNTIFS('資格研修記録'!$A$5:$A$1004,$A74,'資格研修記録'!$D$5:$D$1004,"小型船舶1級",'資格研修記録'!$F$5:$F$1004,"")+COUNTIFS('資格研修記録'!$A$5:$A$1004,$A74,'資格研修記録'!$D$5:$D$1004,"小型船舶1級",'資格研修記録'!$F$5:$F$1004,"&gt;="&amp;TODAY()))&gt;0),"1級に含む",IF(COUNTIFS('資格研修記録'!$A$5:$A$1004,$A74,'資格研修記録'!$D$5:$D$1004,E$4)=0,"—",IF(COUNTIFS('資格研修記録'!$A$5:$A$1004,$A74,'資格研修記録'!$D$5:$D$1004,E$4,'資格研修記録'!$F$5:$F$1004,"")+COUNTIFS('資格研修記録'!$A$5:$A$1004,$A74,'資格研修記録'!$D$5:$D$1004,E$4,'資格研修記録'!$F$5:$F$1004,"&gt;="&amp;TODAY())&gt;0,"○","× 期限切れ"))))</f>
        <v/>
      </c>
      <c r="F74" s="15">
        <f>IF(OR($A74="",F$4=""),"",IF(AND(F$4="小型船舶2級",(COUNTIFS('資格研修記録'!$A$5:$A$1004,$A74,'資格研修記録'!$D$5:$D$1004,"小型船舶1級",'資格研修記録'!$F$5:$F$1004,"")+COUNTIFS('資格研修記録'!$A$5:$A$1004,$A74,'資格研修記録'!$D$5:$D$1004,"小型船舶1級",'資格研修記録'!$F$5:$F$1004,"&gt;="&amp;TODAY()))&gt;0),"1級に含む",IF(COUNTIFS('資格研修記録'!$A$5:$A$1004,$A74,'資格研修記録'!$D$5:$D$1004,F$4)=0,"—",IF(COUNTIFS('資格研修記録'!$A$5:$A$1004,$A74,'資格研修記録'!$D$5:$D$1004,F$4,'資格研修記録'!$F$5:$F$1004,"")+COUNTIFS('資格研修記録'!$A$5:$A$1004,$A74,'資格研修記録'!$D$5:$D$1004,F$4,'資格研修記録'!$F$5:$F$1004,"&gt;="&amp;TODAY())&gt;0,"○","× 期限切れ"))))</f>
        <v/>
      </c>
      <c r="G74" s="15">
        <f>IF(OR($A74="",G$4=""),"",IF(AND(G$4="小型船舶2級",(COUNTIFS('資格研修記録'!$A$5:$A$1004,$A74,'資格研修記録'!$D$5:$D$1004,"小型船舶1級",'資格研修記録'!$F$5:$F$1004,"")+COUNTIFS('資格研修記録'!$A$5:$A$1004,$A74,'資格研修記録'!$D$5:$D$1004,"小型船舶1級",'資格研修記録'!$F$5:$F$1004,"&gt;="&amp;TODAY()))&gt;0),"1級に含む",IF(COUNTIFS('資格研修記録'!$A$5:$A$1004,$A74,'資格研修記録'!$D$5:$D$1004,G$4)=0,"—",IF(COUNTIFS('資格研修記録'!$A$5:$A$1004,$A74,'資格研修記録'!$D$5:$D$1004,G$4,'資格研修記録'!$F$5:$F$1004,"")+COUNTIFS('資格研修記録'!$A$5:$A$1004,$A74,'資格研修記録'!$D$5:$D$1004,G$4,'資格研修記録'!$F$5:$F$1004,"&gt;="&amp;TODAY())&gt;0,"○","× 期限切れ"))))</f>
        <v/>
      </c>
      <c r="H74" s="15">
        <f>IF(OR($A74="",H$4=""),"",IF(AND(H$4="小型船舶2級",(COUNTIFS('資格研修記録'!$A$5:$A$1004,$A74,'資格研修記録'!$D$5:$D$1004,"小型船舶1級",'資格研修記録'!$F$5:$F$1004,"")+COUNTIFS('資格研修記録'!$A$5:$A$1004,$A74,'資格研修記録'!$D$5:$D$1004,"小型船舶1級",'資格研修記録'!$F$5:$F$1004,"&gt;="&amp;TODAY()))&gt;0),"1級に含む",IF(COUNTIFS('資格研修記録'!$A$5:$A$1004,$A74,'資格研修記録'!$D$5:$D$1004,H$4)=0,"—",IF(COUNTIFS('資格研修記録'!$A$5:$A$1004,$A74,'資格研修記録'!$D$5:$D$1004,H$4,'資格研修記録'!$F$5:$F$1004,"")+COUNTIFS('資格研修記録'!$A$5:$A$1004,$A74,'資格研修記録'!$D$5:$D$1004,H$4,'資格研修記録'!$F$5:$F$1004,"&gt;="&amp;TODAY())&gt;0,"○","× 期限切れ"))))</f>
        <v/>
      </c>
      <c r="I74" s="15">
        <f>IF(OR($A74="",I$4=""),"",IF(AND(I$4="小型船舶2級",(COUNTIFS('資格研修記録'!$A$5:$A$1004,$A74,'資格研修記録'!$D$5:$D$1004,"小型船舶1級",'資格研修記録'!$F$5:$F$1004,"")+COUNTIFS('資格研修記録'!$A$5:$A$1004,$A74,'資格研修記録'!$D$5:$D$1004,"小型船舶1級",'資格研修記録'!$F$5:$F$1004,"&gt;="&amp;TODAY()))&gt;0),"1級に含む",IF(COUNTIFS('資格研修記録'!$A$5:$A$1004,$A74,'資格研修記録'!$D$5:$D$1004,I$4)=0,"—",IF(COUNTIFS('資格研修記録'!$A$5:$A$1004,$A74,'資格研修記録'!$D$5:$D$1004,I$4,'資格研修記録'!$F$5:$F$1004,"")+COUNTIFS('資格研修記録'!$A$5:$A$1004,$A74,'資格研修記録'!$D$5:$D$1004,I$4,'資格研修記録'!$F$5:$F$1004,"&gt;="&amp;TODAY())&gt;0,"○","× 期限切れ"))))</f>
        <v/>
      </c>
      <c r="J74" s="15">
        <f>IF(OR($A74="",J$4=""),"",IF(AND(J$4="小型船舶2級",(COUNTIFS('資格研修記録'!$A$5:$A$1004,$A74,'資格研修記録'!$D$5:$D$1004,"小型船舶1級",'資格研修記録'!$F$5:$F$1004,"")+COUNTIFS('資格研修記録'!$A$5:$A$1004,$A74,'資格研修記録'!$D$5:$D$1004,"小型船舶1級",'資格研修記録'!$F$5:$F$1004,"&gt;="&amp;TODAY()))&gt;0),"1級に含む",IF(COUNTIFS('資格研修記録'!$A$5:$A$1004,$A74,'資格研修記録'!$D$5:$D$1004,J$4)=0,"—",IF(COUNTIFS('資格研修記録'!$A$5:$A$1004,$A74,'資格研修記録'!$D$5:$D$1004,J$4,'資格研修記録'!$F$5:$F$1004,"")+COUNTIFS('資格研修記録'!$A$5:$A$1004,$A74,'資格研修記録'!$D$5:$D$1004,J$4,'資格研修記録'!$F$5:$F$1004,"&gt;="&amp;TODAY())&gt;0,"○","× 期限切れ"))))</f>
        <v/>
      </c>
      <c r="K74" s="15">
        <f>IF(OR($A74="",K$4=""),"",IF(AND(K$4="小型船舶2級",(COUNTIFS('資格研修記録'!$A$5:$A$1004,$A74,'資格研修記録'!$D$5:$D$1004,"小型船舶1級",'資格研修記録'!$F$5:$F$1004,"")+COUNTIFS('資格研修記録'!$A$5:$A$1004,$A74,'資格研修記録'!$D$5:$D$1004,"小型船舶1級",'資格研修記録'!$F$5:$F$1004,"&gt;="&amp;TODAY()))&gt;0),"1級に含む",IF(COUNTIFS('資格研修記録'!$A$5:$A$1004,$A74,'資格研修記録'!$D$5:$D$1004,K$4)=0,"—",IF(COUNTIFS('資格研修記録'!$A$5:$A$1004,$A74,'資格研修記録'!$D$5:$D$1004,K$4,'資格研修記録'!$F$5:$F$1004,"")+COUNTIFS('資格研修記録'!$A$5:$A$1004,$A74,'資格研修記録'!$D$5:$D$1004,K$4,'資格研修記録'!$F$5:$F$1004,"&gt;="&amp;TODAY())&gt;0,"○","× 期限切れ"))))</f>
        <v/>
      </c>
      <c r="L74" s="15">
        <f>IF(OR($A74="",L$4=""),"",IF(AND(L$4="小型船舶2級",(COUNTIFS('資格研修記録'!$A$5:$A$1004,$A74,'資格研修記録'!$D$5:$D$1004,"小型船舶1級",'資格研修記録'!$F$5:$F$1004,"")+COUNTIFS('資格研修記録'!$A$5:$A$1004,$A74,'資格研修記録'!$D$5:$D$1004,"小型船舶1級",'資格研修記録'!$F$5:$F$1004,"&gt;="&amp;TODAY()))&gt;0),"1級に含む",IF(COUNTIFS('資格研修記録'!$A$5:$A$1004,$A74,'資格研修記録'!$D$5:$D$1004,L$4)=0,"—",IF(COUNTIFS('資格研修記録'!$A$5:$A$1004,$A74,'資格研修記録'!$D$5:$D$1004,L$4,'資格研修記録'!$F$5:$F$1004,"")+COUNTIFS('資格研修記録'!$A$5:$A$1004,$A74,'資格研修記録'!$D$5:$D$1004,L$4,'資格研修記録'!$F$5:$F$1004,"&gt;="&amp;TODAY())&gt;0,"○","× 期限切れ"))))</f>
        <v/>
      </c>
    </row>
    <row r="75">
      <c r="A75" s="14">
        <f>IF('隊員マスタ'!A75="","",'隊員マスタ'!A75)</f>
        <v/>
      </c>
      <c r="B75" s="14">
        <f>IF(A75="","",'隊員マスタ'!B75)</f>
        <v/>
      </c>
      <c r="C75" s="14">
        <f>IF(A75="","",'隊員マスタ'!C75)</f>
        <v/>
      </c>
      <c r="D75" s="15">
        <f>IF(A75="","",'隊員マスタ'!D75)</f>
        <v/>
      </c>
      <c r="E75" s="15">
        <f>IF(OR($A75="",E$4=""),"",IF(AND(E$4="小型船舶2級",(COUNTIFS('資格研修記録'!$A$5:$A$1004,$A75,'資格研修記録'!$D$5:$D$1004,"小型船舶1級",'資格研修記録'!$F$5:$F$1004,"")+COUNTIFS('資格研修記録'!$A$5:$A$1004,$A75,'資格研修記録'!$D$5:$D$1004,"小型船舶1級",'資格研修記録'!$F$5:$F$1004,"&gt;="&amp;TODAY()))&gt;0),"1級に含む",IF(COUNTIFS('資格研修記録'!$A$5:$A$1004,$A75,'資格研修記録'!$D$5:$D$1004,E$4)=0,"—",IF(COUNTIFS('資格研修記録'!$A$5:$A$1004,$A75,'資格研修記録'!$D$5:$D$1004,E$4,'資格研修記録'!$F$5:$F$1004,"")+COUNTIFS('資格研修記録'!$A$5:$A$1004,$A75,'資格研修記録'!$D$5:$D$1004,E$4,'資格研修記録'!$F$5:$F$1004,"&gt;="&amp;TODAY())&gt;0,"○","× 期限切れ"))))</f>
        <v/>
      </c>
      <c r="F75" s="15">
        <f>IF(OR($A75="",F$4=""),"",IF(AND(F$4="小型船舶2級",(COUNTIFS('資格研修記録'!$A$5:$A$1004,$A75,'資格研修記録'!$D$5:$D$1004,"小型船舶1級",'資格研修記録'!$F$5:$F$1004,"")+COUNTIFS('資格研修記録'!$A$5:$A$1004,$A75,'資格研修記録'!$D$5:$D$1004,"小型船舶1級",'資格研修記録'!$F$5:$F$1004,"&gt;="&amp;TODAY()))&gt;0),"1級に含む",IF(COUNTIFS('資格研修記録'!$A$5:$A$1004,$A75,'資格研修記録'!$D$5:$D$1004,F$4)=0,"—",IF(COUNTIFS('資格研修記録'!$A$5:$A$1004,$A75,'資格研修記録'!$D$5:$D$1004,F$4,'資格研修記録'!$F$5:$F$1004,"")+COUNTIFS('資格研修記録'!$A$5:$A$1004,$A75,'資格研修記録'!$D$5:$D$1004,F$4,'資格研修記録'!$F$5:$F$1004,"&gt;="&amp;TODAY())&gt;0,"○","× 期限切れ"))))</f>
        <v/>
      </c>
      <c r="G75" s="15">
        <f>IF(OR($A75="",G$4=""),"",IF(AND(G$4="小型船舶2級",(COUNTIFS('資格研修記録'!$A$5:$A$1004,$A75,'資格研修記録'!$D$5:$D$1004,"小型船舶1級",'資格研修記録'!$F$5:$F$1004,"")+COUNTIFS('資格研修記録'!$A$5:$A$1004,$A75,'資格研修記録'!$D$5:$D$1004,"小型船舶1級",'資格研修記録'!$F$5:$F$1004,"&gt;="&amp;TODAY()))&gt;0),"1級に含む",IF(COUNTIFS('資格研修記録'!$A$5:$A$1004,$A75,'資格研修記録'!$D$5:$D$1004,G$4)=0,"—",IF(COUNTIFS('資格研修記録'!$A$5:$A$1004,$A75,'資格研修記録'!$D$5:$D$1004,G$4,'資格研修記録'!$F$5:$F$1004,"")+COUNTIFS('資格研修記録'!$A$5:$A$1004,$A75,'資格研修記録'!$D$5:$D$1004,G$4,'資格研修記録'!$F$5:$F$1004,"&gt;="&amp;TODAY())&gt;0,"○","× 期限切れ"))))</f>
        <v/>
      </c>
      <c r="H75" s="15">
        <f>IF(OR($A75="",H$4=""),"",IF(AND(H$4="小型船舶2級",(COUNTIFS('資格研修記録'!$A$5:$A$1004,$A75,'資格研修記録'!$D$5:$D$1004,"小型船舶1級",'資格研修記録'!$F$5:$F$1004,"")+COUNTIFS('資格研修記録'!$A$5:$A$1004,$A75,'資格研修記録'!$D$5:$D$1004,"小型船舶1級",'資格研修記録'!$F$5:$F$1004,"&gt;="&amp;TODAY()))&gt;0),"1級に含む",IF(COUNTIFS('資格研修記録'!$A$5:$A$1004,$A75,'資格研修記録'!$D$5:$D$1004,H$4)=0,"—",IF(COUNTIFS('資格研修記録'!$A$5:$A$1004,$A75,'資格研修記録'!$D$5:$D$1004,H$4,'資格研修記録'!$F$5:$F$1004,"")+COUNTIFS('資格研修記録'!$A$5:$A$1004,$A75,'資格研修記録'!$D$5:$D$1004,H$4,'資格研修記録'!$F$5:$F$1004,"&gt;="&amp;TODAY())&gt;0,"○","× 期限切れ"))))</f>
        <v/>
      </c>
      <c r="I75" s="15">
        <f>IF(OR($A75="",I$4=""),"",IF(AND(I$4="小型船舶2級",(COUNTIFS('資格研修記録'!$A$5:$A$1004,$A75,'資格研修記録'!$D$5:$D$1004,"小型船舶1級",'資格研修記録'!$F$5:$F$1004,"")+COUNTIFS('資格研修記録'!$A$5:$A$1004,$A75,'資格研修記録'!$D$5:$D$1004,"小型船舶1級",'資格研修記録'!$F$5:$F$1004,"&gt;="&amp;TODAY()))&gt;0),"1級に含む",IF(COUNTIFS('資格研修記録'!$A$5:$A$1004,$A75,'資格研修記録'!$D$5:$D$1004,I$4)=0,"—",IF(COUNTIFS('資格研修記録'!$A$5:$A$1004,$A75,'資格研修記録'!$D$5:$D$1004,I$4,'資格研修記録'!$F$5:$F$1004,"")+COUNTIFS('資格研修記録'!$A$5:$A$1004,$A75,'資格研修記録'!$D$5:$D$1004,I$4,'資格研修記録'!$F$5:$F$1004,"&gt;="&amp;TODAY())&gt;0,"○","× 期限切れ"))))</f>
        <v/>
      </c>
      <c r="J75" s="15">
        <f>IF(OR($A75="",J$4=""),"",IF(AND(J$4="小型船舶2級",(COUNTIFS('資格研修記録'!$A$5:$A$1004,$A75,'資格研修記録'!$D$5:$D$1004,"小型船舶1級",'資格研修記録'!$F$5:$F$1004,"")+COUNTIFS('資格研修記録'!$A$5:$A$1004,$A75,'資格研修記録'!$D$5:$D$1004,"小型船舶1級",'資格研修記録'!$F$5:$F$1004,"&gt;="&amp;TODAY()))&gt;0),"1級に含む",IF(COUNTIFS('資格研修記録'!$A$5:$A$1004,$A75,'資格研修記録'!$D$5:$D$1004,J$4)=0,"—",IF(COUNTIFS('資格研修記録'!$A$5:$A$1004,$A75,'資格研修記録'!$D$5:$D$1004,J$4,'資格研修記録'!$F$5:$F$1004,"")+COUNTIFS('資格研修記録'!$A$5:$A$1004,$A75,'資格研修記録'!$D$5:$D$1004,J$4,'資格研修記録'!$F$5:$F$1004,"&gt;="&amp;TODAY())&gt;0,"○","× 期限切れ"))))</f>
        <v/>
      </c>
      <c r="K75" s="15">
        <f>IF(OR($A75="",K$4=""),"",IF(AND(K$4="小型船舶2級",(COUNTIFS('資格研修記録'!$A$5:$A$1004,$A75,'資格研修記録'!$D$5:$D$1004,"小型船舶1級",'資格研修記録'!$F$5:$F$1004,"")+COUNTIFS('資格研修記録'!$A$5:$A$1004,$A75,'資格研修記録'!$D$5:$D$1004,"小型船舶1級",'資格研修記録'!$F$5:$F$1004,"&gt;="&amp;TODAY()))&gt;0),"1級に含む",IF(COUNTIFS('資格研修記録'!$A$5:$A$1004,$A75,'資格研修記録'!$D$5:$D$1004,K$4)=0,"—",IF(COUNTIFS('資格研修記録'!$A$5:$A$1004,$A75,'資格研修記録'!$D$5:$D$1004,K$4,'資格研修記録'!$F$5:$F$1004,"")+COUNTIFS('資格研修記録'!$A$5:$A$1004,$A75,'資格研修記録'!$D$5:$D$1004,K$4,'資格研修記録'!$F$5:$F$1004,"&gt;="&amp;TODAY())&gt;0,"○","× 期限切れ"))))</f>
        <v/>
      </c>
      <c r="L75" s="15">
        <f>IF(OR($A75="",L$4=""),"",IF(AND(L$4="小型船舶2級",(COUNTIFS('資格研修記録'!$A$5:$A$1004,$A75,'資格研修記録'!$D$5:$D$1004,"小型船舶1級",'資格研修記録'!$F$5:$F$1004,"")+COUNTIFS('資格研修記録'!$A$5:$A$1004,$A75,'資格研修記録'!$D$5:$D$1004,"小型船舶1級",'資格研修記録'!$F$5:$F$1004,"&gt;="&amp;TODAY()))&gt;0),"1級に含む",IF(COUNTIFS('資格研修記録'!$A$5:$A$1004,$A75,'資格研修記録'!$D$5:$D$1004,L$4)=0,"—",IF(COUNTIFS('資格研修記録'!$A$5:$A$1004,$A75,'資格研修記録'!$D$5:$D$1004,L$4,'資格研修記録'!$F$5:$F$1004,"")+COUNTIFS('資格研修記録'!$A$5:$A$1004,$A75,'資格研修記録'!$D$5:$D$1004,L$4,'資格研修記録'!$F$5:$F$1004,"&gt;="&amp;TODAY())&gt;0,"○","× 期限切れ"))))</f>
        <v/>
      </c>
    </row>
    <row r="76">
      <c r="A76" s="14">
        <f>IF('隊員マスタ'!A76="","",'隊員マスタ'!A76)</f>
        <v/>
      </c>
      <c r="B76" s="14">
        <f>IF(A76="","",'隊員マスタ'!B76)</f>
        <v/>
      </c>
      <c r="C76" s="14">
        <f>IF(A76="","",'隊員マスタ'!C76)</f>
        <v/>
      </c>
      <c r="D76" s="15">
        <f>IF(A76="","",'隊員マスタ'!D76)</f>
        <v/>
      </c>
      <c r="E76" s="15">
        <f>IF(OR($A76="",E$4=""),"",IF(AND(E$4="小型船舶2級",(COUNTIFS('資格研修記録'!$A$5:$A$1004,$A76,'資格研修記録'!$D$5:$D$1004,"小型船舶1級",'資格研修記録'!$F$5:$F$1004,"")+COUNTIFS('資格研修記録'!$A$5:$A$1004,$A76,'資格研修記録'!$D$5:$D$1004,"小型船舶1級",'資格研修記録'!$F$5:$F$1004,"&gt;="&amp;TODAY()))&gt;0),"1級に含む",IF(COUNTIFS('資格研修記録'!$A$5:$A$1004,$A76,'資格研修記録'!$D$5:$D$1004,E$4)=0,"—",IF(COUNTIFS('資格研修記録'!$A$5:$A$1004,$A76,'資格研修記録'!$D$5:$D$1004,E$4,'資格研修記録'!$F$5:$F$1004,"")+COUNTIFS('資格研修記録'!$A$5:$A$1004,$A76,'資格研修記録'!$D$5:$D$1004,E$4,'資格研修記録'!$F$5:$F$1004,"&gt;="&amp;TODAY())&gt;0,"○","× 期限切れ"))))</f>
        <v/>
      </c>
      <c r="F76" s="15">
        <f>IF(OR($A76="",F$4=""),"",IF(AND(F$4="小型船舶2級",(COUNTIFS('資格研修記録'!$A$5:$A$1004,$A76,'資格研修記録'!$D$5:$D$1004,"小型船舶1級",'資格研修記録'!$F$5:$F$1004,"")+COUNTIFS('資格研修記録'!$A$5:$A$1004,$A76,'資格研修記録'!$D$5:$D$1004,"小型船舶1級",'資格研修記録'!$F$5:$F$1004,"&gt;="&amp;TODAY()))&gt;0),"1級に含む",IF(COUNTIFS('資格研修記録'!$A$5:$A$1004,$A76,'資格研修記録'!$D$5:$D$1004,F$4)=0,"—",IF(COUNTIFS('資格研修記録'!$A$5:$A$1004,$A76,'資格研修記録'!$D$5:$D$1004,F$4,'資格研修記録'!$F$5:$F$1004,"")+COUNTIFS('資格研修記録'!$A$5:$A$1004,$A76,'資格研修記録'!$D$5:$D$1004,F$4,'資格研修記録'!$F$5:$F$1004,"&gt;="&amp;TODAY())&gt;0,"○","× 期限切れ"))))</f>
        <v/>
      </c>
      <c r="G76" s="15">
        <f>IF(OR($A76="",G$4=""),"",IF(AND(G$4="小型船舶2級",(COUNTIFS('資格研修記録'!$A$5:$A$1004,$A76,'資格研修記録'!$D$5:$D$1004,"小型船舶1級",'資格研修記録'!$F$5:$F$1004,"")+COUNTIFS('資格研修記録'!$A$5:$A$1004,$A76,'資格研修記録'!$D$5:$D$1004,"小型船舶1級",'資格研修記録'!$F$5:$F$1004,"&gt;="&amp;TODAY()))&gt;0),"1級に含む",IF(COUNTIFS('資格研修記録'!$A$5:$A$1004,$A76,'資格研修記録'!$D$5:$D$1004,G$4)=0,"—",IF(COUNTIFS('資格研修記録'!$A$5:$A$1004,$A76,'資格研修記録'!$D$5:$D$1004,G$4,'資格研修記録'!$F$5:$F$1004,"")+COUNTIFS('資格研修記録'!$A$5:$A$1004,$A76,'資格研修記録'!$D$5:$D$1004,G$4,'資格研修記録'!$F$5:$F$1004,"&gt;="&amp;TODAY())&gt;0,"○","× 期限切れ"))))</f>
        <v/>
      </c>
      <c r="H76" s="15">
        <f>IF(OR($A76="",H$4=""),"",IF(AND(H$4="小型船舶2級",(COUNTIFS('資格研修記録'!$A$5:$A$1004,$A76,'資格研修記録'!$D$5:$D$1004,"小型船舶1級",'資格研修記録'!$F$5:$F$1004,"")+COUNTIFS('資格研修記録'!$A$5:$A$1004,$A76,'資格研修記録'!$D$5:$D$1004,"小型船舶1級",'資格研修記録'!$F$5:$F$1004,"&gt;="&amp;TODAY()))&gt;0),"1級に含む",IF(COUNTIFS('資格研修記録'!$A$5:$A$1004,$A76,'資格研修記録'!$D$5:$D$1004,H$4)=0,"—",IF(COUNTIFS('資格研修記録'!$A$5:$A$1004,$A76,'資格研修記録'!$D$5:$D$1004,H$4,'資格研修記録'!$F$5:$F$1004,"")+COUNTIFS('資格研修記録'!$A$5:$A$1004,$A76,'資格研修記録'!$D$5:$D$1004,H$4,'資格研修記録'!$F$5:$F$1004,"&gt;="&amp;TODAY())&gt;0,"○","× 期限切れ"))))</f>
        <v/>
      </c>
      <c r="I76" s="15">
        <f>IF(OR($A76="",I$4=""),"",IF(AND(I$4="小型船舶2級",(COUNTIFS('資格研修記録'!$A$5:$A$1004,$A76,'資格研修記録'!$D$5:$D$1004,"小型船舶1級",'資格研修記録'!$F$5:$F$1004,"")+COUNTIFS('資格研修記録'!$A$5:$A$1004,$A76,'資格研修記録'!$D$5:$D$1004,"小型船舶1級",'資格研修記録'!$F$5:$F$1004,"&gt;="&amp;TODAY()))&gt;0),"1級に含む",IF(COUNTIFS('資格研修記録'!$A$5:$A$1004,$A76,'資格研修記録'!$D$5:$D$1004,I$4)=0,"—",IF(COUNTIFS('資格研修記録'!$A$5:$A$1004,$A76,'資格研修記録'!$D$5:$D$1004,I$4,'資格研修記録'!$F$5:$F$1004,"")+COUNTIFS('資格研修記録'!$A$5:$A$1004,$A76,'資格研修記録'!$D$5:$D$1004,I$4,'資格研修記録'!$F$5:$F$1004,"&gt;="&amp;TODAY())&gt;0,"○","× 期限切れ"))))</f>
        <v/>
      </c>
      <c r="J76" s="15">
        <f>IF(OR($A76="",J$4=""),"",IF(AND(J$4="小型船舶2級",(COUNTIFS('資格研修記録'!$A$5:$A$1004,$A76,'資格研修記録'!$D$5:$D$1004,"小型船舶1級",'資格研修記録'!$F$5:$F$1004,"")+COUNTIFS('資格研修記録'!$A$5:$A$1004,$A76,'資格研修記録'!$D$5:$D$1004,"小型船舶1級",'資格研修記録'!$F$5:$F$1004,"&gt;="&amp;TODAY()))&gt;0),"1級に含む",IF(COUNTIFS('資格研修記録'!$A$5:$A$1004,$A76,'資格研修記録'!$D$5:$D$1004,J$4)=0,"—",IF(COUNTIFS('資格研修記録'!$A$5:$A$1004,$A76,'資格研修記録'!$D$5:$D$1004,J$4,'資格研修記録'!$F$5:$F$1004,"")+COUNTIFS('資格研修記録'!$A$5:$A$1004,$A76,'資格研修記録'!$D$5:$D$1004,J$4,'資格研修記録'!$F$5:$F$1004,"&gt;="&amp;TODAY())&gt;0,"○","× 期限切れ"))))</f>
        <v/>
      </c>
      <c r="K76" s="15">
        <f>IF(OR($A76="",K$4=""),"",IF(AND(K$4="小型船舶2級",(COUNTIFS('資格研修記録'!$A$5:$A$1004,$A76,'資格研修記録'!$D$5:$D$1004,"小型船舶1級",'資格研修記録'!$F$5:$F$1004,"")+COUNTIFS('資格研修記録'!$A$5:$A$1004,$A76,'資格研修記録'!$D$5:$D$1004,"小型船舶1級",'資格研修記録'!$F$5:$F$1004,"&gt;="&amp;TODAY()))&gt;0),"1級に含む",IF(COUNTIFS('資格研修記録'!$A$5:$A$1004,$A76,'資格研修記録'!$D$5:$D$1004,K$4)=0,"—",IF(COUNTIFS('資格研修記録'!$A$5:$A$1004,$A76,'資格研修記録'!$D$5:$D$1004,K$4,'資格研修記録'!$F$5:$F$1004,"")+COUNTIFS('資格研修記録'!$A$5:$A$1004,$A76,'資格研修記録'!$D$5:$D$1004,K$4,'資格研修記録'!$F$5:$F$1004,"&gt;="&amp;TODAY())&gt;0,"○","× 期限切れ"))))</f>
        <v/>
      </c>
      <c r="L76" s="15">
        <f>IF(OR($A76="",L$4=""),"",IF(AND(L$4="小型船舶2級",(COUNTIFS('資格研修記録'!$A$5:$A$1004,$A76,'資格研修記録'!$D$5:$D$1004,"小型船舶1級",'資格研修記録'!$F$5:$F$1004,"")+COUNTIFS('資格研修記録'!$A$5:$A$1004,$A76,'資格研修記録'!$D$5:$D$1004,"小型船舶1級",'資格研修記録'!$F$5:$F$1004,"&gt;="&amp;TODAY()))&gt;0),"1級に含む",IF(COUNTIFS('資格研修記録'!$A$5:$A$1004,$A76,'資格研修記録'!$D$5:$D$1004,L$4)=0,"—",IF(COUNTIFS('資格研修記録'!$A$5:$A$1004,$A76,'資格研修記録'!$D$5:$D$1004,L$4,'資格研修記録'!$F$5:$F$1004,"")+COUNTIFS('資格研修記録'!$A$5:$A$1004,$A76,'資格研修記録'!$D$5:$D$1004,L$4,'資格研修記録'!$F$5:$F$1004,"&gt;="&amp;TODAY())&gt;0,"○","× 期限切れ"))))</f>
        <v/>
      </c>
    </row>
    <row r="77">
      <c r="A77" s="14">
        <f>IF('隊員マスタ'!A77="","",'隊員マスタ'!A77)</f>
        <v/>
      </c>
      <c r="B77" s="14">
        <f>IF(A77="","",'隊員マスタ'!B77)</f>
        <v/>
      </c>
      <c r="C77" s="14">
        <f>IF(A77="","",'隊員マスタ'!C77)</f>
        <v/>
      </c>
      <c r="D77" s="15">
        <f>IF(A77="","",'隊員マスタ'!D77)</f>
        <v/>
      </c>
      <c r="E77" s="15">
        <f>IF(OR($A77="",E$4=""),"",IF(AND(E$4="小型船舶2級",(COUNTIFS('資格研修記録'!$A$5:$A$1004,$A77,'資格研修記録'!$D$5:$D$1004,"小型船舶1級",'資格研修記録'!$F$5:$F$1004,"")+COUNTIFS('資格研修記録'!$A$5:$A$1004,$A77,'資格研修記録'!$D$5:$D$1004,"小型船舶1級",'資格研修記録'!$F$5:$F$1004,"&gt;="&amp;TODAY()))&gt;0),"1級に含む",IF(COUNTIFS('資格研修記録'!$A$5:$A$1004,$A77,'資格研修記録'!$D$5:$D$1004,E$4)=0,"—",IF(COUNTIFS('資格研修記録'!$A$5:$A$1004,$A77,'資格研修記録'!$D$5:$D$1004,E$4,'資格研修記録'!$F$5:$F$1004,"")+COUNTIFS('資格研修記録'!$A$5:$A$1004,$A77,'資格研修記録'!$D$5:$D$1004,E$4,'資格研修記録'!$F$5:$F$1004,"&gt;="&amp;TODAY())&gt;0,"○","× 期限切れ"))))</f>
        <v/>
      </c>
      <c r="F77" s="15">
        <f>IF(OR($A77="",F$4=""),"",IF(AND(F$4="小型船舶2級",(COUNTIFS('資格研修記録'!$A$5:$A$1004,$A77,'資格研修記録'!$D$5:$D$1004,"小型船舶1級",'資格研修記録'!$F$5:$F$1004,"")+COUNTIFS('資格研修記録'!$A$5:$A$1004,$A77,'資格研修記録'!$D$5:$D$1004,"小型船舶1級",'資格研修記録'!$F$5:$F$1004,"&gt;="&amp;TODAY()))&gt;0),"1級に含む",IF(COUNTIFS('資格研修記録'!$A$5:$A$1004,$A77,'資格研修記録'!$D$5:$D$1004,F$4)=0,"—",IF(COUNTIFS('資格研修記録'!$A$5:$A$1004,$A77,'資格研修記録'!$D$5:$D$1004,F$4,'資格研修記録'!$F$5:$F$1004,"")+COUNTIFS('資格研修記録'!$A$5:$A$1004,$A77,'資格研修記録'!$D$5:$D$1004,F$4,'資格研修記録'!$F$5:$F$1004,"&gt;="&amp;TODAY())&gt;0,"○","× 期限切れ"))))</f>
        <v/>
      </c>
      <c r="G77" s="15">
        <f>IF(OR($A77="",G$4=""),"",IF(AND(G$4="小型船舶2級",(COUNTIFS('資格研修記録'!$A$5:$A$1004,$A77,'資格研修記録'!$D$5:$D$1004,"小型船舶1級",'資格研修記録'!$F$5:$F$1004,"")+COUNTIFS('資格研修記録'!$A$5:$A$1004,$A77,'資格研修記録'!$D$5:$D$1004,"小型船舶1級",'資格研修記録'!$F$5:$F$1004,"&gt;="&amp;TODAY()))&gt;0),"1級に含む",IF(COUNTIFS('資格研修記録'!$A$5:$A$1004,$A77,'資格研修記録'!$D$5:$D$1004,G$4)=0,"—",IF(COUNTIFS('資格研修記録'!$A$5:$A$1004,$A77,'資格研修記録'!$D$5:$D$1004,G$4,'資格研修記録'!$F$5:$F$1004,"")+COUNTIFS('資格研修記録'!$A$5:$A$1004,$A77,'資格研修記録'!$D$5:$D$1004,G$4,'資格研修記録'!$F$5:$F$1004,"&gt;="&amp;TODAY())&gt;0,"○","× 期限切れ"))))</f>
        <v/>
      </c>
      <c r="H77" s="15">
        <f>IF(OR($A77="",H$4=""),"",IF(AND(H$4="小型船舶2級",(COUNTIFS('資格研修記録'!$A$5:$A$1004,$A77,'資格研修記録'!$D$5:$D$1004,"小型船舶1級",'資格研修記録'!$F$5:$F$1004,"")+COUNTIFS('資格研修記録'!$A$5:$A$1004,$A77,'資格研修記録'!$D$5:$D$1004,"小型船舶1級",'資格研修記録'!$F$5:$F$1004,"&gt;="&amp;TODAY()))&gt;0),"1級に含む",IF(COUNTIFS('資格研修記録'!$A$5:$A$1004,$A77,'資格研修記録'!$D$5:$D$1004,H$4)=0,"—",IF(COUNTIFS('資格研修記録'!$A$5:$A$1004,$A77,'資格研修記録'!$D$5:$D$1004,H$4,'資格研修記録'!$F$5:$F$1004,"")+COUNTIFS('資格研修記録'!$A$5:$A$1004,$A77,'資格研修記録'!$D$5:$D$1004,H$4,'資格研修記録'!$F$5:$F$1004,"&gt;="&amp;TODAY())&gt;0,"○","× 期限切れ"))))</f>
        <v/>
      </c>
      <c r="I77" s="15">
        <f>IF(OR($A77="",I$4=""),"",IF(AND(I$4="小型船舶2級",(COUNTIFS('資格研修記録'!$A$5:$A$1004,$A77,'資格研修記録'!$D$5:$D$1004,"小型船舶1級",'資格研修記録'!$F$5:$F$1004,"")+COUNTIFS('資格研修記録'!$A$5:$A$1004,$A77,'資格研修記録'!$D$5:$D$1004,"小型船舶1級",'資格研修記録'!$F$5:$F$1004,"&gt;="&amp;TODAY()))&gt;0),"1級に含む",IF(COUNTIFS('資格研修記録'!$A$5:$A$1004,$A77,'資格研修記録'!$D$5:$D$1004,I$4)=0,"—",IF(COUNTIFS('資格研修記録'!$A$5:$A$1004,$A77,'資格研修記録'!$D$5:$D$1004,I$4,'資格研修記録'!$F$5:$F$1004,"")+COUNTIFS('資格研修記録'!$A$5:$A$1004,$A77,'資格研修記録'!$D$5:$D$1004,I$4,'資格研修記録'!$F$5:$F$1004,"&gt;="&amp;TODAY())&gt;0,"○","× 期限切れ"))))</f>
        <v/>
      </c>
      <c r="J77" s="15">
        <f>IF(OR($A77="",J$4=""),"",IF(AND(J$4="小型船舶2級",(COUNTIFS('資格研修記録'!$A$5:$A$1004,$A77,'資格研修記録'!$D$5:$D$1004,"小型船舶1級",'資格研修記録'!$F$5:$F$1004,"")+COUNTIFS('資格研修記録'!$A$5:$A$1004,$A77,'資格研修記録'!$D$5:$D$1004,"小型船舶1級",'資格研修記録'!$F$5:$F$1004,"&gt;="&amp;TODAY()))&gt;0),"1級に含む",IF(COUNTIFS('資格研修記録'!$A$5:$A$1004,$A77,'資格研修記録'!$D$5:$D$1004,J$4)=0,"—",IF(COUNTIFS('資格研修記録'!$A$5:$A$1004,$A77,'資格研修記録'!$D$5:$D$1004,J$4,'資格研修記録'!$F$5:$F$1004,"")+COUNTIFS('資格研修記録'!$A$5:$A$1004,$A77,'資格研修記録'!$D$5:$D$1004,J$4,'資格研修記録'!$F$5:$F$1004,"&gt;="&amp;TODAY())&gt;0,"○","× 期限切れ"))))</f>
        <v/>
      </c>
      <c r="K77" s="15">
        <f>IF(OR($A77="",K$4=""),"",IF(AND(K$4="小型船舶2級",(COUNTIFS('資格研修記録'!$A$5:$A$1004,$A77,'資格研修記録'!$D$5:$D$1004,"小型船舶1級",'資格研修記録'!$F$5:$F$1004,"")+COUNTIFS('資格研修記録'!$A$5:$A$1004,$A77,'資格研修記録'!$D$5:$D$1004,"小型船舶1級",'資格研修記録'!$F$5:$F$1004,"&gt;="&amp;TODAY()))&gt;0),"1級に含む",IF(COUNTIFS('資格研修記録'!$A$5:$A$1004,$A77,'資格研修記録'!$D$5:$D$1004,K$4)=0,"—",IF(COUNTIFS('資格研修記録'!$A$5:$A$1004,$A77,'資格研修記録'!$D$5:$D$1004,K$4,'資格研修記録'!$F$5:$F$1004,"")+COUNTIFS('資格研修記録'!$A$5:$A$1004,$A77,'資格研修記録'!$D$5:$D$1004,K$4,'資格研修記録'!$F$5:$F$1004,"&gt;="&amp;TODAY())&gt;0,"○","× 期限切れ"))))</f>
        <v/>
      </c>
      <c r="L77" s="15">
        <f>IF(OR($A77="",L$4=""),"",IF(AND(L$4="小型船舶2級",(COUNTIFS('資格研修記録'!$A$5:$A$1004,$A77,'資格研修記録'!$D$5:$D$1004,"小型船舶1級",'資格研修記録'!$F$5:$F$1004,"")+COUNTIFS('資格研修記録'!$A$5:$A$1004,$A77,'資格研修記録'!$D$5:$D$1004,"小型船舶1級",'資格研修記録'!$F$5:$F$1004,"&gt;="&amp;TODAY()))&gt;0),"1級に含む",IF(COUNTIFS('資格研修記録'!$A$5:$A$1004,$A77,'資格研修記録'!$D$5:$D$1004,L$4)=0,"—",IF(COUNTIFS('資格研修記録'!$A$5:$A$1004,$A77,'資格研修記録'!$D$5:$D$1004,L$4,'資格研修記録'!$F$5:$F$1004,"")+COUNTIFS('資格研修記録'!$A$5:$A$1004,$A77,'資格研修記録'!$D$5:$D$1004,L$4,'資格研修記録'!$F$5:$F$1004,"&gt;="&amp;TODAY())&gt;0,"○","× 期限切れ"))))</f>
        <v/>
      </c>
    </row>
    <row r="78">
      <c r="A78" s="14">
        <f>IF('隊員マスタ'!A78="","",'隊員マスタ'!A78)</f>
        <v/>
      </c>
      <c r="B78" s="14">
        <f>IF(A78="","",'隊員マスタ'!B78)</f>
        <v/>
      </c>
      <c r="C78" s="14">
        <f>IF(A78="","",'隊員マスタ'!C78)</f>
        <v/>
      </c>
      <c r="D78" s="15">
        <f>IF(A78="","",'隊員マスタ'!D78)</f>
        <v/>
      </c>
      <c r="E78" s="15">
        <f>IF(OR($A78="",E$4=""),"",IF(AND(E$4="小型船舶2級",(COUNTIFS('資格研修記録'!$A$5:$A$1004,$A78,'資格研修記録'!$D$5:$D$1004,"小型船舶1級",'資格研修記録'!$F$5:$F$1004,"")+COUNTIFS('資格研修記録'!$A$5:$A$1004,$A78,'資格研修記録'!$D$5:$D$1004,"小型船舶1級",'資格研修記録'!$F$5:$F$1004,"&gt;="&amp;TODAY()))&gt;0),"1級に含む",IF(COUNTIFS('資格研修記録'!$A$5:$A$1004,$A78,'資格研修記録'!$D$5:$D$1004,E$4)=0,"—",IF(COUNTIFS('資格研修記録'!$A$5:$A$1004,$A78,'資格研修記録'!$D$5:$D$1004,E$4,'資格研修記録'!$F$5:$F$1004,"")+COUNTIFS('資格研修記録'!$A$5:$A$1004,$A78,'資格研修記録'!$D$5:$D$1004,E$4,'資格研修記録'!$F$5:$F$1004,"&gt;="&amp;TODAY())&gt;0,"○","× 期限切れ"))))</f>
        <v/>
      </c>
      <c r="F78" s="15">
        <f>IF(OR($A78="",F$4=""),"",IF(AND(F$4="小型船舶2級",(COUNTIFS('資格研修記録'!$A$5:$A$1004,$A78,'資格研修記録'!$D$5:$D$1004,"小型船舶1級",'資格研修記録'!$F$5:$F$1004,"")+COUNTIFS('資格研修記録'!$A$5:$A$1004,$A78,'資格研修記録'!$D$5:$D$1004,"小型船舶1級",'資格研修記録'!$F$5:$F$1004,"&gt;="&amp;TODAY()))&gt;0),"1級に含む",IF(COUNTIFS('資格研修記録'!$A$5:$A$1004,$A78,'資格研修記録'!$D$5:$D$1004,F$4)=0,"—",IF(COUNTIFS('資格研修記録'!$A$5:$A$1004,$A78,'資格研修記録'!$D$5:$D$1004,F$4,'資格研修記録'!$F$5:$F$1004,"")+COUNTIFS('資格研修記録'!$A$5:$A$1004,$A78,'資格研修記録'!$D$5:$D$1004,F$4,'資格研修記録'!$F$5:$F$1004,"&gt;="&amp;TODAY())&gt;0,"○","× 期限切れ"))))</f>
        <v/>
      </c>
      <c r="G78" s="15">
        <f>IF(OR($A78="",G$4=""),"",IF(AND(G$4="小型船舶2級",(COUNTIFS('資格研修記録'!$A$5:$A$1004,$A78,'資格研修記録'!$D$5:$D$1004,"小型船舶1級",'資格研修記録'!$F$5:$F$1004,"")+COUNTIFS('資格研修記録'!$A$5:$A$1004,$A78,'資格研修記録'!$D$5:$D$1004,"小型船舶1級",'資格研修記録'!$F$5:$F$1004,"&gt;="&amp;TODAY()))&gt;0),"1級に含む",IF(COUNTIFS('資格研修記録'!$A$5:$A$1004,$A78,'資格研修記録'!$D$5:$D$1004,G$4)=0,"—",IF(COUNTIFS('資格研修記録'!$A$5:$A$1004,$A78,'資格研修記録'!$D$5:$D$1004,G$4,'資格研修記録'!$F$5:$F$1004,"")+COUNTIFS('資格研修記録'!$A$5:$A$1004,$A78,'資格研修記録'!$D$5:$D$1004,G$4,'資格研修記録'!$F$5:$F$1004,"&gt;="&amp;TODAY())&gt;0,"○","× 期限切れ"))))</f>
        <v/>
      </c>
      <c r="H78" s="15">
        <f>IF(OR($A78="",H$4=""),"",IF(AND(H$4="小型船舶2級",(COUNTIFS('資格研修記録'!$A$5:$A$1004,$A78,'資格研修記録'!$D$5:$D$1004,"小型船舶1級",'資格研修記録'!$F$5:$F$1004,"")+COUNTIFS('資格研修記録'!$A$5:$A$1004,$A78,'資格研修記録'!$D$5:$D$1004,"小型船舶1級",'資格研修記録'!$F$5:$F$1004,"&gt;="&amp;TODAY()))&gt;0),"1級に含む",IF(COUNTIFS('資格研修記録'!$A$5:$A$1004,$A78,'資格研修記録'!$D$5:$D$1004,H$4)=0,"—",IF(COUNTIFS('資格研修記録'!$A$5:$A$1004,$A78,'資格研修記録'!$D$5:$D$1004,H$4,'資格研修記録'!$F$5:$F$1004,"")+COUNTIFS('資格研修記録'!$A$5:$A$1004,$A78,'資格研修記録'!$D$5:$D$1004,H$4,'資格研修記録'!$F$5:$F$1004,"&gt;="&amp;TODAY())&gt;0,"○","× 期限切れ"))))</f>
        <v/>
      </c>
      <c r="I78" s="15">
        <f>IF(OR($A78="",I$4=""),"",IF(AND(I$4="小型船舶2級",(COUNTIFS('資格研修記録'!$A$5:$A$1004,$A78,'資格研修記録'!$D$5:$D$1004,"小型船舶1級",'資格研修記録'!$F$5:$F$1004,"")+COUNTIFS('資格研修記録'!$A$5:$A$1004,$A78,'資格研修記録'!$D$5:$D$1004,"小型船舶1級",'資格研修記録'!$F$5:$F$1004,"&gt;="&amp;TODAY()))&gt;0),"1級に含む",IF(COUNTIFS('資格研修記録'!$A$5:$A$1004,$A78,'資格研修記録'!$D$5:$D$1004,I$4)=0,"—",IF(COUNTIFS('資格研修記録'!$A$5:$A$1004,$A78,'資格研修記録'!$D$5:$D$1004,I$4,'資格研修記録'!$F$5:$F$1004,"")+COUNTIFS('資格研修記録'!$A$5:$A$1004,$A78,'資格研修記録'!$D$5:$D$1004,I$4,'資格研修記録'!$F$5:$F$1004,"&gt;="&amp;TODAY())&gt;0,"○","× 期限切れ"))))</f>
        <v/>
      </c>
      <c r="J78" s="15">
        <f>IF(OR($A78="",J$4=""),"",IF(AND(J$4="小型船舶2級",(COUNTIFS('資格研修記録'!$A$5:$A$1004,$A78,'資格研修記録'!$D$5:$D$1004,"小型船舶1級",'資格研修記録'!$F$5:$F$1004,"")+COUNTIFS('資格研修記録'!$A$5:$A$1004,$A78,'資格研修記録'!$D$5:$D$1004,"小型船舶1級",'資格研修記録'!$F$5:$F$1004,"&gt;="&amp;TODAY()))&gt;0),"1級に含む",IF(COUNTIFS('資格研修記録'!$A$5:$A$1004,$A78,'資格研修記録'!$D$5:$D$1004,J$4)=0,"—",IF(COUNTIFS('資格研修記録'!$A$5:$A$1004,$A78,'資格研修記録'!$D$5:$D$1004,J$4,'資格研修記録'!$F$5:$F$1004,"")+COUNTIFS('資格研修記録'!$A$5:$A$1004,$A78,'資格研修記録'!$D$5:$D$1004,J$4,'資格研修記録'!$F$5:$F$1004,"&gt;="&amp;TODAY())&gt;0,"○","× 期限切れ"))))</f>
        <v/>
      </c>
      <c r="K78" s="15">
        <f>IF(OR($A78="",K$4=""),"",IF(AND(K$4="小型船舶2級",(COUNTIFS('資格研修記録'!$A$5:$A$1004,$A78,'資格研修記録'!$D$5:$D$1004,"小型船舶1級",'資格研修記録'!$F$5:$F$1004,"")+COUNTIFS('資格研修記録'!$A$5:$A$1004,$A78,'資格研修記録'!$D$5:$D$1004,"小型船舶1級",'資格研修記録'!$F$5:$F$1004,"&gt;="&amp;TODAY()))&gt;0),"1級に含む",IF(COUNTIFS('資格研修記録'!$A$5:$A$1004,$A78,'資格研修記録'!$D$5:$D$1004,K$4)=0,"—",IF(COUNTIFS('資格研修記録'!$A$5:$A$1004,$A78,'資格研修記録'!$D$5:$D$1004,K$4,'資格研修記録'!$F$5:$F$1004,"")+COUNTIFS('資格研修記録'!$A$5:$A$1004,$A78,'資格研修記録'!$D$5:$D$1004,K$4,'資格研修記録'!$F$5:$F$1004,"&gt;="&amp;TODAY())&gt;0,"○","× 期限切れ"))))</f>
        <v/>
      </c>
      <c r="L78" s="15">
        <f>IF(OR($A78="",L$4=""),"",IF(AND(L$4="小型船舶2級",(COUNTIFS('資格研修記録'!$A$5:$A$1004,$A78,'資格研修記録'!$D$5:$D$1004,"小型船舶1級",'資格研修記録'!$F$5:$F$1004,"")+COUNTIFS('資格研修記録'!$A$5:$A$1004,$A78,'資格研修記録'!$D$5:$D$1004,"小型船舶1級",'資格研修記録'!$F$5:$F$1004,"&gt;="&amp;TODAY()))&gt;0),"1級に含む",IF(COUNTIFS('資格研修記録'!$A$5:$A$1004,$A78,'資格研修記録'!$D$5:$D$1004,L$4)=0,"—",IF(COUNTIFS('資格研修記録'!$A$5:$A$1004,$A78,'資格研修記録'!$D$5:$D$1004,L$4,'資格研修記録'!$F$5:$F$1004,"")+COUNTIFS('資格研修記録'!$A$5:$A$1004,$A78,'資格研修記録'!$D$5:$D$1004,L$4,'資格研修記録'!$F$5:$F$1004,"&gt;="&amp;TODAY())&gt;0,"○","× 期限切れ"))))</f>
        <v/>
      </c>
    </row>
    <row r="79">
      <c r="A79" s="14">
        <f>IF('隊員マスタ'!A79="","",'隊員マスタ'!A79)</f>
        <v/>
      </c>
      <c r="B79" s="14">
        <f>IF(A79="","",'隊員マスタ'!B79)</f>
        <v/>
      </c>
      <c r="C79" s="14">
        <f>IF(A79="","",'隊員マスタ'!C79)</f>
        <v/>
      </c>
      <c r="D79" s="15">
        <f>IF(A79="","",'隊員マスタ'!D79)</f>
        <v/>
      </c>
      <c r="E79" s="15">
        <f>IF(OR($A79="",E$4=""),"",IF(AND(E$4="小型船舶2級",(COUNTIFS('資格研修記録'!$A$5:$A$1004,$A79,'資格研修記録'!$D$5:$D$1004,"小型船舶1級",'資格研修記録'!$F$5:$F$1004,"")+COUNTIFS('資格研修記録'!$A$5:$A$1004,$A79,'資格研修記録'!$D$5:$D$1004,"小型船舶1級",'資格研修記録'!$F$5:$F$1004,"&gt;="&amp;TODAY()))&gt;0),"1級に含む",IF(COUNTIFS('資格研修記録'!$A$5:$A$1004,$A79,'資格研修記録'!$D$5:$D$1004,E$4)=0,"—",IF(COUNTIFS('資格研修記録'!$A$5:$A$1004,$A79,'資格研修記録'!$D$5:$D$1004,E$4,'資格研修記録'!$F$5:$F$1004,"")+COUNTIFS('資格研修記録'!$A$5:$A$1004,$A79,'資格研修記録'!$D$5:$D$1004,E$4,'資格研修記録'!$F$5:$F$1004,"&gt;="&amp;TODAY())&gt;0,"○","× 期限切れ"))))</f>
        <v/>
      </c>
      <c r="F79" s="15">
        <f>IF(OR($A79="",F$4=""),"",IF(AND(F$4="小型船舶2級",(COUNTIFS('資格研修記録'!$A$5:$A$1004,$A79,'資格研修記録'!$D$5:$D$1004,"小型船舶1級",'資格研修記録'!$F$5:$F$1004,"")+COUNTIFS('資格研修記録'!$A$5:$A$1004,$A79,'資格研修記録'!$D$5:$D$1004,"小型船舶1級",'資格研修記録'!$F$5:$F$1004,"&gt;="&amp;TODAY()))&gt;0),"1級に含む",IF(COUNTIFS('資格研修記録'!$A$5:$A$1004,$A79,'資格研修記録'!$D$5:$D$1004,F$4)=0,"—",IF(COUNTIFS('資格研修記録'!$A$5:$A$1004,$A79,'資格研修記録'!$D$5:$D$1004,F$4,'資格研修記録'!$F$5:$F$1004,"")+COUNTIFS('資格研修記録'!$A$5:$A$1004,$A79,'資格研修記録'!$D$5:$D$1004,F$4,'資格研修記録'!$F$5:$F$1004,"&gt;="&amp;TODAY())&gt;0,"○","× 期限切れ"))))</f>
        <v/>
      </c>
      <c r="G79" s="15">
        <f>IF(OR($A79="",G$4=""),"",IF(AND(G$4="小型船舶2級",(COUNTIFS('資格研修記録'!$A$5:$A$1004,$A79,'資格研修記録'!$D$5:$D$1004,"小型船舶1級",'資格研修記録'!$F$5:$F$1004,"")+COUNTIFS('資格研修記録'!$A$5:$A$1004,$A79,'資格研修記録'!$D$5:$D$1004,"小型船舶1級",'資格研修記録'!$F$5:$F$1004,"&gt;="&amp;TODAY()))&gt;0),"1級に含む",IF(COUNTIFS('資格研修記録'!$A$5:$A$1004,$A79,'資格研修記録'!$D$5:$D$1004,G$4)=0,"—",IF(COUNTIFS('資格研修記録'!$A$5:$A$1004,$A79,'資格研修記録'!$D$5:$D$1004,G$4,'資格研修記録'!$F$5:$F$1004,"")+COUNTIFS('資格研修記録'!$A$5:$A$1004,$A79,'資格研修記録'!$D$5:$D$1004,G$4,'資格研修記録'!$F$5:$F$1004,"&gt;="&amp;TODAY())&gt;0,"○","× 期限切れ"))))</f>
        <v/>
      </c>
      <c r="H79" s="15">
        <f>IF(OR($A79="",H$4=""),"",IF(AND(H$4="小型船舶2級",(COUNTIFS('資格研修記録'!$A$5:$A$1004,$A79,'資格研修記録'!$D$5:$D$1004,"小型船舶1級",'資格研修記録'!$F$5:$F$1004,"")+COUNTIFS('資格研修記録'!$A$5:$A$1004,$A79,'資格研修記録'!$D$5:$D$1004,"小型船舶1級",'資格研修記録'!$F$5:$F$1004,"&gt;="&amp;TODAY()))&gt;0),"1級に含む",IF(COUNTIFS('資格研修記録'!$A$5:$A$1004,$A79,'資格研修記録'!$D$5:$D$1004,H$4)=0,"—",IF(COUNTIFS('資格研修記録'!$A$5:$A$1004,$A79,'資格研修記録'!$D$5:$D$1004,H$4,'資格研修記録'!$F$5:$F$1004,"")+COUNTIFS('資格研修記録'!$A$5:$A$1004,$A79,'資格研修記録'!$D$5:$D$1004,H$4,'資格研修記録'!$F$5:$F$1004,"&gt;="&amp;TODAY())&gt;0,"○","× 期限切れ"))))</f>
        <v/>
      </c>
      <c r="I79" s="15">
        <f>IF(OR($A79="",I$4=""),"",IF(AND(I$4="小型船舶2級",(COUNTIFS('資格研修記録'!$A$5:$A$1004,$A79,'資格研修記録'!$D$5:$D$1004,"小型船舶1級",'資格研修記録'!$F$5:$F$1004,"")+COUNTIFS('資格研修記録'!$A$5:$A$1004,$A79,'資格研修記録'!$D$5:$D$1004,"小型船舶1級",'資格研修記録'!$F$5:$F$1004,"&gt;="&amp;TODAY()))&gt;0),"1級に含む",IF(COUNTIFS('資格研修記録'!$A$5:$A$1004,$A79,'資格研修記録'!$D$5:$D$1004,I$4)=0,"—",IF(COUNTIFS('資格研修記録'!$A$5:$A$1004,$A79,'資格研修記録'!$D$5:$D$1004,I$4,'資格研修記録'!$F$5:$F$1004,"")+COUNTIFS('資格研修記録'!$A$5:$A$1004,$A79,'資格研修記録'!$D$5:$D$1004,I$4,'資格研修記録'!$F$5:$F$1004,"&gt;="&amp;TODAY())&gt;0,"○","× 期限切れ"))))</f>
        <v/>
      </c>
      <c r="J79" s="15">
        <f>IF(OR($A79="",J$4=""),"",IF(AND(J$4="小型船舶2級",(COUNTIFS('資格研修記録'!$A$5:$A$1004,$A79,'資格研修記録'!$D$5:$D$1004,"小型船舶1級",'資格研修記録'!$F$5:$F$1004,"")+COUNTIFS('資格研修記録'!$A$5:$A$1004,$A79,'資格研修記録'!$D$5:$D$1004,"小型船舶1級",'資格研修記録'!$F$5:$F$1004,"&gt;="&amp;TODAY()))&gt;0),"1級に含む",IF(COUNTIFS('資格研修記録'!$A$5:$A$1004,$A79,'資格研修記録'!$D$5:$D$1004,J$4)=0,"—",IF(COUNTIFS('資格研修記録'!$A$5:$A$1004,$A79,'資格研修記録'!$D$5:$D$1004,J$4,'資格研修記録'!$F$5:$F$1004,"")+COUNTIFS('資格研修記録'!$A$5:$A$1004,$A79,'資格研修記録'!$D$5:$D$1004,J$4,'資格研修記録'!$F$5:$F$1004,"&gt;="&amp;TODAY())&gt;0,"○","× 期限切れ"))))</f>
        <v/>
      </c>
      <c r="K79" s="15">
        <f>IF(OR($A79="",K$4=""),"",IF(AND(K$4="小型船舶2級",(COUNTIFS('資格研修記録'!$A$5:$A$1004,$A79,'資格研修記録'!$D$5:$D$1004,"小型船舶1級",'資格研修記録'!$F$5:$F$1004,"")+COUNTIFS('資格研修記録'!$A$5:$A$1004,$A79,'資格研修記録'!$D$5:$D$1004,"小型船舶1級",'資格研修記録'!$F$5:$F$1004,"&gt;="&amp;TODAY()))&gt;0),"1級に含む",IF(COUNTIFS('資格研修記録'!$A$5:$A$1004,$A79,'資格研修記録'!$D$5:$D$1004,K$4)=0,"—",IF(COUNTIFS('資格研修記録'!$A$5:$A$1004,$A79,'資格研修記録'!$D$5:$D$1004,K$4,'資格研修記録'!$F$5:$F$1004,"")+COUNTIFS('資格研修記録'!$A$5:$A$1004,$A79,'資格研修記録'!$D$5:$D$1004,K$4,'資格研修記録'!$F$5:$F$1004,"&gt;="&amp;TODAY())&gt;0,"○","× 期限切れ"))))</f>
        <v/>
      </c>
      <c r="L79" s="15">
        <f>IF(OR($A79="",L$4=""),"",IF(AND(L$4="小型船舶2級",(COUNTIFS('資格研修記録'!$A$5:$A$1004,$A79,'資格研修記録'!$D$5:$D$1004,"小型船舶1級",'資格研修記録'!$F$5:$F$1004,"")+COUNTIFS('資格研修記録'!$A$5:$A$1004,$A79,'資格研修記録'!$D$5:$D$1004,"小型船舶1級",'資格研修記録'!$F$5:$F$1004,"&gt;="&amp;TODAY()))&gt;0),"1級に含む",IF(COUNTIFS('資格研修記録'!$A$5:$A$1004,$A79,'資格研修記録'!$D$5:$D$1004,L$4)=0,"—",IF(COUNTIFS('資格研修記録'!$A$5:$A$1004,$A79,'資格研修記録'!$D$5:$D$1004,L$4,'資格研修記録'!$F$5:$F$1004,"")+COUNTIFS('資格研修記録'!$A$5:$A$1004,$A79,'資格研修記録'!$D$5:$D$1004,L$4,'資格研修記録'!$F$5:$F$1004,"&gt;="&amp;TODAY())&gt;0,"○","× 期限切れ"))))</f>
        <v/>
      </c>
    </row>
    <row r="80">
      <c r="A80" s="14">
        <f>IF('隊員マスタ'!A80="","",'隊員マスタ'!A80)</f>
        <v/>
      </c>
      <c r="B80" s="14">
        <f>IF(A80="","",'隊員マスタ'!B80)</f>
        <v/>
      </c>
      <c r="C80" s="14">
        <f>IF(A80="","",'隊員マスタ'!C80)</f>
        <v/>
      </c>
      <c r="D80" s="15">
        <f>IF(A80="","",'隊員マスタ'!D80)</f>
        <v/>
      </c>
      <c r="E80" s="15">
        <f>IF(OR($A80="",E$4=""),"",IF(AND(E$4="小型船舶2級",(COUNTIFS('資格研修記録'!$A$5:$A$1004,$A80,'資格研修記録'!$D$5:$D$1004,"小型船舶1級",'資格研修記録'!$F$5:$F$1004,"")+COUNTIFS('資格研修記録'!$A$5:$A$1004,$A80,'資格研修記録'!$D$5:$D$1004,"小型船舶1級",'資格研修記録'!$F$5:$F$1004,"&gt;="&amp;TODAY()))&gt;0),"1級に含む",IF(COUNTIFS('資格研修記録'!$A$5:$A$1004,$A80,'資格研修記録'!$D$5:$D$1004,E$4)=0,"—",IF(COUNTIFS('資格研修記録'!$A$5:$A$1004,$A80,'資格研修記録'!$D$5:$D$1004,E$4,'資格研修記録'!$F$5:$F$1004,"")+COUNTIFS('資格研修記録'!$A$5:$A$1004,$A80,'資格研修記録'!$D$5:$D$1004,E$4,'資格研修記録'!$F$5:$F$1004,"&gt;="&amp;TODAY())&gt;0,"○","× 期限切れ"))))</f>
        <v/>
      </c>
      <c r="F80" s="15">
        <f>IF(OR($A80="",F$4=""),"",IF(AND(F$4="小型船舶2級",(COUNTIFS('資格研修記録'!$A$5:$A$1004,$A80,'資格研修記録'!$D$5:$D$1004,"小型船舶1級",'資格研修記録'!$F$5:$F$1004,"")+COUNTIFS('資格研修記録'!$A$5:$A$1004,$A80,'資格研修記録'!$D$5:$D$1004,"小型船舶1級",'資格研修記録'!$F$5:$F$1004,"&gt;="&amp;TODAY()))&gt;0),"1級に含む",IF(COUNTIFS('資格研修記録'!$A$5:$A$1004,$A80,'資格研修記録'!$D$5:$D$1004,F$4)=0,"—",IF(COUNTIFS('資格研修記録'!$A$5:$A$1004,$A80,'資格研修記録'!$D$5:$D$1004,F$4,'資格研修記録'!$F$5:$F$1004,"")+COUNTIFS('資格研修記録'!$A$5:$A$1004,$A80,'資格研修記録'!$D$5:$D$1004,F$4,'資格研修記録'!$F$5:$F$1004,"&gt;="&amp;TODAY())&gt;0,"○","× 期限切れ"))))</f>
        <v/>
      </c>
      <c r="G80" s="15">
        <f>IF(OR($A80="",G$4=""),"",IF(AND(G$4="小型船舶2級",(COUNTIFS('資格研修記録'!$A$5:$A$1004,$A80,'資格研修記録'!$D$5:$D$1004,"小型船舶1級",'資格研修記録'!$F$5:$F$1004,"")+COUNTIFS('資格研修記録'!$A$5:$A$1004,$A80,'資格研修記録'!$D$5:$D$1004,"小型船舶1級",'資格研修記録'!$F$5:$F$1004,"&gt;="&amp;TODAY()))&gt;0),"1級に含む",IF(COUNTIFS('資格研修記録'!$A$5:$A$1004,$A80,'資格研修記録'!$D$5:$D$1004,G$4)=0,"—",IF(COUNTIFS('資格研修記録'!$A$5:$A$1004,$A80,'資格研修記録'!$D$5:$D$1004,G$4,'資格研修記録'!$F$5:$F$1004,"")+COUNTIFS('資格研修記録'!$A$5:$A$1004,$A80,'資格研修記録'!$D$5:$D$1004,G$4,'資格研修記録'!$F$5:$F$1004,"&gt;="&amp;TODAY())&gt;0,"○","× 期限切れ"))))</f>
        <v/>
      </c>
      <c r="H80" s="15">
        <f>IF(OR($A80="",H$4=""),"",IF(AND(H$4="小型船舶2級",(COUNTIFS('資格研修記録'!$A$5:$A$1004,$A80,'資格研修記録'!$D$5:$D$1004,"小型船舶1級",'資格研修記録'!$F$5:$F$1004,"")+COUNTIFS('資格研修記録'!$A$5:$A$1004,$A80,'資格研修記録'!$D$5:$D$1004,"小型船舶1級",'資格研修記録'!$F$5:$F$1004,"&gt;="&amp;TODAY()))&gt;0),"1級に含む",IF(COUNTIFS('資格研修記録'!$A$5:$A$1004,$A80,'資格研修記録'!$D$5:$D$1004,H$4)=0,"—",IF(COUNTIFS('資格研修記録'!$A$5:$A$1004,$A80,'資格研修記録'!$D$5:$D$1004,H$4,'資格研修記録'!$F$5:$F$1004,"")+COUNTIFS('資格研修記録'!$A$5:$A$1004,$A80,'資格研修記録'!$D$5:$D$1004,H$4,'資格研修記録'!$F$5:$F$1004,"&gt;="&amp;TODAY())&gt;0,"○","× 期限切れ"))))</f>
        <v/>
      </c>
      <c r="I80" s="15">
        <f>IF(OR($A80="",I$4=""),"",IF(AND(I$4="小型船舶2級",(COUNTIFS('資格研修記録'!$A$5:$A$1004,$A80,'資格研修記録'!$D$5:$D$1004,"小型船舶1級",'資格研修記録'!$F$5:$F$1004,"")+COUNTIFS('資格研修記録'!$A$5:$A$1004,$A80,'資格研修記録'!$D$5:$D$1004,"小型船舶1級",'資格研修記録'!$F$5:$F$1004,"&gt;="&amp;TODAY()))&gt;0),"1級に含む",IF(COUNTIFS('資格研修記録'!$A$5:$A$1004,$A80,'資格研修記録'!$D$5:$D$1004,I$4)=0,"—",IF(COUNTIFS('資格研修記録'!$A$5:$A$1004,$A80,'資格研修記録'!$D$5:$D$1004,I$4,'資格研修記録'!$F$5:$F$1004,"")+COUNTIFS('資格研修記録'!$A$5:$A$1004,$A80,'資格研修記録'!$D$5:$D$1004,I$4,'資格研修記録'!$F$5:$F$1004,"&gt;="&amp;TODAY())&gt;0,"○","× 期限切れ"))))</f>
        <v/>
      </c>
      <c r="J80" s="15">
        <f>IF(OR($A80="",J$4=""),"",IF(AND(J$4="小型船舶2級",(COUNTIFS('資格研修記録'!$A$5:$A$1004,$A80,'資格研修記録'!$D$5:$D$1004,"小型船舶1級",'資格研修記録'!$F$5:$F$1004,"")+COUNTIFS('資格研修記録'!$A$5:$A$1004,$A80,'資格研修記録'!$D$5:$D$1004,"小型船舶1級",'資格研修記録'!$F$5:$F$1004,"&gt;="&amp;TODAY()))&gt;0),"1級に含む",IF(COUNTIFS('資格研修記録'!$A$5:$A$1004,$A80,'資格研修記録'!$D$5:$D$1004,J$4)=0,"—",IF(COUNTIFS('資格研修記録'!$A$5:$A$1004,$A80,'資格研修記録'!$D$5:$D$1004,J$4,'資格研修記録'!$F$5:$F$1004,"")+COUNTIFS('資格研修記録'!$A$5:$A$1004,$A80,'資格研修記録'!$D$5:$D$1004,J$4,'資格研修記録'!$F$5:$F$1004,"&gt;="&amp;TODAY())&gt;0,"○","× 期限切れ"))))</f>
        <v/>
      </c>
      <c r="K80" s="15">
        <f>IF(OR($A80="",K$4=""),"",IF(AND(K$4="小型船舶2級",(COUNTIFS('資格研修記録'!$A$5:$A$1004,$A80,'資格研修記録'!$D$5:$D$1004,"小型船舶1級",'資格研修記録'!$F$5:$F$1004,"")+COUNTIFS('資格研修記録'!$A$5:$A$1004,$A80,'資格研修記録'!$D$5:$D$1004,"小型船舶1級",'資格研修記録'!$F$5:$F$1004,"&gt;="&amp;TODAY()))&gt;0),"1級に含む",IF(COUNTIFS('資格研修記録'!$A$5:$A$1004,$A80,'資格研修記録'!$D$5:$D$1004,K$4)=0,"—",IF(COUNTIFS('資格研修記録'!$A$5:$A$1004,$A80,'資格研修記録'!$D$5:$D$1004,K$4,'資格研修記録'!$F$5:$F$1004,"")+COUNTIFS('資格研修記録'!$A$5:$A$1004,$A80,'資格研修記録'!$D$5:$D$1004,K$4,'資格研修記録'!$F$5:$F$1004,"&gt;="&amp;TODAY())&gt;0,"○","× 期限切れ"))))</f>
        <v/>
      </c>
      <c r="L80" s="15">
        <f>IF(OR($A80="",L$4=""),"",IF(AND(L$4="小型船舶2級",(COUNTIFS('資格研修記録'!$A$5:$A$1004,$A80,'資格研修記録'!$D$5:$D$1004,"小型船舶1級",'資格研修記録'!$F$5:$F$1004,"")+COUNTIFS('資格研修記録'!$A$5:$A$1004,$A80,'資格研修記録'!$D$5:$D$1004,"小型船舶1級",'資格研修記録'!$F$5:$F$1004,"&gt;="&amp;TODAY()))&gt;0),"1級に含む",IF(COUNTIFS('資格研修記録'!$A$5:$A$1004,$A80,'資格研修記録'!$D$5:$D$1004,L$4)=0,"—",IF(COUNTIFS('資格研修記録'!$A$5:$A$1004,$A80,'資格研修記録'!$D$5:$D$1004,L$4,'資格研修記録'!$F$5:$F$1004,"")+COUNTIFS('資格研修記録'!$A$5:$A$1004,$A80,'資格研修記録'!$D$5:$D$1004,L$4,'資格研修記録'!$F$5:$F$1004,"&gt;="&amp;TODAY())&gt;0,"○","× 期限切れ"))))</f>
        <v/>
      </c>
    </row>
    <row r="81">
      <c r="A81" s="14">
        <f>IF('隊員マスタ'!A81="","",'隊員マスタ'!A81)</f>
        <v/>
      </c>
      <c r="B81" s="14">
        <f>IF(A81="","",'隊員マスタ'!B81)</f>
        <v/>
      </c>
      <c r="C81" s="14">
        <f>IF(A81="","",'隊員マスタ'!C81)</f>
        <v/>
      </c>
      <c r="D81" s="15">
        <f>IF(A81="","",'隊員マスタ'!D81)</f>
        <v/>
      </c>
      <c r="E81" s="15">
        <f>IF(OR($A81="",E$4=""),"",IF(AND(E$4="小型船舶2級",(COUNTIFS('資格研修記録'!$A$5:$A$1004,$A81,'資格研修記録'!$D$5:$D$1004,"小型船舶1級",'資格研修記録'!$F$5:$F$1004,"")+COUNTIFS('資格研修記録'!$A$5:$A$1004,$A81,'資格研修記録'!$D$5:$D$1004,"小型船舶1級",'資格研修記録'!$F$5:$F$1004,"&gt;="&amp;TODAY()))&gt;0),"1級に含む",IF(COUNTIFS('資格研修記録'!$A$5:$A$1004,$A81,'資格研修記録'!$D$5:$D$1004,E$4)=0,"—",IF(COUNTIFS('資格研修記録'!$A$5:$A$1004,$A81,'資格研修記録'!$D$5:$D$1004,E$4,'資格研修記録'!$F$5:$F$1004,"")+COUNTIFS('資格研修記録'!$A$5:$A$1004,$A81,'資格研修記録'!$D$5:$D$1004,E$4,'資格研修記録'!$F$5:$F$1004,"&gt;="&amp;TODAY())&gt;0,"○","× 期限切れ"))))</f>
        <v/>
      </c>
      <c r="F81" s="15">
        <f>IF(OR($A81="",F$4=""),"",IF(AND(F$4="小型船舶2級",(COUNTIFS('資格研修記録'!$A$5:$A$1004,$A81,'資格研修記録'!$D$5:$D$1004,"小型船舶1級",'資格研修記録'!$F$5:$F$1004,"")+COUNTIFS('資格研修記録'!$A$5:$A$1004,$A81,'資格研修記録'!$D$5:$D$1004,"小型船舶1級",'資格研修記録'!$F$5:$F$1004,"&gt;="&amp;TODAY()))&gt;0),"1級に含む",IF(COUNTIFS('資格研修記録'!$A$5:$A$1004,$A81,'資格研修記録'!$D$5:$D$1004,F$4)=0,"—",IF(COUNTIFS('資格研修記録'!$A$5:$A$1004,$A81,'資格研修記録'!$D$5:$D$1004,F$4,'資格研修記録'!$F$5:$F$1004,"")+COUNTIFS('資格研修記録'!$A$5:$A$1004,$A81,'資格研修記録'!$D$5:$D$1004,F$4,'資格研修記録'!$F$5:$F$1004,"&gt;="&amp;TODAY())&gt;0,"○","× 期限切れ"))))</f>
        <v/>
      </c>
      <c r="G81" s="15">
        <f>IF(OR($A81="",G$4=""),"",IF(AND(G$4="小型船舶2級",(COUNTIFS('資格研修記録'!$A$5:$A$1004,$A81,'資格研修記録'!$D$5:$D$1004,"小型船舶1級",'資格研修記録'!$F$5:$F$1004,"")+COUNTIFS('資格研修記録'!$A$5:$A$1004,$A81,'資格研修記録'!$D$5:$D$1004,"小型船舶1級",'資格研修記録'!$F$5:$F$1004,"&gt;="&amp;TODAY()))&gt;0),"1級に含む",IF(COUNTIFS('資格研修記録'!$A$5:$A$1004,$A81,'資格研修記録'!$D$5:$D$1004,G$4)=0,"—",IF(COUNTIFS('資格研修記録'!$A$5:$A$1004,$A81,'資格研修記録'!$D$5:$D$1004,G$4,'資格研修記録'!$F$5:$F$1004,"")+COUNTIFS('資格研修記録'!$A$5:$A$1004,$A81,'資格研修記録'!$D$5:$D$1004,G$4,'資格研修記録'!$F$5:$F$1004,"&gt;="&amp;TODAY())&gt;0,"○","× 期限切れ"))))</f>
        <v/>
      </c>
      <c r="H81" s="15">
        <f>IF(OR($A81="",H$4=""),"",IF(AND(H$4="小型船舶2級",(COUNTIFS('資格研修記録'!$A$5:$A$1004,$A81,'資格研修記録'!$D$5:$D$1004,"小型船舶1級",'資格研修記録'!$F$5:$F$1004,"")+COUNTIFS('資格研修記録'!$A$5:$A$1004,$A81,'資格研修記録'!$D$5:$D$1004,"小型船舶1級",'資格研修記録'!$F$5:$F$1004,"&gt;="&amp;TODAY()))&gt;0),"1級に含む",IF(COUNTIFS('資格研修記録'!$A$5:$A$1004,$A81,'資格研修記録'!$D$5:$D$1004,H$4)=0,"—",IF(COUNTIFS('資格研修記録'!$A$5:$A$1004,$A81,'資格研修記録'!$D$5:$D$1004,H$4,'資格研修記録'!$F$5:$F$1004,"")+COUNTIFS('資格研修記録'!$A$5:$A$1004,$A81,'資格研修記録'!$D$5:$D$1004,H$4,'資格研修記録'!$F$5:$F$1004,"&gt;="&amp;TODAY())&gt;0,"○","× 期限切れ"))))</f>
        <v/>
      </c>
      <c r="I81" s="15">
        <f>IF(OR($A81="",I$4=""),"",IF(AND(I$4="小型船舶2級",(COUNTIFS('資格研修記録'!$A$5:$A$1004,$A81,'資格研修記録'!$D$5:$D$1004,"小型船舶1級",'資格研修記録'!$F$5:$F$1004,"")+COUNTIFS('資格研修記録'!$A$5:$A$1004,$A81,'資格研修記録'!$D$5:$D$1004,"小型船舶1級",'資格研修記録'!$F$5:$F$1004,"&gt;="&amp;TODAY()))&gt;0),"1級に含む",IF(COUNTIFS('資格研修記録'!$A$5:$A$1004,$A81,'資格研修記録'!$D$5:$D$1004,I$4)=0,"—",IF(COUNTIFS('資格研修記録'!$A$5:$A$1004,$A81,'資格研修記録'!$D$5:$D$1004,I$4,'資格研修記録'!$F$5:$F$1004,"")+COUNTIFS('資格研修記録'!$A$5:$A$1004,$A81,'資格研修記録'!$D$5:$D$1004,I$4,'資格研修記録'!$F$5:$F$1004,"&gt;="&amp;TODAY())&gt;0,"○","× 期限切れ"))))</f>
        <v/>
      </c>
      <c r="J81" s="15">
        <f>IF(OR($A81="",J$4=""),"",IF(AND(J$4="小型船舶2級",(COUNTIFS('資格研修記録'!$A$5:$A$1004,$A81,'資格研修記録'!$D$5:$D$1004,"小型船舶1級",'資格研修記録'!$F$5:$F$1004,"")+COUNTIFS('資格研修記録'!$A$5:$A$1004,$A81,'資格研修記録'!$D$5:$D$1004,"小型船舶1級",'資格研修記録'!$F$5:$F$1004,"&gt;="&amp;TODAY()))&gt;0),"1級に含む",IF(COUNTIFS('資格研修記録'!$A$5:$A$1004,$A81,'資格研修記録'!$D$5:$D$1004,J$4)=0,"—",IF(COUNTIFS('資格研修記録'!$A$5:$A$1004,$A81,'資格研修記録'!$D$5:$D$1004,J$4,'資格研修記録'!$F$5:$F$1004,"")+COUNTIFS('資格研修記録'!$A$5:$A$1004,$A81,'資格研修記録'!$D$5:$D$1004,J$4,'資格研修記録'!$F$5:$F$1004,"&gt;="&amp;TODAY())&gt;0,"○","× 期限切れ"))))</f>
        <v/>
      </c>
      <c r="K81" s="15">
        <f>IF(OR($A81="",K$4=""),"",IF(AND(K$4="小型船舶2級",(COUNTIFS('資格研修記録'!$A$5:$A$1004,$A81,'資格研修記録'!$D$5:$D$1004,"小型船舶1級",'資格研修記録'!$F$5:$F$1004,"")+COUNTIFS('資格研修記録'!$A$5:$A$1004,$A81,'資格研修記録'!$D$5:$D$1004,"小型船舶1級",'資格研修記録'!$F$5:$F$1004,"&gt;="&amp;TODAY()))&gt;0),"1級に含む",IF(COUNTIFS('資格研修記録'!$A$5:$A$1004,$A81,'資格研修記録'!$D$5:$D$1004,K$4)=0,"—",IF(COUNTIFS('資格研修記録'!$A$5:$A$1004,$A81,'資格研修記録'!$D$5:$D$1004,K$4,'資格研修記録'!$F$5:$F$1004,"")+COUNTIFS('資格研修記録'!$A$5:$A$1004,$A81,'資格研修記録'!$D$5:$D$1004,K$4,'資格研修記録'!$F$5:$F$1004,"&gt;="&amp;TODAY())&gt;0,"○","× 期限切れ"))))</f>
        <v/>
      </c>
      <c r="L81" s="15">
        <f>IF(OR($A81="",L$4=""),"",IF(AND(L$4="小型船舶2級",(COUNTIFS('資格研修記録'!$A$5:$A$1004,$A81,'資格研修記録'!$D$5:$D$1004,"小型船舶1級",'資格研修記録'!$F$5:$F$1004,"")+COUNTIFS('資格研修記録'!$A$5:$A$1004,$A81,'資格研修記録'!$D$5:$D$1004,"小型船舶1級",'資格研修記録'!$F$5:$F$1004,"&gt;="&amp;TODAY()))&gt;0),"1級に含む",IF(COUNTIFS('資格研修記録'!$A$5:$A$1004,$A81,'資格研修記録'!$D$5:$D$1004,L$4)=0,"—",IF(COUNTIFS('資格研修記録'!$A$5:$A$1004,$A81,'資格研修記録'!$D$5:$D$1004,L$4,'資格研修記録'!$F$5:$F$1004,"")+COUNTIFS('資格研修記録'!$A$5:$A$1004,$A81,'資格研修記録'!$D$5:$D$1004,L$4,'資格研修記録'!$F$5:$F$1004,"&gt;="&amp;TODAY())&gt;0,"○","× 期限切れ"))))</f>
        <v/>
      </c>
    </row>
    <row r="82">
      <c r="A82" s="14">
        <f>IF('隊員マスタ'!A82="","",'隊員マスタ'!A82)</f>
        <v/>
      </c>
      <c r="B82" s="14">
        <f>IF(A82="","",'隊員マスタ'!B82)</f>
        <v/>
      </c>
      <c r="C82" s="14">
        <f>IF(A82="","",'隊員マスタ'!C82)</f>
        <v/>
      </c>
      <c r="D82" s="15">
        <f>IF(A82="","",'隊員マスタ'!D82)</f>
        <v/>
      </c>
      <c r="E82" s="15">
        <f>IF(OR($A82="",E$4=""),"",IF(AND(E$4="小型船舶2級",(COUNTIFS('資格研修記録'!$A$5:$A$1004,$A82,'資格研修記録'!$D$5:$D$1004,"小型船舶1級",'資格研修記録'!$F$5:$F$1004,"")+COUNTIFS('資格研修記録'!$A$5:$A$1004,$A82,'資格研修記録'!$D$5:$D$1004,"小型船舶1級",'資格研修記録'!$F$5:$F$1004,"&gt;="&amp;TODAY()))&gt;0),"1級に含む",IF(COUNTIFS('資格研修記録'!$A$5:$A$1004,$A82,'資格研修記録'!$D$5:$D$1004,E$4)=0,"—",IF(COUNTIFS('資格研修記録'!$A$5:$A$1004,$A82,'資格研修記録'!$D$5:$D$1004,E$4,'資格研修記録'!$F$5:$F$1004,"")+COUNTIFS('資格研修記録'!$A$5:$A$1004,$A82,'資格研修記録'!$D$5:$D$1004,E$4,'資格研修記録'!$F$5:$F$1004,"&gt;="&amp;TODAY())&gt;0,"○","× 期限切れ"))))</f>
        <v/>
      </c>
      <c r="F82" s="15">
        <f>IF(OR($A82="",F$4=""),"",IF(AND(F$4="小型船舶2級",(COUNTIFS('資格研修記録'!$A$5:$A$1004,$A82,'資格研修記録'!$D$5:$D$1004,"小型船舶1級",'資格研修記録'!$F$5:$F$1004,"")+COUNTIFS('資格研修記録'!$A$5:$A$1004,$A82,'資格研修記録'!$D$5:$D$1004,"小型船舶1級",'資格研修記録'!$F$5:$F$1004,"&gt;="&amp;TODAY()))&gt;0),"1級に含む",IF(COUNTIFS('資格研修記録'!$A$5:$A$1004,$A82,'資格研修記録'!$D$5:$D$1004,F$4)=0,"—",IF(COUNTIFS('資格研修記録'!$A$5:$A$1004,$A82,'資格研修記録'!$D$5:$D$1004,F$4,'資格研修記録'!$F$5:$F$1004,"")+COUNTIFS('資格研修記録'!$A$5:$A$1004,$A82,'資格研修記録'!$D$5:$D$1004,F$4,'資格研修記録'!$F$5:$F$1004,"&gt;="&amp;TODAY())&gt;0,"○","× 期限切れ"))))</f>
        <v/>
      </c>
      <c r="G82" s="15">
        <f>IF(OR($A82="",G$4=""),"",IF(AND(G$4="小型船舶2級",(COUNTIFS('資格研修記録'!$A$5:$A$1004,$A82,'資格研修記録'!$D$5:$D$1004,"小型船舶1級",'資格研修記録'!$F$5:$F$1004,"")+COUNTIFS('資格研修記録'!$A$5:$A$1004,$A82,'資格研修記録'!$D$5:$D$1004,"小型船舶1級",'資格研修記録'!$F$5:$F$1004,"&gt;="&amp;TODAY()))&gt;0),"1級に含む",IF(COUNTIFS('資格研修記録'!$A$5:$A$1004,$A82,'資格研修記録'!$D$5:$D$1004,G$4)=0,"—",IF(COUNTIFS('資格研修記録'!$A$5:$A$1004,$A82,'資格研修記録'!$D$5:$D$1004,G$4,'資格研修記録'!$F$5:$F$1004,"")+COUNTIFS('資格研修記録'!$A$5:$A$1004,$A82,'資格研修記録'!$D$5:$D$1004,G$4,'資格研修記録'!$F$5:$F$1004,"&gt;="&amp;TODAY())&gt;0,"○","× 期限切れ"))))</f>
        <v/>
      </c>
      <c r="H82" s="15">
        <f>IF(OR($A82="",H$4=""),"",IF(AND(H$4="小型船舶2級",(COUNTIFS('資格研修記録'!$A$5:$A$1004,$A82,'資格研修記録'!$D$5:$D$1004,"小型船舶1級",'資格研修記録'!$F$5:$F$1004,"")+COUNTIFS('資格研修記録'!$A$5:$A$1004,$A82,'資格研修記録'!$D$5:$D$1004,"小型船舶1級",'資格研修記録'!$F$5:$F$1004,"&gt;="&amp;TODAY()))&gt;0),"1級に含む",IF(COUNTIFS('資格研修記録'!$A$5:$A$1004,$A82,'資格研修記録'!$D$5:$D$1004,H$4)=0,"—",IF(COUNTIFS('資格研修記録'!$A$5:$A$1004,$A82,'資格研修記録'!$D$5:$D$1004,H$4,'資格研修記録'!$F$5:$F$1004,"")+COUNTIFS('資格研修記録'!$A$5:$A$1004,$A82,'資格研修記録'!$D$5:$D$1004,H$4,'資格研修記録'!$F$5:$F$1004,"&gt;="&amp;TODAY())&gt;0,"○","× 期限切れ"))))</f>
        <v/>
      </c>
      <c r="I82" s="15">
        <f>IF(OR($A82="",I$4=""),"",IF(AND(I$4="小型船舶2級",(COUNTIFS('資格研修記録'!$A$5:$A$1004,$A82,'資格研修記録'!$D$5:$D$1004,"小型船舶1級",'資格研修記録'!$F$5:$F$1004,"")+COUNTIFS('資格研修記録'!$A$5:$A$1004,$A82,'資格研修記録'!$D$5:$D$1004,"小型船舶1級",'資格研修記録'!$F$5:$F$1004,"&gt;="&amp;TODAY()))&gt;0),"1級に含む",IF(COUNTIFS('資格研修記録'!$A$5:$A$1004,$A82,'資格研修記録'!$D$5:$D$1004,I$4)=0,"—",IF(COUNTIFS('資格研修記録'!$A$5:$A$1004,$A82,'資格研修記録'!$D$5:$D$1004,I$4,'資格研修記録'!$F$5:$F$1004,"")+COUNTIFS('資格研修記録'!$A$5:$A$1004,$A82,'資格研修記録'!$D$5:$D$1004,I$4,'資格研修記録'!$F$5:$F$1004,"&gt;="&amp;TODAY())&gt;0,"○","× 期限切れ"))))</f>
        <v/>
      </c>
      <c r="J82" s="15">
        <f>IF(OR($A82="",J$4=""),"",IF(AND(J$4="小型船舶2級",(COUNTIFS('資格研修記録'!$A$5:$A$1004,$A82,'資格研修記録'!$D$5:$D$1004,"小型船舶1級",'資格研修記録'!$F$5:$F$1004,"")+COUNTIFS('資格研修記録'!$A$5:$A$1004,$A82,'資格研修記録'!$D$5:$D$1004,"小型船舶1級",'資格研修記録'!$F$5:$F$1004,"&gt;="&amp;TODAY()))&gt;0),"1級に含む",IF(COUNTIFS('資格研修記録'!$A$5:$A$1004,$A82,'資格研修記録'!$D$5:$D$1004,J$4)=0,"—",IF(COUNTIFS('資格研修記録'!$A$5:$A$1004,$A82,'資格研修記録'!$D$5:$D$1004,J$4,'資格研修記録'!$F$5:$F$1004,"")+COUNTIFS('資格研修記録'!$A$5:$A$1004,$A82,'資格研修記録'!$D$5:$D$1004,J$4,'資格研修記録'!$F$5:$F$1004,"&gt;="&amp;TODAY())&gt;0,"○","× 期限切れ"))))</f>
        <v/>
      </c>
      <c r="K82" s="15">
        <f>IF(OR($A82="",K$4=""),"",IF(AND(K$4="小型船舶2級",(COUNTIFS('資格研修記録'!$A$5:$A$1004,$A82,'資格研修記録'!$D$5:$D$1004,"小型船舶1級",'資格研修記録'!$F$5:$F$1004,"")+COUNTIFS('資格研修記録'!$A$5:$A$1004,$A82,'資格研修記録'!$D$5:$D$1004,"小型船舶1級",'資格研修記録'!$F$5:$F$1004,"&gt;="&amp;TODAY()))&gt;0),"1級に含む",IF(COUNTIFS('資格研修記録'!$A$5:$A$1004,$A82,'資格研修記録'!$D$5:$D$1004,K$4)=0,"—",IF(COUNTIFS('資格研修記録'!$A$5:$A$1004,$A82,'資格研修記録'!$D$5:$D$1004,K$4,'資格研修記録'!$F$5:$F$1004,"")+COUNTIFS('資格研修記録'!$A$5:$A$1004,$A82,'資格研修記録'!$D$5:$D$1004,K$4,'資格研修記録'!$F$5:$F$1004,"&gt;="&amp;TODAY())&gt;0,"○","× 期限切れ"))))</f>
        <v/>
      </c>
      <c r="L82" s="15">
        <f>IF(OR($A82="",L$4=""),"",IF(AND(L$4="小型船舶2級",(COUNTIFS('資格研修記録'!$A$5:$A$1004,$A82,'資格研修記録'!$D$5:$D$1004,"小型船舶1級",'資格研修記録'!$F$5:$F$1004,"")+COUNTIFS('資格研修記録'!$A$5:$A$1004,$A82,'資格研修記録'!$D$5:$D$1004,"小型船舶1級",'資格研修記録'!$F$5:$F$1004,"&gt;="&amp;TODAY()))&gt;0),"1級に含む",IF(COUNTIFS('資格研修記録'!$A$5:$A$1004,$A82,'資格研修記録'!$D$5:$D$1004,L$4)=0,"—",IF(COUNTIFS('資格研修記録'!$A$5:$A$1004,$A82,'資格研修記録'!$D$5:$D$1004,L$4,'資格研修記録'!$F$5:$F$1004,"")+COUNTIFS('資格研修記録'!$A$5:$A$1004,$A82,'資格研修記録'!$D$5:$D$1004,L$4,'資格研修記録'!$F$5:$F$1004,"&gt;="&amp;TODAY())&gt;0,"○","× 期限切れ"))))</f>
        <v/>
      </c>
    </row>
    <row r="83">
      <c r="A83" s="14">
        <f>IF('隊員マスタ'!A83="","",'隊員マスタ'!A83)</f>
        <v/>
      </c>
      <c r="B83" s="14">
        <f>IF(A83="","",'隊員マスタ'!B83)</f>
        <v/>
      </c>
      <c r="C83" s="14">
        <f>IF(A83="","",'隊員マスタ'!C83)</f>
        <v/>
      </c>
      <c r="D83" s="15">
        <f>IF(A83="","",'隊員マスタ'!D83)</f>
        <v/>
      </c>
      <c r="E83" s="15">
        <f>IF(OR($A83="",E$4=""),"",IF(AND(E$4="小型船舶2級",(COUNTIFS('資格研修記録'!$A$5:$A$1004,$A83,'資格研修記録'!$D$5:$D$1004,"小型船舶1級",'資格研修記録'!$F$5:$F$1004,"")+COUNTIFS('資格研修記録'!$A$5:$A$1004,$A83,'資格研修記録'!$D$5:$D$1004,"小型船舶1級",'資格研修記録'!$F$5:$F$1004,"&gt;="&amp;TODAY()))&gt;0),"1級に含む",IF(COUNTIFS('資格研修記録'!$A$5:$A$1004,$A83,'資格研修記録'!$D$5:$D$1004,E$4)=0,"—",IF(COUNTIFS('資格研修記録'!$A$5:$A$1004,$A83,'資格研修記録'!$D$5:$D$1004,E$4,'資格研修記録'!$F$5:$F$1004,"")+COUNTIFS('資格研修記録'!$A$5:$A$1004,$A83,'資格研修記録'!$D$5:$D$1004,E$4,'資格研修記録'!$F$5:$F$1004,"&gt;="&amp;TODAY())&gt;0,"○","× 期限切れ"))))</f>
        <v/>
      </c>
      <c r="F83" s="15">
        <f>IF(OR($A83="",F$4=""),"",IF(AND(F$4="小型船舶2級",(COUNTIFS('資格研修記録'!$A$5:$A$1004,$A83,'資格研修記録'!$D$5:$D$1004,"小型船舶1級",'資格研修記録'!$F$5:$F$1004,"")+COUNTIFS('資格研修記録'!$A$5:$A$1004,$A83,'資格研修記録'!$D$5:$D$1004,"小型船舶1級",'資格研修記録'!$F$5:$F$1004,"&gt;="&amp;TODAY()))&gt;0),"1級に含む",IF(COUNTIFS('資格研修記録'!$A$5:$A$1004,$A83,'資格研修記録'!$D$5:$D$1004,F$4)=0,"—",IF(COUNTIFS('資格研修記録'!$A$5:$A$1004,$A83,'資格研修記録'!$D$5:$D$1004,F$4,'資格研修記録'!$F$5:$F$1004,"")+COUNTIFS('資格研修記録'!$A$5:$A$1004,$A83,'資格研修記録'!$D$5:$D$1004,F$4,'資格研修記録'!$F$5:$F$1004,"&gt;="&amp;TODAY())&gt;0,"○","× 期限切れ"))))</f>
        <v/>
      </c>
      <c r="G83" s="15">
        <f>IF(OR($A83="",G$4=""),"",IF(AND(G$4="小型船舶2級",(COUNTIFS('資格研修記録'!$A$5:$A$1004,$A83,'資格研修記録'!$D$5:$D$1004,"小型船舶1級",'資格研修記録'!$F$5:$F$1004,"")+COUNTIFS('資格研修記録'!$A$5:$A$1004,$A83,'資格研修記録'!$D$5:$D$1004,"小型船舶1級",'資格研修記録'!$F$5:$F$1004,"&gt;="&amp;TODAY()))&gt;0),"1級に含む",IF(COUNTIFS('資格研修記録'!$A$5:$A$1004,$A83,'資格研修記録'!$D$5:$D$1004,G$4)=0,"—",IF(COUNTIFS('資格研修記録'!$A$5:$A$1004,$A83,'資格研修記録'!$D$5:$D$1004,G$4,'資格研修記録'!$F$5:$F$1004,"")+COUNTIFS('資格研修記録'!$A$5:$A$1004,$A83,'資格研修記録'!$D$5:$D$1004,G$4,'資格研修記録'!$F$5:$F$1004,"&gt;="&amp;TODAY())&gt;0,"○","× 期限切れ"))))</f>
        <v/>
      </c>
      <c r="H83" s="15">
        <f>IF(OR($A83="",H$4=""),"",IF(AND(H$4="小型船舶2級",(COUNTIFS('資格研修記録'!$A$5:$A$1004,$A83,'資格研修記録'!$D$5:$D$1004,"小型船舶1級",'資格研修記録'!$F$5:$F$1004,"")+COUNTIFS('資格研修記録'!$A$5:$A$1004,$A83,'資格研修記録'!$D$5:$D$1004,"小型船舶1級",'資格研修記録'!$F$5:$F$1004,"&gt;="&amp;TODAY()))&gt;0),"1級に含む",IF(COUNTIFS('資格研修記録'!$A$5:$A$1004,$A83,'資格研修記録'!$D$5:$D$1004,H$4)=0,"—",IF(COUNTIFS('資格研修記録'!$A$5:$A$1004,$A83,'資格研修記録'!$D$5:$D$1004,H$4,'資格研修記録'!$F$5:$F$1004,"")+COUNTIFS('資格研修記録'!$A$5:$A$1004,$A83,'資格研修記録'!$D$5:$D$1004,H$4,'資格研修記録'!$F$5:$F$1004,"&gt;="&amp;TODAY())&gt;0,"○","× 期限切れ"))))</f>
        <v/>
      </c>
      <c r="I83" s="15">
        <f>IF(OR($A83="",I$4=""),"",IF(AND(I$4="小型船舶2級",(COUNTIFS('資格研修記録'!$A$5:$A$1004,$A83,'資格研修記録'!$D$5:$D$1004,"小型船舶1級",'資格研修記録'!$F$5:$F$1004,"")+COUNTIFS('資格研修記録'!$A$5:$A$1004,$A83,'資格研修記録'!$D$5:$D$1004,"小型船舶1級",'資格研修記録'!$F$5:$F$1004,"&gt;="&amp;TODAY()))&gt;0),"1級に含む",IF(COUNTIFS('資格研修記録'!$A$5:$A$1004,$A83,'資格研修記録'!$D$5:$D$1004,I$4)=0,"—",IF(COUNTIFS('資格研修記録'!$A$5:$A$1004,$A83,'資格研修記録'!$D$5:$D$1004,I$4,'資格研修記録'!$F$5:$F$1004,"")+COUNTIFS('資格研修記録'!$A$5:$A$1004,$A83,'資格研修記録'!$D$5:$D$1004,I$4,'資格研修記録'!$F$5:$F$1004,"&gt;="&amp;TODAY())&gt;0,"○","× 期限切れ"))))</f>
        <v/>
      </c>
      <c r="J83" s="15">
        <f>IF(OR($A83="",J$4=""),"",IF(AND(J$4="小型船舶2級",(COUNTIFS('資格研修記録'!$A$5:$A$1004,$A83,'資格研修記録'!$D$5:$D$1004,"小型船舶1級",'資格研修記録'!$F$5:$F$1004,"")+COUNTIFS('資格研修記録'!$A$5:$A$1004,$A83,'資格研修記録'!$D$5:$D$1004,"小型船舶1級",'資格研修記録'!$F$5:$F$1004,"&gt;="&amp;TODAY()))&gt;0),"1級に含む",IF(COUNTIFS('資格研修記録'!$A$5:$A$1004,$A83,'資格研修記録'!$D$5:$D$1004,J$4)=0,"—",IF(COUNTIFS('資格研修記録'!$A$5:$A$1004,$A83,'資格研修記録'!$D$5:$D$1004,J$4,'資格研修記録'!$F$5:$F$1004,"")+COUNTIFS('資格研修記録'!$A$5:$A$1004,$A83,'資格研修記録'!$D$5:$D$1004,J$4,'資格研修記録'!$F$5:$F$1004,"&gt;="&amp;TODAY())&gt;0,"○","× 期限切れ"))))</f>
        <v/>
      </c>
      <c r="K83" s="15">
        <f>IF(OR($A83="",K$4=""),"",IF(AND(K$4="小型船舶2級",(COUNTIFS('資格研修記録'!$A$5:$A$1004,$A83,'資格研修記録'!$D$5:$D$1004,"小型船舶1級",'資格研修記録'!$F$5:$F$1004,"")+COUNTIFS('資格研修記録'!$A$5:$A$1004,$A83,'資格研修記録'!$D$5:$D$1004,"小型船舶1級",'資格研修記録'!$F$5:$F$1004,"&gt;="&amp;TODAY()))&gt;0),"1級に含む",IF(COUNTIFS('資格研修記録'!$A$5:$A$1004,$A83,'資格研修記録'!$D$5:$D$1004,K$4)=0,"—",IF(COUNTIFS('資格研修記録'!$A$5:$A$1004,$A83,'資格研修記録'!$D$5:$D$1004,K$4,'資格研修記録'!$F$5:$F$1004,"")+COUNTIFS('資格研修記録'!$A$5:$A$1004,$A83,'資格研修記録'!$D$5:$D$1004,K$4,'資格研修記録'!$F$5:$F$1004,"&gt;="&amp;TODAY())&gt;0,"○","× 期限切れ"))))</f>
        <v/>
      </c>
      <c r="L83" s="15">
        <f>IF(OR($A83="",L$4=""),"",IF(AND(L$4="小型船舶2級",(COUNTIFS('資格研修記録'!$A$5:$A$1004,$A83,'資格研修記録'!$D$5:$D$1004,"小型船舶1級",'資格研修記録'!$F$5:$F$1004,"")+COUNTIFS('資格研修記録'!$A$5:$A$1004,$A83,'資格研修記録'!$D$5:$D$1004,"小型船舶1級",'資格研修記録'!$F$5:$F$1004,"&gt;="&amp;TODAY()))&gt;0),"1級に含む",IF(COUNTIFS('資格研修記録'!$A$5:$A$1004,$A83,'資格研修記録'!$D$5:$D$1004,L$4)=0,"—",IF(COUNTIFS('資格研修記録'!$A$5:$A$1004,$A83,'資格研修記録'!$D$5:$D$1004,L$4,'資格研修記録'!$F$5:$F$1004,"")+COUNTIFS('資格研修記録'!$A$5:$A$1004,$A83,'資格研修記録'!$D$5:$D$1004,L$4,'資格研修記録'!$F$5:$F$1004,"&gt;="&amp;TODAY())&gt;0,"○","× 期限切れ"))))</f>
        <v/>
      </c>
    </row>
    <row r="84">
      <c r="A84" s="14">
        <f>IF('隊員マスタ'!A84="","",'隊員マスタ'!A84)</f>
        <v/>
      </c>
      <c r="B84" s="14">
        <f>IF(A84="","",'隊員マスタ'!B84)</f>
        <v/>
      </c>
      <c r="C84" s="14">
        <f>IF(A84="","",'隊員マスタ'!C84)</f>
        <v/>
      </c>
      <c r="D84" s="15">
        <f>IF(A84="","",'隊員マスタ'!D84)</f>
        <v/>
      </c>
      <c r="E84" s="15">
        <f>IF(OR($A84="",E$4=""),"",IF(AND(E$4="小型船舶2級",(COUNTIFS('資格研修記録'!$A$5:$A$1004,$A84,'資格研修記録'!$D$5:$D$1004,"小型船舶1級",'資格研修記録'!$F$5:$F$1004,"")+COUNTIFS('資格研修記録'!$A$5:$A$1004,$A84,'資格研修記録'!$D$5:$D$1004,"小型船舶1級",'資格研修記録'!$F$5:$F$1004,"&gt;="&amp;TODAY()))&gt;0),"1級に含む",IF(COUNTIFS('資格研修記録'!$A$5:$A$1004,$A84,'資格研修記録'!$D$5:$D$1004,E$4)=0,"—",IF(COUNTIFS('資格研修記録'!$A$5:$A$1004,$A84,'資格研修記録'!$D$5:$D$1004,E$4,'資格研修記録'!$F$5:$F$1004,"")+COUNTIFS('資格研修記録'!$A$5:$A$1004,$A84,'資格研修記録'!$D$5:$D$1004,E$4,'資格研修記録'!$F$5:$F$1004,"&gt;="&amp;TODAY())&gt;0,"○","× 期限切れ"))))</f>
        <v/>
      </c>
      <c r="F84" s="15">
        <f>IF(OR($A84="",F$4=""),"",IF(AND(F$4="小型船舶2級",(COUNTIFS('資格研修記録'!$A$5:$A$1004,$A84,'資格研修記録'!$D$5:$D$1004,"小型船舶1級",'資格研修記録'!$F$5:$F$1004,"")+COUNTIFS('資格研修記録'!$A$5:$A$1004,$A84,'資格研修記録'!$D$5:$D$1004,"小型船舶1級",'資格研修記録'!$F$5:$F$1004,"&gt;="&amp;TODAY()))&gt;0),"1級に含む",IF(COUNTIFS('資格研修記録'!$A$5:$A$1004,$A84,'資格研修記録'!$D$5:$D$1004,F$4)=0,"—",IF(COUNTIFS('資格研修記録'!$A$5:$A$1004,$A84,'資格研修記録'!$D$5:$D$1004,F$4,'資格研修記録'!$F$5:$F$1004,"")+COUNTIFS('資格研修記録'!$A$5:$A$1004,$A84,'資格研修記録'!$D$5:$D$1004,F$4,'資格研修記録'!$F$5:$F$1004,"&gt;="&amp;TODAY())&gt;0,"○","× 期限切れ"))))</f>
        <v/>
      </c>
      <c r="G84" s="15">
        <f>IF(OR($A84="",G$4=""),"",IF(AND(G$4="小型船舶2級",(COUNTIFS('資格研修記録'!$A$5:$A$1004,$A84,'資格研修記録'!$D$5:$D$1004,"小型船舶1級",'資格研修記録'!$F$5:$F$1004,"")+COUNTIFS('資格研修記録'!$A$5:$A$1004,$A84,'資格研修記録'!$D$5:$D$1004,"小型船舶1級",'資格研修記録'!$F$5:$F$1004,"&gt;="&amp;TODAY()))&gt;0),"1級に含む",IF(COUNTIFS('資格研修記録'!$A$5:$A$1004,$A84,'資格研修記録'!$D$5:$D$1004,G$4)=0,"—",IF(COUNTIFS('資格研修記録'!$A$5:$A$1004,$A84,'資格研修記録'!$D$5:$D$1004,G$4,'資格研修記録'!$F$5:$F$1004,"")+COUNTIFS('資格研修記録'!$A$5:$A$1004,$A84,'資格研修記録'!$D$5:$D$1004,G$4,'資格研修記録'!$F$5:$F$1004,"&gt;="&amp;TODAY())&gt;0,"○","× 期限切れ"))))</f>
        <v/>
      </c>
      <c r="H84" s="15">
        <f>IF(OR($A84="",H$4=""),"",IF(AND(H$4="小型船舶2級",(COUNTIFS('資格研修記録'!$A$5:$A$1004,$A84,'資格研修記録'!$D$5:$D$1004,"小型船舶1級",'資格研修記録'!$F$5:$F$1004,"")+COUNTIFS('資格研修記録'!$A$5:$A$1004,$A84,'資格研修記録'!$D$5:$D$1004,"小型船舶1級",'資格研修記録'!$F$5:$F$1004,"&gt;="&amp;TODAY()))&gt;0),"1級に含む",IF(COUNTIFS('資格研修記録'!$A$5:$A$1004,$A84,'資格研修記録'!$D$5:$D$1004,H$4)=0,"—",IF(COUNTIFS('資格研修記録'!$A$5:$A$1004,$A84,'資格研修記録'!$D$5:$D$1004,H$4,'資格研修記録'!$F$5:$F$1004,"")+COUNTIFS('資格研修記録'!$A$5:$A$1004,$A84,'資格研修記録'!$D$5:$D$1004,H$4,'資格研修記録'!$F$5:$F$1004,"&gt;="&amp;TODAY())&gt;0,"○","× 期限切れ"))))</f>
        <v/>
      </c>
      <c r="I84" s="15">
        <f>IF(OR($A84="",I$4=""),"",IF(AND(I$4="小型船舶2級",(COUNTIFS('資格研修記録'!$A$5:$A$1004,$A84,'資格研修記録'!$D$5:$D$1004,"小型船舶1級",'資格研修記録'!$F$5:$F$1004,"")+COUNTIFS('資格研修記録'!$A$5:$A$1004,$A84,'資格研修記録'!$D$5:$D$1004,"小型船舶1級",'資格研修記録'!$F$5:$F$1004,"&gt;="&amp;TODAY()))&gt;0),"1級に含む",IF(COUNTIFS('資格研修記録'!$A$5:$A$1004,$A84,'資格研修記録'!$D$5:$D$1004,I$4)=0,"—",IF(COUNTIFS('資格研修記録'!$A$5:$A$1004,$A84,'資格研修記録'!$D$5:$D$1004,I$4,'資格研修記録'!$F$5:$F$1004,"")+COUNTIFS('資格研修記録'!$A$5:$A$1004,$A84,'資格研修記録'!$D$5:$D$1004,I$4,'資格研修記録'!$F$5:$F$1004,"&gt;="&amp;TODAY())&gt;0,"○","× 期限切れ"))))</f>
        <v/>
      </c>
      <c r="J84" s="15">
        <f>IF(OR($A84="",J$4=""),"",IF(AND(J$4="小型船舶2級",(COUNTIFS('資格研修記録'!$A$5:$A$1004,$A84,'資格研修記録'!$D$5:$D$1004,"小型船舶1級",'資格研修記録'!$F$5:$F$1004,"")+COUNTIFS('資格研修記録'!$A$5:$A$1004,$A84,'資格研修記録'!$D$5:$D$1004,"小型船舶1級",'資格研修記録'!$F$5:$F$1004,"&gt;="&amp;TODAY()))&gt;0),"1級に含む",IF(COUNTIFS('資格研修記録'!$A$5:$A$1004,$A84,'資格研修記録'!$D$5:$D$1004,J$4)=0,"—",IF(COUNTIFS('資格研修記録'!$A$5:$A$1004,$A84,'資格研修記録'!$D$5:$D$1004,J$4,'資格研修記録'!$F$5:$F$1004,"")+COUNTIFS('資格研修記録'!$A$5:$A$1004,$A84,'資格研修記録'!$D$5:$D$1004,J$4,'資格研修記録'!$F$5:$F$1004,"&gt;="&amp;TODAY())&gt;0,"○","× 期限切れ"))))</f>
        <v/>
      </c>
      <c r="K84" s="15">
        <f>IF(OR($A84="",K$4=""),"",IF(AND(K$4="小型船舶2級",(COUNTIFS('資格研修記録'!$A$5:$A$1004,$A84,'資格研修記録'!$D$5:$D$1004,"小型船舶1級",'資格研修記録'!$F$5:$F$1004,"")+COUNTIFS('資格研修記録'!$A$5:$A$1004,$A84,'資格研修記録'!$D$5:$D$1004,"小型船舶1級",'資格研修記録'!$F$5:$F$1004,"&gt;="&amp;TODAY()))&gt;0),"1級に含む",IF(COUNTIFS('資格研修記録'!$A$5:$A$1004,$A84,'資格研修記録'!$D$5:$D$1004,K$4)=0,"—",IF(COUNTIFS('資格研修記録'!$A$5:$A$1004,$A84,'資格研修記録'!$D$5:$D$1004,K$4,'資格研修記録'!$F$5:$F$1004,"")+COUNTIFS('資格研修記録'!$A$5:$A$1004,$A84,'資格研修記録'!$D$5:$D$1004,K$4,'資格研修記録'!$F$5:$F$1004,"&gt;="&amp;TODAY())&gt;0,"○","× 期限切れ"))))</f>
        <v/>
      </c>
      <c r="L84" s="15">
        <f>IF(OR($A84="",L$4=""),"",IF(AND(L$4="小型船舶2級",(COUNTIFS('資格研修記録'!$A$5:$A$1004,$A84,'資格研修記録'!$D$5:$D$1004,"小型船舶1級",'資格研修記録'!$F$5:$F$1004,"")+COUNTIFS('資格研修記録'!$A$5:$A$1004,$A84,'資格研修記録'!$D$5:$D$1004,"小型船舶1級",'資格研修記録'!$F$5:$F$1004,"&gt;="&amp;TODAY()))&gt;0),"1級に含む",IF(COUNTIFS('資格研修記録'!$A$5:$A$1004,$A84,'資格研修記録'!$D$5:$D$1004,L$4)=0,"—",IF(COUNTIFS('資格研修記録'!$A$5:$A$1004,$A84,'資格研修記録'!$D$5:$D$1004,L$4,'資格研修記録'!$F$5:$F$1004,"")+COUNTIFS('資格研修記録'!$A$5:$A$1004,$A84,'資格研修記録'!$D$5:$D$1004,L$4,'資格研修記録'!$F$5:$F$1004,"&gt;="&amp;TODAY())&gt;0,"○","× 期限切れ"))))</f>
        <v/>
      </c>
    </row>
    <row r="85">
      <c r="A85" s="14">
        <f>IF('隊員マスタ'!A85="","",'隊員マスタ'!A85)</f>
        <v/>
      </c>
      <c r="B85" s="14">
        <f>IF(A85="","",'隊員マスタ'!B85)</f>
        <v/>
      </c>
      <c r="C85" s="14">
        <f>IF(A85="","",'隊員マスタ'!C85)</f>
        <v/>
      </c>
      <c r="D85" s="15">
        <f>IF(A85="","",'隊員マスタ'!D85)</f>
        <v/>
      </c>
      <c r="E85" s="15">
        <f>IF(OR($A85="",E$4=""),"",IF(AND(E$4="小型船舶2級",(COUNTIFS('資格研修記録'!$A$5:$A$1004,$A85,'資格研修記録'!$D$5:$D$1004,"小型船舶1級",'資格研修記録'!$F$5:$F$1004,"")+COUNTIFS('資格研修記録'!$A$5:$A$1004,$A85,'資格研修記録'!$D$5:$D$1004,"小型船舶1級",'資格研修記録'!$F$5:$F$1004,"&gt;="&amp;TODAY()))&gt;0),"1級に含む",IF(COUNTIFS('資格研修記録'!$A$5:$A$1004,$A85,'資格研修記録'!$D$5:$D$1004,E$4)=0,"—",IF(COUNTIFS('資格研修記録'!$A$5:$A$1004,$A85,'資格研修記録'!$D$5:$D$1004,E$4,'資格研修記録'!$F$5:$F$1004,"")+COUNTIFS('資格研修記録'!$A$5:$A$1004,$A85,'資格研修記録'!$D$5:$D$1004,E$4,'資格研修記録'!$F$5:$F$1004,"&gt;="&amp;TODAY())&gt;0,"○","× 期限切れ"))))</f>
        <v/>
      </c>
      <c r="F85" s="15">
        <f>IF(OR($A85="",F$4=""),"",IF(AND(F$4="小型船舶2級",(COUNTIFS('資格研修記録'!$A$5:$A$1004,$A85,'資格研修記録'!$D$5:$D$1004,"小型船舶1級",'資格研修記録'!$F$5:$F$1004,"")+COUNTIFS('資格研修記録'!$A$5:$A$1004,$A85,'資格研修記録'!$D$5:$D$1004,"小型船舶1級",'資格研修記録'!$F$5:$F$1004,"&gt;="&amp;TODAY()))&gt;0),"1級に含む",IF(COUNTIFS('資格研修記録'!$A$5:$A$1004,$A85,'資格研修記録'!$D$5:$D$1004,F$4)=0,"—",IF(COUNTIFS('資格研修記録'!$A$5:$A$1004,$A85,'資格研修記録'!$D$5:$D$1004,F$4,'資格研修記録'!$F$5:$F$1004,"")+COUNTIFS('資格研修記録'!$A$5:$A$1004,$A85,'資格研修記録'!$D$5:$D$1004,F$4,'資格研修記録'!$F$5:$F$1004,"&gt;="&amp;TODAY())&gt;0,"○","× 期限切れ"))))</f>
        <v/>
      </c>
      <c r="G85" s="15">
        <f>IF(OR($A85="",G$4=""),"",IF(AND(G$4="小型船舶2級",(COUNTIFS('資格研修記録'!$A$5:$A$1004,$A85,'資格研修記録'!$D$5:$D$1004,"小型船舶1級",'資格研修記録'!$F$5:$F$1004,"")+COUNTIFS('資格研修記録'!$A$5:$A$1004,$A85,'資格研修記録'!$D$5:$D$1004,"小型船舶1級",'資格研修記録'!$F$5:$F$1004,"&gt;="&amp;TODAY()))&gt;0),"1級に含む",IF(COUNTIFS('資格研修記録'!$A$5:$A$1004,$A85,'資格研修記録'!$D$5:$D$1004,G$4)=0,"—",IF(COUNTIFS('資格研修記録'!$A$5:$A$1004,$A85,'資格研修記録'!$D$5:$D$1004,G$4,'資格研修記録'!$F$5:$F$1004,"")+COUNTIFS('資格研修記録'!$A$5:$A$1004,$A85,'資格研修記録'!$D$5:$D$1004,G$4,'資格研修記録'!$F$5:$F$1004,"&gt;="&amp;TODAY())&gt;0,"○","× 期限切れ"))))</f>
        <v/>
      </c>
      <c r="H85" s="15">
        <f>IF(OR($A85="",H$4=""),"",IF(AND(H$4="小型船舶2級",(COUNTIFS('資格研修記録'!$A$5:$A$1004,$A85,'資格研修記録'!$D$5:$D$1004,"小型船舶1級",'資格研修記録'!$F$5:$F$1004,"")+COUNTIFS('資格研修記録'!$A$5:$A$1004,$A85,'資格研修記録'!$D$5:$D$1004,"小型船舶1級",'資格研修記録'!$F$5:$F$1004,"&gt;="&amp;TODAY()))&gt;0),"1級に含む",IF(COUNTIFS('資格研修記録'!$A$5:$A$1004,$A85,'資格研修記録'!$D$5:$D$1004,H$4)=0,"—",IF(COUNTIFS('資格研修記録'!$A$5:$A$1004,$A85,'資格研修記録'!$D$5:$D$1004,H$4,'資格研修記録'!$F$5:$F$1004,"")+COUNTIFS('資格研修記録'!$A$5:$A$1004,$A85,'資格研修記録'!$D$5:$D$1004,H$4,'資格研修記録'!$F$5:$F$1004,"&gt;="&amp;TODAY())&gt;0,"○","× 期限切れ"))))</f>
        <v/>
      </c>
      <c r="I85" s="15">
        <f>IF(OR($A85="",I$4=""),"",IF(AND(I$4="小型船舶2級",(COUNTIFS('資格研修記録'!$A$5:$A$1004,$A85,'資格研修記録'!$D$5:$D$1004,"小型船舶1級",'資格研修記録'!$F$5:$F$1004,"")+COUNTIFS('資格研修記録'!$A$5:$A$1004,$A85,'資格研修記録'!$D$5:$D$1004,"小型船舶1級",'資格研修記録'!$F$5:$F$1004,"&gt;="&amp;TODAY()))&gt;0),"1級に含む",IF(COUNTIFS('資格研修記録'!$A$5:$A$1004,$A85,'資格研修記録'!$D$5:$D$1004,I$4)=0,"—",IF(COUNTIFS('資格研修記録'!$A$5:$A$1004,$A85,'資格研修記録'!$D$5:$D$1004,I$4,'資格研修記録'!$F$5:$F$1004,"")+COUNTIFS('資格研修記録'!$A$5:$A$1004,$A85,'資格研修記録'!$D$5:$D$1004,I$4,'資格研修記録'!$F$5:$F$1004,"&gt;="&amp;TODAY())&gt;0,"○","× 期限切れ"))))</f>
        <v/>
      </c>
      <c r="J85" s="15">
        <f>IF(OR($A85="",J$4=""),"",IF(AND(J$4="小型船舶2級",(COUNTIFS('資格研修記録'!$A$5:$A$1004,$A85,'資格研修記録'!$D$5:$D$1004,"小型船舶1級",'資格研修記録'!$F$5:$F$1004,"")+COUNTIFS('資格研修記録'!$A$5:$A$1004,$A85,'資格研修記録'!$D$5:$D$1004,"小型船舶1級",'資格研修記録'!$F$5:$F$1004,"&gt;="&amp;TODAY()))&gt;0),"1級に含む",IF(COUNTIFS('資格研修記録'!$A$5:$A$1004,$A85,'資格研修記録'!$D$5:$D$1004,J$4)=0,"—",IF(COUNTIFS('資格研修記録'!$A$5:$A$1004,$A85,'資格研修記録'!$D$5:$D$1004,J$4,'資格研修記録'!$F$5:$F$1004,"")+COUNTIFS('資格研修記録'!$A$5:$A$1004,$A85,'資格研修記録'!$D$5:$D$1004,J$4,'資格研修記録'!$F$5:$F$1004,"&gt;="&amp;TODAY())&gt;0,"○","× 期限切れ"))))</f>
        <v/>
      </c>
      <c r="K85" s="15">
        <f>IF(OR($A85="",K$4=""),"",IF(AND(K$4="小型船舶2級",(COUNTIFS('資格研修記録'!$A$5:$A$1004,$A85,'資格研修記録'!$D$5:$D$1004,"小型船舶1級",'資格研修記録'!$F$5:$F$1004,"")+COUNTIFS('資格研修記録'!$A$5:$A$1004,$A85,'資格研修記録'!$D$5:$D$1004,"小型船舶1級",'資格研修記録'!$F$5:$F$1004,"&gt;="&amp;TODAY()))&gt;0),"1級に含む",IF(COUNTIFS('資格研修記録'!$A$5:$A$1004,$A85,'資格研修記録'!$D$5:$D$1004,K$4)=0,"—",IF(COUNTIFS('資格研修記録'!$A$5:$A$1004,$A85,'資格研修記録'!$D$5:$D$1004,K$4,'資格研修記録'!$F$5:$F$1004,"")+COUNTIFS('資格研修記録'!$A$5:$A$1004,$A85,'資格研修記録'!$D$5:$D$1004,K$4,'資格研修記録'!$F$5:$F$1004,"&gt;="&amp;TODAY())&gt;0,"○","× 期限切れ"))))</f>
        <v/>
      </c>
      <c r="L85" s="15">
        <f>IF(OR($A85="",L$4=""),"",IF(AND(L$4="小型船舶2級",(COUNTIFS('資格研修記録'!$A$5:$A$1004,$A85,'資格研修記録'!$D$5:$D$1004,"小型船舶1級",'資格研修記録'!$F$5:$F$1004,"")+COUNTIFS('資格研修記録'!$A$5:$A$1004,$A85,'資格研修記録'!$D$5:$D$1004,"小型船舶1級",'資格研修記録'!$F$5:$F$1004,"&gt;="&amp;TODAY()))&gt;0),"1級に含む",IF(COUNTIFS('資格研修記録'!$A$5:$A$1004,$A85,'資格研修記録'!$D$5:$D$1004,L$4)=0,"—",IF(COUNTIFS('資格研修記録'!$A$5:$A$1004,$A85,'資格研修記録'!$D$5:$D$1004,L$4,'資格研修記録'!$F$5:$F$1004,"")+COUNTIFS('資格研修記録'!$A$5:$A$1004,$A85,'資格研修記録'!$D$5:$D$1004,L$4,'資格研修記録'!$F$5:$F$1004,"&gt;="&amp;TODAY())&gt;0,"○","× 期限切れ"))))</f>
        <v/>
      </c>
    </row>
    <row r="86">
      <c r="A86" s="14">
        <f>IF('隊員マスタ'!A86="","",'隊員マスタ'!A86)</f>
        <v/>
      </c>
      <c r="B86" s="14">
        <f>IF(A86="","",'隊員マスタ'!B86)</f>
        <v/>
      </c>
      <c r="C86" s="14">
        <f>IF(A86="","",'隊員マスタ'!C86)</f>
        <v/>
      </c>
      <c r="D86" s="15">
        <f>IF(A86="","",'隊員マスタ'!D86)</f>
        <v/>
      </c>
      <c r="E86" s="15">
        <f>IF(OR($A86="",E$4=""),"",IF(AND(E$4="小型船舶2級",(COUNTIFS('資格研修記録'!$A$5:$A$1004,$A86,'資格研修記録'!$D$5:$D$1004,"小型船舶1級",'資格研修記録'!$F$5:$F$1004,"")+COUNTIFS('資格研修記録'!$A$5:$A$1004,$A86,'資格研修記録'!$D$5:$D$1004,"小型船舶1級",'資格研修記録'!$F$5:$F$1004,"&gt;="&amp;TODAY()))&gt;0),"1級に含む",IF(COUNTIFS('資格研修記録'!$A$5:$A$1004,$A86,'資格研修記録'!$D$5:$D$1004,E$4)=0,"—",IF(COUNTIFS('資格研修記録'!$A$5:$A$1004,$A86,'資格研修記録'!$D$5:$D$1004,E$4,'資格研修記録'!$F$5:$F$1004,"")+COUNTIFS('資格研修記録'!$A$5:$A$1004,$A86,'資格研修記録'!$D$5:$D$1004,E$4,'資格研修記録'!$F$5:$F$1004,"&gt;="&amp;TODAY())&gt;0,"○","× 期限切れ"))))</f>
        <v/>
      </c>
      <c r="F86" s="15">
        <f>IF(OR($A86="",F$4=""),"",IF(AND(F$4="小型船舶2級",(COUNTIFS('資格研修記録'!$A$5:$A$1004,$A86,'資格研修記録'!$D$5:$D$1004,"小型船舶1級",'資格研修記録'!$F$5:$F$1004,"")+COUNTIFS('資格研修記録'!$A$5:$A$1004,$A86,'資格研修記録'!$D$5:$D$1004,"小型船舶1級",'資格研修記録'!$F$5:$F$1004,"&gt;="&amp;TODAY()))&gt;0),"1級に含む",IF(COUNTIFS('資格研修記録'!$A$5:$A$1004,$A86,'資格研修記録'!$D$5:$D$1004,F$4)=0,"—",IF(COUNTIFS('資格研修記録'!$A$5:$A$1004,$A86,'資格研修記録'!$D$5:$D$1004,F$4,'資格研修記録'!$F$5:$F$1004,"")+COUNTIFS('資格研修記録'!$A$5:$A$1004,$A86,'資格研修記録'!$D$5:$D$1004,F$4,'資格研修記録'!$F$5:$F$1004,"&gt;="&amp;TODAY())&gt;0,"○","× 期限切れ"))))</f>
        <v/>
      </c>
      <c r="G86" s="15">
        <f>IF(OR($A86="",G$4=""),"",IF(AND(G$4="小型船舶2級",(COUNTIFS('資格研修記録'!$A$5:$A$1004,$A86,'資格研修記録'!$D$5:$D$1004,"小型船舶1級",'資格研修記録'!$F$5:$F$1004,"")+COUNTIFS('資格研修記録'!$A$5:$A$1004,$A86,'資格研修記録'!$D$5:$D$1004,"小型船舶1級",'資格研修記録'!$F$5:$F$1004,"&gt;="&amp;TODAY()))&gt;0),"1級に含む",IF(COUNTIFS('資格研修記録'!$A$5:$A$1004,$A86,'資格研修記録'!$D$5:$D$1004,G$4)=0,"—",IF(COUNTIFS('資格研修記録'!$A$5:$A$1004,$A86,'資格研修記録'!$D$5:$D$1004,G$4,'資格研修記録'!$F$5:$F$1004,"")+COUNTIFS('資格研修記録'!$A$5:$A$1004,$A86,'資格研修記録'!$D$5:$D$1004,G$4,'資格研修記録'!$F$5:$F$1004,"&gt;="&amp;TODAY())&gt;0,"○","× 期限切れ"))))</f>
        <v/>
      </c>
      <c r="H86" s="15">
        <f>IF(OR($A86="",H$4=""),"",IF(AND(H$4="小型船舶2級",(COUNTIFS('資格研修記録'!$A$5:$A$1004,$A86,'資格研修記録'!$D$5:$D$1004,"小型船舶1級",'資格研修記録'!$F$5:$F$1004,"")+COUNTIFS('資格研修記録'!$A$5:$A$1004,$A86,'資格研修記録'!$D$5:$D$1004,"小型船舶1級",'資格研修記録'!$F$5:$F$1004,"&gt;="&amp;TODAY()))&gt;0),"1級に含む",IF(COUNTIFS('資格研修記録'!$A$5:$A$1004,$A86,'資格研修記録'!$D$5:$D$1004,H$4)=0,"—",IF(COUNTIFS('資格研修記録'!$A$5:$A$1004,$A86,'資格研修記録'!$D$5:$D$1004,H$4,'資格研修記録'!$F$5:$F$1004,"")+COUNTIFS('資格研修記録'!$A$5:$A$1004,$A86,'資格研修記録'!$D$5:$D$1004,H$4,'資格研修記録'!$F$5:$F$1004,"&gt;="&amp;TODAY())&gt;0,"○","× 期限切れ"))))</f>
        <v/>
      </c>
      <c r="I86" s="15">
        <f>IF(OR($A86="",I$4=""),"",IF(AND(I$4="小型船舶2級",(COUNTIFS('資格研修記録'!$A$5:$A$1004,$A86,'資格研修記録'!$D$5:$D$1004,"小型船舶1級",'資格研修記録'!$F$5:$F$1004,"")+COUNTIFS('資格研修記録'!$A$5:$A$1004,$A86,'資格研修記録'!$D$5:$D$1004,"小型船舶1級",'資格研修記録'!$F$5:$F$1004,"&gt;="&amp;TODAY()))&gt;0),"1級に含む",IF(COUNTIFS('資格研修記録'!$A$5:$A$1004,$A86,'資格研修記録'!$D$5:$D$1004,I$4)=0,"—",IF(COUNTIFS('資格研修記録'!$A$5:$A$1004,$A86,'資格研修記録'!$D$5:$D$1004,I$4,'資格研修記録'!$F$5:$F$1004,"")+COUNTIFS('資格研修記録'!$A$5:$A$1004,$A86,'資格研修記録'!$D$5:$D$1004,I$4,'資格研修記録'!$F$5:$F$1004,"&gt;="&amp;TODAY())&gt;0,"○","× 期限切れ"))))</f>
        <v/>
      </c>
      <c r="J86" s="15">
        <f>IF(OR($A86="",J$4=""),"",IF(AND(J$4="小型船舶2級",(COUNTIFS('資格研修記録'!$A$5:$A$1004,$A86,'資格研修記録'!$D$5:$D$1004,"小型船舶1級",'資格研修記録'!$F$5:$F$1004,"")+COUNTIFS('資格研修記録'!$A$5:$A$1004,$A86,'資格研修記録'!$D$5:$D$1004,"小型船舶1級",'資格研修記録'!$F$5:$F$1004,"&gt;="&amp;TODAY()))&gt;0),"1級に含む",IF(COUNTIFS('資格研修記録'!$A$5:$A$1004,$A86,'資格研修記録'!$D$5:$D$1004,J$4)=0,"—",IF(COUNTIFS('資格研修記録'!$A$5:$A$1004,$A86,'資格研修記録'!$D$5:$D$1004,J$4,'資格研修記録'!$F$5:$F$1004,"")+COUNTIFS('資格研修記録'!$A$5:$A$1004,$A86,'資格研修記録'!$D$5:$D$1004,J$4,'資格研修記録'!$F$5:$F$1004,"&gt;="&amp;TODAY())&gt;0,"○","× 期限切れ"))))</f>
        <v/>
      </c>
      <c r="K86" s="15">
        <f>IF(OR($A86="",K$4=""),"",IF(AND(K$4="小型船舶2級",(COUNTIFS('資格研修記録'!$A$5:$A$1004,$A86,'資格研修記録'!$D$5:$D$1004,"小型船舶1級",'資格研修記録'!$F$5:$F$1004,"")+COUNTIFS('資格研修記録'!$A$5:$A$1004,$A86,'資格研修記録'!$D$5:$D$1004,"小型船舶1級",'資格研修記録'!$F$5:$F$1004,"&gt;="&amp;TODAY()))&gt;0),"1級に含む",IF(COUNTIFS('資格研修記録'!$A$5:$A$1004,$A86,'資格研修記録'!$D$5:$D$1004,K$4)=0,"—",IF(COUNTIFS('資格研修記録'!$A$5:$A$1004,$A86,'資格研修記録'!$D$5:$D$1004,K$4,'資格研修記録'!$F$5:$F$1004,"")+COUNTIFS('資格研修記録'!$A$5:$A$1004,$A86,'資格研修記録'!$D$5:$D$1004,K$4,'資格研修記録'!$F$5:$F$1004,"&gt;="&amp;TODAY())&gt;0,"○","× 期限切れ"))))</f>
        <v/>
      </c>
      <c r="L86" s="15">
        <f>IF(OR($A86="",L$4=""),"",IF(AND(L$4="小型船舶2級",(COUNTIFS('資格研修記録'!$A$5:$A$1004,$A86,'資格研修記録'!$D$5:$D$1004,"小型船舶1級",'資格研修記録'!$F$5:$F$1004,"")+COUNTIFS('資格研修記録'!$A$5:$A$1004,$A86,'資格研修記録'!$D$5:$D$1004,"小型船舶1級",'資格研修記録'!$F$5:$F$1004,"&gt;="&amp;TODAY()))&gt;0),"1級に含む",IF(COUNTIFS('資格研修記録'!$A$5:$A$1004,$A86,'資格研修記録'!$D$5:$D$1004,L$4)=0,"—",IF(COUNTIFS('資格研修記録'!$A$5:$A$1004,$A86,'資格研修記録'!$D$5:$D$1004,L$4,'資格研修記録'!$F$5:$F$1004,"")+COUNTIFS('資格研修記録'!$A$5:$A$1004,$A86,'資格研修記録'!$D$5:$D$1004,L$4,'資格研修記録'!$F$5:$F$1004,"&gt;="&amp;TODAY())&gt;0,"○","× 期限切れ"))))</f>
        <v/>
      </c>
    </row>
    <row r="87">
      <c r="A87" s="14">
        <f>IF('隊員マスタ'!A87="","",'隊員マスタ'!A87)</f>
        <v/>
      </c>
      <c r="B87" s="14">
        <f>IF(A87="","",'隊員マスタ'!B87)</f>
        <v/>
      </c>
      <c r="C87" s="14">
        <f>IF(A87="","",'隊員マスタ'!C87)</f>
        <v/>
      </c>
      <c r="D87" s="15">
        <f>IF(A87="","",'隊員マスタ'!D87)</f>
        <v/>
      </c>
      <c r="E87" s="15">
        <f>IF(OR($A87="",E$4=""),"",IF(AND(E$4="小型船舶2級",(COUNTIFS('資格研修記録'!$A$5:$A$1004,$A87,'資格研修記録'!$D$5:$D$1004,"小型船舶1級",'資格研修記録'!$F$5:$F$1004,"")+COUNTIFS('資格研修記録'!$A$5:$A$1004,$A87,'資格研修記録'!$D$5:$D$1004,"小型船舶1級",'資格研修記録'!$F$5:$F$1004,"&gt;="&amp;TODAY()))&gt;0),"1級に含む",IF(COUNTIFS('資格研修記録'!$A$5:$A$1004,$A87,'資格研修記録'!$D$5:$D$1004,E$4)=0,"—",IF(COUNTIFS('資格研修記録'!$A$5:$A$1004,$A87,'資格研修記録'!$D$5:$D$1004,E$4,'資格研修記録'!$F$5:$F$1004,"")+COUNTIFS('資格研修記録'!$A$5:$A$1004,$A87,'資格研修記録'!$D$5:$D$1004,E$4,'資格研修記録'!$F$5:$F$1004,"&gt;="&amp;TODAY())&gt;0,"○","× 期限切れ"))))</f>
        <v/>
      </c>
      <c r="F87" s="15">
        <f>IF(OR($A87="",F$4=""),"",IF(AND(F$4="小型船舶2級",(COUNTIFS('資格研修記録'!$A$5:$A$1004,$A87,'資格研修記録'!$D$5:$D$1004,"小型船舶1級",'資格研修記録'!$F$5:$F$1004,"")+COUNTIFS('資格研修記録'!$A$5:$A$1004,$A87,'資格研修記録'!$D$5:$D$1004,"小型船舶1級",'資格研修記録'!$F$5:$F$1004,"&gt;="&amp;TODAY()))&gt;0),"1級に含む",IF(COUNTIFS('資格研修記録'!$A$5:$A$1004,$A87,'資格研修記録'!$D$5:$D$1004,F$4)=0,"—",IF(COUNTIFS('資格研修記録'!$A$5:$A$1004,$A87,'資格研修記録'!$D$5:$D$1004,F$4,'資格研修記録'!$F$5:$F$1004,"")+COUNTIFS('資格研修記録'!$A$5:$A$1004,$A87,'資格研修記録'!$D$5:$D$1004,F$4,'資格研修記録'!$F$5:$F$1004,"&gt;="&amp;TODAY())&gt;0,"○","× 期限切れ"))))</f>
        <v/>
      </c>
      <c r="G87" s="15">
        <f>IF(OR($A87="",G$4=""),"",IF(AND(G$4="小型船舶2級",(COUNTIFS('資格研修記録'!$A$5:$A$1004,$A87,'資格研修記録'!$D$5:$D$1004,"小型船舶1級",'資格研修記録'!$F$5:$F$1004,"")+COUNTIFS('資格研修記録'!$A$5:$A$1004,$A87,'資格研修記録'!$D$5:$D$1004,"小型船舶1級",'資格研修記録'!$F$5:$F$1004,"&gt;="&amp;TODAY()))&gt;0),"1級に含む",IF(COUNTIFS('資格研修記録'!$A$5:$A$1004,$A87,'資格研修記録'!$D$5:$D$1004,G$4)=0,"—",IF(COUNTIFS('資格研修記録'!$A$5:$A$1004,$A87,'資格研修記録'!$D$5:$D$1004,G$4,'資格研修記録'!$F$5:$F$1004,"")+COUNTIFS('資格研修記録'!$A$5:$A$1004,$A87,'資格研修記録'!$D$5:$D$1004,G$4,'資格研修記録'!$F$5:$F$1004,"&gt;="&amp;TODAY())&gt;0,"○","× 期限切れ"))))</f>
        <v/>
      </c>
      <c r="H87" s="15">
        <f>IF(OR($A87="",H$4=""),"",IF(AND(H$4="小型船舶2級",(COUNTIFS('資格研修記録'!$A$5:$A$1004,$A87,'資格研修記録'!$D$5:$D$1004,"小型船舶1級",'資格研修記録'!$F$5:$F$1004,"")+COUNTIFS('資格研修記録'!$A$5:$A$1004,$A87,'資格研修記録'!$D$5:$D$1004,"小型船舶1級",'資格研修記録'!$F$5:$F$1004,"&gt;="&amp;TODAY()))&gt;0),"1級に含む",IF(COUNTIFS('資格研修記録'!$A$5:$A$1004,$A87,'資格研修記録'!$D$5:$D$1004,H$4)=0,"—",IF(COUNTIFS('資格研修記録'!$A$5:$A$1004,$A87,'資格研修記録'!$D$5:$D$1004,H$4,'資格研修記録'!$F$5:$F$1004,"")+COUNTIFS('資格研修記録'!$A$5:$A$1004,$A87,'資格研修記録'!$D$5:$D$1004,H$4,'資格研修記録'!$F$5:$F$1004,"&gt;="&amp;TODAY())&gt;0,"○","× 期限切れ"))))</f>
        <v/>
      </c>
      <c r="I87" s="15">
        <f>IF(OR($A87="",I$4=""),"",IF(AND(I$4="小型船舶2級",(COUNTIFS('資格研修記録'!$A$5:$A$1004,$A87,'資格研修記録'!$D$5:$D$1004,"小型船舶1級",'資格研修記録'!$F$5:$F$1004,"")+COUNTIFS('資格研修記録'!$A$5:$A$1004,$A87,'資格研修記録'!$D$5:$D$1004,"小型船舶1級",'資格研修記録'!$F$5:$F$1004,"&gt;="&amp;TODAY()))&gt;0),"1級に含む",IF(COUNTIFS('資格研修記録'!$A$5:$A$1004,$A87,'資格研修記録'!$D$5:$D$1004,I$4)=0,"—",IF(COUNTIFS('資格研修記録'!$A$5:$A$1004,$A87,'資格研修記録'!$D$5:$D$1004,I$4,'資格研修記録'!$F$5:$F$1004,"")+COUNTIFS('資格研修記録'!$A$5:$A$1004,$A87,'資格研修記録'!$D$5:$D$1004,I$4,'資格研修記録'!$F$5:$F$1004,"&gt;="&amp;TODAY())&gt;0,"○","× 期限切れ"))))</f>
        <v/>
      </c>
      <c r="J87" s="15">
        <f>IF(OR($A87="",J$4=""),"",IF(AND(J$4="小型船舶2級",(COUNTIFS('資格研修記録'!$A$5:$A$1004,$A87,'資格研修記録'!$D$5:$D$1004,"小型船舶1級",'資格研修記録'!$F$5:$F$1004,"")+COUNTIFS('資格研修記録'!$A$5:$A$1004,$A87,'資格研修記録'!$D$5:$D$1004,"小型船舶1級",'資格研修記録'!$F$5:$F$1004,"&gt;="&amp;TODAY()))&gt;0),"1級に含む",IF(COUNTIFS('資格研修記録'!$A$5:$A$1004,$A87,'資格研修記録'!$D$5:$D$1004,J$4)=0,"—",IF(COUNTIFS('資格研修記録'!$A$5:$A$1004,$A87,'資格研修記録'!$D$5:$D$1004,J$4,'資格研修記録'!$F$5:$F$1004,"")+COUNTIFS('資格研修記録'!$A$5:$A$1004,$A87,'資格研修記録'!$D$5:$D$1004,J$4,'資格研修記録'!$F$5:$F$1004,"&gt;="&amp;TODAY())&gt;0,"○","× 期限切れ"))))</f>
        <v/>
      </c>
      <c r="K87" s="15">
        <f>IF(OR($A87="",K$4=""),"",IF(AND(K$4="小型船舶2級",(COUNTIFS('資格研修記録'!$A$5:$A$1004,$A87,'資格研修記録'!$D$5:$D$1004,"小型船舶1級",'資格研修記録'!$F$5:$F$1004,"")+COUNTIFS('資格研修記録'!$A$5:$A$1004,$A87,'資格研修記録'!$D$5:$D$1004,"小型船舶1級",'資格研修記録'!$F$5:$F$1004,"&gt;="&amp;TODAY()))&gt;0),"1級に含む",IF(COUNTIFS('資格研修記録'!$A$5:$A$1004,$A87,'資格研修記録'!$D$5:$D$1004,K$4)=0,"—",IF(COUNTIFS('資格研修記録'!$A$5:$A$1004,$A87,'資格研修記録'!$D$5:$D$1004,K$4,'資格研修記録'!$F$5:$F$1004,"")+COUNTIFS('資格研修記録'!$A$5:$A$1004,$A87,'資格研修記録'!$D$5:$D$1004,K$4,'資格研修記録'!$F$5:$F$1004,"&gt;="&amp;TODAY())&gt;0,"○","× 期限切れ"))))</f>
        <v/>
      </c>
      <c r="L87" s="15">
        <f>IF(OR($A87="",L$4=""),"",IF(AND(L$4="小型船舶2級",(COUNTIFS('資格研修記録'!$A$5:$A$1004,$A87,'資格研修記録'!$D$5:$D$1004,"小型船舶1級",'資格研修記録'!$F$5:$F$1004,"")+COUNTIFS('資格研修記録'!$A$5:$A$1004,$A87,'資格研修記録'!$D$5:$D$1004,"小型船舶1級",'資格研修記録'!$F$5:$F$1004,"&gt;="&amp;TODAY()))&gt;0),"1級に含む",IF(COUNTIFS('資格研修記録'!$A$5:$A$1004,$A87,'資格研修記録'!$D$5:$D$1004,L$4)=0,"—",IF(COUNTIFS('資格研修記録'!$A$5:$A$1004,$A87,'資格研修記録'!$D$5:$D$1004,L$4,'資格研修記録'!$F$5:$F$1004,"")+COUNTIFS('資格研修記録'!$A$5:$A$1004,$A87,'資格研修記録'!$D$5:$D$1004,L$4,'資格研修記録'!$F$5:$F$1004,"&gt;="&amp;TODAY())&gt;0,"○","× 期限切れ"))))</f>
        <v/>
      </c>
    </row>
    <row r="88">
      <c r="A88" s="14">
        <f>IF('隊員マスタ'!A88="","",'隊員マスタ'!A88)</f>
        <v/>
      </c>
      <c r="B88" s="14">
        <f>IF(A88="","",'隊員マスタ'!B88)</f>
        <v/>
      </c>
      <c r="C88" s="14">
        <f>IF(A88="","",'隊員マスタ'!C88)</f>
        <v/>
      </c>
      <c r="D88" s="15">
        <f>IF(A88="","",'隊員マスタ'!D88)</f>
        <v/>
      </c>
      <c r="E88" s="15">
        <f>IF(OR($A88="",E$4=""),"",IF(AND(E$4="小型船舶2級",(COUNTIFS('資格研修記録'!$A$5:$A$1004,$A88,'資格研修記録'!$D$5:$D$1004,"小型船舶1級",'資格研修記録'!$F$5:$F$1004,"")+COUNTIFS('資格研修記録'!$A$5:$A$1004,$A88,'資格研修記録'!$D$5:$D$1004,"小型船舶1級",'資格研修記録'!$F$5:$F$1004,"&gt;="&amp;TODAY()))&gt;0),"1級に含む",IF(COUNTIFS('資格研修記録'!$A$5:$A$1004,$A88,'資格研修記録'!$D$5:$D$1004,E$4)=0,"—",IF(COUNTIFS('資格研修記録'!$A$5:$A$1004,$A88,'資格研修記録'!$D$5:$D$1004,E$4,'資格研修記録'!$F$5:$F$1004,"")+COUNTIFS('資格研修記録'!$A$5:$A$1004,$A88,'資格研修記録'!$D$5:$D$1004,E$4,'資格研修記録'!$F$5:$F$1004,"&gt;="&amp;TODAY())&gt;0,"○","× 期限切れ"))))</f>
        <v/>
      </c>
      <c r="F88" s="15">
        <f>IF(OR($A88="",F$4=""),"",IF(AND(F$4="小型船舶2級",(COUNTIFS('資格研修記録'!$A$5:$A$1004,$A88,'資格研修記録'!$D$5:$D$1004,"小型船舶1級",'資格研修記録'!$F$5:$F$1004,"")+COUNTIFS('資格研修記録'!$A$5:$A$1004,$A88,'資格研修記録'!$D$5:$D$1004,"小型船舶1級",'資格研修記録'!$F$5:$F$1004,"&gt;="&amp;TODAY()))&gt;0),"1級に含む",IF(COUNTIFS('資格研修記録'!$A$5:$A$1004,$A88,'資格研修記録'!$D$5:$D$1004,F$4)=0,"—",IF(COUNTIFS('資格研修記録'!$A$5:$A$1004,$A88,'資格研修記録'!$D$5:$D$1004,F$4,'資格研修記録'!$F$5:$F$1004,"")+COUNTIFS('資格研修記録'!$A$5:$A$1004,$A88,'資格研修記録'!$D$5:$D$1004,F$4,'資格研修記録'!$F$5:$F$1004,"&gt;="&amp;TODAY())&gt;0,"○","× 期限切れ"))))</f>
        <v/>
      </c>
      <c r="G88" s="15">
        <f>IF(OR($A88="",G$4=""),"",IF(AND(G$4="小型船舶2級",(COUNTIFS('資格研修記録'!$A$5:$A$1004,$A88,'資格研修記録'!$D$5:$D$1004,"小型船舶1級",'資格研修記録'!$F$5:$F$1004,"")+COUNTIFS('資格研修記録'!$A$5:$A$1004,$A88,'資格研修記録'!$D$5:$D$1004,"小型船舶1級",'資格研修記録'!$F$5:$F$1004,"&gt;="&amp;TODAY()))&gt;0),"1級に含む",IF(COUNTIFS('資格研修記録'!$A$5:$A$1004,$A88,'資格研修記録'!$D$5:$D$1004,G$4)=0,"—",IF(COUNTIFS('資格研修記録'!$A$5:$A$1004,$A88,'資格研修記録'!$D$5:$D$1004,G$4,'資格研修記録'!$F$5:$F$1004,"")+COUNTIFS('資格研修記録'!$A$5:$A$1004,$A88,'資格研修記録'!$D$5:$D$1004,G$4,'資格研修記録'!$F$5:$F$1004,"&gt;="&amp;TODAY())&gt;0,"○","× 期限切れ"))))</f>
        <v/>
      </c>
      <c r="H88" s="15">
        <f>IF(OR($A88="",H$4=""),"",IF(AND(H$4="小型船舶2級",(COUNTIFS('資格研修記録'!$A$5:$A$1004,$A88,'資格研修記録'!$D$5:$D$1004,"小型船舶1級",'資格研修記録'!$F$5:$F$1004,"")+COUNTIFS('資格研修記録'!$A$5:$A$1004,$A88,'資格研修記録'!$D$5:$D$1004,"小型船舶1級",'資格研修記録'!$F$5:$F$1004,"&gt;="&amp;TODAY()))&gt;0),"1級に含む",IF(COUNTIFS('資格研修記録'!$A$5:$A$1004,$A88,'資格研修記録'!$D$5:$D$1004,H$4)=0,"—",IF(COUNTIFS('資格研修記録'!$A$5:$A$1004,$A88,'資格研修記録'!$D$5:$D$1004,H$4,'資格研修記録'!$F$5:$F$1004,"")+COUNTIFS('資格研修記録'!$A$5:$A$1004,$A88,'資格研修記録'!$D$5:$D$1004,H$4,'資格研修記録'!$F$5:$F$1004,"&gt;="&amp;TODAY())&gt;0,"○","× 期限切れ"))))</f>
        <v/>
      </c>
      <c r="I88" s="15">
        <f>IF(OR($A88="",I$4=""),"",IF(AND(I$4="小型船舶2級",(COUNTIFS('資格研修記録'!$A$5:$A$1004,$A88,'資格研修記録'!$D$5:$D$1004,"小型船舶1級",'資格研修記録'!$F$5:$F$1004,"")+COUNTIFS('資格研修記録'!$A$5:$A$1004,$A88,'資格研修記録'!$D$5:$D$1004,"小型船舶1級",'資格研修記録'!$F$5:$F$1004,"&gt;="&amp;TODAY()))&gt;0),"1級に含む",IF(COUNTIFS('資格研修記録'!$A$5:$A$1004,$A88,'資格研修記録'!$D$5:$D$1004,I$4)=0,"—",IF(COUNTIFS('資格研修記録'!$A$5:$A$1004,$A88,'資格研修記録'!$D$5:$D$1004,I$4,'資格研修記録'!$F$5:$F$1004,"")+COUNTIFS('資格研修記録'!$A$5:$A$1004,$A88,'資格研修記録'!$D$5:$D$1004,I$4,'資格研修記録'!$F$5:$F$1004,"&gt;="&amp;TODAY())&gt;0,"○","× 期限切れ"))))</f>
        <v/>
      </c>
      <c r="J88" s="15">
        <f>IF(OR($A88="",J$4=""),"",IF(AND(J$4="小型船舶2級",(COUNTIFS('資格研修記録'!$A$5:$A$1004,$A88,'資格研修記録'!$D$5:$D$1004,"小型船舶1級",'資格研修記録'!$F$5:$F$1004,"")+COUNTIFS('資格研修記録'!$A$5:$A$1004,$A88,'資格研修記録'!$D$5:$D$1004,"小型船舶1級",'資格研修記録'!$F$5:$F$1004,"&gt;="&amp;TODAY()))&gt;0),"1級に含む",IF(COUNTIFS('資格研修記録'!$A$5:$A$1004,$A88,'資格研修記録'!$D$5:$D$1004,J$4)=0,"—",IF(COUNTIFS('資格研修記録'!$A$5:$A$1004,$A88,'資格研修記録'!$D$5:$D$1004,J$4,'資格研修記録'!$F$5:$F$1004,"")+COUNTIFS('資格研修記録'!$A$5:$A$1004,$A88,'資格研修記録'!$D$5:$D$1004,J$4,'資格研修記録'!$F$5:$F$1004,"&gt;="&amp;TODAY())&gt;0,"○","× 期限切れ"))))</f>
        <v/>
      </c>
      <c r="K88" s="15">
        <f>IF(OR($A88="",K$4=""),"",IF(AND(K$4="小型船舶2級",(COUNTIFS('資格研修記録'!$A$5:$A$1004,$A88,'資格研修記録'!$D$5:$D$1004,"小型船舶1級",'資格研修記録'!$F$5:$F$1004,"")+COUNTIFS('資格研修記録'!$A$5:$A$1004,$A88,'資格研修記録'!$D$5:$D$1004,"小型船舶1級",'資格研修記録'!$F$5:$F$1004,"&gt;="&amp;TODAY()))&gt;0),"1級に含む",IF(COUNTIFS('資格研修記録'!$A$5:$A$1004,$A88,'資格研修記録'!$D$5:$D$1004,K$4)=0,"—",IF(COUNTIFS('資格研修記録'!$A$5:$A$1004,$A88,'資格研修記録'!$D$5:$D$1004,K$4,'資格研修記録'!$F$5:$F$1004,"")+COUNTIFS('資格研修記録'!$A$5:$A$1004,$A88,'資格研修記録'!$D$5:$D$1004,K$4,'資格研修記録'!$F$5:$F$1004,"&gt;="&amp;TODAY())&gt;0,"○","× 期限切れ"))))</f>
        <v/>
      </c>
      <c r="L88" s="15">
        <f>IF(OR($A88="",L$4=""),"",IF(AND(L$4="小型船舶2級",(COUNTIFS('資格研修記録'!$A$5:$A$1004,$A88,'資格研修記録'!$D$5:$D$1004,"小型船舶1級",'資格研修記録'!$F$5:$F$1004,"")+COUNTIFS('資格研修記録'!$A$5:$A$1004,$A88,'資格研修記録'!$D$5:$D$1004,"小型船舶1級",'資格研修記録'!$F$5:$F$1004,"&gt;="&amp;TODAY()))&gt;0),"1級に含む",IF(COUNTIFS('資格研修記録'!$A$5:$A$1004,$A88,'資格研修記録'!$D$5:$D$1004,L$4)=0,"—",IF(COUNTIFS('資格研修記録'!$A$5:$A$1004,$A88,'資格研修記録'!$D$5:$D$1004,L$4,'資格研修記録'!$F$5:$F$1004,"")+COUNTIFS('資格研修記録'!$A$5:$A$1004,$A88,'資格研修記録'!$D$5:$D$1004,L$4,'資格研修記録'!$F$5:$F$1004,"&gt;="&amp;TODAY())&gt;0,"○","× 期限切れ"))))</f>
        <v/>
      </c>
    </row>
    <row r="89">
      <c r="A89" s="14">
        <f>IF('隊員マスタ'!A89="","",'隊員マスタ'!A89)</f>
        <v/>
      </c>
      <c r="B89" s="14">
        <f>IF(A89="","",'隊員マスタ'!B89)</f>
        <v/>
      </c>
      <c r="C89" s="14">
        <f>IF(A89="","",'隊員マスタ'!C89)</f>
        <v/>
      </c>
      <c r="D89" s="15">
        <f>IF(A89="","",'隊員マスタ'!D89)</f>
        <v/>
      </c>
      <c r="E89" s="15">
        <f>IF(OR($A89="",E$4=""),"",IF(AND(E$4="小型船舶2級",(COUNTIFS('資格研修記録'!$A$5:$A$1004,$A89,'資格研修記録'!$D$5:$D$1004,"小型船舶1級",'資格研修記録'!$F$5:$F$1004,"")+COUNTIFS('資格研修記録'!$A$5:$A$1004,$A89,'資格研修記録'!$D$5:$D$1004,"小型船舶1級",'資格研修記録'!$F$5:$F$1004,"&gt;="&amp;TODAY()))&gt;0),"1級に含む",IF(COUNTIFS('資格研修記録'!$A$5:$A$1004,$A89,'資格研修記録'!$D$5:$D$1004,E$4)=0,"—",IF(COUNTIFS('資格研修記録'!$A$5:$A$1004,$A89,'資格研修記録'!$D$5:$D$1004,E$4,'資格研修記録'!$F$5:$F$1004,"")+COUNTIFS('資格研修記録'!$A$5:$A$1004,$A89,'資格研修記録'!$D$5:$D$1004,E$4,'資格研修記録'!$F$5:$F$1004,"&gt;="&amp;TODAY())&gt;0,"○","× 期限切れ"))))</f>
        <v/>
      </c>
      <c r="F89" s="15">
        <f>IF(OR($A89="",F$4=""),"",IF(AND(F$4="小型船舶2級",(COUNTIFS('資格研修記録'!$A$5:$A$1004,$A89,'資格研修記録'!$D$5:$D$1004,"小型船舶1級",'資格研修記録'!$F$5:$F$1004,"")+COUNTIFS('資格研修記録'!$A$5:$A$1004,$A89,'資格研修記録'!$D$5:$D$1004,"小型船舶1級",'資格研修記録'!$F$5:$F$1004,"&gt;="&amp;TODAY()))&gt;0),"1級に含む",IF(COUNTIFS('資格研修記録'!$A$5:$A$1004,$A89,'資格研修記録'!$D$5:$D$1004,F$4)=0,"—",IF(COUNTIFS('資格研修記録'!$A$5:$A$1004,$A89,'資格研修記録'!$D$5:$D$1004,F$4,'資格研修記録'!$F$5:$F$1004,"")+COUNTIFS('資格研修記録'!$A$5:$A$1004,$A89,'資格研修記録'!$D$5:$D$1004,F$4,'資格研修記録'!$F$5:$F$1004,"&gt;="&amp;TODAY())&gt;0,"○","× 期限切れ"))))</f>
        <v/>
      </c>
      <c r="G89" s="15">
        <f>IF(OR($A89="",G$4=""),"",IF(AND(G$4="小型船舶2級",(COUNTIFS('資格研修記録'!$A$5:$A$1004,$A89,'資格研修記録'!$D$5:$D$1004,"小型船舶1級",'資格研修記録'!$F$5:$F$1004,"")+COUNTIFS('資格研修記録'!$A$5:$A$1004,$A89,'資格研修記録'!$D$5:$D$1004,"小型船舶1級",'資格研修記録'!$F$5:$F$1004,"&gt;="&amp;TODAY()))&gt;0),"1級に含む",IF(COUNTIFS('資格研修記録'!$A$5:$A$1004,$A89,'資格研修記録'!$D$5:$D$1004,G$4)=0,"—",IF(COUNTIFS('資格研修記録'!$A$5:$A$1004,$A89,'資格研修記録'!$D$5:$D$1004,G$4,'資格研修記録'!$F$5:$F$1004,"")+COUNTIFS('資格研修記録'!$A$5:$A$1004,$A89,'資格研修記録'!$D$5:$D$1004,G$4,'資格研修記録'!$F$5:$F$1004,"&gt;="&amp;TODAY())&gt;0,"○","× 期限切れ"))))</f>
        <v/>
      </c>
      <c r="H89" s="15">
        <f>IF(OR($A89="",H$4=""),"",IF(AND(H$4="小型船舶2級",(COUNTIFS('資格研修記録'!$A$5:$A$1004,$A89,'資格研修記録'!$D$5:$D$1004,"小型船舶1級",'資格研修記録'!$F$5:$F$1004,"")+COUNTIFS('資格研修記録'!$A$5:$A$1004,$A89,'資格研修記録'!$D$5:$D$1004,"小型船舶1級",'資格研修記録'!$F$5:$F$1004,"&gt;="&amp;TODAY()))&gt;0),"1級に含む",IF(COUNTIFS('資格研修記録'!$A$5:$A$1004,$A89,'資格研修記録'!$D$5:$D$1004,H$4)=0,"—",IF(COUNTIFS('資格研修記録'!$A$5:$A$1004,$A89,'資格研修記録'!$D$5:$D$1004,H$4,'資格研修記録'!$F$5:$F$1004,"")+COUNTIFS('資格研修記録'!$A$5:$A$1004,$A89,'資格研修記録'!$D$5:$D$1004,H$4,'資格研修記録'!$F$5:$F$1004,"&gt;="&amp;TODAY())&gt;0,"○","× 期限切れ"))))</f>
        <v/>
      </c>
      <c r="I89" s="15">
        <f>IF(OR($A89="",I$4=""),"",IF(AND(I$4="小型船舶2級",(COUNTIFS('資格研修記録'!$A$5:$A$1004,$A89,'資格研修記録'!$D$5:$D$1004,"小型船舶1級",'資格研修記録'!$F$5:$F$1004,"")+COUNTIFS('資格研修記録'!$A$5:$A$1004,$A89,'資格研修記録'!$D$5:$D$1004,"小型船舶1級",'資格研修記録'!$F$5:$F$1004,"&gt;="&amp;TODAY()))&gt;0),"1級に含む",IF(COUNTIFS('資格研修記録'!$A$5:$A$1004,$A89,'資格研修記録'!$D$5:$D$1004,I$4)=0,"—",IF(COUNTIFS('資格研修記録'!$A$5:$A$1004,$A89,'資格研修記録'!$D$5:$D$1004,I$4,'資格研修記録'!$F$5:$F$1004,"")+COUNTIFS('資格研修記録'!$A$5:$A$1004,$A89,'資格研修記録'!$D$5:$D$1004,I$4,'資格研修記録'!$F$5:$F$1004,"&gt;="&amp;TODAY())&gt;0,"○","× 期限切れ"))))</f>
        <v/>
      </c>
      <c r="J89" s="15">
        <f>IF(OR($A89="",J$4=""),"",IF(AND(J$4="小型船舶2級",(COUNTIFS('資格研修記録'!$A$5:$A$1004,$A89,'資格研修記録'!$D$5:$D$1004,"小型船舶1級",'資格研修記録'!$F$5:$F$1004,"")+COUNTIFS('資格研修記録'!$A$5:$A$1004,$A89,'資格研修記録'!$D$5:$D$1004,"小型船舶1級",'資格研修記録'!$F$5:$F$1004,"&gt;="&amp;TODAY()))&gt;0),"1級に含む",IF(COUNTIFS('資格研修記録'!$A$5:$A$1004,$A89,'資格研修記録'!$D$5:$D$1004,J$4)=0,"—",IF(COUNTIFS('資格研修記録'!$A$5:$A$1004,$A89,'資格研修記録'!$D$5:$D$1004,J$4,'資格研修記録'!$F$5:$F$1004,"")+COUNTIFS('資格研修記録'!$A$5:$A$1004,$A89,'資格研修記録'!$D$5:$D$1004,J$4,'資格研修記録'!$F$5:$F$1004,"&gt;="&amp;TODAY())&gt;0,"○","× 期限切れ"))))</f>
        <v/>
      </c>
      <c r="K89" s="15">
        <f>IF(OR($A89="",K$4=""),"",IF(AND(K$4="小型船舶2級",(COUNTIFS('資格研修記録'!$A$5:$A$1004,$A89,'資格研修記録'!$D$5:$D$1004,"小型船舶1級",'資格研修記録'!$F$5:$F$1004,"")+COUNTIFS('資格研修記録'!$A$5:$A$1004,$A89,'資格研修記録'!$D$5:$D$1004,"小型船舶1級",'資格研修記録'!$F$5:$F$1004,"&gt;="&amp;TODAY()))&gt;0),"1級に含む",IF(COUNTIFS('資格研修記録'!$A$5:$A$1004,$A89,'資格研修記録'!$D$5:$D$1004,K$4)=0,"—",IF(COUNTIFS('資格研修記録'!$A$5:$A$1004,$A89,'資格研修記録'!$D$5:$D$1004,K$4,'資格研修記録'!$F$5:$F$1004,"")+COUNTIFS('資格研修記録'!$A$5:$A$1004,$A89,'資格研修記録'!$D$5:$D$1004,K$4,'資格研修記録'!$F$5:$F$1004,"&gt;="&amp;TODAY())&gt;0,"○","× 期限切れ"))))</f>
        <v/>
      </c>
      <c r="L89" s="15">
        <f>IF(OR($A89="",L$4=""),"",IF(AND(L$4="小型船舶2級",(COUNTIFS('資格研修記録'!$A$5:$A$1004,$A89,'資格研修記録'!$D$5:$D$1004,"小型船舶1級",'資格研修記録'!$F$5:$F$1004,"")+COUNTIFS('資格研修記録'!$A$5:$A$1004,$A89,'資格研修記録'!$D$5:$D$1004,"小型船舶1級",'資格研修記録'!$F$5:$F$1004,"&gt;="&amp;TODAY()))&gt;0),"1級に含む",IF(COUNTIFS('資格研修記録'!$A$5:$A$1004,$A89,'資格研修記録'!$D$5:$D$1004,L$4)=0,"—",IF(COUNTIFS('資格研修記録'!$A$5:$A$1004,$A89,'資格研修記録'!$D$5:$D$1004,L$4,'資格研修記録'!$F$5:$F$1004,"")+COUNTIFS('資格研修記録'!$A$5:$A$1004,$A89,'資格研修記録'!$D$5:$D$1004,L$4,'資格研修記録'!$F$5:$F$1004,"&gt;="&amp;TODAY())&gt;0,"○","× 期限切れ"))))</f>
        <v/>
      </c>
    </row>
    <row r="90">
      <c r="A90" s="14">
        <f>IF('隊員マスタ'!A90="","",'隊員マスタ'!A90)</f>
        <v/>
      </c>
      <c r="B90" s="14">
        <f>IF(A90="","",'隊員マスタ'!B90)</f>
        <v/>
      </c>
      <c r="C90" s="14">
        <f>IF(A90="","",'隊員マスタ'!C90)</f>
        <v/>
      </c>
      <c r="D90" s="15">
        <f>IF(A90="","",'隊員マスタ'!D90)</f>
        <v/>
      </c>
      <c r="E90" s="15">
        <f>IF(OR($A90="",E$4=""),"",IF(AND(E$4="小型船舶2級",(COUNTIFS('資格研修記録'!$A$5:$A$1004,$A90,'資格研修記録'!$D$5:$D$1004,"小型船舶1級",'資格研修記録'!$F$5:$F$1004,"")+COUNTIFS('資格研修記録'!$A$5:$A$1004,$A90,'資格研修記録'!$D$5:$D$1004,"小型船舶1級",'資格研修記録'!$F$5:$F$1004,"&gt;="&amp;TODAY()))&gt;0),"1級に含む",IF(COUNTIFS('資格研修記録'!$A$5:$A$1004,$A90,'資格研修記録'!$D$5:$D$1004,E$4)=0,"—",IF(COUNTIFS('資格研修記録'!$A$5:$A$1004,$A90,'資格研修記録'!$D$5:$D$1004,E$4,'資格研修記録'!$F$5:$F$1004,"")+COUNTIFS('資格研修記録'!$A$5:$A$1004,$A90,'資格研修記録'!$D$5:$D$1004,E$4,'資格研修記録'!$F$5:$F$1004,"&gt;="&amp;TODAY())&gt;0,"○","× 期限切れ"))))</f>
        <v/>
      </c>
      <c r="F90" s="15">
        <f>IF(OR($A90="",F$4=""),"",IF(AND(F$4="小型船舶2級",(COUNTIFS('資格研修記録'!$A$5:$A$1004,$A90,'資格研修記録'!$D$5:$D$1004,"小型船舶1級",'資格研修記録'!$F$5:$F$1004,"")+COUNTIFS('資格研修記録'!$A$5:$A$1004,$A90,'資格研修記録'!$D$5:$D$1004,"小型船舶1級",'資格研修記録'!$F$5:$F$1004,"&gt;="&amp;TODAY()))&gt;0),"1級に含む",IF(COUNTIFS('資格研修記録'!$A$5:$A$1004,$A90,'資格研修記録'!$D$5:$D$1004,F$4)=0,"—",IF(COUNTIFS('資格研修記録'!$A$5:$A$1004,$A90,'資格研修記録'!$D$5:$D$1004,F$4,'資格研修記録'!$F$5:$F$1004,"")+COUNTIFS('資格研修記録'!$A$5:$A$1004,$A90,'資格研修記録'!$D$5:$D$1004,F$4,'資格研修記録'!$F$5:$F$1004,"&gt;="&amp;TODAY())&gt;0,"○","× 期限切れ"))))</f>
        <v/>
      </c>
      <c r="G90" s="15">
        <f>IF(OR($A90="",G$4=""),"",IF(AND(G$4="小型船舶2級",(COUNTIFS('資格研修記録'!$A$5:$A$1004,$A90,'資格研修記録'!$D$5:$D$1004,"小型船舶1級",'資格研修記録'!$F$5:$F$1004,"")+COUNTIFS('資格研修記録'!$A$5:$A$1004,$A90,'資格研修記録'!$D$5:$D$1004,"小型船舶1級",'資格研修記録'!$F$5:$F$1004,"&gt;="&amp;TODAY()))&gt;0),"1級に含む",IF(COUNTIFS('資格研修記録'!$A$5:$A$1004,$A90,'資格研修記録'!$D$5:$D$1004,G$4)=0,"—",IF(COUNTIFS('資格研修記録'!$A$5:$A$1004,$A90,'資格研修記録'!$D$5:$D$1004,G$4,'資格研修記録'!$F$5:$F$1004,"")+COUNTIFS('資格研修記録'!$A$5:$A$1004,$A90,'資格研修記録'!$D$5:$D$1004,G$4,'資格研修記録'!$F$5:$F$1004,"&gt;="&amp;TODAY())&gt;0,"○","× 期限切れ"))))</f>
        <v/>
      </c>
      <c r="H90" s="15">
        <f>IF(OR($A90="",H$4=""),"",IF(AND(H$4="小型船舶2級",(COUNTIFS('資格研修記録'!$A$5:$A$1004,$A90,'資格研修記録'!$D$5:$D$1004,"小型船舶1級",'資格研修記録'!$F$5:$F$1004,"")+COUNTIFS('資格研修記録'!$A$5:$A$1004,$A90,'資格研修記録'!$D$5:$D$1004,"小型船舶1級",'資格研修記録'!$F$5:$F$1004,"&gt;="&amp;TODAY()))&gt;0),"1級に含む",IF(COUNTIFS('資格研修記録'!$A$5:$A$1004,$A90,'資格研修記録'!$D$5:$D$1004,H$4)=0,"—",IF(COUNTIFS('資格研修記録'!$A$5:$A$1004,$A90,'資格研修記録'!$D$5:$D$1004,H$4,'資格研修記録'!$F$5:$F$1004,"")+COUNTIFS('資格研修記録'!$A$5:$A$1004,$A90,'資格研修記録'!$D$5:$D$1004,H$4,'資格研修記録'!$F$5:$F$1004,"&gt;="&amp;TODAY())&gt;0,"○","× 期限切れ"))))</f>
        <v/>
      </c>
      <c r="I90" s="15">
        <f>IF(OR($A90="",I$4=""),"",IF(AND(I$4="小型船舶2級",(COUNTIFS('資格研修記録'!$A$5:$A$1004,$A90,'資格研修記録'!$D$5:$D$1004,"小型船舶1級",'資格研修記録'!$F$5:$F$1004,"")+COUNTIFS('資格研修記録'!$A$5:$A$1004,$A90,'資格研修記録'!$D$5:$D$1004,"小型船舶1級",'資格研修記録'!$F$5:$F$1004,"&gt;="&amp;TODAY()))&gt;0),"1級に含む",IF(COUNTIFS('資格研修記録'!$A$5:$A$1004,$A90,'資格研修記録'!$D$5:$D$1004,I$4)=0,"—",IF(COUNTIFS('資格研修記録'!$A$5:$A$1004,$A90,'資格研修記録'!$D$5:$D$1004,I$4,'資格研修記録'!$F$5:$F$1004,"")+COUNTIFS('資格研修記録'!$A$5:$A$1004,$A90,'資格研修記録'!$D$5:$D$1004,I$4,'資格研修記録'!$F$5:$F$1004,"&gt;="&amp;TODAY())&gt;0,"○","× 期限切れ"))))</f>
        <v/>
      </c>
      <c r="J90" s="15">
        <f>IF(OR($A90="",J$4=""),"",IF(AND(J$4="小型船舶2級",(COUNTIFS('資格研修記録'!$A$5:$A$1004,$A90,'資格研修記録'!$D$5:$D$1004,"小型船舶1級",'資格研修記録'!$F$5:$F$1004,"")+COUNTIFS('資格研修記録'!$A$5:$A$1004,$A90,'資格研修記録'!$D$5:$D$1004,"小型船舶1級",'資格研修記録'!$F$5:$F$1004,"&gt;="&amp;TODAY()))&gt;0),"1級に含む",IF(COUNTIFS('資格研修記録'!$A$5:$A$1004,$A90,'資格研修記録'!$D$5:$D$1004,J$4)=0,"—",IF(COUNTIFS('資格研修記録'!$A$5:$A$1004,$A90,'資格研修記録'!$D$5:$D$1004,J$4,'資格研修記録'!$F$5:$F$1004,"")+COUNTIFS('資格研修記録'!$A$5:$A$1004,$A90,'資格研修記録'!$D$5:$D$1004,J$4,'資格研修記録'!$F$5:$F$1004,"&gt;="&amp;TODAY())&gt;0,"○","× 期限切れ"))))</f>
        <v/>
      </c>
      <c r="K90" s="15">
        <f>IF(OR($A90="",K$4=""),"",IF(AND(K$4="小型船舶2級",(COUNTIFS('資格研修記録'!$A$5:$A$1004,$A90,'資格研修記録'!$D$5:$D$1004,"小型船舶1級",'資格研修記録'!$F$5:$F$1004,"")+COUNTIFS('資格研修記録'!$A$5:$A$1004,$A90,'資格研修記録'!$D$5:$D$1004,"小型船舶1級",'資格研修記録'!$F$5:$F$1004,"&gt;="&amp;TODAY()))&gt;0),"1級に含む",IF(COUNTIFS('資格研修記録'!$A$5:$A$1004,$A90,'資格研修記録'!$D$5:$D$1004,K$4)=0,"—",IF(COUNTIFS('資格研修記録'!$A$5:$A$1004,$A90,'資格研修記録'!$D$5:$D$1004,K$4,'資格研修記録'!$F$5:$F$1004,"")+COUNTIFS('資格研修記録'!$A$5:$A$1004,$A90,'資格研修記録'!$D$5:$D$1004,K$4,'資格研修記録'!$F$5:$F$1004,"&gt;="&amp;TODAY())&gt;0,"○","× 期限切れ"))))</f>
        <v/>
      </c>
      <c r="L90" s="15">
        <f>IF(OR($A90="",L$4=""),"",IF(AND(L$4="小型船舶2級",(COUNTIFS('資格研修記録'!$A$5:$A$1004,$A90,'資格研修記録'!$D$5:$D$1004,"小型船舶1級",'資格研修記録'!$F$5:$F$1004,"")+COUNTIFS('資格研修記録'!$A$5:$A$1004,$A90,'資格研修記録'!$D$5:$D$1004,"小型船舶1級",'資格研修記録'!$F$5:$F$1004,"&gt;="&amp;TODAY()))&gt;0),"1級に含む",IF(COUNTIFS('資格研修記録'!$A$5:$A$1004,$A90,'資格研修記録'!$D$5:$D$1004,L$4)=0,"—",IF(COUNTIFS('資格研修記録'!$A$5:$A$1004,$A90,'資格研修記録'!$D$5:$D$1004,L$4,'資格研修記録'!$F$5:$F$1004,"")+COUNTIFS('資格研修記録'!$A$5:$A$1004,$A90,'資格研修記録'!$D$5:$D$1004,L$4,'資格研修記録'!$F$5:$F$1004,"&gt;="&amp;TODAY())&gt;0,"○","× 期限切れ"))))</f>
        <v/>
      </c>
    </row>
    <row r="91">
      <c r="A91" s="14">
        <f>IF('隊員マスタ'!A91="","",'隊員マスタ'!A91)</f>
        <v/>
      </c>
      <c r="B91" s="14">
        <f>IF(A91="","",'隊員マスタ'!B91)</f>
        <v/>
      </c>
      <c r="C91" s="14">
        <f>IF(A91="","",'隊員マスタ'!C91)</f>
        <v/>
      </c>
      <c r="D91" s="15">
        <f>IF(A91="","",'隊員マスタ'!D91)</f>
        <v/>
      </c>
      <c r="E91" s="15">
        <f>IF(OR($A91="",E$4=""),"",IF(AND(E$4="小型船舶2級",(COUNTIFS('資格研修記録'!$A$5:$A$1004,$A91,'資格研修記録'!$D$5:$D$1004,"小型船舶1級",'資格研修記録'!$F$5:$F$1004,"")+COUNTIFS('資格研修記録'!$A$5:$A$1004,$A91,'資格研修記録'!$D$5:$D$1004,"小型船舶1級",'資格研修記録'!$F$5:$F$1004,"&gt;="&amp;TODAY()))&gt;0),"1級に含む",IF(COUNTIFS('資格研修記録'!$A$5:$A$1004,$A91,'資格研修記録'!$D$5:$D$1004,E$4)=0,"—",IF(COUNTIFS('資格研修記録'!$A$5:$A$1004,$A91,'資格研修記録'!$D$5:$D$1004,E$4,'資格研修記録'!$F$5:$F$1004,"")+COUNTIFS('資格研修記録'!$A$5:$A$1004,$A91,'資格研修記録'!$D$5:$D$1004,E$4,'資格研修記録'!$F$5:$F$1004,"&gt;="&amp;TODAY())&gt;0,"○","× 期限切れ"))))</f>
        <v/>
      </c>
      <c r="F91" s="15">
        <f>IF(OR($A91="",F$4=""),"",IF(AND(F$4="小型船舶2級",(COUNTIFS('資格研修記録'!$A$5:$A$1004,$A91,'資格研修記録'!$D$5:$D$1004,"小型船舶1級",'資格研修記録'!$F$5:$F$1004,"")+COUNTIFS('資格研修記録'!$A$5:$A$1004,$A91,'資格研修記録'!$D$5:$D$1004,"小型船舶1級",'資格研修記録'!$F$5:$F$1004,"&gt;="&amp;TODAY()))&gt;0),"1級に含む",IF(COUNTIFS('資格研修記録'!$A$5:$A$1004,$A91,'資格研修記録'!$D$5:$D$1004,F$4)=0,"—",IF(COUNTIFS('資格研修記録'!$A$5:$A$1004,$A91,'資格研修記録'!$D$5:$D$1004,F$4,'資格研修記録'!$F$5:$F$1004,"")+COUNTIFS('資格研修記録'!$A$5:$A$1004,$A91,'資格研修記録'!$D$5:$D$1004,F$4,'資格研修記録'!$F$5:$F$1004,"&gt;="&amp;TODAY())&gt;0,"○","× 期限切れ"))))</f>
        <v/>
      </c>
      <c r="G91" s="15">
        <f>IF(OR($A91="",G$4=""),"",IF(AND(G$4="小型船舶2級",(COUNTIFS('資格研修記録'!$A$5:$A$1004,$A91,'資格研修記録'!$D$5:$D$1004,"小型船舶1級",'資格研修記録'!$F$5:$F$1004,"")+COUNTIFS('資格研修記録'!$A$5:$A$1004,$A91,'資格研修記録'!$D$5:$D$1004,"小型船舶1級",'資格研修記録'!$F$5:$F$1004,"&gt;="&amp;TODAY()))&gt;0),"1級に含む",IF(COUNTIFS('資格研修記録'!$A$5:$A$1004,$A91,'資格研修記録'!$D$5:$D$1004,G$4)=0,"—",IF(COUNTIFS('資格研修記録'!$A$5:$A$1004,$A91,'資格研修記録'!$D$5:$D$1004,G$4,'資格研修記録'!$F$5:$F$1004,"")+COUNTIFS('資格研修記録'!$A$5:$A$1004,$A91,'資格研修記録'!$D$5:$D$1004,G$4,'資格研修記録'!$F$5:$F$1004,"&gt;="&amp;TODAY())&gt;0,"○","× 期限切れ"))))</f>
        <v/>
      </c>
      <c r="H91" s="15">
        <f>IF(OR($A91="",H$4=""),"",IF(AND(H$4="小型船舶2級",(COUNTIFS('資格研修記録'!$A$5:$A$1004,$A91,'資格研修記録'!$D$5:$D$1004,"小型船舶1級",'資格研修記録'!$F$5:$F$1004,"")+COUNTIFS('資格研修記録'!$A$5:$A$1004,$A91,'資格研修記録'!$D$5:$D$1004,"小型船舶1級",'資格研修記録'!$F$5:$F$1004,"&gt;="&amp;TODAY()))&gt;0),"1級に含む",IF(COUNTIFS('資格研修記録'!$A$5:$A$1004,$A91,'資格研修記録'!$D$5:$D$1004,H$4)=0,"—",IF(COUNTIFS('資格研修記録'!$A$5:$A$1004,$A91,'資格研修記録'!$D$5:$D$1004,H$4,'資格研修記録'!$F$5:$F$1004,"")+COUNTIFS('資格研修記録'!$A$5:$A$1004,$A91,'資格研修記録'!$D$5:$D$1004,H$4,'資格研修記録'!$F$5:$F$1004,"&gt;="&amp;TODAY())&gt;0,"○","× 期限切れ"))))</f>
        <v/>
      </c>
      <c r="I91" s="15">
        <f>IF(OR($A91="",I$4=""),"",IF(AND(I$4="小型船舶2級",(COUNTIFS('資格研修記録'!$A$5:$A$1004,$A91,'資格研修記録'!$D$5:$D$1004,"小型船舶1級",'資格研修記録'!$F$5:$F$1004,"")+COUNTIFS('資格研修記録'!$A$5:$A$1004,$A91,'資格研修記録'!$D$5:$D$1004,"小型船舶1級",'資格研修記録'!$F$5:$F$1004,"&gt;="&amp;TODAY()))&gt;0),"1級に含む",IF(COUNTIFS('資格研修記録'!$A$5:$A$1004,$A91,'資格研修記録'!$D$5:$D$1004,I$4)=0,"—",IF(COUNTIFS('資格研修記録'!$A$5:$A$1004,$A91,'資格研修記録'!$D$5:$D$1004,I$4,'資格研修記録'!$F$5:$F$1004,"")+COUNTIFS('資格研修記録'!$A$5:$A$1004,$A91,'資格研修記録'!$D$5:$D$1004,I$4,'資格研修記録'!$F$5:$F$1004,"&gt;="&amp;TODAY())&gt;0,"○","× 期限切れ"))))</f>
        <v/>
      </c>
      <c r="J91" s="15">
        <f>IF(OR($A91="",J$4=""),"",IF(AND(J$4="小型船舶2級",(COUNTIFS('資格研修記録'!$A$5:$A$1004,$A91,'資格研修記録'!$D$5:$D$1004,"小型船舶1級",'資格研修記録'!$F$5:$F$1004,"")+COUNTIFS('資格研修記録'!$A$5:$A$1004,$A91,'資格研修記録'!$D$5:$D$1004,"小型船舶1級",'資格研修記録'!$F$5:$F$1004,"&gt;="&amp;TODAY()))&gt;0),"1級に含む",IF(COUNTIFS('資格研修記録'!$A$5:$A$1004,$A91,'資格研修記録'!$D$5:$D$1004,J$4)=0,"—",IF(COUNTIFS('資格研修記録'!$A$5:$A$1004,$A91,'資格研修記録'!$D$5:$D$1004,J$4,'資格研修記録'!$F$5:$F$1004,"")+COUNTIFS('資格研修記録'!$A$5:$A$1004,$A91,'資格研修記録'!$D$5:$D$1004,J$4,'資格研修記録'!$F$5:$F$1004,"&gt;="&amp;TODAY())&gt;0,"○","× 期限切れ"))))</f>
        <v/>
      </c>
      <c r="K91" s="15">
        <f>IF(OR($A91="",K$4=""),"",IF(AND(K$4="小型船舶2級",(COUNTIFS('資格研修記録'!$A$5:$A$1004,$A91,'資格研修記録'!$D$5:$D$1004,"小型船舶1級",'資格研修記録'!$F$5:$F$1004,"")+COUNTIFS('資格研修記録'!$A$5:$A$1004,$A91,'資格研修記録'!$D$5:$D$1004,"小型船舶1級",'資格研修記録'!$F$5:$F$1004,"&gt;="&amp;TODAY()))&gt;0),"1級に含む",IF(COUNTIFS('資格研修記録'!$A$5:$A$1004,$A91,'資格研修記録'!$D$5:$D$1004,K$4)=0,"—",IF(COUNTIFS('資格研修記録'!$A$5:$A$1004,$A91,'資格研修記録'!$D$5:$D$1004,K$4,'資格研修記録'!$F$5:$F$1004,"")+COUNTIFS('資格研修記録'!$A$5:$A$1004,$A91,'資格研修記録'!$D$5:$D$1004,K$4,'資格研修記録'!$F$5:$F$1004,"&gt;="&amp;TODAY())&gt;0,"○","× 期限切れ"))))</f>
        <v/>
      </c>
      <c r="L91" s="15">
        <f>IF(OR($A91="",L$4=""),"",IF(AND(L$4="小型船舶2級",(COUNTIFS('資格研修記録'!$A$5:$A$1004,$A91,'資格研修記録'!$D$5:$D$1004,"小型船舶1級",'資格研修記録'!$F$5:$F$1004,"")+COUNTIFS('資格研修記録'!$A$5:$A$1004,$A91,'資格研修記録'!$D$5:$D$1004,"小型船舶1級",'資格研修記録'!$F$5:$F$1004,"&gt;="&amp;TODAY()))&gt;0),"1級に含む",IF(COUNTIFS('資格研修記録'!$A$5:$A$1004,$A91,'資格研修記録'!$D$5:$D$1004,L$4)=0,"—",IF(COUNTIFS('資格研修記録'!$A$5:$A$1004,$A91,'資格研修記録'!$D$5:$D$1004,L$4,'資格研修記録'!$F$5:$F$1004,"")+COUNTIFS('資格研修記録'!$A$5:$A$1004,$A91,'資格研修記録'!$D$5:$D$1004,L$4,'資格研修記録'!$F$5:$F$1004,"&gt;="&amp;TODAY())&gt;0,"○","× 期限切れ"))))</f>
        <v/>
      </c>
    </row>
    <row r="92">
      <c r="A92" s="14">
        <f>IF('隊員マスタ'!A92="","",'隊員マスタ'!A92)</f>
        <v/>
      </c>
      <c r="B92" s="14">
        <f>IF(A92="","",'隊員マスタ'!B92)</f>
        <v/>
      </c>
      <c r="C92" s="14">
        <f>IF(A92="","",'隊員マスタ'!C92)</f>
        <v/>
      </c>
      <c r="D92" s="15">
        <f>IF(A92="","",'隊員マスタ'!D92)</f>
        <v/>
      </c>
      <c r="E92" s="15">
        <f>IF(OR($A92="",E$4=""),"",IF(AND(E$4="小型船舶2級",(COUNTIFS('資格研修記録'!$A$5:$A$1004,$A92,'資格研修記録'!$D$5:$D$1004,"小型船舶1級",'資格研修記録'!$F$5:$F$1004,"")+COUNTIFS('資格研修記録'!$A$5:$A$1004,$A92,'資格研修記録'!$D$5:$D$1004,"小型船舶1級",'資格研修記録'!$F$5:$F$1004,"&gt;="&amp;TODAY()))&gt;0),"1級に含む",IF(COUNTIFS('資格研修記録'!$A$5:$A$1004,$A92,'資格研修記録'!$D$5:$D$1004,E$4)=0,"—",IF(COUNTIFS('資格研修記録'!$A$5:$A$1004,$A92,'資格研修記録'!$D$5:$D$1004,E$4,'資格研修記録'!$F$5:$F$1004,"")+COUNTIFS('資格研修記録'!$A$5:$A$1004,$A92,'資格研修記録'!$D$5:$D$1004,E$4,'資格研修記録'!$F$5:$F$1004,"&gt;="&amp;TODAY())&gt;0,"○","× 期限切れ"))))</f>
        <v/>
      </c>
      <c r="F92" s="15">
        <f>IF(OR($A92="",F$4=""),"",IF(AND(F$4="小型船舶2級",(COUNTIFS('資格研修記録'!$A$5:$A$1004,$A92,'資格研修記録'!$D$5:$D$1004,"小型船舶1級",'資格研修記録'!$F$5:$F$1004,"")+COUNTIFS('資格研修記録'!$A$5:$A$1004,$A92,'資格研修記録'!$D$5:$D$1004,"小型船舶1級",'資格研修記録'!$F$5:$F$1004,"&gt;="&amp;TODAY()))&gt;0),"1級に含む",IF(COUNTIFS('資格研修記録'!$A$5:$A$1004,$A92,'資格研修記録'!$D$5:$D$1004,F$4)=0,"—",IF(COUNTIFS('資格研修記録'!$A$5:$A$1004,$A92,'資格研修記録'!$D$5:$D$1004,F$4,'資格研修記録'!$F$5:$F$1004,"")+COUNTIFS('資格研修記録'!$A$5:$A$1004,$A92,'資格研修記録'!$D$5:$D$1004,F$4,'資格研修記録'!$F$5:$F$1004,"&gt;="&amp;TODAY())&gt;0,"○","× 期限切れ"))))</f>
        <v/>
      </c>
      <c r="G92" s="15">
        <f>IF(OR($A92="",G$4=""),"",IF(AND(G$4="小型船舶2級",(COUNTIFS('資格研修記録'!$A$5:$A$1004,$A92,'資格研修記録'!$D$5:$D$1004,"小型船舶1級",'資格研修記録'!$F$5:$F$1004,"")+COUNTIFS('資格研修記録'!$A$5:$A$1004,$A92,'資格研修記録'!$D$5:$D$1004,"小型船舶1級",'資格研修記録'!$F$5:$F$1004,"&gt;="&amp;TODAY()))&gt;0),"1級に含む",IF(COUNTIFS('資格研修記録'!$A$5:$A$1004,$A92,'資格研修記録'!$D$5:$D$1004,G$4)=0,"—",IF(COUNTIFS('資格研修記録'!$A$5:$A$1004,$A92,'資格研修記録'!$D$5:$D$1004,G$4,'資格研修記録'!$F$5:$F$1004,"")+COUNTIFS('資格研修記録'!$A$5:$A$1004,$A92,'資格研修記録'!$D$5:$D$1004,G$4,'資格研修記録'!$F$5:$F$1004,"&gt;="&amp;TODAY())&gt;0,"○","× 期限切れ"))))</f>
        <v/>
      </c>
      <c r="H92" s="15">
        <f>IF(OR($A92="",H$4=""),"",IF(AND(H$4="小型船舶2級",(COUNTIFS('資格研修記録'!$A$5:$A$1004,$A92,'資格研修記録'!$D$5:$D$1004,"小型船舶1級",'資格研修記録'!$F$5:$F$1004,"")+COUNTIFS('資格研修記録'!$A$5:$A$1004,$A92,'資格研修記録'!$D$5:$D$1004,"小型船舶1級",'資格研修記録'!$F$5:$F$1004,"&gt;="&amp;TODAY()))&gt;0),"1級に含む",IF(COUNTIFS('資格研修記録'!$A$5:$A$1004,$A92,'資格研修記録'!$D$5:$D$1004,H$4)=0,"—",IF(COUNTIFS('資格研修記録'!$A$5:$A$1004,$A92,'資格研修記録'!$D$5:$D$1004,H$4,'資格研修記録'!$F$5:$F$1004,"")+COUNTIFS('資格研修記録'!$A$5:$A$1004,$A92,'資格研修記録'!$D$5:$D$1004,H$4,'資格研修記録'!$F$5:$F$1004,"&gt;="&amp;TODAY())&gt;0,"○","× 期限切れ"))))</f>
        <v/>
      </c>
      <c r="I92" s="15">
        <f>IF(OR($A92="",I$4=""),"",IF(AND(I$4="小型船舶2級",(COUNTIFS('資格研修記録'!$A$5:$A$1004,$A92,'資格研修記録'!$D$5:$D$1004,"小型船舶1級",'資格研修記録'!$F$5:$F$1004,"")+COUNTIFS('資格研修記録'!$A$5:$A$1004,$A92,'資格研修記録'!$D$5:$D$1004,"小型船舶1級",'資格研修記録'!$F$5:$F$1004,"&gt;="&amp;TODAY()))&gt;0),"1級に含む",IF(COUNTIFS('資格研修記録'!$A$5:$A$1004,$A92,'資格研修記録'!$D$5:$D$1004,I$4)=0,"—",IF(COUNTIFS('資格研修記録'!$A$5:$A$1004,$A92,'資格研修記録'!$D$5:$D$1004,I$4,'資格研修記録'!$F$5:$F$1004,"")+COUNTIFS('資格研修記録'!$A$5:$A$1004,$A92,'資格研修記録'!$D$5:$D$1004,I$4,'資格研修記録'!$F$5:$F$1004,"&gt;="&amp;TODAY())&gt;0,"○","× 期限切れ"))))</f>
        <v/>
      </c>
      <c r="J92" s="15">
        <f>IF(OR($A92="",J$4=""),"",IF(AND(J$4="小型船舶2級",(COUNTIFS('資格研修記録'!$A$5:$A$1004,$A92,'資格研修記録'!$D$5:$D$1004,"小型船舶1級",'資格研修記録'!$F$5:$F$1004,"")+COUNTIFS('資格研修記録'!$A$5:$A$1004,$A92,'資格研修記録'!$D$5:$D$1004,"小型船舶1級",'資格研修記録'!$F$5:$F$1004,"&gt;="&amp;TODAY()))&gt;0),"1級に含む",IF(COUNTIFS('資格研修記録'!$A$5:$A$1004,$A92,'資格研修記録'!$D$5:$D$1004,J$4)=0,"—",IF(COUNTIFS('資格研修記録'!$A$5:$A$1004,$A92,'資格研修記録'!$D$5:$D$1004,J$4,'資格研修記録'!$F$5:$F$1004,"")+COUNTIFS('資格研修記録'!$A$5:$A$1004,$A92,'資格研修記録'!$D$5:$D$1004,J$4,'資格研修記録'!$F$5:$F$1004,"&gt;="&amp;TODAY())&gt;0,"○","× 期限切れ"))))</f>
        <v/>
      </c>
      <c r="K92" s="15">
        <f>IF(OR($A92="",K$4=""),"",IF(AND(K$4="小型船舶2級",(COUNTIFS('資格研修記録'!$A$5:$A$1004,$A92,'資格研修記録'!$D$5:$D$1004,"小型船舶1級",'資格研修記録'!$F$5:$F$1004,"")+COUNTIFS('資格研修記録'!$A$5:$A$1004,$A92,'資格研修記録'!$D$5:$D$1004,"小型船舶1級",'資格研修記録'!$F$5:$F$1004,"&gt;="&amp;TODAY()))&gt;0),"1級に含む",IF(COUNTIFS('資格研修記録'!$A$5:$A$1004,$A92,'資格研修記録'!$D$5:$D$1004,K$4)=0,"—",IF(COUNTIFS('資格研修記録'!$A$5:$A$1004,$A92,'資格研修記録'!$D$5:$D$1004,K$4,'資格研修記録'!$F$5:$F$1004,"")+COUNTIFS('資格研修記録'!$A$5:$A$1004,$A92,'資格研修記録'!$D$5:$D$1004,K$4,'資格研修記録'!$F$5:$F$1004,"&gt;="&amp;TODAY())&gt;0,"○","× 期限切れ"))))</f>
        <v/>
      </c>
      <c r="L92" s="15">
        <f>IF(OR($A92="",L$4=""),"",IF(AND(L$4="小型船舶2級",(COUNTIFS('資格研修記録'!$A$5:$A$1004,$A92,'資格研修記録'!$D$5:$D$1004,"小型船舶1級",'資格研修記録'!$F$5:$F$1004,"")+COUNTIFS('資格研修記録'!$A$5:$A$1004,$A92,'資格研修記録'!$D$5:$D$1004,"小型船舶1級",'資格研修記録'!$F$5:$F$1004,"&gt;="&amp;TODAY()))&gt;0),"1級に含む",IF(COUNTIFS('資格研修記録'!$A$5:$A$1004,$A92,'資格研修記録'!$D$5:$D$1004,L$4)=0,"—",IF(COUNTIFS('資格研修記録'!$A$5:$A$1004,$A92,'資格研修記録'!$D$5:$D$1004,L$4,'資格研修記録'!$F$5:$F$1004,"")+COUNTIFS('資格研修記録'!$A$5:$A$1004,$A92,'資格研修記録'!$D$5:$D$1004,L$4,'資格研修記録'!$F$5:$F$1004,"&gt;="&amp;TODAY())&gt;0,"○","× 期限切れ"))))</f>
        <v/>
      </c>
    </row>
    <row r="93">
      <c r="A93" s="14">
        <f>IF('隊員マスタ'!A93="","",'隊員マスタ'!A93)</f>
        <v/>
      </c>
      <c r="B93" s="14">
        <f>IF(A93="","",'隊員マスタ'!B93)</f>
        <v/>
      </c>
      <c r="C93" s="14">
        <f>IF(A93="","",'隊員マスタ'!C93)</f>
        <v/>
      </c>
      <c r="D93" s="15">
        <f>IF(A93="","",'隊員マスタ'!D93)</f>
        <v/>
      </c>
      <c r="E93" s="15">
        <f>IF(OR($A93="",E$4=""),"",IF(AND(E$4="小型船舶2級",(COUNTIFS('資格研修記録'!$A$5:$A$1004,$A93,'資格研修記録'!$D$5:$D$1004,"小型船舶1級",'資格研修記録'!$F$5:$F$1004,"")+COUNTIFS('資格研修記録'!$A$5:$A$1004,$A93,'資格研修記録'!$D$5:$D$1004,"小型船舶1級",'資格研修記録'!$F$5:$F$1004,"&gt;="&amp;TODAY()))&gt;0),"1級に含む",IF(COUNTIFS('資格研修記録'!$A$5:$A$1004,$A93,'資格研修記録'!$D$5:$D$1004,E$4)=0,"—",IF(COUNTIFS('資格研修記録'!$A$5:$A$1004,$A93,'資格研修記録'!$D$5:$D$1004,E$4,'資格研修記録'!$F$5:$F$1004,"")+COUNTIFS('資格研修記録'!$A$5:$A$1004,$A93,'資格研修記録'!$D$5:$D$1004,E$4,'資格研修記録'!$F$5:$F$1004,"&gt;="&amp;TODAY())&gt;0,"○","× 期限切れ"))))</f>
        <v/>
      </c>
      <c r="F93" s="15">
        <f>IF(OR($A93="",F$4=""),"",IF(AND(F$4="小型船舶2級",(COUNTIFS('資格研修記録'!$A$5:$A$1004,$A93,'資格研修記録'!$D$5:$D$1004,"小型船舶1級",'資格研修記録'!$F$5:$F$1004,"")+COUNTIFS('資格研修記録'!$A$5:$A$1004,$A93,'資格研修記録'!$D$5:$D$1004,"小型船舶1級",'資格研修記録'!$F$5:$F$1004,"&gt;="&amp;TODAY()))&gt;0),"1級に含む",IF(COUNTIFS('資格研修記録'!$A$5:$A$1004,$A93,'資格研修記録'!$D$5:$D$1004,F$4)=0,"—",IF(COUNTIFS('資格研修記録'!$A$5:$A$1004,$A93,'資格研修記録'!$D$5:$D$1004,F$4,'資格研修記録'!$F$5:$F$1004,"")+COUNTIFS('資格研修記録'!$A$5:$A$1004,$A93,'資格研修記録'!$D$5:$D$1004,F$4,'資格研修記録'!$F$5:$F$1004,"&gt;="&amp;TODAY())&gt;0,"○","× 期限切れ"))))</f>
        <v/>
      </c>
      <c r="G93" s="15">
        <f>IF(OR($A93="",G$4=""),"",IF(AND(G$4="小型船舶2級",(COUNTIFS('資格研修記録'!$A$5:$A$1004,$A93,'資格研修記録'!$D$5:$D$1004,"小型船舶1級",'資格研修記録'!$F$5:$F$1004,"")+COUNTIFS('資格研修記録'!$A$5:$A$1004,$A93,'資格研修記録'!$D$5:$D$1004,"小型船舶1級",'資格研修記録'!$F$5:$F$1004,"&gt;="&amp;TODAY()))&gt;0),"1級に含む",IF(COUNTIFS('資格研修記録'!$A$5:$A$1004,$A93,'資格研修記録'!$D$5:$D$1004,G$4)=0,"—",IF(COUNTIFS('資格研修記録'!$A$5:$A$1004,$A93,'資格研修記録'!$D$5:$D$1004,G$4,'資格研修記録'!$F$5:$F$1004,"")+COUNTIFS('資格研修記録'!$A$5:$A$1004,$A93,'資格研修記録'!$D$5:$D$1004,G$4,'資格研修記録'!$F$5:$F$1004,"&gt;="&amp;TODAY())&gt;0,"○","× 期限切れ"))))</f>
        <v/>
      </c>
      <c r="H93" s="15">
        <f>IF(OR($A93="",H$4=""),"",IF(AND(H$4="小型船舶2級",(COUNTIFS('資格研修記録'!$A$5:$A$1004,$A93,'資格研修記録'!$D$5:$D$1004,"小型船舶1級",'資格研修記録'!$F$5:$F$1004,"")+COUNTIFS('資格研修記録'!$A$5:$A$1004,$A93,'資格研修記録'!$D$5:$D$1004,"小型船舶1級",'資格研修記録'!$F$5:$F$1004,"&gt;="&amp;TODAY()))&gt;0),"1級に含む",IF(COUNTIFS('資格研修記録'!$A$5:$A$1004,$A93,'資格研修記録'!$D$5:$D$1004,H$4)=0,"—",IF(COUNTIFS('資格研修記録'!$A$5:$A$1004,$A93,'資格研修記録'!$D$5:$D$1004,H$4,'資格研修記録'!$F$5:$F$1004,"")+COUNTIFS('資格研修記録'!$A$5:$A$1004,$A93,'資格研修記録'!$D$5:$D$1004,H$4,'資格研修記録'!$F$5:$F$1004,"&gt;="&amp;TODAY())&gt;0,"○","× 期限切れ"))))</f>
        <v/>
      </c>
      <c r="I93" s="15">
        <f>IF(OR($A93="",I$4=""),"",IF(AND(I$4="小型船舶2級",(COUNTIFS('資格研修記録'!$A$5:$A$1004,$A93,'資格研修記録'!$D$5:$D$1004,"小型船舶1級",'資格研修記録'!$F$5:$F$1004,"")+COUNTIFS('資格研修記録'!$A$5:$A$1004,$A93,'資格研修記録'!$D$5:$D$1004,"小型船舶1級",'資格研修記録'!$F$5:$F$1004,"&gt;="&amp;TODAY()))&gt;0),"1級に含む",IF(COUNTIFS('資格研修記録'!$A$5:$A$1004,$A93,'資格研修記録'!$D$5:$D$1004,I$4)=0,"—",IF(COUNTIFS('資格研修記録'!$A$5:$A$1004,$A93,'資格研修記録'!$D$5:$D$1004,I$4,'資格研修記録'!$F$5:$F$1004,"")+COUNTIFS('資格研修記録'!$A$5:$A$1004,$A93,'資格研修記録'!$D$5:$D$1004,I$4,'資格研修記録'!$F$5:$F$1004,"&gt;="&amp;TODAY())&gt;0,"○","× 期限切れ"))))</f>
        <v/>
      </c>
      <c r="J93" s="15">
        <f>IF(OR($A93="",J$4=""),"",IF(AND(J$4="小型船舶2級",(COUNTIFS('資格研修記録'!$A$5:$A$1004,$A93,'資格研修記録'!$D$5:$D$1004,"小型船舶1級",'資格研修記録'!$F$5:$F$1004,"")+COUNTIFS('資格研修記録'!$A$5:$A$1004,$A93,'資格研修記録'!$D$5:$D$1004,"小型船舶1級",'資格研修記録'!$F$5:$F$1004,"&gt;="&amp;TODAY()))&gt;0),"1級に含む",IF(COUNTIFS('資格研修記録'!$A$5:$A$1004,$A93,'資格研修記録'!$D$5:$D$1004,J$4)=0,"—",IF(COUNTIFS('資格研修記録'!$A$5:$A$1004,$A93,'資格研修記録'!$D$5:$D$1004,J$4,'資格研修記録'!$F$5:$F$1004,"")+COUNTIFS('資格研修記録'!$A$5:$A$1004,$A93,'資格研修記録'!$D$5:$D$1004,J$4,'資格研修記録'!$F$5:$F$1004,"&gt;="&amp;TODAY())&gt;0,"○","× 期限切れ"))))</f>
        <v/>
      </c>
      <c r="K93" s="15">
        <f>IF(OR($A93="",K$4=""),"",IF(AND(K$4="小型船舶2級",(COUNTIFS('資格研修記録'!$A$5:$A$1004,$A93,'資格研修記録'!$D$5:$D$1004,"小型船舶1級",'資格研修記録'!$F$5:$F$1004,"")+COUNTIFS('資格研修記録'!$A$5:$A$1004,$A93,'資格研修記録'!$D$5:$D$1004,"小型船舶1級",'資格研修記録'!$F$5:$F$1004,"&gt;="&amp;TODAY()))&gt;0),"1級に含む",IF(COUNTIFS('資格研修記録'!$A$5:$A$1004,$A93,'資格研修記録'!$D$5:$D$1004,K$4)=0,"—",IF(COUNTIFS('資格研修記録'!$A$5:$A$1004,$A93,'資格研修記録'!$D$5:$D$1004,K$4,'資格研修記録'!$F$5:$F$1004,"")+COUNTIFS('資格研修記録'!$A$5:$A$1004,$A93,'資格研修記録'!$D$5:$D$1004,K$4,'資格研修記録'!$F$5:$F$1004,"&gt;="&amp;TODAY())&gt;0,"○","× 期限切れ"))))</f>
        <v/>
      </c>
      <c r="L93" s="15">
        <f>IF(OR($A93="",L$4=""),"",IF(AND(L$4="小型船舶2級",(COUNTIFS('資格研修記録'!$A$5:$A$1004,$A93,'資格研修記録'!$D$5:$D$1004,"小型船舶1級",'資格研修記録'!$F$5:$F$1004,"")+COUNTIFS('資格研修記録'!$A$5:$A$1004,$A93,'資格研修記録'!$D$5:$D$1004,"小型船舶1級",'資格研修記録'!$F$5:$F$1004,"&gt;="&amp;TODAY()))&gt;0),"1級に含む",IF(COUNTIFS('資格研修記録'!$A$5:$A$1004,$A93,'資格研修記録'!$D$5:$D$1004,L$4)=0,"—",IF(COUNTIFS('資格研修記録'!$A$5:$A$1004,$A93,'資格研修記録'!$D$5:$D$1004,L$4,'資格研修記録'!$F$5:$F$1004,"")+COUNTIFS('資格研修記録'!$A$5:$A$1004,$A93,'資格研修記録'!$D$5:$D$1004,L$4,'資格研修記録'!$F$5:$F$1004,"&gt;="&amp;TODAY())&gt;0,"○","× 期限切れ"))))</f>
        <v/>
      </c>
    </row>
    <row r="94">
      <c r="A94" s="14">
        <f>IF('隊員マスタ'!A94="","",'隊員マスタ'!A94)</f>
        <v/>
      </c>
      <c r="B94" s="14">
        <f>IF(A94="","",'隊員マスタ'!B94)</f>
        <v/>
      </c>
      <c r="C94" s="14">
        <f>IF(A94="","",'隊員マスタ'!C94)</f>
        <v/>
      </c>
      <c r="D94" s="15">
        <f>IF(A94="","",'隊員マスタ'!D94)</f>
        <v/>
      </c>
      <c r="E94" s="15">
        <f>IF(OR($A94="",E$4=""),"",IF(AND(E$4="小型船舶2級",(COUNTIFS('資格研修記録'!$A$5:$A$1004,$A94,'資格研修記録'!$D$5:$D$1004,"小型船舶1級",'資格研修記録'!$F$5:$F$1004,"")+COUNTIFS('資格研修記録'!$A$5:$A$1004,$A94,'資格研修記録'!$D$5:$D$1004,"小型船舶1級",'資格研修記録'!$F$5:$F$1004,"&gt;="&amp;TODAY()))&gt;0),"1級に含む",IF(COUNTIFS('資格研修記録'!$A$5:$A$1004,$A94,'資格研修記録'!$D$5:$D$1004,E$4)=0,"—",IF(COUNTIFS('資格研修記録'!$A$5:$A$1004,$A94,'資格研修記録'!$D$5:$D$1004,E$4,'資格研修記録'!$F$5:$F$1004,"")+COUNTIFS('資格研修記録'!$A$5:$A$1004,$A94,'資格研修記録'!$D$5:$D$1004,E$4,'資格研修記録'!$F$5:$F$1004,"&gt;="&amp;TODAY())&gt;0,"○","× 期限切れ"))))</f>
        <v/>
      </c>
      <c r="F94" s="15">
        <f>IF(OR($A94="",F$4=""),"",IF(AND(F$4="小型船舶2級",(COUNTIFS('資格研修記録'!$A$5:$A$1004,$A94,'資格研修記録'!$D$5:$D$1004,"小型船舶1級",'資格研修記録'!$F$5:$F$1004,"")+COUNTIFS('資格研修記録'!$A$5:$A$1004,$A94,'資格研修記録'!$D$5:$D$1004,"小型船舶1級",'資格研修記録'!$F$5:$F$1004,"&gt;="&amp;TODAY()))&gt;0),"1級に含む",IF(COUNTIFS('資格研修記録'!$A$5:$A$1004,$A94,'資格研修記録'!$D$5:$D$1004,F$4)=0,"—",IF(COUNTIFS('資格研修記録'!$A$5:$A$1004,$A94,'資格研修記録'!$D$5:$D$1004,F$4,'資格研修記録'!$F$5:$F$1004,"")+COUNTIFS('資格研修記録'!$A$5:$A$1004,$A94,'資格研修記録'!$D$5:$D$1004,F$4,'資格研修記録'!$F$5:$F$1004,"&gt;="&amp;TODAY())&gt;0,"○","× 期限切れ"))))</f>
        <v/>
      </c>
      <c r="G94" s="15">
        <f>IF(OR($A94="",G$4=""),"",IF(AND(G$4="小型船舶2級",(COUNTIFS('資格研修記録'!$A$5:$A$1004,$A94,'資格研修記録'!$D$5:$D$1004,"小型船舶1級",'資格研修記録'!$F$5:$F$1004,"")+COUNTIFS('資格研修記録'!$A$5:$A$1004,$A94,'資格研修記録'!$D$5:$D$1004,"小型船舶1級",'資格研修記録'!$F$5:$F$1004,"&gt;="&amp;TODAY()))&gt;0),"1級に含む",IF(COUNTIFS('資格研修記録'!$A$5:$A$1004,$A94,'資格研修記録'!$D$5:$D$1004,G$4)=0,"—",IF(COUNTIFS('資格研修記録'!$A$5:$A$1004,$A94,'資格研修記録'!$D$5:$D$1004,G$4,'資格研修記録'!$F$5:$F$1004,"")+COUNTIFS('資格研修記録'!$A$5:$A$1004,$A94,'資格研修記録'!$D$5:$D$1004,G$4,'資格研修記録'!$F$5:$F$1004,"&gt;="&amp;TODAY())&gt;0,"○","× 期限切れ"))))</f>
        <v/>
      </c>
      <c r="H94" s="15">
        <f>IF(OR($A94="",H$4=""),"",IF(AND(H$4="小型船舶2級",(COUNTIFS('資格研修記録'!$A$5:$A$1004,$A94,'資格研修記録'!$D$5:$D$1004,"小型船舶1級",'資格研修記録'!$F$5:$F$1004,"")+COUNTIFS('資格研修記録'!$A$5:$A$1004,$A94,'資格研修記録'!$D$5:$D$1004,"小型船舶1級",'資格研修記録'!$F$5:$F$1004,"&gt;="&amp;TODAY()))&gt;0),"1級に含む",IF(COUNTIFS('資格研修記録'!$A$5:$A$1004,$A94,'資格研修記録'!$D$5:$D$1004,H$4)=0,"—",IF(COUNTIFS('資格研修記録'!$A$5:$A$1004,$A94,'資格研修記録'!$D$5:$D$1004,H$4,'資格研修記録'!$F$5:$F$1004,"")+COUNTIFS('資格研修記録'!$A$5:$A$1004,$A94,'資格研修記録'!$D$5:$D$1004,H$4,'資格研修記録'!$F$5:$F$1004,"&gt;="&amp;TODAY())&gt;0,"○","× 期限切れ"))))</f>
        <v/>
      </c>
      <c r="I94" s="15">
        <f>IF(OR($A94="",I$4=""),"",IF(AND(I$4="小型船舶2級",(COUNTIFS('資格研修記録'!$A$5:$A$1004,$A94,'資格研修記録'!$D$5:$D$1004,"小型船舶1級",'資格研修記録'!$F$5:$F$1004,"")+COUNTIFS('資格研修記録'!$A$5:$A$1004,$A94,'資格研修記録'!$D$5:$D$1004,"小型船舶1級",'資格研修記録'!$F$5:$F$1004,"&gt;="&amp;TODAY()))&gt;0),"1級に含む",IF(COUNTIFS('資格研修記録'!$A$5:$A$1004,$A94,'資格研修記録'!$D$5:$D$1004,I$4)=0,"—",IF(COUNTIFS('資格研修記録'!$A$5:$A$1004,$A94,'資格研修記録'!$D$5:$D$1004,I$4,'資格研修記録'!$F$5:$F$1004,"")+COUNTIFS('資格研修記録'!$A$5:$A$1004,$A94,'資格研修記録'!$D$5:$D$1004,I$4,'資格研修記録'!$F$5:$F$1004,"&gt;="&amp;TODAY())&gt;0,"○","× 期限切れ"))))</f>
        <v/>
      </c>
      <c r="J94" s="15">
        <f>IF(OR($A94="",J$4=""),"",IF(AND(J$4="小型船舶2級",(COUNTIFS('資格研修記録'!$A$5:$A$1004,$A94,'資格研修記録'!$D$5:$D$1004,"小型船舶1級",'資格研修記録'!$F$5:$F$1004,"")+COUNTIFS('資格研修記録'!$A$5:$A$1004,$A94,'資格研修記録'!$D$5:$D$1004,"小型船舶1級",'資格研修記録'!$F$5:$F$1004,"&gt;="&amp;TODAY()))&gt;0),"1級に含む",IF(COUNTIFS('資格研修記録'!$A$5:$A$1004,$A94,'資格研修記録'!$D$5:$D$1004,J$4)=0,"—",IF(COUNTIFS('資格研修記録'!$A$5:$A$1004,$A94,'資格研修記録'!$D$5:$D$1004,J$4,'資格研修記録'!$F$5:$F$1004,"")+COUNTIFS('資格研修記録'!$A$5:$A$1004,$A94,'資格研修記録'!$D$5:$D$1004,J$4,'資格研修記録'!$F$5:$F$1004,"&gt;="&amp;TODAY())&gt;0,"○","× 期限切れ"))))</f>
        <v/>
      </c>
      <c r="K94" s="15">
        <f>IF(OR($A94="",K$4=""),"",IF(AND(K$4="小型船舶2級",(COUNTIFS('資格研修記録'!$A$5:$A$1004,$A94,'資格研修記録'!$D$5:$D$1004,"小型船舶1級",'資格研修記録'!$F$5:$F$1004,"")+COUNTIFS('資格研修記録'!$A$5:$A$1004,$A94,'資格研修記録'!$D$5:$D$1004,"小型船舶1級",'資格研修記録'!$F$5:$F$1004,"&gt;="&amp;TODAY()))&gt;0),"1級に含む",IF(COUNTIFS('資格研修記録'!$A$5:$A$1004,$A94,'資格研修記録'!$D$5:$D$1004,K$4)=0,"—",IF(COUNTIFS('資格研修記録'!$A$5:$A$1004,$A94,'資格研修記録'!$D$5:$D$1004,K$4,'資格研修記録'!$F$5:$F$1004,"")+COUNTIFS('資格研修記録'!$A$5:$A$1004,$A94,'資格研修記録'!$D$5:$D$1004,K$4,'資格研修記録'!$F$5:$F$1004,"&gt;="&amp;TODAY())&gt;0,"○","× 期限切れ"))))</f>
        <v/>
      </c>
      <c r="L94" s="15">
        <f>IF(OR($A94="",L$4=""),"",IF(AND(L$4="小型船舶2級",(COUNTIFS('資格研修記録'!$A$5:$A$1004,$A94,'資格研修記録'!$D$5:$D$1004,"小型船舶1級",'資格研修記録'!$F$5:$F$1004,"")+COUNTIFS('資格研修記録'!$A$5:$A$1004,$A94,'資格研修記録'!$D$5:$D$1004,"小型船舶1級",'資格研修記録'!$F$5:$F$1004,"&gt;="&amp;TODAY()))&gt;0),"1級に含む",IF(COUNTIFS('資格研修記録'!$A$5:$A$1004,$A94,'資格研修記録'!$D$5:$D$1004,L$4)=0,"—",IF(COUNTIFS('資格研修記録'!$A$5:$A$1004,$A94,'資格研修記録'!$D$5:$D$1004,L$4,'資格研修記録'!$F$5:$F$1004,"")+COUNTIFS('資格研修記録'!$A$5:$A$1004,$A94,'資格研修記録'!$D$5:$D$1004,L$4,'資格研修記録'!$F$5:$F$1004,"&gt;="&amp;TODAY())&gt;0,"○","× 期限切れ"))))</f>
        <v/>
      </c>
    </row>
    <row r="95">
      <c r="A95" s="14">
        <f>IF('隊員マスタ'!A95="","",'隊員マスタ'!A95)</f>
        <v/>
      </c>
      <c r="B95" s="14">
        <f>IF(A95="","",'隊員マスタ'!B95)</f>
        <v/>
      </c>
      <c r="C95" s="14">
        <f>IF(A95="","",'隊員マスタ'!C95)</f>
        <v/>
      </c>
      <c r="D95" s="15">
        <f>IF(A95="","",'隊員マスタ'!D95)</f>
        <v/>
      </c>
      <c r="E95" s="15">
        <f>IF(OR($A95="",E$4=""),"",IF(AND(E$4="小型船舶2級",(COUNTIFS('資格研修記録'!$A$5:$A$1004,$A95,'資格研修記録'!$D$5:$D$1004,"小型船舶1級",'資格研修記録'!$F$5:$F$1004,"")+COUNTIFS('資格研修記録'!$A$5:$A$1004,$A95,'資格研修記録'!$D$5:$D$1004,"小型船舶1級",'資格研修記録'!$F$5:$F$1004,"&gt;="&amp;TODAY()))&gt;0),"1級に含む",IF(COUNTIFS('資格研修記録'!$A$5:$A$1004,$A95,'資格研修記録'!$D$5:$D$1004,E$4)=0,"—",IF(COUNTIFS('資格研修記録'!$A$5:$A$1004,$A95,'資格研修記録'!$D$5:$D$1004,E$4,'資格研修記録'!$F$5:$F$1004,"")+COUNTIFS('資格研修記録'!$A$5:$A$1004,$A95,'資格研修記録'!$D$5:$D$1004,E$4,'資格研修記録'!$F$5:$F$1004,"&gt;="&amp;TODAY())&gt;0,"○","× 期限切れ"))))</f>
        <v/>
      </c>
      <c r="F95" s="15">
        <f>IF(OR($A95="",F$4=""),"",IF(AND(F$4="小型船舶2級",(COUNTIFS('資格研修記録'!$A$5:$A$1004,$A95,'資格研修記録'!$D$5:$D$1004,"小型船舶1級",'資格研修記録'!$F$5:$F$1004,"")+COUNTIFS('資格研修記録'!$A$5:$A$1004,$A95,'資格研修記録'!$D$5:$D$1004,"小型船舶1級",'資格研修記録'!$F$5:$F$1004,"&gt;="&amp;TODAY()))&gt;0),"1級に含む",IF(COUNTIFS('資格研修記録'!$A$5:$A$1004,$A95,'資格研修記録'!$D$5:$D$1004,F$4)=0,"—",IF(COUNTIFS('資格研修記録'!$A$5:$A$1004,$A95,'資格研修記録'!$D$5:$D$1004,F$4,'資格研修記録'!$F$5:$F$1004,"")+COUNTIFS('資格研修記録'!$A$5:$A$1004,$A95,'資格研修記録'!$D$5:$D$1004,F$4,'資格研修記録'!$F$5:$F$1004,"&gt;="&amp;TODAY())&gt;0,"○","× 期限切れ"))))</f>
        <v/>
      </c>
      <c r="G95" s="15">
        <f>IF(OR($A95="",G$4=""),"",IF(AND(G$4="小型船舶2級",(COUNTIFS('資格研修記録'!$A$5:$A$1004,$A95,'資格研修記録'!$D$5:$D$1004,"小型船舶1級",'資格研修記録'!$F$5:$F$1004,"")+COUNTIFS('資格研修記録'!$A$5:$A$1004,$A95,'資格研修記録'!$D$5:$D$1004,"小型船舶1級",'資格研修記録'!$F$5:$F$1004,"&gt;="&amp;TODAY()))&gt;0),"1級に含む",IF(COUNTIFS('資格研修記録'!$A$5:$A$1004,$A95,'資格研修記録'!$D$5:$D$1004,G$4)=0,"—",IF(COUNTIFS('資格研修記録'!$A$5:$A$1004,$A95,'資格研修記録'!$D$5:$D$1004,G$4,'資格研修記録'!$F$5:$F$1004,"")+COUNTIFS('資格研修記録'!$A$5:$A$1004,$A95,'資格研修記録'!$D$5:$D$1004,G$4,'資格研修記録'!$F$5:$F$1004,"&gt;="&amp;TODAY())&gt;0,"○","× 期限切れ"))))</f>
        <v/>
      </c>
      <c r="H95" s="15">
        <f>IF(OR($A95="",H$4=""),"",IF(AND(H$4="小型船舶2級",(COUNTIFS('資格研修記録'!$A$5:$A$1004,$A95,'資格研修記録'!$D$5:$D$1004,"小型船舶1級",'資格研修記録'!$F$5:$F$1004,"")+COUNTIFS('資格研修記録'!$A$5:$A$1004,$A95,'資格研修記録'!$D$5:$D$1004,"小型船舶1級",'資格研修記録'!$F$5:$F$1004,"&gt;="&amp;TODAY()))&gt;0),"1級に含む",IF(COUNTIFS('資格研修記録'!$A$5:$A$1004,$A95,'資格研修記録'!$D$5:$D$1004,H$4)=0,"—",IF(COUNTIFS('資格研修記録'!$A$5:$A$1004,$A95,'資格研修記録'!$D$5:$D$1004,H$4,'資格研修記録'!$F$5:$F$1004,"")+COUNTIFS('資格研修記録'!$A$5:$A$1004,$A95,'資格研修記録'!$D$5:$D$1004,H$4,'資格研修記録'!$F$5:$F$1004,"&gt;="&amp;TODAY())&gt;0,"○","× 期限切れ"))))</f>
        <v/>
      </c>
      <c r="I95" s="15">
        <f>IF(OR($A95="",I$4=""),"",IF(AND(I$4="小型船舶2級",(COUNTIFS('資格研修記録'!$A$5:$A$1004,$A95,'資格研修記録'!$D$5:$D$1004,"小型船舶1級",'資格研修記録'!$F$5:$F$1004,"")+COUNTIFS('資格研修記録'!$A$5:$A$1004,$A95,'資格研修記録'!$D$5:$D$1004,"小型船舶1級",'資格研修記録'!$F$5:$F$1004,"&gt;="&amp;TODAY()))&gt;0),"1級に含む",IF(COUNTIFS('資格研修記録'!$A$5:$A$1004,$A95,'資格研修記録'!$D$5:$D$1004,I$4)=0,"—",IF(COUNTIFS('資格研修記録'!$A$5:$A$1004,$A95,'資格研修記録'!$D$5:$D$1004,I$4,'資格研修記録'!$F$5:$F$1004,"")+COUNTIFS('資格研修記録'!$A$5:$A$1004,$A95,'資格研修記録'!$D$5:$D$1004,I$4,'資格研修記録'!$F$5:$F$1004,"&gt;="&amp;TODAY())&gt;0,"○","× 期限切れ"))))</f>
        <v/>
      </c>
      <c r="J95" s="15">
        <f>IF(OR($A95="",J$4=""),"",IF(AND(J$4="小型船舶2級",(COUNTIFS('資格研修記録'!$A$5:$A$1004,$A95,'資格研修記録'!$D$5:$D$1004,"小型船舶1級",'資格研修記録'!$F$5:$F$1004,"")+COUNTIFS('資格研修記録'!$A$5:$A$1004,$A95,'資格研修記録'!$D$5:$D$1004,"小型船舶1級",'資格研修記録'!$F$5:$F$1004,"&gt;="&amp;TODAY()))&gt;0),"1級に含む",IF(COUNTIFS('資格研修記録'!$A$5:$A$1004,$A95,'資格研修記録'!$D$5:$D$1004,J$4)=0,"—",IF(COUNTIFS('資格研修記録'!$A$5:$A$1004,$A95,'資格研修記録'!$D$5:$D$1004,J$4,'資格研修記録'!$F$5:$F$1004,"")+COUNTIFS('資格研修記録'!$A$5:$A$1004,$A95,'資格研修記録'!$D$5:$D$1004,J$4,'資格研修記録'!$F$5:$F$1004,"&gt;="&amp;TODAY())&gt;0,"○","× 期限切れ"))))</f>
        <v/>
      </c>
      <c r="K95" s="15">
        <f>IF(OR($A95="",K$4=""),"",IF(AND(K$4="小型船舶2級",(COUNTIFS('資格研修記録'!$A$5:$A$1004,$A95,'資格研修記録'!$D$5:$D$1004,"小型船舶1級",'資格研修記録'!$F$5:$F$1004,"")+COUNTIFS('資格研修記録'!$A$5:$A$1004,$A95,'資格研修記録'!$D$5:$D$1004,"小型船舶1級",'資格研修記録'!$F$5:$F$1004,"&gt;="&amp;TODAY()))&gt;0),"1級に含む",IF(COUNTIFS('資格研修記録'!$A$5:$A$1004,$A95,'資格研修記録'!$D$5:$D$1004,K$4)=0,"—",IF(COUNTIFS('資格研修記録'!$A$5:$A$1004,$A95,'資格研修記録'!$D$5:$D$1004,K$4,'資格研修記録'!$F$5:$F$1004,"")+COUNTIFS('資格研修記録'!$A$5:$A$1004,$A95,'資格研修記録'!$D$5:$D$1004,K$4,'資格研修記録'!$F$5:$F$1004,"&gt;="&amp;TODAY())&gt;0,"○","× 期限切れ"))))</f>
        <v/>
      </c>
      <c r="L95" s="15">
        <f>IF(OR($A95="",L$4=""),"",IF(AND(L$4="小型船舶2級",(COUNTIFS('資格研修記録'!$A$5:$A$1004,$A95,'資格研修記録'!$D$5:$D$1004,"小型船舶1級",'資格研修記録'!$F$5:$F$1004,"")+COUNTIFS('資格研修記録'!$A$5:$A$1004,$A95,'資格研修記録'!$D$5:$D$1004,"小型船舶1級",'資格研修記録'!$F$5:$F$1004,"&gt;="&amp;TODAY()))&gt;0),"1級に含む",IF(COUNTIFS('資格研修記録'!$A$5:$A$1004,$A95,'資格研修記録'!$D$5:$D$1004,L$4)=0,"—",IF(COUNTIFS('資格研修記録'!$A$5:$A$1004,$A95,'資格研修記録'!$D$5:$D$1004,L$4,'資格研修記録'!$F$5:$F$1004,"")+COUNTIFS('資格研修記録'!$A$5:$A$1004,$A95,'資格研修記録'!$D$5:$D$1004,L$4,'資格研修記録'!$F$5:$F$1004,"&gt;="&amp;TODAY())&gt;0,"○","× 期限切れ"))))</f>
        <v/>
      </c>
    </row>
    <row r="96">
      <c r="A96" s="14">
        <f>IF('隊員マスタ'!A96="","",'隊員マスタ'!A96)</f>
        <v/>
      </c>
      <c r="B96" s="14">
        <f>IF(A96="","",'隊員マスタ'!B96)</f>
        <v/>
      </c>
      <c r="C96" s="14">
        <f>IF(A96="","",'隊員マスタ'!C96)</f>
        <v/>
      </c>
      <c r="D96" s="15">
        <f>IF(A96="","",'隊員マスタ'!D96)</f>
        <v/>
      </c>
      <c r="E96" s="15">
        <f>IF(OR($A96="",E$4=""),"",IF(AND(E$4="小型船舶2級",(COUNTIFS('資格研修記録'!$A$5:$A$1004,$A96,'資格研修記録'!$D$5:$D$1004,"小型船舶1級",'資格研修記録'!$F$5:$F$1004,"")+COUNTIFS('資格研修記録'!$A$5:$A$1004,$A96,'資格研修記録'!$D$5:$D$1004,"小型船舶1級",'資格研修記録'!$F$5:$F$1004,"&gt;="&amp;TODAY()))&gt;0),"1級に含む",IF(COUNTIFS('資格研修記録'!$A$5:$A$1004,$A96,'資格研修記録'!$D$5:$D$1004,E$4)=0,"—",IF(COUNTIFS('資格研修記録'!$A$5:$A$1004,$A96,'資格研修記録'!$D$5:$D$1004,E$4,'資格研修記録'!$F$5:$F$1004,"")+COUNTIFS('資格研修記録'!$A$5:$A$1004,$A96,'資格研修記録'!$D$5:$D$1004,E$4,'資格研修記録'!$F$5:$F$1004,"&gt;="&amp;TODAY())&gt;0,"○","× 期限切れ"))))</f>
        <v/>
      </c>
      <c r="F96" s="15">
        <f>IF(OR($A96="",F$4=""),"",IF(AND(F$4="小型船舶2級",(COUNTIFS('資格研修記録'!$A$5:$A$1004,$A96,'資格研修記録'!$D$5:$D$1004,"小型船舶1級",'資格研修記録'!$F$5:$F$1004,"")+COUNTIFS('資格研修記録'!$A$5:$A$1004,$A96,'資格研修記録'!$D$5:$D$1004,"小型船舶1級",'資格研修記録'!$F$5:$F$1004,"&gt;="&amp;TODAY()))&gt;0),"1級に含む",IF(COUNTIFS('資格研修記録'!$A$5:$A$1004,$A96,'資格研修記録'!$D$5:$D$1004,F$4)=0,"—",IF(COUNTIFS('資格研修記録'!$A$5:$A$1004,$A96,'資格研修記録'!$D$5:$D$1004,F$4,'資格研修記録'!$F$5:$F$1004,"")+COUNTIFS('資格研修記録'!$A$5:$A$1004,$A96,'資格研修記録'!$D$5:$D$1004,F$4,'資格研修記録'!$F$5:$F$1004,"&gt;="&amp;TODAY())&gt;0,"○","× 期限切れ"))))</f>
        <v/>
      </c>
      <c r="G96" s="15">
        <f>IF(OR($A96="",G$4=""),"",IF(AND(G$4="小型船舶2級",(COUNTIFS('資格研修記録'!$A$5:$A$1004,$A96,'資格研修記録'!$D$5:$D$1004,"小型船舶1級",'資格研修記録'!$F$5:$F$1004,"")+COUNTIFS('資格研修記録'!$A$5:$A$1004,$A96,'資格研修記録'!$D$5:$D$1004,"小型船舶1級",'資格研修記録'!$F$5:$F$1004,"&gt;="&amp;TODAY()))&gt;0),"1級に含む",IF(COUNTIFS('資格研修記録'!$A$5:$A$1004,$A96,'資格研修記録'!$D$5:$D$1004,G$4)=0,"—",IF(COUNTIFS('資格研修記録'!$A$5:$A$1004,$A96,'資格研修記録'!$D$5:$D$1004,G$4,'資格研修記録'!$F$5:$F$1004,"")+COUNTIFS('資格研修記録'!$A$5:$A$1004,$A96,'資格研修記録'!$D$5:$D$1004,G$4,'資格研修記録'!$F$5:$F$1004,"&gt;="&amp;TODAY())&gt;0,"○","× 期限切れ"))))</f>
        <v/>
      </c>
      <c r="H96" s="15">
        <f>IF(OR($A96="",H$4=""),"",IF(AND(H$4="小型船舶2級",(COUNTIFS('資格研修記録'!$A$5:$A$1004,$A96,'資格研修記録'!$D$5:$D$1004,"小型船舶1級",'資格研修記録'!$F$5:$F$1004,"")+COUNTIFS('資格研修記録'!$A$5:$A$1004,$A96,'資格研修記録'!$D$5:$D$1004,"小型船舶1級",'資格研修記録'!$F$5:$F$1004,"&gt;="&amp;TODAY()))&gt;0),"1級に含む",IF(COUNTIFS('資格研修記録'!$A$5:$A$1004,$A96,'資格研修記録'!$D$5:$D$1004,H$4)=0,"—",IF(COUNTIFS('資格研修記録'!$A$5:$A$1004,$A96,'資格研修記録'!$D$5:$D$1004,H$4,'資格研修記録'!$F$5:$F$1004,"")+COUNTIFS('資格研修記録'!$A$5:$A$1004,$A96,'資格研修記録'!$D$5:$D$1004,H$4,'資格研修記録'!$F$5:$F$1004,"&gt;="&amp;TODAY())&gt;0,"○","× 期限切れ"))))</f>
        <v/>
      </c>
      <c r="I96" s="15">
        <f>IF(OR($A96="",I$4=""),"",IF(AND(I$4="小型船舶2級",(COUNTIFS('資格研修記録'!$A$5:$A$1004,$A96,'資格研修記録'!$D$5:$D$1004,"小型船舶1級",'資格研修記録'!$F$5:$F$1004,"")+COUNTIFS('資格研修記録'!$A$5:$A$1004,$A96,'資格研修記録'!$D$5:$D$1004,"小型船舶1級",'資格研修記録'!$F$5:$F$1004,"&gt;="&amp;TODAY()))&gt;0),"1級に含む",IF(COUNTIFS('資格研修記録'!$A$5:$A$1004,$A96,'資格研修記録'!$D$5:$D$1004,I$4)=0,"—",IF(COUNTIFS('資格研修記録'!$A$5:$A$1004,$A96,'資格研修記録'!$D$5:$D$1004,I$4,'資格研修記録'!$F$5:$F$1004,"")+COUNTIFS('資格研修記録'!$A$5:$A$1004,$A96,'資格研修記録'!$D$5:$D$1004,I$4,'資格研修記録'!$F$5:$F$1004,"&gt;="&amp;TODAY())&gt;0,"○","× 期限切れ"))))</f>
        <v/>
      </c>
      <c r="J96" s="15">
        <f>IF(OR($A96="",J$4=""),"",IF(AND(J$4="小型船舶2級",(COUNTIFS('資格研修記録'!$A$5:$A$1004,$A96,'資格研修記録'!$D$5:$D$1004,"小型船舶1級",'資格研修記録'!$F$5:$F$1004,"")+COUNTIFS('資格研修記録'!$A$5:$A$1004,$A96,'資格研修記録'!$D$5:$D$1004,"小型船舶1級",'資格研修記録'!$F$5:$F$1004,"&gt;="&amp;TODAY()))&gt;0),"1級に含む",IF(COUNTIFS('資格研修記録'!$A$5:$A$1004,$A96,'資格研修記録'!$D$5:$D$1004,J$4)=0,"—",IF(COUNTIFS('資格研修記録'!$A$5:$A$1004,$A96,'資格研修記録'!$D$5:$D$1004,J$4,'資格研修記録'!$F$5:$F$1004,"")+COUNTIFS('資格研修記録'!$A$5:$A$1004,$A96,'資格研修記録'!$D$5:$D$1004,J$4,'資格研修記録'!$F$5:$F$1004,"&gt;="&amp;TODAY())&gt;0,"○","× 期限切れ"))))</f>
        <v/>
      </c>
      <c r="K96" s="15">
        <f>IF(OR($A96="",K$4=""),"",IF(AND(K$4="小型船舶2級",(COUNTIFS('資格研修記録'!$A$5:$A$1004,$A96,'資格研修記録'!$D$5:$D$1004,"小型船舶1級",'資格研修記録'!$F$5:$F$1004,"")+COUNTIFS('資格研修記録'!$A$5:$A$1004,$A96,'資格研修記録'!$D$5:$D$1004,"小型船舶1級",'資格研修記録'!$F$5:$F$1004,"&gt;="&amp;TODAY()))&gt;0),"1級に含む",IF(COUNTIFS('資格研修記録'!$A$5:$A$1004,$A96,'資格研修記録'!$D$5:$D$1004,K$4)=0,"—",IF(COUNTIFS('資格研修記録'!$A$5:$A$1004,$A96,'資格研修記録'!$D$5:$D$1004,K$4,'資格研修記録'!$F$5:$F$1004,"")+COUNTIFS('資格研修記録'!$A$5:$A$1004,$A96,'資格研修記録'!$D$5:$D$1004,K$4,'資格研修記録'!$F$5:$F$1004,"&gt;="&amp;TODAY())&gt;0,"○","× 期限切れ"))))</f>
        <v/>
      </c>
      <c r="L96" s="15">
        <f>IF(OR($A96="",L$4=""),"",IF(AND(L$4="小型船舶2級",(COUNTIFS('資格研修記録'!$A$5:$A$1004,$A96,'資格研修記録'!$D$5:$D$1004,"小型船舶1級",'資格研修記録'!$F$5:$F$1004,"")+COUNTIFS('資格研修記録'!$A$5:$A$1004,$A96,'資格研修記録'!$D$5:$D$1004,"小型船舶1級",'資格研修記録'!$F$5:$F$1004,"&gt;="&amp;TODAY()))&gt;0),"1級に含む",IF(COUNTIFS('資格研修記録'!$A$5:$A$1004,$A96,'資格研修記録'!$D$5:$D$1004,L$4)=0,"—",IF(COUNTIFS('資格研修記録'!$A$5:$A$1004,$A96,'資格研修記録'!$D$5:$D$1004,L$4,'資格研修記録'!$F$5:$F$1004,"")+COUNTIFS('資格研修記録'!$A$5:$A$1004,$A96,'資格研修記録'!$D$5:$D$1004,L$4,'資格研修記録'!$F$5:$F$1004,"&gt;="&amp;TODAY())&gt;0,"○","× 期限切れ"))))</f>
        <v/>
      </c>
    </row>
    <row r="97">
      <c r="A97" s="14">
        <f>IF('隊員マスタ'!A97="","",'隊員マスタ'!A97)</f>
        <v/>
      </c>
      <c r="B97" s="14">
        <f>IF(A97="","",'隊員マスタ'!B97)</f>
        <v/>
      </c>
      <c r="C97" s="14">
        <f>IF(A97="","",'隊員マスタ'!C97)</f>
        <v/>
      </c>
      <c r="D97" s="15">
        <f>IF(A97="","",'隊員マスタ'!D97)</f>
        <v/>
      </c>
      <c r="E97" s="15">
        <f>IF(OR($A97="",E$4=""),"",IF(AND(E$4="小型船舶2級",(COUNTIFS('資格研修記録'!$A$5:$A$1004,$A97,'資格研修記録'!$D$5:$D$1004,"小型船舶1級",'資格研修記録'!$F$5:$F$1004,"")+COUNTIFS('資格研修記録'!$A$5:$A$1004,$A97,'資格研修記録'!$D$5:$D$1004,"小型船舶1級",'資格研修記録'!$F$5:$F$1004,"&gt;="&amp;TODAY()))&gt;0),"1級に含む",IF(COUNTIFS('資格研修記録'!$A$5:$A$1004,$A97,'資格研修記録'!$D$5:$D$1004,E$4)=0,"—",IF(COUNTIFS('資格研修記録'!$A$5:$A$1004,$A97,'資格研修記録'!$D$5:$D$1004,E$4,'資格研修記録'!$F$5:$F$1004,"")+COUNTIFS('資格研修記録'!$A$5:$A$1004,$A97,'資格研修記録'!$D$5:$D$1004,E$4,'資格研修記録'!$F$5:$F$1004,"&gt;="&amp;TODAY())&gt;0,"○","× 期限切れ"))))</f>
        <v/>
      </c>
      <c r="F97" s="15">
        <f>IF(OR($A97="",F$4=""),"",IF(AND(F$4="小型船舶2級",(COUNTIFS('資格研修記録'!$A$5:$A$1004,$A97,'資格研修記録'!$D$5:$D$1004,"小型船舶1級",'資格研修記録'!$F$5:$F$1004,"")+COUNTIFS('資格研修記録'!$A$5:$A$1004,$A97,'資格研修記録'!$D$5:$D$1004,"小型船舶1級",'資格研修記録'!$F$5:$F$1004,"&gt;="&amp;TODAY()))&gt;0),"1級に含む",IF(COUNTIFS('資格研修記録'!$A$5:$A$1004,$A97,'資格研修記録'!$D$5:$D$1004,F$4)=0,"—",IF(COUNTIFS('資格研修記録'!$A$5:$A$1004,$A97,'資格研修記録'!$D$5:$D$1004,F$4,'資格研修記録'!$F$5:$F$1004,"")+COUNTIFS('資格研修記録'!$A$5:$A$1004,$A97,'資格研修記録'!$D$5:$D$1004,F$4,'資格研修記録'!$F$5:$F$1004,"&gt;="&amp;TODAY())&gt;0,"○","× 期限切れ"))))</f>
        <v/>
      </c>
      <c r="G97" s="15">
        <f>IF(OR($A97="",G$4=""),"",IF(AND(G$4="小型船舶2級",(COUNTIFS('資格研修記録'!$A$5:$A$1004,$A97,'資格研修記録'!$D$5:$D$1004,"小型船舶1級",'資格研修記録'!$F$5:$F$1004,"")+COUNTIFS('資格研修記録'!$A$5:$A$1004,$A97,'資格研修記録'!$D$5:$D$1004,"小型船舶1級",'資格研修記録'!$F$5:$F$1004,"&gt;="&amp;TODAY()))&gt;0),"1級に含む",IF(COUNTIFS('資格研修記録'!$A$5:$A$1004,$A97,'資格研修記録'!$D$5:$D$1004,G$4)=0,"—",IF(COUNTIFS('資格研修記録'!$A$5:$A$1004,$A97,'資格研修記録'!$D$5:$D$1004,G$4,'資格研修記録'!$F$5:$F$1004,"")+COUNTIFS('資格研修記録'!$A$5:$A$1004,$A97,'資格研修記録'!$D$5:$D$1004,G$4,'資格研修記録'!$F$5:$F$1004,"&gt;="&amp;TODAY())&gt;0,"○","× 期限切れ"))))</f>
        <v/>
      </c>
      <c r="H97" s="15">
        <f>IF(OR($A97="",H$4=""),"",IF(AND(H$4="小型船舶2級",(COUNTIFS('資格研修記録'!$A$5:$A$1004,$A97,'資格研修記録'!$D$5:$D$1004,"小型船舶1級",'資格研修記録'!$F$5:$F$1004,"")+COUNTIFS('資格研修記録'!$A$5:$A$1004,$A97,'資格研修記録'!$D$5:$D$1004,"小型船舶1級",'資格研修記録'!$F$5:$F$1004,"&gt;="&amp;TODAY()))&gt;0),"1級に含む",IF(COUNTIFS('資格研修記録'!$A$5:$A$1004,$A97,'資格研修記録'!$D$5:$D$1004,H$4)=0,"—",IF(COUNTIFS('資格研修記録'!$A$5:$A$1004,$A97,'資格研修記録'!$D$5:$D$1004,H$4,'資格研修記録'!$F$5:$F$1004,"")+COUNTIFS('資格研修記録'!$A$5:$A$1004,$A97,'資格研修記録'!$D$5:$D$1004,H$4,'資格研修記録'!$F$5:$F$1004,"&gt;="&amp;TODAY())&gt;0,"○","× 期限切れ"))))</f>
        <v/>
      </c>
      <c r="I97" s="15">
        <f>IF(OR($A97="",I$4=""),"",IF(AND(I$4="小型船舶2級",(COUNTIFS('資格研修記録'!$A$5:$A$1004,$A97,'資格研修記録'!$D$5:$D$1004,"小型船舶1級",'資格研修記録'!$F$5:$F$1004,"")+COUNTIFS('資格研修記録'!$A$5:$A$1004,$A97,'資格研修記録'!$D$5:$D$1004,"小型船舶1級",'資格研修記録'!$F$5:$F$1004,"&gt;="&amp;TODAY()))&gt;0),"1級に含む",IF(COUNTIFS('資格研修記録'!$A$5:$A$1004,$A97,'資格研修記録'!$D$5:$D$1004,I$4)=0,"—",IF(COUNTIFS('資格研修記録'!$A$5:$A$1004,$A97,'資格研修記録'!$D$5:$D$1004,I$4,'資格研修記録'!$F$5:$F$1004,"")+COUNTIFS('資格研修記録'!$A$5:$A$1004,$A97,'資格研修記録'!$D$5:$D$1004,I$4,'資格研修記録'!$F$5:$F$1004,"&gt;="&amp;TODAY())&gt;0,"○","× 期限切れ"))))</f>
        <v/>
      </c>
      <c r="J97" s="15">
        <f>IF(OR($A97="",J$4=""),"",IF(AND(J$4="小型船舶2級",(COUNTIFS('資格研修記録'!$A$5:$A$1004,$A97,'資格研修記録'!$D$5:$D$1004,"小型船舶1級",'資格研修記録'!$F$5:$F$1004,"")+COUNTIFS('資格研修記録'!$A$5:$A$1004,$A97,'資格研修記録'!$D$5:$D$1004,"小型船舶1級",'資格研修記録'!$F$5:$F$1004,"&gt;="&amp;TODAY()))&gt;0),"1級に含む",IF(COUNTIFS('資格研修記録'!$A$5:$A$1004,$A97,'資格研修記録'!$D$5:$D$1004,J$4)=0,"—",IF(COUNTIFS('資格研修記録'!$A$5:$A$1004,$A97,'資格研修記録'!$D$5:$D$1004,J$4,'資格研修記録'!$F$5:$F$1004,"")+COUNTIFS('資格研修記録'!$A$5:$A$1004,$A97,'資格研修記録'!$D$5:$D$1004,J$4,'資格研修記録'!$F$5:$F$1004,"&gt;="&amp;TODAY())&gt;0,"○","× 期限切れ"))))</f>
        <v/>
      </c>
      <c r="K97" s="15">
        <f>IF(OR($A97="",K$4=""),"",IF(AND(K$4="小型船舶2級",(COUNTIFS('資格研修記録'!$A$5:$A$1004,$A97,'資格研修記録'!$D$5:$D$1004,"小型船舶1級",'資格研修記録'!$F$5:$F$1004,"")+COUNTIFS('資格研修記録'!$A$5:$A$1004,$A97,'資格研修記録'!$D$5:$D$1004,"小型船舶1級",'資格研修記録'!$F$5:$F$1004,"&gt;="&amp;TODAY()))&gt;0),"1級に含む",IF(COUNTIFS('資格研修記録'!$A$5:$A$1004,$A97,'資格研修記録'!$D$5:$D$1004,K$4)=0,"—",IF(COUNTIFS('資格研修記録'!$A$5:$A$1004,$A97,'資格研修記録'!$D$5:$D$1004,K$4,'資格研修記録'!$F$5:$F$1004,"")+COUNTIFS('資格研修記録'!$A$5:$A$1004,$A97,'資格研修記録'!$D$5:$D$1004,K$4,'資格研修記録'!$F$5:$F$1004,"&gt;="&amp;TODAY())&gt;0,"○","× 期限切れ"))))</f>
        <v/>
      </c>
      <c r="L97" s="15">
        <f>IF(OR($A97="",L$4=""),"",IF(AND(L$4="小型船舶2級",(COUNTIFS('資格研修記録'!$A$5:$A$1004,$A97,'資格研修記録'!$D$5:$D$1004,"小型船舶1級",'資格研修記録'!$F$5:$F$1004,"")+COUNTIFS('資格研修記録'!$A$5:$A$1004,$A97,'資格研修記録'!$D$5:$D$1004,"小型船舶1級",'資格研修記録'!$F$5:$F$1004,"&gt;="&amp;TODAY()))&gt;0),"1級に含む",IF(COUNTIFS('資格研修記録'!$A$5:$A$1004,$A97,'資格研修記録'!$D$5:$D$1004,L$4)=0,"—",IF(COUNTIFS('資格研修記録'!$A$5:$A$1004,$A97,'資格研修記録'!$D$5:$D$1004,L$4,'資格研修記録'!$F$5:$F$1004,"")+COUNTIFS('資格研修記録'!$A$5:$A$1004,$A97,'資格研修記録'!$D$5:$D$1004,L$4,'資格研修記録'!$F$5:$F$1004,"&gt;="&amp;TODAY())&gt;0,"○","× 期限切れ"))))</f>
        <v/>
      </c>
    </row>
    <row r="98">
      <c r="A98" s="14">
        <f>IF('隊員マスタ'!A98="","",'隊員マスタ'!A98)</f>
        <v/>
      </c>
      <c r="B98" s="14">
        <f>IF(A98="","",'隊員マスタ'!B98)</f>
        <v/>
      </c>
      <c r="C98" s="14">
        <f>IF(A98="","",'隊員マスタ'!C98)</f>
        <v/>
      </c>
      <c r="D98" s="15">
        <f>IF(A98="","",'隊員マスタ'!D98)</f>
        <v/>
      </c>
      <c r="E98" s="15">
        <f>IF(OR($A98="",E$4=""),"",IF(AND(E$4="小型船舶2級",(COUNTIFS('資格研修記録'!$A$5:$A$1004,$A98,'資格研修記録'!$D$5:$D$1004,"小型船舶1級",'資格研修記録'!$F$5:$F$1004,"")+COUNTIFS('資格研修記録'!$A$5:$A$1004,$A98,'資格研修記録'!$D$5:$D$1004,"小型船舶1級",'資格研修記録'!$F$5:$F$1004,"&gt;="&amp;TODAY()))&gt;0),"1級に含む",IF(COUNTIFS('資格研修記録'!$A$5:$A$1004,$A98,'資格研修記録'!$D$5:$D$1004,E$4)=0,"—",IF(COUNTIFS('資格研修記録'!$A$5:$A$1004,$A98,'資格研修記録'!$D$5:$D$1004,E$4,'資格研修記録'!$F$5:$F$1004,"")+COUNTIFS('資格研修記録'!$A$5:$A$1004,$A98,'資格研修記録'!$D$5:$D$1004,E$4,'資格研修記録'!$F$5:$F$1004,"&gt;="&amp;TODAY())&gt;0,"○","× 期限切れ"))))</f>
        <v/>
      </c>
      <c r="F98" s="15">
        <f>IF(OR($A98="",F$4=""),"",IF(AND(F$4="小型船舶2級",(COUNTIFS('資格研修記録'!$A$5:$A$1004,$A98,'資格研修記録'!$D$5:$D$1004,"小型船舶1級",'資格研修記録'!$F$5:$F$1004,"")+COUNTIFS('資格研修記録'!$A$5:$A$1004,$A98,'資格研修記録'!$D$5:$D$1004,"小型船舶1級",'資格研修記録'!$F$5:$F$1004,"&gt;="&amp;TODAY()))&gt;0),"1級に含む",IF(COUNTIFS('資格研修記録'!$A$5:$A$1004,$A98,'資格研修記録'!$D$5:$D$1004,F$4)=0,"—",IF(COUNTIFS('資格研修記録'!$A$5:$A$1004,$A98,'資格研修記録'!$D$5:$D$1004,F$4,'資格研修記録'!$F$5:$F$1004,"")+COUNTIFS('資格研修記録'!$A$5:$A$1004,$A98,'資格研修記録'!$D$5:$D$1004,F$4,'資格研修記録'!$F$5:$F$1004,"&gt;="&amp;TODAY())&gt;0,"○","× 期限切れ"))))</f>
        <v/>
      </c>
      <c r="G98" s="15">
        <f>IF(OR($A98="",G$4=""),"",IF(AND(G$4="小型船舶2級",(COUNTIFS('資格研修記録'!$A$5:$A$1004,$A98,'資格研修記録'!$D$5:$D$1004,"小型船舶1級",'資格研修記録'!$F$5:$F$1004,"")+COUNTIFS('資格研修記録'!$A$5:$A$1004,$A98,'資格研修記録'!$D$5:$D$1004,"小型船舶1級",'資格研修記録'!$F$5:$F$1004,"&gt;="&amp;TODAY()))&gt;0),"1級に含む",IF(COUNTIFS('資格研修記録'!$A$5:$A$1004,$A98,'資格研修記録'!$D$5:$D$1004,G$4)=0,"—",IF(COUNTIFS('資格研修記録'!$A$5:$A$1004,$A98,'資格研修記録'!$D$5:$D$1004,G$4,'資格研修記録'!$F$5:$F$1004,"")+COUNTIFS('資格研修記録'!$A$5:$A$1004,$A98,'資格研修記録'!$D$5:$D$1004,G$4,'資格研修記録'!$F$5:$F$1004,"&gt;="&amp;TODAY())&gt;0,"○","× 期限切れ"))))</f>
        <v/>
      </c>
      <c r="H98" s="15">
        <f>IF(OR($A98="",H$4=""),"",IF(AND(H$4="小型船舶2級",(COUNTIFS('資格研修記録'!$A$5:$A$1004,$A98,'資格研修記録'!$D$5:$D$1004,"小型船舶1級",'資格研修記録'!$F$5:$F$1004,"")+COUNTIFS('資格研修記録'!$A$5:$A$1004,$A98,'資格研修記録'!$D$5:$D$1004,"小型船舶1級",'資格研修記録'!$F$5:$F$1004,"&gt;="&amp;TODAY()))&gt;0),"1級に含む",IF(COUNTIFS('資格研修記録'!$A$5:$A$1004,$A98,'資格研修記録'!$D$5:$D$1004,H$4)=0,"—",IF(COUNTIFS('資格研修記録'!$A$5:$A$1004,$A98,'資格研修記録'!$D$5:$D$1004,H$4,'資格研修記録'!$F$5:$F$1004,"")+COUNTIFS('資格研修記録'!$A$5:$A$1004,$A98,'資格研修記録'!$D$5:$D$1004,H$4,'資格研修記録'!$F$5:$F$1004,"&gt;="&amp;TODAY())&gt;0,"○","× 期限切れ"))))</f>
        <v/>
      </c>
      <c r="I98" s="15">
        <f>IF(OR($A98="",I$4=""),"",IF(AND(I$4="小型船舶2級",(COUNTIFS('資格研修記録'!$A$5:$A$1004,$A98,'資格研修記録'!$D$5:$D$1004,"小型船舶1級",'資格研修記録'!$F$5:$F$1004,"")+COUNTIFS('資格研修記録'!$A$5:$A$1004,$A98,'資格研修記録'!$D$5:$D$1004,"小型船舶1級",'資格研修記録'!$F$5:$F$1004,"&gt;="&amp;TODAY()))&gt;0),"1級に含む",IF(COUNTIFS('資格研修記録'!$A$5:$A$1004,$A98,'資格研修記録'!$D$5:$D$1004,I$4)=0,"—",IF(COUNTIFS('資格研修記録'!$A$5:$A$1004,$A98,'資格研修記録'!$D$5:$D$1004,I$4,'資格研修記録'!$F$5:$F$1004,"")+COUNTIFS('資格研修記録'!$A$5:$A$1004,$A98,'資格研修記録'!$D$5:$D$1004,I$4,'資格研修記録'!$F$5:$F$1004,"&gt;="&amp;TODAY())&gt;0,"○","× 期限切れ"))))</f>
        <v/>
      </c>
      <c r="J98" s="15">
        <f>IF(OR($A98="",J$4=""),"",IF(AND(J$4="小型船舶2級",(COUNTIFS('資格研修記録'!$A$5:$A$1004,$A98,'資格研修記録'!$D$5:$D$1004,"小型船舶1級",'資格研修記録'!$F$5:$F$1004,"")+COUNTIFS('資格研修記録'!$A$5:$A$1004,$A98,'資格研修記録'!$D$5:$D$1004,"小型船舶1級",'資格研修記録'!$F$5:$F$1004,"&gt;="&amp;TODAY()))&gt;0),"1級に含む",IF(COUNTIFS('資格研修記録'!$A$5:$A$1004,$A98,'資格研修記録'!$D$5:$D$1004,J$4)=0,"—",IF(COUNTIFS('資格研修記録'!$A$5:$A$1004,$A98,'資格研修記録'!$D$5:$D$1004,J$4,'資格研修記録'!$F$5:$F$1004,"")+COUNTIFS('資格研修記録'!$A$5:$A$1004,$A98,'資格研修記録'!$D$5:$D$1004,J$4,'資格研修記録'!$F$5:$F$1004,"&gt;="&amp;TODAY())&gt;0,"○","× 期限切れ"))))</f>
        <v/>
      </c>
      <c r="K98" s="15">
        <f>IF(OR($A98="",K$4=""),"",IF(AND(K$4="小型船舶2級",(COUNTIFS('資格研修記録'!$A$5:$A$1004,$A98,'資格研修記録'!$D$5:$D$1004,"小型船舶1級",'資格研修記録'!$F$5:$F$1004,"")+COUNTIFS('資格研修記録'!$A$5:$A$1004,$A98,'資格研修記録'!$D$5:$D$1004,"小型船舶1級",'資格研修記録'!$F$5:$F$1004,"&gt;="&amp;TODAY()))&gt;0),"1級に含む",IF(COUNTIFS('資格研修記録'!$A$5:$A$1004,$A98,'資格研修記録'!$D$5:$D$1004,K$4)=0,"—",IF(COUNTIFS('資格研修記録'!$A$5:$A$1004,$A98,'資格研修記録'!$D$5:$D$1004,K$4,'資格研修記録'!$F$5:$F$1004,"")+COUNTIFS('資格研修記録'!$A$5:$A$1004,$A98,'資格研修記録'!$D$5:$D$1004,K$4,'資格研修記録'!$F$5:$F$1004,"&gt;="&amp;TODAY())&gt;0,"○","× 期限切れ"))))</f>
        <v/>
      </c>
      <c r="L98" s="15">
        <f>IF(OR($A98="",L$4=""),"",IF(AND(L$4="小型船舶2級",(COUNTIFS('資格研修記録'!$A$5:$A$1004,$A98,'資格研修記録'!$D$5:$D$1004,"小型船舶1級",'資格研修記録'!$F$5:$F$1004,"")+COUNTIFS('資格研修記録'!$A$5:$A$1004,$A98,'資格研修記録'!$D$5:$D$1004,"小型船舶1級",'資格研修記録'!$F$5:$F$1004,"&gt;="&amp;TODAY()))&gt;0),"1級に含む",IF(COUNTIFS('資格研修記録'!$A$5:$A$1004,$A98,'資格研修記録'!$D$5:$D$1004,L$4)=0,"—",IF(COUNTIFS('資格研修記録'!$A$5:$A$1004,$A98,'資格研修記録'!$D$5:$D$1004,L$4,'資格研修記録'!$F$5:$F$1004,"")+COUNTIFS('資格研修記録'!$A$5:$A$1004,$A98,'資格研修記録'!$D$5:$D$1004,L$4,'資格研修記録'!$F$5:$F$1004,"&gt;="&amp;TODAY())&gt;0,"○","× 期限切れ"))))</f>
        <v/>
      </c>
    </row>
    <row r="99">
      <c r="A99" s="14">
        <f>IF('隊員マスタ'!A99="","",'隊員マスタ'!A99)</f>
        <v/>
      </c>
      <c r="B99" s="14">
        <f>IF(A99="","",'隊員マスタ'!B99)</f>
        <v/>
      </c>
      <c r="C99" s="14">
        <f>IF(A99="","",'隊員マスタ'!C99)</f>
        <v/>
      </c>
      <c r="D99" s="15">
        <f>IF(A99="","",'隊員マスタ'!D99)</f>
        <v/>
      </c>
      <c r="E99" s="15">
        <f>IF(OR($A99="",E$4=""),"",IF(AND(E$4="小型船舶2級",(COUNTIFS('資格研修記録'!$A$5:$A$1004,$A99,'資格研修記録'!$D$5:$D$1004,"小型船舶1級",'資格研修記録'!$F$5:$F$1004,"")+COUNTIFS('資格研修記録'!$A$5:$A$1004,$A99,'資格研修記録'!$D$5:$D$1004,"小型船舶1級",'資格研修記録'!$F$5:$F$1004,"&gt;="&amp;TODAY()))&gt;0),"1級に含む",IF(COUNTIFS('資格研修記録'!$A$5:$A$1004,$A99,'資格研修記録'!$D$5:$D$1004,E$4)=0,"—",IF(COUNTIFS('資格研修記録'!$A$5:$A$1004,$A99,'資格研修記録'!$D$5:$D$1004,E$4,'資格研修記録'!$F$5:$F$1004,"")+COUNTIFS('資格研修記録'!$A$5:$A$1004,$A99,'資格研修記録'!$D$5:$D$1004,E$4,'資格研修記録'!$F$5:$F$1004,"&gt;="&amp;TODAY())&gt;0,"○","× 期限切れ"))))</f>
        <v/>
      </c>
      <c r="F99" s="15">
        <f>IF(OR($A99="",F$4=""),"",IF(AND(F$4="小型船舶2級",(COUNTIFS('資格研修記録'!$A$5:$A$1004,$A99,'資格研修記録'!$D$5:$D$1004,"小型船舶1級",'資格研修記録'!$F$5:$F$1004,"")+COUNTIFS('資格研修記録'!$A$5:$A$1004,$A99,'資格研修記録'!$D$5:$D$1004,"小型船舶1級",'資格研修記録'!$F$5:$F$1004,"&gt;="&amp;TODAY()))&gt;0),"1級に含む",IF(COUNTIFS('資格研修記録'!$A$5:$A$1004,$A99,'資格研修記録'!$D$5:$D$1004,F$4)=0,"—",IF(COUNTIFS('資格研修記録'!$A$5:$A$1004,$A99,'資格研修記録'!$D$5:$D$1004,F$4,'資格研修記録'!$F$5:$F$1004,"")+COUNTIFS('資格研修記録'!$A$5:$A$1004,$A99,'資格研修記録'!$D$5:$D$1004,F$4,'資格研修記録'!$F$5:$F$1004,"&gt;="&amp;TODAY())&gt;0,"○","× 期限切れ"))))</f>
        <v/>
      </c>
      <c r="G99" s="15">
        <f>IF(OR($A99="",G$4=""),"",IF(AND(G$4="小型船舶2級",(COUNTIFS('資格研修記録'!$A$5:$A$1004,$A99,'資格研修記録'!$D$5:$D$1004,"小型船舶1級",'資格研修記録'!$F$5:$F$1004,"")+COUNTIFS('資格研修記録'!$A$5:$A$1004,$A99,'資格研修記録'!$D$5:$D$1004,"小型船舶1級",'資格研修記録'!$F$5:$F$1004,"&gt;="&amp;TODAY()))&gt;0),"1級に含む",IF(COUNTIFS('資格研修記録'!$A$5:$A$1004,$A99,'資格研修記録'!$D$5:$D$1004,G$4)=0,"—",IF(COUNTIFS('資格研修記録'!$A$5:$A$1004,$A99,'資格研修記録'!$D$5:$D$1004,G$4,'資格研修記録'!$F$5:$F$1004,"")+COUNTIFS('資格研修記録'!$A$5:$A$1004,$A99,'資格研修記録'!$D$5:$D$1004,G$4,'資格研修記録'!$F$5:$F$1004,"&gt;="&amp;TODAY())&gt;0,"○","× 期限切れ"))))</f>
        <v/>
      </c>
      <c r="H99" s="15">
        <f>IF(OR($A99="",H$4=""),"",IF(AND(H$4="小型船舶2級",(COUNTIFS('資格研修記録'!$A$5:$A$1004,$A99,'資格研修記録'!$D$5:$D$1004,"小型船舶1級",'資格研修記録'!$F$5:$F$1004,"")+COUNTIFS('資格研修記録'!$A$5:$A$1004,$A99,'資格研修記録'!$D$5:$D$1004,"小型船舶1級",'資格研修記録'!$F$5:$F$1004,"&gt;="&amp;TODAY()))&gt;0),"1級に含む",IF(COUNTIFS('資格研修記録'!$A$5:$A$1004,$A99,'資格研修記録'!$D$5:$D$1004,H$4)=0,"—",IF(COUNTIFS('資格研修記録'!$A$5:$A$1004,$A99,'資格研修記録'!$D$5:$D$1004,H$4,'資格研修記録'!$F$5:$F$1004,"")+COUNTIFS('資格研修記録'!$A$5:$A$1004,$A99,'資格研修記録'!$D$5:$D$1004,H$4,'資格研修記録'!$F$5:$F$1004,"&gt;="&amp;TODAY())&gt;0,"○","× 期限切れ"))))</f>
        <v/>
      </c>
      <c r="I99" s="15">
        <f>IF(OR($A99="",I$4=""),"",IF(AND(I$4="小型船舶2級",(COUNTIFS('資格研修記録'!$A$5:$A$1004,$A99,'資格研修記録'!$D$5:$D$1004,"小型船舶1級",'資格研修記録'!$F$5:$F$1004,"")+COUNTIFS('資格研修記録'!$A$5:$A$1004,$A99,'資格研修記録'!$D$5:$D$1004,"小型船舶1級",'資格研修記録'!$F$5:$F$1004,"&gt;="&amp;TODAY()))&gt;0),"1級に含む",IF(COUNTIFS('資格研修記録'!$A$5:$A$1004,$A99,'資格研修記録'!$D$5:$D$1004,I$4)=0,"—",IF(COUNTIFS('資格研修記録'!$A$5:$A$1004,$A99,'資格研修記録'!$D$5:$D$1004,I$4,'資格研修記録'!$F$5:$F$1004,"")+COUNTIFS('資格研修記録'!$A$5:$A$1004,$A99,'資格研修記録'!$D$5:$D$1004,I$4,'資格研修記録'!$F$5:$F$1004,"&gt;="&amp;TODAY())&gt;0,"○","× 期限切れ"))))</f>
        <v/>
      </c>
      <c r="J99" s="15">
        <f>IF(OR($A99="",J$4=""),"",IF(AND(J$4="小型船舶2級",(COUNTIFS('資格研修記録'!$A$5:$A$1004,$A99,'資格研修記録'!$D$5:$D$1004,"小型船舶1級",'資格研修記録'!$F$5:$F$1004,"")+COUNTIFS('資格研修記録'!$A$5:$A$1004,$A99,'資格研修記録'!$D$5:$D$1004,"小型船舶1級",'資格研修記録'!$F$5:$F$1004,"&gt;="&amp;TODAY()))&gt;0),"1級に含む",IF(COUNTIFS('資格研修記録'!$A$5:$A$1004,$A99,'資格研修記録'!$D$5:$D$1004,J$4)=0,"—",IF(COUNTIFS('資格研修記録'!$A$5:$A$1004,$A99,'資格研修記録'!$D$5:$D$1004,J$4,'資格研修記録'!$F$5:$F$1004,"")+COUNTIFS('資格研修記録'!$A$5:$A$1004,$A99,'資格研修記録'!$D$5:$D$1004,J$4,'資格研修記録'!$F$5:$F$1004,"&gt;="&amp;TODAY())&gt;0,"○","× 期限切れ"))))</f>
        <v/>
      </c>
      <c r="K99" s="15">
        <f>IF(OR($A99="",K$4=""),"",IF(AND(K$4="小型船舶2級",(COUNTIFS('資格研修記録'!$A$5:$A$1004,$A99,'資格研修記録'!$D$5:$D$1004,"小型船舶1級",'資格研修記録'!$F$5:$F$1004,"")+COUNTIFS('資格研修記録'!$A$5:$A$1004,$A99,'資格研修記録'!$D$5:$D$1004,"小型船舶1級",'資格研修記録'!$F$5:$F$1004,"&gt;="&amp;TODAY()))&gt;0),"1級に含む",IF(COUNTIFS('資格研修記録'!$A$5:$A$1004,$A99,'資格研修記録'!$D$5:$D$1004,K$4)=0,"—",IF(COUNTIFS('資格研修記録'!$A$5:$A$1004,$A99,'資格研修記録'!$D$5:$D$1004,K$4,'資格研修記録'!$F$5:$F$1004,"")+COUNTIFS('資格研修記録'!$A$5:$A$1004,$A99,'資格研修記録'!$D$5:$D$1004,K$4,'資格研修記録'!$F$5:$F$1004,"&gt;="&amp;TODAY())&gt;0,"○","× 期限切れ"))))</f>
        <v/>
      </c>
      <c r="L99" s="15">
        <f>IF(OR($A99="",L$4=""),"",IF(AND(L$4="小型船舶2級",(COUNTIFS('資格研修記録'!$A$5:$A$1004,$A99,'資格研修記録'!$D$5:$D$1004,"小型船舶1級",'資格研修記録'!$F$5:$F$1004,"")+COUNTIFS('資格研修記録'!$A$5:$A$1004,$A99,'資格研修記録'!$D$5:$D$1004,"小型船舶1級",'資格研修記録'!$F$5:$F$1004,"&gt;="&amp;TODAY()))&gt;0),"1級に含む",IF(COUNTIFS('資格研修記録'!$A$5:$A$1004,$A99,'資格研修記録'!$D$5:$D$1004,L$4)=0,"—",IF(COUNTIFS('資格研修記録'!$A$5:$A$1004,$A99,'資格研修記録'!$D$5:$D$1004,L$4,'資格研修記録'!$F$5:$F$1004,"")+COUNTIFS('資格研修記録'!$A$5:$A$1004,$A99,'資格研修記録'!$D$5:$D$1004,L$4,'資格研修記録'!$F$5:$F$1004,"&gt;="&amp;TODAY())&gt;0,"○","× 期限切れ"))))</f>
        <v/>
      </c>
    </row>
    <row r="100">
      <c r="A100" s="14">
        <f>IF('隊員マスタ'!A100="","",'隊員マスタ'!A100)</f>
        <v/>
      </c>
      <c r="B100" s="14">
        <f>IF(A100="","",'隊員マスタ'!B100)</f>
        <v/>
      </c>
      <c r="C100" s="14">
        <f>IF(A100="","",'隊員マスタ'!C100)</f>
        <v/>
      </c>
      <c r="D100" s="15">
        <f>IF(A100="","",'隊員マスタ'!D100)</f>
        <v/>
      </c>
      <c r="E100" s="15">
        <f>IF(OR($A100="",E$4=""),"",IF(AND(E$4="小型船舶2級",(COUNTIFS('資格研修記録'!$A$5:$A$1004,$A100,'資格研修記録'!$D$5:$D$1004,"小型船舶1級",'資格研修記録'!$F$5:$F$1004,"")+COUNTIFS('資格研修記録'!$A$5:$A$1004,$A100,'資格研修記録'!$D$5:$D$1004,"小型船舶1級",'資格研修記録'!$F$5:$F$1004,"&gt;="&amp;TODAY()))&gt;0),"1級に含む",IF(COUNTIFS('資格研修記録'!$A$5:$A$1004,$A100,'資格研修記録'!$D$5:$D$1004,E$4)=0,"—",IF(COUNTIFS('資格研修記録'!$A$5:$A$1004,$A100,'資格研修記録'!$D$5:$D$1004,E$4,'資格研修記録'!$F$5:$F$1004,"")+COUNTIFS('資格研修記録'!$A$5:$A$1004,$A100,'資格研修記録'!$D$5:$D$1004,E$4,'資格研修記録'!$F$5:$F$1004,"&gt;="&amp;TODAY())&gt;0,"○","× 期限切れ"))))</f>
        <v/>
      </c>
      <c r="F100" s="15">
        <f>IF(OR($A100="",F$4=""),"",IF(AND(F$4="小型船舶2級",(COUNTIFS('資格研修記録'!$A$5:$A$1004,$A100,'資格研修記録'!$D$5:$D$1004,"小型船舶1級",'資格研修記録'!$F$5:$F$1004,"")+COUNTIFS('資格研修記録'!$A$5:$A$1004,$A100,'資格研修記録'!$D$5:$D$1004,"小型船舶1級",'資格研修記録'!$F$5:$F$1004,"&gt;="&amp;TODAY()))&gt;0),"1級に含む",IF(COUNTIFS('資格研修記録'!$A$5:$A$1004,$A100,'資格研修記録'!$D$5:$D$1004,F$4)=0,"—",IF(COUNTIFS('資格研修記録'!$A$5:$A$1004,$A100,'資格研修記録'!$D$5:$D$1004,F$4,'資格研修記録'!$F$5:$F$1004,"")+COUNTIFS('資格研修記録'!$A$5:$A$1004,$A100,'資格研修記録'!$D$5:$D$1004,F$4,'資格研修記録'!$F$5:$F$1004,"&gt;="&amp;TODAY())&gt;0,"○","× 期限切れ"))))</f>
        <v/>
      </c>
      <c r="G100" s="15">
        <f>IF(OR($A100="",G$4=""),"",IF(AND(G$4="小型船舶2級",(COUNTIFS('資格研修記録'!$A$5:$A$1004,$A100,'資格研修記録'!$D$5:$D$1004,"小型船舶1級",'資格研修記録'!$F$5:$F$1004,"")+COUNTIFS('資格研修記録'!$A$5:$A$1004,$A100,'資格研修記録'!$D$5:$D$1004,"小型船舶1級",'資格研修記録'!$F$5:$F$1004,"&gt;="&amp;TODAY()))&gt;0),"1級に含む",IF(COUNTIFS('資格研修記録'!$A$5:$A$1004,$A100,'資格研修記録'!$D$5:$D$1004,G$4)=0,"—",IF(COUNTIFS('資格研修記録'!$A$5:$A$1004,$A100,'資格研修記録'!$D$5:$D$1004,G$4,'資格研修記録'!$F$5:$F$1004,"")+COUNTIFS('資格研修記録'!$A$5:$A$1004,$A100,'資格研修記録'!$D$5:$D$1004,G$4,'資格研修記録'!$F$5:$F$1004,"&gt;="&amp;TODAY())&gt;0,"○","× 期限切れ"))))</f>
        <v/>
      </c>
      <c r="H100" s="15">
        <f>IF(OR($A100="",H$4=""),"",IF(AND(H$4="小型船舶2級",(COUNTIFS('資格研修記録'!$A$5:$A$1004,$A100,'資格研修記録'!$D$5:$D$1004,"小型船舶1級",'資格研修記録'!$F$5:$F$1004,"")+COUNTIFS('資格研修記録'!$A$5:$A$1004,$A100,'資格研修記録'!$D$5:$D$1004,"小型船舶1級",'資格研修記録'!$F$5:$F$1004,"&gt;="&amp;TODAY()))&gt;0),"1級に含む",IF(COUNTIFS('資格研修記録'!$A$5:$A$1004,$A100,'資格研修記録'!$D$5:$D$1004,H$4)=0,"—",IF(COUNTIFS('資格研修記録'!$A$5:$A$1004,$A100,'資格研修記録'!$D$5:$D$1004,H$4,'資格研修記録'!$F$5:$F$1004,"")+COUNTIFS('資格研修記録'!$A$5:$A$1004,$A100,'資格研修記録'!$D$5:$D$1004,H$4,'資格研修記録'!$F$5:$F$1004,"&gt;="&amp;TODAY())&gt;0,"○","× 期限切れ"))))</f>
        <v/>
      </c>
      <c r="I100" s="15">
        <f>IF(OR($A100="",I$4=""),"",IF(AND(I$4="小型船舶2級",(COUNTIFS('資格研修記録'!$A$5:$A$1004,$A100,'資格研修記録'!$D$5:$D$1004,"小型船舶1級",'資格研修記録'!$F$5:$F$1004,"")+COUNTIFS('資格研修記録'!$A$5:$A$1004,$A100,'資格研修記録'!$D$5:$D$1004,"小型船舶1級",'資格研修記録'!$F$5:$F$1004,"&gt;="&amp;TODAY()))&gt;0),"1級に含む",IF(COUNTIFS('資格研修記録'!$A$5:$A$1004,$A100,'資格研修記録'!$D$5:$D$1004,I$4)=0,"—",IF(COUNTIFS('資格研修記録'!$A$5:$A$1004,$A100,'資格研修記録'!$D$5:$D$1004,I$4,'資格研修記録'!$F$5:$F$1004,"")+COUNTIFS('資格研修記録'!$A$5:$A$1004,$A100,'資格研修記録'!$D$5:$D$1004,I$4,'資格研修記録'!$F$5:$F$1004,"&gt;="&amp;TODAY())&gt;0,"○","× 期限切れ"))))</f>
        <v/>
      </c>
      <c r="J100" s="15">
        <f>IF(OR($A100="",J$4=""),"",IF(AND(J$4="小型船舶2級",(COUNTIFS('資格研修記録'!$A$5:$A$1004,$A100,'資格研修記録'!$D$5:$D$1004,"小型船舶1級",'資格研修記録'!$F$5:$F$1004,"")+COUNTIFS('資格研修記録'!$A$5:$A$1004,$A100,'資格研修記録'!$D$5:$D$1004,"小型船舶1級",'資格研修記録'!$F$5:$F$1004,"&gt;="&amp;TODAY()))&gt;0),"1級に含む",IF(COUNTIFS('資格研修記録'!$A$5:$A$1004,$A100,'資格研修記録'!$D$5:$D$1004,J$4)=0,"—",IF(COUNTIFS('資格研修記録'!$A$5:$A$1004,$A100,'資格研修記録'!$D$5:$D$1004,J$4,'資格研修記録'!$F$5:$F$1004,"")+COUNTIFS('資格研修記録'!$A$5:$A$1004,$A100,'資格研修記録'!$D$5:$D$1004,J$4,'資格研修記録'!$F$5:$F$1004,"&gt;="&amp;TODAY())&gt;0,"○","× 期限切れ"))))</f>
        <v/>
      </c>
      <c r="K100" s="15">
        <f>IF(OR($A100="",K$4=""),"",IF(AND(K$4="小型船舶2級",(COUNTIFS('資格研修記録'!$A$5:$A$1004,$A100,'資格研修記録'!$D$5:$D$1004,"小型船舶1級",'資格研修記録'!$F$5:$F$1004,"")+COUNTIFS('資格研修記録'!$A$5:$A$1004,$A100,'資格研修記録'!$D$5:$D$1004,"小型船舶1級",'資格研修記録'!$F$5:$F$1004,"&gt;="&amp;TODAY()))&gt;0),"1級に含む",IF(COUNTIFS('資格研修記録'!$A$5:$A$1004,$A100,'資格研修記録'!$D$5:$D$1004,K$4)=0,"—",IF(COUNTIFS('資格研修記録'!$A$5:$A$1004,$A100,'資格研修記録'!$D$5:$D$1004,K$4,'資格研修記録'!$F$5:$F$1004,"")+COUNTIFS('資格研修記録'!$A$5:$A$1004,$A100,'資格研修記録'!$D$5:$D$1004,K$4,'資格研修記録'!$F$5:$F$1004,"&gt;="&amp;TODAY())&gt;0,"○","× 期限切れ"))))</f>
        <v/>
      </c>
      <c r="L100" s="15">
        <f>IF(OR($A100="",L$4=""),"",IF(AND(L$4="小型船舶2級",(COUNTIFS('資格研修記録'!$A$5:$A$1004,$A100,'資格研修記録'!$D$5:$D$1004,"小型船舶1級",'資格研修記録'!$F$5:$F$1004,"")+COUNTIFS('資格研修記録'!$A$5:$A$1004,$A100,'資格研修記録'!$D$5:$D$1004,"小型船舶1級",'資格研修記録'!$F$5:$F$1004,"&gt;="&amp;TODAY()))&gt;0),"1級に含む",IF(COUNTIFS('資格研修記録'!$A$5:$A$1004,$A100,'資格研修記録'!$D$5:$D$1004,L$4)=0,"—",IF(COUNTIFS('資格研修記録'!$A$5:$A$1004,$A100,'資格研修記録'!$D$5:$D$1004,L$4,'資格研修記録'!$F$5:$F$1004,"")+COUNTIFS('資格研修記録'!$A$5:$A$1004,$A100,'資格研修記録'!$D$5:$D$1004,L$4,'資格研修記録'!$F$5:$F$1004,"&gt;="&amp;TODAY())&gt;0,"○","× 期限切れ"))))</f>
        <v/>
      </c>
    </row>
    <row r="101">
      <c r="A101" s="14">
        <f>IF('隊員マスタ'!A101="","",'隊員マスタ'!A101)</f>
        <v/>
      </c>
      <c r="B101" s="14">
        <f>IF(A101="","",'隊員マスタ'!B101)</f>
        <v/>
      </c>
      <c r="C101" s="14">
        <f>IF(A101="","",'隊員マスタ'!C101)</f>
        <v/>
      </c>
      <c r="D101" s="15">
        <f>IF(A101="","",'隊員マスタ'!D101)</f>
        <v/>
      </c>
      <c r="E101" s="15">
        <f>IF(OR($A101="",E$4=""),"",IF(AND(E$4="小型船舶2級",(COUNTIFS('資格研修記録'!$A$5:$A$1004,$A101,'資格研修記録'!$D$5:$D$1004,"小型船舶1級",'資格研修記録'!$F$5:$F$1004,"")+COUNTIFS('資格研修記録'!$A$5:$A$1004,$A101,'資格研修記録'!$D$5:$D$1004,"小型船舶1級",'資格研修記録'!$F$5:$F$1004,"&gt;="&amp;TODAY()))&gt;0),"1級に含む",IF(COUNTIFS('資格研修記録'!$A$5:$A$1004,$A101,'資格研修記録'!$D$5:$D$1004,E$4)=0,"—",IF(COUNTIFS('資格研修記録'!$A$5:$A$1004,$A101,'資格研修記録'!$D$5:$D$1004,E$4,'資格研修記録'!$F$5:$F$1004,"")+COUNTIFS('資格研修記録'!$A$5:$A$1004,$A101,'資格研修記録'!$D$5:$D$1004,E$4,'資格研修記録'!$F$5:$F$1004,"&gt;="&amp;TODAY())&gt;0,"○","× 期限切れ"))))</f>
        <v/>
      </c>
      <c r="F101" s="15">
        <f>IF(OR($A101="",F$4=""),"",IF(AND(F$4="小型船舶2級",(COUNTIFS('資格研修記録'!$A$5:$A$1004,$A101,'資格研修記録'!$D$5:$D$1004,"小型船舶1級",'資格研修記録'!$F$5:$F$1004,"")+COUNTIFS('資格研修記録'!$A$5:$A$1004,$A101,'資格研修記録'!$D$5:$D$1004,"小型船舶1級",'資格研修記録'!$F$5:$F$1004,"&gt;="&amp;TODAY()))&gt;0),"1級に含む",IF(COUNTIFS('資格研修記録'!$A$5:$A$1004,$A101,'資格研修記録'!$D$5:$D$1004,F$4)=0,"—",IF(COUNTIFS('資格研修記録'!$A$5:$A$1004,$A101,'資格研修記録'!$D$5:$D$1004,F$4,'資格研修記録'!$F$5:$F$1004,"")+COUNTIFS('資格研修記録'!$A$5:$A$1004,$A101,'資格研修記録'!$D$5:$D$1004,F$4,'資格研修記録'!$F$5:$F$1004,"&gt;="&amp;TODAY())&gt;0,"○","× 期限切れ"))))</f>
        <v/>
      </c>
      <c r="G101" s="15">
        <f>IF(OR($A101="",G$4=""),"",IF(AND(G$4="小型船舶2級",(COUNTIFS('資格研修記録'!$A$5:$A$1004,$A101,'資格研修記録'!$D$5:$D$1004,"小型船舶1級",'資格研修記録'!$F$5:$F$1004,"")+COUNTIFS('資格研修記録'!$A$5:$A$1004,$A101,'資格研修記録'!$D$5:$D$1004,"小型船舶1級",'資格研修記録'!$F$5:$F$1004,"&gt;="&amp;TODAY()))&gt;0),"1級に含む",IF(COUNTIFS('資格研修記録'!$A$5:$A$1004,$A101,'資格研修記録'!$D$5:$D$1004,G$4)=0,"—",IF(COUNTIFS('資格研修記録'!$A$5:$A$1004,$A101,'資格研修記録'!$D$5:$D$1004,G$4,'資格研修記録'!$F$5:$F$1004,"")+COUNTIFS('資格研修記録'!$A$5:$A$1004,$A101,'資格研修記録'!$D$5:$D$1004,G$4,'資格研修記録'!$F$5:$F$1004,"&gt;="&amp;TODAY())&gt;0,"○","× 期限切れ"))))</f>
        <v/>
      </c>
      <c r="H101" s="15">
        <f>IF(OR($A101="",H$4=""),"",IF(AND(H$4="小型船舶2級",(COUNTIFS('資格研修記録'!$A$5:$A$1004,$A101,'資格研修記録'!$D$5:$D$1004,"小型船舶1級",'資格研修記録'!$F$5:$F$1004,"")+COUNTIFS('資格研修記録'!$A$5:$A$1004,$A101,'資格研修記録'!$D$5:$D$1004,"小型船舶1級",'資格研修記録'!$F$5:$F$1004,"&gt;="&amp;TODAY()))&gt;0),"1級に含む",IF(COUNTIFS('資格研修記録'!$A$5:$A$1004,$A101,'資格研修記録'!$D$5:$D$1004,H$4)=0,"—",IF(COUNTIFS('資格研修記録'!$A$5:$A$1004,$A101,'資格研修記録'!$D$5:$D$1004,H$4,'資格研修記録'!$F$5:$F$1004,"")+COUNTIFS('資格研修記録'!$A$5:$A$1004,$A101,'資格研修記録'!$D$5:$D$1004,H$4,'資格研修記録'!$F$5:$F$1004,"&gt;="&amp;TODAY())&gt;0,"○","× 期限切れ"))))</f>
        <v/>
      </c>
      <c r="I101" s="15">
        <f>IF(OR($A101="",I$4=""),"",IF(AND(I$4="小型船舶2級",(COUNTIFS('資格研修記録'!$A$5:$A$1004,$A101,'資格研修記録'!$D$5:$D$1004,"小型船舶1級",'資格研修記録'!$F$5:$F$1004,"")+COUNTIFS('資格研修記録'!$A$5:$A$1004,$A101,'資格研修記録'!$D$5:$D$1004,"小型船舶1級",'資格研修記録'!$F$5:$F$1004,"&gt;="&amp;TODAY()))&gt;0),"1級に含む",IF(COUNTIFS('資格研修記録'!$A$5:$A$1004,$A101,'資格研修記録'!$D$5:$D$1004,I$4)=0,"—",IF(COUNTIFS('資格研修記録'!$A$5:$A$1004,$A101,'資格研修記録'!$D$5:$D$1004,I$4,'資格研修記録'!$F$5:$F$1004,"")+COUNTIFS('資格研修記録'!$A$5:$A$1004,$A101,'資格研修記録'!$D$5:$D$1004,I$4,'資格研修記録'!$F$5:$F$1004,"&gt;="&amp;TODAY())&gt;0,"○","× 期限切れ"))))</f>
        <v/>
      </c>
      <c r="J101" s="15">
        <f>IF(OR($A101="",J$4=""),"",IF(AND(J$4="小型船舶2級",(COUNTIFS('資格研修記録'!$A$5:$A$1004,$A101,'資格研修記録'!$D$5:$D$1004,"小型船舶1級",'資格研修記録'!$F$5:$F$1004,"")+COUNTIFS('資格研修記録'!$A$5:$A$1004,$A101,'資格研修記録'!$D$5:$D$1004,"小型船舶1級",'資格研修記録'!$F$5:$F$1004,"&gt;="&amp;TODAY()))&gt;0),"1級に含む",IF(COUNTIFS('資格研修記録'!$A$5:$A$1004,$A101,'資格研修記録'!$D$5:$D$1004,J$4)=0,"—",IF(COUNTIFS('資格研修記録'!$A$5:$A$1004,$A101,'資格研修記録'!$D$5:$D$1004,J$4,'資格研修記録'!$F$5:$F$1004,"")+COUNTIFS('資格研修記録'!$A$5:$A$1004,$A101,'資格研修記録'!$D$5:$D$1004,J$4,'資格研修記録'!$F$5:$F$1004,"&gt;="&amp;TODAY())&gt;0,"○","× 期限切れ"))))</f>
        <v/>
      </c>
      <c r="K101" s="15">
        <f>IF(OR($A101="",K$4=""),"",IF(AND(K$4="小型船舶2級",(COUNTIFS('資格研修記録'!$A$5:$A$1004,$A101,'資格研修記録'!$D$5:$D$1004,"小型船舶1級",'資格研修記録'!$F$5:$F$1004,"")+COUNTIFS('資格研修記録'!$A$5:$A$1004,$A101,'資格研修記録'!$D$5:$D$1004,"小型船舶1級",'資格研修記録'!$F$5:$F$1004,"&gt;="&amp;TODAY()))&gt;0),"1級に含む",IF(COUNTIFS('資格研修記録'!$A$5:$A$1004,$A101,'資格研修記録'!$D$5:$D$1004,K$4)=0,"—",IF(COUNTIFS('資格研修記録'!$A$5:$A$1004,$A101,'資格研修記録'!$D$5:$D$1004,K$4,'資格研修記録'!$F$5:$F$1004,"")+COUNTIFS('資格研修記録'!$A$5:$A$1004,$A101,'資格研修記録'!$D$5:$D$1004,K$4,'資格研修記録'!$F$5:$F$1004,"&gt;="&amp;TODAY())&gt;0,"○","× 期限切れ"))))</f>
        <v/>
      </c>
      <c r="L101" s="15">
        <f>IF(OR($A101="",L$4=""),"",IF(AND(L$4="小型船舶2級",(COUNTIFS('資格研修記録'!$A$5:$A$1004,$A101,'資格研修記録'!$D$5:$D$1004,"小型船舶1級",'資格研修記録'!$F$5:$F$1004,"")+COUNTIFS('資格研修記録'!$A$5:$A$1004,$A101,'資格研修記録'!$D$5:$D$1004,"小型船舶1級",'資格研修記録'!$F$5:$F$1004,"&gt;="&amp;TODAY()))&gt;0),"1級に含む",IF(COUNTIFS('資格研修記録'!$A$5:$A$1004,$A101,'資格研修記録'!$D$5:$D$1004,L$4)=0,"—",IF(COUNTIFS('資格研修記録'!$A$5:$A$1004,$A101,'資格研修記録'!$D$5:$D$1004,L$4,'資格研修記録'!$F$5:$F$1004,"")+COUNTIFS('資格研修記録'!$A$5:$A$1004,$A101,'資格研修記録'!$D$5:$D$1004,L$4,'資格研修記録'!$F$5:$F$1004,"&gt;="&amp;TODAY())&gt;0,"○","× 期限切れ"))))</f>
        <v/>
      </c>
    </row>
    <row r="102">
      <c r="A102" s="14">
        <f>IF('隊員マスタ'!A102="","",'隊員マスタ'!A102)</f>
        <v/>
      </c>
      <c r="B102" s="14">
        <f>IF(A102="","",'隊員マスタ'!B102)</f>
        <v/>
      </c>
      <c r="C102" s="14">
        <f>IF(A102="","",'隊員マスタ'!C102)</f>
        <v/>
      </c>
      <c r="D102" s="15">
        <f>IF(A102="","",'隊員マスタ'!D102)</f>
        <v/>
      </c>
      <c r="E102" s="15">
        <f>IF(OR($A102="",E$4=""),"",IF(AND(E$4="小型船舶2級",(COUNTIFS('資格研修記録'!$A$5:$A$1004,$A102,'資格研修記録'!$D$5:$D$1004,"小型船舶1級",'資格研修記録'!$F$5:$F$1004,"")+COUNTIFS('資格研修記録'!$A$5:$A$1004,$A102,'資格研修記録'!$D$5:$D$1004,"小型船舶1級",'資格研修記録'!$F$5:$F$1004,"&gt;="&amp;TODAY()))&gt;0),"1級に含む",IF(COUNTIFS('資格研修記録'!$A$5:$A$1004,$A102,'資格研修記録'!$D$5:$D$1004,E$4)=0,"—",IF(COUNTIFS('資格研修記録'!$A$5:$A$1004,$A102,'資格研修記録'!$D$5:$D$1004,E$4,'資格研修記録'!$F$5:$F$1004,"")+COUNTIFS('資格研修記録'!$A$5:$A$1004,$A102,'資格研修記録'!$D$5:$D$1004,E$4,'資格研修記録'!$F$5:$F$1004,"&gt;="&amp;TODAY())&gt;0,"○","× 期限切れ"))))</f>
        <v/>
      </c>
      <c r="F102" s="15">
        <f>IF(OR($A102="",F$4=""),"",IF(AND(F$4="小型船舶2級",(COUNTIFS('資格研修記録'!$A$5:$A$1004,$A102,'資格研修記録'!$D$5:$D$1004,"小型船舶1級",'資格研修記録'!$F$5:$F$1004,"")+COUNTIFS('資格研修記録'!$A$5:$A$1004,$A102,'資格研修記録'!$D$5:$D$1004,"小型船舶1級",'資格研修記録'!$F$5:$F$1004,"&gt;="&amp;TODAY()))&gt;0),"1級に含む",IF(COUNTIFS('資格研修記録'!$A$5:$A$1004,$A102,'資格研修記録'!$D$5:$D$1004,F$4)=0,"—",IF(COUNTIFS('資格研修記録'!$A$5:$A$1004,$A102,'資格研修記録'!$D$5:$D$1004,F$4,'資格研修記録'!$F$5:$F$1004,"")+COUNTIFS('資格研修記録'!$A$5:$A$1004,$A102,'資格研修記録'!$D$5:$D$1004,F$4,'資格研修記録'!$F$5:$F$1004,"&gt;="&amp;TODAY())&gt;0,"○","× 期限切れ"))))</f>
        <v/>
      </c>
      <c r="G102" s="15">
        <f>IF(OR($A102="",G$4=""),"",IF(AND(G$4="小型船舶2級",(COUNTIFS('資格研修記録'!$A$5:$A$1004,$A102,'資格研修記録'!$D$5:$D$1004,"小型船舶1級",'資格研修記録'!$F$5:$F$1004,"")+COUNTIFS('資格研修記録'!$A$5:$A$1004,$A102,'資格研修記録'!$D$5:$D$1004,"小型船舶1級",'資格研修記録'!$F$5:$F$1004,"&gt;="&amp;TODAY()))&gt;0),"1級に含む",IF(COUNTIFS('資格研修記録'!$A$5:$A$1004,$A102,'資格研修記録'!$D$5:$D$1004,G$4)=0,"—",IF(COUNTIFS('資格研修記録'!$A$5:$A$1004,$A102,'資格研修記録'!$D$5:$D$1004,G$4,'資格研修記録'!$F$5:$F$1004,"")+COUNTIFS('資格研修記録'!$A$5:$A$1004,$A102,'資格研修記録'!$D$5:$D$1004,G$4,'資格研修記録'!$F$5:$F$1004,"&gt;="&amp;TODAY())&gt;0,"○","× 期限切れ"))))</f>
        <v/>
      </c>
      <c r="H102" s="15">
        <f>IF(OR($A102="",H$4=""),"",IF(AND(H$4="小型船舶2級",(COUNTIFS('資格研修記録'!$A$5:$A$1004,$A102,'資格研修記録'!$D$5:$D$1004,"小型船舶1級",'資格研修記録'!$F$5:$F$1004,"")+COUNTIFS('資格研修記録'!$A$5:$A$1004,$A102,'資格研修記録'!$D$5:$D$1004,"小型船舶1級",'資格研修記録'!$F$5:$F$1004,"&gt;="&amp;TODAY()))&gt;0),"1級に含む",IF(COUNTIFS('資格研修記録'!$A$5:$A$1004,$A102,'資格研修記録'!$D$5:$D$1004,H$4)=0,"—",IF(COUNTIFS('資格研修記録'!$A$5:$A$1004,$A102,'資格研修記録'!$D$5:$D$1004,H$4,'資格研修記録'!$F$5:$F$1004,"")+COUNTIFS('資格研修記録'!$A$5:$A$1004,$A102,'資格研修記録'!$D$5:$D$1004,H$4,'資格研修記録'!$F$5:$F$1004,"&gt;="&amp;TODAY())&gt;0,"○","× 期限切れ"))))</f>
        <v/>
      </c>
      <c r="I102" s="15">
        <f>IF(OR($A102="",I$4=""),"",IF(AND(I$4="小型船舶2級",(COUNTIFS('資格研修記録'!$A$5:$A$1004,$A102,'資格研修記録'!$D$5:$D$1004,"小型船舶1級",'資格研修記録'!$F$5:$F$1004,"")+COUNTIFS('資格研修記録'!$A$5:$A$1004,$A102,'資格研修記録'!$D$5:$D$1004,"小型船舶1級",'資格研修記録'!$F$5:$F$1004,"&gt;="&amp;TODAY()))&gt;0),"1級に含む",IF(COUNTIFS('資格研修記録'!$A$5:$A$1004,$A102,'資格研修記録'!$D$5:$D$1004,I$4)=0,"—",IF(COUNTIFS('資格研修記録'!$A$5:$A$1004,$A102,'資格研修記録'!$D$5:$D$1004,I$4,'資格研修記録'!$F$5:$F$1004,"")+COUNTIFS('資格研修記録'!$A$5:$A$1004,$A102,'資格研修記録'!$D$5:$D$1004,I$4,'資格研修記録'!$F$5:$F$1004,"&gt;="&amp;TODAY())&gt;0,"○","× 期限切れ"))))</f>
        <v/>
      </c>
      <c r="J102" s="15">
        <f>IF(OR($A102="",J$4=""),"",IF(AND(J$4="小型船舶2級",(COUNTIFS('資格研修記録'!$A$5:$A$1004,$A102,'資格研修記録'!$D$5:$D$1004,"小型船舶1級",'資格研修記録'!$F$5:$F$1004,"")+COUNTIFS('資格研修記録'!$A$5:$A$1004,$A102,'資格研修記録'!$D$5:$D$1004,"小型船舶1級",'資格研修記録'!$F$5:$F$1004,"&gt;="&amp;TODAY()))&gt;0),"1級に含む",IF(COUNTIFS('資格研修記録'!$A$5:$A$1004,$A102,'資格研修記録'!$D$5:$D$1004,J$4)=0,"—",IF(COUNTIFS('資格研修記録'!$A$5:$A$1004,$A102,'資格研修記録'!$D$5:$D$1004,J$4,'資格研修記録'!$F$5:$F$1004,"")+COUNTIFS('資格研修記録'!$A$5:$A$1004,$A102,'資格研修記録'!$D$5:$D$1004,J$4,'資格研修記録'!$F$5:$F$1004,"&gt;="&amp;TODAY())&gt;0,"○","× 期限切れ"))))</f>
        <v/>
      </c>
      <c r="K102" s="15">
        <f>IF(OR($A102="",K$4=""),"",IF(AND(K$4="小型船舶2級",(COUNTIFS('資格研修記録'!$A$5:$A$1004,$A102,'資格研修記録'!$D$5:$D$1004,"小型船舶1級",'資格研修記録'!$F$5:$F$1004,"")+COUNTIFS('資格研修記録'!$A$5:$A$1004,$A102,'資格研修記録'!$D$5:$D$1004,"小型船舶1級",'資格研修記録'!$F$5:$F$1004,"&gt;="&amp;TODAY()))&gt;0),"1級に含む",IF(COUNTIFS('資格研修記録'!$A$5:$A$1004,$A102,'資格研修記録'!$D$5:$D$1004,K$4)=0,"—",IF(COUNTIFS('資格研修記録'!$A$5:$A$1004,$A102,'資格研修記録'!$D$5:$D$1004,K$4,'資格研修記録'!$F$5:$F$1004,"")+COUNTIFS('資格研修記録'!$A$5:$A$1004,$A102,'資格研修記録'!$D$5:$D$1004,K$4,'資格研修記録'!$F$5:$F$1004,"&gt;="&amp;TODAY())&gt;0,"○","× 期限切れ"))))</f>
        <v/>
      </c>
      <c r="L102" s="15">
        <f>IF(OR($A102="",L$4=""),"",IF(AND(L$4="小型船舶2級",(COUNTIFS('資格研修記録'!$A$5:$A$1004,$A102,'資格研修記録'!$D$5:$D$1004,"小型船舶1級",'資格研修記録'!$F$5:$F$1004,"")+COUNTIFS('資格研修記録'!$A$5:$A$1004,$A102,'資格研修記録'!$D$5:$D$1004,"小型船舶1級",'資格研修記録'!$F$5:$F$1004,"&gt;="&amp;TODAY()))&gt;0),"1級に含む",IF(COUNTIFS('資格研修記録'!$A$5:$A$1004,$A102,'資格研修記録'!$D$5:$D$1004,L$4)=0,"—",IF(COUNTIFS('資格研修記録'!$A$5:$A$1004,$A102,'資格研修記録'!$D$5:$D$1004,L$4,'資格研修記録'!$F$5:$F$1004,"")+COUNTIFS('資格研修記録'!$A$5:$A$1004,$A102,'資格研修記録'!$D$5:$D$1004,L$4,'資格研修記録'!$F$5:$F$1004,"&gt;="&amp;TODAY())&gt;0,"○","× 期限切れ"))))</f>
        <v/>
      </c>
    </row>
    <row r="103">
      <c r="A103" s="14">
        <f>IF('隊員マスタ'!A103="","",'隊員マスタ'!A103)</f>
        <v/>
      </c>
      <c r="B103" s="14">
        <f>IF(A103="","",'隊員マスタ'!B103)</f>
        <v/>
      </c>
      <c r="C103" s="14">
        <f>IF(A103="","",'隊員マスタ'!C103)</f>
        <v/>
      </c>
      <c r="D103" s="15">
        <f>IF(A103="","",'隊員マスタ'!D103)</f>
        <v/>
      </c>
      <c r="E103" s="15">
        <f>IF(OR($A103="",E$4=""),"",IF(AND(E$4="小型船舶2級",(COUNTIFS('資格研修記録'!$A$5:$A$1004,$A103,'資格研修記録'!$D$5:$D$1004,"小型船舶1級",'資格研修記録'!$F$5:$F$1004,"")+COUNTIFS('資格研修記録'!$A$5:$A$1004,$A103,'資格研修記録'!$D$5:$D$1004,"小型船舶1級",'資格研修記録'!$F$5:$F$1004,"&gt;="&amp;TODAY()))&gt;0),"1級に含む",IF(COUNTIFS('資格研修記録'!$A$5:$A$1004,$A103,'資格研修記録'!$D$5:$D$1004,E$4)=0,"—",IF(COUNTIFS('資格研修記録'!$A$5:$A$1004,$A103,'資格研修記録'!$D$5:$D$1004,E$4,'資格研修記録'!$F$5:$F$1004,"")+COUNTIFS('資格研修記録'!$A$5:$A$1004,$A103,'資格研修記録'!$D$5:$D$1004,E$4,'資格研修記録'!$F$5:$F$1004,"&gt;="&amp;TODAY())&gt;0,"○","× 期限切れ"))))</f>
        <v/>
      </c>
      <c r="F103" s="15">
        <f>IF(OR($A103="",F$4=""),"",IF(AND(F$4="小型船舶2級",(COUNTIFS('資格研修記録'!$A$5:$A$1004,$A103,'資格研修記録'!$D$5:$D$1004,"小型船舶1級",'資格研修記録'!$F$5:$F$1004,"")+COUNTIFS('資格研修記録'!$A$5:$A$1004,$A103,'資格研修記録'!$D$5:$D$1004,"小型船舶1級",'資格研修記録'!$F$5:$F$1004,"&gt;="&amp;TODAY()))&gt;0),"1級に含む",IF(COUNTIFS('資格研修記録'!$A$5:$A$1004,$A103,'資格研修記録'!$D$5:$D$1004,F$4)=0,"—",IF(COUNTIFS('資格研修記録'!$A$5:$A$1004,$A103,'資格研修記録'!$D$5:$D$1004,F$4,'資格研修記録'!$F$5:$F$1004,"")+COUNTIFS('資格研修記録'!$A$5:$A$1004,$A103,'資格研修記録'!$D$5:$D$1004,F$4,'資格研修記録'!$F$5:$F$1004,"&gt;="&amp;TODAY())&gt;0,"○","× 期限切れ"))))</f>
        <v/>
      </c>
      <c r="G103" s="15">
        <f>IF(OR($A103="",G$4=""),"",IF(AND(G$4="小型船舶2級",(COUNTIFS('資格研修記録'!$A$5:$A$1004,$A103,'資格研修記録'!$D$5:$D$1004,"小型船舶1級",'資格研修記録'!$F$5:$F$1004,"")+COUNTIFS('資格研修記録'!$A$5:$A$1004,$A103,'資格研修記録'!$D$5:$D$1004,"小型船舶1級",'資格研修記録'!$F$5:$F$1004,"&gt;="&amp;TODAY()))&gt;0),"1級に含む",IF(COUNTIFS('資格研修記録'!$A$5:$A$1004,$A103,'資格研修記録'!$D$5:$D$1004,G$4)=0,"—",IF(COUNTIFS('資格研修記録'!$A$5:$A$1004,$A103,'資格研修記録'!$D$5:$D$1004,G$4,'資格研修記録'!$F$5:$F$1004,"")+COUNTIFS('資格研修記録'!$A$5:$A$1004,$A103,'資格研修記録'!$D$5:$D$1004,G$4,'資格研修記録'!$F$5:$F$1004,"&gt;="&amp;TODAY())&gt;0,"○","× 期限切れ"))))</f>
        <v/>
      </c>
      <c r="H103" s="15">
        <f>IF(OR($A103="",H$4=""),"",IF(AND(H$4="小型船舶2級",(COUNTIFS('資格研修記録'!$A$5:$A$1004,$A103,'資格研修記録'!$D$5:$D$1004,"小型船舶1級",'資格研修記録'!$F$5:$F$1004,"")+COUNTIFS('資格研修記録'!$A$5:$A$1004,$A103,'資格研修記録'!$D$5:$D$1004,"小型船舶1級",'資格研修記録'!$F$5:$F$1004,"&gt;="&amp;TODAY()))&gt;0),"1級に含む",IF(COUNTIFS('資格研修記録'!$A$5:$A$1004,$A103,'資格研修記録'!$D$5:$D$1004,H$4)=0,"—",IF(COUNTIFS('資格研修記録'!$A$5:$A$1004,$A103,'資格研修記録'!$D$5:$D$1004,H$4,'資格研修記録'!$F$5:$F$1004,"")+COUNTIFS('資格研修記録'!$A$5:$A$1004,$A103,'資格研修記録'!$D$5:$D$1004,H$4,'資格研修記録'!$F$5:$F$1004,"&gt;="&amp;TODAY())&gt;0,"○","× 期限切れ"))))</f>
        <v/>
      </c>
      <c r="I103" s="15">
        <f>IF(OR($A103="",I$4=""),"",IF(AND(I$4="小型船舶2級",(COUNTIFS('資格研修記録'!$A$5:$A$1004,$A103,'資格研修記録'!$D$5:$D$1004,"小型船舶1級",'資格研修記録'!$F$5:$F$1004,"")+COUNTIFS('資格研修記録'!$A$5:$A$1004,$A103,'資格研修記録'!$D$5:$D$1004,"小型船舶1級",'資格研修記録'!$F$5:$F$1004,"&gt;="&amp;TODAY()))&gt;0),"1級に含む",IF(COUNTIFS('資格研修記録'!$A$5:$A$1004,$A103,'資格研修記録'!$D$5:$D$1004,I$4)=0,"—",IF(COUNTIFS('資格研修記録'!$A$5:$A$1004,$A103,'資格研修記録'!$D$5:$D$1004,I$4,'資格研修記録'!$F$5:$F$1004,"")+COUNTIFS('資格研修記録'!$A$5:$A$1004,$A103,'資格研修記録'!$D$5:$D$1004,I$4,'資格研修記録'!$F$5:$F$1004,"&gt;="&amp;TODAY())&gt;0,"○","× 期限切れ"))))</f>
        <v/>
      </c>
      <c r="J103" s="15">
        <f>IF(OR($A103="",J$4=""),"",IF(AND(J$4="小型船舶2級",(COUNTIFS('資格研修記録'!$A$5:$A$1004,$A103,'資格研修記録'!$D$5:$D$1004,"小型船舶1級",'資格研修記録'!$F$5:$F$1004,"")+COUNTIFS('資格研修記録'!$A$5:$A$1004,$A103,'資格研修記録'!$D$5:$D$1004,"小型船舶1級",'資格研修記録'!$F$5:$F$1004,"&gt;="&amp;TODAY()))&gt;0),"1級に含む",IF(COUNTIFS('資格研修記録'!$A$5:$A$1004,$A103,'資格研修記録'!$D$5:$D$1004,J$4)=0,"—",IF(COUNTIFS('資格研修記録'!$A$5:$A$1004,$A103,'資格研修記録'!$D$5:$D$1004,J$4,'資格研修記録'!$F$5:$F$1004,"")+COUNTIFS('資格研修記録'!$A$5:$A$1004,$A103,'資格研修記録'!$D$5:$D$1004,J$4,'資格研修記録'!$F$5:$F$1004,"&gt;="&amp;TODAY())&gt;0,"○","× 期限切れ"))))</f>
        <v/>
      </c>
      <c r="K103" s="15">
        <f>IF(OR($A103="",K$4=""),"",IF(AND(K$4="小型船舶2級",(COUNTIFS('資格研修記録'!$A$5:$A$1004,$A103,'資格研修記録'!$D$5:$D$1004,"小型船舶1級",'資格研修記録'!$F$5:$F$1004,"")+COUNTIFS('資格研修記録'!$A$5:$A$1004,$A103,'資格研修記録'!$D$5:$D$1004,"小型船舶1級",'資格研修記録'!$F$5:$F$1004,"&gt;="&amp;TODAY()))&gt;0),"1級に含む",IF(COUNTIFS('資格研修記録'!$A$5:$A$1004,$A103,'資格研修記録'!$D$5:$D$1004,K$4)=0,"—",IF(COUNTIFS('資格研修記録'!$A$5:$A$1004,$A103,'資格研修記録'!$D$5:$D$1004,K$4,'資格研修記録'!$F$5:$F$1004,"")+COUNTIFS('資格研修記録'!$A$5:$A$1004,$A103,'資格研修記録'!$D$5:$D$1004,K$4,'資格研修記録'!$F$5:$F$1004,"&gt;="&amp;TODAY())&gt;0,"○","× 期限切れ"))))</f>
        <v/>
      </c>
      <c r="L103" s="15">
        <f>IF(OR($A103="",L$4=""),"",IF(AND(L$4="小型船舶2級",(COUNTIFS('資格研修記録'!$A$5:$A$1004,$A103,'資格研修記録'!$D$5:$D$1004,"小型船舶1級",'資格研修記録'!$F$5:$F$1004,"")+COUNTIFS('資格研修記録'!$A$5:$A$1004,$A103,'資格研修記録'!$D$5:$D$1004,"小型船舶1級",'資格研修記録'!$F$5:$F$1004,"&gt;="&amp;TODAY()))&gt;0),"1級に含む",IF(COUNTIFS('資格研修記録'!$A$5:$A$1004,$A103,'資格研修記録'!$D$5:$D$1004,L$4)=0,"—",IF(COUNTIFS('資格研修記録'!$A$5:$A$1004,$A103,'資格研修記録'!$D$5:$D$1004,L$4,'資格研修記録'!$F$5:$F$1004,"")+COUNTIFS('資格研修記録'!$A$5:$A$1004,$A103,'資格研修記録'!$D$5:$D$1004,L$4,'資格研修記録'!$F$5:$F$1004,"&gt;="&amp;TODAY())&gt;0,"○","× 期限切れ"))))</f>
        <v/>
      </c>
    </row>
    <row r="104">
      <c r="A104" s="14">
        <f>IF('隊員マスタ'!A104="","",'隊員マスタ'!A104)</f>
        <v/>
      </c>
      <c r="B104" s="14">
        <f>IF(A104="","",'隊員マスタ'!B104)</f>
        <v/>
      </c>
      <c r="C104" s="14">
        <f>IF(A104="","",'隊員マスタ'!C104)</f>
        <v/>
      </c>
      <c r="D104" s="15">
        <f>IF(A104="","",'隊員マスタ'!D104)</f>
        <v/>
      </c>
      <c r="E104" s="15">
        <f>IF(OR($A104="",E$4=""),"",IF(AND(E$4="小型船舶2級",(COUNTIFS('資格研修記録'!$A$5:$A$1004,$A104,'資格研修記録'!$D$5:$D$1004,"小型船舶1級",'資格研修記録'!$F$5:$F$1004,"")+COUNTIFS('資格研修記録'!$A$5:$A$1004,$A104,'資格研修記録'!$D$5:$D$1004,"小型船舶1級",'資格研修記録'!$F$5:$F$1004,"&gt;="&amp;TODAY()))&gt;0),"1級に含む",IF(COUNTIFS('資格研修記録'!$A$5:$A$1004,$A104,'資格研修記録'!$D$5:$D$1004,E$4)=0,"—",IF(COUNTIFS('資格研修記録'!$A$5:$A$1004,$A104,'資格研修記録'!$D$5:$D$1004,E$4,'資格研修記録'!$F$5:$F$1004,"")+COUNTIFS('資格研修記録'!$A$5:$A$1004,$A104,'資格研修記録'!$D$5:$D$1004,E$4,'資格研修記録'!$F$5:$F$1004,"&gt;="&amp;TODAY())&gt;0,"○","× 期限切れ"))))</f>
        <v/>
      </c>
      <c r="F104" s="15">
        <f>IF(OR($A104="",F$4=""),"",IF(AND(F$4="小型船舶2級",(COUNTIFS('資格研修記録'!$A$5:$A$1004,$A104,'資格研修記録'!$D$5:$D$1004,"小型船舶1級",'資格研修記録'!$F$5:$F$1004,"")+COUNTIFS('資格研修記録'!$A$5:$A$1004,$A104,'資格研修記録'!$D$5:$D$1004,"小型船舶1級",'資格研修記録'!$F$5:$F$1004,"&gt;="&amp;TODAY()))&gt;0),"1級に含む",IF(COUNTIFS('資格研修記録'!$A$5:$A$1004,$A104,'資格研修記録'!$D$5:$D$1004,F$4)=0,"—",IF(COUNTIFS('資格研修記録'!$A$5:$A$1004,$A104,'資格研修記録'!$D$5:$D$1004,F$4,'資格研修記録'!$F$5:$F$1004,"")+COUNTIFS('資格研修記録'!$A$5:$A$1004,$A104,'資格研修記録'!$D$5:$D$1004,F$4,'資格研修記録'!$F$5:$F$1004,"&gt;="&amp;TODAY())&gt;0,"○","× 期限切れ"))))</f>
        <v/>
      </c>
      <c r="G104" s="15">
        <f>IF(OR($A104="",G$4=""),"",IF(AND(G$4="小型船舶2級",(COUNTIFS('資格研修記録'!$A$5:$A$1004,$A104,'資格研修記録'!$D$5:$D$1004,"小型船舶1級",'資格研修記録'!$F$5:$F$1004,"")+COUNTIFS('資格研修記録'!$A$5:$A$1004,$A104,'資格研修記録'!$D$5:$D$1004,"小型船舶1級",'資格研修記録'!$F$5:$F$1004,"&gt;="&amp;TODAY()))&gt;0),"1級に含む",IF(COUNTIFS('資格研修記録'!$A$5:$A$1004,$A104,'資格研修記録'!$D$5:$D$1004,G$4)=0,"—",IF(COUNTIFS('資格研修記録'!$A$5:$A$1004,$A104,'資格研修記録'!$D$5:$D$1004,G$4,'資格研修記録'!$F$5:$F$1004,"")+COUNTIFS('資格研修記録'!$A$5:$A$1004,$A104,'資格研修記録'!$D$5:$D$1004,G$4,'資格研修記録'!$F$5:$F$1004,"&gt;="&amp;TODAY())&gt;0,"○","× 期限切れ"))))</f>
        <v/>
      </c>
      <c r="H104" s="15">
        <f>IF(OR($A104="",H$4=""),"",IF(AND(H$4="小型船舶2級",(COUNTIFS('資格研修記録'!$A$5:$A$1004,$A104,'資格研修記録'!$D$5:$D$1004,"小型船舶1級",'資格研修記録'!$F$5:$F$1004,"")+COUNTIFS('資格研修記録'!$A$5:$A$1004,$A104,'資格研修記録'!$D$5:$D$1004,"小型船舶1級",'資格研修記録'!$F$5:$F$1004,"&gt;="&amp;TODAY()))&gt;0),"1級に含む",IF(COUNTIFS('資格研修記録'!$A$5:$A$1004,$A104,'資格研修記録'!$D$5:$D$1004,H$4)=0,"—",IF(COUNTIFS('資格研修記録'!$A$5:$A$1004,$A104,'資格研修記録'!$D$5:$D$1004,H$4,'資格研修記録'!$F$5:$F$1004,"")+COUNTIFS('資格研修記録'!$A$5:$A$1004,$A104,'資格研修記録'!$D$5:$D$1004,H$4,'資格研修記録'!$F$5:$F$1004,"&gt;="&amp;TODAY())&gt;0,"○","× 期限切れ"))))</f>
        <v/>
      </c>
      <c r="I104" s="15">
        <f>IF(OR($A104="",I$4=""),"",IF(AND(I$4="小型船舶2級",(COUNTIFS('資格研修記録'!$A$5:$A$1004,$A104,'資格研修記録'!$D$5:$D$1004,"小型船舶1級",'資格研修記録'!$F$5:$F$1004,"")+COUNTIFS('資格研修記録'!$A$5:$A$1004,$A104,'資格研修記録'!$D$5:$D$1004,"小型船舶1級",'資格研修記録'!$F$5:$F$1004,"&gt;="&amp;TODAY()))&gt;0),"1級に含む",IF(COUNTIFS('資格研修記録'!$A$5:$A$1004,$A104,'資格研修記録'!$D$5:$D$1004,I$4)=0,"—",IF(COUNTIFS('資格研修記録'!$A$5:$A$1004,$A104,'資格研修記録'!$D$5:$D$1004,I$4,'資格研修記録'!$F$5:$F$1004,"")+COUNTIFS('資格研修記録'!$A$5:$A$1004,$A104,'資格研修記録'!$D$5:$D$1004,I$4,'資格研修記録'!$F$5:$F$1004,"&gt;="&amp;TODAY())&gt;0,"○","× 期限切れ"))))</f>
        <v/>
      </c>
      <c r="J104" s="15">
        <f>IF(OR($A104="",J$4=""),"",IF(AND(J$4="小型船舶2級",(COUNTIFS('資格研修記録'!$A$5:$A$1004,$A104,'資格研修記録'!$D$5:$D$1004,"小型船舶1級",'資格研修記録'!$F$5:$F$1004,"")+COUNTIFS('資格研修記録'!$A$5:$A$1004,$A104,'資格研修記録'!$D$5:$D$1004,"小型船舶1級",'資格研修記録'!$F$5:$F$1004,"&gt;="&amp;TODAY()))&gt;0),"1級に含む",IF(COUNTIFS('資格研修記録'!$A$5:$A$1004,$A104,'資格研修記録'!$D$5:$D$1004,J$4)=0,"—",IF(COUNTIFS('資格研修記録'!$A$5:$A$1004,$A104,'資格研修記録'!$D$5:$D$1004,J$4,'資格研修記録'!$F$5:$F$1004,"")+COUNTIFS('資格研修記録'!$A$5:$A$1004,$A104,'資格研修記録'!$D$5:$D$1004,J$4,'資格研修記録'!$F$5:$F$1004,"&gt;="&amp;TODAY())&gt;0,"○","× 期限切れ"))))</f>
        <v/>
      </c>
      <c r="K104" s="15">
        <f>IF(OR($A104="",K$4=""),"",IF(AND(K$4="小型船舶2級",(COUNTIFS('資格研修記録'!$A$5:$A$1004,$A104,'資格研修記録'!$D$5:$D$1004,"小型船舶1級",'資格研修記録'!$F$5:$F$1004,"")+COUNTIFS('資格研修記録'!$A$5:$A$1004,$A104,'資格研修記録'!$D$5:$D$1004,"小型船舶1級",'資格研修記録'!$F$5:$F$1004,"&gt;="&amp;TODAY()))&gt;0),"1級に含む",IF(COUNTIFS('資格研修記録'!$A$5:$A$1004,$A104,'資格研修記録'!$D$5:$D$1004,K$4)=0,"—",IF(COUNTIFS('資格研修記録'!$A$5:$A$1004,$A104,'資格研修記録'!$D$5:$D$1004,K$4,'資格研修記録'!$F$5:$F$1004,"")+COUNTIFS('資格研修記録'!$A$5:$A$1004,$A104,'資格研修記録'!$D$5:$D$1004,K$4,'資格研修記録'!$F$5:$F$1004,"&gt;="&amp;TODAY())&gt;0,"○","× 期限切れ"))))</f>
        <v/>
      </c>
      <c r="L104" s="15">
        <f>IF(OR($A104="",L$4=""),"",IF(AND(L$4="小型船舶2級",(COUNTIFS('資格研修記録'!$A$5:$A$1004,$A104,'資格研修記録'!$D$5:$D$1004,"小型船舶1級",'資格研修記録'!$F$5:$F$1004,"")+COUNTIFS('資格研修記録'!$A$5:$A$1004,$A104,'資格研修記録'!$D$5:$D$1004,"小型船舶1級",'資格研修記録'!$F$5:$F$1004,"&gt;="&amp;TODAY()))&gt;0),"1級に含む",IF(COUNTIFS('資格研修記録'!$A$5:$A$1004,$A104,'資格研修記録'!$D$5:$D$1004,L$4)=0,"—",IF(COUNTIFS('資格研修記録'!$A$5:$A$1004,$A104,'資格研修記録'!$D$5:$D$1004,L$4,'資格研修記録'!$F$5:$F$1004,"")+COUNTIFS('資格研修記録'!$A$5:$A$1004,$A104,'資格研修記録'!$D$5:$D$1004,L$4,'資格研修記録'!$F$5:$F$1004,"&gt;="&amp;TODAY())&gt;0,"○","× 期限切れ"))))</f>
        <v/>
      </c>
    </row>
    <row r="105">
      <c r="A105" s="14">
        <f>IF('隊員マスタ'!A105="","",'隊員マスタ'!A105)</f>
        <v/>
      </c>
      <c r="B105" s="14">
        <f>IF(A105="","",'隊員マスタ'!B105)</f>
        <v/>
      </c>
      <c r="C105" s="14">
        <f>IF(A105="","",'隊員マスタ'!C105)</f>
        <v/>
      </c>
      <c r="D105" s="15">
        <f>IF(A105="","",'隊員マスタ'!D105)</f>
        <v/>
      </c>
      <c r="E105" s="15">
        <f>IF(OR($A105="",E$4=""),"",IF(AND(E$4="小型船舶2級",(COUNTIFS('資格研修記録'!$A$5:$A$1004,$A105,'資格研修記録'!$D$5:$D$1004,"小型船舶1級",'資格研修記録'!$F$5:$F$1004,"")+COUNTIFS('資格研修記録'!$A$5:$A$1004,$A105,'資格研修記録'!$D$5:$D$1004,"小型船舶1級",'資格研修記録'!$F$5:$F$1004,"&gt;="&amp;TODAY()))&gt;0),"1級に含む",IF(COUNTIFS('資格研修記録'!$A$5:$A$1004,$A105,'資格研修記録'!$D$5:$D$1004,E$4)=0,"—",IF(COUNTIFS('資格研修記録'!$A$5:$A$1004,$A105,'資格研修記録'!$D$5:$D$1004,E$4,'資格研修記録'!$F$5:$F$1004,"")+COUNTIFS('資格研修記録'!$A$5:$A$1004,$A105,'資格研修記録'!$D$5:$D$1004,E$4,'資格研修記録'!$F$5:$F$1004,"&gt;="&amp;TODAY())&gt;0,"○","× 期限切れ"))))</f>
        <v/>
      </c>
      <c r="F105" s="15">
        <f>IF(OR($A105="",F$4=""),"",IF(AND(F$4="小型船舶2級",(COUNTIFS('資格研修記録'!$A$5:$A$1004,$A105,'資格研修記録'!$D$5:$D$1004,"小型船舶1級",'資格研修記録'!$F$5:$F$1004,"")+COUNTIFS('資格研修記録'!$A$5:$A$1004,$A105,'資格研修記録'!$D$5:$D$1004,"小型船舶1級",'資格研修記録'!$F$5:$F$1004,"&gt;="&amp;TODAY()))&gt;0),"1級に含む",IF(COUNTIFS('資格研修記録'!$A$5:$A$1004,$A105,'資格研修記録'!$D$5:$D$1004,F$4)=0,"—",IF(COUNTIFS('資格研修記録'!$A$5:$A$1004,$A105,'資格研修記録'!$D$5:$D$1004,F$4,'資格研修記録'!$F$5:$F$1004,"")+COUNTIFS('資格研修記録'!$A$5:$A$1004,$A105,'資格研修記録'!$D$5:$D$1004,F$4,'資格研修記録'!$F$5:$F$1004,"&gt;="&amp;TODAY())&gt;0,"○","× 期限切れ"))))</f>
        <v/>
      </c>
      <c r="G105" s="15">
        <f>IF(OR($A105="",G$4=""),"",IF(AND(G$4="小型船舶2級",(COUNTIFS('資格研修記録'!$A$5:$A$1004,$A105,'資格研修記録'!$D$5:$D$1004,"小型船舶1級",'資格研修記録'!$F$5:$F$1004,"")+COUNTIFS('資格研修記録'!$A$5:$A$1004,$A105,'資格研修記録'!$D$5:$D$1004,"小型船舶1級",'資格研修記録'!$F$5:$F$1004,"&gt;="&amp;TODAY()))&gt;0),"1級に含む",IF(COUNTIFS('資格研修記録'!$A$5:$A$1004,$A105,'資格研修記録'!$D$5:$D$1004,G$4)=0,"—",IF(COUNTIFS('資格研修記録'!$A$5:$A$1004,$A105,'資格研修記録'!$D$5:$D$1004,G$4,'資格研修記録'!$F$5:$F$1004,"")+COUNTIFS('資格研修記録'!$A$5:$A$1004,$A105,'資格研修記録'!$D$5:$D$1004,G$4,'資格研修記録'!$F$5:$F$1004,"&gt;="&amp;TODAY())&gt;0,"○","× 期限切れ"))))</f>
        <v/>
      </c>
      <c r="H105" s="15">
        <f>IF(OR($A105="",H$4=""),"",IF(AND(H$4="小型船舶2級",(COUNTIFS('資格研修記録'!$A$5:$A$1004,$A105,'資格研修記録'!$D$5:$D$1004,"小型船舶1級",'資格研修記録'!$F$5:$F$1004,"")+COUNTIFS('資格研修記録'!$A$5:$A$1004,$A105,'資格研修記録'!$D$5:$D$1004,"小型船舶1級",'資格研修記録'!$F$5:$F$1004,"&gt;="&amp;TODAY()))&gt;0),"1級に含む",IF(COUNTIFS('資格研修記録'!$A$5:$A$1004,$A105,'資格研修記録'!$D$5:$D$1004,H$4)=0,"—",IF(COUNTIFS('資格研修記録'!$A$5:$A$1004,$A105,'資格研修記録'!$D$5:$D$1004,H$4,'資格研修記録'!$F$5:$F$1004,"")+COUNTIFS('資格研修記録'!$A$5:$A$1004,$A105,'資格研修記録'!$D$5:$D$1004,H$4,'資格研修記録'!$F$5:$F$1004,"&gt;="&amp;TODAY())&gt;0,"○","× 期限切れ"))))</f>
        <v/>
      </c>
      <c r="I105" s="15">
        <f>IF(OR($A105="",I$4=""),"",IF(AND(I$4="小型船舶2級",(COUNTIFS('資格研修記録'!$A$5:$A$1004,$A105,'資格研修記録'!$D$5:$D$1004,"小型船舶1級",'資格研修記録'!$F$5:$F$1004,"")+COUNTIFS('資格研修記録'!$A$5:$A$1004,$A105,'資格研修記録'!$D$5:$D$1004,"小型船舶1級",'資格研修記録'!$F$5:$F$1004,"&gt;="&amp;TODAY()))&gt;0),"1級に含む",IF(COUNTIFS('資格研修記録'!$A$5:$A$1004,$A105,'資格研修記録'!$D$5:$D$1004,I$4)=0,"—",IF(COUNTIFS('資格研修記録'!$A$5:$A$1004,$A105,'資格研修記録'!$D$5:$D$1004,I$4,'資格研修記録'!$F$5:$F$1004,"")+COUNTIFS('資格研修記録'!$A$5:$A$1004,$A105,'資格研修記録'!$D$5:$D$1004,I$4,'資格研修記録'!$F$5:$F$1004,"&gt;="&amp;TODAY())&gt;0,"○","× 期限切れ"))))</f>
        <v/>
      </c>
      <c r="J105" s="15">
        <f>IF(OR($A105="",J$4=""),"",IF(AND(J$4="小型船舶2級",(COUNTIFS('資格研修記録'!$A$5:$A$1004,$A105,'資格研修記録'!$D$5:$D$1004,"小型船舶1級",'資格研修記録'!$F$5:$F$1004,"")+COUNTIFS('資格研修記録'!$A$5:$A$1004,$A105,'資格研修記録'!$D$5:$D$1004,"小型船舶1級",'資格研修記録'!$F$5:$F$1004,"&gt;="&amp;TODAY()))&gt;0),"1級に含む",IF(COUNTIFS('資格研修記録'!$A$5:$A$1004,$A105,'資格研修記録'!$D$5:$D$1004,J$4)=0,"—",IF(COUNTIFS('資格研修記録'!$A$5:$A$1004,$A105,'資格研修記録'!$D$5:$D$1004,J$4,'資格研修記録'!$F$5:$F$1004,"")+COUNTIFS('資格研修記録'!$A$5:$A$1004,$A105,'資格研修記録'!$D$5:$D$1004,J$4,'資格研修記録'!$F$5:$F$1004,"&gt;="&amp;TODAY())&gt;0,"○","× 期限切れ"))))</f>
        <v/>
      </c>
      <c r="K105" s="15">
        <f>IF(OR($A105="",K$4=""),"",IF(AND(K$4="小型船舶2級",(COUNTIFS('資格研修記録'!$A$5:$A$1004,$A105,'資格研修記録'!$D$5:$D$1004,"小型船舶1級",'資格研修記録'!$F$5:$F$1004,"")+COUNTIFS('資格研修記録'!$A$5:$A$1004,$A105,'資格研修記録'!$D$5:$D$1004,"小型船舶1級",'資格研修記録'!$F$5:$F$1004,"&gt;="&amp;TODAY()))&gt;0),"1級に含む",IF(COUNTIFS('資格研修記録'!$A$5:$A$1004,$A105,'資格研修記録'!$D$5:$D$1004,K$4)=0,"—",IF(COUNTIFS('資格研修記録'!$A$5:$A$1004,$A105,'資格研修記録'!$D$5:$D$1004,K$4,'資格研修記録'!$F$5:$F$1004,"")+COUNTIFS('資格研修記録'!$A$5:$A$1004,$A105,'資格研修記録'!$D$5:$D$1004,K$4,'資格研修記録'!$F$5:$F$1004,"&gt;="&amp;TODAY())&gt;0,"○","× 期限切れ"))))</f>
        <v/>
      </c>
      <c r="L105" s="15">
        <f>IF(OR($A105="",L$4=""),"",IF(AND(L$4="小型船舶2級",(COUNTIFS('資格研修記録'!$A$5:$A$1004,$A105,'資格研修記録'!$D$5:$D$1004,"小型船舶1級",'資格研修記録'!$F$5:$F$1004,"")+COUNTIFS('資格研修記録'!$A$5:$A$1004,$A105,'資格研修記録'!$D$5:$D$1004,"小型船舶1級",'資格研修記録'!$F$5:$F$1004,"&gt;="&amp;TODAY()))&gt;0),"1級に含む",IF(COUNTIFS('資格研修記録'!$A$5:$A$1004,$A105,'資格研修記録'!$D$5:$D$1004,L$4)=0,"—",IF(COUNTIFS('資格研修記録'!$A$5:$A$1004,$A105,'資格研修記録'!$D$5:$D$1004,L$4,'資格研修記録'!$F$5:$F$1004,"")+COUNTIFS('資格研修記録'!$A$5:$A$1004,$A105,'資格研修記録'!$D$5:$D$1004,L$4,'資格研修記録'!$F$5:$F$1004,"&gt;="&amp;TODAY())&gt;0,"○","× 期限切れ"))))</f>
        <v/>
      </c>
    </row>
    <row r="106">
      <c r="A106" s="14">
        <f>IF('隊員マスタ'!A106="","",'隊員マスタ'!A106)</f>
        <v/>
      </c>
      <c r="B106" s="14">
        <f>IF(A106="","",'隊員マスタ'!B106)</f>
        <v/>
      </c>
      <c r="C106" s="14">
        <f>IF(A106="","",'隊員マスタ'!C106)</f>
        <v/>
      </c>
      <c r="D106" s="15">
        <f>IF(A106="","",'隊員マスタ'!D106)</f>
        <v/>
      </c>
      <c r="E106" s="15">
        <f>IF(OR($A106="",E$4=""),"",IF(AND(E$4="小型船舶2級",(COUNTIFS('資格研修記録'!$A$5:$A$1004,$A106,'資格研修記録'!$D$5:$D$1004,"小型船舶1級",'資格研修記録'!$F$5:$F$1004,"")+COUNTIFS('資格研修記録'!$A$5:$A$1004,$A106,'資格研修記録'!$D$5:$D$1004,"小型船舶1級",'資格研修記録'!$F$5:$F$1004,"&gt;="&amp;TODAY()))&gt;0),"1級に含む",IF(COUNTIFS('資格研修記録'!$A$5:$A$1004,$A106,'資格研修記録'!$D$5:$D$1004,E$4)=0,"—",IF(COUNTIFS('資格研修記録'!$A$5:$A$1004,$A106,'資格研修記録'!$D$5:$D$1004,E$4,'資格研修記録'!$F$5:$F$1004,"")+COUNTIFS('資格研修記録'!$A$5:$A$1004,$A106,'資格研修記録'!$D$5:$D$1004,E$4,'資格研修記録'!$F$5:$F$1004,"&gt;="&amp;TODAY())&gt;0,"○","× 期限切れ"))))</f>
        <v/>
      </c>
      <c r="F106" s="15">
        <f>IF(OR($A106="",F$4=""),"",IF(AND(F$4="小型船舶2級",(COUNTIFS('資格研修記録'!$A$5:$A$1004,$A106,'資格研修記録'!$D$5:$D$1004,"小型船舶1級",'資格研修記録'!$F$5:$F$1004,"")+COUNTIFS('資格研修記録'!$A$5:$A$1004,$A106,'資格研修記録'!$D$5:$D$1004,"小型船舶1級",'資格研修記録'!$F$5:$F$1004,"&gt;="&amp;TODAY()))&gt;0),"1級に含む",IF(COUNTIFS('資格研修記録'!$A$5:$A$1004,$A106,'資格研修記録'!$D$5:$D$1004,F$4)=0,"—",IF(COUNTIFS('資格研修記録'!$A$5:$A$1004,$A106,'資格研修記録'!$D$5:$D$1004,F$4,'資格研修記録'!$F$5:$F$1004,"")+COUNTIFS('資格研修記録'!$A$5:$A$1004,$A106,'資格研修記録'!$D$5:$D$1004,F$4,'資格研修記録'!$F$5:$F$1004,"&gt;="&amp;TODAY())&gt;0,"○","× 期限切れ"))))</f>
        <v/>
      </c>
      <c r="G106" s="15">
        <f>IF(OR($A106="",G$4=""),"",IF(AND(G$4="小型船舶2級",(COUNTIFS('資格研修記録'!$A$5:$A$1004,$A106,'資格研修記録'!$D$5:$D$1004,"小型船舶1級",'資格研修記録'!$F$5:$F$1004,"")+COUNTIFS('資格研修記録'!$A$5:$A$1004,$A106,'資格研修記録'!$D$5:$D$1004,"小型船舶1級",'資格研修記録'!$F$5:$F$1004,"&gt;="&amp;TODAY()))&gt;0),"1級に含む",IF(COUNTIFS('資格研修記録'!$A$5:$A$1004,$A106,'資格研修記録'!$D$5:$D$1004,G$4)=0,"—",IF(COUNTIFS('資格研修記録'!$A$5:$A$1004,$A106,'資格研修記録'!$D$5:$D$1004,G$4,'資格研修記録'!$F$5:$F$1004,"")+COUNTIFS('資格研修記録'!$A$5:$A$1004,$A106,'資格研修記録'!$D$5:$D$1004,G$4,'資格研修記録'!$F$5:$F$1004,"&gt;="&amp;TODAY())&gt;0,"○","× 期限切れ"))))</f>
        <v/>
      </c>
      <c r="H106" s="15">
        <f>IF(OR($A106="",H$4=""),"",IF(AND(H$4="小型船舶2級",(COUNTIFS('資格研修記録'!$A$5:$A$1004,$A106,'資格研修記録'!$D$5:$D$1004,"小型船舶1級",'資格研修記録'!$F$5:$F$1004,"")+COUNTIFS('資格研修記録'!$A$5:$A$1004,$A106,'資格研修記録'!$D$5:$D$1004,"小型船舶1級",'資格研修記録'!$F$5:$F$1004,"&gt;="&amp;TODAY()))&gt;0),"1級に含む",IF(COUNTIFS('資格研修記録'!$A$5:$A$1004,$A106,'資格研修記録'!$D$5:$D$1004,H$4)=0,"—",IF(COUNTIFS('資格研修記録'!$A$5:$A$1004,$A106,'資格研修記録'!$D$5:$D$1004,H$4,'資格研修記録'!$F$5:$F$1004,"")+COUNTIFS('資格研修記録'!$A$5:$A$1004,$A106,'資格研修記録'!$D$5:$D$1004,H$4,'資格研修記録'!$F$5:$F$1004,"&gt;="&amp;TODAY())&gt;0,"○","× 期限切れ"))))</f>
        <v/>
      </c>
      <c r="I106" s="15">
        <f>IF(OR($A106="",I$4=""),"",IF(AND(I$4="小型船舶2級",(COUNTIFS('資格研修記録'!$A$5:$A$1004,$A106,'資格研修記録'!$D$5:$D$1004,"小型船舶1級",'資格研修記録'!$F$5:$F$1004,"")+COUNTIFS('資格研修記録'!$A$5:$A$1004,$A106,'資格研修記録'!$D$5:$D$1004,"小型船舶1級",'資格研修記録'!$F$5:$F$1004,"&gt;="&amp;TODAY()))&gt;0),"1級に含む",IF(COUNTIFS('資格研修記録'!$A$5:$A$1004,$A106,'資格研修記録'!$D$5:$D$1004,I$4)=0,"—",IF(COUNTIFS('資格研修記録'!$A$5:$A$1004,$A106,'資格研修記録'!$D$5:$D$1004,I$4,'資格研修記録'!$F$5:$F$1004,"")+COUNTIFS('資格研修記録'!$A$5:$A$1004,$A106,'資格研修記録'!$D$5:$D$1004,I$4,'資格研修記録'!$F$5:$F$1004,"&gt;="&amp;TODAY())&gt;0,"○","× 期限切れ"))))</f>
        <v/>
      </c>
      <c r="J106" s="15">
        <f>IF(OR($A106="",J$4=""),"",IF(AND(J$4="小型船舶2級",(COUNTIFS('資格研修記録'!$A$5:$A$1004,$A106,'資格研修記録'!$D$5:$D$1004,"小型船舶1級",'資格研修記録'!$F$5:$F$1004,"")+COUNTIFS('資格研修記録'!$A$5:$A$1004,$A106,'資格研修記録'!$D$5:$D$1004,"小型船舶1級",'資格研修記録'!$F$5:$F$1004,"&gt;="&amp;TODAY()))&gt;0),"1級に含む",IF(COUNTIFS('資格研修記録'!$A$5:$A$1004,$A106,'資格研修記録'!$D$5:$D$1004,J$4)=0,"—",IF(COUNTIFS('資格研修記録'!$A$5:$A$1004,$A106,'資格研修記録'!$D$5:$D$1004,J$4,'資格研修記録'!$F$5:$F$1004,"")+COUNTIFS('資格研修記録'!$A$5:$A$1004,$A106,'資格研修記録'!$D$5:$D$1004,J$4,'資格研修記録'!$F$5:$F$1004,"&gt;="&amp;TODAY())&gt;0,"○","× 期限切れ"))))</f>
        <v/>
      </c>
      <c r="K106" s="15">
        <f>IF(OR($A106="",K$4=""),"",IF(AND(K$4="小型船舶2級",(COUNTIFS('資格研修記録'!$A$5:$A$1004,$A106,'資格研修記録'!$D$5:$D$1004,"小型船舶1級",'資格研修記録'!$F$5:$F$1004,"")+COUNTIFS('資格研修記録'!$A$5:$A$1004,$A106,'資格研修記録'!$D$5:$D$1004,"小型船舶1級",'資格研修記録'!$F$5:$F$1004,"&gt;="&amp;TODAY()))&gt;0),"1級に含む",IF(COUNTIFS('資格研修記録'!$A$5:$A$1004,$A106,'資格研修記録'!$D$5:$D$1004,K$4)=0,"—",IF(COUNTIFS('資格研修記録'!$A$5:$A$1004,$A106,'資格研修記録'!$D$5:$D$1004,K$4,'資格研修記録'!$F$5:$F$1004,"")+COUNTIFS('資格研修記録'!$A$5:$A$1004,$A106,'資格研修記録'!$D$5:$D$1004,K$4,'資格研修記録'!$F$5:$F$1004,"&gt;="&amp;TODAY())&gt;0,"○","× 期限切れ"))))</f>
        <v/>
      </c>
      <c r="L106" s="15">
        <f>IF(OR($A106="",L$4=""),"",IF(AND(L$4="小型船舶2級",(COUNTIFS('資格研修記録'!$A$5:$A$1004,$A106,'資格研修記録'!$D$5:$D$1004,"小型船舶1級",'資格研修記録'!$F$5:$F$1004,"")+COUNTIFS('資格研修記録'!$A$5:$A$1004,$A106,'資格研修記録'!$D$5:$D$1004,"小型船舶1級",'資格研修記録'!$F$5:$F$1004,"&gt;="&amp;TODAY()))&gt;0),"1級に含む",IF(COUNTIFS('資格研修記録'!$A$5:$A$1004,$A106,'資格研修記録'!$D$5:$D$1004,L$4)=0,"—",IF(COUNTIFS('資格研修記録'!$A$5:$A$1004,$A106,'資格研修記録'!$D$5:$D$1004,L$4,'資格研修記録'!$F$5:$F$1004,"")+COUNTIFS('資格研修記録'!$A$5:$A$1004,$A106,'資格研修記録'!$D$5:$D$1004,L$4,'資格研修記録'!$F$5:$F$1004,"&gt;="&amp;TODAY())&gt;0,"○","× 期限切れ"))))</f>
        <v/>
      </c>
    </row>
    <row r="107">
      <c r="A107" s="14">
        <f>IF('隊員マスタ'!A107="","",'隊員マスタ'!A107)</f>
        <v/>
      </c>
      <c r="B107" s="14">
        <f>IF(A107="","",'隊員マスタ'!B107)</f>
        <v/>
      </c>
      <c r="C107" s="14">
        <f>IF(A107="","",'隊員マスタ'!C107)</f>
        <v/>
      </c>
      <c r="D107" s="15">
        <f>IF(A107="","",'隊員マスタ'!D107)</f>
        <v/>
      </c>
      <c r="E107" s="15">
        <f>IF(OR($A107="",E$4=""),"",IF(AND(E$4="小型船舶2級",(COUNTIFS('資格研修記録'!$A$5:$A$1004,$A107,'資格研修記録'!$D$5:$D$1004,"小型船舶1級",'資格研修記録'!$F$5:$F$1004,"")+COUNTIFS('資格研修記録'!$A$5:$A$1004,$A107,'資格研修記録'!$D$5:$D$1004,"小型船舶1級",'資格研修記録'!$F$5:$F$1004,"&gt;="&amp;TODAY()))&gt;0),"1級に含む",IF(COUNTIFS('資格研修記録'!$A$5:$A$1004,$A107,'資格研修記録'!$D$5:$D$1004,E$4)=0,"—",IF(COUNTIFS('資格研修記録'!$A$5:$A$1004,$A107,'資格研修記録'!$D$5:$D$1004,E$4,'資格研修記録'!$F$5:$F$1004,"")+COUNTIFS('資格研修記録'!$A$5:$A$1004,$A107,'資格研修記録'!$D$5:$D$1004,E$4,'資格研修記録'!$F$5:$F$1004,"&gt;="&amp;TODAY())&gt;0,"○","× 期限切れ"))))</f>
        <v/>
      </c>
      <c r="F107" s="15">
        <f>IF(OR($A107="",F$4=""),"",IF(AND(F$4="小型船舶2級",(COUNTIFS('資格研修記録'!$A$5:$A$1004,$A107,'資格研修記録'!$D$5:$D$1004,"小型船舶1級",'資格研修記録'!$F$5:$F$1004,"")+COUNTIFS('資格研修記録'!$A$5:$A$1004,$A107,'資格研修記録'!$D$5:$D$1004,"小型船舶1級",'資格研修記録'!$F$5:$F$1004,"&gt;="&amp;TODAY()))&gt;0),"1級に含む",IF(COUNTIFS('資格研修記録'!$A$5:$A$1004,$A107,'資格研修記録'!$D$5:$D$1004,F$4)=0,"—",IF(COUNTIFS('資格研修記録'!$A$5:$A$1004,$A107,'資格研修記録'!$D$5:$D$1004,F$4,'資格研修記録'!$F$5:$F$1004,"")+COUNTIFS('資格研修記録'!$A$5:$A$1004,$A107,'資格研修記録'!$D$5:$D$1004,F$4,'資格研修記録'!$F$5:$F$1004,"&gt;="&amp;TODAY())&gt;0,"○","× 期限切れ"))))</f>
        <v/>
      </c>
      <c r="G107" s="15">
        <f>IF(OR($A107="",G$4=""),"",IF(AND(G$4="小型船舶2級",(COUNTIFS('資格研修記録'!$A$5:$A$1004,$A107,'資格研修記録'!$D$5:$D$1004,"小型船舶1級",'資格研修記録'!$F$5:$F$1004,"")+COUNTIFS('資格研修記録'!$A$5:$A$1004,$A107,'資格研修記録'!$D$5:$D$1004,"小型船舶1級",'資格研修記録'!$F$5:$F$1004,"&gt;="&amp;TODAY()))&gt;0),"1級に含む",IF(COUNTIFS('資格研修記録'!$A$5:$A$1004,$A107,'資格研修記録'!$D$5:$D$1004,G$4)=0,"—",IF(COUNTIFS('資格研修記録'!$A$5:$A$1004,$A107,'資格研修記録'!$D$5:$D$1004,G$4,'資格研修記録'!$F$5:$F$1004,"")+COUNTIFS('資格研修記録'!$A$5:$A$1004,$A107,'資格研修記録'!$D$5:$D$1004,G$4,'資格研修記録'!$F$5:$F$1004,"&gt;="&amp;TODAY())&gt;0,"○","× 期限切れ"))))</f>
        <v/>
      </c>
      <c r="H107" s="15">
        <f>IF(OR($A107="",H$4=""),"",IF(AND(H$4="小型船舶2級",(COUNTIFS('資格研修記録'!$A$5:$A$1004,$A107,'資格研修記録'!$D$5:$D$1004,"小型船舶1級",'資格研修記録'!$F$5:$F$1004,"")+COUNTIFS('資格研修記録'!$A$5:$A$1004,$A107,'資格研修記録'!$D$5:$D$1004,"小型船舶1級",'資格研修記録'!$F$5:$F$1004,"&gt;="&amp;TODAY()))&gt;0),"1級に含む",IF(COUNTIFS('資格研修記録'!$A$5:$A$1004,$A107,'資格研修記録'!$D$5:$D$1004,H$4)=0,"—",IF(COUNTIFS('資格研修記録'!$A$5:$A$1004,$A107,'資格研修記録'!$D$5:$D$1004,H$4,'資格研修記録'!$F$5:$F$1004,"")+COUNTIFS('資格研修記録'!$A$5:$A$1004,$A107,'資格研修記録'!$D$5:$D$1004,H$4,'資格研修記録'!$F$5:$F$1004,"&gt;="&amp;TODAY())&gt;0,"○","× 期限切れ"))))</f>
        <v/>
      </c>
      <c r="I107" s="15">
        <f>IF(OR($A107="",I$4=""),"",IF(AND(I$4="小型船舶2級",(COUNTIFS('資格研修記録'!$A$5:$A$1004,$A107,'資格研修記録'!$D$5:$D$1004,"小型船舶1級",'資格研修記録'!$F$5:$F$1004,"")+COUNTIFS('資格研修記録'!$A$5:$A$1004,$A107,'資格研修記録'!$D$5:$D$1004,"小型船舶1級",'資格研修記録'!$F$5:$F$1004,"&gt;="&amp;TODAY()))&gt;0),"1級に含む",IF(COUNTIFS('資格研修記録'!$A$5:$A$1004,$A107,'資格研修記録'!$D$5:$D$1004,I$4)=0,"—",IF(COUNTIFS('資格研修記録'!$A$5:$A$1004,$A107,'資格研修記録'!$D$5:$D$1004,I$4,'資格研修記録'!$F$5:$F$1004,"")+COUNTIFS('資格研修記録'!$A$5:$A$1004,$A107,'資格研修記録'!$D$5:$D$1004,I$4,'資格研修記録'!$F$5:$F$1004,"&gt;="&amp;TODAY())&gt;0,"○","× 期限切れ"))))</f>
        <v/>
      </c>
      <c r="J107" s="15">
        <f>IF(OR($A107="",J$4=""),"",IF(AND(J$4="小型船舶2級",(COUNTIFS('資格研修記録'!$A$5:$A$1004,$A107,'資格研修記録'!$D$5:$D$1004,"小型船舶1級",'資格研修記録'!$F$5:$F$1004,"")+COUNTIFS('資格研修記録'!$A$5:$A$1004,$A107,'資格研修記録'!$D$5:$D$1004,"小型船舶1級",'資格研修記録'!$F$5:$F$1004,"&gt;="&amp;TODAY()))&gt;0),"1級に含む",IF(COUNTIFS('資格研修記録'!$A$5:$A$1004,$A107,'資格研修記録'!$D$5:$D$1004,J$4)=0,"—",IF(COUNTIFS('資格研修記録'!$A$5:$A$1004,$A107,'資格研修記録'!$D$5:$D$1004,J$4,'資格研修記録'!$F$5:$F$1004,"")+COUNTIFS('資格研修記録'!$A$5:$A$1004,$A107,'資格研修記録'!$D$5:$D$1004,J$4,'資格研修記録'!$F$5:$F$1004,"&gt;="&amp;TODAY())&gt;0,"○","× 期限切れ"))))</f>
        <v/>
      </c>
      <c r="K107" s="15">
        <f>IF(OR($A107="",K$4=""),"",IF(AND(K$4="小型船舶2級",(COUNTIFS('資格研修記録'!$A$5:$A$1004,$A107,'資格研修記録'!$D$5:$D$1004,"小型船舶1級",'資格研修記録'!$F$5:$F$1004,"")+COUNTIFS('資格研修記録'!$A$5:$A$1004,$A107,'資格研修記録'!$D$5:$D$1004,"小型船舶1級",'資格研修記録'!$F$5:$F$1004,"&gt;="&amp;TODAY()))&gt;0),"1級に含む",IF(COUNTIFS('資格研修記録'!$A$5:$A$1004,$A107,'資格研修記録'!$D$5:$D$1004,K$4)=0,"—",IF(COUNTIFS('資格研修記録'!$A$5:$A$1004,$A107,'資格研修記録'!$D$5:$D$1004,K$4,'資格研修記録'!$F$5:$F$1004,"")+COUNTIFS('資格研修記録'!$A$5:$A$1004,$A107,'資格研修記録'!$D$5:$D$1004,K$4,'資格研修記録'!$F$5:$F$1004,"&gt;="&amp;TODAY())&gt;0,"○","× 期限切れ"))))</f>
        <v/>
      </c>
      <c r="L107" s="15">
        <f>IF(OR($A107="",L$4=""),"",IF(AND(L$4="小型船舶2級",(COUNTIFS('資格研修記録'!$A$5:$A$1004,$A107,'資格研修記録'!$D$5:$D$1004,"小型船舶1級",'資格研修記録'!$F$5:$F$1004,"")+COUNTIFS('資格研修記録'!$A$5:$A$1004,$A107,'資格研修記録'!$D$5:$D$1004,"小型船舶1級",'資格研修記録'!$F$5:$F$1004,"&gt;="&amp;TODAY()))&gt;0),"1級に含む",IF(COUNTIFS('資格研修記録'!$A$5:$A$1004,$A107,'資格研修記録'!$D$5:$D$1004,L$4)=0,"—",IF(COUNTIFS('資格研修記録'!$A$5:$A$1004,$A107,'資格研修記録'!$D$5:$D$1004,L$4,'資格研修記録'!$F$5:$F$1004,"")+COUNTIFS('資格研修記録'!$A$5:$A$1004,$A107,'資格研修記録'!$D$5:$D$1004,L$4,'資格研修記録'!$F$5:$F$1004,"&gt;="&amp;TODAY())&gt;0,"○","× 期限切れ"))))</f>
        <v/>
      </c>
    </row>
    <row r="108">
      <c r="A108" s="14">
        <f>IF('隊員マスタ'!A108="","",'隊員マスタ'!A108)</f>
        <v/>
      </c>
      <c r="B108" s="14">
        <f>IF(A108="","",'隊員マスタ'!B108)</f>
        <v/>
      </c>
      <c r="C108" s="14">
        <f>IF(A108="","",'隊員マスタ'!C108)</f>
        <v/>
      </c>
      <c r="D108" s="15">
        <f>IF(A108="","",'隊員マスタ'!D108)</f>
        <v/>
      </c>
      <c r="E108" s="15">
        <f>IF(OR($A108="",E$4=""),"",IF(AND(E$4="小型船舶2級",(COUNTIFS('資格研修記録'!$A$5:$A$1004,$A108,'資格研修記録'!$D$5:$D$1004,"小型船舶1級",'資格研修記録'!$F$5:$F$1004,"")+COUNTIFS('資格研修記録'!$A$5:$A$1004,$A108,'資格研修記録'!$D$5:$D$1004,"小型船舶1級",'資格研修記録'!$F$5:$F$1004,"&gt;="&amp;TODAY()))&gt;0),"1級に含む",IF(COUNTIFS('資格研修記録'!$A$5:$A$1004,$A108,'資格研修記録'!$D$5:$D$1004,E$4)=0,"—",IF(COUNTIFS('資格研修記録'!$A$5:$A$1004,$A108,'資格研修記録'!$D$5:$D$1004,E$4,'資格研修記録'!$F$5:$F$1004,"")+COUNTIFS('資格研修記録'!$A$5:$A$1004,$A108,'資格研修記録'!$D$5:$D$1004,E$4,'資格研修記録'!$F$5:$F$1004,"&gt;="&amp;TODAY())&gt;0,"○","× 期限切れ"))))</f>
        <v/>
      </c>
      <c r="F108" s="15">
        <f>IF(OR($A108="",F$4=""),"",IF(AND(F$4="小型船舶2級",(COUNTIFS('資格研修記録'!$A$5:$A$1004,$A108,'資格研修記録'!$D$5:$D$1004,"小型船舶1級",'資格研修記録'!$F$5:$F$1004,"")+COUNTIFS('資格研修記録'!$A$5:$A$1004,$A108,'資格研修記録'!$D$5:$D$1004,"小型船舶1級",'資格研修記録'!$F$5:$F$1004,"&gt;="&amp;TODAY()))&gt;0),"1級に含む",IF(COUNTIFS('資格研修記録'!$A$5:$A$1004,$A108,'資格研修記録'!$D$5:$D$1004,F$4)=0,"—",IF(COUNTIFS('資格研修記録'!$A$5:$A$1004,$A108,'資格研修記録'!$D$5:$D$1004,F$4,'資格研修記録'!$F$5:$F$1004,"")+COUNTIFS('資格研修記録'!$A$5:$A$1004,$A108,'資格研修記録'!$D$5:$D$1004,F$4,'資格研修記録'!$F$5:$F$1004,"&gt;="&amp;TODAY())&gt;0,"○","× 期限切れ"))))</f>
        <v/>
      </c>
      <c r="G108" s="15">
        <f>IF(OR($A108="",G$4=""),"",IF(AND(G$4="小型船舶2級",(COUNTIFS('資格研修記録'!$A$5:$A$1004,$A108,'資格研修記録'!$D$5:$D$1004,"小型船舶1級",'資格研修記録'!$F$5:$F$1004,"")+COUNTIFS('資格研修記録'!$A$5:$A$1004,$A108,'資格研修記録'!$D$5:$D$1004,"小型船舶1級",'資格研修記録'!$F$5:$F$1004,"&gt;="&amp;TODAY()))&gt;0),"1級に含む",IF(COUNTIFS('資格研修記録'!$A$5:$A$1004,$A108,'資格研修記録'!$D$5:$D$1004,G$4)=0,"—",IF(COUNTIFS('資格研修記録'!$A$5:$A$1004,$A108,'資格研修記録'!$D$5:$D$1004,G$4,'資格研修記録'!$F$5:$F$1004,"")+COUNTIFS('資格研修記録'!$A$5:$A$1004,$A108,'資格研修記録'!$D$5:$D$1004,G$4,'資格研修記録'!$F$5:$F$1004,"&gt;="&amp;TODAY())&gt;0,"○","× 期限切れ"))))</f>
        <v/>
      </c>
      <c r="H108" s="15">
        <f>IF(OR($A108="",H$4=""),"",IF(AND(H$4="小型船舶2級",(COUNTIFS('資格研修記録'!$A$5:$A$1004,$A108,'資格研修記録'!$D$5:$D$1004,"小型船舶1級",'資格研修記録'!$F$5:$F$1004,"")+COUNTIFS('資格研修記録'!$A$5:$A$1004,$A108,'資格研修記録'!$D$5:$D$1004,"小型船舶1級",'資格研修記録'!$F$5:$F$1004,"&gt;="&amp;TODAY()))&gt;0),"1級に含む",IF(COUNTIFS('資格研修記録'!$A$5:$A$1004,$A108,'資格研修記録'!$D$5:$D$1004,H$4)=0,"—",IF(COUNTIFS('資格研修記録'!$A$5:$A$1004,$A108,'資格研修記録'!$D$5:$D$1004,H$4,'資格研修記録'!$F$5:$F$1004,"")+COUNTIFS('資格研修記録'!$A$5:$A$1004,$A108,'資格研修記録'!$D$5:$D$1004,H$4,'資格研修記録'!$F$5:$F$1004,"&gt;="&amp;TODAY())&gt;0,"○","× 期限切れ"))))</f>
        <v/>
      </c>
      <c r="I108" s="15">
        <f>IF(OR($A108="",I$4=""),"",IF(AND(I$4="小型船舶2級",(COUNTIFS('資格研修記録'!$A$5:$A$1004,$A108,'資格研修記録'!$D$5:$D$1004,"小型船舶1級",'資格研修記録'!$F$5:$F$1004,"")+COUNTIFS('資格研修記録'!$A$5:$A$1004,$A108,'資格研修記録'!$D$5:$D$1004,"小型船舶1級",'資格研修記録'!$F$5:$F$1004,"&gt;="&amp;TODAY()))&gt;0),"1級に含む",IF(COUNTIFS('資格研修記録'!$A$5:$A$1004,$A108,'資格研修記録'!$D$5:$D$1004,I$4)=0,"—",IF(COUNTIFS('資格研修記録'!$A$5:$A$1004,$A108,'資格研修記録'!$D$5:$D$1004,I$4,'資格研修記録'!$F$5:$F$1004,"")+COUNTIFS('資格研修記録'!$A$5:$A$1004,$A108,'資格研修記録'!$D$5:$D$1004,I$4,'資格研修記録'!$F$5:$F$1004,"&gt;="&amp;TODAY())&gt;0,"○","× 期限切れ"))))</f>
        <v/>
      </c>
      <c r="J108" s="15">
        <f>IF(OR($A108="",J$4=""),"",IF(AND(J$4="小型船舶2級",(COUNTIFS('資格研修記録'!$A$5:$A$1004,$A108,'資格研修記録'!$D$5:$D$1004,"小型船舶1級",'資格研修記録'!$F$5:$F$1004,"")+COUNTIFS('資格研修記録'!$A$5:$A$1004,$A108,'資格研修記録'!$D$5:$D$1004,"小型船舶1級",'資格研修記録'!$F$5:$F$1004,"&gt;="&amp;TODAY()))&gt;0),"1級に含む",IF(COUNTIFS('資格研修記録'!$A$5:$A$1004,$A108,'資格研修記録'!$D$5:$D$1004,J$4)=0,"—",IF(COUNTIFS('資格研修記録'!$A$5:$A$1004,$A108,'資格研修記録'!$D$5:$D$1004,J$4,'資格研修記録'!$F$5:$F$1004,"")+COUNTIFS('資格研修記録'!$A$5:$A$1004,$A108,'資格研修記録'!$D$5:$D$1004,J$4,'資格研修記録'!$F$5:$F$1004,"&gt;="&amp;TODAY())&gt;0,"○","× 期限切れ"))))</f>
        <v/>
      </c>
      <c r="K108" s="15">
        <f>IF(OR($A108="",K$4=""),"",IF(AND(K$4="小型船舶2級",(COUNTIFS('資格研修記録'!$A$5:$A$1004,$A108,'資格研修記録'!$D$5:$D$1004,"小型船舶1級",'資格研修記録'!$F$5:$F$1004,"")+COUNTIFS('資格研修記録'!$A$5:$A$1004,$A108,'資格研修記録'!$D$5:$D$1004,"小型船舶1級",'資格研修記録'!$F$5:$F$1004,"&gt;="&amp;TODAY()))&gt;0),"1級に含む",IF(COUNTIFS('資格研修記録'!$A$5:$A$1004,$A108,'資格研修記録'!$D$5:$D$1004,K$4)=0,"—",IF(COUNTIFS('資格研修記録'!$A$5:$A$1004,$A108,'資格研修記録'!$D$5:$D$1004,K$4,'資格研修記録'!$F$5:$F$1004,"")+COUNTIFS('資格研修記録'!$A$5:$A$1004,$A108,'資格研修記録'!$D$5:$D$1004,K$4,'資格研修記録'!$F$5:$F$1004,"&gt;="&amp;TODAY())&gt;0,"○","× 期限切れ"))))</f>
        <v/>
      </c>
      <c r="L108" s="15">
        <f>IF(OR($A108="",L$4=""),"",IF(AND(L$4="小型船舶2級",(COUNTIFS('資格研修記録'!$A$5:$A$1004,$A108,'資格研修記録'!$D$5:$D$1004,"小型船舶1級",'資格研修記録'!$F$5:$F$1004,"")+COUNTIFS('資格研修記録'!$A$5:$A$1004,$A108,'資格研修記録'!$D$5:$D$1004,"小型船舶1級",'資格研修記録'!$F$5:$F$1004,"&gt;="&amp;TODAY()))&gt;0),"1級に含む",IF(COUNTIFS('資格研修記録'!$A$5:$A$1004,$A108,'資格研修記録'!$D$5:$D$1004,L$4)=0,"—",IF(COUNTIFS('資格研修記録'!$A$5:$A$1004,$A108,'資格研修記録'!$D$5:$D$1004,L$4,'資格研修記録'!$F$5:$F$1004,"")+COUNTIFS('資格研修記録'!$A$5:$A$1004,$A108,'資格研修記録'!$D$5:$D$1004,L$4,'資格研修記録'!$F$5:$F$1004,"&gt;="&amp;TODAY())&gt;0,"○","× 期限切れ"))))</f>
        <v/>
      </c>
    </row>
    <row r="109">
      <c r="A109" s="14">
        <f>IF('隊員マスタ'!A109="","",'隊員マスタ'!A109)</f>
        <v/>
      </c>
      <c r="B109" s="14">
        <f>IF(A109="","",'隊員マスタ'!B109)</f>
        <v/>
      </c>
      <c r="C109" s="14">
        <f>IF(A109="","",'隊員マスタ'!C109)</f>
        <v/>
      </c>
      <c r="D109" s="15">
        <f>IF(A109="","",'隊員マスタ'!D109)</f>
        <v/>
      </c>
      <c r="E109" s="15">
        <f>IF(OR($A109="",E$4=""),"",IF(AND(E$4="小型船舶2級",(COUNTIFS('資格研修記録'!$A$5:$A$1004,$A109,'資格研修記録'!$D$5:$D$1004,"小型船舶1級",'資格研修記録'!$F$5:$F$1004,"")+COUNTIFS('資格研修記録'!$A$5:$A$1004,$A109,'資格研修記録'!$D$5:$D$1004,"小型船舶1級",'資格研修記録'!$F$5:$F$1004,"&gt;="&amp;TODAY()))&gt;0),"1級に含む",IF(COUNTIFS('資格研修記録'!$A$5:$A$1004,$A109,'資格研修記録'!$D$5:$D$1004,E$4)=0,"—",IF(COUNTIFS('資格研修記録'!$A$5:$A$1004,$A109,'資格研修記録'!$D$5:$D$1004,E$4,'資格研修記録'!$F$5:$F$1004,"")+COUNTIFS('資格研修記録'!$A$5:$A$1004,$A109,'資格研修記録'!$D$5:$D$1004,E$4,'資格研修記録'!$F$5:$F$1004,"&gt;="&amp;TODAY())&gt;0,"○","× 期限切れ"))))</f>
        <v/>
      </c>
      <c r="F109" s="15">
        <f>IF(OR($A109="",F$4=""),"",IF(AND(F$4="小型船舶2級",(COUNTIFS('資格研修記録'!$A$5:$A$1004,$A109,'資格研修記録'!$D$5:$D$1004,"小型船舶1級",'資格研修記録'!$F$5:$F$1004,"")+COUNTIFS('資格研修記録'!$A$5:$A$1004,$A109,'資格研修記録'!$D$5:$D$1004,"小型船舶1級",'資格研修記録'!$F$5:$F$1004,"&gt;="&amp;TODAY()))&gt;0),"1級に含む",IF(COUNTIFS('資格研修記録'!$A$5:$A$1004,$A109,'資格研修記録'!$D$5:$D$1004,F$4)=0,"—",IF(COUNTIFS('資格研修記録'!$A$5:$A$1004,$A109,'資格研修記録'!$D$5:$D$1004,F$4,'資格研修記録'!$F$5:$F$1004,"")+COUNTIFS('資格研修記録'!$A$5:$A$1004,$A109,'資格研修記録'!$D$5:$D$1004,F$4,'資格研修記録'!$F$5:$F$1004,"&gt;="&amp;TODAY())&gt;0,"○","× 期限切れ"))))</f>
        <v/>
      </c>
      <c r="G109" s="15">
        <f>IF(OR($A109="",G$4=""),"",IF(AND(G$4="小型船舶2級",(COUNTIFS('資格研修記録'!$A$5:$A$1004,$A109,'資格研修記録'!$D$5:$D$1004,"小型船舶1級",'資格研修記録'!$F$5:$F$1004,"")+COUNTIFS('資格研修記録'!$A$5:$A$1004,$A109,'資格研修記録'!$D$5:$D$1004,"小型船舶1級",'資格研修記録'!$F$5:$F$1004,"&gt;="&amp;TODAY()))&gt;0),"1級に含む",IF(COUNTIFS('資格研修記録'!$A$5:$A$1004,$A109,'資格研修記録'!$D$5:$D$1004,G$4)=0,"—",IF(COUNTIFS('資格研修記録'!$A$5:$A$1004,$A109,'資格研修記録'!$D$5:$D$1004,G$4,'資格研修記録'!$F$5:$F$1004,"")+COUNTIFS('資格研修記録'!$A$5:$A$1004,$A109,'資格研修記録'!$D$5:$D$1004,G$4,'資格研修記録'!$F$5:$F$1004,"&gt;="&amp;TODAY())&gt;0,"○","× 期限切れ"))))</f>
        <v/>
      </c>
      <c r="H109" s="15">
        <f>IF(OR($A109="",H$4=""),"",IF(AND(H$4="小型船舶2級",(COUNTIFS('資格研修記録'!$A$5:$A$1004,$A109,'資格研修記録'!$D$5:$D$1004,"小型船舶1級",'資格研修記録'!$F$5:$F$1004,"")+COUNTIFS('資格研修記録'!$A$5:$A$1004,$A109,'資格研修記録'!$D$5:$D$1004,"小型船舶1級",'資格研修記録'!$F$5:$F$1004,"&gt;="&amp;TODAY()))&gt;0),"1級に含む",IF(COUNTIFS('資格研修記録'!$A$5:$A$1004,$A109,'資格研修記録'!$D$5:$D$1004,H$4)=0,"—",IF(COUNTIFS('資格研修記録'!$A$5:$A$1004,$A109,'資格研修記録'!$D$5:$D$1004,H$4,'資格研修記録'!$F$5:$F$1004,"")+COUNTIFS('資格研修記録'!$A$5:$A$1004,$A109,'資格研修記録'!$D$5:$D$1004,H$4,'資格研修記録'!$F$5:$F$1004,"&gt;="&amp;TODAY())&gt;0,"○","× 期限切れ"))))</f>
        <v/>
      </c>
      <c r="I109" s="15">
        <f>IF(OR($A109="",I$4=""),"",IF(AND(I$4="小型船舶2級",(COUNTIFS('資格研修記録'!$A$5:$A$1004,$A109,'資格研修記録'!$D$5:$D$1004,"小型船舶1級",'資格研修記録'!$F$5:$F$1004,"")+COUNTIFS('資格研修記録'!$A$5:$A$1004,$A109,'資格研修記録'!$D$5:$D$1004,"小型船舶1級",'資格研修記録'!$F$5:$F$1004,"&gt;="&amp;TODAY()))&gt;0),"1級に含む",IF(COUNTIFS('資格研修記録'!$A$5:$A$1004,$A109,'資格研修記録'!$D$5:$D$1004,I$4)=0,"—",IF(COUNTIFS('資格研修記録'!$A$5:$A$1004,$A109,'資格研修記録'!$D$5:$D$1004,I$4,'資格研修記録'!$F$5:$F$1004,"")+COUNTIFS('資格研修記録'!$A$5:$A$1004,$A109,'資格研修記録'!$D$5:$D$1004,I$4,'資格研修記録'!$F$5:$F$1004,"&gt;="&amp;TODAY())&gt;0,"○","× 期限切れ"))))</f>
        <v/>
      </c>
      <c r="J109" s="15">
        <f>IF(OR($A109="",J$4=""),"",IF(AND(J$4="小型船舶2級",(COUNTIFS('資格研修記録'!$A$5:$A$1004,$A109,'資格研修記録'!$D$5:$D$1004,"小型船舶1級",'資格研修記録'!$F$5:$F$1004,"")+COUNTIFS('資格研修記録'!$A$5:$A$1004,$A109,'資格研修記録'!$D$5:$D$1004,"小型船舶1級",'資格研修記録'!$F$5:$F$1004,"&gt;="&amp;TODAY()))&gt;0),"1級に含む",IF(COUNTIFS('資格研修記録'!$A$5:$A$1004,$A109,'資格研修記録'!$D$5:$D$1004,J$4)=0,"—",IF(COUNTIFS('資格研修記録'!$A$5:$A$1004,$A109,'資格研修記録'!$D$5:$D$1004,J$4,'資格研修記録'!$F$5:$F$1004,"")+COUNTIFS('資格研修記録'!$A$5:$A$1004,$A109,'資格研修記録'!$D$5:$D$1004,J$4,'資格研修記録'!$F$5:$F$1004,"&gt;="&amp;TODAY())&gt;0,"○","× 期限切れ"))))</f>
        <v/>
      </c>
      <c r="K109" s="15">
        <f>IF(OR($A109="",K$4=""),"",IF(AND(K$4="小型船舶2級",(COUNTIFS('資格研修記録'!$A$5:$A$1004,$A109,'資格研修記録'!$D$5:$D$1004,"小型船舶1級",'資格研修記録'!$F$5:$F$1004,"")+COUNTIFS('資格研修記録'!$A$5:$A$1004,$A109,'資格研修記録'!$D$5:$D$1004,"小型船舶1級",'資格研修記録'!$F$5:$F$1004,"&gt;="&amp;TODAY()))&gt;0),"1級に含む",IF(COUNTIFS('資格研修記録'!$A$5:$A$1004,$A109,'資格研修記録'!$D$5:$D$1004,K$4)=0,"—",IF(COUNTIFS('資格研修記録'!$A$5:$A$1004,$A109,'資格研修記録'!$D$5:$D$1004,K$4,'資格研修記録'!$F$5:$F$1004,"")+COUNTIFS('資格研修記録'!$A$5:$A$1004,$A109,'資格研修記録'!$D$5:$D$1004,K$4,'資格研修記録'!$F$5:$F$1004,"&gt;="&amp;TODAY())&gt;0,"○","× 期限切れ"))))</f>
        <v/>
      </c>
      <c r="L109" s="15">
        <f>IF(OR($A109="",L$4=""),"",IF(AND(L$4="小型船舶2級",(COUNTIFS('資格研修記録'!$A$5:$A$1004,$A109,'資格研修記録'!$D$5:$D$1004,"小型船舶1級",'資格研修記録'!$F$5:$F$1004,"")+COUNTIFS('資格研修記録'!$A$5:$A$1004,$A109,'資格研修記録'!$D$5:$D$1004,"小型船舶1級",'資格研修記録'!$F$5:$F$1004,"&gt;="&amp;TODAY()))&gt;0),"1級に含む",IF(COUNTIFS('資格研修記録'!$A$5:$A$1004,$A109,'資格研修記録'!$D$5:$D$1004,L$4)=0,"—",IF(COUNTIFS('資格研修記録'!$A$5:$A$1004,$A109,'資格研修記録'!$D$5:$D$1004,L$4,'資格研修記録'!$F$5:$F$1004,"")+COUNTIFS('資格研修記録'!$A$5:$A$1004,$A109,'資格研修記録'!$D$5:$D$1004,L$4,'資格研修記録'!$F$5:$F$1004,"&gt;="&amp;TODAY())&gt;0,"○","× 期限切れ"))))</f>
        <v/>
      </c>
    </row>
    <row r="110">
      <c r="A110" s="14">
        <f>IF('隊員マスタ'!A110="","",'隊員マスタ'!A110)</f>
        <v/>
      </c>
      <c r="B110" s="14">
        <f>IF(A110="","",'隊員マスタ'!B110)</f>
        <v/>
      </c>
      <c r="C110" s="14">
        <f>IF(A110="","",'隊員マスタ'!C110)</f>
        <v/>
      </c>
      <c r="D110" s="15">
        <f>IF(A110="","",'隊員マスタ'!D110)</f>
        <v/>
      </c>
      <c r="E110" s="15">
        <f>IF(OR($A110="",E$4=""),"",IF(AND(E$4="小型船舶2級",(COUNTIFS('資格研修記録'!$A$5:$A$1004,$A110,'資格研修記録'!$D$5:$D$1004,"小型船舶1級",'資格研修記録'!$F$5:$F$1004,"")+COUNTIFS('資格研修記録'!$A$5:$A$1004,$A110,'資格研修記録'!$D$5:$D$1004,"小型船舶1級",'資格研修記録'!$F$5:$F$1004,"&gt;="&amp;TODAY()))&gt;0),"1級に含む",IF(COUNTIFS('資格研修記録'!$A$5:$A$1004,$A110,'資格研修記録'!$D$5:$D$1004,E$4)=0,"—",IF(COUNTIFS('資格研修記録'!$A$5:$A$1004,$A110,'資格研修記録'!$D$5:$D$1004,E$4,'資格研修記録'!$F$5:$F$1004,"")+COUNTIFS('資格研修記録'!$A$5:$A$1004,$A110,'資格研修記録'!$D$5:$D$1004,E$4,'資格研修記録'!$F$5:$F$1004,"&gt;="&amp;TODAY())&gt;0,"○","× 期限切れ"))))</f>
        <v/>
      </c>
      <c r="F110" s="15">
        <f>IF(OR($A110="",F$4=""),"",IF(AND(F$4="小型船舶2級",(COUNTIFS('資格研修記録'!$A$5:$A$1004,$A110,'資格研修記録'!$D$5:$D$1004,"小型船舶1級",'資格研修記録'!$F$5:$F$1004,"")+COUNTIFS('資格研修記録'!$A$5:$A$1004,$A110,'資格研修記録'!$D$5:$D$1004,"小型船舶1級",'資格研修記録'!$F$5:$F$1004,"&gt;="&amp;TODAY()))&gt;0),"1級に含む",IF(COUNTIFS('資格研修記録'!$A$5:$A$1004,$A110,'資格研修記録'!$D$5:$D$1004,F$4)=0,"—",IF(COUNTIFS('資格研修記録'!$A$5:$A$1004,$A110,'資格研修記録'!$D$5:$D$1004,F$4,'資格研修記録'!$F$5:$F$1004,"")+COUNTIFS('資格研修記録'!$A$5:$A$1004,$A110,'資格研修記録'!$D$5:$D$1004,F$4,'資格研修記録'!$F$5:$F$1004,"&gt;="&amp;TODAY())&gt;0,"○","× 期限切れ"))))</f>
        <v/>
      </c>
      <c r="G110" s="15">
        <f>IF(OR($A110="",G$4=""),"",IF(AND(G$4="小型船舶2級",(COUNTIFS('資格研修記録'!$A$5:$A$1004,$A110,'資格研修記録'!$D$5:$D$1004,"小型船舶1級",'資格研修記録'!$F$5:$F$1004,"")+COUNTIFS('資格研修記録'!$A$5:$A$1004,$A110,'資格研修記録'!$D$5:$D$1004,"小型船舶1級",'資格研修記録'!$F$5:$F$1004,"&gt;="&amp;TODAY()))&gt;0),"1級に含む",IF(COUNTIFS('資格研修記録'!$A$5:$A$1004,$A110,'資格研修記録'!$D$5:$D$1004,G$4)=0,"—",IF(COUNTIFS('資格研修記録'!$A$5:$A$1004,$A110,'資格研修記録'!$D$5:$D$1004,G$4,'資格研修記録'!$F$5:$F$1004,"")+COUNTIFS('資格研修記録'!$A$5:$A$1004,$A110,'資格研修記録'!$D$5:$D$1004,G$4,'資格研修記録'!$F$5:$F$1004,"&gt;="&amp;TODAY())&gt;0,"○","× 期限切れ"))))</f>
        <v/>
      </c>
      <c r="H110" s="15">
        <f>IF(OR($A110="",H$4=""),"",IF(AND(H$4="小型船舶2級",(COUNTIFS('資格研修記録'!$A$5:$A$1004,$A110,'資格研修記録'!$D$5:$D$1004,"小型船舶1級",'資格研修記録'!$F$5:$F$1004,"")+COUNTIFS('資格研修記録'!$A$5:$A$1004,$A110,'資格研修記録'!$D$5:$D$1004,"小型船舶1級",'資格研修記録'!$F$5:$F$1004,"&gt;="&amp;TODAY()))&gt;0),"1級に含む",IF(COUNTIFS('資格研修記録'!$A$5:$A$1004,$A110,'資格研修記録'!$D$5:$D$1004,H$4)=0,"—",IF(COUNTIFS('資格研修記録'!$A$5:$A$1004,$A110,'資格研修記録'!$D$5:$D$1004,H$4,'資格研修記録'!$F$5:$F$1004,"")+COUNTIFS('資格研修記録'!$A$5:$A$1004,$A110,'資格研修記録'!$D$5:$D$1004,H$4,'資格研修記録'!$F$5:$F$1004,"&gt;="&amp;TODAY())&gt;0,"○","× 期限切れ"))))</f>
        <v/>
      </c>
      <c r="I110" s="15">
        <f>IF(OR($A110="",I$4=""),"",IF(AND(I$4="小型船舶2級",(COUNTIFS('資格研修記録'!$A$5:$A$1004,$A110,'資格研修記録'!$D$5:$D$1004,"小型船舶1級",'資格研修記録'!$F$5:$F$1004,"")+COUNTIFS('資格研修記録'!$A$5:$A$1004,$A110,'資格研修記録'!$D$5:$D$1004,"小型船舶1級",'資格研修記録'!$F$5:$F$1004,"&gt;="&amp;TODAY()))&gt;0),"1級に含む",IF(COUNTIFS('資格研修記録'!$A$5:$A$1004,$A110,'資格研修記録'!$D$5:$D$1004,I$4)=0,"—",IF(COUNTIFS('資格研修記録'!$A$5:$A$1004,$A110,'資格研修記録'!$D$5:$D$1004,I$4,'資格研修記録'!$F$5:$F$1004,"")+COUNTIFS('資格研修記録'!$A$5:$A$1004,$A110,'資格研修記録'!$D$5:$D$1004,I$4,'資格研修記録'!$F$5:$F$1004,"&gt;="&amp;TODAY())&gt;0,"○","× 期限切れ"))))</f>
        <v/>
      </c>
      <c r="J110" s="15">
        <f>IF(OR($A110="",J$4=""),"",IF(AND(J$4="小型船舶2級",(COUNTIFS('資格研修記録'!$A$5:$A$1004,$A110,'資格研修記録'!$D$5:$D$1004,"小型船舶1級",'資格研修記録'!$F$5:$F$1004,"")+COUNTIFS('資格研修記録'!$A$5:$A$1004,$A110,'資格研修記録'!$D$5:$D$1004,"小型船舶1級",'資格研修記録'!$F$5:$F$1004,"&gt;="&amp;TODAY()))&gt;0),"1級に含む",IF(COUNTIFS('資格研修記録'!$A$5:$A$1004,$A110,'資格研修記録'!$D$5:$D$1004,J$4)=0,"—",IF(COUNTIFS('資格研修記録'!$A$5:$A$1004,$A110,'資格研修記録'!$D$5:$D$1004,J$4,'資格研修記録'!$F$5:$F$1004,"")+COUNTIFS('資格研修記録'!$A$5:$A$1004,$A110,'資格研修記録'!$D$5:$D$1004,J$4,'資格研修記録'!$F$5:$F$1004,"&gt;="&amp;TODAY())&gt;0,"○","× 期限切れ"))))</f>
        <v/>
      </c>
      <c r="K110" s="15">
        <f>IF(OR($A110="",K$4=""),"",IF(AND(K$4="小型船舶2級",(COUNTIFS('資格研修記録'!$A$5:$A$1004,$A110,'資格研修記録'!$D$5:$D$1004,"小型船舶1級",'資格研修記録'!$F$5:$F$1004,"")+COUNTIFS('資格研修記録'!$A$5:$A$1004,$A110,'資格研修記録'!$D$5:$D$1004,"小型船舶1級",'資格研修記録'!$F$5:$F$1004,"&gt;="&amp;TODAY()))&gt;0),"1級に含む",IF(COUNTIFS('資格研修記録'!$A$5:$A$1004,$A110,'資格研修記録'!$D$5:$D$1004,K$4)=0,"—",IF(COUNTIFS('資格研修記録'!$A$5:$A$1004,$A110,'資格研修記録'!$D$5:$D$1004,K$4,'資格研修記録'!$F$5:$F$1004,"")+COUNTIFS('資格研修記録'!$A$5:$A$1004,$A110,'資格研修記録'!$D$5:$D$1004,K$4,'資格研修記録'!$F$5:$F$1004,"&gt;="&amp;TODAY())&gt;0,"○","× 期限切れ"))))</f>
        <v/>
      </c>
      <c r="L110" s="15">
        <f>IF(OR($A110="",L$4=""),"",IF(AND(L$4="小型船舶2級",(COUNTIFS('資格研修記録'!$A$5:$A$1004,$A110,'資格研修記録'!$D$5:$D$1004,"小型船舶1級",'資格研修記録'!$F$5:$F$1004,"")+COUNTIFS('資格研修記録'!$A$5:$A$1004,$A110,'資格研修記録'!$D$5:$D$1004,"小型船舶1級",'資格研修記録'!$F$5:$F$1004,"&gt;="&amp;TODAY()))&gt;0),"1級に含む",IF(COUNTIFS('資格研修記録'!$A$5:$A$1004,$A110,'資格研修記録'!$D$5:$D$1004,L$4)=0,"—",IF(COUNTIFS('資格研修記録'!$A$5:$A$1004,$A110,'資格研修記録'!$D$5:$D$1004,L$4,'資格研修記録'!$F$5:$F$1004,"")+COUNTIFS('資格研修記録'!$A$5:$A$1004,$A110,'資格研修記録'!$D$5:$D$1004,L$4,'資格研修記録'!$F$5:$F$1004,"&gt;="&amp;TODAY())&gt;0,"○","× 期限切れ"))))</f>
        <v/>
      </c>
    </row>
    <row r="111">
      <c r="A111" s="14">
        <f>IF('隊員マスタ'!A111="","",'隊員マスタ'!A111)</f>
        <v/>
      </c>
      <c r="B111" s="14">
        <f>IF(A111="","",'隊員マスタ'!B111)</f>
        <v/>
      </c>
      <c r="C111" s="14">
        <f>IF(A111="","",'隊員マスタ'!C111)</f>
        <v/>
      </c>
      <c r="D111" s="15">
        <f>IF(A111="","",'隊員マスタ'!D111)</f>
        <v/>
      </c>
      <c r="E111" s="15">
        <f>IF(OR($A111="",E$4=""),"",IF(AND(E$4="小型船舶2級",(COUNTIFS('資格研修記録'!$A$5:$A$1004,$A111,'資格研修記録'!$D$5:$D$1004,"小型船舶1級",'資格研修記録'!$F$5:$F$1004,"")+COUNTIFS('資格研修記録'!$A$5:$A$1004,$A111,'資格研修記録'!$D$5:$D$1004,"小型船舶1級",'資格研修記録'!$F$5:$F$1004,"&gt;="&amp;TODAY()))&gt;0),"1級に含む",IF(COUNTIFS('資格研修記録'!$A$5:$A$1004,$A111,'資格研修記録'!$D$5:$D$1004,E$4)=0,"—",IF(COUNTIFS('資格研修記録'!$A$5:$A$1004,$A111,'資格研修記録'!$D$5:$D$1004,E$4,'資格研修記録'!$F$5:$F$1004,"")+COUNTIFS('資格研修記録'!$A$5:$A$1004,$A111,'資格研修記録'!$D$5:$D$1004,E$4,'資格研修記録'!$F$5:$F$1004,"&gt;="&amp;TODAY())&gt;0,"○","× 期限切れ"))))</f>
        <v/>
      </c>
      <c r="F111" s="15">
        <f>IF(OR($A111="",F$4=""),"",IF(AND(F$4="小型船舶2級",(COUNTIFS('資格研修記録'!$A$5:$A$1004,$A111,'資格研修記録'!$D$5:$D$1004,"小型船舶1級",'資格研修記録'!$F$5:$F$1004,"")+COUNTIFS('資格研修記録'!$A$5:$A$1004,$A111,'資格研修記録'!$D$5:$D$1004,"小型船舶1級",'資格研修記録'!$F$5:$F$1004,"&gt;="&amp;TODAY()))&gt;0),"1級に含む",IF(COUNTIFS('資格研修記録'!$A$5:$A$1004,$A111,'資格研修記録'!$D$5:$D$1004,F$4)=0,"—",IF(COUNTIFS('資格研修記録'!$A$5:$A$1004,$A111,'資格研修記録'!$D$5:$D$1004,F$4,'資格研修記録'!$F$5:$F$1004,"")+COUNTIFS('資格研修記録'!$A$5:$A$1004,$A111,'資格研修記録'!$D$5:$D$1004,F$4,'資格研修記録'!$F$5:$F$1004,"&gt;="&amp;TODAY())&gt;0,"○","× 期限切れ"))))</f>
        <v/>
      </c>
      <c r="G111" s="15">
        <f>IF(OR($A111="",G$4=""),"",IF(AND(G$4="小型船舶2級",(COUNTIFS('資格研修記録'!$A$5:$A$1004,$A111,'資格研修記録'!$D$5:$D$1004,"小型船舶1級",'資格研修記録'!$F$5:$F$1004,"")+COUNTIFS('資格研修記録'!$A$5:$A$1004,$A111,'資格研修記録'!$D$5:$D$1004,"小型船舶1級",'資格研修記録'!$F$5:$F$1004,"&gt;="&amp;TODAY()))&gt;0),"1級に含む",IF(COUNTIFS('資格研修記録'!$A$5:$A$1004,$A111,'資格研修記録'!$D$5:$D$1004,G$4)=0,"—",IF(COUNTIFS('資格研修記録'!$A$5:$A$1004,$A111,'資格研修記録'!$D$5:$D$1004,G$4,'資格研修記録'!$F$5:$F$1004,"")+COUNTIFS('資格研修記録'!$A$5:$A$1004,$A111,'資格研修記録'!$D$5:$D$1004,G$4,'資格研修記録'!$F$5:$F$1004,"&gt;="&amp;TODAY())&gt;0,"○","× 期限切れ"))))</f>
        <v/>
      </c>
      <c r="H111" s="15">
        <f>IF(OR($A111="",H$4=""),"",IF(AND(H$4="小型船舶2級",(COUNTIFS('資格研修記録'!$A$5:$A$1004,$A111,'資格研修記録'!$D$5:$D$1004,"小型船舶1級",'資格研修記録'!$F$5:$F$1004,"")+COUNTIFS('資格研修記録'!$A$5:$A$1004,$A111,'資格研修記録'!$D$5:$D$1004,"小型船舶1級",'資格研修記録'!$F$5:$F$1004,"&gt;="&amp;TODAY()))&gt;0),"1級に含む",IF(COUNTIFS('資格研修記録'!$A$5:$A$1004,$A111,'資格研修記録'!$D$5:$D$1004,H$4)=0,"—",IF(COUNTIFS('資格研修記録'!$A$5:$A$1004,$A111,'資格研修記録'!$D$5:$D$1004,H$4,'資格研修記録'!$F$5:$F$1004,"")+COUNTIFS('資格研修記録'!$A$5:$A$1004,$A111,'資格研修記録'!$D$5:$D$1004,H$4,'資格研修記録'!$F$5:$F$1004,"&gt;="&amp;TODAY())&gt;0,"○","× 期限切れ"))))</f>
        <v/>
      </c>
      <c r="I111" s="15">
        <f>IF(OR($A111="",I$4=""),"",IF(AND(I$4="小型船舶2級",(COUNTIFS('資格研修記録'!$A$5:$A$1004,$A111,'資格研修記録'!$D$5:$D$1004,"小型船舶1級",'資格研修記録'!$F$5:$F$1004,"")+COUNTIFS('資格研修記録'!$A$5:$A$1004,$A111,'資格研修記録'!$D$5:$D$1004,"小型船舶1級",'資格研修記録'!$F$5:$F$1004,"&gt;="&amp;TODAY()))&gt;0),"1級に含む",IF(COUNTIFS('資格研修記録'!$A$5:$A$1004,$A111,'資格研修記録'!$D$5:$D$1004,I$4)=0,"—",IF(COUNTIFS('資格研修記録'!$A$5:$A$1004,$A111,'資格研修記録'!$D$5:$D$1004,I$4,'資格研修記録'!$F$5:$F$1004,"")+COUNTIFS('資格研修記録'!$A$5:$A$1004,$A111,'資格研修記録'!$D$5:$D$1004,I$4,'資格研修記録'!$F$5:$F$1004,"&gt;="&amp;TODAY())&gt;0,"○","× 期限切れ"))))</f>
        <v/>
      </c>
      <c r="J111" s="15">
        <f>IF(OR($A111="",J$4=""),"",IF(AND(J$4="小型船舶2級",(COUNTIFS('資格研修記録'!$A$5:$A$1004,$A111,'資格研修記録'!$D$5:$D$1004,"小型船舶1級",'資格研修記録'!$F$5:$F$1004,"")+COUNTIFS('資格研修記録'!$A$5:$A$1004,$A111,'資格研修記録'!$D$5:$D$1004,"小型船舶1級",'資格研修記録'!$F$5:$F$1004,"&gt;="&amp;TODAY()))&gt;0),"1級に含む",IF(COUNTIFS('資格研修記録'!$A$5:$A$1004,$A111,'資格研修記録'!$D$5:$D$1004,J$4)=0,"—",IF(COUNTIFS('資格研修記録'!$A$5:$A$1004,$A111,'資格研修記録'!$D$5:$D$1004,J$4,'資格研修記録'!$F$5:$F$1004,"")+COUNTIFS('資格研修記録'!$A$5:$A$1004,$A111,'資格研修記録'!$D$5:$D$1004,J$4,'資格研修記録'!$F$5:$F$1004,"&gt;="&amp;TODAY())&gt;0,"○","× 期限切れ"))))</f>
        <v/>
      </c>
      <c r="K111" s="15">
        <f>IF(OR($A111="",K$4=""),"",IF(AND(K$4="小型船舶2級",(COUNTIFS('資格研修記録'!$A$5:$A$1004,$A111,'資格研修記録'!$D$5:$D$1004,"小型船舶1級",'資格研修記録'!$F$5:$F$1004,"")+COUNTIFS('資格研修記録'!$A$5:$A$1004,$A111,'資格研修記録'!$D$5:$D$1004,"小型船舶1級",'資格研修記録'!$F$5:$F$1004,"&gt;="&amp;TODAY()))&gt;0),"1級に含む",IF(COUNTIFS('資格研修記録'!$A$5:$A$1004,$A111,'資格研修記録'!$D$5:$D$1004,K$4)=0,"—",IF(COUNTIFS('資格研修記録'!$A$5:$A$1004,$A111,'資格研修記録'!$D$5:$D$1004,K$4,'資格研修記録'!$F$5:$F$1004,"")+COUNTIFS('資格研修記録'!$A$5:$A$1004,$A111,'資格研修記録'!$D$5:$D$1004,K$4,'資格研修記録'!$F$5:$F$1004,"&gt;="&amp;TODAY())&gt;0,"○","× 期限切れ"))))</f>
        <v/>
      </c>
      <c r="L111" s="15">
        <f>IF(OR($A111="",L$4=""),"",IF(AND(L$4="小型船舶2級",(COUNTIFS('資格研修記録'!$A$5:$A$1004,$A111,'資格研修記録'!$D$5:$D$1004,"小型船舶1級",'資格研修記録'!$F$5:$F$1004,"")+COUNTIFS('資格研修記録'!$A$5:$A$1004,$A111,'資格研修記録'!$D$5:$D$1004,"小型船舶1級",'資格研修記録'!$F$5:$F$1004,"&gt;="&amp;TODAY()))&gt;0),"1級に含む",IF(COUNTIFS('資格研修記録'!$A$5:$A$1004,$A111,'資格研修記録'!$D$5:$D$1004,L$4)=0,"—",IF(COUNTIFS('資格研修記録'!$A$5:$A$1004,$A111,'資格研修記録'!$D$5:$D$1004,L$4,'資格研修記録'!$F$5:$F$1004,"")+COUNTIFS('資格研修記録'!$A$5:$A$1004,$A111,'資格研修記録'!$D$5:$D$1004,L$4,'資格研修記録'!$F$5:$F$1004,"&gt;="&amp;TODAY())&gt;0,"○","× 期限切れ"))))</f>
        <v/>
      </c>
    </row>
    <row r="112">
      <c r="A112" s="14">
        <f>IF('隊員マスタ'!A112="","",'隊員マスタ'!A112)</f>
        <v/>
      </c>
      <c r="B112" s="14">
        <f>IF(A112="","",'隊員マスタ'!B112)</f>
        <v/>
      </c>
      <c r="C112" s="14">
        <f>IF(A112="","",'隊員マスタ'!C112)</f>
        <v/>
      </c>
      <c r="D112" s="15">
        <f>IF(A112="","",'隊員マスタ'!D112)</f>
        <v/>
      </c>
      <c r="E112" s="15">
        <f>IF(OR($A112="",E$4=""),"",IF(AND(E$4="小型船舶2級",(COUNTIFS('資格研修記録'!$A$5:$A$1004,$A112,'資格研修記録'!$D$5:$D$1004,"小型船舶1級",'資格研修記録'!$F$5:$F$1004,"")+COUNTIFS('資格研修記録'!$A$5:$A$1004,$A112,'資格研修記録'!$D$5:$D$1004,"小型船舶1級",'資格研修記録'!$F$5:$F$1004,"&gt;="&amp;TODAY()))&gt;0),"1級に含む",IF(COUNTIFS('資格研修記録'!$A$5:$A$1004,$A112,'資格研修記録'!$D$5:$D$1004,E$4)=0,"—",IF(COUNTIFS('資格研修記録'!$A$5:$A$1004,$A112,'資格研修記録'!$D$5:$D$1004,E$4,'資格研修記録'!$F$5:$F$1004,"")+COUNTIFS('資格研修記録'!$A$5:$A$1004,$A112,'資格研修記録'!$D$5:$D$1004,E$4,'資格研修記録'!$F$5:$F$1004,"&gt;="&amp;TODAY())&gt;0,"○","× 期限切れ"))))</f>
        <v/>
      </c>
      <c r="F112" s="15">
        <f>IF(OR($A112="",F$4=""),"",IF(AND(F$4="小型船舶2級",(COUNTIFS('資格研修記録'!$A$5:$A$1004,$A112,'資格研修記録'!$D$5:$D$1004,"小型船舶1級",'資格研修記録'!$F$5:$F$1004,"")+COUNTIFS('資格研修記録'!$A$5:$A$1004,$A112,'資格研修記録'!$D$5:$D$1004,"小型船舶1級",'資格研修記録'!$F$5:$F$1004,"&gt;="&amp;TODAY()))&gt;0),"1級に含む",IF(COUNTIFS('資格研修記録'!$A$5:$A$1004,$A112,'資格研修記録'!$D$5:$D$1004,F$4)=0,"—",IF(COUNTIFS('資格研修記録'!$A$5:$A$1004,$A112,'資格研修記録'!$D$5:$D$1004,F$4,'資格研修記録'!$F$5:$F$1004,"")+COUNTIFS('資格研修記録'!$A$5:$A$1004,$A112,'資格研修記録'!$D$5:$D$1004,F$4,'資格研修記録'!$F$5:$F$1004,"&gt;="&amp;TODAY())&gt;0,"○","× 期限切れ"))))</f>
        <v/>
      </c>
      <c r="G112" s="15">
        <f>IF(OR($A112="",G$4=""),"",IF(AND(G$4="小型船舶2級",(COUNTIFS('資格研修記録'!$A$5:$A$1004,$A112,'資格研修記録'!$D$5:$D$1004,"小型船舶1級",'資格研修記録'!$F$5:$F$1004,"")+COUNTIFS('資格研修記録'!$A$5:$A$1004,$A112,'資格研修記録'!$D$5:$D$1004,"小型船舶1級",'資格研修記録'!$F$5:$F$1004,"&gt;="&amp;TODAY()))&gt;0),"1級に含む",IF(COUNTIFS('資格研修記録'!$A$5:$A$1004,$A112,'資格研修記録'!$D$5:$D$1004,G$4)=0,"—",IF(COUNTIFS('資格研修記録'!$A$5:$A$1004,$A112,'資格研修記録'!$D$5:$D$1004,G$4,'資格研修記録'!$F$5:$F$1004,"")+COUNTIFS('資格研修記録'!$A$5:$A$1004,$A112,'資格研修記録'!$D$5:$D$1004,G$4,'資格研修記録'!$F$5:$F$1004,"&gt;="&amp;TODAY())&gt;0,"○","× 期限切れ"))))</f>
        <v/>
      </c>
      <c r="H112" s="15">
        <f>IF(OR($A112="",H$4=""),"",IF(AND(H$4="小型船舶2級",(COUNTIFS('資格研修記録'!$A$5:$A$1004,$A112,'資格研修記録'!$D$5:$D$1004,"小型船舶1級",'資格研修記録'!$F$5:$F$1004,"")+COUNTIFS('資格研修記録'!$A$5:$A$1004,$A112,'資格研修記録'!$D$5:$D$1004,"小型船舶1級",'資格研修記録'!$F$5:$F$1004,"&gt;="&amp;TODAY()))&gt;0),"1級に含む",IF(COUNTIFS('資格研修記録'!$A$5:$A$1004,$A112,'資格研修記録'!$D$5:$D$1004,H$4)=0,"—",IF(COUNTIFS('資格研修記録'!$A$5:$A$1004,$A112,'資格研修記録'!$D$5:$D$1004,H$4,'資格研修記録'!$F$5:$F$1004,"")+COUNTIFS('資格研修記録'!$A$5:$A$1004,$A112,'資格研修記録'!$D$5:$D$1004,H$4,'資格研修記録'!$F$5:$F$1004,"&gt;="&amp;TODAY())&gt;0,"○","× 期限切れ"))))</f>
        <v/>
      </c>
      <c r="I112" s="15">
        <f>IF(OR($A112="",I$4=""),"",IF(AND(I$4="小型船舶2級",(COUNTIFS('資格研修記録'!$A$5:$A$1004,$A112,'資格研修記録'!$D$5:$D$1004,"小型船舶1級",'資格研修記録'!$F$5:$F$1004,"")+COUNTIFS('資格研修記録'!$A$5:$A$1004,$A112,'資格研修記録'!$D$5:$D$1004,"小型船舶1級",'資格研修記録'!$F$5:$F$1004,"&gt;="&amp;TODAY()))&gt;0),"1級に含む",IF(COUNTIFS('資格研修記録'!$A$5:$A$1004,$A112,'資格研修記録'!$D$5:$D$1004,I$4)=0,"—",IF(COUNTIFS('資格研修記録'!$A$5:$A$1004,$A112,'資格研修記録'!$D$5:$D$1004,I$4,'資格研修記録'!$F$5:$F$1004,"")+COUNTIFS('資格研修記録'!$A$5:$A$1004,$A112,'資格研修記録'!$D$5:$D$1004,I$4,'資格研修記録'!$F$5:$F$1004,"&gt;="&amp;TODAY())&gt;0,"○","× 期限切れ"))))</f>
        <v/>
      </c>
      <c r="J112" s="15">
        <f>IF(OR($A112="",J$4=""),"",IF(AND(J$4="小型船舶2級",(COUNTIFS('資格研修記録'!$A$5:$A$1004,$A112,'資格研修記録'!$D$5:$D$1004,"小型船舶1級",'資格研修記録'!$F$5:$F$1004,"")+COUNTIFS('資格研修記録'!$A$5:$A$1004,$A112,'資格研修記録'!$D$5:$D$1004,"小型船舶1級",'資格研修記録'!$F$5:$F$1004,"&gt;="&amp;TODAY()))&gt;0),"1級に含む",IF(COUNTIFS('資格研修記録'!$A$5:$A$1004,$A112,'資格研修記録'!$D$5:$D$1004,J$4)=0,"—",IF(COUNTIFS('資格研修記録'!$A$5:$A$1004,$A112,'資格研修記録'!$D$5:$D$1004,J$4,'資格研修記録'!$F$5:$F$1004,"")+COUNTIFS('資格研修記録'!$A$5:$A$1004,$A112,'資格研修記録'!$D$5:$D$1004,J$4,'資格研修記録'!$F$5:$F$1004,"&gt;="&amp;TODAY())&gt;0,"○","× 期限切れ"))))</f>
        <v/>
      </c>
      <c r="K112" s="15">
        <f>IF(OR($A112="",K$4=""),"",IF(AND(K$4="小型船舶2級",(COUNTIFS('資格研修記録'!$A$5:$A$1004,$A112,'資格研修記録'!$D$5:$D$1004,"小型船舶1級",'資格研修記録'!$F$5:$F$1004,"")+COUNTIFS('資格研修記録'!$A$5:$A$1004,$A112,'資格研修記録'!$D$5:$D$1004,"小型船舶1級",'資格研修記録'!$F$5:$F$1004,"&gt;="&amp;TODAY()))&gt;0),"1級に含む",IF(COUNTIFS('資格研修記録'!$A$5:$A$1004,$A112,'資格研修記録'!$D$5:$D$1004,K$4)=0,"—",IF(COUNTIFS('資格研修記録'!$A$5:$A$1004,$A112,'資格研修記録'!$D$5:$D$1004,K$4,'資格研修記録'!$F$5:$F$1004,"")+COUNTIFS('資格研修記録'!$A$5:$A$1004,$A112,'資格研修記録'!$D$5:$D$1004,K$4,'資格研修記録'!$F$5:$F$1004,"&gt;="&amp;TODAY())&gt;0,"○","× 期限切れ"))))</f>
        <v/>
      </c>
      <c r="L112" s="15">
        <f>IF(OR($A112="",L$4=""),"",IF(AND(L$4="小型船舶2級",(COUNTIFS('資格研修記録'!$A$5:$A$1004,$A112,'資格研修記録'!$D$5:$D$1004,"小型船舶1級",'資格研修記録'!$F$5:$F$1004,"")+COUNTIFS('資格研修記録'!$A$5:$A$1004,$A112,'資格研修記録'!$D$5:$D$1004,"小型船舶1級",'資格研修記録'!$F$5:$F$1004,"&gt;="&amp;TODAY()))&gt;0),"1級に含む",IF(COUNTIFS('資格研修記録'!$A$5:$A$1004,$A112,'資格研修記録'!$D$5:$D$1004,L$4)=0,"—",IF(COUNTIFS('資格研修記録'!$A$5:$A$1004,$A112,'資格研修記録'!$D$5:$D$1004,L$4,'資格研修記録'!$F$5:$F$1004,"")+COUNTIFS('資格研修記録'!$A$5:$A$1004,$A112,'資格研修記録'!$D$5:$D$1004,L$4,'資格研修記録'!$F$5:$F$1004,"&gt;="&amp;TODAY())&gt;0,"○","× 期限切れ"))))</f>
        <v/>
      </c>
    </row>
    <row r="113">
      <c r="A113" s="14">
        <f>IF('隊員マスタ'!A113="","",'隊員マスタ'!A113)</f>
        <v/>
      </c>
      <c r="B113" s="14">
        <f>IF(A113="","",'隊員マスタ'!B113)</f>
        <v/>
      </c>
      <c r="C113" s="14">
        <f>IF(A113="","",'隊員マスタ'!C113)</f>
        <v/>
      </c>
      <c r="D113" s="15">
        <f>IF(A113="","",'隊員マスタ'!D113)</f>
        <v/>
      </c>
      <c r="E113" s="15">
        <f>IF(OR($A113="",E$4=""),"",IF(AND(E$4="小型船舶2級",(COUNTIFS('資格研修記録'!$A$5:$A$1004,$A113,'資格研修記録'!$D$5:$D$1004,"小型船舶1級",'資格研修記録'!$F$5:$F$1004,"")+COUNTIFS('資格研修記録'!$A$5:$A$1004,$A113,'資格研修記録'!$D$5:$D$1004,"小型船舶1級",'資格研修記録'!$F$5:$F$1004,"&gt;="&amp;TODAY()))&gt;0),"1級に含む",IF(COUNTIFS('資格研修記録'!$A$5:$A$1004,$A113,'資格研修記録'!$D$5:$D$1004,E$4)=0,"—",IF(COUNTIFS('資格研修記録'!$A$5:$A$1004,$A113,'資格研修記録'!$D$5:$D$1004,E$4,'資格研修記録'!$F$5:$F$1004,"")+COUNTIFS('資格研修記録'!$A$5:$A$1004,$A113,'資格研修記録'!$D$5:$D$1004,E$4,'資格研修記録'!$F$5:$F$1004,"&gt;="&amp;TODAY())&gt;0,"○","× 期限切れ"))))</f>
        <v/>
      </c>
      <c r="F113" s="15">
        <f>IF(OR($A113="",F$4=""),"",IF(AND(F$4="小型船舶2級",(COUNTIFS('資格研修記録'!$A$5:$A$1004,$A113,'資格研修記録'!$D$5:$D$1004,"小型船舶1級",'資格研修記録'!$F$5:$F$1004,"")+COUNTIFS('資格研修記録'!$A$5:$A$1004,$A113,'資格研修記録'!$D$5:$D$1004,"小型船舶1級",'資格研修記録'!$F$5:$F$1004,"&gt;="&amp;TODAY()))&gt;0),"1級に含む",IF(COUNTIFS('資格研修記録'!$A$5:$A$1004,$A113,'資格研修記録'!$D$5:$D$1004,F$4)=0,"—",IF(COUNTIFS('資格研修記録'!$A$5:$A$1004,$A113,'資格研修記録'!$D$5:$D$1004,F$4,'資格研修記録'!$F$5:$F$1004,"")+COUNTIFS('資格研修記録'!$A$5:$A$1004,$A113,'資格研修記録'!$D$5:$D$1004,F$4,'資格研修記録'!$F$5:$F$1004,"&gt;="&amp;TODAY())&gt;0,"○","× 期限切れ"))))</f>
        <v/>
      </c>
      <c r="G113" s="15">
        <f>IF(OR($A113="",G$4=""),"",IF(AND(G$4="小型船舶2級",(COUNTIFS('資格研修記録'!$A$5:$A$1004,$A113,'資格研修記録'!$D$5:$D$1004,"小型船舶1級",'資格研修記録'!$F$5:$F$1004,"")+COUNTIFS('資格研修記録'!$A$5:$A$1004,$A113,'資格研修記録'!$D$5:$D$1004,"小型船舶1級",'資格研修記録'!$F$5:$F$1004,"&gt;="&amp;TODAY()))&gt;0),"1級に含む",IF(COUNTIFS('資格研修記録'!$A$5:$A$1004,$A113,'資格研修記録'!$D$5:$D$1004,G$4)=0,"—",IF(COUNTIFS('資格研修記録'!$A$5:$A$1004,$A113,'資格研修記録'!$D$5:$D$1004,G$4,'資格研修記録'!$F$5:$F$1004,"")+COUNTIFS('資格研修記録'!$A$5:$A$1004,$A113,'資格研修記録'!$D$5:$D$1004,G$4,'資格研修記録'!$F$5:$F$1004,"&gt;="&amp;TODAY())&gt;0,"○","× 期限切れ"))))</f>
        <v/>
      </c>
      <c r="H113" s="15">
        <f>IF(OR($A113="",H$4=""),"",IF(AND(H$4="小型船舶2級",(COUNTIFS('資格研修記録'!$A$5:$A$1004,$A113,'資格研修記録'!$D$5:$D$1004,"小型船舶1級",'資格研修記録'!$F$5:$F$1004,"")+COUNTIFS('資格研修記録'!$A$5:$A$1004,$A113,'資格研修記録'!$D$5:$D$1004,"小型船舶1級",'資格研修記録'!$F$5:$F$1004,"&gt;="&amp;TODAY()))&gt;0),"1級に含む",IF(COUNTIFS('資格研修記録'!$A$5:$A$1004,$A113,'資格研修記録'!$D$5:$D$1004,H$4)=0,"—",IF(COUNTIFS('資格研修記録'!$A$5:$A$1004,$A113,'資格研修記録'!$D$5:$D$1004,H$4,'資格研修記録'!$F$5:$F$1004,"")+COUNTIFS('資格研修記録'!$A$5:$A$1004,$A113,'資格研修記録'!$D$5:$D$1004,H$4,'資格研修記録'!$F$5:$F$1004,"&gt;="&amp;TODAY())&gt;0,"○","× 期限切れ"))))</f>
        <v/>
      </c>
      <c r="I113" s="15">
        <f>IF(OR($A113="",I$4=""),"",IF(AND(I$4="小型船舶2級",(COUNTIFS('資格研修記録'!$A$5:$A$1004,$A113,'資格研修記録'!$D$5:$D$1004,"小型船舶1級",'資格研修記録'!$F$5:$F$1004,"")+COUNTIFS('資格研修記録'!$A$5:$A$1004,$A113,'資格研修記録'!$D$5:$D$1004,"小型船舶1級",'資格研修記録'!$F$5:$F$1004,"&gt;="&amp;TODAY()))&gt;0),"1級に含む",IF(COUNTIFS('資格研修記録'!$A$5:$A$1004,$A113,'資格研修記録'!$D$5:$D$1004,I$4)=0,"—",IF(COUNTIFS('資格研修記録'!$A$5:$A$1004,$A113,'資格研修記録'!$D$5:$D$1004,I$4,'資格研修記録'!$F$5:$F$1004,"")+COUNTIFS('資格研修記録'!$A$5:$A$1004,$A113,'資格研修記録'!$D$5:$D$1004,I$4,'資格研修記録'!$F$5:$F$1004,"&gt;="&amp;TODAY())&gt;0,"○","× 期限切れ"))))</f>
        <v/>
      </c>
      <c r="J113" s="15">
        <f>IF(OR($A113="",J$4=""),"",IF(AND(J$4="小型船舶2級",(COUNTIFS('資格研修記録'!$A$5:$A$1004,$A113,'資格研修記録'!$D$5:$D$1004,"小型船舶1級",'資格研修記録'!$F$5:$F$1004,"")+COUNTIFS('資格研修記録'!$A$5:$A$1004,$A113,'資格研修記録'!$D$5:$D$1004,"小型船舶1級",'資格研修記録'!$F$5:$F$1004,"&gt;="&amp;TODAY()))&gt;0),"1級に含む",IF(COUNTIFS('資格研修記録'!$A$5:$A$1004,$A113,'資格研修記録'!$D$5:$D$1004,J$4)=0,"—",IF(COUNTIFS('資格研修記録'!$A$5:$A$1004,$A113,'資格研修記録'!$D$5:$D$1004,J$4,'資格研修記録'!$F$5:$F$1004,"")+COUNTIFS('資格研修記録'!$A$5:$A$1004,$A113,'資格研修記録'!$D$5:$D$1004,J$4,'資格研修記録'!$F$5:$F$1004,"&gt;="&amp;TODAY())&gt;0,"○","× 期限切れ"))))</f>
        <v/>
      </c>
      <c r="K113" s="15">
        <f>IF(OR($A113="",K$4=""),"",IF(AND(K$4="小型船舶2級",(COUNTIFS('資格研修記録'!$A$5:$A$1004,$A113,'資格研修記録'!$D$5:$D$1004,"小型船舶1級",'資格研修記録'!$F$5:$F$1004,"")+COUNTIFS('資格研修記録'!$A$5:$A$1004,$A113,'資格研修記録'!$D$5:$D$1004,"小型船舶1級",'資格研修記録'!$F$5:$F$1004,"&gt;="&amp;TODAY()))&gt;0),"1級に含む",IF(COUNTIFS('資格研修記録'!$A$5:$A$1004,$A113,'資格研修記録'!$D$5:$D$1004,K$4)=0,"—",IF(COUNTIFS('資格研修記録'!$A$5:$A$1004,$A113,'資格研修記録'!$D$5:$D$1004,K$4,'資格研修記録'!$F$5:$F$1004,"")+COUNTIFS('資格研修記録'!$A$5:$A$1004,$A113,'資格研修記録'!$D$5:$D$1004,K$4,'資格研修記録'!$F$5:$F$1004,"&gt;="&amp;TODAY())&gt;0,"○","× 期限切れ"))))</f>
        <v/>
      </c>
      <c r="L113" s="15">
        <f>IF(OR($A113="",L$4=""),"",IF(AND(L$4="小型船舶2級",(COUNTIFS('資格研修記録'!$A$5:$A$1004,$A113,'資格研修記録'!$D$5:$D$1004,"小型船舶1級",'資格研修記録'!$F$5:$F$1004,"")+COUNTIFS('資格研修記録'!$A$5:$A$1004,$A113,'資格研修記録'!$D$5:$D$1004,"小型船舶1級",'資格研修記録'!$F$5:$F$1004,"&gt;="&amp;TODAY()))&gt;0),"1級に含む",IF(COUNTIFS('資格研修記録'!$A$5:$A$1004,$A113,'資格研修記録'!$D$5:$D$1004,L$4)=0,"—",IF(COUNTIFS('資格研修記録'!$A$5:$A$1004,$A113,'資格研修記録'!$D$5:$D$1004,L$4,'資格研修記録'!$F$5:$F$1004,"")+COUNTIFS('資格研修記録'!$A$5:$A$1004,$A113,'資格研修記録'!$D$5:$D$1004,L$4,'資格研修記録'!$F$5:$F$1004,"&gt;="&amp;TODAY())&gt;0,"○","× 期限切れ"))))</f>
        <v/>
      </c>
    </row>
    <row r="114">
      <c r="A114" s="14">
        <f>IF('隊員マスタ'!A114="","",'隊員マスタ'!A114)</f>
        <v/>
      </c>
      <c r="B114" s="14">
        <f>IF(A114="","",'隊員マスタ'!B114)</f>
        <v/>
      </c>
      <c r="C114" s="14">
        <f>IF(A114="","",'隊員マスタ'!C114)</f>
        <v/>
      </c>
      <c r="D114" s="15">
        <f>IF(A114="","",'隊員マスタ'!D114)</f>
        <v/>
      </c>
      <c r="E114" s="15">
        <f>IF(OR($A114="",E$4=""),"",IF(AND(E$4="小型船舶2級",(COUNTIFS('資格研修記録'!$A$5:$A$1004,$A114,'資格研修記録'!$D$5:$D$1004,"小型船舶1級",'資格研修記録'!$F$5:$F$1004,"")+COUNTIFS('資格研修記録'!$A$5:$A$1004,$A114,'資格研修記録'!$D$5:$D$1004,"小型船舶1級",'資格研修記録'!$F$5:$F$1004,"&gt;="&amp;TODAY()))&gt;0),"1級に含む",IF(COUNTIFS('資格研修記録'!$A$5:$A$1004,$A114,'資格研修記録'!$D$5:$D$1004,E$4)=0,"—",IF(COUNTIFS('資格研修記録'!$A$5:$A$1004,$A114,'資格研修記録'!$D$5:$D$1004,E$4,'資格研修記録'!$F$5:$F$1004,"")+COUNTIFS('資格研修記録'!$A$5:$A$1004,$A114,'資格研修記録'!$D$5:$D$1004,E$4,'資格研修記録'!$F$5:$F$1004,"&gt;="&amp;TODAY())&gt;0,"○","× 期限切れ"))))</f>
        <v/>
      </c>
      <c r="F114" s="15">
        <f>IF(OR($A114="",F$4=""),"",IF(AND(F$4="小型船舶2級",(COUNTIFS('資格研修記録'!$A$5:$A$1004,$A114,'資格研修記録'!$D$5:$D$1004,"小型船舶1級",'資格研修記録'!$F$5:$F$1004,"")+COUNTIFS('資格研修記録'!$A$5:$A$1004,$A114,'資格研修記録'!$D$5:$D$1004,"小型船舶1級",'資格研修記録'!$F$5:$F$1004,"&gt;="&amp;TODAY()))&gt;0),"1級に含む",IF(COUNTIFS('資格研修記録'!$A$5:$A$1004,$A114,'資格研修記録'!$D$5:$D$1004,F$4)=0,"—",IF(COUNTIFS('資格研修記録'!$A$5:$A$1004,$A114,'資格研修記録'!$D$5:$D$1004,F$4,'資格研修記録'!$F$5:$F$1004,"")+COUNTIFS('資格研修記録'!$A$5:$A$1004,$A114,'資格研修記録'!$D$5:$D$1004,F$4,'資格研修記録'!$F$5:$F$1004,"&gt;="&amp;TODAY())&gt;0,"○","× 期限切れ"))))</f>
        <v/>
      </c>
      <c r="G114" s="15">
        <f>IF(OR($A114="",G$4=""),"",IF(AND(G$4="小型船舶2級",(COUNTIFS('資格研修記録'!$A$5:$A$1004,$A114,'資格研修記録'!$D$5:$D$1004,"小型船舶1級",'資格研修記録'!$F$5:$F$1004,"")+COUNTIFS('資格研修記録'!$A$5:$A$1004,$A114,'資格研修記録'!$D$5:$D$1004,"小型船舶1級",'資格研修記録'!$F$5:$F$1004,"&gt;="&amp;TODAY()))&gt;0),"1級に含む",IF(COUNTIFS('資格研修記録'!$A$5:$A$1004,$A114,'資格研修記録'!$D$5:$D$1004,G$4)=0,"—",IF(COUNTIFS('資格研修記録'!$A$5:$A$1004,$A114,'資格研修記録'!$D$5:$D$1004,G$4,'資格研修記録'!$F$5:$F$1004,"")+COUNTIFS('資格研修記録'!$A$5:$A$1004,$A114,'資格研修記録'!$D$5:$D$1004,G$4,'資格研修記録'!$F$5:$F$1004,"&gt;="&amp;TODAY())&gt;0,"○","× 期限切れ"))))</f>
        <v/>
      </c>
      <c r="H114" s="15">
        <f>IF(OR($A114="",H$4=""),"",IF(AND(H$4="小型船舶2級",(COUNTIFS('資格研修記録'!$A$5:$A$1004,$A114,'資格研修記録'!$D$5:$D$1004,"小型船舶1級",'資格研修記録'!$F$5:$F$1004,"")+COUNTIFS('資格研修記録'!$A$5:$A$1004,$A114,'資格研修記録'!$D$5:$D$1004,"小型船舶1級",'資格研修記録'!$F$5:$F$1004,"&gt;="&amp;TODAY()))&gt;0),"1級に含む",IF(COUNTIFS('資格研修記録'!$A$5:$A$1004,$A114,'資格研修記録'!$D$5:$D$1004,H$4)=0,"—",IF(COUNTIFS('資格研修記録'!$A$5:$A$1004,$A114,'資格研修記録'!$D$5:$D$1004,H$4,'資格研修記録'!$F$5:$F$1004,"")+COUNTIFS('資格研修記録'!$A$5:$A$1004,$A114,'資格研修記録'!$D$5:$D$1004,H$4,'資格研修記録'!$F$5:$F$1004,"&gt;="&amp;TODAY())&gt;0,"○","× 期限切れ"))))</f>
        <v/>
      </c>
      <c r="I114" s="15">
        <f>IF(OR($A114="",I$4=""),"",IF(AND(I$4="小型船舶2級",(COUNTIFS('資格研修記録'!$A$5:$A$1004,$A114,'資格研修記録'!$D$5:$D$1004,"小型船舶1級",'資格研修記録'!$F$5:$F$1004,"")+COUNTIFS('資格研修記録'!$A$5:$A$1004,$A114,'資格研修記録'!$D$5:$D$1004,"小型船舶1級",'資格研修記録'!$F$5:$F$1004,"&gt;="&amp;TODAY()))&gt;0),"1級に含む",IF(COUNTIFS('資格研修記録'!$A$5:$A$1004,$A114,'資格研修記録'!$D$5:$D$1004,I$4)=0,"—",IF(COUNTIFS('資格研修記録'!$A$5:$A$1004,$A114,'資格研修記録'!$D$5:$D$1004,I$4,'資格研修記録'!$F$5:$F$1004,"")+COUNTIFS('資格研修記録'!$A$5:$A$1004,$A114,'資格研修記録'!$D$5:$D$1004,I$4,'資格研修記録'!$F$5:$F$1004,"&gt;="&amp;TODAY())&gt;0,"○","× 期限切れ"))))</f>
        <v/>
      </c>
      <c r="J114" s="15">
        <f>IF(OR($A114="",J$4=""),"",IF(AND(J$4="小型船舶2級",(COUNTIFS('資格研修記録'!$A$5:$A$1004,$A114,'資格研修記録'!$D$5:$D$1004,"小型船舶1級",'資格研修記録'!$F$5:$F$1004,"")+COUNTIFS('資格研修記録'!$A$5:$A$1004,$A114,'資格研修記録'!$D$5:$D$1004,"小型船舶1級",'資格研修記録'!$F$5:$F$1004,"&gt;="&amp;TODAY()))&gt;0),"1級に含む",IF(COUNTIFS('資格研修記録'!$A$5:$A$1004,$A114,'資格研修記録'!$D$5:$D$1004,J$4)=0,"—",IF(COUNTIFS('資格研修記録'!$A$5:$A$1004,$A114,'資格研修記録'!$D$5:$D$1004,J$4,'資格研修記録'!$F$5:$F$1004,"")+COUNTIFS('資格研修記録'!$A$5:$A$1004,$A114,'資格研修記録'!$D$5:$D$1004,J$4,'資格研修記録'!$F$5:$F$1004,"&gt;="&amp;TODAY())&gt;0,"○","× 期限切れ"))))</f>
        <v/>
      </c>
      <c r="K114" s="15">
        <f>IF(OR($A114="",K$4=""),"",IF(AND(K$4="小型船舶2級",(COUNTIFS('資格研修記録'!$A$5:$A$1004,$A114,'資格研修記録'!$D$5:$D$1004,"小型船舶1級",'資格研修記録'!$F$5:$F$1004,"")+COUNTIFS('資格研修記録'!$A$5:$A$1004,$A114,'資格研修記録'!$D$5:$D$1004,"小型船舶1級",'資格研修記録'!$F$5:$F$1004,"&gt;="&amp;TODAY()))&gt;0),"1級に含む",IF(COUNTIFS('資格研修記録'!$A$5:$A$1004,$A114,'資格研修記録'!$D$5:$D$1004,K$4)=0,"—",IF(COUNTIFS('資格研修記録'!$A$5:$A$1004,$A114,'資格研修記録'!$D$5:$D$1004,K$4,'資格研修記録'!$F$5:$F$1004,"")+COUNTIFS('資格研修記録'!$A$5:$A$1004,$A114,'資格研修記録'!$D$5:$D$1004,K$4,'資格研修記録'!$F$5:$F$1004,"&gt;="&amp;TODAY())&gt;0,"○","× 期限切れ"))))</f>
        <v/>
      </c>
      <c r="L114" s="15">
        <f>IF(OR($A114="",L$4=""),"",IF(AND(L$4="小型船舶2級",(COUNTIFS('資格研修記録'!$A$5:$A$1004,$A114,'資格研修記録'!$D$5:$D$1004,"小型船舶1級",'資格研修記録'!$F$5:$F$1004,"")+COUNTIFS('資格研修記録'!$A$5:$A$1004,$A114,'資格研修記録'!$D$5:$D$1004,"小型船舶1級",'資格研修記録'!$F$5:$F$1004,"&gt;="&amp;TODAY()))&gt;0),"1級に含む",IF(COUNTIFS('資格研修記録'!$A$5:$A$1004,$A114,'資格研修記録'!$D$5:$D$1004,L$4)=0,"—",IF(COUNTIFS('資格研修記録'!$A$5:$A$1004,$A114,'資格研修記録'!$D$5:$D$1004,L$4,'資格研修記録'!$F$5:$F$1004,"")+COUNTIFS('資格研修記録'!$A$5:$A$1004,$A114,'資格研修記録'!$D$5:$D$1004,L$4,'資格研修記録'!$F$5:$F$1004,"&gt;="&amp;TODAY())&gt;0,"○","× 期限切れ"))))</f>
        <v/>
      </c>
    </row>
    <row r="115">
      <c r="A115" s="14">
        <f>IF('隊員マスタ'!A115="","",'隊員マスタ'!A115)</f>
        <v/>
      </c>
      <c r="B115" s="14">
        <f>IF(A115="","",'隊員マスタ'!B115)</f>
        <v/>
      </c>
      <c r="C115" s="14">
        <f>IF(A115="","",'隊員マスタ'!C115)</f>
        <v/>
      </c>
      <c r="D115" s="15">
        <f>IF(A115="","",'隊員マスタ'!D115)</f>
        <v/>
      </c>
      <c r="E115" s="15">
        <f>IF(OR($A115="",E$4=""),"",IF(AND(E$4="小型船舶2級",(COUNTIFS('資格研修記録'!$A$5:$A$1004,$A115,'資格研修記録'!$D$5:$D$1004,"小型船舶1級",'資格研修記録'!$F$5:$F$1004,"")+COUNTIFS('資格研修記録'!$A$5:$A$1004,$A115,'資格研修記録'!$D$5:$D$1004,"小型船舶1級",'資格研修記録'!$F$5:$F$1004,"&gt;="&amp;TODAY()))&gt;0),"1級に含む",IF(COUNTIFS('資格研修記録'!$A$5:$A$1004,$A115,'資格研修記録'!$D$5:$D$1004,E$4)=0,"—",IF(COUNTIFS('資格研修記録'!$A$5:$A$1004,$A115,'資格研修記録'!$D$5:$D$1004,E$4,'資格研修記録'!$F$5:$F$1004,"")+COUNTIFS('資格研修記録'!$A$5:$A$1004,$A115,'資格研修記録'!$D$5:$D$1004,E$4,'資格研修記録'!$F$5:$F$1004,"&gt;="&amp;TODAY())&gt;0,"○","× 期限切れ"))))</f>
        <v/>
      </c>
      <c r="F115" s="15">
        <f>IF(OR($A115="",F$4=""),"",IF(AND(F$4="小型船舶2級",(COUNTIFS('資格研修記録'!$A$5:$A$1004,$A115,'資格研修記録'!$D$5:$D$1004,"小型船舶1級",'資格研修記録'!$F$5:$F$1004,"")+COUNTIFS('資格研修記録'!$A$5:$A$1004,$A115,'資格研修記録'!$D$5:$D$1004,"小型船舶1級",'資格研修記録'!$F$5:$F$1004,"&gt;="&amp;TODAY()))&gt;0),"1級に含む",IF(COUNTIFS('資格研修記録'!$A$5:$A$1004,$A115,'資格研修記録'!$D$5:$D$1004,F$4)=0,"—",IF(COUNTIFS('資格研修記録'!$A$5:$A$1004,$A115,'資格研修記録'!$D$5:$D$1004,F$4,'資格研修記録'!$F$5:$F$1004,"")+COUNTIFS('資格研修記録'!$A$5:$A$1004,$A115,'資格研修記録'!$D$5:$D$1004,F$4,'資格研修記録'!$F$5:$F$1004,"&gt;="&amp;TODAY())&gt;0,"○","× 期限切れ"))))</f>
        <v/>
      </c>
      <c r="G115" s="15">
        <f>IF(OR($A115="",G$4=""),"",IF(AND(G$4="小型船舶2級",(COUNTIFS('資格研修記録'!$A$5:$A$1004,$A115,'資格研修記録'!$D$5:$D$1004,"小型船舶1級",'資格研修記録'!$F$5:$F$1004,"")+COUNTIFS('資格研修記録'!$A$5:$A$1004,$A115,'資格研修記録'!$D$5:$D$1004,"小型船舶1級",'資格研修記録'!$F$5:$F$1004,"&gt;="&amp;TODAY()))&gt;0),"1級に含む",IF(COUNTIFS('資格研修記録'!$A$5:$A$1004,$A115,'資格研修記録'!$D$5:$D$1004,G$4)=0,"—",IF(COUNTIFS('資格研修記録'!$A$5:$A$1004,$A115,'資格研修記録'!$D$5:$D$1004,G$4,'資格研修記録'!$F$5:$F$1004,"")+COUNTIFS('資格研修記録'!$A$5:$A$1004,$A115,'資格研修記録'!$D$5:$D$1004,G$4,'資格研修記録'!$F$5:$F$1004,"&gt;="&amp;TODAY())&gt;0,"○","× 期限切れ"))))</f>
        <v/>
      </c>
      <c r="H115" s="15">
        <f>IF(OR($A115="",H$4=""),"",IF(AND(H$4="小型船舶2級",(COUNTIFS('資格研修記録'!$A$5:$A$1004,$A115,'資格研修記録'!$D$5:$D$1004,"小型船舶1級",'資格研修記録'!$F$5:$F$1004,"")+COUNTIFS('資格研修記録'!$A$5:$A$1004,$A115,'資格研修記録'!$D$5:$D$1004,"小型船舶1級",'資格研修記録'!$F$5:$F$1004,"&gt;="&amp;TODAY()))&gt;0),"1級に含む",IF(COUNTIFS('資格研修記録'!$A$5:$A$1004,$A115,'資格研修記録'!$D$5:$D$1004,H$4)=0,"—",IF(COUNTIFS('資格研修記録'!$A$5:$A$1004,$A115,'資格研修記録'!$D$5:$D$1004,H$4,'資格研修記録'!$F$5:$F$1004,"")+COUNTIFS('資格研修記録'!$A$5:$A$1004,$A115,'資格研修記録'!$D$5:$D$1004,H$4,'資格研修記録'!$F$5:$F$1004,"&gt;="&amp;TODAY())&gt;0,"○","× 期限切れ"))))</f>
        <v/>
      </c>
      <c r="I115" s="15">
        <f>IF(OR($A115="",I$4=""),"",IF(AND(I$4="小型船舶2級",(COUNTIFS('資格研修記録'!$A$5:$A$1004,$A115,'資格研修記録'!$D$5:$D$1004,"小型船舶1級",'資格研修記録'!$F$5:$F$1004,"")+COUNTIFS('資格研修記録'!$A$5:$A$1004,$A115,'資格研修記録'!$D$5:$D$1004,"小型船舶1級",'資格研修記録'!$F$5:$F$1004,"&gt;="&amp;TODAY()))&gt;0),"1級に含む",IF(COUNTIFS('資格研修記録'!$A$5:$A$1004,$A115,'資格研修記録'!$D$5:$D$1004,I$4)=0,"—",IF(COUNTIFS('資格研修記録'!$A$5:$A$1004,$A115,'資格研修記録'!$D$5:$D$1004,I$4,'資格研修記録'!$F$5:$F$1004,"")+COUNTIFS('資格研修記録'!$A$5:$A$1004,$A115,'資格研修記録'!$D$5:$D$1004,I$4,'資格研修記録'!$F$5:$F$1004,"&gt;="&amp;TODAY())&gt;0,"○","× 期限切れ"))))</f>
        <v/>
      </c>
      <c r="J115" s="15">
        <f>IF(OR($A115="",J$4=""),"",IF(AND(J$4="小型船舶2級",(COUNTIFS('資格研修記録'!$A$5:$A$1004,$A115,'資格研修記録'!$D$5:$D$1004,"小型船舶1級",'資格研修記録'!$F$5:$F$1004,"")+COUNTIFS('資格研修記録'!$A$5:$A$1004,$A115,'資格研修記録'!$D$5:$D$1004,"小型船舶1級",'資格研修記録'!$F$5:$F$1004,"&gt;="&amp;TODAY()))&gt;0),"1級に含む",IF(COUNTIFS('資格研修記録'!$A$5:$A$1004,$A115,'資格研修記録'!$D$5:$D$1004,J$4)=0,"—",IF(COUNTIFS('資格研修記録'!$A$5:$A$1004,$A115,'資格研修記録'!$D$5:$D$1004,J$4,'資格研修記録'!$F$5:$F$1004,"")+COUNTIFS('資格研修記録'!$A$5:$A$1004,$A115,'資格研修記録'!$D$5:$D$1004,J$4,'資格研修記録'!$F$5:$F$1004,"&gt;="&amp;TODAY())&gt;0,"○","× 期限切れ"))))</f>
        <v/>
      </c>
      <c r="K115" s="15">
        <f>IF(OR($A115="",K$4=""),"",IF(AND(K$4="小型船舶2級",(COUNTIFS('資格研修記録'!$A$5:$A$1004,$A115,'資格研修記録'!$D$5:$D$1004,"小型船舶1級",'資格研修記録'!$F$5:$F$1004,"")+COUNTIFS('資格研修記録'!$A$5:$A$1004,$A115,'資格研修記録'!$D$5:$D$1004,"小型船舶1級",'資格研修記録'!$F$5:$F$1004,"&gt;="&amp;TODAY()))&gt;0),"1級に含む",IF(COUNTIFS('資格研修記録'!$A$5:$A$1004,$A115,'資格研修記録'!$D$5:$D$1004,K$4)=0,"—",IF(COUNTIFS('資格研修記録'!$A$5:$A$1004,$A115,'資格研修記録'!$D$5:$D$1004,K$4,'資格研修記録'!$F$5:$F$1004,"")+COUNTIFS('資格研修記録'!$A$5:$A$1004,$A115,'資格研修記録'!$D$5:$D$1004,K$4,'資格研修記録'!$F$5:$F$1004,"&gt;="&amp;TODAY())&gt;0,"○","× 期限切れ"))))</f>
        <v/>
      </c>
      <c r="L115" s="15">
        <f>IF(OR($A115="",L$4=""),"",IF(AND(L$4="小型船舶2級",(COUNTIFS('資格研修記録'!$A$5:$A$1004,$A115,'資格研修記録'!$D$5:$D$1004,"小型船舶1級",'資格研修記録'!$F$5:$F$1004,"")+COUNTIFS('資格研修記録'!$A$5:$A$1004,$A115,'資格研修記録'!$D$5:$D$1004,"小型船舶1級",'資格研修記録'!$F$5:$F$1004,"&gt;="&amp;TODAY()))&gt;0),"1級に含む",IF(COUNTIFS('資格研修記録'!$A$5:$A$1004,$A115,'資格研修記録'!$D$5:$D$1004,L$4)=0,"—",IF(COUNTIFS('資格研修記録'!$A$5:$A$1004,$A115,'資格研修記録'!$D$5:$D$1004,L$4,'資格研修記録'!$F$5:$F$1004,"")+COUNTIFS('資格研修記録'!$A$5:$A$1004,$A115,'資格研修記録'!$D$5:$D$1004,L$4,'資格研修記録'!$F$5:$F$1004,"&gt;="&amp;TODAY())&gt;0,"○","× 期限切れ"))))</f>
        <v/>
      </c>
    </row>
    <row r="116">
      <c r="A116" s="14">
        <f>IF('隊員マスタ'!A116="","",'隊員マスタ'!A116)</f>
        <v/>
      </c>
      <c r="B116" s="14">
        <f>IF(A116="","",'隊員マスタ'!B116)</f>
        <v/>
      </c>
      <c r="C116" s="14">
        <f>IF(A116="","",'隊員マスタ'!C116)</f>
        <v/>
      </c>
      <c r="D116" s="15">
        <f>IF(A116="","",'隊員マスタ'!D116)</f>
        <v/>
      </c>
      <c r="E116" s="15">
        <f>IF(OR($A116="",E$4=""),"",IF(AND(E$4="小型船舶2級",(COUNTIFS('資格研修記録'!$A$5:$A$1004,$A116,'資格研修記録'!$D$5:$D$1004,"小型船舶1級",'資格研修記録'!$F$5:$F$1004,"")+COUNTIFS('資格研修記録'!$A$5:$A$1004,$A116,'資格研修記録'!$D$5:$D$1004,"小型船舶1級",'資格研修記録'!$F$5:$F$1004,"&gt;="&amp;TODAY()))&gt;0),"1級に含む",IF(COUNTIFS('資格研修記録'!$A$5:$A$1004,$A116,'資格研修記録'!$D$5:$D$1004,E$4)=0,"—",IF(COUNTIFS('資格研修記録'!$A$5:$A$1004,$A116,'資格研修記録'!$D$5:$D$1004,E$4,'資格研修記録'!$F$5:$F$1004,"")+COUNTIFS('資格研修記録'!$A$5:$A$1004,$A116,'資格研修記録'!$D$5:$D$1004,E$4,'資格研修記録'!$F$5:$F$1004,"&gt;="&amp;TODAY())&gt;0,"○","× 期限切れ"))))</f>
        <v/>
      </c>
      <c r="F116" s="15">
        <f>IF(OR($A116="",F$4=""),"",IF(AND(F$4="小型船舶2級",(COUNTIFS('資格研修記録'!$A$5:$A$1004,$A116,'資格研修記録'!$D$5:$D$1004,"小型船舶1級",'資格研修記録'!$F$5:$F$1004,"")+COUNTIFS('資格研修記録'!$A$5:$A$1004,$A116,'資格研修記録'!$D$5:$D$1004,"小型船舶1級",'資格研修記録'!$F$5:$F$1004,"&gt;="&amp;TODAY()))&gt;0),"1級に含む",IF(COUNTIFS('資格研修記録'!$A$5:$A$1004,$A116,'資格研修記録'!$D$5:$D$1004,F$4)=0,"—",IF(COUNTIFS('資格研修記録'!$A$5:$A$1004,$A116,'資格研修記録'!$D$5:$D$1004,F$4,'資格研修記録'!$F$5:$F$1004,"")+COUNTIFS('資格研修記録'!$A$5:$A$1004,$A116,'資格研修記録'!$D$5:$D$1004,F$4,'資格研修記録'!$F$5:$F$1004,"&gt;="&amp;TODAY())&gt;0,"○","× 期限切れ"))))</f>
        <v/>
      </c>
      <c r="G116" s="15">
        <f>IF(OR($A116="",G$4=""),"",IF(AND(G$4="小型船舶2級",(COUNTIFS('資格研修記録'!$A$5:$A$1004,$A116,'資格研修記録'!$D$5:$D$1004,"小型船舶1級",'資格研修記録'!$F$5:$F$1004,"")+COUNTIFS('資格研修記録'!$A$5:$A$1004,$A116,'資格研修記録'!$D$5:$D$1004,"小型船舶1級",'資格研修記録'!$F$5:$F$1004,"&gt;="&amp;TODAY()))&gt;0),"1級に含む",IF(COUNTIFS('資格研修記録'!$A$5:$A$1004,$A116,'資格研修記録'!$D$5:$D$1004,G$4)=0,"—",IF(COUNTIFS('資格研修記録'!$A$5:$A$1004,$A116,'資格研修記録'!$D$5:$D$1004,G$4,'資格研修記録'!$F$5:$F$1004,"")+COUNTIFS('資格研修記録'!$A$5:$A$1004,$A116,'資格研修記録'!$D$5:$D$1004,G$4,'資格研修記録'!$F$5:$F$1004,"&gt;="&amp;TODAY())&gt;0,"○","× 期限切れ"))))</f>
        <v/>
      </c>
      <c r="H116" s="15">
        <f>IF(OR($A116="",H$4=""),"",IF(AND(H$4="小型船舶2級",(COUNTIFS('資格研修記録'!$A$5:$A$1004,$A116,'資格研修記録'!$D$5:$D$1004,"小型船舶1級",'資格研修記録'!$F$5:$F$1004,"")+COUNTIFS('資格研修記録'!$A$5:$A$1004,$A116,'資格研修記録'!$D$5:$D$1004,"小型船舶1級",'資格研修記録'!$F$5:$F$1004,"&gt;="&amp;TODAY()))&gt;0),"1級に含む",IF(COUNTIFS('資格研修記録'!$A$5:$A$1004,$A116,'資格研修記録'!$D$5:$D$1004,H$4)=0,"—",IF(COUNTIFS('資格研修記録'!$A$5:$A$1004,$A116,'資格研修記録'!$D$5:$D$1004,H$4,'資格研修記録'!$F$5:$F$1004,"")+COUNTIFS('資格研修記録'!$A$5:$A$1004,$A116,'資格研修記録'!$D$5:$D$1004,H$4,'資格研修記録'!$F$5:$F$1004,"&gt;="&amp;TODAY())&gt;0,"○","× 期限切れ"))))</f>
        <v/>
      </c>
      <c r="I116" s="15">
        <f>IF(OR($A116="",I$4=""),"",IF(AND(I$4="小型船舶2級",(COUNTIFS('資格研修記録'!$A$5:$A$1004,$A116,'資格研修記録'!$D$5:$D$1004,"小型船舶1級",'資格研修記録'!$F$5:$F$1004,"")+COUNTIFS('資格研修記録'!$A$5:$A$1004,$A116,'資格研修記録'!$D$5:$D$1004,"小型船舶1級",'資格研修記録'!$F$5:$F$1004,"&gt;="&amp;TODAY()))&gt;0),"1級に含む",IF(COUNTIFS('資格研修記録'!$A$5:$A$1004,$A116,'資格研修記録'!$D$5:$D$1004,I$4)=0,"—",IF(COUNTIFS('資格研修記録'!$A$5:$A$1004,$A116,'資格研修記録'!$D$5:$D$1004,I$4,'資格研修記録'!$F$5:$F$1004,"")+COUNTIFS('資格研修記録'!$A$5:$A$1004,$A116,'資格研修記録'!$D$5:$D$1004,I$4,'資格研修記録'!$F$5:$F$1004,"&gt;="&amp;TODAY())&gt;0,"○","× 期限切れ"))))</f>
        <v/>
      </c>
      <c r="J116" s="15">
        <f>IF(OR($A116="",J$4=""),"",IF(AND(J$4="小型船舶2級",(COUNTIFS('資格研修記録'!$A$5:$A$1004,$A116,'資格研修記録'!$D$5:$D$1004,"小型船舶1級",'資格研修記録'!$F$5:$F$1004,"")+COUNTIFS('資格研修記録'!$A$5:$A$1004,$A116,'資格研修記録'!$D$5:$D$1004,"小型船舶1級",'資格研修記録'!$F$5:$F$1004,"&gt;="&amp;TODAY()))&gt;0),"1級に含む",IF(COUNTIFS('資格研修記録'!$A$5:$A$1004,$A116,'資格研修記録'!$D$5:$D$1004,J$4)=0,"—",IF(COUNTIFS('資格研修記録'!$A$5:$A$1004,$A116,'資格研修記録'!$D$5:$D$1004,J$4,'資格研修記録'!$F$5:$F$1004,"")+COUNTIFS('資格研修記録'!$A$5:$A$1004,$A116,'資格研修記録'!$D$5:$D$1004,J$4,'資格研修記録'!$F$5:$F$1004,"&gt;="&amp;TODAY())&gt;0,"○","× 期限切れ"))))</f>
        <v/>
      </c>
      <c r="K116" s="15">
        <f>IF(OR($A116="",K$4=""),"",IF(AND(K$4="小型船舶2級",(COUNTIFS('資格研修記録'!$A$5:$A$1004,$A116,'資格研修記録'!$D$5:$D$1004,"小型船舶1級",'資格研修記録'!$F$5:$F$1004,"")+COUNTIFS('資格研修記録'!$A$5:$A$1004,$A116,'資格研修記録'!$D$5:$D$1004,"小型船舶1級",'資格研修記録'!$F$5:$F$1004,"&gt;="&amp;TODAY()))&gt;0),"1級に含む",IF(COUNTIFS('資格研修記録'!$A$5:$A$1004,$A116,'資格研修記録'!$D$5:$D$1004,K$4)=0,"—",IF(COUNTIFS('資格研修記録'!$A$5:$A$1004,$A116,'資格研修記録'!$D$5:$D$1004,K$4,'資格研修記録'!$F$5:$F$1004,"")+COUNTIFS('資格研修記録'!$A$5:$A$1004,$A116,'資格研修記録'!$D$5:$D$1004,K$4,'資格研修記録'!$F$5:$F$1004,"&gt;="&amp;TODAY())&gt;0,"○","× 期限切れ"))))</f>
        <v/>
      </c>
      <c r="L116" s="15">
        <f>IF(OR($A116="",L$4=""),"",IF(AND(L$4="小型船舶2級",(COUNTIFS('資格研修記録'!$A$5:$A$1004,$A116,'資格研修記録'!$D$5:$D$1004,"小型船舶1級",'資格研修記録'!$F$5:$F$1004,"")+COUNTIFS('資格研修記録'!$A$5:$A$1004,$A116,'資格研修記録'!$D$5:$D$1004,"小型船舶1級",'資格研修記録'!$F$5:$F$1004,"&gt;="&amp;TODAY()))&gt;0),"1級に含む",IF(COUNTIFS('資格研修記録'!$A$5:$A$1004,$A116,'資格研修記録'!$D$5:$D$1004,L$4)=0,"—",IF(COUNTIFS('資格研修記録'!$A$5:$A$1004,$A116,'資格研修記録'!$D$5:$D$1004,L$4,'資格研修記録'!$F$5:$F$1004,"")+COUNTIFS('資格研修記録'!$A$5:$A$1004,$A116,'資格研修記録'!$D$5:$D$1004,L$4,'資格研修記録'!$F$5:$F$1004,"&gt;="&amp;TODAY())&gt;0,"○","× 期限切れ"))))</f>
        <v/>
      </c>
    </row>
    <row r="117">
      <c r="A117" s="14">
        <f>IF('隊員マスタ'!A117="","",'隊員マスタ'!A117)</f>
        <v/>
      </c>
      <c r="B117" s="14">
        <f>IF(A117="","",'隊員マスタ'!B117)</f>
        <v/>
      </c>
      <c r="C117" s="14">
        <f>IF(A117="","",'隊員マスタ'!C117)</f>
        <v/>
      </c>
      <c r="D117" s="15">
        <f>IF(A117="","",'隊員マスタ'!D117)</f>
        <v/>
      </c>
      <c r="E117" s="15">
        <f>IF(OR($A117="",E$4=""),"",IF(AND(E$4="小型船舶2級",(COUNTIFS('資格研修記録'!$A$5:$A$1004,$A117,'資格研修記録'!$D$5:$D$1004,"小型船舶1級",'資格研修記録'!$F$5:$F$1004,"")+COUNTIFS('資格研修記録'!$A$5:$A$1004,$A117,'資格研修記録'!$D$5:$D$1004,"小型船舶1級",'資格研修記録'!$F$5:$F$1004,"&gt;="&amp;TODAY()))&gt;0),"1級に含む",IF(COUNTIFS('資格研修記録'!$A$5:$A$1004,$A117,'資格研修記録'!$D$5:$D$1004,E$4)=0,"—",IF(COUNTIFS('資格研修記録'!$A$5:$A$1004,$A117,'資格研修記録'!$D$5:$D$1004,E$4,'資格研修記録'!$F$5:$F$1004,"")+COUNTIFS('資格研修記録'!$A$5:$A$1004,$A117,'資格研修記録'!$D$5:$D$1004,E$4,'資格研修記録'!$F$5:$F$1004,"&gt;="&amp;TODAY())&gt;0,"○","× 期限切れ"))))</f>
        <v/>
      </c>
      <c r="F117" s="15">
        <f>IF(OR($A117="",F$4=""),"",IF(AND(F$4="小型船舶2級",(COUNTIFS('資格研修記録'!$A$5:$A$1004,$A117,'資格研修記録'!$D$5:$D$1004,"小型船舶1級",'資格研修記録'!$F$5:$F$1004,"")+COUNTIFS('資格研修記録'!$A$5:$A$1004,$A117,'資格研修記録'!$D$5:$D$1004,"小型船舶1級",'資格研修記録'!$F$5:$F$1004,"&gt;="&amp;TODAY()))&gt;0),"1級に含む",IF(COUNTIFS('資格研修記録'!$A$5:$A$1004,$A117,'資格研修記録'!$D$5:$D$1004,F$4)=0,"—",IF(COUNTIFS('資格研修記録'!$A$5:$A$1004,$A117,'資格研修記録'!$D$5:$D$1004,F$4,'資格研修記録'!$F$5:$F$1004,"")+COUNTIFS('資格研修記録'!$A$5:$A$1004,$A117,'資格研修記録'!$D$5:$D$1004,F$4,'資格研修記録'!$F$5:$F$1004,"&gt;="&amp;TODAY())&gt;0,"○","× 期限切れ"))))</f>
        <v/>
      </c>
      <c r="G117" s="15">
        <f>IF(OR($A117="",G$4=""),"",IF(AND(G$4="小型船舶2級",(COUNTIFS('資格研修記録'!$A$5:$A$1004,$A117,'資格研修記録'!$D$5:$D$1004,"小型船舶1級",'資格研修記録'!$F$5:$F$1004,"")+COUNTIFS('資格研修記録'!$A$5:$A$1004,$A117,'資格研修記録'!$D$5:$D$1004,"小型船舶1級",'資格研修記録'!$F$5:$F$1004,"&gt;="&amp;TODAY()))&gt;0),"1級に含む",IF(COUNTIFS('資格研修記録'!$A$5:$A$1004,$A117,'資格研修記録'!$D$5:$D$1004,G$4)=0,"—",IF(COUNTIFS('資格研修記録'!$A$5:$A$1004,$A117,'資格研修記録'!$D$5:$D$1004,G$4,'資格研修記録'!$F$5:$F$1004,"")+COUNTIFS('資格研修記録'!$A$5:$A$1004,$A117,'資格研修記録'!$D$5:$D$1004,G$4,'資格研修記録'!$F$5:$F$1004,"&gt;="&amp;TODAY())&gt;0,"○","× 期限切れ"))))</f>
        <v/>
      </c>
      <c r="H117" s="15">
        <f>IF(OR($A117="",H$4=""),"",IF(AND(H$4="小型船舶2級",(COUNTIFS('資格研修記録'!$A$5:$A$1004,$A117,'資格研修記録'!$D$5:$D$1004,"小型船舶1級",'資格研修記録'!$F$5:$F$1004,"")+COUNTIFS('資格研修記録'!$A$5:$A$1004,$A117,'資格研修記録'!$D$5:$D$1004,"小型船舶1級",'資格研修記録'!$F$5:$F$1004,"&gt;="&amp;TODAY()))&gt;0),"1級に含む",IF(COUNTIFS('資格研修記録'!$A$5:$A$1004,$A117,'資格研修記録'!$D$5:$D$1004,H$4)=0,"—",IF(COUNTIFS('資格研修記録'!$A$5:$A$1004,$A117,'資格研修記録'!$D$5:$D$1004,H$4,'資格研修記録'!$F$5:$F$1004,"")+COUNTIFS('資格研修記録'!$A$5:$A$1004,$A117,'資格研修記録'!$D$5:$D$1004,H$4,'資格研修記録'!$F$5:$F$1004,"&gt;="&amp;TODAY())&gt;0,"○","× 期限切れ"))))</f>
        <v/>
      </c>
      <c r="I117" s="15">
        <f>IF(OR($A117="",I$4=""),"",IF(AND(I$4="小型船舶2級",(COUNTIFS('資格研修記録'!$A$5:$A$1004,$A117,'資格研修記録'!$D$5:$D$1004,"小型船舶1級",'資格研修記録'!$F$5:$F$1004,"")+COUNTIFS('資格研修記録'!$A$5:$A$1004,$A117,'資格研修記録'!$D$5:$D$1004,"小型船舶1級",'資格研修記録'!$F$5:$F$1004,"&gt;="&amp;TODAY()))&gt;0),"1級に含む",IF(COUNTIFS('資格研修記録'!$A$5:$A$1004,$A117,'資格研修記録'!$D$5:$D$1004,I$4)=0,"—",IF(COUNTIFS('資格研修記録'!$A$5:$A$1004,$A117,'資格研修記録'!$D$5:$D$1004,I$4,'資格研修記録'!$F$5:$F$1004,"")+COUNTIFS('資格研修記録'!$A$5:$A$1004,$A117,'資格研修記録'!$D$5:$D$1004,I$4,'資格研修記録'!$F$5:$F$1004,"&gt;="&amp;TODAY())&gt;0,"○","× 期限切れ"))))</f>
        <v/>
      </c>
      <c r="J117" s="15">
        <f>IF(OR($A117="",J$4=""),"",IF(AND(J$4="小型船舶2級",(COUNTIFS('資格研修記録'!$A$5:$A$1004,$A117,'資格研修記録'!$D$5:$D$1004,"小型船舶1級",'資格研修記録'!$F$5:$F$1004,"")+COUNTIFS('資格研修記録'!$A$5:$A$1004,$A117,'資格研修記録'!$D$5:$D$1004,"小型船舶1級",'資格研修記録'!$F$5:$F$1004,"&gt;="&amp;TODAY()))&gt;0),"1級に含む",IF(COUNTIFS('資格研修記録'!$A$5:$A$1004,$A117,'資格研修記録'!$D$5:$D$1004,J$4)=0,"—",IF(COUNTIFS('資格研修記録'!$A$5:$A$1004,$A117,'資格研修記録'!$D$5:$D$1004,J$4,'資格研修記録'!$F$5:$F$1004,"")+COUNTIFS('資格研修記録'!$A$5:$A$1004,$A117,'資格研修記録'!$D$5:$D$1004,J$4,'資格研修記録'!$F$5:$F$1004,"&gt;="&amp;TODAY())&gt;0,"○","× 期限切れ"))))</f>
        <v/>
      </c>
      <c r="K117" s="15">
        <f>IF(OR($A117="",K$4=""),"",IF(AND(K$4="小型船舶2級",(COUNTIFS('資格研修記録'!$A$5:$A$1004,$A117,'資格研修記録'!$D$5:$D$1004,"小型船舶1級",'資格研修記録'!$F$5:$F$1004,"")+COUNTIFS('資格研修記録'!$A$5:$A$1004,$A117,'資格研修記録'!$D$5:$D$1004,"小型船舶1級",'資格研修記録'!$F$5:$F$1004,"&gt;="&amp;TODAY()))&gt;0),"1級に含む",IF(COUNTIFS('資格研修記録'!$A$5:$A$1004,$A117,'資格研修記録'!$D$5:$D$1004,K$4)=0,"—",IF(COUNTIFS('資格研修記録'!$A$5:$A$1004,$A117,'資格研修記録'!$D$5:$D$1004,K$4,'資格研修記録'!$F$5:$F$1004,"")+COUNTIFS('資格研修記録'!$A$5:$A$1004,$A117,'資格研修記録'!$D$5:$D$1004,K$4,'資格研修記録'!$F$5:$F$1004,"&gt;="&amp;TODAY())&gt;0,"○","× 期限切れ"))))</f>
        <v/>
      </c>
      <c r="L117" s="15">
        <f>IF(OR($A117="",L$4=""),"",IF(AND(L$4="小型船舶2級",(COUNTIFS('資格研修記録'!$A$5:$A$1004,$A117,'資格研修記録'!$D$5:$D$1004,"小型船舶1級",'資格研修記録'!$F$5:$F$1004,"")+COUNTIFS('資格研修記録'!$A$5:$A$1004,$A117,'資格研修記録'!$D$5:$D$1004,"小型船舶1級",'資格研修記録'!$F$5:$F$1004,"&gt;="&amp;TODAY()))&gt;0),"1級に含む",IF(COUNTIFS('資格研修記録'!$A$5:$A$1004,$A117,'資格研修記録'!$D$5:$D$1004,L$4)=0,"—",IF(COUNTIFS('資格研修記録'!$A$5:$A$1004,$A117,'資格研修記録'!$D$5:$D$1004,L$4,'資格研修記録'!$F$5:$F$1004,"")+COUNTIFS('資格研修記録'!$A$5:$A$1004,$A117,'資格研修記録'!$D$5:$D$1004,L$4,'資格研修記録'!$F$5:$F$1004,"&gt;="&amp;TODAY())&gt;0,"○","× 期限切れ"))))</f>
        <v/>
      </c>
    </row>
    <row r="118">
      <c r="A118" s="14">
        <f>IF('隊員マスタ'!A118="","",'隊員マスタ'!A118)</f>
        <v/>
      </c>
      <c r="B118" s="14">
        <f>IF(A118="","",'隊員マスタ'!B118)</f>
        <v/>
      </c>
      <c r="C118" s="14">
        <f>IF(A118="","",'隊員マスタ'!C118)</f>
        <v/>
      </c>
      <c r="D118" s="15">
        <f>IF(A118="","",'隊員マスタ'!D118)</f>
        <v/>
      </c>
      <c r="E118" s="15">
        <f>IF(OR($A118="",E$4=""),"",IF(AND(E$4="小型船舶2級",(COUNTIFS('資格研修記録'!$A$5:$A$1004,$A118,'資格研修記録'!$D$5:$D$1004,"小型船舶1級",'資格研修記録'!$F$5:$F$1004,"")+COUNTIFS('資格研修記録'!$A$5:$A$1004,$A118,'資格研修記録'!$D$5:$D$1004,"小型船舶1級",'資格研修記録'!$F$5:$F$1004,"&gt;="&amp;TODAY()))&gt;0),"1級に含む",IF(COUNTIFS('資格研修記録'!$A$5:$A$1004,$A118,'資格研修記録'!$D$5:$D$1004,E$4)=0,"—",IF(COUNTIFS('資格研修記録'!$A$5:$A$1004,$A118,'資格研修記録'!$D$5:$D$1004,E$4,'資格研修記録'!$F$5:$F$1004,"")+COUNTIFS('資格研修記録'!$A$5:$A$1004,$A118,'資格研修記録'!$D$5:$D$1004,E$4,'資格研修記録'!$F$5:$F$1004,"&gt;="&amp;TODAY())&gt;0,"○","× 期限切れ"))))</f>
        <v/>
      </c>
      <c r="F118" s="15">
        <f>IF(OR($A118="",F$4=""),"",IF(AND(F$4="小型船舶2級",(COUNTIFS('資格研修記録'!$A$5:$A$1004,$A118,'資格研修記録'!$D$5:$D$1004,"小型船舶1級",'資格研修記録'!$F$5:$F$1004,"")+COUNTIFS('資格研修記録'!$A$5:$A$1004,$A118,'資格研修記録'!$D$5:$D$1004,"小型船舶1級",'資格研修記録'!$F$5:$F$1004,"&gt;="&amp;TODAY()))&gt;0),"1級に含む",IF(COUNTIFS('資格研修記録'!$A$5:$A$1004,$A118,'資格研修記録'!$D$5:$D$1004,F$4)=0,"—",IF(COUNTIFS('資格研修記録'!$A$5:$A$1004,$A118,'資格研修記録'!$D$5:$D$1004,F$4,'資格研修記録'!$F$5:$F$1004,"")+COUNTIFS('資格研修記録'!$A$5:$A$1004,$A118,'資格研修記録'!$D$5:$D$1004,F$4,'資格研修記録'!$F$5:$F$1004,"&gt;="&amp;TODAY())&gt;0,"○","× 期限切れ"))))</f>
        <v/>
      </c>
      <c r="G118" s="15">
        <f>IF(OR($A118="",G$4=""),"",IF(AND(G$4="小型船舶2級",(COUNTIFS('資格研修記録'!$A$5:$A$1004,$A118,'資格研修記録'!$D$5:$D$1004,"小型船舶1級",'資格研修記録'!$F$5:$F$1004,"")+COUNTIFS('資格研修記録'!$A$5:$A$1004,$A118,'資格研修記録'!$D$5:$D$1004,"小型船舶1級",'資格研修記録'!$F$5:$F$1004,"&gt;="&amp;TODAY()))&gt;0),"1級に含む",IF(COUNTIFS('資格研修記録'!$A$5:$A$1004,$A118,'資格研修記録'!$D$5:$D$1004,G$4)=0,"—",IF(COUNTIFS('資格研修記録'!$A$5:$A$1004,$A118,'資格研修記録'!$D$5:$D$1004,G$4,'資格研修記録'!$F$5:$F$1004,"")+COUNTIFS('資格研修記録'!$A$5:$A$1004,$A118,'資格研修記録'!$D$5:$D$1004,G$4,'資格研修記録'!$F$5:$F$1004,"&gt;="&amp;TODAY())&gt;0,"○","× 期限切れ"))))</f>
        <v/>
      </c>
      <c r="H118" s="15">
        <f>IF(OR($A118="",H$4=""),"",IF(AND(H$4="小型船舶2級",(COUNTIFS('資格研修記録'!$A$5:$A$1004,$A118,'資格研修記録'!$D$5:$D$1004,"小型船舶1級",'資格研修記録'!$F$5:$F$1004,"")+COUNTIFS('資格研修記録'!$A$5:$A$1004,$A118,'資格研修記録'!$D$5:$D$1004,"小型船舶1級",'資格研修記録'!$F$5:$F$1004,"&gt;="&amp;TODAY()))&gt;0),"1級に含む",IF(COUNTIFS('資格研修記録'!$A$5:$A$1004,$A118,'資格研修記録'!$D$5:$D$1004,H$4)=0,"—",IF(COUNTIFS('資格研修記録'!$A$5:$A$1004,$A118,'資格研修記録'!$D$5:$D$1004,H$4,'資格研修記録'!$F$5:$F$1004,"")+COUNTIFS('資格研修記録'!$A$5:$A$1004,$A118,'資格研修記録'!$D$5:$D$1004,H$4,'資格研修記録'!$F$5:$F$1004,"&gt;="&amp;TODAY())&gt;0,"○","× 期限切れ"))))</f>
        <v/>
      </c>
      <c r="I118" s="15">
        <f>IF(OR($A118="",I$4=""),"",IF(AND(I$4="小型船舶2級",(COUNTIFS('資格研修記録'!$A$5:$A$1004,$A118,'資格研修記録'!$D$5:$D$1004,"小型船舶1級",'資格研修記録'!$F$5:$F$1004,"")+COUNTIFS('資格研修記録'!$A$5:$A$1004,$A118,'資格研修記録'!$D$5:$D$1004,"小型船舶1級",'資格研修記録'!$F$5:$F$1004,"&gt;="&amp;TODAY()))&gt;0),"1級に含む",IF(COUNTIFS('資格研修記録'!$A$5:$A$1004,$A118,'資格研修記録'!$D$5:$D$1004,I$4)=0,"—",IF(COUNTIFS('資格研修記録'!$A$5:$A$1004,$A118,'資格研修記録'!$D$5:$D$1004,I$4,'資格研修記録'!$F$5:$F$1004,"")+COUNTIFS('資格研修記録'!$A$5:$A$1004,$A118,'資格研修記録'!$D$5:$D$1004,I$4,'資格研修記録'!$F$5:$F$1004,"&gt;="&amp;TODAY())&gt;0,"○","× 期限切れ"))))</f>
        <v/>
      </c>
      <c r="J118" s="15">
        <f>IF(OR($A118="",J$4=""),"",IF(AND(J$4="小型船舶2級",(COUNTIFS('資格研修記録'!$A$5:$A$1004,$A118,'資格研修記録'!$D$5:$D$1004,"小型船舶1級",'資格研修記録'!$F$5:$F$1004,"")+COUNTIFS('資格研修記録'!$A$5:$A$1004,$A118,'資格研修記録'!$D$5:$D$1004,"小型船舶1級",'資格研修記録'!$F$5:$F$1004,"&gt;="&amp;TODAY()))&gt;0),"1級に含む",IF(COUNTIFS('資格研修記録'!$A$5:$A$1004,$A118,'資格研修記録'!$D$5:$D$1004,J$4)=0,"—",IF(COUNTIFS('資格研修記録'!$A$5:$A$1004,$A118,'資格研修記録'!$D$5:$D$1004,J$4,'資格研修記録'!$F$5:$F$1004,"")+COUNTIFS('資格研修記録'!$A$5:$A$1004,$A118,'資格研修記録'!$D$5:$D$1004,J$4,'資格研修記録'!$F$5:$F$1004,"&gt;="&amp;TODAY())&gt;0,"○","× 期限切れ"))))</f>
        <v/>
      </c>
      <c r="K118" s="15">
        <f>IF(OR($A118="",K$4=""),"",IF(AND(K$4="小型船舶2級",(COUNTIFS('資格研修記録'!$A$5:$A$1004,$A118,'資格研修記録'!$D$5:$D$1004,"小型船舶1級",'資格研修記録'!$F$5:$F$1004,"")+COUNTIFS('資格研修記録'!$A$5:$A$1004,$A118,'資格研修記録'!$D$5:$D$1004,"小型船舶1級",'資格研修記録'!$F$5:$F$1004,"&gt;="&amp;TODAY()))&gt;0),"1級に含む",IF(COUNTIFS('資格研修記録'!$A$5:$A$1004,$A118,'資格研修記録'!$D$5:$D$1004,K$4)=0,"—",IF(COUNTIFS('資格研修記録'!$A$5:$A$1004,$A118,'資格研修記録'!$D$5:$D$1004,K$4,'資格研修記録'!$F$5:$F$1004,"")+COUNTIFS('資格研修記録'!$A$5:$A$1004,$A118,'資格研修記録'!$D$5:$D$1004,K$4,'資格研修記録'!$F$5:$F$1004,"&gt;="&amp;TODAY())&gt;0,"○","× 期限切れ"))))</f>
        <v/>
      </c>
      <c r="L118" s="15">
        <f>IF(OR($A118="",L$4=""),"",IF(AND(L$4="小型船舶2級",(COUNTIFS('資格研修記録'!$A$5:$A$1004,$A118,'資格研修記録'!$D$5:$D$1004,"小型船舶1級",'資格研修記録'!$F$5:$F$1004,"")+COUNTIFS('資格研修記録'!$A$5:$A$1004,$A118,'資格研修記録'!$D$5:$D$1004,"小型船舶1級",'資格研修記録'!$F$5:$F$1004,"&gt;="&amp;TODAY()))&gt;0),"1級に含む",IF(COUNTIFS('資格研修記録'!$A$5:$A$1004,$A118,'資格研修記録'!$D$5:$D$1004,L$4)=0,"—",IF(COUNTIFS('資格研修記録'!$A$5:$A$1004,$A118,'資格研修記録'!$D$5:$D$1004,L$4,'資格研修記録'!$F$5:$F$1004,"")+COUNTIFS('資格研修記録'!$A$5:$A$1004,$A118,'資格研修記録'!$D$5:$D$1004,L$4,'資格研修記録'!$F$5:$F$1004,"&gt;="&amp;TODAY())&gt;0,"○","× 期限切れ"))))</f>
        <v/>
      </c>
    </row>
    <row r="119">
      <c r="A119" s="14">
        <f>IF('隊員マスタ'!A119="","",'隊員マスタ'!A119)</f>
        <v/>
      </c>
      <c r="B119" s="14">
        <f>IF(A119="","",'隊員マスタ'!B119)</f>
        <v/>
      </c>
      <c r="C119" s="14">
        <f>IF(A119="","",'隊員マスタ'!C119)</f>
        <v/>
      </c>
      <c r="D119" s="15">
        <f>IF(A119="","",'隊員マスタ'!D119)</f>
        <v/>
      </c>
      <c r="E119" s="15">
        <f>IF(OR($A119="",E$4=""),"",IF(AND(E$4="小型船舶2級",(COUNTIFS('資格研修記録'!$A$5:$A$1004,$A119,'資格研修記録'!$D$5:$D$1004,"小型船舶1級",'資格研修記録'!$F$5:$F$1004,"")+COUNTIFS('資格研修記録'!$A$5:$A$1004,$A119,'資格研修記録'!$D$5:$D$1004,"小型船舶1級",'資格研修記録'!$F$5:$F$1004,"&gt;="&amp;TODAY()))&gt;0),"1級に含む",IF(COUNTIFS('資格研修記録'!$A$5:$A$1004,$A119,'資格研修記録'!$D$5:$D$1004,E$4)=0,"—",IF(COUNTIFS('資格研修記録'!$A$5:$A$1004,$A119,'資格研修記録'!$D$5:$D$1004,E$4,'資格研修記録'!$F$5:$F$1004,"")+COUNTIFS('資格研修記録'!$A$5:$A$1004,$A119,'資格研修記録'!$D$5:$D$1004,E$4,'資格研修記録'!$F$5:$F$1004,"&gt;="&amp;TODAY())&gt;0,"○","× 期限切れ"))))</f>
        <v/>
      </c>
      <c r="F119" s="15">
        <f>IF(OR($A119="",F$4=""),"",IF(AND(F$4="小型船舶2級",(COUNTIFS('資格研修記録'!$A$5:$A$1004,$A119,'資格研修記録'!$D$5:$D$1004,"小型船舶1級",'資格研修記録'!$F$5:$F$1004,"")+COUNTIFS('資格研修記録'!$A$5:$A$1004,$A119,'資格研修記録'!$D$5:$D$1004,"小型船舶1級",'資格研修記録'!$F$5:$F$1004,"&gt;="&amp;TODAY()))&gt;0),"1級に含む",IF(COUNTIFS('資格研修記録'!$A$5:$A$1004,$A119,'資格研修記録'!$D$5:$D$1004,F$4)=0,"—",IF(COUNTIFS('資格研修記録'!$A$5:$A$1004,$A119,'資格研修記録'!$D$5:$D$1004,F$4,'資格研修記録'!$F$5:$F$1004,"")+COUNTIFS('資格研修記録'!$A$5:$A$1004,$A119,'資格研修記録'!$D$5:$D$1004,F$4,'資格研修記録'!$F$5:$F$1004,"&gt;="&amp;TODAY())&gt;0,"○","× 期限切れ"))))</f>
        <v/>
      </c>
      <c r="G119" s="15">
        <f>IF(OR($A119="",G$4=""),"",IF(AND(G$4="小型船舶2級",(COUNTIFS('資格研修記録'!$A$5:$A$1004,$A119,'資格研修記録'!$D$5:$D$1004,"小型船舶1級",'資格研修記録'!$F$5:$F$1004,"")+COUNTIFS('資格研修記録'!$A$5:$A$1004,$A119,'資格研修記録'!$D$5:$D$1004,"小型船舶1級",'資格研修記録'!$F$5:$F$1004,"&gt;="&amp;TODAY()))&gt;0),"1級に含む",IF(COUNTIFS('資格研修記録'!$A$5:$A$1004,$A119,'資格研修記録'!$D$5:$D$1004,G$4)=0,"—",IF(COUNTIFS('資格研修記録'!$A$5:$A$1004,$A119,'資格研修記録'!$D$5:$D$1004,G$4,'資格研修記録'!$F$5:$F$1004,"")+COUNTIFS('資格研修記録'!$A$5:$A$1004,$A119,'資格研修記録'!$D$5:$D$1004,G$4,'資格研修記録'!$F$5:$F$1004,"&gt;="&amp;TODAY())&gt;0,"○","× 期限切れ"))))</f>
        <v/>
      </c>
      <c r="H119" s="15">
        <f>IF(OR($A119="",H$4=""),"",IF(AND(H$4="小型船舶2級",(COUNTIFS('資格研修記録'!$A$5:$A$1004,$A119,'資格研修記録'!$D$5:$D$1004,"小型船舶1級",'資格研修記録'!$F$5:$F$1004,"")+COUNTIFS('資格研修記録'!$A$5:$A$1004,$A119,'資格研修記録'!$D$5:$D$1004,"小型船舶1級",'資格研修記録'!$F$5:$F$1004,"&gt;="&amp;TODAY()))&gt;0),"1級に含む",IF(COUNTIFS('資格研修記録'!$A$5:$A$1004,$A119,'資格研修記録'!$D$5:$D$1004,H$4)=0,"—",IF(COUNTIFS('資格研修記録'!$A$5:$A$1004,$A119,'資格研修記録'!$D$5:$D$1004,H$4,'資格研修記録'!$F$5:$F$1004,"")+COUNTIFS('資格研修記録'!$A$5:$A$1004,$A119,'資格研修記録'!$D$5:$D$1004,H$4,'資格研修記録'!$F$5:$F$1004,"&gt;="&amp;TODAY())&gt;0,"○","× 期限切れ"))))</f>
        <v/>
      </c>
      <c r="I119" s="15">
        <f>IF(OR($A119="",I$4=""),"",IF(AND(I$4="小型船舶2級",(COUNTIFS('資格研修記録'!$A$5:$A$1004,$A119,'資格研修記録'!$D$5:$D$1004,"小型船舶1級",'資格研修記録'!$F$5:$F$1004,"")+COUNTIFS('資格研修記録'!$A$5:$A$1004,$A119,'資格研修記録'!$D$5:$D$1004,"小型船舶1級",'資格研修記録'!$F$5:$F$1004,"&gt;="&amp;TODAY()))&gt;0),"1級に含む",IF(COUNTIFS('資格研修記録'!$A$5:$A$1004,$A119,'資格研修記録'!$D$5:$D$1004,I$4)=0,"—",IF(COUNTIFS('資格研修記録'!$A$5:$A$1004,$A119,'資格研修記録'!$D$5:$D$1004,I$4,'資格研修記録'!$F$5:$F$1004,"")+COUNTIFS('資格研修記録'!$A$5:$A$1004,$A119,'資格研修記録'!$D$5:$D$1004,I$4,'資格研修記録'!$F$5:$F$1004,"&gt;="&amp;TODAY())&gt;0,"○","× 期限切れ"))))</f>
        <v/>
      </c>
      <c r="J119" s="15">
        <f>IF(OR($A119="",J$4=""),"",IF(AND(J$4="小型船舶2級",(COUNTIFS('資格研修記録'!$A$5:$A$1004,$A119,'資格研修記録'!$D$5:$D$1004,"小型船舶1級",'資格研修記録'!$F$5:$F$1004,"")+COUNTIFS('資格研修記録'!$A$5:$A$1004,$A119,'資格研修記録'!$D$5:$D$1004,"小型船舶1級",'資格研修記録'!$F$5:$F$1004,"&gt;="&amp;TODAY()))&gt;0),"1級に含む",IF(COUNTIFS('資格研修記録'!$A$5:$A$1004,$A119,'資格研修記録'!$D$5:$D$1004,J$4)=0,"—",IF(COUNTIFS('資格研修記録'!$A$5:$A$1004,$A119,'資格研修記録'!$D$5:$D$1004,J$4,'資格研修記録'!$F$5:$F$1004,"")+COUNTIFS('資格研修記録'!$A$5:$A$1004,$A119,'資格研修記録'!$D$5:$D$1004,J$4,'資格研修記録'!$F$5:$F$1004,"&gt;="&amp;TODAY())&gt;0,"○","× 期限切れ"))))</f>
        <v/>
      </c>
      <c r="K119" s="15">
        <f>IF(OR($A119="",K$4=""),"",IF(AND(K$4="小型船舶2級",(COUNTIFS('資格研修記録'!$A$5:$A$1004,$A119,'資格研修記録'!$D$5:$D$1004,"小型船舶1級",'資格研修記録'!$F$5:$F$1004,"")+COUNTIFS('資格研修記録'!$A$5:$A$1004,$A119,'資格研修記録'!$D$5:$D$1004,"小型船舶1級",'資格研修記録'!$F$5:$F$1004,"&gt;="&amp;TODAY()))&gt;0),"1級に含む",IF(COUNTIFS('資格研修記録'!$A$5:$A$1004,$A119,'資格研修記録'!$D$5:$D$1004,K$4)=0,"—",IF(COUNTIFS('資格研修記録'!$A$5:$A$1004,$A119,'資格研修記録'!$D$5:$D$1004,K$4,'資格研修記録'!$F$5:$F$1004,"")+COUNTIFS('資格研修記録'!$A$5:$A$1004,$A119,'資格研修記録'!$D$5:$D$1004,K$4,'資格研修記録'!$F$5:$F$1004,"&gt;="&amp;TODAY())&gt;0,"○","× 期限切れ"))))</f>
        <v/>
      </c>
      <c r="L119" s="15">
        <f>IF(OR($A119="",L$4=""),"",IF(AND(L$4="小型船舶2級",(COUNTIFS('資格研修記録'!$A$5:$A$1004,$A119,'資格研修記録'!$D$5:$D$1004,"小型船舶1級",'資格研修記録'!$F$5:$F$1004,"")+COUNTIFS('資格研修記録'!$A$5:$A$1004,$A119,'資格研修記録'!$D$5:$D$1004,"小型船舶1級",'資格研修記録'!$F$5:$F$1004,"&gt;="&amp;TODAY()))&gt;0),"1級に含む",IF(COUNTIFS('資格研修記録'!$A$5:$A$1004,$A119,'資格研修記録'!$D$5:$D$1004,L$4)=0,"—",IF(COUNTIFS('資格研修記録'!$A$5:$A$1004,$A119,'資格研修記録'!$D$5:$D$1004,L$4,'資格研修記録'!$F$5:$F$1004,"")+COUNTIFS('資格研修記録'!$A$5:$A$1004,$A119,'資格研修記録'!$D$5:$D$1004,L$4,'資格研修記録'!$F$5:$F$1004,"&gt;="&amp;TODAY())&gt;0,"○","× 期限切れ"))))</f>
        <v/>
      </c>
    </row>
    <row r="120">
      <c r="A120" s="14">
        <f>IF('隊員マスタ'!A120="","",'隊員マスタ'!A120)</f>
        <v/>
      </c>
      <c r="B120" s="14">
        <f>IF(A120="","",'隊員マスタ'!B120)</f>
        <v/>
      </c>
      <c r="C120" s="14">
        <f>IF(A120="","",'隊員マスタ'!C120)</f>
        <v/>
      </c>
      <c r="D120" s="15">
        <f>IF(A120="","",'隊員マスタ'!D120)</f>
        <v/>
      </c>
      <c r="E120" s="15">
        <f>IF(OR($A120="",E$4=""),"",IF(AND(E$4="小型船舶2級",(COUNTIFS('資格研修記録'!$A$5:$A$1004,$A120,'資格研修記録'!$D$5:$D$1004,"小型船舶1級",'資格研修記録'!$F$5:$F$1004,"")+COUNTIFS('資格研修記録'!$A$5:$A$1004,$A120,'資格研修記録'!$D$5:$D$1004,"小型船舶1級",'資格研修記録'!$F$5:$F$1004,"&gt;="&amp;TODAY()))&gt;0),"1級に含む",IF(COUNTIFS('資格研修記録'!$A$5:$A$1004,$A120,'資格研修記録'!$D$5:$D$1004,E$4)=0,"—",IF(COUNTIFS('資格研修記録'!$A$5:$A$1004,$A120,'資格研修記録'!$D$5:$D$1004,E$4,'資格研修記録'!$F$5:$F$1004,"")+COUNTIFS('資格研修記録'!$A$5:$A$1004,$A120,'資格研修記録'!$D$5:$D$1004,E$4,'資格研修記録'!$F$5:$F$1004,"&gt;="&amp;TODAY())&gt;0,"○","× 期限切れ"))))</f>
        <v/>
      </c>
      <c r="F120" s="15">
        <f>IF(OR($A120="",F$4=""),"",IF(AND(F$4="小型船舶2級",(COUNTIFS('資格研修記録'!$A$5:$A$1004,$A120,'資格研修記録'!$D$5:$D$1004,"小型船舶1級",'資格研修記録'!$F$5:$F$1004,"")+COUNTIFS('資格研修記録'!$A$5:$A$1004,$A120,'資格研修記録'!$D$5:$D$1004,"小型船舶1級",'資格研修記録'!$F$5:$F$1004,"&gt;="&amp;TODAY()))&gt;0),"1級に含む",IF(COUNTIFS('資格研修記録'!$A$5:$A$1004,$A120,'資格研修記録'!$D$5:$D$1004,F$4)=0,"—",IF(COUNTIFS('資格研修記録'!$A$5:$A$1004,$A120,'資格研修記録'!$D$5:$D$1004,F$4,'資格研修記録'!$F$5:$F$1004,"")+COUNTIFS('資格研修記録'!$A$5:$A$1004,$A120,'資格研修記録'!$D$5:$D$1004,F$4,'資格研修記録'!$F$5:$F$1004,"&gt;="&amp;TODAY())&gt;0,"○","× 期限切れ"))))</f>
        <v/>
      </c>
      <c r="G120" s="15">
        <f>IF(OR($A120="",G$4=""),"",IF(AND(G$4="小型船舶2級",(COUNTIFS('資格研修記録'!$A$5:$A$1004,$A120,'資格研修記録'!$D$5:$D$1004,"小型船舶1級",'資格研修記録'!$F$5:$F$1004,"")+COUNTIFS('資格研修記録'!$A$5:$A$1004,$A120,'資格研修記録'!$D$5:$D$1004,"小型船舶1級",'資格研修記録'!$F$5:$F$1004,"&gt;="&amp;TODAY()))&gt;0),"1級に含む",IF(COUNTIFS('資格研修記録'!$A$5:$A$1004,$A120,'資格研修記録'!$D$5:$D$1004,G$4)=0,"—",IF(COUNTIFS('資格研修記録'!$A$5:$A$1004,$A120,'資格研修記録'!$D$5:$D$1004,G$4,'資格研修記録'!$F$5:$F$1004,"")+COUNTIFS('資格研修記録'!$A$5:$A$1004,$A120,'資格研修記録'!$D$5:$D$1004,G$4,'資格研修記録'!$F$5:$F$1004,"&gt;="&amp;TODAY())&gt;0,"○","× 期限切れ"))))</f>
        <v/>
      </c>
      <c r="H120" s="15">
        <f>IF(OR($A120="",H$4=""),"",IF(AND(H$4="小型船舶2級",(COUNTIFS('資格研修記録'!$A$5:$A$1004,$A120,'資格研修記録'!$D$5:$D$1004,"小型船舶1級",'資格研修記録'!$F$5:$F$1004,"")+COUNTIFS('資格研修記録'!$A$5:$A$1004,$A120,'資格研修記録'!$D$5:$D$1004,"小型船舶1級",'資格研修記録'!$F$5:$F$1004,"&gt;="&amp;TODAY()))&gt;0),"1級に含む",IF(COUNTIFS('資格研修記録'!$A$5:$A$1004,$A120,'資格研修記録'!$D$5:$D$1004,H$4)=0,"—",IF(COUNTIFS('資格研修記録'!$A$5:$A$1004,$A120,'資格研修記録'!$D$5:$D$1004,H$4,'資格研修記録'!$F$5:$F$1004,"")+COUNTIFS('資格研修記録'!$A$5:$A$1004,$A120,'資格研修記録'!$D$5:$D$1004,H$4,'資格研修記録'!$F$5:$F$1004,"&gt;="&amp;TODAY())&gt;0,"○","× 期限切れ"))))</f>
        <v/>
      </c>
      <c r="I120" s="15">
        <f>IF(OR($A120="",I$4=""),"",IF(AND(I$4="小型船舶2級",(COUNTIFS('資格研修記録'!$A$5:$A$1004,$A120,'資格研修記録'!$D$5:$D$1004,"小型船舶1級",'資格研修記録'!$F$5:$F$1004,"")+COUNTIFS('資格研修記録'!$A$5:$A$1004,$A120,'資格研修記録'!$D$5:$D$1004,"小型船舶1級",'資格研修記録'!$F$5:$F$1004,"&gt;="&amp;TODAY()))&gt;0),"1級に含む",IF(COUNTIFS('資格研修記録'!$A$5:$A$1004,$A120,'資格研修記録'!$D$5:$D$1004,I$4)=0,"—",IF(COUNTIFS('資格研修記録'!$A$5:$A$1004,$A120,'資格研修記録'!$D$5:$D$1004,I$4,'資格研修記録'!$F$5:$F$1004,"")+COUNTIFS('資格研修記録'!$A$5:$A$1004,$A120,'資格研修記録'!$D$5:$D$1004,I$4,'資格研修記録'!$F$5:$F$1004,"&gt;="&amp;TODAY())&gt;0,"○","× 期限切れ"))))</f>
        <v/>
      </c>
      <c r="J120" s="15">
        <f>IF(OR($A120="",J$4=""),"",IF(AND(J$4="小型船舶2級",(COUNTIFS('資格研修記録'!$A$5:$A$1004,$A120,'資格研修記録'!$D$5:$D$1004,"小型船舶1級",'資格研修記録'!$F$5:$F$1004,"")+COUNTIFS('資格研修記録'!$A$5:$A$1004,$A120,'資格研修記録'!$D$5:$D$1004,"小型船舶1級",'資格研修記録'!$F$5:$F$1004,"&gt;="&amp;TODAY()))&gt;0),"1級に含む",IF(COUNTIFS('資格研修記録'!$A$5:$A$1004,$A120,'資格研修記録'!$D$5:$D$1004,J$4)=0,"—",IF(COUNTIFS('資格研修記録'!$A$5:$A$1004,$A120,'資格研修記録'!$D$5:$D$1004,J$4,'資格研修記録'!$F$5:$F$1004,"")+COUNTIFS('資格研修記録'!$A$5:$A$1004,$A120,'資格研修記録'!$D$5:$D$1004,J$4,'資格研修記録'!$F$5:$F$1004,"&gt;="&amp;TODAY())&gt;0,"○","× 期限切れ"))))</f>
        <v/>
      </c>
      <c r="K120" s="15">
        <f>IF(OR($A120="",K$4=""),"",IF(AND(K$4="小型船舶2級",(COUNTIFS('資格研修記録'!$A$5:$A$1004,$A120,'資格研修記録'!$D$5:$D$1004,"小型船舶1級",'資格研修記録'!$F$5:$F$1004,"")+COUNTIFS('資格研修記録'!$A$5:$A$1004,$A120,'資格研修記録'!$D$5:$D$1004,"小型船舶1級",'資格研修記録'!$F$5:$F$1004,"&gt;="&amp;TODAY()))&gt;0),"1級に含む",IF(COUNTIFS('資格研修記録'!$A$5:$A$1004,$A120,'資格研修記録'!$D$5:$D$1004,K$4)=0,"—",IF(COUNTIFS('資格研修記録'!$A$5:$A$1004,$A120,'資格研修記録'!$D$5:$D$1004,K$4,'資格研修記録'!$F$5:$F$1004,"")+COUNTIFS('資格研修記録'!$A$5:$A$1004,$A120,'資格研修記録'!$D$5:$D$1004,K$4,'資格研修記録'!$F$5:$F$1004,"&gt;="&amp;TODAY())&gt;0,"○","× 期限切れ"))))</f>
        <v/>
      </c>
      <c r="L120" s="15">
        <f>IF(OR($A120="",L$4=""),"",IF(AND(L$4="小型船舶2級",(COUNTIFS('資格研修記録'!$A$5:$A$1004,$A120,'資格研修記録'!$D$5:$D$1004,"小型船舶1級",'資格研修記録'!$F$5:$F$1004,"")+COUNTIFS('資格研修記録'!$A$5:$A$1004,$A120,'資格研修記録'!$D$5:$D$1004,"小型船舶1級",'資格研修記録'!$F$5:$F$1004,"&gt;="&amp;TODAY()))&gt;0),"1級に含む",IF(COUNTIFS('資格研修記録'!$A$5:$A$1004,$A120,'資格研修記録'!$D$5:$D$1004,L$4)=0,"—",IF(COUNTIFS('資格研修記録'!$A$5:$A$1004,$A120,'資格研修記録'!$D$5:$D$1004,L$4,'資格研修記録'!$F$5:$F$1004,"")+COUNTIFS('資格研修記録'!$A$5:$A$1004,$A120,'資格研修記録'!$D$5:$D$1004,L$4,'資格研修記録'!$F$5:$F$1004,"&gt;="&amp;TODAY())&gt;0,"○","× 期限切れ"))))</f>
        <v/>
      </c>
    </row>
    <row r="121">
      <c r="A121" s="14">
        <f>IF('隊員マスタ'!A121="","",'隊員マスタ'!A121)</f>
        <v/>
      </c>
      <c r="B121" s="14">
        <f>IF(A121="","",'隊員マスタ'!B121)</f>
        <v/>
      </c>
      <c r="C121" s="14">
        <f>IF(A121="","",'隊員マスタ'!C121)</f>
        <v/>
      </c>
      <c r="D121" s="15">
        <f>IF(A121="","",'隊員マスタ'!D121)</f>
        <v/>
      </c>
      <c r="E121" s="15">
        <f>IF(OR($A121="",E$4=""),"",IF(AND(E$4="小型船舶2級",(COUNTIFS('資格研修記録'!$A$5:$A$1004,$A121,'資格研修記録'!$D$5:$D$1004,"小型船舶1級",'資格研修記録'!$F$5:$F$1004,"")+COUNTIFS('資格研修記録'!$A$5:$A$1004,$A121,'資格研修記録'!$D$5:$D$1004,"小型船舶1級",'資格研修記録'!$F$5:$F$1004,"&gt;="&amp;TODAY()))&gt;0),"1級に含む",IF(COUNTIFS('資格研修記録'!$A$5:$A$1004,$A121,'資格研修記録'!$D$5:$D$1004,E$4)=0,"—",IF(COUNTIFS('資格研修記録'!$A$5:$A$1004,$A121,'資格研修記録'!$D$5:$D$1004,E$4,'資格研修記録'!$F$5:$F$1004,"")+COUNTIFS('資格研修記録'!$A$5:$A$1004,$A121,'資格研修記録'!$D$5:$D$1004,E$4,'資格研修記録'!$F$5:$F$1004,"&gt;="&amp;TODAY())&gt;0,"○","× 期限切れ"))))</f>
        <v/>
      </c>
      <c r="F121" s="15">
        <f>IF(OR($A121="",F$4=""),"",IF(AND(F$4="小型船舶2級",(COUNTIFS('資格研修記録'!$A$5:$A$1004,$A121,'資格研修記録'!$D$5:$D$1004,"小型船舶1級",'資格研修記録'!$F$5:$F$1004,"")+COUNTIFS('資格研修記録'!$A$5:$A$1004,$A121,'資格研修記録'!$D$5:$D$1004,"小型船舶1級",'資格研修記録'!$F$5:$F$1004,"&gt;="&amp;TODAY()))&gt;0),"1級に含む",IF(COUNTIFS('資格研修記録'!$A$5:$A$1004,$A121,'資格研修記録'!$D$5:$D$1004,F$4)=0,"—",IF(COUNTIFS('資格研修記録'!$A$5:$A$1004,$A121,'資格研修記録'!$D$5:$D$1004,F$4,'資格研修記録'!$F$5:$F$1004,"")+COUNTIFS('資格研修記録'!$A$5:$A$1004,$A121,'資格研修記録'!$D$5:$D$1004,F$4,'資格研修記録'!$F$5:$F$1004,"&gt;="&amp;TODAY())&gt;0,"○","× 期限切れ"))))</f>
        <v/>
      </c>
      <c r="G121" s="15">
        <f>IF(OR($A121="",G$4=""),"",IF(AND(G$4="小型船舶2級",(COUNTIFS('資格研修記録'!$A$5:$A$1004,$A121,'資格研修記録'!$D$5:$D$1004,"小型船舶1級",'資格研修記録'!$F$5:$F$1004,"")+COUNTIFS('資格研修記録'!$A$5:$A$1004,$A121,'資格研修記録'!$D$5:$D$1004,"小型船舶1級",'資格研修記録'!$F$5:$F$1004,"&gt;="&amp;TODAY()))&gt;0),"1級に含む",IF(COUNTIFS('資格研修記録'!$A$5:$A$1004,$A121,'資格研修記録'!$D$5:$D$1004,G$4)=0,"—",IF(COUNTIFS('資格研修記録'!$A$5:$A$1004,$A121,'資格研修記録'!$D$5:$D$1004,G$4,'資格研修記録'!$F$5:$F$1004,"")+COUNTIFS('資格研修記録'!$A$5:$A$1004,$A121,'資格研修記録'!$D$5:$D$1004,G$4,'資格研修記録'!$F$5:$F$1004,"&gt;="&amp;TODAY())&gt;0,"○","× 期限切れ"))))</f>
        <v/>
      </c>
      <c r="H121" s="15">
        <f>IF(OR($A121="",H$4=""),"",IF(AND(H$4="小型船舶2級",(COUNTIFS('資格研修記録'!$A$5:$A$1004,$A121,'資格研修記録'!$D$5:$D$1004,"小型船舶1級",'資格研修記録'!$F$5:$F$1004,"")+COUNTIFS('資格研修記録'!$A$5:$A$1004,$A121,'資格研修記録'!$D$5:$D$1004,"小型船舶1級",'資格研修記録'!$F$5:$F$1004,"&gt;="&amp;TODAY()))&gt;0),"1級に含む",IF(COUNTIFS('資格研修記録'!$A$5:$A$1004,$A121,'資格研修記録'!$D$5:$D$1004,H$4)=0,"—",IF(COUNTIFS('資格研修記録'!$A$5:$A$1004,$A121,'資格研修記録'!$D$5:$D$1004,H$4,'資格研修記録'!$F$5:$F$1004,"")+COUNTIFS('資格研修記録'!$A$5:$A$1004,$A121,'資格研修記録'!$D$5:$D$1004,H$4,'資格研修記録'!$F$5:$F$1004,"&gt;="&amp;TODAY())&gt;0,"○","× 期限切れ"))))</f>
        <v/>
      </c>
      <c r="I121" s="15">
        <f>IF(OR($A121="",I$4=""),"",IF(AND(I$4="小型船舶2級",(COUNTIFS('資格研修記録'!$A$5:$A$1004,$A121,'資格研修記録'!$D$5:$D$1004,"小型船舶1級",'資格研修記録'!$F$5:$F$1004,"")+COUNTIFS('資格研修記録'!$A$5:$A$1004,$A121,'資格研修記録'!$D$5:$D$1004,"小型船舶1級",'資格研修記録'!$F$5:$F$1004,"&gt;="&amp;TODAY()))&gt;0),"1級に含む",IF(COUNTIFS('資格研修記録'!$A$5:$A$1004,$A121,'資格研修記録'!$D$5:$D$1004,I$4)=0,"—",IF(COUNTIFS('資格研修記録'!$A$5:$A$1004,$A121,'資格研修記録'!$D$5:$D$1004,I$4,'資格研修記録'!$F$5:$F$1004,"")+COUNTIFS('資格研修記録'!$A$5:$A$1004,$A121,'資格研修記録'!$D$5:$D$1004,I$4,'資格研修記録'!$F$5:$F$1004,"&gt;="&amp;TODAY())&gt;0,"○","× 期限切れ"))))</f>
        <v/>
      </c>
      <c r="J121" s="15">
        <f>IF(OR($A121="",J$4=""),"",IF(AND(J$4="小型船舶2級",(COUNTIFS('資格研修記録'!$A$5:$A$1004,$A121,'資格研修記録'!$D$5:$D$1004,"小型船舶1級",'資格研修記録'!$F$5:$F$1004,"")+COUNTIFS('資格研修記録'!$A$5:$A$1004,$A121,'資格研修記録'!$D$5:$D$1004,"小型船舶1級",'資格研修記録'!$F$5:$F$1004,"&gt;="&amp;TODAY()))&gt;0),"1級に含む",IF(COUNTIFS('資格研修記録'!$A$5:$A$1004,$A121,'資格研修記録'!$D$5:$D$1004,J$4)=0,"—",IF(COUNTIFS('資格研修記録'!$A$5:$A$1004,$A121,'資格研修記録'!$D$5:$D$1004,J$4,'資格研修記録'!$F$5:$F$1004,"")+COUNTIFS('資格研修記録'!$A$5:$A$1004,$A121,'資格研修記録'!$D$5:$D$1004,J$4,'資格研修記録'!$F$5:$F$1004,"&gt;="&amp;TODAY())&gt;0,"○","× 期限切れ"))))</f>
        <v/>
      </c>
      <c r="K121" s="15">
        <f>IF(OR($A121="",K$4=""),"",IF(AND(K$4="小型船舶2級",(COUNTIFS('資格研修記録'!$A$5:$A$1004,$A121,'資格研修記録'!$D$5:$D$1004,"小型船舶1級",'資格研修記録'!$F$5:$F$1004,"")+COUNTIFS('資格研修記録'!$A$5:$A$1004,$A121,'資格研修記録'!$D$5:$D$1004,"小型船舶1級",'資格研修記録'!$F$5:$F$1004,"&gt;="&amp;TODAY()))&gt;0),"1級に含む",IF(COUNTIFS('資格研修記録'!$A$5:$A$1004,$A121,'資格研修記録'!$D$5:$D$1004,K$4)=0,"—",IF(COUNTIFS('資格研修記録'!$A$5:$A$1004,$A121,'資格研修記録'!$D$5:$D$1004,K$4,'資格研修記録'!$F$5:$F$1004,"")+COUNTIFS('資格研修記録'!$A$5:$A$1004,$A121,'資格研修記録'!$D$5:$D$1004,K$4,'資格研修記録'!$F$5:$F$1004,"&gt;="&amp;TODAY())&gt;0,"○","× 期限切れ"))))</f>
        <v/>
      </c>
      <c r="L121" s="15">
        <f>IF(OR($A121="",L$4=""),"",IF(AND(L$4="小型船舶2級",(COUNTIFS('資格研修記録'!$A$5:$A$1004,$A121,'資格研修記録'!$D$5:$D$1004,"小型船舶1級",'資格研修記録'!$F$5:$F$1004,"")+COUNTIFS('資格研修記録'!$A$5:$A$1004,$A121,'資格研修記録'!$D$5:$D$1004,"小型船舶1級",'資格研修記録'!$F$5:$F$1004,"&gt;="&amp;TODAY()))&gt;0),"1級に含む",IF(COUNTIFS('資格研修記録'!$A$5:$A$1004,$A121,'資格研修記録'!$D$5:$D$1004,L$4)=0,"—",IF(COUNTIFS('資格研修記録'!$A$5:$A$1004,$A121,'資格研修記録'!$D$5:$D$1004,L$4,'資格研修記録'!$F$5:$F$1004,"")+COUNTIFS('資格研修記録'!$A$5:$A$1004,$A121,'資格研修記録'!$D$5:$D$1004,L$4,'資格研修記録'!$F$5:$F$1004,"&gt;="&amp;TODAY())&gt;0,"○","× 期限切れ"))))</f>
        <v/>
      </c>
    </row>
    <row r="122">
      <c r="A122" s="14">
        <f>IF('隊員マスタ'!A122="","",'隊員マスタ'!A122)</f>
        <v/>
      </c>
      <c r="B122" s="14">
        <f>IF(A122="","",'隊員マスタ'!B122)</f>
        <v/>
      </c>
      <c r="C122" s="14">
        <f>IF(A122="","",'隊員マスタ'!C122)</f>
        <v/>
      </c>
      <c r="D122" s="15">
        <f>IF(A122="","",'隊員マスタ'!D122)</f>
        <v/>
      </c>
      <c r="E122" s="15">
        <f>IF(OR($A122="",E$4=""),"",IF(AND(E$4="小型船舶2級",(COUNTIFS('資格研修記録'!$A$5:$A$1004,$A122,'資格研修記録'!$D$5:$D$1004,"小型船舶1級",'資格研修記録'!$F$5:$F$1004,"")+COUNTIFS('資格研修記録'!$A$5:$A$1004,$A122,'資格研修記録'!$D$5:$D$1004,"小型船舶1級",'資格研修記録'!$F$5:$F$1004,"&gt;="&amp;TODAY()))&gt;0),"1級に含む",IF(COUNTIFS('資格研修記録'!$A$5:$A$1004,$A122,'資格研修記録'!$D$5:$D$1004,E$4)=0,"—",IF(COUNTIFS('資格研修記録'!$A$5:$A$1004,$A122,'資格研修記録'!$D$5:$D$1004,E$4,'資格研修記録'!$F$5:$F$1004,"")+COUNTIFS('資格研修記録'!$A$5:$A$1004,$A122,'資格研修記録'!$D$5:$D$1004,E$4,'資格研修記録'!$F$5:$F$1004,"&gt;="&amp;TODAY())&gt;0,"○","× 期限切れ"))))</f>
        <v/>
      </c>
      <c r="F122" s="15">
        <f>IF(OR($A122="",F$4=""),"",IF(AND(F$4="小型船舶2級",(COUNTIFS('資格研修記録'!$A$5:$A$1004,$A122,'資格研修記録'!$D$5:$D$1004,"小型船舶1級",'資格研修記録'!$F$5:$F$1004,"")+COUNTIFS('資格研修記録'!$A$5:$A$1004,$A122,'資格研修記録'!$D$5:$D$1004,"小型船舶1級",'資格研修記録'!$F$5:$F$1004,"&gt;="&amp;TODAY()))&gt;0),"1級に含む",IF(COUNTIFS('資格研修記録'!$A$5:$A$1004,$A122,'資格研修記録'!$D$5:$D$1004,F$4)=0,"—",IF(COUNTIFS('資格研修記録'!$A$5:$A$1004,$A122,'資格研修記録'!$D$5:$D$1004,F$4,'資格研修記録'!$F$5:$F$1004,"")+COUNTIFS('資格研修記録'!$A$5:$A$1004,$A122,'資格研修記録'!$D$5:$D$1004,F$4,'資格研修記録'!$F$5:$F$1004,"&gt;="&amp;TODAY())&gt;0,"○","× 期限切れ"))))</f>
        <v/>
      </c>
      <c r="G122" s="15">
        <f>IF(OR($A122="",G$4=""),"",IF(AND(G$4="小型船舶2級",(COUNTIFS('資格研修記録'!$A$5:$A$1004,$A122,'資格研修記録'!$D$5:$D$1004,"小型船舶1級",'資格研修記録'!$F$5:$F$1004,"")+COUNTIFS('資格研修記録'!$A$5:$A$1004,$A122,'資格研修記録'!$D$5:$D$1004,"小型船舶1級",'資格研修記録'!$F$5:$F$1004,"&gt;="&amp;TODAY()))&gt;0),"1級に含む",IF(COUNTIFS('資格研修記録'!$A$5:$A$1004,$A122,'資格研修記録'!$D$5:$D$1004,G$4)=0,"—",IF(COUNTIFS('資格研修記録'!$A$5:$A$1004,$A122,'資格研修記録'!$D$5:$D$1004,G$4,'資格研修記録'!$F$5:$F$1004,"")+COUNTIFS('資格研修記録'!$A$5:$A$1004,$A122,'資格研修記録'!$D$5:$D$1004,G$4,'資格研修記録'!$F$5:$F$1004,"&gt;="&amp;TODAY())&gt;0,"○","× 期限切れ"))))</f>
        <v/>
      </c>
      <c r="H122" s="15">
        <f>IF(OR($A122="",H$4=""),"",IF(AND(H$4="小型船舶2級",(COUNTIFS('資格研修記録'!$A$5:$A$1004,$A122,'資格研修記録'!$D$5:$D$1004,"小型船舶1級",'資格研修記録'!$F$5:$F$1004,"")+COUNTIFS('資格研修記録'!$A$5:$A$1004,$A122,'資格研修記録'!$D$5:$D$1004,"小型船舶1級",'資格研修記録'!$F$5:$F$1004,"&gt;="&amp;TODAY()))&gt;0),"1級に含む",IF(COUNTIFS('資格研修記録'!$A$5:$A$1004,$A122,'資格研修記録'!$D$5:$D$1004,H$4)=0,"—",IF(COUNTIFS('資格研修記録'!$A$5:$A$1004,$A122,'資格研修記録'!$D$5:$D$1004,H$4,'資格研修記録'!$F$5:$F$1004,"")+COUNTIFS('資格研修記録'!$A$5:$A$1004,$A122,'資格研修記録'!$D$5:$D$1004,H$4,'資格研修記録'!$F$5:$F$1004,"&gt;="&amp;TODAY())&gt;0,"○","× 期限切れ"))))</f>
        <v/>
      </c>
      <c r="I122" s="15">
        <f>IF(OR($A122="",I$4=""),"",IF(AND(I$4="小型船舶2級",(COUNTIFS('資格研修記録'!$A$5:$A$1004,$A122,'資格研修記録'!$D$5:$D$1004,"小型船舶1級",'資格研修記録'!$F$5:$F$1004,"")+COUNTIFS('資格研修記録'!$A$5:$A$1004,$A122,'資格研修記録'!$D$5:$D$1004,"小型船舶1級",'資格研修記録'!$F$5:$F$1004,"&gt;="&amp;TODAY()))&gt;0),"1級に含む",IF(COUNTIFS('資格研修記録'!$A$5:$A$1004,$A122,'資格研修記録'!$D$5:$D$1004,I$4)=0,"—",IF(COUNTIFS('資格研修記録'!$A$5:$A$1004,$A122,'資格研修記録'!$D$5:$D$1004,I$4,'資格研修記録'!$F$5:$F$1004,"")+COUNTIFS('資格研修記録'!$A$5:$A$1004,$A122,'資格研修記録'!$D$5:$D$1004,I$4,'資格研修記録'!$F$5:$F$1004,"&gt;="&amp;TODAY())&gt;0,"○","× 期限切れ"))))</f>
        <v/>
      </c>
      <c r="J122" s="15">
        <f>IF(OR($A122="",J$4=""),"",IF(AND(J$4="小型船舶2級",(COUNTIFS('資格研修記録'!$A$5:$A$1004,$A122,'資格研修記録'!$D$5:$D$1004,"小型船舶1級",'資格研修記録'!$F$5:$F$1004,"")+COUNTIFS('資格研修記録'!$A$5:$A$1004,$A122,'資格研修記録'!$D$5:$D$1004,"小型船舶1級",'資格研修記録'!$F$5:$F$1004,"&gt;="&amp;TODAY()))&gt;0),"1級に含む",IF(COUNTIFS('資格研修記録'!$A$5:$A$1004,$A122,'資格研修記録'!$D$5:$D$1004,J$4)=0,"—",IF(COUNTIFS('資格研修記録'!$A$5:$A$1004,$A122,'資格研修記録'!$D$5:$D$1004,J$4,'資格研修記録'!$F$5:$F$1004,"")+COUNTIFS('資格研修記録'!$A$5:$A$1004,$A122,'資格研修記録'!$D$5:$D$1004,J$4,'資格研修記録'!$F$5:$F$1004,"&gt;="&amp;TODAY())&gt;0,"○","× 期限切れ"))))</f>
        <v/>
      </c>
      <c r="K122" s="15">
        <f>IF(OR($A122="",K$4=""),"",IF(AND(K$4="小型船舶2級",(COUNTIFS('資格研修記録'!$A$5:$A$1004,$A122,'資格研修記録'!$D$5:$D$1004,"小型船舶1級",'資格研修記録'!$F$5:$F$1004,"")+COUNTIFS('資格研修記録'!$A$5:$A$1004,$A122,'資格研修記録'!$D$5:$D$1004,"小型船舶1級",'資格研修記録'!$F$5:$F$1004,"&gt;="&amp;TODAY()))&gt;0),"1級に含む",IF(COUNTIFS('資格研修記録'!$A$5:$A$1004,$A122,'資格研修記録'!$D$5:$D$1004,K$4)=0,"—",IF(COUNTIFS('資格研修記録'!$A$5:$A$1004,$A122,'資格研修記録'!$D$5:$D$1004,K$4,'資格研修記録'!$F$5:$F$1004,"")+COUNTIFS('資格研修記録'!$A$5:$A$1004,$A122,'資格研修記録'!$D$5:$D$1004,K$4,'資格研修記録'!$F$5:$F$1004,"&gt;="&amp;TODAY())&gt;0,"○","× 期限切れ"))))</f>
        <v/>
      </c>
      <c r="L122" s="15">
        <f>IF(OR($A122="",L$4=""),"",IF(AND(L$4="小型船舶2級",(COUNTIFS('資格研修記録'!$A$5:$A$1004,$A122,'資格研修記録'!$D$5:$D$1004,"小型船舶1級",'資格研修記録'!$F$5:$F$1004,"")+COUNTIFS('資格研修記録'!$A$5:$A$1004,$A122,'資格研修記録'!$D$5:$D$1004,"小型船舶1級",'資格研修記録'!$F$5:$F$1004,"&gt;="&amp;TODAY()))&gt;0),"1級に含む",IF(COUNTIFS('資格研修記録'!$A$5:$A$1004,$A122,'資格研修記録'!$D$5:$D$1004,L$4)=0,"—",IF(COUNTIFS('資格研修記録'!$A$5:$A$1004,$A122,'資格研修記録'!$D$5:$D$1004,L$4,'資格研修記録'!$F$5:$F$1004,"")+COUNTIFS('資格研修記録'!$A$5:$A$1004,$A122,'資格研修記録'!$D$5:$D$1004,L$4,'資格研修記録'!$F$5:$F$1004,"&gt;="&amp;TODAY())&gt;0,"○","× 期限切れ"))))</f>
        <v/>
      </c>
    </row>
    <row r="123">
      <c r="A123" s="14">
        <f>IF('隊員マスタ'!A123="","",'隊員マスタ'!A123)</f>
        <v/>
      </c>
      <c r="B123" s="14">
        <f>IF(A123="","",'隊員マスタ'!B123)</f>
        <v/>
      </c>
      <c r="C123" s="14">
        <f>IF(A123="","",'隊員マスタ'!C123)</f>
        <v/>
      </c>
      <c r="D123" s="15">
        <f>IF(A123="","",'隊員マスタ'!D123)</f>
        <v/>
      </c>
      <c r="E123" s="15">
        <f>IF(OR($A123="",E$4=""),"",IF(AND(E$4="小型船舶2級",(COUNTIFS('資格研修記録'!$A$5:$A$1004,$A123,'資格研修記録'!$D$5:$D$1004,"小型船舶1級",'資格研修記録'!$F$5:$F$1004,"")+COUNTIFS('資格研修記録'!$A$5:$A$1004,$A123,'資格研修記録'!$D$5:$D$1004,"小型船舶1級",'資格研修記録'!$F$5:$F$1004,"&gt;="&amp;TODAY()))&gt;0),"1級に含む",IF(COUNTIFS('資格研修記録'!$A$5:$A$1004,$A123,'資格研修記録'!$D$5:$D$1004,E$4)=0,"—",IF(COUNTIFS('資格研修記録'!$A$5:$A$1004,$A123,'資格研修記録'!$D$5:$D$1004,E$4,'資格研修記録'!$F$5:$F$1004,"")+COUNTIFS('資格研修記録'!$A$5:$A$1004,$A123,'資格研修記録'!$D$5:$D$1004,E$4,'資格研修記録'!$F$5:$F$1004,"&gt;="&amp;TODAY())&gt;0,"○","× 期限切れ"))))</f>
        <v/>
      </c>
      <c r="F123" s="15">
        <f>IF(OR($A123="",F$4=""),"",IF(AND(F$4="小型船舶2級",(COUNTIFS('資格研修記録'!$A$5:$A$1004,$A123,'資格研修記録'!$D$5:$D$1004,"小型船舶1級",'資格研修記録'!$F$5:$F$1004,"")+COUNTIFS('資格研修記録'!$A$5:$A$1004,$A123,'資格研修記録'!$D$5:$D$1004,"小型船舶1級",'資格研修記録'!$F$5:$F$1004,"&gt;="&amp;TODAY()))&gt;0),"1級に含む",IF(COUNTIFS('資格研修記録'!$A$5:$A$1004,$A123,'資格研修記録'!$D$5:$D$1004,F$4)=0,"—",IF(COUNTIFS('資格研修記録'!$A$5:$A$1004,$A123,'資格研修記録'!$D$5:$D$1004,F$4,'資格研修記録'!$F$5:$F$1004,"")+COUNTIFS('資格研修記録'!$A$5:$A$1004,$A123,'資格研修記録'!$D$5:$D$1004,F$4,'資格研修記録'!$F$5:$F$1004,"&gt;="&amp;TODAY())&gt;0,"○","× 期限切れ"))))</f>
        <v/>
      </c>
      <c r="G123" s="15">
        <f>IF(OR($A123="",G$4=""),"",IF(AND(G$4="小型船舶2級",(COUNTIFS('資格研修記録'!$A$5:$A$1004,$A123,'資格研修記録'!$D$5:$D$1004,"小型船舶1級",'資格研修記録'!$F$5:$F$1004,"")+COUNTIFS('資格研修記録'!$A$5:$A$1004,$A123,'資格研修記録'!$D$5:$D$1004,"小型船舶1級",'資格研修記録'!$F$5:$F$1004,"&gt;="&amp;TODAY()))&gt;0),"1級に含む",IF(COUNTIFS('資格研修記録'!$A$5:$A$1004,$A123,'資格研修記録'!$D$5:$D$1004,G$4)=0,"—",IF(COUNTIFS('資格研修記録'!$A$5:$A$1004,$A123,'資格研修記録'!$D$5:$D$1004,G$4,'資格研修記録'!$F$5:$F$1004,"")+COUNTIFS('資格研修記録'!$A$5:$A$1004,$A123,'資格研修記録'!$D$5:$D$1004,G$4,'資格研修記録'!$F$5:$F$1004,"&gt;="&amp;TODAY())&gt;0,"○","× 期限切れ"))))</f>
        <v/>
      </c>
      <c r="H123" s="15">
        <f>IF(OR($A123="",H$4=""),"",IF(AND(H$4="小型船舶2級",(COUNTIFS('資格研修記録'!$A$5:$A$1004,$A123,'資格研修記録'!$D$5:$D$1004,"小型船舶1級",'資格研修記録'!$F$5:$F$1004,"")+COUNTIFS('資格研修記録'!$A$5:$A$1004,$A123,'資格研修記録'!$D$5:$D$1004,"小型船舶1級",'資格研修記録'!$F$5:$F$1004,"&gt;="&amp;TODAY()))&gt;0),"1級に含む",IF(COUNTIFS('資格研修記録'!$A$5:$A$1004,$A123,'資格研修記録'!$D$5:$D$1004,H$4)=0,"—",IF(COUNTIFS('資格研修記録'!$A$5:$A$1004,$A123,'資格研修記録'!$D$5:$D$1004,H$4,'資格研修記録'!$F$5:$F$1004,"")+COUNTIFS('資格研修記録'!$A$5:$A$1004,$A123,'資格研修記録'!$D$5:$D$1004,H$4,'資格研修記録'!$F$5:$F$1004,"&gt;="&amp;TODAY())&gt;0,"○","× 期限切れ"))))</f>
        <v/>
      </c>
      <c r="I123" s="15">
        <f>IF(OR($A123="",I$4=""),"",IF(AND(I$4="小型船舶2級",(COUNTIFS('資格研修記録'!$A$5:$A$1004,$A123,'資格研修記録'!$D$5:$D$1004,"小型船舶1級",'資格研修記録'!$F$5:$F$1004,"")+COUNTIFS('資格研修記録'!$A$5:$A$1004,$A123,'資格研修記録'!$D$5:$D$1004,"小型船舶1級",'資格研修記録'!$F$5:$F$1004,"&gt;="&amp;TODAY()))&gt;0),"1級に含む",IF(COUNTIFS('資格研修記録'!$A$5:$A$1004,$A123,'資格研修記録'!$D$5:$D$1004,I$4)=0,"—",IF(COUNTIFS('資格研修記録'!$A$5:$A$1004,$A123,'資格研修記録'!$D$5:$D$1004,I$4,'資格研修記録'!$F$5:$F$1004,"")+COUNTIFS('資格研修記録'!$A$5:$A$1004,$A123,'資格研修記録'!$D$5:$D$1004,I$4,'資格研修記録'!$F$5:$F$1004,"&gt;="&amp;TODAY())&gt;0,"○","× 期限切れ"))))</f>
        <v/>
      </c>
      <c r="J123" s="15">
        <f>IF(OR($A123="",J$4=""),"",IF(AND(J$4="小型船舶2級",(COUNTIFS('資格研修記録'!$A$5:$A$1004,$A123,'資格研修記録'!$D$5:$D$1004,"小型船舶1級",'資格研修記録'!$F$5:$F$1004,"")+COUNTIFS('資格研修記録'!$A$5:$A$1004,$A123,'資格研修記録'!$D$5:$D$1004,"小型船舶1級",'資格研修記録'!$F$5:$F$1004,"&gt;="&amp;TODAY()))&gt;0),"1級に含む",IF(COUNTIFS('資格研修記録'!$A$5:$A$1004,$A123,'資格研修記録'!$D$5:$D$1004,J$4)=0,"—",IF(COUNTIFS('資格研修記録'!$A$5:$A$1004,$A123,'資格研修記録'!$D$5:$D$1004,J$4,'資格研修記録'!$F$5:$F$1004,"")+COUNTIFS('資格研修記録'!$A$5:$A$1004,$A123,'資格研修記録'!$D$5:$D$1004,J$4,'資格研修記録'!$F$5:$F$1004,"&gt;="&amp;TODAY())&gt;0,"○","× 期限切れ"))))</f>
        <v/>
      </c>
      <c r="K123" s="15">
        <f>IF(OR($A123="",K$4=""),"",IF(AND(K$4="小型船舶2級",(COUNTIFS('資格研修記録'!$A$5:$A$1004,$A123,'資格研修記録'!$D$5:$D$1004,"小型船舶1級",'資格研修記録'!$F$5:$F$1004,"")+COUNTIFS('資格研修記録'!$A$5:$A$1004,$A123,'資格研修記録'!$D$5:$D$1004,"小型船舶1級",'資格研修記録'!$F$5:$F$1004,"&gt;="&amp;TODAY()))&gt;0),"1級に含む",IF(COUNTIFS('資格研修記録'!$A$5:$A$1004,$A123,'資格研修記録'!$D$5:$D$1004,K$4)=0,"—",IF(COUNTIFS('資格研修記録'!$A$5:$A$1004,$A123,'資格研修記録'!$D$5:$D$1004,K$4,'資格研修記録'!$F$5:$F$1004,"")+COUNTIFS('資格研修記録'!$A$5:$A$1004,$A123,'資格研修記録'!$D$5:$D$1004,K$4,'資格研修記録'!$F$5:$F$1004,"&gt;="&amp;TODAY())&gt;0,"○","× 期限切れ"))))</f>
        <v/>
      </c>
      <c r="L123" s="15">
        <f>IF(OR($A123="",L$4=""),"",IF(AND(L$4="小型船舶2級",(COUNTIFS('資格研修記録'!$A$5:$A$1004,$A123,'資格研修記録'!$D$5:$D$1004,"小型船舶1級",'資格研修記録'!$F$5:$F$1004,"")+COUNTIFS('資格研修記録'!$A$5:$A$1004,$A123,'資格研修記録'!$D$5:$D$1004,"小型船舶1級",'資格研修記録'!$F$5:$F$1004,"&gt;="&amp;TODAY()))&gt;0),"1級に含む",IF(COUNTIFS('資格研修記録'!$A$5:$A$1004,$A123,'資格研修記録'!$D$5:$D$1004,L$4)=0,"—",IF(COUNTIFS('資格研修記録'!$A$5:$A$1004,$A123,'資格研修記録'!$D$5:$D$1004,L$4,'資格研修記録'!$F$5:$F$1004,"")+COUNTIFS('資格研修記録'!$A$5:$A$1004,$A123,'資格研修記録'!$D$5:$D$1004,L$4,'資格研修記録'!$F$5:$F$1004,"&gt;="&amp;TODAY())&gt;0,"○","× 期限切れ"))))</f>
        <v/>
      </c>
    </row>
    <row r="124">
      <c r="A124" s="14">
        <f>IF('隊員マスタ'!A124="","",'隊員マスタ'!A124)</f>
        <v/>
      </c>
      <c r="B124" s="14">
        <f>IF(A124="","",'隊員マスタ'!B124)</f>
        <v/>
      </c>
      <c r="C124" s="14">
        <f>IF(A124="","",'隊員マスタ'!C124)</f>
        <v/>
      </c>
      <c r="D124" s="15">
        <f>IF(A124="","",'隊員マスタ'!D124)</f>
        <v/>
      </c>
      <c r="E124" s="15">
        <f>IF(OR($A124="",E$4=""),"",IF(AND(E$4="小型船舶2級",(COUNTIFS('資格研修記録'!$A$5:$A$1004,$A124,'資格研修記録'!$D$5:$D$1004,"小型船舶1級",'資格研修記録'!$F$5:$F$1004,"")+COUNTIFS('資格研修記録'!$A$5:$A$1004,$A124,'資格研修記録'!$D$5:$D$1004,"小型船舶1級",'資格研修記録'!$F$5:$F$1004,"&gt;="&amp;TODAY()))&gt;0),"1級に含む",IF(COUNTIFS('資格研修記録'!$A$5:$A$1004,$A124,'資格研修記録'!$D$5:$D$1004,E$4)=0,"—",IF(COUNTIFS('資格研修記録'!$A$5:$A$1004,$A124,'資格研修記録'!$D$5:$D$1004,E$4,'資格研修記録'!$F$5:$F$1004,"")+COUNTIFS('資格研修記録'!$A$5:$A$1004,$A124,'資格研修記録'!$D$5:$D$1004,E$4,'資格研修記録'!$F$5:$F$1004,"&gt;="&amp;TODAY())&gt;0,"○","× 期限切れ"))))</f>
        <v/>
      </c>
      <c r="F124" s="15">
        <f>IF(OR($A124="",F$4=""),"",IF(AND(F$4="小型船舶2級",(COUNTIFS('資格研修記録'!$A$5:$A$1004,$A124,'資格研修記録'!$D$5:$D$1004,"小型船舶1級",'資格研修記録'!$F$5:$F$1004,"")+COUNTIFS('資格研修記録'!$A$5:$A$1004,$A124,'資格研修記録'!$D$5:$D$1004,"小型船舶1級",'資格研修記録'!$F$5:$F$1004,"&gt;="&amp;TODAY()))&gt;0),"1級に含む",IF(COUNTIFS('資格研修記録'!$A$5:$A$1004,$A124,'資格研修記録'!$D$5:$D$1004,F$4)=0,"—",IF(COUNTIFS('資格研修記録'!$A$5:$A$1004,$A124,'資格研修記録'!$D$5:$D$1004,F$4,'資格研修記録'!$F$5:$F$1004,"")+COUNTIFS('資格研修記録'!$A$5:$A$1004,$A124,'資格研修記録'!$D$5:$D$1004,F$4,'資格研修記録'!$F$5:$F$1004,"&gt;="&amp;TODAY())&gt;0,"○","× 期限切れ"))))</f>
        <v/>
      </c>
      <c r="G124" s="15">
        <f>IF(OR($A124="",G$4=""),"",IF(AND(G$4="小型船舶2級",(COUNTIFS('資格研修記録'!$A$5:$A$1004,$A124,'資格研修記録'!$D$5:$D$1004,"小型船舶1級",'資格研修記録'!$F$5:$F$1004,"")+COUNTIFS('資格研修記録'!$A$5:$A$1004,$A124,'資格研修記録'!$D$5:$D$1004,"小型船舶1級",'資格研修記録'!$F$5:$F$1004,"&gt;="&amp;TODAY()))&gt;0),"1級に含む",IF(COUNTIFS('資格研修記録'!$A$5:$A$1004,$A124,'資格研修記録'!$D$5:$D$1004,G$4)=0,"—",IF(COUNTIFS('資格研修記録'!$A$5:$A$1004,$A124,'資格研修記録'!$D$5:$D$1004,G$4,'資格研修記録'!$F$5:$F$1004,"")+COUNTIFS('資格研修記録'!$A$5:$A$1004,$A124,'資格研修記録'!$D$5:$D$1004,G$4,'資格研修記録'!$F$5:$F$1004,"&gt;="&amp;TODAY())&gt;0,"○","× 期限切れ"))))</f>
        <v/>
      </c>
      <c r="H124" s="15">
        <f>IF(OR($A124="",H$4=""),"",IF(AND(H$4="小型船舶2級",(COUNTIFS('資格研修記録'!$A$5:$A$1004,$A124,'資格研修記録'!$D$5:$D$1004,"小型船舶1級",'資格研修記録'!$F$5:$F$1004,"")+COUNTIFS('資格研修記録'!$A$5:$A$1004,$A124,'資格研修記録'!$D$5:$D$1004,"小型船舶1級",'資格研修記録'!$F$5:$F$1004,"&gt;="&amp;TODAY()))&gt;0),"1級に含む",IF(COUNTIFS('資格研修記録'!$A$5:$A$1004,$A124,'資格研修記録'!$D$5:$D$1004,H$4)=0,"—",IF(COUNTIFS('資格研修記録'!$A$5:$A$1004,$A124,'資格研修記録'!$D$5:$D$1004,H$4,'資格研修記録'!$F$5:$F$1004,"")+COUNTIFS('資格研修記録'!$A$5:$A$1004,$A124,'資格研修記録'!$D$5:$D$1004,H$4,'資格研修記録'!$F$5:$F$1004,"&gt;="&amp;TODAY())&gt;0,"○","× 期限切れ"))))</f>
        <v/>
      </c>
      <c r="I124" s="15">
        <f>IF(OR($A124="",I$4=""),"",IF(AND(I$4="小型船舶2級",(COUNTIFS('資格研修記録'!$A$5:$A$1004,$A124,'資格研修記録'!$D$5:$D$1004,"小型船舶1級",'資格研修記録'!$F$5:$F$1004,"")+COUNTIFS('資格研修記録'!$A$5:$A$1004,$A124,'資格研修記録'!$D$5:$D$1004,"小型船舶1級",'資格研修記録'!$F$5:$F$1004,"&gt;="&amp;TODAY()))&gt;0),"1級に含む",IF(COUNTIFS('資格研修記録'!$A$5:$A$1004,$A124,'資格研修記録'!$D$5:$D$1004,I$4)=0,"—",IF(COUNTIFS('資格研修記録'!$A$5:$A$1004,$A124,'資格研修記録'!$D$5:$D$1004,I$4,'資格研修記録'!$F$5:$F$1004,"")+COUNTIFS('資格研修記録'!$A$5:$A$1004,$A124,'資格研修記録'!$D$5:$D$1004,I$4,'資格研修記録'!$F$5:$F$1004,"&gt;="&amp;TODAY())&gt;0,"○","× 期限切れ"))))</f>
        <v/>
      </c>
      <c r="J124" s="15">
        <f>IF(OR($A124="",J$4=""),"",IF(AND(J$4="小型船舶2級",(COUNTIFS('資格研修記録'!$A$5:$A$1004,$A124,'資格研修記録'!$D$5:$D$1004,"小型船舶1級",'資格研修記録'!$F$5:$F$1004,"")+COUNTIFS('資格研修記録'!$A$5:$A$1004,$A124,'資格研修記録'!$D$5:$D$1004,"小型船舶1級",'資格研修記録'!$F$5:$F$1004,"&gt;="&amp;TODAY()))&gt;0),"1級に含む",IF(COUNTIFS('資格研修記録'!$A$5:$A$1004,$A124,'資格研修記録'!$D$5:$D$1004,J$4)=0,"—",IF(COUNTIFS('資格研修記録'!$A$5:$A$1004,$A124,'資格研修記録'!$D$5:$D$1004,J$4,'資格研修記録'!$F$5:$F$1004,"")+COUNTIFS('資格研修記録'!$A$5:$A$1004,$A124,'資格研修記録'!$D$5:$D$1004,J$4,'資格研修記録'!$F$5:$F$1004,"&gt;="&amp;TODAY())&gt;0,"○","× 期限切れ"))))</f>
        <v/>
      </c>
      <c r="K124" s="15">
        <f>IF(OR($A124="",K$4=""),"",IF(AND(K$4="小型船舶2級",(COUNTIFS('資格研修記録'!$A$5:$A$1004,$A124,'資格研修記録'!$D$5:$D$1004,"小型船舶1級",'資格研修記録'!$F$5:$F$1004,"")+COUNTIFS('資格研修記録'!$A$5:$A$1004,$A124,'資格研修記録'!$D$5:$D$1004,"小型船舶1級",'資格研修記録'!$F$5:$F$1004,"&gt;="&amp;TODAY()))&gt;0),"1級に含む",IF(COUNTIFS('資格研修記録'!$A$5:$A$1004,$A124,'資格研修記録'!$D$5:$D$1004,K$4)=0,"—",IF(COUNTIFS('資格研修記録'!$A$5:$A$1004,$A124,'資格研修記録'!$D$5:$D$1004,K$4,'資格研修記録'!$F$5:$F$1004,"")+COUNTIFS('資格研修記録'!$A$5:$A$1004,$A124,'資格研修記録'!$D$5:$D$1004,K$4,'資格研修記録'!$F$5:$F$1004,"&gt;="&amp;TODAY())&gt;0,"○","× 期限切れ"))))</f>
        <v/>
      </c>
      <c r="L124" s="15">
        <f>IF(OR($A124="",L$4=""),"",IF(AND(L$4="小型船舶2級",(COUNTIFS('資格研修記録'!$A$5:$A$1004,$A124,'資格研修記録'!$D$5:$D$1004,"小型船舶1級",'資格研修記録'!$F$5:$F$1004,"")+COUNTIFS('資格研修記録'!$A$5:$A$1004,$A124,'資格研修記録'!$D$5:$D$1004,"小型船舶1級",'資格研修記録'!$F$5:$F$1004,"&gt;="&amp;TODAY()))&gt;0),"1級に含む",IF(COUNTIFS('資格研修記録'!$A$5:$A$1004,$A124,'資格研修記録'!$D$5:$D$1004,L$4)=0,"—",IF(COUNTIFS('資格研修記録'!$A$5:$A$1004,$A124,'資格研修記録'!$D$5:$D$1004,L$4,'資格研修記録'!$F$5:$F$1004,"")+COUNTIFS('資格研修記録'!$A$5:$A$1004,$A124,'資格研修記録'!$D$5:$D$1004,L$4,'資格研修記録'!$F$5:$F$1004,"&gt;="&amp;TODAY())&gt;0,"○","× 期限切れ"))))</f>
        <v/>
      </c>
    </row>
    <row r="125">
      <c r="A125" s="14">
        <f>IF('隊員マスタ'!A125="","",'隊員マスタ'!A125)</f>
        <v/>
      </c>
      <c r="B125" s="14">
        <f>IF(A125="","",'隊員マスタ'!B125)</f>
        <v/>
      </c>
      <c r="C125" s="14">
        <f>IF(A125="","",'隊員マスタ'!C125)</f>
        <v/>
      </c>
      <c r="D125" s="15">
        <f>IF(A125="","",'隊員マスタ'!D125)</f>
        <v/>
      </c>
      <c r="E125" s="15">
        <f>IF(OR($A125="",E$4=""),"",IF(AND(E$4="小型船舶2級",(COUNTIFS('資格研修記録'!$A$5:$A$1004,$A125,'資格研修記録'!$D$5:$D$1004,"小型船舶1級",'資格研修記録'!$F$5:$F$1004,"")+COUNTIFS('資格研修記録'!$A$5:$A$1004,$A125,'資格研修記録'!$D$5:$D$1004,"小型船舶1級",'資格研修記録'!$F$5:$F$1004,"&gt;="&amp;TODAY()))&gt;0),"1級に含む",IF(COUNTIFS('資格研修記録'!$A$5:$A$1004,$A125,'資格研修記録'!$D$5:$D$1004,E$4)=0,"—",IF(COUNTIFS('資格研修記録'!$A$5:$A$1004,$A125,'資格研修記録'!$D$5:$D$1004,E$4,'資格研修記録'!$F$5:$F$1004,"")+COUNTIFS('資格研修記録'!$A$5:$A$1004,$A125,'資格研修記録'!$D$5:$D$1004,E$4,'資格研修記録'!$F$5:$F$1004,"&gt;="&amp;TODAY())&gt;0,"○","× 期限切れ"))))</f>
        <v/>
      </c>
      <c r="F125" s="15">
        <f>IF(OR($A125="",F$4=""),"",IF(AND(F$4="小型船舶2級",(COUNTIFS('資格研修記録'!$A$5:$A$1004,$A125,'資格研修記録'!$D$5:$D$1004,"小型船舶1級",'資格研修記録'!$F$5:$F$1004,"")+COUNTIFS('資格研修記録'!$A$5:$A$1004,$A125,'資格研修記録'!$D$5:$D$1004,"小型船舶1級",'資格研修記録'!$F$5:$F$1004,"&gt;="&amp;TODAY()))&gt;0),"1級に含む",IF(COUNTIFS('資格研修記録'!$A$5:$A$1004,$A125,'資格研修記録'!$D$5:$D$1004,F$4)=0,"—",IF(COUNTIFS('資格研修記録'!$A$5:$A$1004,$A125,'資格研修記録'!$D$5:$D$1004,F$4,'資格研修記録'!$F$5:$F$1004,"")+COUNTIFS('資格研修記録'!$A$5:$A$1004,$A125,'資格研修記録'!$D$5:$D$1004,F$4,'資格研修記録'!$F$5:$F$1004,"&gt;="&amp;TODAY())&gt;0,"○","× 期限切れ"))))</f>
        <v/>
      </c>
      <c r="G125" s="15">
        <f>IF(OR($A125="",G$4=""),"",IF(AND(G$4="小型船舶2級",(COUNTIFS('資格研修記録'!$A$5:$A$1004,$A125,'資格研修記録'!$D$5:$D$1004,"小型船舶1級",'資格研修記録'!$F$5:$F$1004,"")+COUNTIFS('資格研修記録'!$A$5:$A$1004,$A125,'資格研修記録'!$D$5:$D$1004,"小型船舶1級",'資格研修記録'!$F$5:$F$1004,"&gt;="&amp;TODAY()))&gt;0),"1級に含む",IF(COUNTIFS('資格研修記録'!$A$5:$A$1004,$A125,'資格研修記録'!$D$5:$D$1004,G$4)=0,"—",IF(COUNTIFS('資格研修記録'!$A$5:$A$1004,$A125,'資格研修記録'!$D$5:$D$1004,G$4,'資格研修記録'!$F$5:$F$1004,"")+COUNTIFS('資格研修記録'!$A$5:$A$1004,$A125,'資格研修記録'!$D$5:$D$1004,G$4,'資格研修記録'!$F$5:$F$1004,"&gt;="&amp;TODAY())&gt;0,"○","× 期限切れ"))))</f>
        <v/>
      </c>
      <c r="H125" s="15">
        <f>IF(OR($A125="",H$4=""),"",IF(AND(H$4="小型船舶2級",(COUNTIFS('資格研修記録'!$A$5:$A$1004,$A125,'資格研修記録'!$D$5:$D$1004,"小型船舶1級",'資格研修記録'!$F$5:$F$1004,"")+COUNTIFS('資格研修記録'!$A$5:$A$1004,$A125,'資格研修記録'!$D$5:$D$1004,"小型船舶1級",'資格研修記録'!$F$5:$F$1004,"&gt;="&amp;TODAY()))&gt;0),"1級に含む",IF(COUNTIFS('資格研修記録'!$A$5:$A$1004,$A125,'資格研修記録'!$D$5:$D$1004,H$4)=0,"—",IF(COUNTIFS('資格研修記録'!$A$5:$A$1004,$A125,'資格研修記録'!$D$5:$D$1004,H$4,'資格研修記録'!$F$5:$F$1004,"")+COUNTIFS('資格研修記録'!$A$5:$A$1004,$A125,'資格研修記録'!$D$5:$D$1004,H$4,'資格研修記録'!$F$5:$F$1004,"&gt;="&amp;TODAY())&gt;0,"○","× 期限切れ"))))</f>
        <v/>
      </c>
      <c r="I125" s="15">
        <f>IF(OR($A125="",I$4=""),"",IF(AND(I$4="小型船舶2級",(COUNTIFS('資格研修記録'!$A$5:$A$1004,$A125,'資格研修記録'!$D$5:$D$1004,"小型船舶1級",'資格研修記録'!$F$5:$F$1004,"")+COUNTIFS('資格研修記録'!$A$5:$A$1004,$A125,'資格研修記録'!$D$5:$D$1004,"小型船舶1級",'資格研修記録'!$F$5:$F$1004,"&gt;="&amp;TODAY()))&gt;0),"1級に含む",IF(COUNTIFS('資格研修記録'!$A$5:$A$1004,$A125,'資格研修記録'!$D$5:$D$1004,I$4)=0,"—",IF(COUNTIFS('資格研修記録'!$A$5:$A$1004,$A125,'資格研修記録'!$D$5:$D$1004,I$4,'資格研修記録'!$F$5:$F$1004,"")+COUNTIFS('資格研修記録'!$A$5:$A$1004,$A125,'資格研修記録'!$D$5:$D$1004,I$4,'資格研修記録'!$F$5:$F$1004,"&gt;="&amp;TODAY())&gt;0,"○","× 期限切れ"))))</f>
        <v/>
      </c>
      <c r="J125" s="15">
        <f>IF(OR($A125="",J$4=""),"",IF(AND(J$4="小型船舶2級",(COUNTIFS('資格研修記録'!$A$5:$A$1004,$A125,'資格研修記録'!$D$5:$D$1004,"小型船舶1級",'資格研修記録'!$F$5:$F$1004,"")+COUNTIFS('資格研修記録'!$A$5:$A$1004,$A125,'資格研修記録'!$D$5:$D$1004,"小型船舶1級",'資格研修記録'!$F$5:$F$1004,"&gt;="&amp;TODAY()))&gt;0),"1級に含む",IF(COUNTIFS('資格研修記録'!$A$5:$A$1004,$A125,'資格研修記録'!$D$5:$D$1004,J$4)=0,"—",IF(COUNTIFS('資格研修記録'!$A$5:$A$1004,$A125,'資格研修記録'!$D$5:$D$1004,J$4,'資格研修記録'!$F$5:$F$1004,"")+COUNTIFS('資格研修記録'!$A$5:$A$1004,$A125,'資格研修記録'!$D$5:$D$1004,J$4,'資格研修記録'!$F$5:$F$1004,"&gt;="&amp;TODAY())&gt;0,"○","× 期限切れ"))))</f>
        <v/>
      </c>
      <c r="K125" s="15">
        <f>IF(OR($A125="",K$4=""),"",IF(AND(K$4="小型船舶2級",(COUNTIFS('資格研修記録'!$A$5:$A$1004,$A125,'資格研修記録'!$D$5:$D$1004,"小型船舶1級",'資格研修記録'!$F$5:$F$1004,"")+COUNTIFS('資格研修記録'!$A$5:$A$1004,$A125,'資格研修記録'!$D$5:$D$1004,"小型船舶1級",'資格研修記録'!$F$5:$F$1004,"&gt;="&amp;TODAY()))&gt;0),"1級に含む",IF(COUNTIFS('資格研修記録'!$A$5:$A$1004,$A125,'資格研修記録'!$D$5:$D$1004,K$4)=0,"—",IF(COUNTIFS('資格研修記録'!$A$5:$A$1004,$A125,'資格研修記録'!$D$5:$D$1004,K$4,'資格研修記録'!$F$5:$F$1004,"")+COUNTIFS('資格研修記録'!$A$5:$A$1004,$A125,'資格研修記録'!$D$5:$D$1004,K$4,'資格研修記録'!$F$5:$F$1004,"&gt;="&amp;TODAY())&gt;0,"○","× 期限切れ"))))</f>
        <v/>
      </c>
      <c r="L125" s="15">
        <f>IF(OR($A125="",L$4=""),"",IF(AND(L$4="小型船舶2級",(COUNTIFS('資格研修記録'!$A$5:$A$1004,$A125,'資格研修記録'!$D$5:$D$1004,"小型船舶1級",'資格研修記録'!$F$5:$F$1004,"")+COUNTIFS('資格研修記録'!$A$5:$A$1004,$A125,'資格研修記録'!$D$5:$D$1004,"小型船舶1級",'資格研修記録'!$F$5:$F$1004,"&gt;="&amp;TODAY()))&gt;0),"1級に含む",IF(COUNTIFS('資格研修記録'!$A$5:$A$1004,$A125,'資格研修記録'!$D$5:$D$1004,L$4)=0,"—",IF(COUNTIFS('資格研修記録'!$A$5:$A$1004,$A125,'資格研修記録'!$D$5:$D$1004,L$4,'資格研修記録'!$F$5:$F$1004,"")+COUNTIFS('資格研修記録'!$A$5:$A$1004,$A125,'資格研修記録'!$D$5:$D$1004,L$4,'資格研修記録'!$F$5:$F$1004,"&gt;="&amp;TODAY())&gt;0,"○","× 期限切れ"))))</f>
        <v/>
      </c>
    </row>
    <row r="126">
      <c r="A126" s="14">
        <f>IF('隊員マスタ'!A126="","",'隊員マスタ'!A126)</f>
        <v/>
      </c>
      <c r="B126" s="14">
        <f>IF(A126="","",'隊員マスタ'!B126)</f>
        <v/>
      </c>
      <c r="C126" s="14">
        <f>IF(A126="","",'隊員マスタ'!C126)</f>
        <v/>
      </c>
      <c r="D126" s="15">
        <f>IF(A126="","",'隊員マスタ'!D126)</f>
        <v/>
      </c>
      <c r="E126" s="15">
        <f>IF(OR($A126="",E$4=""),"",IF(AND(E$4="小型船舶2級",(COUNTIFS('資格研修記録'!$A$5:$A$1004,$A126,'資格研修記録'!$D$5:$D$1004,"小型船舶1級",'資格研修記録'!$F$5:$F$1004,"")+COUNTIFS('資格研修記録'!$A$5:$A$1004,$A126,'資格研修記録'!$D$5:$D$1004,"小型船舶1級",'資格研修記録'!$F$5:$F$1004,"&gt;="&amp;TODAY()))&gt;0),"1級に含む",IF(COUNTIFS('資格研修記録'!$A$5:$A$1004,$A126,'資格研修記録'!$D$5:$D$1004,E$4)=0,"—",IF(COUNTIFS('資格研修記録'!$A$5:$A$1004,$A126,'資格研修記録'!$D$5:$D$1004,E$4,'資格研修記録'!$F$5:$F$1004,"")+COUNTIFS('資格研修記録'!$A$5:$A$1004,$A126,'資格研修記録'!$D$5:$D$1004,E$4,'資格研修記録'!$F$5:$F$1004,"&gt;="&amp;TODAY())&gt;0,"○","× 期限切れ"))))</f>
        <v/>
      </c>
      <c r="F126" s="15">
        <f>IF(OR($A126="",F$4=""),"",IF(AND(F$4="小型船舶2級",(COUNTIFS('資格研修記録'!$A$5:$A$1004,$A126,'資格研修記録'!$D$5:$D$1004,"小型船舶1級",'資格研修記録'!$F$5:$F$1004,"")+COUNTIFS('資格研修記録'!$A$5:$A$1004,$A126,'資格研修記録'!$D$5:$D$1004,"小型船舶1級",'資格研修記録'!$F$5:$F$1004,"&gt;="&amp;TODAY()))&gt;0),"1級に含む",IF(COUNTIFS('資格研修記録'!$A$5:$A$1004,$A126,'資格研修記録'!$D$5:$D$1004,F$4)=0,"—",IF(COUNTIFS('資格研修記録'!$A$5:$A$1004,$A126,'資格研修記録'!$D$5:$D$1004,F$4,'資格研修記録'!$F$5:$F$1004,"")+COUNTIFS('資格研修記録'!$A$5:$A$1004,$A126,'資格研修記録'!$D$5:$D$1004,F$4,'資格研修記録'!$F$5:$F$1004,"&gt;="&amp;TODAY())&gt;0,"○","× 期限切れ"))))</f>
        <v/>
      </c>
      <c r="G126" s="15">
        <f>IF(OR($A126="",G$4=""),"",IF(AND(G$4="小型船舶2級",(COUNTIFS('資格研修記録'!$A$5:$A$1004,$A126,'資格研修記録'!$D$5:$D$1004,"小型船舶1級",'資格研修記録'!$F$5:$F$1004,"")+COUNTIFS('資格研修記録'!$A$5:$A$1004,$A126,'資格研修記録'!$D$5:$D$1004,"小型船舶1級",'資格研修記録'!$F$5:$F$1004,"&gt;="&amp;TODAY()))&gt;0),"1級に含む",IF(COUNTIFS('資格研修記録'!$A$5:$A$1004,$A126,'資格研修記録'!$D$5:$D$1004,G$4)=0,"—",IF(COUNTIFS('資格研修記録'!$A$5:$A$1004,$A126,'資格研修記録'!$D$5:$D$1004,G$4,'資格研修記録'!$F$5:$F$1004,"")+COUNTIFS('資格研修記録'!$A$5:$A$1004,$A126,'資格研修記録'!$D$5:$D$1004,G$4,'資格研修記録'!$F$5:$F$1004,"&gt;="&amp;TODAY())&gt;0,"○","× 期限切れ"))))</f>
        <v/>
      </c>
      <c r="H126" s="15">
        <f>IF(OR($A126="",H$4=""),"",IF(AND(H$4="小型船舶2級",(COUNTIFS('資格研修記録'!$A$5:$A$1004,$A126,'資格研修記録'!$D$5:$D$1004,"小型船舶1級",'資格研修記録'!$F$5:$F$1004,"")+COUNTIFS('資格研修記録'!$A$5:$A$1004,$A126,'資格研修記録'!$D$5:$D$1004,"小型船舶1級",'資格研修記録'!$F$5:$F$1004,"&gt;="&amp;TODAY()))&gt;0),"1級に含む",IF(COUNTIFS('資格研修記録'!$A$5:$A$1004,$A126,'資格研修記録'!$D$5:$D$1004,H$4)=0,"—",IF(COUNTIFS('資格研修記録'!$A$5:$A$1004,$A126,'資格研修記録'!$D$5:$D$1004,H$4,'資格研修記録'!$F$5:$F$1004,"")+COUNTIFS('資格研修記録'!$A$5:$A$1004,$A126,'資格研修記録'!$D$5:$D$1004,H$4,'資格研修記録'!$F$5:$F$1004,"&gt;="&amp;TODAY())&gt;0,"○","× 期限切れ"))))</f>
        <v/>
      </c>
      <c r="I126" s="15">
        <f>IF(OR($A126="",I$4=""),"",IF(AND(I$4="小型船舶2級",(COUNTIFS('資格研修記録'!$A$5:$A$1004,$A126,'資格研修記録'!$D$5:$D$1004,"小型船舶1級",'資格研修記録'!$F$5:$F$1004,"")+COUNTIFS('資格研修記録'!$A$5:$A$1004,$A126,'資格研修記録'!$D$5:$D$1004,"小型船舶1級",'資格研修記録'!$F$5:$F$1004,"&gt;="&amp;TODAY()))&gt;0),"1級に含む",IF(COUNTIFS('資格研修記録'!$A$5:$A$1004,$A126,'資格研修記録'!$D$5:$D$1004,I$4)=0,"—",IF(COUNTIFS('資格研修記録'!$A$5:$A$1004,$A126,'資格研修記録'!$D$5:$D$1004,I$4,'資格研修記録'!$F$5:$F$1004,"")+COUNTIFS('資格研修記録'!$A$5:$A$1004,$A126,'資格研修記録'!$D$5:$D$1004,I$4,'資格研修記録'!$F$5:$F$1004,"&gt;="&amp;TODAY())&gt;0,"○","× 期限切れ"))))</f>
        <v/>
      </c>
      <c r="J126" s="15">
        <f>IF(OR($A126="",J$4=""),"",IF(AND(J$4="小型船舶2級",(COUNTIFS('資格研修記録'!$A$5:$A$1004,$A126,'資格研修記録'!$D$5:$D$1004,"小型船舶1級",'資格研修記録'!$F$5:$F$1004,"")+COUNTIFS('資格研修記録'!$A$5:$A$1004,$A126,'資格研修記録'!$D$5:$D$1004,"小型船舶1級",'資格研修記録'!$F$5:$F$1004,"&gt;="&amp;TODAY()))&gt;0),"1級に含む",IF(COUNTIFS('資格研修記録'!$A$5:$A$1004,$A126,'資格研修記録'!$D$5:$D$1004,J$4)=0,"—",IF(COUNTIFS('資格研修記録'!$A$5:$A$1004,$A126,'資格研修記録'!$D$5:$D$1004,J$4,'資格研修記録'!$F$5:$F$1004,"")+COUNTIFS('資格研修記録'!$A$5:$A$1004,$A126,'資格研修記録'!$D$5:$D$1004,J$4,'資格研修記録'!$F$5:$F$1004,"&gt;="&amp;TODAY())&gt;0,"○","× 期限切れ"))))</f>
        <v/>
      </c>
      <c r="K126" s="15">
        <f>IF(OR($A126="",K$4=""),"",IF(AND(K$4="小型船舶2級",(COUNTIFS('資格研修記録'!$A$5:$A$1004,$A126,'資格研修記録'!$D$5:$D$1004,"小型船舶1級",'資格研修記録'!$F$5:$F$1004,"")+COUNTIFS('資格研修記録'!$A$5:$A$1004,$A126,'資格研修記録'!$D$5:$D$1004,"小型船舶1級",'資格研修記録'!$F$5:$F$1004,"&gt;="&amp;TODAY()))&gt;0),"1級に含む",IF(COUNTIFS('資格研修記録'!$A$5:$A$1004,$A126,'資格研修記録'!$D$5:$D$1004,K$4)=0,"—",IF(COUNTIFS('資格研修記録'!$A$5:$A$1004,$A126,'資格研修記録'!$D$5:$D$1004,K$4,'資格研修記録'!$F$5:$F$1004,"")+COUNTIFS('資格研修記録'!$A$5:$A$1004,$A126,'資格研修記録'!$D$5:$D$1004,K$4,'資格研修記録'!$F$5:$F$1004,"&gt;="&amp;TODAY())&gt;0,"○","× 期限切れ"))))</f>
        <v/>
      </c>
      <c r="L126" s="15">
        <f>IF(OR($A126="",L$4=""),"",IF(AND(L$4="小型船舶2級",(COUNTIFS('資格研修記録'!$A$5:$A$1004,$A126,'資格研修記録'!$D$5:$D$1004,"小型船舶1級",'資格研修記録'!$F$5:$F$1004,"")+COUNTIFS('資格研修記録'!$A$5:$A$1004,$A126,'資格研修記録'!$D$5:$D$1004,"小型船舶1級",'資格研修記録'!$F$5:$F$1004,"&gt;="&amp;TODAY()))&gt;0),"1級に含む",IF(COUNTIFS('資格研修記録'!$A$5:$A$1004,$A126,'資格研修記録'!$D$5:$D$1004,L$4)=0,"—",IF(COUNTIFS('資格研修記録'!$A$5:$A$1004,$A126,'資格研修記録'!$D$5:$D$1004,L$4,'資格研修記録'!$F$5:$F$1004,"")+COUNTIFS('資格研修記録'!$A$5:$A$1004,$A126,'資格研修記録'!$D$5:$D$1004,L$4,'資格研修記録'!$F$5:$F$1004,"&gt;="&amp;TODAY())&gt;0,"○","× 期限切れ"))))</f>
        <v/>
      </c>
    </row>
    <row r="127">
      <c r="A127" s="14">
        <f>IF('隊員マスタ'!A127="","",'隊員マスタ'!A127)</f>
        <v/>
      </c>
      <c r="B127" s="14">
        <f>IF(A127="","",'隊員マスタ'!B127)</f>
        <v/>
      </c>
      <c r="C127" s="14">
        <f>IF(A127="","",'隊員マスタ'!C127)</f>
        <v/>
      </c>
      <c r="D127" s="15">
        <f>IF(A127="","",'隊員マスタ'!D127)</f>
        <v/>
      </c>
      <c r="E127" s="15">
        <f>IF(OR($A127="",E$4=""),"",IF(AND(E$4="小型船舶2級",(COUNTIFS('資格研修記録'!$A$5:$A$1004,$A127,'資格研修記録'!$D$5:$D$1004,"小型船舶1級",'資格研修記録'!$F$5:$F$1004,"")+COUNTIFS('資格研修記録'!$A$5:$A$1004,$A127,'資格研修記録'!$D$5:$D$1004,"小型船舶1級",'資格研修記録'!$F$5:$F$1004,"&gt;="&amp;TODAY()))&gt;0),"1級に含む",IF(COUNTIFS('資格研修記録'!$A$5:$A$1004,$A127,'資格研修記録'!$D$5:$D$1004,E$4)=0,"—",IF(COUNTIFS('資格研修記録'!$A$5:$A$1004,$A127,'資格研修記録'!$D$5:$D$1004,E$4,'資格研修記録'!$F$5:$F$1004,"")+COUNTIFS('資格研修記録'!$A$5:$A$1004,$A127,'資格研修記録'!$D$5:$D$1004,E$4,'資格研修記録'!$F$5:$F$1004,"&gt;="&amp;TODAY())&gt;0,"○","× 期限切れ"))))</f>
        <v/>
      </c>
      <c r="F127" s="15">
        <f>IF(OR($A127="",F$4=""),"",IF(AND(F$4="小型船舶2級",(COUNTIFS('資格研修記録'!$A$5:$A$1004,$A127,'資格研修記録'!$D$5:$D$1004,"小型船舶1級",'資格研修記録'!$F$5:$F$1004,"")+COUNTIFS('資格研修記録'!$A$5:$A$1004,$A127,'資格研修記録'!$D$5:$D$1004,"小型船舶1級",'資格研修記録'!$F$5:$F$1004,"&gt;="&amp;TODAY()))&gt;0),"1級に含む",IF(COUNTIFS('資格研修記録'!$A$5:$A$1004,$A127,'資格研修記録'!$D$5:$D$1004,F$4)=0,"—",IF(COUNTIFS('資格研修記録'!$A$5:$A$1004,$A127,'資格研修記録'!$D$5:$D$1004,F$4,'資格研修記録'!$F$5:$F$1004,"")+COUNTIFS('資格研修記録'!$A$5:$A$1004,$A127,'資格研修記録'!$D$5:$D$1004,F$4,'資格研修記録'!$F$5:$F$1004,"&gt;="&amp;TODAY())&gt;0,"○","× 期限切れ"))))</f>
        <v/>
      </c>
      <c r="G127" s="15">
        <f>IF(OR($A127="",G$4=""),"",IF(AND(G$4="小型船舶2級",(COUNTIFS('資格研修記録'!$A$5:$A$1004,$A127,'資格研修記録'!$D$5:$D$1004,"小型船舶1級",'資格研修記録'!$F$5:$F$1004,"")+COUNTIFS('資格研修記録'!$A$5:$A$1004,$A127,'資格研修記録'!$D$5:$D$1004,"小型船舶1級",'資格研修記録'!$F$5:$F$1004,"&gt;="&amp;TODAY()))&gt;0),"1級に含む",IF(COUNTIFS('資格研修記録'!$A$5:$A$1004,$A127,'資格研修記録'!$D$5:$D$1004,G$4)=0,"—",IF(COUNTIFS('資格研修記録'!$A$5:$A$1004,$A127,'資格研修記録'!$D$5:$D$1004,G$4,'資格研修記録'!$F$5:$F$1004,"")+COUNTIFS('資格研修記録'!$A$5:$A$1004,$A127,'資格研修記録'!$D$5:$D$1004,G$4,'資格研修記録'!$F$5:$F$1004,"&gt;="&amp;TODAY())&gt;0,"○","× 期限切れ"))))</f>
        <v/>
      </c>
      <c r="H127" s="15">
        <f>IF(OR($A127="",H$4=""),"",IF(AND(H$4="小型船舶2級",(COUNTIFS('資格研修記録'!$A$5:$A$1004,$A127,'資格研修記録'!$D$5:$D$1004,"小型船舶1級",'資格研修記録'!$F$5:$F$1004,"")+COUNTIFS('資格研修記録'!$A$5:$A$1004,$A127,'資格研修記録'!$D$5:$D$1004,"小型船舶1級",'資格研修記録'!$F$5:$F$1004,"&gt;="&amp;TODAY()))&gt;0),"1級に含む",IF(COUNTIFS('資格研修記録'!$A$5:$A$1004,$A127,'資格研修記録'!$D$5:$D$1004,H$4)=0,"—",IF(COUNTIFS('資格研修記録'!$A$5:$A$1004,$A127,'資格研修記録'!$D$5:$D$1004,H$4,'資格研修記録'!$F$5:$F$1004,"")+COUNTIFS('資格研修記録'!$A$5:$A$1004,$A127,'資格研修記録'!$D$5:$D$1004,H$4,'資格研修記録'!$F$5:$F$1004,"&gt;="&amp;TODAY())&gt;0,"○","× 期限切れ"))))</f>
        <v/>
      </c>
      <c r="I127" s="15">
        <f>IF(OR($A127="",I$4=""),"",IF(AND(I$4="小型船舶2級",(COUNTIFS('資格研修記録'!$A$5:$A$1004,$A127,'資格研修記録'!$D$5:$D$1004,"小型船舶1級",'資格研修記録'!$F$5:$F$1004,"")+COUNTIFS('資格研修記録'!$A$5:$A$1004,$A127,'資格研修記録'!$D$5:$D$1004,"小型船舶1級",'資格研修記録'!$F$5:$F$1004,"&gt;="&amp;TODAY()))&gt;0),"1級に含む",IF(COUNTIFS('資格研修記録'!$A$5:$A$1004,$A127,'資格研修記録'!$D$5:$D$1004,I$4)=0,"—",IF(COUNTIFS('資格研修記録'!$A$5:$A$1004,$A127,'資格研修記録'!$D$5:$D$1004,I$4,'資格研修記録'!$F$5:$F$1004,"")+COUNTIFS('資格研修記録'!$A$5:$A$1004,$A127,'資格研修記録'!$D$5:$D$1004,I$4,'資格研修記録'!$F$5:$F$1004,"&gt;="&amp;TODAY())&gt;0,"○","× 期限切れ"))))</f>
        <v/>
      </c>
      <c r="J127" s="15">
        <f>IF(OR($A127="",J$4=""),"",IF(AND(J$4="小型船舶2級",(COUNTIFS('資格研修記録'!$A$5:$A$1004,$A127,'資格研修記録'!$D$5:$D$1004,"小型船舶1級",'資格研修記録'!$F$5:$F$1004,"")+COUNTIFS('資格研修記録'!$A$5:$A$1004,$A127,'資格研修記録'!$D$5:$D$1004,"小型船舶1級",'資格研修記録'!$F$5:$F$1004,"&gt;="&amp;TODAY()))&gt;0),"1級に含む",IF(COUNTIFS('資格研修記録'!$A$5:$A$1004,$A127,'資格研修記録'!$D$5:$D$1004,J$4)=0,"—",IF(COUNTIFS('資格研修記録'!$A$5:$A$1004,$A127,'資格研修記録'!$D$5:$D$1004,J$4,'資格研修記録'!$F$5:$F$1004,"")+COUNTIFS('資格研修記録'!$A$5:$A$1004,$A127,'資格研修記録'!$D$5:$D$1004,J$4,'資格研修記録'!$F$5:$F$1004,"&gt;="&amp;TODAY())&gt;0,"○","× 期限切れ"))))</f>
        <v/>
      </c>
      <c r="K127" s="15">
        <f>IF(OR($A127="",K$4=""),"",IF(AND(K$4="小型船舶2級",(COUNTIFS('資格研修記録'!$A$5:$A$1004,$A127,'資格研修記録'!$D$5:$D$1004,"小型船舶1級",'資格研修記録'!$F$5:$F$1004,"")+COUNTIFS('資格研修記録'!$A$5:$A$1004,$A127,'資格研修記録'!$D$5:$D$1004,"小型船舶1級",'資格研修記録'!$F$5:$F$1004,"&gt;="&amp;TODAY()))&gt;0),"1級に含む",IF(COUNTIFS('資格研修記録'!$A$5:$A$1004,$A127,'資格研修記録'!$D$5:$D$1004,K$4)=0,"—",IF(COUNTIFS('資格研修記録'!$A$5:$A$1004,$A127,'資格研修記録'!$D$5:$D$1004,K$4,'資格研修記録'!$F$5:$F$1004,"")+COUNTIFS('資格研修記録'!$A$5:$A$1004,$A127,'資格研修記録'!$D$5:$D$1004,K$4,'資格研修記録'!$F$5:$F$1004,"&gt;="&amp;TODAY())&gt;0,"○","× 期限切れ"))))</f>
        <v/>
      </c>
      <c r="L127" s="15">
        <f>IF(OR($A127="",L$4=""),"",IF(AND(L$4="小型船舶2級",(COUNTIFS('資格研修記録'!$A$5:$A$1004,$A127,'資格研修記録'!$D$5:$D$1004,"小型船舶1級",'資格研修記録'!$F$5:$F$1004,"")+COUNTIFS('資格研修記録'!$A$5:$A$1004,$A127,'資格研修記録'!$D$5:$D$1004,"小型船舶1級",'資格研修記録'!$F$5:$F$1004,"&gt;="&amp;TODAY()))&gt;0),"1級に含む",IF(COUNTIFS('資格研修記録'!$A$5:$A$1004,$A127,'資格研修記録'!$D$5:$D$1004,L$4)=0,"—",IF(COUNTIFS('資格研修記録'!$A$5:$A$1004,$A127,'資格研修記録'!$D$5:$D$1004,L$4,'資格研修記録'!$F$5:$F$1004,"")+COUNTIFS('資格研修記録'!$A$5:$A$1004,$A127,'資格研修記録'!$D$5:$D$1004,L$4,'資格研修記録'!$F$5:$F$1004,"&gt;="&amp;TODAY())&gt;0,"○","× 期限切れ"))))</f>
        <v/>
      </c>
    </row>
    <row r="128">
      <c r="A128" s="14">
        <f>IF('隊員マスタ'!A128="","",'隊員マスタ'!A128)</f>
        <v/>
      </c>
      <c r="B128" s="14">
        <f>IF(A128="","",'隊員マスタ'!B128)</f>
        <v/>
      </c>
      <c r="C128" s="14">
        <f>IF(A128="","",'隊員マスタ'!C128)</f>
        <v/>
      </c>
      <c r="D128" s="15">
        <f>IF(A128="","",'隊員マスタ'!D128)</f>
        <v/>
      </c>
      <c r="E128" s="15">
        <f>IF(OR($A128="",E$4=""),"",IF(AND(E$4="小型船舶2級",(COUNTIFS('資格研修記録'!$A$5:$A$1004,$A128,'資格研修記録'!$D$5:$D$1004,"小型船舶1級",'資格研修記録'!$F$5:$F$1004,"")+COUNTIFS('資格研修記録'!$A$5:$A$1004,$A128,'資格研修記録'!$D$5:$D$1004,"小型船舶1級",'資格研修記録'!$F$5:$F$1004,"&gt;="&amp;TODAY()))&gt;0),"1級に含む",IF(COUNTIFS('資格研修記録'!$A$5:$A$1004,$A128,'資格研修記録'!$D$5:$D$1004,E$4)=0,"—",IF(COUNTIFS('資格研修記録'!$A$5:$A$1004,$A128,'資格研修記録'!$D$5:$D$1004,E$4,'資格研修記録'!$F$5:$F$1004,"")+COUNTIFS('資格研修記録'!$A$5:$A$1004,$A128,'資格研修記録'!$D$5:$D$1004,E$4,'資格研修記録'!$F$5:$F$1004,"&gt;="&amp;TODAY())&gt;0,"○","× 期限切れ"))))</f>
        <v/>
      </c>
      <c r="F128" s="15">
        <f>IF(OR($A128="",F$4=""),"",IF(AND(F$4="小型船舶2級",(COUNTIFS('資格研修記録'!$A$5:$A$1004,$A128,'資格研修記録'!$D$5:$D$1004,"小型船舶1級",'資格研修記録'!$F$5:$F$1004,"")+COUNTIFS('資格研修記録'!$A$5:$A$1004,$A128,'資格研修記録'!$D$5:$D$1004,"小型船舶1級",'資格研修記録'!$F$5:$F$1004,"&gt;="&amp;TODAY()))&gt;0),"1級に含む",IF(COUNTIFS('資格研修記録'!$A$5:$A$1004,$A128,'資格研修記録'!$D$5:$D$1004,F$4)=0,"—",IF(COUNTIFS('資格研修記録'!$A$5:$A$1004,$A128,'資格研修記録'!$D$5:$D$1004,F$4,'資格研修記録'!$F$5:$F$1004,"")+COUNTIFS('資格研修記録'!$A$5:$A$1004,$A128,'資格研修記録'!$D$5:$D$1004,F$4,'資格研修記録'!$F$5:$F$1004,"&gt;="&amp;TODAY())&gt;0,"○","× 期限切れ"))))</f>
        <v/>
      </c>
      <c r="G128" s="15">
        <f>IF(OR($A128="",G$4=""),"",IF(AND(G$4="小型船舶2級",(COUNTIFS('資格研修記録'!$A$5:$A$1004,$A128,'資格研修記録'!$D$5:$D$1004,"小型船舶1級",'資格研修記録'!$F$5:$F$1004,"")+COUNTIFS('資格研修記録'!$A$5:$A$1004,$A128,'資格研修記録'!$D$5:$D$1004,"小型船舶1級",'資格研修記録'!$F$5:$F$1004,"&gt;="&amp;TODAY()))&gt;0),"1級に含む",IF(COUNTIFS('資格研修記録'!$A$5:$A$1004,$A128,'資格研修記録'!$D$5:$D$1004,G$4)=0,"—",IF(COUNTIFS('資格研修記録'!$A$5:$A$1004,$A128,'資格研修記録'!$D$5:$D$1004,G$4,'資格研修記録'!$F$5:$F$1004,"")+COUNTIFS('資格研修記録'!$A$5:$A$1004,$A128,'資格研修記録'!$D$5:$D$1004,G$4,'資格研修記録'!$F$5:$F$1004,"&gt;="&amp;TODAY())&gt;0,"○","× 期限切れ"))))</f>
        <v/>
      </c>
      <c r="H128" s="15">
        <f>IF(OR($A128="",H$4=""),"",IF(AND(H$4="小型船舶2級",(COUNTIFS('資格研修記録'!$A$5:$A$1004,$A128,'資格研修記録'!$D$5:$D$1004,"小型船舶1級",'資格研修記録'!$F$5:$F$1004,"")+COUNTIFS('資格研修記録'!$A$5:$A$1004,$A128,'資格研修記録'!$D$5:$D$1004,"小型船舶1級",'資格研修記録'!$F$5:$F$1004,"&gt;="&amp;TODAY()))&gt;0),"1級に含む",IF(COUNTIFS('資格研修記録'!$A$5:$A$1004,$A128,'資格研修記録'!$D$5:$D$1004,H$4)=0,"—",IF(COUNTIFS('資格研修記録'!$A$5:$A$1004,$A128,'資格研修記録'!$D$5:$D$1004,H$4,'資格研修記録'!$F$5:$F$1004,"")+COUNTIFS('資格研修記録'!$A$5:$A$1004,$A128,'資格研修記録'!$D$5:$D$1004,H$4,'資格研修記録'!$F$5:$F$1004,"&gt;="&amp;TODAY())&gt;0,"○","× 期限切れ"))))</f>
        <v/>
      </c>
      <c r="I128" s="15">
        <f>IF(OR($A128="",I$4=""),"",IF(AND(I$4="小型船舶2級",(COUNTIFS('資格研修記録'!$A$5:$A$1004,$A128,'資格研修記録'!$D$5:$D$1004,"小型船舶1級",'資格研修記録'!$F$5:$F$1004,"")+COUNTIFS('資格研修記録'!$A$5:$A$1004,$A128,'資格研修記録'!$D$5:$D$1004,"小型船舶1級",'資格研修記録'!$F$5:$F$1004,"&gt;="&amp;TODAY()))&gt;0),"1級に含む",IF(COUNTIFS('資格研修記録'!$A$5:$A$1004,$A128,'資格研修記録'!$D$5:$D$1004,I$4)=0,"—",IF(COUNTIFS('資格研修記録'!$A$5:$A$1004,$A128,'資格研修記録'!$D$5:$D$1004,I$4,'資格研修記録'!$F$5:$F$1004,"")+COUNTIFS('資格研修記録'!$A$5:$A$1004,$A128,'資格研修記録'!$D$5:$D$1004,I$4,'資格研修記録'!$F$5:$F$1004,"&gt;="&amp;TODAY())&gt;0,"○","× 期限切れ"))))</f>
        <v/>
      </c>
      <c r="J128" s="15">
        <f>IF(OR($A128="",J$4=""),"",IF(AND(J$4="小型船舶2級",(COUNTIFS('資格研修記録'!$A$5:$A$1004,$A128,'資格研修記録'!$D$5:$D$1004,"小型船舶1級",'資格研修記録'!$F$5:$F$1004,"")+COUNTIFS('資格研修記録'!$A$5:$A$1004,$A128,'資格研修記録'!$D$5:$D$1004,"小型船舶1級",'資格研修記録'!$F$5:$F$1004,"&gt;="&amp;TODAY()))&gt;0),"1級に含む",IF(COUNTIFS('資格研修記録'!$A$5:$A$1004,$A128,'資格研修記録'!$D$5:$D$1004,J$4)=0,"—",IF(COUNTIFS('資格研修記録'!$A$5:$A$1004,$A128,'資格研修記録'!$D$5:$D$1004,J$4,'資格研修記録'!$F$5:$F$1004,"")+COUNTIFS('資格研修記録'!$A$5:$A$1004,$A128,'資格研修記録'!$D$5:$D$1004,J$4,'資格研修記録'!$F$5:$F$1004,"&gt;="&amp;TODAY())&gt;0,"○","× 期限切れ"))))</f>
        <v/>
      </c>
      <c r="K128" s="15">
        <f>IF(OR($A128="",K$4=""),"",IF(AND(K$4="小型船舶2級",(COUNTIFS('資格研修記録'!$A$5:$A$1004,$A128,'資格研修記録'!$D$5:$D$1004,"小型船舶1級",'資格研修記録'!$F$5:$F$1004,"")+COUNTIFS('資格研修記録'!$A$5:$A$1004,$A128,'資格研修記録'!$D$5:$D$1004,"小型船舶1級",'資格研修記録'!$F$5:$F$1004,"&gt;="&amp;TODAY()))&gt;0),"1級に含む",IF(COUNTIFS('資格研修記録'!$A$5:$A$1004,$A128,'資格研修記録'!$D$5:$D$1004,K$4)=0,"—",IF(COUNTIFS('資格研修記録'!$A$5:$A$1004,$A128,'資格研修記録'!$D$5:$D$1004,K$4,'資格研修記録'!$F$5:$F$1004,"")+COUNTIFS('資格研修記録'!$A$5:$A$1004,$A128,'資格研修記録'!$D$5:$D$1004,K$4,'資格研修記録'!$F$5:$F$1004,"&gt;="&amp;TODAY())&gt;0,"○","× 期限切れ"))))</f>
        <v/>
      </c>
      <c r="L128" s="15">
        <f>IF(OR($A128="",L$4=""),"",IF(AND(L$4="小型船舶2級",(COUNTIFS('資格研修記録'!$A$5:$A$1004,$A128,'資格研修記録'!$D$5:$D$1004,"小型船舶1級",'資格研修記録'!$F$5:$F$1004,"")+COUNTIFS('資格研修記録'!$A$5:$A$1004,$A128,'資格研修記録'!$D$5:$D$1004,"小型船舶1級",'資格研修記録'!$F$5:$F$1004,"&gt;="&amp;TODAY()))&gt;0),"1級に含む",IF(COUNTIFS('資格研修記録'!$A$5:$A$1004,$A128,'資格研修記録'!$D$5:$D$1004,L$4)=0,"—",IF(COUNTIFS('資格研修記録'!$A$5:$A$1004,$A128,'資格研修記録'!$D$5:$D$1004,L$4,'資格研修記録'!$F$5:$F$1004,"")+COUNTIFS('資格研修記録'!$A$5:$A$1004,$A128,'資格研修記録'!$D$5:$D$1004,L$4,'資格研修記録'!$F$5:$F$1004,"&gt;="&amp;TODAY())&gt;0,"○","× 期限切れ"))))</f>
        <v/>
      </c>
    </row>
    <row r="129">
      <c r="A129" s="14">
        <f>IF('隊員マスタ'!A129="","",'隊員マスタ'!A129)</f>
        <v/>
      </c>
      <c r="B129" s="14">
        <f>IF(A129="","",'隊員マスタ'!B129)</f>
        <v/>
      </c>
      <c r="C129" s="14">
        <f>IF(A129="","",'隊員マスタ'!C129)</f>
        <v/>
      </c>
      <c r="D129" s="15">
        <f>IF(A129="","",'隊員マスタ'!D129)</f>
        <v/>
      </c>
      <c r="E129" s="15">
        <f>IF(OR($A129="",E$4=""),"",IF(AND(E$4="小型船舶2級",(COUNTIFS('資格研修記録'!$A$5:$A$1004,$A129,'資格研修記録'!$D$5:$D$1004,"小型船舶1級",'資格研修記録'!$F$5:$F$1004,"")+COUNTIFS('資格研修記録'!$A$5:$A$1004,$A129,'資格研修記録'!$D$5:$D$1004,"小型船舶1級",'資格研修記録'!$F$5:$F$1004,"&gt;="&amp;TODAY()))&gt;0),"1級に含む",IF(COUNTIFS('資格研修記録'!$A$5:$A$1004,$A129,'資格研修記録'!$D$5:$D$1004,E$4)=0,"—",IF(COUNTIFS('資格研修記録'!$A$5:$A$1004,$A129,'資格研修記録'!$D$5:$D$1004,E$4,'資格研修記録'!$F$5:$F$1004,"")+COUNTIFS('資格研修記録'!$A$5:$A$1004,$A129,'資格研修記録'!$D$5:$D$1004,E$4,'資格研修記録'!$F$5:$F$1004,"&gt;="&amp;TODAY())&gt;0,"○","× 期限切れ"))))</f>
        <v/>
      </c>
      <c r="F129" s="15">
        <f>IF(OR($A129="",F$4=""),"",IF(AND(F$4="小型船舶2級",(COUNTIFS('資格研修記録'!$A$5:$A$1004,$A129,'資格研修記録'!$D$5:$D$1004,"小型船舶1級",'資格研修記録'!$F$5:$F$1004,"")+COUNTIFS('資格研修記録'!$A$5:$A$1004,$A129,'資格研修記録'!$D$5:$D$1004,"小型船舶1級",'資格研修記録'!$F$5:$F$1004,"&gt;="&amp;TODAY()))&gt;0),"1級に含む",IF(COUNTIFS('資格研修記録'!$A$5:$A$1004,$A129,'資格研修記録'!$D$5:$D$1004,F$4)=0,"—",IF(COUNTIFS('資格研修記録'!$A$5:$A$1004,$A129,'資格研修記録'!$D$5:$D$1004,F$4,'資格研修記録'!$F$5:$F$1004,"")+COUNTIFS('資格研修記録'!$A$5:$A$1004,$A129,'資格研修記録'!$D$5:$D$1004,F$4,'資格研修記録'!$F$5:$F$1004,"&gt;="&amp;TODAY())&gt;0,"○","× 期限切れ"))))</f>
        <v/>
      </c>
      <c r="G129" s="15">
        <f>IF(OR($A129="",G$4=""),"",IF(AND(G$4="小型船舶2級",(COUNTIFS('資格研修記録'!$A$5:$A$1004,$A129,'資格研修記録'!$D$5:$D$1004,"小型船舶1級",'資格研修記録'!$F$5:$F$1004,"")+COUNTIFS('資格研修記録'!$A$5:$A$1004,$A129,'資格研修記録'!$D$5:$D$1004,"小型船舶1級",'資格研修記録'!$F$5:$F$1004,"&gt;="&amp;TODAY()))&gt;0),"1級に含む",IF(COUNTIFS('資格研修記録'!$A$5:$A$1004,$A129,'資格研修記録'!$D$5:$D$1004,G$4)=0,"—",IF(COUNTIFS('資格研修記録'!$A$5:$A$1004,$A129,'資格研修記録'!$D$5:$D$1004,G$4,'資格研修記録'!$F$5:$F$1004,"")+COUNTIFS('資格研修記録'!$A$5:$A$1004,$A129,'資格研修記録'!$D$5:$D$1004,G$4,'資格研修記録'!$F$5:$F$1004,"&gt;="&amp;TODAY())&gt;0,"○","× 期限切れ"))))</f>
        <v/>
      </c>
      <c r="H129" s="15">
        <f>IF(OR($A129="",H$4=""),"",IF(AND(H$4="小型船舶2級",(COUNTIFS('資格研修記録'!$A$5:$A$1004,$A129,'資格研修記録'!$D$5:$D$1004,"小型船舶1級",'資格研修記録'!$F$5:$F$1004,"")+COUNTIFS('資格研修記録'!$A$5:$A$1004,$A129,'資格研修記録'!$D$5:$D$1004,"小型船舶1級",'資格研修記録'!$F$5:$F$1004,"&gt;="&amp;TODAY()))&gt;0),"1級に含む",IF(COUNTIFS('資格研修記録'!$A$5:$A$1004,$A129,'資格研修記録'!$D$5:$D$1004,H$4)=0,"—",IF(COUNTIFS('資格研修記録'!$A$5:$A$1004,$A129,'資格研修記録'!$D$5:$D$1004,H$4,'資格研修記録'!$F$5:$F$1004,"")+COUNTIFS('資格研修記録'!$A$5:$A$1004,$A129,'資格研修記録'!$D$5:$D$1004,H$4,'資格研修記録'!$F$5:$F$1004,"&gt;="&amp;TODAY())&gt;0,"○","× 期限切れ"))))</f>
        <v/>
      </c>
      <c r="I129" s="15">
        <f>IF(OR($A129="",I$4=""),"",IF(AND(I$4="小型船舶2級",(COUNTIFS('資格研修記録'!$A$5:$A$1004,$A129,'資格研修記録'!$D$5:$D$1004,"小型船舶1級",'資格研修記録'!$F$5:$F$1004,"")+COUNTIFS('資格研修記録'!$A$5:$A$1004,$A129,'資格研修記録'!$D$5:$D$1004,"小型船舶1級",'資格研修記録'!$F$5:$F$1004,"&gt;="&amp;TODAY()))&gt;0),"1級に含む",IF(COUNTIFS('資格研修記録'!$A$5:$A$1004,$A129,'資格研修記録'!$D$5:$D$1004,I$4)=0,"—",IF(COUNTIFS('資格研修記録'!$A$5:$A$1004,$A129,'資格研修記録'!$D$5:$D$1004,I$4,'資格研修記録'!$F$5:$F$1004,"")+COUNTIFS('資格研修記録'!$A$5:$A$1004,$A129,'資格研修記録'!$D$5:$D$1004,I$4,'資格研修記録'!$F$5:$F$1004,"&gt;="&amp;TODAY())&gt;0,"○","× 期限切れ"))))</f>
        <v/>
      </c>
      <c r="J129" s="15">
        <f>IF(OR($A129="",J$4=""),"",IF(AND(J$4="小型船舶2級",(COUNTIFS('資格研修記録'!$A$5:$A$1004,$A129,'資格研修記録'!$D$5:$D$1004,"小型船舶1級",'資格研修記録'!$F$5:$F$1004,"")+COUNTIFS('資格研修記録'!$A$5:$A$1004,$A129,'資格研修記録'!$D$5:$D$1004,"小型船舶1級",'資格研修記録'!$F$5:$F$1004,"&gt;="&amp;TODAY()))&gt;0),"1級に含む",IF(COUNTIFS('資格研修記録'!$A$5:$A$1004,$A129,'資格研修記録'!$D$5:$D$1004,J$4)=0,"—",IF(COUNTIFS('資格研修記録'!$A$5:$A$1004,$A129,'資格研修記録'!$D$5:$D$1004,J$4,'資格研修記録'!$F$5:$F$1004,"")+COUNTIFS('資格研修記録'!$A$5:$A$1004,$A129,'資格研修記録'!$D$5:$D$1004,J$4,'資格研修記録'!$F$5:$F$1004,"&gt;="&amp;TODAY())&gt;0,"○","× 期限切れ"))))</f>
        <v/>
      </c>
      <c r="K129" s="15">
        <f>IF(OR($A129="",K$4=""),"",IF(AND(K$4="小型船舶2級",(COUNTIFS('資格研修記録'!$A$5:$A$1004,$A129,'資格研修記録'!$D$5:$D$1004,"小型船舶1級",'資格研修記録'!$F$5:$F$1004,"")+COUNTIFS('資格研修記録'!$A$5:$A$1004,$A129,'資格研修記録'!$D$5:$D$1004,"小型船舶1級",'資格研修記録'!$F$5:$F$1004,"&gt;="&amp;TODAY()))&gt;0),"1級に含む",IF(COUNTIFS('資格研修記録'!$A$5:$A$1004,$A129,'資格研修記録'!$D$5:$D$1004,K$4)=0,"—",IF(COUNTIFS('資格研修記録'!$A$5:$A$1004,$A129,'資格研修記録'!$D$5:$D$1004,K$4,'資格研修記録'!$F$5:$F$1004,"")+COUNTIFS('資格研修記録'!$A$5:$A$1004,$A129,'資格研修記録'!$D$5:$D$1004,K$4,'資格研修記録'!$F$5:$F$1004,"&gt;="&amp;TODAY())&gt;0,"○","× 期限切れ"))))</f>
        <v/>
      </c>
      <c r="L129" s="15">
        <f>IF(OR($A129="",L$4=""),"",IF(AND(L$4="小型船舶2級",(COUNTIFS('資格研修記録'!$A$5:$A$1004,$A129,'資格研修記録'!$D$5:$D$1004,"小型船舶1級",'資格研修記録'!$F$5:$F$1004,"")+COUNTIFS('資格研修記録'!$A$5:$A$1004,$A129,'資格研修記録'!$D$5:$D$1004,"小型船舶1級",'資格研修記録'!$F$5:$F$1004,"&gt;="&amp;TODAY()))&gt;0),"1級に含む",IF(COUNTIFS('資格研修記録'!$A$5:$A$1004,$A129,'資格研修記録'!$D$5:$D$1004,L$4)=0,"—",IF(COUNTIFS('資格研修記録'!$A$5:$A$1004,$A129,'資格研修記録'!$D$5:$D$1004,L$4,'資格研修記録'!$F$5:$F$1004,"")+COUNTIFS('資格研修記録'!$A$5:$A$1004,$A129,'資格研修記録'!$D$5:$D$1004,L$4,'資格研修記録'!$F$5:$F$1004,"&gt;="&amp;TODAY())&gt;0,"○","× 期限切れ"))))</f>
        <v/>
      </c>
    </row>
    <row r="130">
      <c r="A130" s="14">
        <f>IF('隊員マスタ'!A130="","",'隊員マスタ'!A130)</f>
        <v/>
      </c>
      <c r="B130" s="14">
        <f>IF(A130="","",'隊員マスタ'!B130)</f>
        <v/>
      </c>
      <c r="C130" s="14">
        <f>IF(A130="","",'隊員マスタ'!C130)</f>
        <v/>
      </c>
      <c r="D130" s="15">
        <f>IF(A130="","",'隊員マスタ'!D130)</f>
        <v/>
      </c>
      <c r="E130" s="15">
        <f>IF(OR($A130="",E$4=""),"",IF(AND(E$4="小型船舶2級",(COUNTIFS('資格研修記録'!$A$5:$A$1004,$A130,'資格研修記録'!$D$5:$D$1004,"小型船舶1級",'資格研修記録'!$F$5:$F$1004,"")+COUNTIFS('資格研修記録'!$A$5:$A$1004,$A130,'資格研修記録'!$D$5:$D$1004,"小型船舶1級",'資格研修記録'!$F$5:$F$1004,"&gt;="&amp;TODAY()))&gt;0),"1級に含む",IF(COUNTIFS('資格研修記録'!$A$5:$A$1004,$A130,'資格研修記録'!$D$5:$D$1004,E$4)=0,"—",IF(COUNTIFS('資格研修記録'!$A$5:$A$1004,$A130,'資格研修記録'!$D$5:$D$1004,E$4,'資格研修記録'!$F$5:$F$1004,"")+COUNTIFS('資格研修記録'!$A$5:$A$1004,$A130,'資格研修記録'!$D$5:$D$1004,E$4,'資格研修記録'!$F$5:$F$1004,"&gt;="&amp;TODAY())&gt;0,"○","× 期限切れ"))))</f>
        <v/>
      </c>
      <c r="F130" s="15">
        <f>IF(OR($A130="",F$4=""),"",IF(AND(F$4="小型船舶2級",(COUNTIFS('資格研修記録'!$A$5:$A$1004,$A130,'資格研修記録'!$D$5:$D$1004,"小型船舶1級",'資格研修記録'!$F$5:$F$1004,"")+COUNTIFS('資格研修記録'!$A$5:$A$1004,$A130,'資格研修記録'!$D$5:$D$1004,"小型船舶1級",'資格研修記録'!$F$5:$F$1004,"&gt;="&amp;TODAY()))&gt;0),"1級に含む",IF(COUNTIFS('資格研修記録'!$A$5:$A$1004,$A130,'資格研修記録'!$D$5:$D$1004,F$4)=0,"—",IF(COUNTIFS('資格研修記録'!$A$5:$A$1004,$A130,'資格研修記録'!$D$5:$D$1004,F$4,'資格研修記録'!$F$5:$F$1004,"")+COUNTIFS('資格研修記録'!$A$5:$A$1004,$A130,'資格研修記録'!$D$5:$D$1004,F$4,'資格研修記録'!$F$5:$F$1004,"&gt;="&amp;TODAY())&gt;0,"○","× 期限切れ"))))</f>
        <v/>
      </c>
      <c r="G130" s="15">
        <f>IF(OR($A130="",G$4=""),"",IF(AND(G$4="小型船舶2級",(COUNTIFS('資格研修記録'!$A$5:$A$1004,$A130,'資格研修記録'!$D$5:$D$1004,"小型船舶1級",'資格研修記録'!$F$5:$F$1004,"")+COUNTIFS('資格研修記録'!$A$5:$A$1004,$A130,'資格研修記録'!$D$5:$D$1004,"小型船舶1級",'資格研修記録'!$F$5:$F$1004,"&gt;="&amp;TODAY()))&gt;0),"1級に含む",IF(COUNTIFS('資格研修記録'!$A$5:$A$1004,$A130,'資格研修記録'!$D$5:$D$1004,G$4)=0,"—",IF(COUNTIFS('資格研修記録'!$A$5:$A$1004,$A130,'資格研修記録'!$D$5:$D$1004,G$4,'資格研修記録'!$F$5:$F$1004,"")+COUNTIFS('資格研修記録'!$A$5:$A$1004,$A130,'資格研修記録'!$D$5:$D$1004,G$4,'資格研修記録'!$F$5:$F$1004,"&gt;="&amp;TODAY())&gt;0,"○","× 期限切れ"))))</f>
        <v/>
      </c>
      <c r="H130" s="15">
        <f>IF(OR($A130="",H$4=""),"",IF(AND(H$4="小型船舶2級",(COUNTIFS('資格研修記録'!$A$5:$A$1004,$A130,'資格研修記録'!$D$5:$D$1004,"小型船舶1級",'資格研修記録'!$F$5:$F$1004,"")+COUNTIFS('資格研修記録'!$A$5:$A$1004,$A130,'資格研修記録'!$D$5:$D$1004,"小型船舶1級",'資格研修記録'!$F$5:$F$1004,"&gt;="&amp;TODAY()))&gt;0),"1級に含む",IF(COUNTIFS('資格研修記録'!$A$5:$A$1004,$A130,'資格研修記録'!$D$5:$D$1004,H$4)=0,"—",IF(COUNTIFS('資格研修記録'!$A$5:$A$1004,$A130,'資格研修記録'!$D$5:$D$1004,H$4,'資格研修記録'!$F$5:$F$1004,"")+COUNTIFS('資格研修記録'!$A$5:$A$1004,$A130,'資格研修記録'!$D$5:$D$1004,H$4,'資格研修記録'!$F$5:$F$1004,"&gt;="&amp;TODAY())&gt;0,"○","× 期限切れ"))))</f>
        <v/>
      </c>
      <c r="I130" s="15">
        <f>IF(OR($A130="",I$4=""),"",IF(AND(I$4="小型船舶2級",(COUNTIFS('資格研修記録'!$A$5:$A$1004,$A130,'資格研修記録'!$D$5:$D$1004,"小型船舶1級",'資格研修記録'!$F$5:$F$1004,"")+COUNTIFS('資格研修記録'!$A$5:$A$1004,$A130,'資格研修記録'!$D$5:$D$1004,"小型船舶1級",'資格研修記録'!$F$5:$F$1004,"&gt;="&amp;TODAY()))&gt;0),"1級に含む",IF(COUNTIFS('資格研修記録'!$A$5:$A$1004,$A130,'資格研修記録'!$D$5:$D$1004,I$4)=0,"—",IF(COUNTIFS('資格研修記録'!$A$5:$A$1004,$A130,'資格研修記録'!$D$5:$D$1004,I$4,'資格研修記録'!$F$5:$F$1004,"")+COUNTIFS('資格研修記録'!$A$5:$A$1004,$A130,'資格研修記録'!$D$5:$D$1004,I$4,'資格研修記録'!$F$5:$F$1004,"&gt;="&amp;TODAY())&gt;0,"○","× 期限切れ"))))</f>
        <v/>
      </c>
      <c r="J130" s="15">
        <f>IF(OR($A130="",J$4=""),"",IF(AND(J$4="小型船舶2級",(COUNTIFS('資格研修記録'!$A$5:$A$1004,$A130,'資格研修記録'!$D$5:$D$1004,"小型船舶1級",'資格研修記録'!$F$5:$F$1004,"")+COUNTIFS('資格研修記録'!$A$5:$A$1004,$A130,'資格研修記録'!$D$5:$D$1004,"小型船舶1級",'資格研修記録'!$F$5:$F$1004,"&gt;="&amp;TODAY()))&gt;0),"1級に含む",IF(COUNTIFS('資格研修記録'!$A$5:$A$1004,$A130,'資格研修記録'!$D$5:$D$1004,J$4)=0,"—",IF(COUNTIFS('資格研修記録'!$A$5:$A$1004,$A130,'資格研修記録'!$D$5:$D$1004,J$4,'資格研修記録'!$F$5:$F$1004,"")+COUNTIFS('資格研修記録'!$A$5:$A$1004,$A130,'資格研修記録'!$D$5:$D$1004,J$4,'資格研修記録'!$F$5:$F$1004,"&gt;="&amp;TODAY())&gt;0,"○","× 期限切れ"))))</f>
        <v/>
      </c>
      <c r="K130" s="15">
        <f>IF(OR($A130="",K$4=""),"",IF(AND(K$4="小型船舶2級",(COUNTIFS('資格研修記録'!$A$5:$A$1004,$A130,'資格研修記録'!$D$5:$D$1004,"小型船舶1級",'資格研修記録'!$F$5:$F$1004,"")+COUNTIFS('資格研修記録'!$A$5:$A$1004,$A130,'資格研修記録'!$D$5:$D$1004,"小型船舶1級",'資格研修記録'!$F$5:$F$1004,"&gt;="&amp;TODAY()))&gt;0),"1級に含む",IF(COUNTIFS('資格研修記録'!$A$5:$A$1004,$A130,'資格研修記録'!$D$5:$D$1004,K$4)=0,"—",IF(COUNTIFS('資格研修記録'!$A$5:$A$1004,$A130,'資格研修記録'!$D$5:$D$1004,K$4,'資格研修記録'!$F$5:$F$1004,"")+COUNTIFS('資格研修記録'!$A$5:$A$1004,$A130,'資格研修記録'!$D$5:$D$1004,K$4,'資格研修記録'!$F$5:$F$1004,"&gt;="&amp;TODAY())&gt;0,"○","× 期限切れ"))))</f>
        <v/>
      </c>
      <c r="L130" s="15">
        <f>IF(OR($A130="",L$4=""),"",IF(AND(L$4="小型船舶2級",(COUNTIFS('資格研修記録'!$A$5:$A$1004,$A130,'資格研修記録'!$D$5:$D$1004,"小型船舶1級",'資格研修記録'!$F$5:$F$1004,"")+COUNTIFS('資格研修記録'!$A$5:$A$1004,$A130,'資格研修記録'!$D$5:$D$1004,"小型船舶1級",'資格研修記録'!$F$5:$F$1004,"&gt;="&amp;TODAY()))&gt;0),"1級に含む",IF(COUNTIFS('資格研修記録'!$A$5:$A$1004,$A130,'資格研修記録'!$D$5:$D$1004,L$4)=0,"—",IF(COUNTIFS('資格研修記録'!$A$5:$A$1004,$A130,'資格研修記録'!$D$5:$D$1004,L$4,'資格研修記録'!$F$5:$F$1004,"")+COUNTIFS('資格研修記録'!$A$5:$A$1004,$A130,'資格研修記録'!$D$5:$D$1004,L$4,'資格研修記録'!$F$5:$F$1004,"&gt;="&amp;TODAY())&gt;0,"○","× 期限切れ"))))</f>
        <v/>
      </c>
    </row>
    <row r="131">
      <c r="A131" s="14">
        <f>IF('隊員マスタ'!A131="","",'隊員マスタ'!A131)</f>
        <v/>
      </c>
      <c r="B131" s="14">
        <f>IF(A131="","",'隊員マスタ'!B131)</f>
        <v/>
      </c>
      <c r="C131" s="14">
        <f>IF(A131="","",'隊員マスタ'!C131)</f>
        <v/>
      </c>
      <c r="D131" s="15">
        <f>IF(A131="","",'隊員マスタ'!D131)</f>
        <v/>
      </c>
      <c r="E131" s="15">
        <f>IF(OR($A131="",E$4=""),"",IF(AND(E$4="小型船舶2級",(COUNTIFS('資格研修記録'!$A$5:$A$1004,$A131,'資格研修記録'!$D$5:$D$1004,"小型船舶1級",'資格研修記録'!$F$5:$F$1004,"")+COUNTIFS('資格研修記録'!$A$5:$A$1004,$A131,'資格研修記録'!$D$5:$D$1004,"小型船舶1級",'資格研修記録'!$F$5:$F$1004,"&gt;="&amp;TODAY()))&gt;0),"1級に含む",IF(COUNTIFS('資格研修記録'!$A$5:$A$1004,$A131,'資格研修記録'!$D$5:$D$1004,E$4)=0,"—",IF(COUNTIFS('資格研修記録'!$A$5:$A$1004,$A131,'資格研修記録'!$D$5:$D$1004,E$4,'資格研修記録'!$F$5:$F$1004,"")+COUNTIFS('資格研修記録'!$A$5:$A$1004,$A131,'資格研修記録'!$D$5:$D$1004,E$4,'資格研修記録'!$F$5:$F$1004,"&gt;="&amp;TODAY())&gt;0,"○","× 期限切れ"))))</f>
        <v/>
      </c>
      <c r="F131" s="15">
        <f>IF(OR($A131="",F$4=""),"",IF(AND(F$4="小型船舶2級",(COUNTIFS('資格研修記録'!$A$5:$A$1004,$A131,'資格研修記録'!$D$5:$D$1004,"小型船舶1級",'資格研修記録'!$F$5:$F$1004,"")+COUNTIFS('資格研修記録'!$A$5:$A$1004,$A131,'資格研修記録'!$D$5:$D$1004,"小型船舶1級",'資格研修記録'!$F$5:$F$1004,"&gt;="&amp;TODAY()))&gt;0),"1級に含む",IF(COUNTIFS('資格研修記録'!$A$5:$A$1004,$A131,'資格研修記録'!$D$5:$D$1004,F$4)=0,"—",IF(COUNTIFS('資格研修記録'!$A$5:$A$1004,$A131,'資格研修記録'!$D$5:$D$1004,F$4,'資格研修記録'!$F$5:$F$1004,"")+COUNTIFS('資格研修記録'!$A$5:$A$1004,$A131,'資格研修記録'!$D$5:$D$1004,F$4,'資格研修記録'!$F$5:$F$1004,"&gt;="&amp;TODAY())&gt;0,"○","× 期限切れ"))))</f>
        <v/>
      </c>
      <c r="G131" s="15">
        <f>IF(OR($A131="",G$4=""),"",IF(AND(G$4="小型船舶2級",(COUNTIFS('資格研修記録'!$A$5:$A$1004,$A131,'資格研修記録'!$D$5:$D$1004,"小型船舶1級",'資格研修記録'!$F$5:$F$1004,"")+COUNTIFS('資格研修記録'!$A$5:$A$1004,$A131,'資格研修記録'!$D$5:$D$1004,"小型船舶1級",'資格研修記録'!$F$5:$F$1004,"&gt;="&amp;TODAY()))&gt;0),"1級に含む",IF(COUNTIFS('資格研修記録'!$A$5:$A$1004,$A131,'資格研修記録'!$D$5:$D$1004,G$4)=0,"—",IF(COUNTIFS('資格研修記録'!$A$5:$A$1004,$A131,'資格研修記録'!$D$5:$D$1004,G$4,'資格研修記録'!$F$5:$F$1004,"")+COUNTIFS('資格研修記録'!$A$5:$A$1004,$A131,'資格研修記録'!$D$5:$D$1004,G$4,'資格研修記録'!$F$5:$F$1004,"&gt;="&amp;TODAY())&gt;0,"○","× 期限切れ"))))</f>
        <v/>
      </c>
      <c r="H131" s="15">
        <f>IF(OR($A131="",H$4=""),"",IF(AND(H$4="小型船舶2級",(COUNTIFS('資格研修記録'!$A$5:$A$1004,$A131,'資格研修記録'!$D$5:$D$1004,"小型船舶1級",'資格研修記録'!$F$5:$F$1004,"")+COUNTIFS('資格研修記録'!$A$5:$A$1004,$A131,'資格研修記録'!$D$5:$D$1004,"小型船舶1級",'資格研修記録'!$F$5:$F$1004,"&gt;="&amp;TODAY()))&gt;0),"1級に含む",IF(COUNTIFS('資格研修記録'!$A$5:$A$1004,$A131,'資格研修記録'!$D$5:$D$1004,H$4)=0,"—",IF(COUNTIFS('資格研修記録'!$A$5:$A$1004,$A131,'資格研修記録'!$D$5:$D$1004,H$4,'資格研修記録'!$F$5:$F$1004,"")+COUNTIFS('資格研修記録'!$A$5:$A$1004,$A131,'資格研修記録'!$D$5:$D$1004,H$4,'資格研修記録'!$F$5:$F$1004,"&gt;="&amp;TODAY())&gt;0,"○","× 期限切れ"))))</f>
        <v/>
      </c>
      <c r="I131" s="15">
        <f>IF(OR($A131="",I$4=""),"",IF(AND(I$4="小型船舶2級",(COUNTIFS('資格研修記録'!$A$5:$A$1004,$A131,'資格研修記録'!$D$5:$D$1004,"小型船舶1級",'資格研修記録'!$F$5:$F$1004,"")+COUNTIFS('資格研修記録'!$A$5:$A$1004,$A131,'資格研修記録'!$D$5:$D$1004,"小型船舶1級",'資格研修記録'!$F$5:$F$1004,"&gt;="&amp;TODAY()))&gt;0),"1級に含む",IF(COUNTIFS('資格研修記録'!$A$5:$A$1004,$A131,'資格研修記録'!$D$5:$D$1004,I$4)=0,"—",IF(COUNTIFS('資格研修記録'!$A$5:$A$1004,$A131,'資格研修記録'!$D$5:$D$1004,I$4,'資格研修記録'!$F$5:$F$1004,"")+COUNTIFS('資格研修記録'!$A$5:$A$1004,$A131,'資格研修記録'!$D$5:$D$1004,I$4,'資格研修記録'!$F$5:$F$1004,"&gt;="&amp;TODAY())&gt;0,"○","× 期限切れ"))))</f>
        <v/>
      </c>
      <c r="J131" s="15">
        <f>IF(OR($A131="",J$4=""),"",IF(AND(J$4="小型船舶2級",(COUNTIFS('資格研修記録'!$A$5:$A$1004,$A131,'資格研修記録'!$D$5:$D$1004,"小型船舶1級",'資格研修記録'!$F$5:$F$1004,"")+COUNTIFS('資格研修記録'!$A$5:$A$1004,$A131,'資格研修記録'!$D$5:$D$1004,"小型船舶1級",'資格研修記録'!$F$5:$F$1004,"&gt;="&amp;TODAY()))&gt;0),"1級に含む",IF(COUNTIFS('資格研修記録'!$A$5:$A$1004,$A131,'資格研修記録'!$D$5:$D$1004,J$4)=0,"—",IF(COUNTIFS('資格研修記録'!$A$5:$A$1004,$A131,'資格研修記録'!$D$5:$D$1004,J$4,'資格研修記録'!$F$5:$F$1004,"")+COUNTIFS('資格研修記録'!$A$5:$A$1004,$A131,'資格研修記録'!$D$5:$D$1004,J$4,'資格研修記録'!$F$5:$F$1004,"&gt;="&amp;TODAY())&gt;0,"○","× 期限切れ"))))</f>
        <v/>
      </c>
      <c r="K131" s="15">
        <f>IF(OR($A131="",K$4=""),"",IF(AND(K$4="小型船舶2級",(COUNTIFS('資格研修記録'!$A$5:$A$1004,$A131,'資格研修記録'!$D$5:$D$1004,"小型船舶1級",'資格研修記録'!$F$5:$F$1004,"")+COUNTIFS('資格研修記録'!$A$5:$A$1004,$A131,'資格研修記録'!$D$5:$D$1004,"小型船舶1級",'資格研修記録'!$F$5:$F$1004,"&gt;="&amp;TODAY()))&gt;0),"1級に含む",IF(COUNTIFS('資格研修記録'!$A$5:$A$1004,$A131,'資格研修記録'!$D$5:$D$1004,K$4)=0,"—",IF(COUNTIFS('資格研修記録'!$A$5:$A$1004,$A131,'資格研修記録'!$D$5:$D$1004,K$4,'資格研修記録'!$F$5:$F$1004,"")+COUNTIFS('資格研修記録'!$A$5:$A$1004,$A131,'資格研修記録'!$D$5:$D$1004,K$4,'資格研修記録'!$F$5:$F$1004,"&gt;="&amp;TODAY())&gt;0,"○","× 期限切れ"))))</f>
        <v/>
      </c>
      <c r="L131" s="15">
        <f>IF(OR($A131="",L$4=""),"",IF(AND(L$4="小型船舶2級",(COUNTIFS('資格研修記録'!$A$5:$A$1004,$A131,'資格研修記録'!$D$5:$D$1004,"小型船舶1級",'資格研修記録'!$F$5:$F$1004,"")+COUNTIFS('資格研修記録'!$A$5:$A$1004,$A131,'資格研修記録'!$D$5:$D$1004,"小型船舶1級",'資格研修記録'!$F$5:$F$1004,"&gt;="&amp;TODAY()))&gt;0),"1級に含む",IF(COUNTIFS('資格研修記録'!$A$5:$A$1004,$A131,'資格研修記録'!$D$5:$D$1004,L$4)=0,"—",IF(COUNTIFS('資格研修記録'!$A$5:$A$1004,$A131,'資格研修記録'!$D$5:$D$1004,L$4,'資格研修記録'!$F$5:$F$1004,"")+COUNTIFS('資格研修記録'!$A$5:$A$1004,$A131,'資格研修記録'!$D$5:$D$1004,L$4,'資格研修記録'!$F$5:$F$1004,"&gt;="&amp;TODAY())&gt;0,"○","× 期限切れ"))))</f>
        <v/>
      </c>
    </row>
    <row r="132">
      <c r="A132" s="14">
        <f>IF('隊員マスタ'!A132="","",'隊員マスタ'!A132)</f>
        <v/>
      </c>
      <c r="B132" s="14">
        <f>IF(A132="","",'隊員マスタ'!B132)</f>
        <v/>
      </c>
      <c r="C132" s="14">
        <f>IF(A132="","",'隊員マスタ'!C132)</f>
        <v/>
      </c>
      <c r="D132" s="15">
        <f>IF(A132="","",'隊員マスタ'!D132)</f>
        <v/>
      </c>
      <c r="E132" s="15">
        <f>IF(OR($A132="",E$4=""),"",IF(AND(E$4="小型船舶2級",(COUNTIFS('資格研修記録'!$A$5:$A$1004,$A132,'資格研修記録'!$D$5:$D$1004,"小型船舶1級",'資格研修記録'!$F$5:$F$1004,"")+COUNTIFS('資格研修記録'!$A$5:$A$1004,$A132,'資格研修記録'!$D$5:$D$1004,"小型船舶1級",'資格研修記録'!$F$5:$F$1004,"&gt;="&amp;TODAY()))&gt;0),"1級に含む",IF(COUNTIFS('資格研修記録'!$A$5:$A$1004,$A132,'資格研修記録'!$D$5:$D$1004,E$4)=0,"—",IF(COUNTIFS('資格研修記録'!$A$5:$A$1004,$A132,'資格研修記録'!$D$5:$D$1004,E$4,'資格研修記録'!$F$5:$F$1004,"")+COUNTIFS('資格研修記録'!$A$5:$A$1004,$A132,'資格研修記録'!$D$5:$D$1004,E$4,'資格研修記録'!$F$5:$F$1004,"&gt;="&amp;TODAY())&gt;0,"○","× 期限切れ"))))</f>
        <v/>
      </c>
      <c r="F132" s="15">
        <f>IF(OR($A132="",F$4=""),"",IF(AND(F$4="小型船舶2級",(COUNTIFS('資格研修記録'!$A$5:$A$1004,$A132,'資格研修記録'!$D$5:$D$1004,"小型船舶1級",'資格研修記録'!$F$5:$F$1004,"")+COUNTIFS('資格研修記録'!$A$5:$A$1004,$A132,'資格研修記録'!$D$5:$D$1004,"小型船舶1級",'資格研修記録'!$F$5:$F$1004,"&gt;="&amp;TODAY()))&gt;0),"1級に含む",IF(COUNTIFS('資格研修記録'!$A$5:$A$1004,$A132,'資格研修記録'!$D$5:$D$1004,F$4)=0,"—",IF(COUNTIFS('資格研修記録'!$A$5:$A$1004,$A132,'資格研修記録'!$D$5:$D$1004,F$4,'資格研修記録'!$F$5:$F$1004,"")+COUNTIFS('資格研修記録'!$A$5:$A$1004,$A132,'資格研修記録'!$D$5:$D$1004,F$4,'資格研修記録'!$F$5:$F$1004,"&gt;="&amp;TODAY())&gt;0,"○","× 期限切れ"))))</f>
        <v/>
      </c>
      <c r="G132" s="15">
        <f>IF(OR($A132="",G$4=""),"",IF(AND(G$4="小型船舶2級",(COUNTIFS('資格研修記録'!$A$5:$A$1004,$A132,'資格研修記録'!$D$5:$D$1004,"小型船舶1級",'資格研修記録'!$F$5:$F$1004,"")+COUNTIFS('資格研修記録'!$A$5:$A$1004,$A132,'資格研修記録'!$D$5:$D$1004,"小型船舶1級",'資格研修記録'!$F$5:$F$1004,"&gt;="&amp;TODAY()))&gt;0),"1級に含む",IF(COUNTIFS('資格研修記録'!$A$5:$A$1004,$A132,'資格研修記録'!$D$5:$D$1004,G$4)=0,"—",IF(COUNTIFS('資格研修記録'!$A$5:$A$1004,$A132,'資格研修記録'!$D$5:$D$1004,G$4,'資格研修記録'!$F$5:$F$1004,"")+COUNTIFS('資格研修記録'!$A$5:$A$1004,$A132,'資格研修記録'!$D$5:$D$1004,G$4,'資格研修記録'!$F$5:$F$1004,"&gt;="&amp;TODAY())&gt;0,"○","× 期限切れ"))))</f>
        <v/>
      </c>
      <c r="H132" s="15">
        <f>IF(OR($A132="",H$4=""),"",IF(AND(H$4="小型船舶2級",(COUNTIFS('資格研修記録'!$A$5:$A$1004,$A132,'資格研修記録'!$D$5:$D$1004,"小型船舶1級",'資格研修記録'!$F$5:$F$1004,"")+COUNTIFS('資格研修記録'!$A$5:$A$1004,$A132,'資格研修記録'!$D$5:$D$1004,"小型船舶1級",'資格研修記録'!$F$5:$F$1004,"&gt;="&amp;TODAY()))&gt;0),"1級に含む",IF(COUNTIFS('資格研修記録'!$A$5:$A$1004,$A132,'資格研修記録'!$D$5:$D$1004,H$4)=0,"—",IF(COUNTIFS('資格研修記録'!$A$5:$A$1004,$A132,'資格研修記録'!$D$5:$D$1004,H$4,'資格研修記録'!$F$5:$F$1004,"")+COUNTIFS('資格研修記録'!$A$5:$A$1004,$A132,'資格研修記録'!$D$5:$D$1004,H$4,'資格研修記録'!$F$5:$F$1004,"&gt;="&amp;TODAY())&gt;0,"○","× 期限切れ"))))</f>
        <v/>
      </c>
      <c r="I132" s="15">
        <f>IF(OR($A132="",I$4=""),"",IF(AND(I$4="小型船舶2級",(COUNTIFS('資格研修記録'!$A$5:$A$1004,$A132,'資格研修記録'!$D$5:$D$1004,"小型船舶1級",'資格研修記録'!$F$5:$F$1004,"")+COUNTIFS('資格研修記録'!$A$5:$A$1004,$A132,'資格研修記録'!$D$5:$D$1004,"小型船舶1級",'資格研修記録'!$F$5:$F$1004,"&gt;="&amp;TODAY()))&gt;0),"1級に含む",IF(COUNTIFS('資格研修記録'!$A$5:$A$1004,$A132,'資格研修記録'!$D$5:$D$1004,I$4)=0,"—",IF(COUNTIFS('資格研修記録'!$A$5:$A$1004,$A132,'資格研修記録'!$D$5:$D$1004,I$4,'資格研修記録'!$F$5:$F$1004,"")+COUNTIFS('資格研修記録'!$A$5:$A$1004,$A132,'資格研修記録'!$D$5:$D$1004,I$4,'資格研修記録'!$F$5:$F$1004,"&gt;="&amp;TODAY())&gt;0,"○","× 期限切れ"))))</f>
        <v/>
      </c>
      <c r="J132" s="15">
        <f>IF(OR($A132="",J$4=""),"",IF(AND(J$4="小型船舶2級",(COUNTIFS('資格研修記録'!$A$5:$A$1004,$A132,'資格研修記録'!$D$5:$D$1004,"小型船舶1級",'資格研修記録'!$F$5:$F$1004,"")+COUNTIFS('資格研修記録'!$A$5:$A$1004,$A132,'資格研修記録'!$D$5:$D$1004,"小型船舶1級",'資格研修記録'!$F$5:$F$1004,"&gt;="&amp;TODAY()))&gt;0),"1級に含む",IF(COUNTIFS('資格研修記録'!$A$5:$A$1004,$A132,'資格研修記録'!$D$5:$D$1004,J$4)=0,"—",IF(COUNTIFS('資格研修記録'!$A$5:$A$1004,$A132,'資格研修記録'!$D$5:$D$1004,J$4,'資格研修記録'!$F$5:$F$1004,"")+COUNTIFS('資格研修記録'!$A$5:$A$1004,$A132,'資格研修記録'!$D$5:$D$1004,J$4,'資格研修記録'!$F$5:$F$1004,"&gt;="&amp;TODAY())&gt;0,"○","× 期限切れ"))))</f>
        <v/>
      </c>
      <c r="K132" s="15">
        <f>IF(OR($A132="",K$4=""),"",IF(AND(K$4="小型船舶2級",(COUNTIFS('資格研修記録'!$A$5:$A$1004,$A132,'資格研修記録'!$D$5:$D$1004,"小型船舶1級",'資格研修記録'!$F$5:$F$1004,"")+COUNTIFS('資格研修記録'!$A$5:$A$1004,$A132,'資格研修記録'!$D$5:$D$1004,"小型船舶1級",'資格研修記録'!$F$5:$F$1004,"&gt;="&amp;TODAY()))&gt;0),"1級に含む",IF(COUNTIFS('資格研修記録'!$A$5:$A$1004,$A132,'資格研修記録'!$D$5:$D$1004,K$4)=0,"—",IF(COUNTIFS('資格研修記録'!$A$5:$A$1004,$A132,'資格研修記録'!$D$5:$D$1004,K$4,'資格研修記録'!$F$5:$F$1004,"")+COUNTIFS('資格研修記録'!$A$5:$A$1004,$A132,'資格研修記録'!$D$5:$D$1004,K$4,'資格研修記録'!$F$5:$F$1004,"&gt;="&amp;TODAY())&gt;0,"○","× 期限切れ"))))</f>
        <v/>
      </c>
      <c r="L132" s="15">
        <f>IF(OR($A132="",L$4=""),"",IF(AND(L$4="小型船舶2級",(COUNTIFS('資格研修記録'!$A$5:$A$1004,$A132,'資格研修記録'!$D$5:$D$1004,"小型船舶1級",'資格研修記録'!$F$5:$F$1004,"")+COUNTIFS('資格研修記録'!$A$5:$A$1004,$A132,'資格研修記録'!$D$5:$D$1004,"小型船舶1級",'資格研修記録'!$F$5:$F$1004,"&gt;="&amp;TODAY()))&gt;0),"1級に含む",IF(COUNTIFS('資格研修記録'!$A$5:$A$1004,$A132,'資格研修記録'!$D$5:$D$1004,L$4)=0,"—",IF(COUNTIFS('資格研修記録'!$A$5:$A$1004,$A132,'資格研修記録'!$D$5:$D$1004,L$4,'資格研修記録'!$F$5:$F$1004,"")+COUNTIFS('資格研修記録'!$A$5:$A$1004,$A132,'資格研修記録'!$D$5:$D$1004,L$4,'資格研修記録'!$F$5:$F$1004,"&gt;="&amp;TODAY())&gt;0,"○","× 期限切れ"))))</f>
        <v/>
      </c>
    </row>
    <row r="133">
      <c r="A133" s="14">
        <f>IF('隊員マスタ'!A133="","",'隊員マスタ'!A133)</f>
        <v/>
      </c>
      <c r="B133" s="14">
        <f>IF(A133="","",'隊員マスタ'!B133)</f>
        <v/>
      </c>
      <c r="C133" s="14">
        <f>IF(A133="","",'隊員マスタ'!C133)</f>
        <v/>
      </c>
      <c r="D133" s="15">
        <f>IF(A133="","",'隊員マスタ'!D133)</f>
        <v/>
      </c>
      <c r="E133" s="15">
        <f>IF(OR($A133="",E$4=""),"",IF(AND(E$4="小型船舶2級",(COUNTIFS('資格研修記録'!$A$5:$A$1004,$A133,'資格研修記録'!$D$5:$D$1004,"小型船舶1級",'資格研修記録'!$F$5:$F$1004,"")+COUNTIFS('資格研修記録'!$A$5:$A$1004,$A133,'資格研修記録'!$D$5:$D$1004,"小型船舶1級",'資格研修記録'!$F$5:$F$1004,"&gt;="&amp;TODAY()))&gt;0),"1級に含む",IF(COUNTIFS('資格研修記録'!$A$5:$A$1004,$A133,'資格研修記録'!$D$5:$D$1004,E$4)=0,"—",IF(COUNTIFS('資格研修記録'!$A$5:$A$1004,$A133,'資格研修記録'!$D$5:$D$1004,E$4,'資格研修記録'!$F$5:$F$1004,"")+COUNTIFS('資格研修記録'!$A$5:$A$1004,$A133,'資格研修記録'!$D$5:$D$1004,E$4,'資格研修記録'!$F$5:$F$1004,"&gt;="&amp;TODAY())&gt;0,"○","× 期限切れ"))))</f>
        <v/>
      </c>
      <c r="F133" s="15">
        <f>IF(OR($A133="",F$4=""),"",IF(AND(F$4="小型船舶2級",(COUNTIFS('資格研修記録'!$A$5:$A$1004,$A133,'資格研修記録'!$D$5:$D$1004,"小型船舶1級",'資格研修記録'!$F$5:$F$1004,"")+COUNTIFS('資格研修記録'!$A$5:$A$1004,$A133,'資格研修記録'!$D$5:$D$1004,"小型船舶1級",'資格研修記録'!$F$5:$F$1004,"&gt;="&amp;TODAY()))&gt;0),"1級に含む",IF(COUNTIFS('資格研修記録'!$A$5:$A$1004,$A133,'資格研修記録'!$D$5:$D$1004,F$4)=0,"—",IF(COUNTIFS('資格研修記録'!$A$5:$A$1004,$A133,'資格研修記録'!$D$5:$D$1004,F$4,'資格研修記録'!$F$5:$F$1004,"")+COUNTIFS('資格研修記録'!$A$5:$A$1004,$A133,'資格研修記録'!$D$5:$D$1004,F$4,'資格研修記録'!$F$5:$F$1004,"&gt;="&amp;TODAY())&gt;0,"○","× 期限切れ"))))</f>
        <v/>
      </c>
      <c r="G133" s="15">
        <f>IF(OR($A133="",G$4=""),"",IF(AND(G$4="小型船舶2級",(COUNTIFS('資格研修記録'!$A$5:$A$1004,$A133,'資格研修記録'!$D$5:$D$1004,"小型船舶1級",'資格研修記録'!$F$5:$F$1004,"")+COUNTIFS('資格研修記録'!$A$5:$A$1004,$A133,'資格研修記録'!$D$5:$D$1004,"小型船舶1級",'資格研修記録'!$F$5:$F$1004,"&gt;="&amp;TODAY()))&gt;0),"1級に含む",IF(COUNTIFS('資格研修記録'!$A$5:$A$1004,$A133,'資格研修記録'!$D$5:$D$1004,G$4)=0,"—",IF(COUNTIFS('資格研修記録'!$A$5:$A$1004,$A133,'資格研修記録'!$D$5:$D$1004,G$4,'資格研修記録'!$F$5:$F$1004,"")+COUNTIFS('資格研修記録'!$A$5:$A$1004,$A133,'資格研修記録'!$D$5:$D$1004,G$4,'資格研修記録'!$F$5:$F$1004,"&gt;="&amp;TODAY())&gt;0,"○","× 期限切れ"))))</f>
        <v/>
      </c>
      <c r="H133" s="15">
        <f>IF(OR($A133="",H$4=""),"",IF(AND(H$4="小型船舶2級",(COUNTIFS('資格研修記録'!$A$5:$A$1004,$A133,'資格研修記録'!$D$5:$D$1004,"小型船舶1級",'資格研修記録'!$F$5:$F$1004,"")+COUNTIFS('資格研修記録'!$A$5:$A$1004,$A133,'資格研修記録'!$D$5:$D$1004,"小型船舶1級",'資格研修記録'!$F$5:$F$1004,"&gt;="&amp;TODAY()))&gt;0),"1級に含む",IF(COUNTIFS('資格研修記録'!$A$5:$A$1004,$A133,'資格研修記録'!$D$5:$D$1004,H$4)=0,"—",IF(COUNTIFS('資格研修記録'!$A$5:$A$1004,$A133,'資格研修記録'!$D$5:$D$1004,H$4,'資格研修記録'!$F$5:$F$1004,"")+COUNTIFS('資格研修記録'!$A$5:$A$1004,$A133,'資格研修記録'!$D$5:$D$1004,H$4,'資格研修記録'!$F$5:$F$1004,"&gt;="&amp;TODAY())&gt;0,"○","× 期限切れ"))))</f>
        <v/>
      </c>
      <c r="I133" s="15">
        <f>IF(OR($A133="",I$4=""),"",IF(AND(I$4="小型船舶2級",(COUNTIFS('資格研修記録'!$A$5:$A$1004,$A133,'資格研修記録'!$D$5:$D$1004,"小型船舶1級",'資格研修記録'!$F$5:$F$1004,"")+COUNTIFS('資格研修記録'!$A$5:$A$1004,$A133,'資格研修記録'!$D$5:$D$1004,"小型船舶1級",'資格研修記録'!$F$5:$F$1004,"&gt;="&amp;TODAY()))&gt;0),"1級に含む",IF(COUNTIFS('資格研修記録'!$A$5:$A$1004,$A133,'資格研修記録'!$D$5:$D$1004,I$4)=0,"—",IF(COUNTIFS('資格研修記録'!$A$5:$A$1004,$A133,'資格研修記録'!$D$5:$D$1004,I$4,'資格研修記録'!$F$5:$F$1004,"")+COUNTIFS('資格研修記録'!$A$5:$A$1004,$A133,'資格研修記録'!$D$5:$D$1004,I$4,'資格研修記録'!$F$5:$F$1004,"&gt;="&amp;TODAY())&gt;0,"○","× 期限切れ"))))</f>
        <v/>
      </c>
      <c r="J133" s="15">
        <f>IF(OR($A133="",J$4=""),"",IF(AND(J$4="小型船舶2級",(COUNTIFS('資格研修記録'!$A$5:$A$1004,$A133,'資格研修記録'!$D$5:$D$1004,"小型船舶1級",'資格研修記録'!$F$5:$F$1004,"")+COUNTIFS('資格研修記録'!$A$5:$A$1004,$A133,'資格研修記録'!$D$5:$D$1004,"小型船舶1級",'資格研修記録'!$F$5:$F$1004,"&gt;="&amp;TODAY()))&gt;0),"1級に含む",IF(COUNTIFS('資格研修記録'!$A$5:$A$1004,$A133,'資格研修記録'!$D$5:$D$1004,J$4)=0,"—",IF(COUNTIFS('資格研修記録'!$A$5:$A$1004,$A133,'資格研修記録'!$D$5:$D$1004,J$4,'資格研修記録'!$F$5:$F$1004,"")+COUNTIFS('資格研修記録'!$A$5:$A$1004,$A133,'資格研修記録'!$D$5:$D$1004,J$4,'資格研修記録'!$F$5:$F$1004,"&gt;="&amp;TODAY())&gt;0,"○","× 期限切れ"))))</f>
        <v/>
      </c>
      <c r="K133" s="15">
        <f>IF(OR($A133="",K$4=""),"",IF(AND(K$4="小型船舶2級",(COUNTIFS('資格研修記録'!$A$5:$A$1004,$A133,'資格研修記録'!$D$5:$D$1004,"小型船舶1級",'資格研修記録'!$F$5:$F$1004,"")+COUNTIFS('資格研修記録'!$A$5:$A$1004,$A133,'資格研修記録'!$D$5:$D$1004,"小型船舶1級",'資格研修記録'!$F$5:$F$1004,"&gt;="&amp;TODAY()))&gt;0),"1級に含む",IF(COUNTIFS('資格研修記録'!$A$5:$A$1004,$A133,'資格研修記録'!$D$5:$D$1004,K$4)=0,"—",IF(COUNTIFS('資格研修記録'!$A$5:$A$1004,$A133,'資格研修記録'!$D$5:$D$1004,K$4,'資格研修記録'!$F$5:$F$1004,"")+COUNTIFS('資格研修記録'!$A$5:$A$1004,$A133,'資格研修記録'!$D$5:$D$1004,K$4,'資格研修記録'!$F$5:$F$1004,"&gt;="&amp;TODAY())&gt;0,"○","× 期限切れ"))))</f>
        <v/>
      </c>
      <c r="L133" s="15">
        <f>IF(OR($A133="",L$4=""),"",IF(AND(L$4="小型船舶2級",(COUNTIFS('資格研修記録'!$A$5:$A$1004,$A133,'資格研修記録'!$D$5:$D$1004,"小型船舶1級",'資格研修記録'!$F$5:$F$1004,"")+COUNTIFS('資格研修記録'!$A$5:$A$1004,$A133,'資格研修記録'!$D$5:$D$1004,"小型船舶1級",'資格研修記録'!$F$5:$F$1004,"&gt;="&amp;TODAY()))&gt;0),"1級に含む",IF(COUNTIFS('資格研修記録'!$A$5:$A$1004,$A133,'資格研修記録'!$D$5:$D$1004,L$4)=0,"—",IF(COUNTIFS('資格研修記録'!$A$5:$A$1004,$A133,'資格研修記録'!$D$5:$D$1004,L$4,'資格研修記録'!$F$5:$F$1004,"")+COUNTIFS('資格研修記録'!$A$5:$A$1004,$A133,'資格研修記録'!$D$5:$D$1004,L$4,'資格研修記録'!$F$5:$F$1004,"&gt;="&amp;TODAY())&gt;0,"○","× 期限切れ"))))</f>
        <v/>
      </c>
    </row>
    <row r="134">
      <c r="A134" s="14">
        <f>IF('隊員マスタ'!A134="","",'隊員マスタ'!A134)</f>
        <v/>
      </c>
      <c r="B134" s="14">
        <f>IF(A134="","",'隊員マスタ'!B134)</f>
        <v/>
      </c>
      <c r="C134" s="14">
        <f>IF(A134="","",'隊員マスタ'!C134)</f>
        <v/>
      </c>
      <c r="D134" s="15">
        <f>IF(A134="","",'隊員マスタ'!D134)</f>
        <v/>
      </c>
      <c r="E134" s="15">
        <f>IF(OR($A134="",E$4=""),"",IF(AND(E$4="小型船舶2級",(COUNTIFS('資格研修記録'!$A$5:$A$1004,$A134,'資格研修記録'!$D$5:$D$1004,"小型船舶1級",'資格研修記録'!$F$5:$F$1004,"")+COUNTIFS('資格研修記録'!$A$5:$A$1004,$A134,'資格研修記録'!$D$5:$D$1004,"小型船舶1級",'資格研修記録'!$F$5:$F$1004,"&gt;="&amp;TODAY()))&gt;0),"1級に含む",IF(COUNTIFS('資格研修記録'!$A$5:$A$1004,$A134,'資格研修記録'!$D$5:$D$1004,E$4)=0,"—",IF(COUNTIFS('資格研修記録'!$A$5:$A$1004,$A134,'資格研修記録'!$D$5:$D$1004,E$4,'資格研修記録'!$F$5:$F$1004,"")+COUNTIFS('資格研修記録'!$A$5:$A$1004,$A134,'資格研修記録'!$D$5:$D$1004,E$4,'資格研修記録'!$F$5:$F$1004,"&gt;="&amp;TODAY())&gt;0,"○","× 期限切れ"))))</f>
        <v/>
      </c>
      <c r="F134" s="15">
        <f>IF(OR($A134="",F$4=""),"",IF(AND(F$4="小型船舶2級",(COUNTIFS('資格研修記録'!$A$5:$A$1004,$A134,'資格研修記録'!$D$5:$D$1004,"小型船舶1級",'資格研修記録'!$F$5:$F$1004,"")+COUNTIFS('資格研修記録'!$A$5:$A$1004,$A134,'資格研修記録'!$D$5:$D$1004,"小型船舶1級",'資格研修記録'!$F$5:$F$1004,"&gt;="&amp;TODAY()))&gt;0),"1級に含む",IF(COUNTIFS('資格研修記録'!$A$5:$A$1004,$A134,'資格研修記録'!$D$5:$D$1004,F$4)=0,"—",IF(COUNTIFS('資格研修記録'!$A$5:$A$1004,$A134,'資格研修記録'!$D$5:$D$1004,F$4,'資格研修記録'!$F$5:$F$1004,"")+COUNTIFS('資格研修記録'!$A$5:$A$1004,$A134,'資格研修記録'!$D$5:$D$1004,F$4,'資格研修記録'!$F$5:$F$1004,"&gt;="&amp;TODAY())&gt;0,"○","× 期限切れ"))))</f>
        <v/>
      </c>
      <c r="G134" s="15">
        <f>IF(OR($A134="",G$4=""),"",IF(AND(G$4="小型船舶2級",(COUNTIFS('資格研修記録'!$A$5:$A$1004,$A134,'資格研修記録'!$D$5:$D$1004,"小型船舶1級",'資格研修記録'!$F$5:$F$1004,"")+COUNTIFS('資格研修記録'!$A$5:$A$1004,$A134,'資格研修記録'!$D$5:$D$1004,"小型船舶1級",'資格研修記録'!$F$5:$F$1004,"&gt;="&amp;TODAY()))&gt;0),"1級に含む",IF(COUNTIFS('資格研修記録'!$A$5:$A$1004,$A134,'資格研修記録'!$D$5:$D$1004,G$4)=0,"—",IF(COUNTIFS('資格研修記録'!$A$5:$A$1004,$A134,'資格研修記録'!$D$5:$D$1004,G$4,'資格研修記録'!$F$5:$F$1004,"")+COUNTIFS('資格研修記録'!$A$5:$A$1004,$A134,'資格研修記録'!$D$5:$D$1004,G$4,'資格研修記録'!$F$5:$F$1004,"&gt;="&amp;TODAY())&gt;0,"○","× 期限切れ"))))</f>
        <v/>
      </c>
      <c r="H134" s="15">
        <f>IF(OR($A134="",H$4=""),"",IF(AND(H$4="小型船舶2級",(COUNTIFS('資格研修記録'!$A$5:$A$1004,$A134,'資格研修記録'!$D$5:$D$1004,"小型船舶1級",'資格研修記録'!$F$5:$F$1004,"")+COUNTIFS('資格研修記録'!$A$5:$A$1004,$A134,'資格研修記録'!$D$5:$D$1004,"小型船舶1級",'資格研修記録'!$F$5:$F$1004,"&gt;="&amp;TODAY()))&gt;0),"1級に含む",IF(COUNTIFS('資格研修記録'!$A$5:$A$1004,$A134,'資格研修記録'!$D$5:$D$1004,H$4)=0,"—",IF(COUNTIFS('資格研修記録'!$A$5:$A$1004,$A134,'資格研修記録'!$D$5:$D$1004,H$4,'資格研修記録'!$F$5:$F$1004,"")+COUNTIFS('資格研修記録'!$A$5:$A$1004,$A134,'資格研修記録'!$D$5:$D$1004,H$4,'資格研修記録'!$F$5:$F$1004,"&gt;="&amp;TODAY())&gt;0,"○","× 期限切れ"))))</f>
        <v/>
      </c>
      <c r="I134" s="15">
        <f>IF(OR($A134="",I$4=""),"",IF(AND(I$4="小型船舶2級",(COUNTIFS('資格研修記録'!$A$5:$A$1004,$A134,'資格研修記録'!$D$5:$D$1004,"小型船舶1級",'資格研修記録'!$F$5:$F$1004,"")+COUNTIFS('資格研修記録'!$A$5:$A$1004,$A134,'資格研修記録'!$D$5:$D$1004,"小型船舶1級",'資格研修記録'!$F$5:$F$1004,"&gt;="&amp;TODAY()))&gt;0),"1級に含む",IF(COUNTIFS('資格研修記録'!$A$5:$A$1004,$A134,'資格研修記録'!$D$5:$D$1004,I$4)=0,"—",IF(COUNTIFS('資格研修記録'!$A$5:$A$1004,$A134,'資格研修記録'!$D$5:$D$1004,I$4,'資格研修記録'!$F$5:$F$1004,"")+COUNTIFS('資格研修記録'!$A$5:$A$1004,$A134,'資格研修記録'!$D$5:$D$1004,I$4,'資格研修記録'!$F$5:$F$1004,"&gt;="&amp;TODAY())&gt;0,"○","× 期限切れ"))))</f>
        <v/>
      </c>
      <c r="J134" s="15">
        <f>IF(OR($A134="",J$4=""),"",IF(AND(J$4="小型船舶2級",(COUNTIFS('資格研修記録'!$A$5:$A$1004,$A134,'資格研修記録'!$D$5:$D$1004,"小型船舶1級",'資格研修記録'!$F$5:$F$1004,"")+COUNTIFS('資格研修記録'!$A$5:$A$1004,$A134,'資格研修記録'!$D$5:$D$1004,"小型船舶1級",'資格研修記録'!$F$5:$F$1004,"&gt;="&amp;TODAY()))&gt;0),"1級に含む",IF(COUNTIFS('資格研修記録'!$A$5:$A$1004,$A134,'資格研修記録'!$D$5:$D$1004,J$4)=0,"—",IF(COUNTIFS('資格研修記録'!$A$5:$A$1004,$A134,'資格研修記録'!$D$5:$D$1004,J$4,'資格研修記録'!$F$5:$F$1004,"")+COUNTIFS('資格研修記録'!$A$5:$A$1004,$A134,'資格研修記録'!$D$5:$D$1004,J$4,'資格研修記録'!$F$5:$F$1004,"&gt;="&amp;TODAY())&gt;0,"○","× 期限切れ"))))</f>
        <v/>
      </c>
      <c r="K134" s="15">
        <f>IF(OR($A134="",K$4=""),"",IF(AND(K$4="小型船舶2級",(COUNTIFS('資格研修記録'!$A$5:$A$1004,$A134,'資格研修記録'!$D$5:$D$1004,"小型船舶1級",'資格研修記録'!$F$5:$F$1004,"")+COUNTIFS('資格研修記録'!$A$5:$A$1004,$A134,'資格研修記録'!$D$5:$D$1004,"小型船舶1級",'資格研修記録'!$F$5:$F$1004,"&gt;="&amp;TODAY()))&gt;0),"1級に含む",IF(COUNTIFS('資格研修記録'!$A$5:$A$1004,$A134,'資格研修記録'!$D$5:$D$1004,K$4)=0,"—",IF(COUNTIFS('資格研修記録'!$A$5:$A$1004,$A134,'資格研修記録'!$D$5:$D$1004,K$4,'資格研修記録'!$F$5:$F$1004,"")+COUNTIFS('資格研修記録'!$A$5:$A$1004,$A134,'資格研修記録'!$D$5:$D$1004,K$4,'資格研修記録'!$F$5:$F$1004,"&gt;="&amp;TODAY())&gt;0,"○","× 期限切れ"))))</f>
        <v/>
      </c>
      <c r="L134" s="15">
        <f>IF(OR($A134="",L$4=""),"",IF(AND(L$4="小型船舶2級",(COUNTIFS('資格研修記録'!$A$5:$A$1004,$A134,'資格研修記録'!$D$5:$D$1004,"小型船舶1級",'資格研修記録'!$F$5:$F$1004,"")+COUNTIFS('資格研修記録'!$A$5:$A$1004,$A134,'資格研修記録'!$D$5:$D$1004,"小型船舶1級",'資格研修記録'!$F$5:$F$1004,"&gt;="&amp;TODAY()))&gt;0),"1級に含む",IF(COUNTIFS('資格研修記録'!$A$5:$A$1004,$A134,'資格研修記録'!$D$5:$D$1004,L$4)=0,"—",IF(COUNTIFS('資格研修記録'!$A$5:$A$1004,$A134,'資格研修記録'!$D$5:$D$1004,L$4,'資格研修記録'!$F$5:$F$1004,"")+COUNTIFS('資格研修記録'!$A$5:$A$1004,$A134,'資格研修記録'!$D$5:$D$1004,L$4,'資格研修記録'!$F$5:$F$1004,"&gt;="&amp;TODAY())&gt;0,"○","× 期限切れ"))))</f>
        <v/>
      </c>
    </row>
    <row r="135">
      <c r="A135" s="14">
        <f>IF('隊員マスタ'!A135="","",'隊員マスタ'!A135)</f>
        <v/>
      </c>
      <c r="B135" s="14">
        <f>IF(A135="","",'隊員マスタ'!B135)</f>
        <v/>
      </c>
      <c r="C135" s="14">
        <f>IF(A135="","",'隊員マスタ'!C135)</f>
        <v/>
      </c>
      <c r="D135" s="15">
        <f>IF(A135="","",'隊員マスタ'!D135)</f>
        <v/>
      </c>
      <c r="E135" s="15">
        <f>IF(OR($A135="",E$4=""),"",IF(AND(E$4="小型船舶2級",(COUNTIFS('資格研修記録'!$A$5:$A$1004,$A135,'資格研修記録'!$D$5:$D$1004,"小型船舶1級",'資格研修記録'!$F$5:$F$1004,"")+COUNTIFS('資格研修記録'!$A$5:$A$1004,$A135,'資格研修記録'!$D$5:$D$1004,"小型船舶1級",'資格研修記録'!$F$5:$F$1004,"&gt;="&amp;TODAY()))&gt;0),"1級に含む",IF(COUNTIFS('資格研修記録'!$A$5:$A$1004,$A135,'資格研修記録'!$D$5:$D$1004,E$4)=0,"—",IF(COUNTIFS('資格研修記録'!$A$5:$A$1004,$A135,'資格研修記録'!$D$5:$D$1004,E$4,'資格研修記録'!$F$5:$F$1004,"")+COUNTIFS('資格研修記録'!$A$5:$A$1004,$A135,'資格研修記録'!$D$5:$D$1004,E$4,'資格研修記録'!$F$5:$F$1004,"&gt;="&amp;TODAY())&gt;0,"○","× 期限切れ"))))</f>
        <v/>
      </c>
      <c r="F135" s="15">
        <f>IF(OR($A135="",F$4=""),"",IF(AND(F$4="小型船舶2級",(COUNTIFS('資格研修記録'!$A$5:$A$1004,$A135,'資格研修記録'!$D$5:$D$1004,"小型船舶1級",'資格研修記録'!$F$5:$F$1004,"")+COUNTIFS('資格研修記録'!$A$5:$A$1004,$A135,'資格研修記録'!$D$5:$D$1004,"小型船舶1級",'資格研修記録'!$F$5:$F$1004,"&gt;="&amp;TODAY()))&gt;0),"1級に含む",IF(COUNTIFS('資格研修記録'!$A$5:$A$1004,$A135,'資格研修記録'!$D$5:$D$1004,F$4)=0,"—",IF(COUNTIFS('資格研修記録'!$A$5:$A$1004,$A135,'資格研修記録'!$D$5:$D$1004,F$4,'資格研修記録'!$F$5:$F$1004,"")+COUNTIFS('資格研修記録'!$A$5:$A$1004,$A135,'資格研修記録'!$D$5:$D$1004,F$4,'資格研修記録'!$F$5:$F$1004,"&gt;="&amp;TODAY())&gt;0,"○","× 期限切れ"))))</f>
        <v/>
      </c>
      <c r="G135" s="15">
        <f>IF(OR($A135="",G$4=""),"",IF(AND(G$4="小型船舶2級",(COUNTIFS('資格研修記録'!$A$5:$A$1004,$A135,'資格研修記録'!$D$5:$D$1004,"小型船舶1級",'資格研修記録'!$F$5:$F$1004,"")+COUNTIFS('資格研修記録'!$A$5:$A$1004,$A135,'資格研修記録'!$D$5:$D$1004,"小型船舶1級",'資格研修記録'!$F$5:$F$1004,"&gt;="&amp;TODAY()))&gt;0),"1級に含む",IF(COUNTIFS('資格研修記録'!$A$5:$A$1004,$A135,'資格研修記録'!$D$5:$D$1004,G$4)=0,"—",IF(COUNTIFS('資格研修記録'!$A$5:$A$1004,$A135,'資格研修記録'!$D$5:$D$1004,G$4,'資格研修記録'!$F$5:$F$1004,"")+COUNTIFS('資格研修記録'!$A$5:$A$1004,$A135,'資格研修記録'!$D$5:$D$1004,G$4,'資格研修記録'!$F$5:$F$1004,"&gt;="&amp;TODAY())&gt;0,"○","× 期限切れ"))))</f>
        <v/>
      </c>
      <c r="H135" s="15">
        <f>IF(OR($A135="",H$4=""),"",IF(AND(H$4="小型船舶2級",(COUNTIFS('資格研修記録'!$A$5:$A$1004,$A135,'資格研修記録'!$D$5:$D$1004,"小型船舶1級",'資格研修記録'!$F$5:$F$1004,"")+COUNTIFS('資格研修記録'!$A$5:$A$1004,$A135,'資格研修記録'!$D$5:$D$1004,"小型船舶1級",'資格研修記録'!$F$5:$F$1004,"&gt;="&amp;TODAY()))&gt;0),"1級に含む",IF(COUNTIFS('資格研修記録'!$A$5:$A$1004,$A135,'資格研修記録'!$D$5:$D$1004,H$4)=0,"—",IF(COUNTIFS('資格研修記録'!$A$5:$A$1004,$A135,'資格研修記録'!$D$5:$D$1004,H$4,'資格研修記録'!$F$5:$F$1004,"")+COUNTIFS('資格研修記録'!$A$5:$A$1004,$A135,'資格研修記録'!$D$5:$D$1004,H$4,'資格研修記録'!$F$5:$F$1004,"&gt;="&amp;TODAY())&gt;0,"○","× 期限切れ"))))</f>
        <v/>
      </c>
      <c r="I135" s="15">
        <f>IF(OR($A135="",I$4=""),"",IF(AND(I$4="小型船舶2級",(COUNTIFS('資格研修記録'!$A$5:$A$1004,$A135,'資格研修記録'!$D$5:$D$1004,"小型船舶1級",'資格研修記録'!$F$5:$F$1004,"")+COUNTIFS('資格研修記録'!$A$5:$A$1004,$A135,'資格研修記録'!$D$5:$D$1004,"小型船舶1級",'資格研修記録'!$F$5:$F$1004,"&gt;="&amp;TODAY()))&gt;0),"1級に含む",IF(COUNTIFS('資格研修記録'!$A$5:$A$1004,$A135,'資格研修記録'!$D$5:$D$1004,I$4)=0,"—",IF(COUNTIFS('資格研修記録'!$A$5:$A$1004,$A135,'資格研修記録'!$D$5:$D$1004,I$4,'資格研修記録'!$F$5:$F$1004,"")+COUNTIFS('資格研修記録'!$A$5:$A$1004,$A135,'資格研修記録'!$D$5:$D$1004,I$4,'資格研修記録'!$F$5:$F$1004,"&gt;="&amp;TODAY())&gt;0,"○","× 期限切れ"))))</f>
        <v/>
      </c>
      <c r="J135" s="15">
        <f>IF(OR($A135="",J$4=""),"",IF(AND(J$4="小型船舶2級",(COUNTIFS('資格研修記録'!$A$5:$A$1004,$A135,'資格研修記録'!$D$5:$D$1004,"小型船舶1級",'資格研修記録'!$F$5:$F$1004,"")+COUNTIFS('資格研修記録'!$A$5:$A$1004,$A135,'資格研修記録'!$D$5:$D$1004,"小型船舶1級",'資格研修記録'!$F$5:$F$1004,"&gt;="&amp;TODAY()))&gt;0),"1級に含む",IF(COUNTIFS('資格研修記録'!$A$5:$A$1004,$A135,'資格研修記録'!$D$5:$D$1004,J$4)=0,"—",IF(COUNTIFS('資格研修記録'!$A$5:$A$1004,$A135,'資格研修記録'!$D$5:$D$1004,J$4,'資格研修記録'!$F$5:$F$1004,"")+COUNTIFS('資格研修記録'!$A$5:$A$1004,$A135,'資格研修記録'!$D$5:$D$1004,J$4,'資格研修記録'!$F$5:$F$1004,"&gt;="&amp;TODAY())&gt;0,"○","× 期限切れ"))))</f>
        <v/>
      </c>
      <c r="K135" s="15">
        <f>IF(OR($A135="",K$4=""),"",IF(AND(K$4="小型船舶2級",(COUNTIFS('資格研修記録'!$A$5:$A$1004,$A135,'資格研修記録'!$D$5:$D$1004,"小型船舶1級",'資格研修記録'!$F$5:$F$1004,"")+COUNTIFS('資格研修記録'!$A$5:$A$1004,$A135,'資格研修記録'!$D$5:$D$1004,"小型船舶1級",'資格研修記録'!$F$5:$F$1004,"&gt;="&amp;TODAY()))&gt;0),"1級に含む",IF(COUNTIFS('資格研修記録'!$A$5:$A$1004,$A135,'資格研修記録'!$D$5:$D$1004,K$4)=0,"—",IF(COUNTIFS('資格研修記録'!$A$5:$A$1004,$A135,'資格研修記録'!$D$5:$D$1004,K$4,'資格研修記録'!$F$5:$F$1004,"")+COUNTIFS('資格研修記録'!$A$5:$A$1004,$A135,'資格研修記録'!$D$5:$D$1004,K$4,'資格研修記録'!$F$5:$F$1004,"&gt;="&amp;TODAY())&gt;0,"○","× 期限切れ"))))</f>
        <v/>
      </c>
      <c r="L135" s="15">
        <f>IF(OR($A135="",L$4=""),"",IF(AND(L$4="小型船舶2級",(COUNTIFS('資格研修記録'!$A$5:$A$1004,$A135,'資格研修記録'!$D$5:$D$1004,"小型船舶1級",'資格研修記録'!$F$5:$F$1004,"")+COUNTIFS('資格研修記録'!$A$5:$A$1004,$A135,'資格研修記録'!$D$5:$D$1004,"小型船舶1級",'資格研修記録'!$F$5:$F$1004,"&gt;="&amp;TODAY()))&gt;0),"1級に含む",IF(COUNTIFS('資格研修記録'!$A$5:$A$1004,$A135,'資格研修記録'!$D$5:$D$1004,L$4)=0,"—",IF(COUNTIFS('資格研修記録'!$A$5:$A$1004,$A135,'資格研修記録'!$D$5:$D$1004,L$4,'資格研修記録'!$F$5:$F$1004,"")+COUNTIFS('資格研修記録'!$A$5:$A$1004,$A135,'資格研修記録'!$D$5:$D$1004,L$4,'資格研修記録'!$F$5:$F$1004,"&gt;="&amp;TODAY())&gt;0,"○","× 期限切れ"))))</f>
        <v/>
      </c>
    </row>
    <row r="136">
      <c r="A136" s="14">
        <f>IF('隊員マスタ'!A136="","",'隊員マスタ'!A136)</f>
        <v/>
      </c>
      <c r="B136" s="14">
        <f>IF(A136="","",'隊員マスタ'!B136)</f>
        <v/>
      </c>
      <c r="C136" s="14">
        <f>IF(A136="","",'隊員マスタ'!C136)</f>
        <v/>
      </c>
      <c r="D136" s="15">
        <f>IF(A136="","",'隊員マスタ'!D136)</f>
        <v/>
      </c>
      <c r="E136" s="15">
        <f>IF(OR($A136="",E$4=""),"",IF(AND(E$4="小型船舶2級",(COUNTIFS('資格研修記録'!$A$5:$A$1004,$A136,'資格研修記録'!$D$5:$D$1004,"小型船舶1級",'資格研修記録'!$F$5:$F$1004,"")+COUNTIFS('資格研修記録'!$A$5:$A$1004,$A136,'資格研修記録'!$D$5:$D$1004,"小型船舶1級",'資格研修記録'!$F$5:$F$1004,"&gt;="&amp;TODAY()))&gt;0),"1級に含む",IF(COUNTIFS('資格研修記録'!$A$5:$A$1004,$A136,'資格研修記録'!$D$5:$D$1004,E$4)=0,"—",IF(COUNTIFS('資格研修記録'!$A$5:$A$1004,$A136,'資格研修記録'!$D$5:$D$1004,E$4,'資格研修記録'!$F$5:$F$1004,"")+COUNTIFS('資格研修記録'!$A$5:$A$1004,$A136,'資格研修記録'!$D$5:$D$1004,E$4,'資格研修記録'!$F$5:$F$1004,"&gt;="&amp;TODAY())&gt;0,"○","× 期限切れ"))))</f>
        <v/>
      </c>
      <c r="F136" s="15">
        <f>IF(OR($A136="",F$4=""),"",IF(AND(F$4="小型船舶2級",(COUNTIFS('資格研修記録'!$A$5:$A$1004,$A136,'資格研修記録'!$D$5:$D$1004,"小型船舶1級",'資格研修記録'!$F$5:$F$1004,"")+COUNTIFS('資格研修記録'!$A$5:$A$1004,$A136,'資格研修記録'!$D$5:$D$1004,"小型船舶1級",'資格研修記録'!$F$5:$F$1004,"&gt;="&amp;TODAY()))&gt;0),"1級に含む",IF(COUNTIFS('資格研修記録'!$A$5:$A$1004,$A136,'資格研修記録'!$D$5:$D$1004,F$4)=0,"—",IF(COUNTIFS('資格研修記録'!$A$5:$A$1004,$A136,'資格研修記録'!$D$5:$D$1004,F$4,'資格研修記録'!$F$5:$F$1004,"")+COUNTIFS('資格研修記録'!$A$5:$A$1004,$A136,'資格研修記録'!$D$5:$D$1004,F$4,'資格研修記録'!$F$5:$F$1004,"&gt;="&amp;TODAY())&gt;0,"○","× 期限切れ"))))</f>
        <v/>
      </c>
      <c r="G136" s="15">
        <f>IF(OR($A136="",G$4=""),"",IF(AND(G$4="小型船舶2級",(COUNTIFS('資格研修記録'!$A$5:$A$1004,$A136,'資格研修記録'!$D$5:$D$1004,"小型船舶1級",'資格研修記録'!$F$5:$F$1004,"")+COUNTIFS('資格研修記録'!$A$5:$A$1004,$A136,'資格研修記録'!$D$5:$D$1004,"小型船舶1級",'資格研修記録'!$F$5:$F$1004,"&gt;="&amp;TODAY()))&gt;0),"1級に含む",IF(COUNTIFS('資格研修記録'!$A$5:$A$1004,$A136,'資格研修記録'!$D$5:$D$1004,G$4)=0,"—",IF(COUNTIFS('資格研修記録'!$A$5:$A$1004,$A136,'資格研修記録'!$D$5:$D$1004,G$4,'資格研修記録'!$F$5:$F$1004,"")+COUNTIFS('資格研修記録'!$A$5:$A$1004,$A136,'資格研修記録'!$D$5:$D$1004,G$4,'資格研修記録'!$F$5:$F$1004,"&gt;="&amp;TODAY())&gt;0,"○","× 期限切れ"))))</f>
        <v/>
      </c>
      <c r="H136" s="15">
        <f>IF(OR($A136="",H$4=""),"",IF(AND(H$4="小型船舶2級",(COUNTIFS('資格研修記録'!$A$5:$A$1004,$A136,'資格研修記録'!$D$5:$D$1004,"小型船舶1級",'資格研修記録'!$F$5:$F$1004,"")+COUNTIFS('資格研修記録'!$A$5:$A$1004,$A136,'資格研修記録'!$D$5:$D$1004,"小型船舶1級",'資格研修記録'!$F$5:$F$1004,"&gt;="&amp;TODAY()))&gt;0),"1級に含む",IF(COUNTIFS('資格研修記録'!$A$5:$A$1004,$A136,'資格研修記録'!$D$5:$D$1004,H$4)=0,"—",IF(COUNTIFS('資格研修記録'!$A$5:$A$1004,$A136,'資格研修記録'!$D$5:$D$1004,H$4,'資格研修記録'!$F$5:$F$1004,"")+COUNTIFS('資格研修記録'!$A$5:$A$1004,$A136,'資格研修記録'!$D$5:$D$1004,H$4,'資格研修記録'!$F$5:$F$1004,"&gt;="&amp;TODAY())&gt;0,"○","× 期限切れ"))))</f>
        <v/>
      </c>
      <c r="I136" s="15">
        <f>IF(OR($A136="",I$4=""),"",IF(AND(I$4="小型船舶2級",(COUNTIFS('資格研修記録'!$A$5:$A$1004,$A136,'資格研修記録'!$D$5:$D$1004,"小型船舶1級",'資格研修記録'!$F$5:$F$1004,"")+COUNTIFS('資格研修記録'!$A$5:$A$1004,$A136,'資格研修記録'!$D$5:$D$1004,"小型船舶1級",'資格研修記録'!$F$5:$F$1004,"&gt;="&amp;TODAY()))&gt;0),"1級に含む",IF(COUNTIFS('資格研修記録'!$A$5:$A$1004,$A136,'資格研修記録'!$D$5:$D$1004,I$4)=0,"—",IF(COUNTIFS('資格研修記録'!$A$5:$A$1004,$A136,'資格研修記録'!$D$5:$D$1004,I$4,'資格研修記録'!$F$5:$F$1004,"")+COUNTIFS('資格研修記録'!$A$5:$A$1004,$A136,'資格研修記録'!$D$5:$D$1004,I$4,'資格研修記録'!$F$5:$F$1004,"&gt;="&amp;TODAY())&gt;0,"○","× 期限切れ"))))</f>
        <v/>
      </c>
      <c r="J136" s="15">
        <f>IF(OR($A136="",J$4=""),"",IF(AND(J$4="小型船舶2級",(COUNTIFS('資格研修記録'!$A$5:$A$1004,$A136,'資格研修記録'!$D$5:$D$1004,"小型船舶1級",'資格研修記録'!$F$5:$F$1004,"")+COUNTIFS('資格研修記録'!$A$5:$A$1004,$A136,'資格研修記録'!$D$5:$D$1004,"小型船舶1級",'資格研修記録'!$F$5:$F$1004,"&gt;="&amp;TODAY()))&gt;0),"1級に含む",IF(COUNTIFS('資格研修記録'!$A$5:$A$1004,$A136,'資格研修記録'!$D$5:$D$1004,J$4)=0,"—",IF(COUNTIFS('資格研修記録'!$A$5:$A$1004,$A136,'資格研修記録'!$D$5:$D$1004,J$4,'資格研修記録'!$F$5:$F$1004,"")+COUNTIFS('資格研修記録'!$A$5:$A$1004,$A136,'資格研修記録'!$D$5:$D$1004,J$4,'資格研修記録'!$F$5:$F$1004,"&gt;="&amp;TODAY())&gt;0,"○","× 期限切れ"))))</f>
        <v/>
      </c>
      <c r="K136" s="15">
        <f>IF(OR($A136="",K$4=""),"",IF(AND(K$4="小型船舶2級",(COUNTIFS('資格研修記録'!$A$5:$A$1004,$A136,'資格研修記録'!$D$5:$D$1004,"小型船舶1級",'資格研修記録'!$F$5:$F$1004,"")+COUNTIFS('資格研修記録'!$A$5:$A$1004,$A136,'資格研修記録'!$D$5:$D$1004,"小型船舶1級",'資格研修記録'!$F$5:$F$1004,"&gt;="&amp;TODAY()))&gt;0),"1級に含む",IF(COUNTIFS('資格研修記録'!$A$5:$A$1004,$A136,'資格研修記録'!$D$5:$D$1004,K$4)=0,"—",IF(COUNTIFS('資格研修記録'!$A$5:$A$1004,$A136,'資格研修記録'!$D$5:$D$1004,K$4,'資格研修記録'!$F$5:$F$1004,"")+COUNTIFS('資格研修記録'!$A$5:$A$1004,$A136,'資格研修記録'!$D$5:$D$1004,K$4,'資格研修記録'!$F$5:$F$1004,"&gt;="&amp;TODAY())&gt;0,"○","× 期限切れ"))))</f>
        <v/>
      </c>
      <c r="L136" s="15">
        <f>IF(OR($A136="",L$4=""),"",IF(AND(L$4="小型船舶2級",(COUNTIFS('資格研修記録'!$A$5:$A$1004,$A136,'資格研修記録'!$D$5:$D$1004,"小型船舶1級",'資格研修記録'!$F$5:$F$1004,"")+COUNTIFS('資格研修記録'!$A$5:$A$1004,$A136,'資格研修記録'!$D$5:$D$1004,"小型船舶1級",'資格研修記録'!$F$5:$F$1004,"&gt;="&amp;TODAY()))&gt;0),"1級に含む",IF(COUNTIFS('資格研修記録'!$A$5:$A$1004,$A136,'資格研修記録'!$D$5:$D$1004,L$4)=0,"—",IF(COUNTIFS('資格研修記録'!$A$5:$A$1004,$A136,'資格研修記録'!$D$5:$D$1004,L$4,'資格研修記録'!$F$5:$F$1004,"")+COUNTIFS('資格研修記録'!$A$5:$A$1004,$A136,'資格研修記録'!$D$5:$D$1004,L$4,'資格研修記録'!$F$5:$F$1004,"&gt;="&amp;TODAY())&gt;0,"○","× 期限切れ"))))</f>
        <v/>
      </c>
    </row>
    <row r="137">
      <c r="A137" s="14">
        <f>IF('隊員マスタ'!A137="","",'隊員マスタ'!A137)</f>
        <v/>
      </c>
      <c r="B137" s="14">
        <f>IF(A137="","",'隊員マスタ'!B137)</f>
        <v/>
      </c>
      <c r="C137" s="14">
        <f>IF(A137="","",'隊員マスタ'!C137)</f>
        <v/>
      </c>
      <c r="D137" s="15">
        <f>IF(A137="","",'隊員マスタ'!D137)</f>
        <v/>
      </c>
      <c r="E137" s="15">
        <f>IF(OR($A137="",E$4=""),"",IF(AND(E$4="小型船舶2級",(COUNTIFS('資格研修記録'!$A$5:$A$1004,$A137,'資格研修記録'!$D$5:$D$1004,"小型船舶1級",'資格研修記録'!$F$5:$F$1004,"")+COUNTIFS('資格研修記録'!$A$5:$A$1004,$A137,'資格研修記録'!$D$5:$D$1004,"小型船舶1級",'資格研修記録'!$F$5:$F$1004,"&gt;="&amp;TODAY()))&gt;0),"1級に含む",IF(COUNTIFS('資格研修記録'!$A$5:$A$1004,$A137,'資格研修記録'!$D$5:$D$1004,E$4)=0,"—",IF(COUNTIFS('資格研修記録'!$A$5:$A$1004,$A137,'資格研修記録'!$D$5:$D$1004,E$4,'資格研修記録'!$F$5:$F$1004,"")+COUNTIFS('資格研修記録'!$A$5:$A$1004,$A137,'資格研修記録'!$D$5:$D$1004,E$4,'資格研修記録'!$F$5:$F$1004,"&gt;="&amp;TODAY())&gt;0,"○","× 期限切れ"))))</f>
        <v/>
      </c>
      <c r="F137" s="15">
        <f>IF(OR($A137="",F$4=""),"",IF(AND(F$4="小型船舶2級",(COUNTIFS('資格研修記録'!$A$5:$A$1004,$A137,'資格研修記録'!$D$5:$D$1004,"小型船舶1級",'資格研修記録'!$F$5:$F$1004,"")+COUNTIFS('資格研修記録'!$A$5:$A$1004,$A137,'資格研修記録'!$D$5:$D$1004,"小型船舶1級",'資格研修記録'!$F$5:$F$1004,"&gt;="&amp;TODAY()))&gt;0),"1級に含む",IF(COUNTIFS('資格研修記録'!$A$5:$A$1004,$A137,'資格研修記録'!$D$5:$D$1004,F$4)=0,"—",IF(COUNTIFS('資格研修記録'!$A$5:$A$1004,$A137,'資格研修記録'!$D$5:$D$1004,F$4,'資格研修記録'!$F$5:$F$1004,"")+COUNTIFS('資格研修記録'!$A$5:$A$1004,$A137,'資格研修記録'!$D$5:$D$1004,F$4,'資格研修記録'!$F$5:$F$1004,"&gt;="&amp;TODAY())&gt;0,"○","× 期限切れ"))))</f>
        <v/>
      </c>
      <c r="G137" s="15">
        <f>IF(OR($A137="",G$4=""),"",IF(AND(G$4="小型船舶2級",(COUNTIFS('資格研修記録'!$A$5:$A$1004,$A137,'資格研修記録'!$D$5:$D$1004,"小型船舶1級",'資格研修記録'!$F$5:$F$1004,"")+COUNTIFS('資格研修記録'!$A$5:$A$1004,$A137,'資格研修記録'!$D$5:$D$1004,"小型船舶1級",'資格研修記録'!$F$5:$F$1004,"&gt;="&amp;TODAY()))&gt;0),"1級に含む",IF(COUNTIFS('資格研修記録'!$A$5:$A$1004,$A137,'資格研修記録'!$D$5:$D$1004,G$4)=0,"—",IF(COUNTIFS('資格研修記録'!$A$5:$A$1004,$A137,'資格研修記録'!$D$5:$D$1004,G$4,'資格研修記録'!$F$5:$F$1004,"")+COUNTIFS('資格研修記録'!$A$5:$A$1004,$A137,'資格研修記録'!$D$5:$D$1004,G$4,'資格研修記録'!$F$5:$F$1004,"&gt;="&amp;TODAY())&gt;0,"○","× 期限切れ"))))</f>
        <v/>
      </c>
      <c r="H137" s="15">
        <f>IF(OR($A137="",H$4=""),"",IF(AND(H$4="小型船舶2級",(COUNTIFS('資格研修記録'!$A$5:$A$1004,$A137,'資格研修記録'!$D$5:$D$1004,"小型船舶1級",'資格研修記録'!$F$5:$F$1004,"")+COUNTIFS('資格研修記録'!$A$5:$A$1004,$A137,'資格研修記録'!$D$5:$D$1004,"小型船舶1級",'資格研修記録'!$F$5:$F$1004,"&gt;="&amp;TODAY()))&gt;0),"1級に含む",IF(COUNTIFS('資格研修記録'!$A$5:$A$1004,$A137,'資格研修記録'!$D$5:$D$1004,H$4)=0,"—",IF(COUNTIFS('資格研修記録'!$A$5:$A$1004,$A137,'資格研修記録'!$D$5:$D$1004,H$4,'資格研修記録'!$F$5:$F$1004,"")+COUNTIFS('資格研修記録'!$A$5:$A$1004,$A137,'資格研修記録'!$D$5:$D$1004,H$4,'資格研修記録'!$F$5:$F$1004,"&gt;="&amp;TODAY())&gt;0,"○","× 期限切れ"))))</f>
        <v/>
      </c>
      <c r="I137" s="15">
        <f>IF(OR($A137="",I$4=""),"",IF(AND(I$4="小型船舶2級",(COUNTIFS('資格研修記録'!$A$5:$A$1004,$A137,'資格研修記録'!$D$5:$D$1004,"小型船舶1級",'資格研修記録'!$F$5:$F$1004,"")+COUNTIFS('資格研修記録'!$A$5:$A$1004,$A137,'資格研修記録'!$D$5:$D$1004,"小型船舶1級",'資格研修記録'!$F$5:$F$1004,"&gt;="&amp;TODAY()))&gt;0),"1級に含む",IF(COUNTIFS('資格研修記録'!$A$5:$A$1004,$A137,'資格研修記録'!$D$5:$D$1004,I$4)=0,"—",IF(COUNTIFS('資格研修記録'!$A$5:$A$1004,$A137,'資格研修記録'!$D$5:$D$1004,I$4,'資格研修記録'!$F$5:$F$1004,"")+COUNTIFS('資格研修記録'!$A$5:$A$1004,$A137,'資格研修記録'!$D$5:$D$1004,I$4,'資格研修記録'!$F$5:$F$1004,"&gt;="&amp;TODAY())&gt;0,"○","× 期限切れ"))))</f>
        <v/>
      </c>
      <c r="J137" s="15">
        <f>IF(OR($A137="",J$4=""),"",IF(AND(J$4="小型船舶2級",(COUNTIFS('資格研修記録'!$A$5:$A$1004,$A137,'資格研修記録'!$D$5:$D$1004,"小型船舶1級",'資格研修記録'!$F$5:$F$1004,"")+COUNTIFS('資格研修記録'!$A$5:$A$1004,$A137,'資格研修記録'!$D$5:$D$1004,"小型船舶1級",'資格研修記録'!$F$5:$F$1004,"&gt;="&amp;TODAY()))&gt;0),"1級に含む",IF(COUNTIFS('資格研修記録'!$A$5:$A$1004,$A137,'資格研修記録'!$D$5:$D$1004,J$4)=0,"—",IF(COUNTIFS('資格研修記録'!$A$5:$A$1004,$A137,'資格研修記録'!$D$5:$D$1004,J$4,'資格研修記録'!$F$5:$F$1004,"")+COUNTIFS('資格研修記録'!$A$5:$A$1004,$A137,'資格研修記録'!$D$5:$D$1004,J$4,'資格研修記録'!$F$5:$F$1004,"&gt;="&amp;TODAY())&gt;0,"○","× 期限切れ"))))</f>
        <v/>
      </c>
      <c r="K137" s="15">
        <f>IF(OR($A137="",K$4=""),"",IF(AND(K$4="小型船舶2級",(COUNTIFS('資格研修記録'!$A$5:$A$1004,$A137,'資格研修記録'!$D$5:$D$1004,"小型船舶1級",'資格研修記録'!$F$5:$F$1004,"")+COUNTIFS('資格研修記録'!$A$5:$A$1004,$A137,'資格研修記録'!$D$5:$D$1004,"小型船舶1級",'資格研修記録'!$F$5:$F$1004,"&gt;="&amp;TODAY()))&gt;0),"1級に含む",IF(COUNTIFS('資格研修記録'!$A$5:$A$1004,$A137,'資格研修記録'!$D$5:$D$1004,K$4)=0,"—",IF(COUNTIFS('資格研修記録'!$A$5:$A$1004,$A137,'資格研修記録'!$D$5:$D$1004,K$4,'資格研修記録'!$F$5:$F$1004,"")+COUNTIFS('資格研修記録'!$A$5:$A$1004,$A137,'資格研修記録'!$D$5:$D$1004,K$4,'資格研修記録'!$F$5:$F$1004,"&gt;="&amp;TODAY())&gt;0,"○","× 期限切れ"))))</f>
        <v/>
      </c>
      <c r="L137" s="15">
        <f>IF(OR($A137="",L$4=""),"",IF(AND(L$4="小型船舶2級",(COUNTIFS('資格研修記録'!$A$5:$A$1004,$A137,'資格研修記録'!$D$5:$D$1004,"小型船舶1級",'資格研修記録'!$F$5:$F$1004,"")+COUNTIFS('資格研修記録'!$A$5:$A$1004,$A137,'資格研修記録'!$D$5:$D$1004,"小型船舶1級",'資格研修記録'!$F$5:$F$1004,"&gt;="&amp;TODAY()))&gt;0),"1級に含む",IF(COUNTIFS('資格研修記録'!$A$5:$A$1004,$A137,'資格研修記録'!$D$5:$D$1004,L$4)=0,"—",IF(COUNTIFS('資格研修記録'!$A$5:$A$1004,$A137,'資格研修記録'!$D$5:$D$1004,L$4,'資格研修記録'!$F$5:$F$1004,"")+COUNTIFS('資格研修記録'!$A$5:$A$1004,$A137,'資格研修記録'!$D$5:$D$1004,L$4,'資格研修記録'!$F$5:$F$1004,"&gt;="&amp;TODAY())&gt;0,"○","× 期限切れ"))))</f>
        <v/>
      </c>
    </row>
    <row r="138">
      <c r="A138" s="14">
        <f>IF('隊員マスタ'!A138="","",'隊員マスタ'!A138)</f>
        <v/>
      </c>
      <c r="B138" s="14">
        <f>IF(A138="","",'隊員マスタ'!B138)</f>
        <v/>
      </c>
      <c r="C138" s="14">
        <f>IF(A138="","",'隊員マスタ'!C138)</f>
        <v/>
      </c>
      <c r="D138" s="15">
        <f>IF(A138="","",'隊員マスタ'!D138)</f>
        <v/>
      </c>
      <c r="E138" s="15">
        <f>IF(OR($A138="",E$4=""),"",IF(AND(E$4="小型船舶2級",(COUNTIFS('資格研修記録'!$A$5:$A$1004,$A138,'資格研修記録'!$D$5:$D$1004,"小型船舶1級",'資格研修記録'!$F$5:$F$1004,"")+COUNTIFS('資格研修記録'!$A$5:$A$1004,$A138,'資格研修記録'!$D$5:$D$1004,"小型船舶1級",'資格研修記録'!$F$5:$F$1004,"&gt;="&amp;TODAY()))&gt;0),"1級に含む",IF(COUNTIFS('資格研修記録'!$A$5:$A$1004,$A138,'資格研修記録'!$D$5:$D$1004,E$4)=0,"—",IF(COUNTIFS('資格研修記録'!$A$5:$A$1004,$A138,'資格研修記録'!$D$5:$D$1004,E$4,'資格研修記録'!$F$5:$F$1004,"")+COUNTIFS('資格研修記録'!$A$5:$A$1004,$A138,'資格研修記録'!$D$5:$D$1004,E$4,'資格研修記録'!$F$5:$F$1004,"&gt;="&amp;TODAY())&gt;0,"○","× 期限切れ"))))</f>
        <v/>
      </c>
      <c r="F138" s="15">
        <f>IF(OR($A138="",F$4=""),"",IF(AND(F$4="小型船舶2級",(COUNTIFS('資格研修記録'!$A$5:$A$1004,$A138,'資格研修記録'!$D$5:$D$1004,"小型船舶1級",'資格研修記録'!$F$5:$F$1004,"")+COUNTIFS('資格研修記録'!$A$5:$A$1004,$A138,'資格研修記録'!$D$5:$D$1004,"小型船舶1級",'資格研修記録'!$F$5:$F$1004,"&gt;="&amp;TODAY()))&gt;0),"1級に含む",IF(COUNTIFS('資格研修記録'!$A$5:$A$1004,$A138,'資格研修記録'!$D$5:$D$1004,F$4)=0,"—",IF(COUNTIFS('資格研修記録'!$A$5:$A$1004,$A138,'資格研修記録'!$D$5:$D$1004,F$4,'資格研修記録'!$F$5:$F$1004,"")+COUNTIFS('資格研修記録'!$A$5:$A$1004,$A138,'資格研修記録'!$D$5:$D$1004,F$4,'資格研修記録'!$F$5:$F$1004,"&gt;="&amp;TODAY())&gt;0,"○","× 期限切れ"))))</f>
        <v/>
      </c>
      <c r="G138" s="15">
        <f>IF(OR($A138="",G$4=""),"",IF(AND(G$4="小型船舶2級",(COUNTIFS('資格研修記録'!$A$5:$A$1004,$A138,'資格研修記録'!$D$5:$D$1004,"小型船舶1級",'資格研修記録'!$F$5:$F$1004,"")+COUNTIFS('資格研修記録'!$A$5:$A$1004,$A138,'資格研修記録'!$D$5:$D$1004,"小型船舶1級",'資格研修記録'!$F$5:$F$1004,"&gt;="&amp;TODAY()))&gt;0),"1級に含む",IF(COUNTIFS('資格研修記録'!$A$5:$A$1004,$A138,'資格研修記録'!$D$5:$D$1004,G$4)=0,"—",IF(COUNTIFS('資格研修記録'!$A$5:$A$1004,$A138,'資格研修記録'!$D$5:$D$1004,G$4,'資格研修記録'!$F$5:$F$1004,"")+COUNTIFS('資格研修記録'!$A$5:$A$1004,$A138,'資格研修記録'!$D$5:$D$1004,G$4,'資格研修記録'!$F$5:$F$1004,"&gt;="&amp;TODAY())&gt;0,"○","× 期限切れ"))))</f>
        <v/>
      </c>
      <c r="H138" s="15">
        <f>IF(OR($A138="",H$4=""),"",IF(AND(H$4="小型船舶2級",(COUNTIFS('資格研修記録'!$A$5:$A$1004,$A138,'資格研修記録'!$D$5:$D$1004,"小型船舶1級",'資格研修記録'!$F$5:$F$1004,"")+COUNTIFS('資格研修記録'!$A$5:$A$1004,$A138,'資格研修記録'!$D$5:$D$1004,"小型船舶1級",'資格研修記録'!$F$5:$F$1004,"&gt;="&amp;TODAY()))&gt;0),"1級に含む",IF(COUNTIFS('資格研修記録'!$A$5:$A$1004,$A138,'資格研修記録'!$D$5:$D$1004,H$4)=0,"—",IF(COUNTIFS('資格研修記録'!$A$5:$A$1004,$A138,'資格研修記録'!$D$5:$D$1004,H$4,'資格研修記録'!$F$5:$F$1004,"")+COUNTIFS('資格研修記録'!$A$5:$A$1004,$A138,'資格研修記録'!$D$5:$D$1004,H$4,'資格研修記録'!$F$5:$F$1004,"&gt;="&amp;TODAY())&gt;0,"○","× 期限切れ"))))</f>
        <v/>
      </c>
      <c r="I138" s="15">
        <f>IF(OR($A138="",I$4=""),"",IF(AND(I$4="小型船舶2級",(COUNTIFS('資格研修記録'!$A$5:$A$1004,$A138,'資格研修記録'!$D$5:$D$1004,"小型船舶1級",'資格研修記録'!$F$5:$F$1004,"")+COUNTIFS('資格研修記録'!$A$5:$A$1004,$A138,'資格研修記録'!$D$5:$D$1004,"小型船舶1級",'資格研修記録'!$F$5:$F$1004,"&gt;="&amp;TODAY()))&gt;0),"1級に含む",IF(COUNTIFS('資格研修記録'!$A$5:$A$1004,$A138,'資格研修記録'!$D$5:$D$1004,I$4)=0,"—",IF(COUNTIFS('資格研修記録'!$A$5:$A$1004,$A138,'資格研修記録'!$D$5:$D$1004,I$4,'資格研修記録'!$F$5:$F$1004,"")+COUNTIFS('資格研修記録'!$A$5:$A$1004,$A138,'資格研修記録'!$D$5:$D$1004,I$4,'資格研修記録'!$F$5:$F$1004,"&gt;="&amp;TODAY())&gt;0,"○","× 期限切れ"))))</f>
        <v/>
      </c>
      <c r="J138" s="15">
        <f>IF(OR($A138="",J$4=""),"",IF(AND(J$4="小型船舶2級",(COUNTIFS('資格研修記録'!$A$5:$A$1004,$A138,'資格研修記録'!$D$5:$D$1004,"小型船舶1級",'資格研修記録'!$F$5:$F$1004,"")+COUNTIFS('資格研修記録'!$A$5:$A$1004,$A138,'資格研修記録'!$D$5:$D$1004,"小型船舶1級",'資格研修記録'!$F$5:$F$1004,"&gt;="&amp;TODAY()))&gt;0),"1級に含む",IF(COUNTIFS('資格研修記録'!$A$5:$A$1004,$A138,'資格研修記録'!$D$5:$D$1004,J$4)=0,"—",IF(COUNTIFS('資格研修記録'!$A$5:$A$1004,$A138,'資格研修記録'!$D$5:$D$1004,J$4,'資格研修記録'!$F$5:$F$1004,"")+COUNTIFS('資格研修記録'!$A$5:$A$1004,$A138,'資格研修記録'!$D$5:$D$1004,J$4,'資格研修記録'!$F$5:$F$1004,"&gt;="&amp;TODAY())&gt;0,"○","× 期限切れ"))))</f>
        <v/>
      </c>
      <c r="K138" s="15">
        <f>IF(OR($A138="",K$4=""),"",IF(AND(K$4="小型船舶2級",(COUNTIFS('資格研修記録'!$A$5:$A$1004,$A138,'資格研修記録'!$D$5:$D$1004,"小型船舶1級",'資格研修記録'!$F$5:$F$1004,"")+COUNTIFS('資格研修記録'!$A$5:$A$1004,$A138,'資格研修記録'!$D$5:$D$1004,"小型船舶1級",'資格研修記録'!$F$5:$F$1004,"&gt;="&amp;TODAY()))&gt;0),"1級に含む",IF(COUNTIFS('資格研修記録'!$A$5:$A$1004,$A138,'資格研修記録'!$D$5:$D$1004,K$4)=0,"—",IF(COUNTIFS('資格研修記録'!$A$5:$A$1004,$A138,'資格研修記録'!$D$5:$D$1004,K$4,'資格研修記録'!$F$5:$F$1004,"")+COUNTIFS('資格研修記録'!$A$5:$A$1004,$A138,'資格研修記録'!$D$5:$D$1004,K$4,'資格研修記録'!$F$5:$F$1004,"&gt;="&amp;TODAY())&gt;0,"○","× 期限切れ"))))</f>
        <v/>
      </c>
      <c r="L138" s="15">
        <f>IF(OR($A138="",L$4=""),"",IF(AND(L$4="小型船舶2級",(COUNTIFS('資格研修記録'!$A$5:$A$1004,$A138,'資格研修記録'!$D$5:$D$1004,"小型船舶1級",'資格研修記録'!$F$5:$F$1004,"")+COUNTIFS('資格研修記録'!$A$5:$A$1004,$A138,'資格研修記録'!$D$5:$D$1004,"小型船舶1級",'資格研修記録'!$F$5:$F$1004,"&gt;="&amp;TODAY()))&gt;0),"1級に含む",IF(COUNTIFS('資格研修記録'!$A$5:$A$1004,$A138,'資格研修記録'!$D$5:$D$1004,L$4)=0,"—",IF(COUNTIFS('資格研修記録'!$A$5:$A$1004,$A138,'資格研修記録'!$D$5:$D$1004,L$4,'資格研修記録'!$F$5:$F$1004,"")+COUNTIFS('資格研修記録'!$A$5:$A$1004,$A138,'資格研修記録'!$D$5:$D$1004,L$4,'資格研修記録'!$F$5:$F$1004,"&gt;="&amp;TODAY())&gt;0,"○","× 期限切れ"))))</f>
        <v/>
      </c>
    </row>
    <row r="139">
      <c r="A139" s="14">
        <f>IF('隊員マスタ'!A139="","",'隊員マスタ'!A139)</f>
        <v/>
      </c>
      <c r="B139" s="14">
        <f>IF(A139="","",'隊員マスタ'!B139)</f>
        <v/>
      </c>
      <c r="C139" s="14">
        <f>IF(A139="","",'隊員マスタ'!C139)</f>
        <v/>
      </c>
      <c r="D139" s="15">
        <f>IF(A139="","",'隊員マスタ'!D139)</f>
        <v/>
      </c>
      <c r="E139" s="15">
        <f>IF(OR($A139="",E$4=""),"",IF(AND(E$4="小型船舶2級",(COUNTIFS('資格研修記録'!$A$5:$A$1004,$A139,'資格研修記録'!$D$5:$D$1004,"小型船舶1級",'資格研修記録'!$F$5:$F$1004,"")+COUNTIFS('資格研修記録'!$A$5:$A$1004,$A139,'資格研修記録'!$D$5:$D$1004,"小型船舶1級",'資格研修記録'!$F$5:$F$1004,"&gt;="&amp;TODAY()))&gt;0),"1級に含む",IF(COUNTIFS('資格研修記録'!$A$5:$A$1004,$A139,'資格研修記録'!$D$5:$D$1004,E$4)=0,"—",IF(COUNTIFS('資格研修記録'!$A$5:$A$1004,$A139,'資格研修記録'!$D$5:$D$1004,E$4,'資格研修記録'!$F$5:$F$1004,"")+COUNTIFS('資格研修記録'!$A$5:$A$1004,$A139,'資格研修記録'!$D$5:$D$1004,E$4,'資格研修記録'!$F$5:$F$1004,"&gt;="&amp;TODAY())&gt;0,"○","× 期限切れ"))))</f>
        <v/>
      </c>
      <c r="F139" s="15">
        <f>IF(OR($A139="",F$4=""),"",IF(AND(F$4="小型船舶2級",(COUNTIFS('資格研修記録'!$A$5:$A$1004,$A139,'資格研修記録'!$D$5:$D$1004,"小型船舶1級",'資格研修記録'!$F$5:$F$1004,"")+COUNTIFS('資格研修記録'!$A$5:$A$1004,$A139,'資格研修記録'!$D$5:$D$1004,"小型船舶1級",'資格研修記録'!$F$5:$F$1004,"&gt;="&amp;TODAY()))&gt;0),"1級に含む",IF(COUNTIFS('資格研修記録'!$A$5:$A$1004,$A139,'資格研修記録'!$D$5:$D$1004,F$4)=0,"—",IF(COUNTIFS('資格研修記録'!$A$5:$A$1004,$A139,'資格研修記録'!$D$5:$D$1004,F$4,'資格研修記録'!$F$5:$F$1004,"")+COUNTIFS('資格研修記録'!$A$5:$A$1004,$A139,'資格研修記録'!$D$5:$D$1004,F$4,'資格研修記録'!$F$5:$F$1004,"&gt;="&amp;TODAY())&gt;0,"○","× 期限切れ"))))</f>
        <v/>
      </c>
      <c r="G139" s="15">
        <f>IF(OR($A139="",G$4=""),"",IF(AND(G$4="小型船舶2級",(COUNTIFS('資格研修記録'!$A$5:$A$1004,$A139,'資格研修記録'!$D$5:$D$1004,"小型船舶1級",'資格研修記録'!$F$5:$F$1004,"")+COUNTIFS('資格研修記録'!$A$5:$A$1004,$A139,'資格研修記録'!$D$5:$D$1004,"小型船舶1級",'資格研修記録'!$F$5:$F$1004,"&gt;="&amp;TODAY()))&gt;0),"1級に含む",IF(COUNTIFS('資格研修記録'!$A$5:$A$1004,$A139,'資格研修記録'!$D$5:$D$1004,G$4)=0,"—",IF(COUNTIFS('資格研修記録'!$A$5:$A$1004,$A139,'資格研修記録'!$D$5:$D$1004,G$4,'資格研修記録'!$F$5:$F$1004,"")+COUNTIFS('資格研修記録'!$A$5:$A$1004,$A139,'資格研修記録'!$D$5:$D$1004,G$4,'資格研修記録'!$F$5:$F$1004,"&gt;="&amp;TODAY())&gt;0,"○","× 期限切れ"))))</f>
        <v/>
      </c>
      <c r="H139" s="15">
        <f>IF(OR($A139="",H$4=""),"",IF(AND(H$4="小型船舶2級",(COUNTIFS('資格研修記録'!$A$5:$A$1004,$A139,'資格研修記録'!$D$5:$D$1004,"小型船舶1級",'資格研修記録'!$F$5:$F$1004,"")+COUNTIFS('資格研修記録'!$A$5:$A$1004,$A139,'資格研修記録'!$D$5:$D$1004,"小型船舶1級",'資格研修記録'!$F$5:$F$1004,"&gt;="&amp;TODAY()))&gt;0),"1級に含む",IF(COUNTIFS('資格研修記録'!$A$5:$A$1004,$A139,'資格研修記録'!$D$5:$D$1004,H$4)=0,"—",IF(COUNTIFS('資格研修記録'!$A$5:$A$1004,$A139,'資格研修記録'!$D$5:$D$1004,H$4,'資格研修記録'!$F$5:$F$1004,"")+COUNTIFS('資格研修記録'!$A$5:$A$1004,$A139,'資格研修記録'!$D$5:$D$1004,H$4,'資格研修記録'!$F$5:$F$1004,"&gt;="&amp;TODAY())&gt;0,"○","× 期限切れ"))))</f>
        <v/>
      </c>
      <c r="I139" s="15">
        <f>IF(OR($A139="",I$4=""),"",IF(AND(I$4="小型船舶2級",(COUNTIFS('資格研修記録'!$A$5:$A$1004,$A139,'資格研修記録'!$D$5:$D$1004,"小型船舶1級",'資格研修記録'!$F$5:$F$1004,"")+COUNTIFS('資格研修記録'!$A$5:$A$1004,$A139,'資格研修記録'!$D$5:$D$1004,"小型船舶1級",'資格研修記録'!$F$5:$F$1004,"&gt;="&amp;TODAY()))&gt;0),"1級に含む",IF(COUNTIFS('資格研修記録'!$A$5:$A$1004,$A139,'資格研修記録'!$D$5:$D$1004,I$4)=0,"—",IF(COUNTIFS('資格研修記録'!$A$5:$A$1004,$A139,'資格研修記録'!$D$5:$D$1004,I$4,'資格研修記録'!$F$5:$F$1004,"")+COUNTIFS('資格研修記録'!$A$5:$A$1004,$A139,'資格研修記録'!$D$5:$D$1004,I$4,'資格研修記録'!$F$5:$F$1004,"&gt;="&amp;TODAY())&gt;0,"○","× 期限切れ"))))</f>
        <v/>
      </c>
      <c r="J139" s="15">
        <f>IF(OR($A139="",J$4=""),"",IF(AND(J$4="小型船舶2級",(COUNTIFS('資格研修記録'!$A$5:$A$1004,$A139,'資格研修記録'!$D$5:$D$1004,"小型船舶1級",'資格研修記録'!$F$5:$F$1004,"")+COUNTIFS('資格研修記録'!$A$5:$A$1004,$A139,'資格研修記録'!$D$5:$D$1004,"小型船舶1級",'資格研修記録'!$F$5:$F$1004,"&gt;="&amp;TODAY()))&gt;0),"1級に含む",IF(COUNTIFS('資格研修記録'!$A$5:$A$1004,$A139,'資格研修記録'!$D$5:$D$1004,J$4)=0,"—",IF(COUNTIFS('資格研修記録'!$A$5:$A$1004,$A139,'資格研修記録'!$D$5:$D$1004,J$4,'資格研修記録'!$F$5:$F$1004,"")+COUNTIFS('資格研修記録'!$A$5:$A$1004,$A139,'資格研修記録'!$D$5:$D$1004,J$4,'資格研修記録'!$F$5:$F$1004,"&gt;="&amp;TODAY())&gt;0,"○","× 期限切れ"))))</f>
        <v/>
      </c>
      <c r="K139" s="15">
        <f>IF(OR($A139="",K$4=""),"",IF(AND(K$4="小型船舶2級",(COUNTIFS('資格研修記録'!$A$5:$A$1004,$A139,'資格研修記録'!$D$5:$D$1004,"小型船舶1級",'資格研修記録'!$F$5:$F$1004,"")+COUNTIFS('資格研修記録'!$A$5:$A$1004,$A139,'資格研修記録'!$D$5:$D$1004,"小型船舶1級",'資格研修記録'!$F$5:$F$1004,"&gt;="&amp;TODAY()))&gt;0),"1級に含む",IF(COUNTIFS('資格研修記録'!$A$5:$A$1004,$A139,'資格研修記録'!$D$5:$D$1004,K$4)=0,"—",IF(COUNTIFS('資格研修記録'!$A$5:$A$1004,$A139,'資格研修記録'!$D$5:$D$1004,K$4,'資格研修記録'!$F$5:$F$1004,"")+COUNTIFS('資格研修記録'!$A$5:$A$1004,$A139,'資格研修記録'!$D$5:$D$1004,K$4,'資格研修記録'!$F$5:$F$1004,"&gt;="&amp;TODAY())&gt;0,"○","× 期限切れ"))))</f>
        <v/>
      </c>
      <c r="L139" s="15">
        <f>IF(OR($A139="",L$4=""),"",IF(AND(L$4="小型船舶2級",(COUNTIFS('資格研修記録'!$A$5:$A$1004,$A139,'資格研修記録'!$D$5:$D$1004,"小型船舶1級",'資格研修記録'!$F$5:$F$1004,"")+COUNTIFS('資格研修記録'!$A$5:$A$1004,$A139,'資格研修記録'!$D$5:$D$1004,"小型船舶1級",'資格研修記録'!$F$5:$F$1004,"&gt;="&amp;TODAY()))&gt;0),"1級に含む",IF(COUNTIFS('資格研修記録'!$A$5:$A$1004,$A139,'資格研修記録'!$D$5:$D$1004,L$4)=0,"—",IF(COUNTIFS('資格研修記録'!$A$5:$A$1004,$A139,'資格研修記録'!$D$5:$D$1004,L$4,'資格研修記録'!$F$5:$F$1004,"")+COUNTIFS('資格研修記録'!$A$5:$A$1004,$A139,'資格研修記録'!$D$5:$D$1004,L$4,'資格研修記録'!$F$5:$F$1004,"&gt;="&amp;TODAY())&gt;0,"○","× 期限切れ"))))</f>
        <v/>
      </c>
    </row>
    <row r="140">
      <c r="A140" s="14">
        <f>IF('隊員マスタ'!A140="","",'隊員マスタ'!A140)</f>
        <v/>
      </c>
      <c r="B140" s="14">
        <f>IF(A140="","",'隊員マスタ'!B140)</f>
        <v/>
      </c>
      <c r="C140" s="14">
        <f>IF(A140="","",'隊員マスタ'!C140)</f>
        <v/>
      </c>
      <c r="D140" s="15">
        <f>IF(A140="","",'隊員マスタ'!D140)</f>
        <v/>
      </c>
      <c r="E140" s="15">
        <f>IF(OR($A140="",E$4=""),"",IF(AND(E$4="小型船舶2級",(COUNTIFS('資格研修記録'!$A$5:$A$1004,$A140,'資格研修記録'!$D$5:$D$1004,"小型船舶1級",'資格研修記録'!$F$5:$F$1004,"")+COUNTIFS('資格研修記録'!$A$5:$A$1004,$A140,'資格研修記録'!$D$5:$D$1004,"小型船舶1級",'資格研修記録'!$F$5:$F$1004,"&gt;="&amp;TODAY()))&gt;0),"1級に含む",IF(COUNTIFS('資格研修記録'!$A$5:$A$1004,$A140,'資格研修記録'!$D$5:$D$1004,E$4)=0,"—",IF(COUNTIFS('資格研修記録'!$A$5:$A$1004,$A140,'資格研修記録'!$D$5:$D$1004,E$4,'資格研修記録'!$F$5:$F$1004,"")+COUNTIFS('資格研修記録'!$A$5:$A$1004,$A140,'資格研修記録'!$D$5:$D$1004,E$4,'資格研修記録'!$F$5:$F$1004,"&gt;="&amp;TODAY())&gt;0,"○","× 期限切れ"))))</f>
        <v/>
      </c>
      <c r="F140" s="15">
        <f>IF(OR($A140="",F$4=""),"",IF(AND(F$4="小型船舶2級",(COUNTIFS('資格研修記録'!$A$5:$A$1004,$A140,'資格研修記録'!$D$5:$D$1004,"小型船舶1級",'資格研修記録'!$F$5:$F$1004,"")+COUNTIFS('資格研修記録'!$A$5:$A$1004,$A140,'資格研修記録'!$D$5:$D$1004,"小型船舶1級",'資格研修記録'!$F$5:$F$1004,"&gt;="&amp;TODAY()))&gt;0),"1級に含む",IF(COUNTIFS('資格研修記録'!$A$5:$A$1004,$A140,'資格研修記録'!$D$5:$D$1004,F$4)=0,"—",IF(COUNTIFS('資格研修記録'!$A$5:$A$1004,$A140,'資格研修記録'!$D$5:$D$1004,F$4,'資格研修記録'!$F$5:$F$1004,"")+COUNTIFS('資格研修記録'!$A$5:$A$1004,$A140,'資格研修記録'!$D$5:$D$1004,F$4,'資格研修記録'!$F$5:$F$1004,"&gt;="&amp;TODAY())&gt;0,"○","× 期限切れ"))))</f>
        <v/>
      </c>
      <c r="G140" s="15">
        <f>IF(OR($A140="",G$4=""),"",IF(AND(G$4="小型船舶2級",(COUNTIFS('資格研修記録'!$A$5:$A$1004,$A140,'資格研修記録'!$D$5:$D$1004,"小型船舶1級",'資格研修記録'!$F$5:$F$1004,"")+COUNTIFS('資格研修記録'!$A$5:$A$1004,$A140,'資格研修記録'!$D$5:$D$1004,"小型船舶1級",'資格研修記録'!$F$5:$F$1004,"&gt;="&amp;TODAY()))&gt;0),"1級に含む",IF(COUNTIFS('資格研修記録'!$A$5:$A$1004,$A140,'資格研修記録'!$D$5:$D$1004,G$4)=0,"—",IF(COUNTIFS('資格研修記録'!$A$5:$A$1004,$A140,'資格研修記録'!$D$5:$D$1004,G$4,'資格研修記録'!$F$5:$F$1004,"")+COUNTIFS('資格研修記録'!$A$5:$A$1004,$A140,'資格研修記録'!$D$5:$D$1004,G$4,'資格研修記録'!$F$5:$F$1004,"&gt;="&amp;TODAY())&gt;0,"○","× 期限切れ"))))</f>
        <v/>
      </c>
      <c r="H140" s="15">
        <f>IF(OR($A140="",H$4=""),"",IF(AND(H$4="小型船舶2級",(COUNTIFS('資格研修記録'!$A$5:$A$1004,$A140,'資格研修記録'!$D$5:$D$1004,"小型船舶1級",'資格研修記録'!$F$5:$F$1004,"")+COUNTIFS('資格研修記録'!$A$5:$A$1004,$A140,'資格研修記録'!$D$5:$D$1004,"小型船舶1級",'資格研修記録'!$F$5:$F$1004,"&gt;="&amp;TODAY()))&gt;0),"1級に含む",IF(COUNTIFS('資格研修記録'!$A$5:$A$1004,$A140,'資格研修記録'!$D$5:$D$1004,H$4)=0,"—",IF(COUNTIFS('資格研修記録'!$A$5:$A$1004,$A140,'資格研修記録'!$D$5:$D$1004,H$4,'資格研修記録'!$F$5:$F$1004,"")+COUNTIFS('資格研修記録'!$A$5:$A$1004,$A140,'資格研修記録'!$D$5:$D$1004,H$4,'資格研修記録'!$F$5:$F$1004,"&gt;="&amp;TODAY())&gt;0,"○","× 期限切れ"))))</f>
        <v/>
      </c>
      <c r="I140" s="15">
        <f>IF(OR($A140="",I$4=""),"",IF(AND(I$4="小型船舶2級",(COUNTIFS('資格研修記録'!$A$5:$A$1004,$A140,'資格研修記録'!$D$5:$D$1004,"小型船舶1級",'資格研修記録'!$F$5:$F$1004,"")+COUNTIFS('資格研修記録'!$A$5:$A$1004,$A140,'資格研修記録'!$D$5:$D$1004,"小型船舶1級",'資格研修記録'!$F$5:$F$1004,"&gt;="&amp;TODAY()))&gt;0),"1級に含む",IF(COUNTIFS('資格研修記録'!$A$5:$A$1004,$A140,'資格研修記録'!$D$5:$D$1004,I$4)=0,"—",IF(COUNTIFS('資格研修記録'!$A$5:$A$1004,$A140,'資格研修記録'!$D$5:$D$1004,I$4,'資格研修記録'!$F$5:$F$1004,"")+COUNTIFS('資格研修記録'!$A$5:$A$1004,$A140,'資格研修記録'!$D$5:$D$1004,I$4,'資格研修記録'!$F$5:$F$1004,"&gt;="&amp;TODAY())&gt;0,"○","× 期限切れ"))))</f>
        <v/>
      </c>
      <c r="J140" s="15">
        <f>IF(OR($A140="",J$4=""),"",IF(AND(J$4="小型船舶2級",(COUNTIFS('資格研修記録'!$A$5:$A$1004,$A140,'資格研修記録'!$D$5:$D$1004,"小型船舶1級",'資格研修記録'!$F$5:$F$1004,"")+COUNTIFS('資格研修記録'!$A$5:$A$1004,$A140,'資格研修記録'!$D$5:$D$1004,"小型船舶1級",'資格研修記録'!$F$5:$F$1004,"&gt;="&amp;TODAY()))&gt;0),"1級に含む",IF(COUNTIFS('資格研修記録'!$A$5:$A$1004,$A140,'資格研修記録'!$D$5:$D$1004,J$4)=0,"—",IF(COUNTIFS('資格研修記録'!$A$5:$A$1004,$A140,'資格研修記録'!$D$5:$D$1004,J$4,'資格研修記録'!$F$5:$F$1004,"")+COUNTIFS('資格研修記録'!$A$5:$A$1004,$A140,'資格研修記録'!$D$5:$D$1004,J$4,'資格研修記録'!$F$5:$F$1004,"&gt;="&amp;TODAY())&gt;0,"○","× 期限切れ"))))</f>
        <v/>
      </c>
      <c r="K140" s="15">
        <f>IF(OR($A140="",K$4=""),"",IF(AND(K$4="小型船舶2級",(COUNTIFS('資格研修記録'!$A$5:$A$1004,$A140,'資格研修記録'!$D$5:$D$1004,"小型船舶1級",'資格研修記録'!$F$5:$F$1004,"")+COUNTIFS('資格研修記録'!$A$5:$A$1004,$A140,'資格研修記録'!$D$5:$D$1004,"小型船舶1級",'資格研修記録'!$F$5:$F$1004,"&gt;="&amp;TODAY()))&gt;0),"1級に含む",IF(COUNTIFS('資格研修記録'!$A$5:$A$1004,$A140,'資格研修記録'!$D$5:$D$1004,K$4)=0,"—",IF(COUNTIFS('資格研修記録'!$A$5:$A$1004,$A140,'資格研修記録'!$D$5:$D$1004,K$4,'資格研修記録'!$F$5:$F$1004,"")+COUNTIFS('資格研修記録'!$A$5:$A$1004,$A140,'資格研修記録'!$D$5:$D$1004,K$4,'資格研修記録'!$F$5:$F$1004,"&gt;="&amp;TODAY())&gt;0,"○","× 期限切れ"))))</f>
        <v/>
      </c>
      <c r="L140" s="15">
        <f>IF(OR($A140="",L$4=""),"",IF(AND(L$4="小型船舶2級",(COUNTIFS('資格研修記録'!$A$5:$A$1004,$A140,'資格研修記録'!$D$5:$D$1004,"小型船舶1級",'資格研修記録'!$F$5:$F$1004,"")+COUNTIFS('資格研修記録'!$A$5:$A$1004,$A140,'資格研修記録'!$D$5:$D$1004,"小型船舶1級",'資格研修記録'!$F$5:$F$1004,"&gt;="&amp;TODAY()))&gt;0),"1級に含む",IF(COUNTIFS('資格研修記録'!$A$5:$A$1004,$A140,'資格研修記録'!$D$5:$D$1004,L$4)=0,"—",IF(COUNTIFS('資格研修記録'!$A$5:$A$1004,$A140,'資格研修記録'!$D$5:$D$1004,L$4,'資格研修記録'!$F$5:$F$1004,"")+COUNTIFS('資格研修記録'!$A$5:$A$1004,$A140,'資格研修記録'!$D$5:$D$1004,L$4,'資格研修記録'!$F$5:$F$1004,"&gt;="&amp;TODAY())&gt;0,"○","× 期限切れ"))))</f>
        <v/>
      </c>
    </row>
    <row r="141">
      <c r="A141" s="14">
        <f>IF('隊員マスタ'!A141="","",'隊員マスタ'!A141)</f>
        <v/>
      </c>
      <c r="B141" s="14">
        <f>IF(A141="","",'隊員マスタ'!B141)</f>
        <v/>
      </c>
      <c r="C141" s="14">
        <f>IF(A141="","",'隊員マスタ'!C141)</f>
        <v/>
      </c>
      <c r="D141" s="15">
        <f>IF(A141="","",'隊員マスタ'!D141)</f>
        <v/>
      </c>
      <c r="E141" s="15">
        <f>IF(OR($A141="",E$4=""),"",IF(AND(E$4="小型船舶2級",(COUNTIFS('資格研修記録'!$A$5:$A$1004,$A141,'資格研修記録'!$D$5:$D$1004,"小型船舶1級",'資格研修記録'!$F$5:$F$1004,"")+COUNTIFS('資格研修記録'!$A$5:$A$1004,$A141,'資格研修記録'!$D$5:$D$1004,"小型船舶1級",'資格研修記録'!$F$5:$F$1004,"&gt;="&amp;TODAY()))&gt;0),"1級に含む",IF(COUNTIFS('資格研修記録'!$A$5:$A$1004,$A141,'資格研修記録'!$D$5:$D$1004,E$4)=0,"—",IF(COUNTIFS('資格研修記録'!$A$5:$A$1004,$A141,'資格研修記録'!$D$5:$D$1004,E$4,'資格研修記録'!$F$5:$F$1004,"")+COUNTIFS('資格研修記録'!$A$5:$A$1004,$A141,'資格研修記録'!$D$5:$D$1004,E$4,'資格研修記録'!$F$5:$F$1004,"&gt;="&amp;TODAY())&gt;0,"○","× 期限切れ"))))</f>
        <v/>
      </c>
      <c r="F141" s="15">
        <f>IF(OR($A141="",F$4=""),"",IF(AND(F$4="小型船舶2級",(COUNTIFS('資格研修記録'!$A$5:$A$1004,$A141,'資格研修記録'!$D$5:$D$1004,"小型船舶1級",'資格研修記録'!$F$5:$F$1004,"")+COUNTIFS('資格研修記録'!$A$5:$A$1004,$A141,'資格研修記録'!$D$5:$D$1004,"小型船舶1級",'資格研修記録'!$F$5:$F$1004,"&gt;="&amp;TODAY()))&gt;0),"1級に含む",IF(COUNTIFS('資格研修記録'!$A$5:$A$1004,$A141,'資格研修記録'!$D$5:$D$1004,F$4)=0,"—",IF(COUNTIFS('資格研修記録'!$A$5:$A$1004,$A141,'資格研修記録'!$D$5:$D$1004,F$4,'資格研修記録'!$F$5:$F$1004,"")+COUNTIFS('資格研修記録'!$A$5:$A$1004,$A141,'資格研修記録'!$D$5:$D$1004,F$4,'資格研修記録'!$F$5:$F$1004,"&gt;="&amp;TODAY())&gt;0,"○","× 期限切れ"))))</f>
        <v/>
      </c>
      <c r="G141" s="15">
        <f>IF(OR($A141="",G$4=""),"",IF(AND(G$4="小型船舶2級",(COUNTIFS('資格研修記録'!$A$5:$A$1004,$A141,'資格研修記録'!$D$5:$D$1004,"小型船舶1級",'資格研修記録'!$F$5:$F$1004,"")+COUNTIFS('資格研修記録'!$A$5:$A$1004,$A141,'資格研修記録'!$D$5:$D$1004,"小型船舶1級",'資格研修記録'!$F$5:$F$1004,"&gt;="&amp;TODAY()))&gt;0),"1級に含む",IF(COUNTIFS('資格研修記録'!$A$5:$A$1004,$A141,'資格研修記録'!$D$5:$D$1004,G$4)=0,"—",IF(COUNTIFS('資格研修記録'!$A$5:$A$1004,$A141,'資格研修記録'!$D$5:$D$1004,G$4,'資格研修記録'!$F$5:$F$1004,"")+COUNTIFS('資格研修記録'!$A$5:$A$1004,$A141,'資格研修記録'!$D$5:$D$1004,G$4,'資格研修記録'!$F$5:$F$1004,"&gt;="&amp;TODAY())&gt;0,"○","× 期限切れ"))))</f>
        <v/>
      </c>
      <c r="H141" s="15">
        <f>IF(OR($A141="",H$4=""),"",IF(AND(H$4="小型船舶2級",(COUNTIFS('資格研修記録'!$A$5:$A$1004,$A141,'資格研修記録'!$D$5:$D$1004,"小型船舶1級",'資格研修記録'!$F$5:$F$1004,"")+COUNTIFS('資格研修記録'!$A$5:$A$1004,$A141,'資格研修記録'!$D$5:$D$1004,"小型船舶1級",'資格研修記録'!$F$5:$F$1004,"&gt;="&amp;TODAY()))&gt;0),"1級に含む",IF(COUNTIFS('資格研修記録'!$A$5:$A$1004,$A141,'資格研修記録'!$D$5:$D$1004,H$4)=0,"—",IF(COUNTIFS('資格研修記録'!$A$5:$A$1004,$A141,'資格研修記録'!$D$5:$D$1004,H$4,'資格研修記録'!$F$5:$F$1004,"")+COUNTIFS('資格研修記録'!$A$5:$A$1004,$A141,'資格研修記録'!$D$5:$D$1004,H$4,'資格研修記録'!$F$5:$F$1004,"&gt;="&amp;TODAY())&gt;0,"○","× 期限切れ"))))</f>
        <v/>
      </c>
      <c r="I141" s="15">
        <f>IF(OR($A141="",I$4=""),"",IF(AND(I$4="小型船舶2級",(COUNTIFS('資格研修記録'!$A$5:$A$1004,$A141,'資格研修記録'!$D$5:$D$1004,"小型船舶1級",'資格研修記録'!$F$5:$F$1004,"")+COUNTIFS('資格研修記録'!$A$5:$A$1004,$A141,'資格研修記録'!$D$5:$D$1004,"小型船舶1級",'資格研修記録'!$F$5:$F$1004,"&gt;="&amp;TODAY()))&gt;0),"1級に含む",IF(COUNTIFS('資格研修記録'!$A$5:$A$1004,$A141,'資格研修記録'!$D$5:$D$1004,I$4)=0,"—",IF(COUNTIFS('資格研修記録'!$A$5:$A$1004,$A141,'資格研修記録'!$D$5:$D$1004,I$4,'資格研修記録'!$F$5:$F$1004,"")+COUNTIFS('資格研修記録'!$A$5:$A$1004,$A141,'資格研修記録'!$D$5:$D$1004,I$4,'資格研修記録'!$F$5:$F$1004,"&gt;="&amp;TODAY())&gt;0,"○","× 期限切れ"))))</f>
        <v/>
      </c>
      <c r="J141" s="15">
        <f>IF(OR($A141="",J$4=""),"",IF(AND(J$4="小型船舶2級",(COUNTIFS('資格研修記録'!$A$5:$A$1004,$A141,'資格研修記録'!$D$5:$D$1004,"小型船舶1級",'資格研修記録'!$F$5:$F$1004,"")+COUNTIFS('資格研修記録'!$A$5:$A$1004,$A141,'資格研修記録'!$D$5:$D$1004,"小型船舶1級",'資格研修記録'!$F$5:$F$1004,"&gt;="&amp;TODAY()))&gt;0),"1級に含む",IF(COUNTIFS('資格研修記録'!$A$5:$A$1004,$A141,'資格研修記録'!$D$5:$D$1004,J$4)=0,"—",IF(COUNTIFS('資格研修記録'!$A$5:$A$1004,$A141,'資格研修記録'!$D$5:$D$1004,J$4,'資格研修記録'!$F$5:$F$1004,"")+COUNTIFS('資格研修記録'!$A$5:$A$1004,$A141,'資格研修記録'!$D$5:$D$1004,J$4,'資格研修記録'!$F$5:$F$1004,"&gt;="&amp;TODAY())&gt;0,"○","× 期限切れ"))))</f>
        <v/>
      </c>
      <c r="K141" s="15">
        <f>IF(OR($A141="",K$4=""),"",IF(AND(K$4="小型船舶2級",(COUNTIFS('資格研修記録'!$A$5:$A$1004,$A141,'資格研修記録'!$D$5:$D$1004,"小型船舶1級",'資格研修記録'!$F$5:$F$1004,"")+COUNTIFS('資格研修記録'!$A$5:$A$1004,$A141,'資格研修記録'!$D$5:$D$1004,"小型船舶1級",'資格研修記録'!$F$5:$F$1004,"&gt;="&amp;TODAY()))&gt;0),"1級に含む",IF(COUNTIFS('資格研修記録'!$A$5:$A$1004,$A141,'資格研修記録'!$D$5:$D$1004,K$4)=0,"—",IF(COUNTIFS('資格研修記録'!$A$5:$A$1004,$A141,'資格研修記録'!$D$5:$D$1004,K$4,'資格研修記録'!$F$5:$F$1004,"")+COUNTIFS('資格研修記録'!$A$5:$A$1004,$A141,'資格研修記録'!$D$5:$D$1004,K$4,'資格研修記録'!$F$5:$F$1004,"&gt;="&amp;TODAY())&gt;0,"○","× 期限切れ"))))</f>
        <v/>
      </c>
      <c r="L141" s="15">
        <f>IF(OR($A141="",L$4=""),"",IF(AND(L$4="小型船舶2級",(COUNTIFS('資格研修記録'!$A$5:$A$1004,$A141,'資格研修記録'!$D$5:$D$1004,"小型船舶1級",'資格研修記録'!$F$5:$F$1004,"")+COUNTIFS('資格研修記録'!$A$5:$A$1004,$A141,'資格研修記録'!$D$5:$D$1004,"小型船舶1級",'資格研修記録'!$F$5:$F$1004,"&gt;="&amp;TODAY()))&gt;0),"1級に含む",IF(COUNTIFS('資格研修記録'!$A$5:$A$1004,$A141,'資格研修記録'!$D$5:$D$1004,L$4)=0,"—",IF(COUNTIFS('資格研修記録'!$A$5:$A$1004,$A141,'資格研修記録'!$D$5:$D$1004,L$4,'資格研修記録'!$F$5:$F$1004,"")+COUNTIFS('資格研修記録'!$A$5:$A$1004,$A141,'資格研修記録'!$D$5:$D$1004,L$4,'資格研修記録'!$F$5:$F$1004,"&gt;="&amp;TODAY())&gt;0,"○","× 期限切れ"))))</f>
        <v/>
      </c>
    </row>
    <row r="142">
      <c r="A142" s="14">
        <f>IF('隊員マスタ'!A142="","",'隊員マスタ'!A142)</f>
        <v/>
      </c>
      <c r="B142" s="14">
        <f>IF(A142="","",'隊員マスタ'!B142)</f>
        <v/>
      </c>
      <c r="C142" s="14">
        <f>IF(A142="","",'隊員マスタ'!C142)</f>
        <v/>
      </c>
      <c r="D142" s="15">
        <f>IF(A142="","",'隊員マスタ'!D142)</f>
        <v/>
      </c>
      <c r="E142" s="15">
        <f>IF(OR($A142="",E$4=""),"",IF(AND(E$4="小型船舶2級",(COUNTIFS('資格研修記録'!$A$5:$A$1004,$A142,'資格研修記録'!$D$5:$D$1004,"小型船舶1級",'資格研修記録'!$F$5:$F$1004,"")+COUNTIFS('資格研修記録'!$A$5:$A$1004,$A142,'資格研修記録'!$D$5:$D$1004,"小型船舶1級",'資格研修記録'!$F$5:$F$1004,"&gt;="&amp;TODAY()))&gt;0),"1級に含む",IF(COUNTIFS('資格研修記録'!$A$5:$A$1004,$A142,'資格研修記録'!$D$5:$D$1004,E$4)=0,"—",IF(COUNTIFS('資格研修記録'!$A$5:$A$1004,$A142,'資格研修記録'!$D$5:$D$1004,E$4,'資格研修記録'!$F$5:$F$1004,"")+COUNTIFS('資格研修記録'!$A$5:$A$1004,$A142,'資格研修記録'!$D$5:$D$1004,E$4,'資格研修記録'!$F$5:$F$1004,"&gt;="&amp;TODAY())&gt;0,"○","× 期限切れ"))))</f>
        <v/>
      </c>
      <c r="F142" s="15">
        <f>IF(OR($A142="",F$4=""),"",IF(AND(F$4="小型船舶2級",(COUNTIFS('資格研修記録'!$A$5:$A$1004,$A142,'資格研修記録'!$D$5:$D$1004,"小型船舶1級",'資格研修記録'!$F$5:$F$1004,"")+COUNTIFS('資格研修記録'!$A$5:$A$1004,$A142,'資格研修記録'!$D$5:$D$1004,"小型船舶1級",'資格研修記録'!$F$5:$F$1004,"&gt;="&amp;TODAY()))&gt;0),"1級に含む",IF(COUNTIFS('資格研修記録'!$A$5:$A$1004,$A142,'資格研修記録'!$D$5:$D$1004,F$4)=0,"—",IF(COUNTIFS('資格研修記録'!$A$5:$A$1004,$A142,'資格研修記録'!$D$5:$D$1004,F$4,'資格研修記録'!$F$5:$F$1004,"")+COUNTIFS('資格研修記録'!$A$5:$A$1004,$A142,'資格研修記録'!$D$5:$D$1004,F$4,'資格研修記録'!$F$5:$F$1004,"&gt;="&amp;TODAY())&gt;0,"○","× 期限切れ"))))</f>
        <v/>
      </c>
      <c r="G142" s="15">
        <f>IF(OR($A142="",G$4=""),"",IF(AND(G$4="小型船舶2級",(COUNTIFS('資格研修記録'!$A$5:$A$1004,$A142,'資格研修記録'!$D$5:$D$1004,"小型船舶1級",'資格研修記録'!$F$5:$F$1004,"")+COUNTIFS('資格研修記録'!$A$5:$A$1004,$A142,'資格研修記録'!$D$5:$D$1004,"小型船舶1級",'資格研修記録'!$F$5:$F$1004,"&gt;="&amp;TODAY()))&gt;0),"1級に含む",IF(COUNTIFS('資格研修記録'!$A$5:$A$1004,$A142,'資格研修記録'!$D$5:$D$1004,G$4)=0,"—",IF(COUNTIFS('資格研修記録'!$A$5:$A$1004,$A142,'資格研修記録'!$D$5:$D$1004,G$4,'資格研修記録'!$F$5:$F$1004,"")+COUNTIFS('資格研修記録'!$A$5:$A$1004,$A142,'資格研修記録'!$D$5:$D$1004,G$4,'資格研修記録'!$F$5:$F$1004,"&gt;="&amp;TODAY())&gt;0,"○","× 期限切れ"))))</f>
        <v/>
      </c>
      <c r="H142" s="15">
        <f>IF(OR($A142="",H$4=""),"",IF(AND(H$4="小型船舶2級",(COUNTIFS('資格研修記録'!$A$5:$A$1004,$A142,'資格研修記録'!$D$5:$D$1004,"小型船舶1級",'資格研修記録'!$F$5:$F$1004,"")+COUNTIFS('資格研修記録'!$A$5:$A$1004,$A142,'資格研修記録'!$D$5:$D$1004,"小型船舶1級",'資格研修記録'!$F$5:$F$1004,"&gt;="&amp;TODAY()))&gt;0),"1級に含む",IF(COUNTIFS('資格研修記録'!$A$5:$A$1004,$A142,'資格研修記録'!$D$5:$D$1004,H$4)=0,"—",IF(COUNTIFS('資格研修記録'!$A$5:$A$1004,$A142,'資格研修記録'!$D$5:$D$1004,H$4,'資格研修記録'!$F$5:$F$1004,"")+COUNTIFS('資格研修記録'!$A$5:$A$1004,$A142,'資格研修記録'!$D$5:$D$1004,H$4,'資格研修記録'!$F$5:$F$1004,"&gt;="&amp;TODAY())&gt;0,"○","× 期限切れ"))))</f>
        <v/>
      </c>
      <c r="I142" s="15">
        <f>IF(OR($A142="",I$4=""),"",IF(AND(I$4="小型船舶2級",(COUNTIFS('資格研修記録'!$A$5:$A$1004,$A142,'資格研修記録'!$D$5:$D$1004,"小型船舶1級",'資格研修記録'!$F$5:$F$1004,"")+COUNTIFS('資格研修記録'!$A$5:$A$1004,$A142,'資格研修記録'!$D$5:$D$1004,"小型船舶1級",'資格研修記録'!$F$5:$F$1004,"&gt;="&amp;TODAY()))&gt;0),"1級に含む",IF(COUNTIFS('資格研修記録'!$A$5:$A$1004,$A142,'資格研修記録'!$D$5:$D$1004,I$4)=0,"—",IF(COUNTIFS('資格研修記録'!$A$5:$A$1004,$A142,'資格研修記録'!$D$5:$D$1004,I$4,'資格研修記録'!$F$5:$F$1004,"")+COUNTIFS('資格研修記録'!$A$5:$A$1004,$A142,'資格研修記録'!$D$5:$D$1004,I$4,'資格研修記録'!$F$5:$F$1004,"&gt;="&amp;TODAY())&gt;0,"○","× 期限切れ"))))</f>
        <v/>
      </c>
      <c r="J142" s="15">
        <f>IF(OR($A142="",J$4=""),"",IF(AND(J$4="小型船舶2級",(COUNTIFS('資格研修記録'!$A$5:$A$1004,$A142,'資格研修記録'!$D$5:$D$1004,"小型船舶1級",'資格研修記録'!$F$5:$F$1004,"")+COUNTIFS('資格研修記録'!$A$5:$A$1004,$A142,'資格研修記録'!$D$5:$D$1004,"小型船舶1級",'資格研修記録'!$F$5:$F$1004,"&gt;="&amp;TODAY()))&gt;0),"1級に含む",IF(COUNTIFS('資格研修記録'!$A$5:$A$1004,$A142,'資格研修記録'!$D$5:$D$1004,J$4)=0,"—",IF(COUNTIFS('資格研修記録'!$A$5:$A$1004,$A142,'資格研修記録'!$D$5:$D$1004,J$4,'資格研修記録'!$F$5:$F$1004,"")+COUNTIFS('資格研修記録'!$A$5:$A$1004,$A142,'資格研修記録'!$D$5:$D$1004,J$4,'資格研修記録'!$F$5:$F$1004,"&gt;="&amp;TODAY())&gt;0,"○","× 期限切れ"))))</f>
        <v/>
      </c>
      <c r="K142" s="15">
        <f>IF(OR($A142="",K$4=""),"",IF(AND(K$4="小型船舶2級",(COUNTIFS('資格研修記録'!$A$5:$A$1004,$A142,'資格研修記録'!$D$5:$D$1004,"小型船舶1級",'資格研修記録'!$F$5:$F$1004,"")+COUNTIFS('資格研修記録'!$A$5:$A$1004,$A142,'資格研修記録'!$D$5:$D$1004,"小型船舶1級",'資格研修記録'!$F$5:$F$1004,"&gt;="&amp;TODAY()))&gt;0),"1級に含む",IF(COUNTIFS('資格研修記録'!$A$5:$A$1004,$A142,'資格研修記録'!$D$5:$D$1004,K$4)=0,"—",IF(COUNTIFS('資格研修記録'!$A$5:$A$1004,$A142,'資格研修記録'!$D$5:$D$1004,K$4,'資格研修記録'!$F$5:$F$1004,"")+COUNTIFS('資格研修記録'!$A$5:$A$1004,$A142,'資格研修記録'!$D$5:$D$1004,K$4,'資格研修記録'!$F$5:$F$1004,"&gt;="&amp;TODAY())&gt;0,"○","× 期限切れ"))))</f>
        <v/>
      </c>
      <c r="L142" s="15">
        <f>IF(OR($A142="",L$4=""),"",IF(AND(L$4="小型船舶2級",(COUNTIFS('資格研修記録'!$A$5:$A$1004,$A142,'資格研修記録'!$D$5:$D$1004,"小型船舶1級",'資格研修記録'!$F$5:$F$1004,"")+COUNTIFS('資格研修記録'!$A$5:$A$1004,$A142,'資格研修記録'!$D$5:$D$1004,"小型船舶1級",'資格研修記録'!$F$5:$F$1004,"&gt;="&amp;TODAY()))&gt;0),"1級に含む",IF(COUNTIFS('資格研修記録'!$A$5:$A$1004,$A142,'資格研修記録'!$D$5:$D$1004,L$4)=0,"—",IF(COUNTIFS('資格研修記録'!$A$5:$A$1004,$A142,'資格研修記録'!$D$5:$D$1004,L$4,'資格研修記録'!$F$5:$F$1004,"")+COUNTIFS('資格研修記録'!$A$5:$A$1004,$A142,'資格研修記録'!$D$5:$D$1004,L$4,'資格研修記録'!$F$5:$F$1004,"&gt;="&amp;TODAY())&gt;0,"○","× 期限切れ"))))</f>
        <v/>
      </c>
    </row>
    <row r="143">
      <c r="A143" s="14">
        <f>IF('隊員マスタ'!A143="","",'隊員マスタ'!A143)</f>
        <v/>
      </c>
      <c r="B143" s="14">
        <f>IF(A143="","",'隊員マスタ'!B143)</f>
        <v/>
      </c>
      <c r="C143" s="14">
        <f>IF(A143="","",'隊員マスタ'!C143)</f>
        <v/>
      </c>
      <c r="D143" s="15">
        <f>IF(A143="","",'隊員マスタ'!D143)</f>
        <v/>
      </c>
      <c r="E143" s="15">
        <f>IF(OR($A143="",E$4=""),"",IF(AND(E$4="小型船舶2級",(COUNTIFS('資格研修記録'!$A$5:$A$1004,$A143,'資格研修記録'!$D$5:$D$1004,"小型船舶1級",'資格研修記録'!$F$5:$F$1004,"")+COUNTIFS('資格研修記録'!$A$5:$A$1004,$A143,'資格研修記録'!$D$5:$D$1004,"小型船舶1級",'資格研修記録'!$F$5:$F$1004,"&gt;="&amp;TODAY()))&gt;0),"1級に含む",IF(COUNTIFS('資格研修記録'!$A$5:$A$1004,$A143,'資格研修記録'!$D$5:$D$1004,E$4)=0,"—",IF(COUNTIFS('資格研修記録'!$A$5:$A$1004,$A143,'資格研修記録'!$D$5:$D$1004,E$4,'資格研修記録'!$F$5:$F$1004,"")+COUNTIFS('資格研修記録'!$A$5:$A$1004,$A143,'資格研修記録'!$D$5:$D$1004,E$4,'資格研修記録'!$F$5:$F$1004,"&gt;="&amp;TODAY())&gt;0,"○","× 期限切れ"))))</f>
        <v/>
      </c>
      <c r="F143" s="15">
        <f>IF(OR($A143="",F$4=""),"",IF(AND(F$4="小型船舶2級",(COUNTIFS('資格研修記録'!$A$5:$A$1004,$A143,'資格研修記録'!$D$5:$D$1004,"小型船舶1級",'資格研修記録'!$F$5:$F$1004,"")+COUNTIFS('資格研修記録'!$A$5:$A$1004,$A143,'資格研修記録'!$D$5:$D$1004,"小型船舶1級",'資格研修記録'!$F$5:$F$1004,"&gt;="&amp;TODAY()))&gt;0),"1級に含む",IF(COUNTIFS('資格研修記録'!$A$5:$A$1004,$A143,'資格研修記録'!$D$5:$D$1004,F$4)=0,"—",IF(COUNTIFS('資格研修記録'!$A$5:$A$1004,$A143,'資格研修記録'!$D$5:$D$1004,F$4,'資格研修記録'!$F$5:$F$1004,"")+COUNTIFS('資格研修記録'!$A$5:$A$1004,$A143,'資格研修記録'!$D$5:$D$1004,F$4,'資格研修記録'!$F$5:$F$1004,"&gt;="&amp;TODAY())&gt;0,"○","× 期限切れ"))))</f>
        <v/>
      </c>
      <c r="G143" s="15">
        <f>IF(OR($A143="",G$4=""),"",IF(AND(G$4="小型船舶2級",(COUNTIFS('資格研修記録'!$A$5:$A$1004,$A143,'資格研修記録'!$D$5:$D$1004,"小型船舶1級",'資格研修記録'!$F$5:$F$1004,"")+COUNTIFS('資格研修記録'!$A$5:$A$1004,$A143,'資格研修記録'!$D$5:$D$1004,"小型船舶1級",'資格研修記録'!$F$5:$F$1004,"&gt;="&amp;TODAY()))&gt;0),"1級に含む",IF(COUNTIFS('資格研修記録'!$A$5:$A$1004,$A143,'資格研修記録'!$D$5:$D$1004,G$4)=0,"—",IF(COUNTIFS('資格研修記録'!$A$5:$A$1004,$A143,'資格研修記録'!$D$5:$D$1004,G$4,'資格研修記録'!$F$5:$F$1004,"")+COUNTIFS('資格研修記録'!$A$5:$A$1004,$A143,'資格研修記録'!$D$5:$D$1004,G$4,'資格研修記録'!$F$5:$F$1004,"&gt;="&amp;TODAY())&gt;0,"○","× 期限切れ"))))</f>
        <v/>
      </c>
      <c r="H143" s="15">
        <f>IF(OR($A143="",H$4=""),"",IF(AND(H$4="小型船舶2級",(COUNTIFS('資格研修記録'!$A$5:$A$1004,$A143,'資格研修記録'!$D$5:$D$1004,"小型船舶1級",'資格研修記録'!$F$5:$F$1004,"")+COUNTIFS('資格研修記録'!$A$5:$A$1004,$A143,'資格研修記録'!$D$5:$D$1004,"小型船舶1級",'資格研修記録'!$F$5:$F$1004,"&gt;="&amp;TODAY()))&gt;0),"1級に含む",IF(COUNTIFS('資格研修記録'!$A$5:$A$1004,$A143,'資格研修記録'!$D$5:$D$1004,H$4)=0,"—",IF(COUNTIFS('資格研修記録'!$A$5:$A$1004,$A143,'資格研修記録'!$D$5:$D$1004,H$4,'資格研修記録'!$F$5:$F$1004,"")+COUNTIFS('資格研修記録'!$A$5:$A$1004,$A143,'資格研修記録'!$D$5:$D$1004,H$4,'資格研修記録'!$F$5:$F$1004,"&gt;="&amp;TODAY())&gt;0,"○","× 期限切れ"))))</f>
        <v/>
      </c>
      <c r="I143" s="15">
        <f>IF(OR($A143="",I$4=""),"",IF(AND(I$4="小型船舶2級",(COUNTIFS('資格研修記録'!$A$5:$A$1004,$A143,'資格研修記録'!$D$5:$D$1004,"小型船舶1級",'資格研修記録'!$F$5:$F$1004,"")+COUNTIFS('資格研修記録'!$A$5:$A$1004,$A143,'資格研修記録'!$D$5:$D$1004,"小型船舶1級",'資格研修記録'!$F$5:$F$1004,"&gt;="&amp;TODAY()))&gt;0),"1級に含む",IF(COUNTIFS('資格研修記録'!$A$5:$A$1004,$A143,'資格研修記録'!$D$5:$D$1004,I$4)=0,"—",IF(COUNTIFS('資格研修記録'!$A$5:$A$1004,$A143,'資格研修記録'!$D$5:$D$1004,I$4,'資格研修記録'!$F$5:$F$1004,"")+COUNTIFS('資格研修記録'!$A$5:$A$1004,$A143,'資格研修記録'!$D$5:$D$1004,I$4,'資格研修記録'!$F$5:$F$1004,"&gt;="&amp;TODAY())&gt;0,"○","× 期限切れ"))))</f>
        <v/>
      </c>
      <c r="J143" s="15">
        <f>IF(OR($A143="",J$4=""),"",IF(AND(J$4="小型船舶2級",(COUNTIFS('資格研修記録'!$A$5:$A$1004,$A143,'資格研修記録'!$D$5:$D$1004,"小型船舶1級",'資格研修記録'!$F$5:$F$1004,"")+COUNTIFS('資格研修記録'!$A$5:$A$1004,$A143,'資格研修記録'!$D$5:$D$1004,"小型船舶1級",'資格研修記録'!$F$5:$F$1004,"&gt;="&amp;TODAY()))&gt;0),"1級に含む",IF(COUNTIFS('資格研修記録'!$A$5:$A$1004,$A143,'資格研修記録'!$D$5:$D$1004,J$4)=0,"—",IF(COUNTIFS('資格研修記録'!$A$5:$A$1004,$A143,'資格研修記録'!$D$5:$D$1004,J$4,'資格研修記録'!$F$5:$F$1004,"")+COUNTIFS('資格研修記録'!$A$5:$A$1004,$A143,'資格研修記録'!$D$5:$D$1004,J$4,'資格研修記録'!$F$5:$F$1004,"&gt;="&amp;TODAY())&gt;0,"○","× 期限切れ"))))</f>
        <v/>
      </c>
      <c r="K143" s="15">
        <f>IF(OR($A143="",K$4=""),"",IF(AND(K$4="小型船舶2級",(COUNTIFS('資格研修記録'!$A$5:$A$1004,$A143,'資格研修記録'!$D$5:$D$1004,"小型船舶1級",'資格研修記録'!$F$5:$F$1004,"")+COUNTIFS('資格研修記録'!$A$5:$A$1004,$A143,'資格研修記録'!$D$5:$D$1004,"小型船舶1級",'資格研修記録'!$F$5:$F$1004,"&gt;="&amp;TODAY()))&gt;0),"1級に含む",IF(COUNTIFS('資格研修記録'!$A$5:$A$1004,$A143,'資格研修記録'!$D$5:$D$1004,K$4)=0,"—",IF(COUNTIFS('資格研修記録'!$A$5:$A$1004,$A143,'資格研修記録'!$D$5:$D$1004,K$4,'資格研修記録'!$F$5:$F$1004,"")+COUNTIFS('資格研修記録'!$A$5:$A$1004,$A143,'資格研修記録'!$D$5:$D$1004,K$4,'資格研修記録'!$F$5:$F$1004,"&gt;="&amp;TODAY())&gt;0,"○","× 期限切れ"))))</f>
        <v/>
      </c>
      <c r="L143" s="15">
        <f>IF(OR($A143="",L$4=""),"",IF(AND(L$4="小型船舶2級",(COUNTIFS('資格研修記録'!$A$5:$A$1004,$A143,'資格研修記録'!$D$5:$D$1004,"小型船舶1級",'資格研修記録'!$F$5:$F$1004,"")+COUNTIFS('資格研修記録'!$A$5:$A$1004,$A143,'資格研修記録'!$D$5:$D$1004,"小型船舶1級",'資格研修記録'!$F$5:$F$1004,"&gt;="&amp;TODAY()))&gt;0),"1級に含む",IF(COUNTIFS('資格研修記録'!$A$5:$A$1004,$A143,'資格研修記録'!$D$5:$D$1004,L$4)=0,"—",IF(COUNTIFS('資格研修記録'!$A$5:$A$1004,$A143,'資格研修記録'!$D$5:$D$1004,L$4,'資格研修記録'!$F$5:$F$1004,"")+COUNTIFS('資格研修記録'!$A$5:$A$1004,$A143,'資格研修記録'!$D$5:$D$1004,L$4,'資格研修記録'!$F$5:$F$1004,"&gt;="&amp;TODAY())&gt;0,"○","× 期限切れ"))))</f>
        <v/>
      </c>
    </row>
    <row r="144">
      <c r="A144" s="14">
        <f>IF('隊員マスタ'!A144="","",'隊員マスタ'!A144)</f>
        <v/>
      </c>
      <c r="B144" s="14">
        <f>IF(A144="","",'隊員マスタ'!B144)</f>
        <v/>
      </c>
      <c r="C144" s="14">
        <f>IF(A144="","",'隊員マスタ'!C144)</f>
        <v/>
      </c>
      <c r="D144" s="15">
        <f>IF(A144="","",'隊員マスタ'!D144)</f>
        <v/>
      </c>
      <c r="E144" s="15">
        <f>IF(OR($A144="",E$4=""),"",IF(AND(E$4="小型船舶2級",(COUNTIFS('資格研修記録'!$A$5:$A$1004,$A144,'資格研修記録'!$D$5:$D$1004,"小型船舶1級",'資格研修記録'!$F$5:$F$1004,"")+COUNTIFS('資格研修記録'!$A$5:$A$1004,$A144,'資格研修記録'!$D$5:$D$1004,"小型船舶1級",'資格研修記録'!$F$5:$F$1004,"&gt;="&amp;TODAY()))&gt;0),"1級に含む",IF(COUNTIFS('資格研修記録'!$A$5:$A$1004,$A144,'資格研修記録'!$D$5:$D$1004,E$4)=0,"—",IF(COUNTIFS('資格研修記録'!$A$5:$A$1004,$A144,'資格研修記録'!$D$5:$D$1004,E$4,'資格研修記録'!$F$5:$F$1004,"")+COUNTIFS('資格研修記録'!$A$5:$A$1004,$A144,'資格研修記録'!$D$5:$D$1004,E$4,'資格研修記録'!$F$5:$F$1004,"&gt;="&amp;TODAY())&gt;0,"○","× 期限切れ"))))</f>
        <v/>
      </c>
      <c r="F144" s="15">
        <f>IF(OR($A144="",F$4=""),"",IF(AND(F$4="小型船舶2級",(COUNTIFS('資格研修記録'!$A$5:$A$1004,$A144,'資格研修記録'!$D$5:$D$1004,"小型船舶1級",'資格研修記録'!$F$5:$F$1004,"")+COUNTIFS('資格研修記録'!$A$5:$A$1004,$A144,'資格研修記録'!$D$5:$D$1004,"小型船舶1級",'資格研修記録'!$F$5:$F$1004,"&gt;="&amp;TODAY()))&gt;0),"1級に含む",IF(COUNTIFS('資格研修記録'!$A$5:$A$1004,$A144,'資格研修記録'!$D$5:$D$1004,F$4)=0,"—",IF(COUNTIFS('資格研修記録'!$A$5:$A$1004,$A144,'資格研修記録'!$D$5:$D$1004,F$4,'資格研修記録'!$F$5:$F$1004,"")+COUNTIFS('資格研修記録'!$A$5:$A$1004,$A144,'資格研修記録'!$D$5:$D$1004,F$4,'資格研修記録'!$F$5:$F$1004,"&gt;="&amp;TODAY())&gt;0,"○","× 期限切れ"))))</f>
        <v/>
      </c>
      <c r="G144" s="15">
        <f>IF(OR($A144="",G$4=""),"",IF(AND(G$4="小型船舶2級",(COUNTIFS('資格研修記録'!$A$5:$A$1004,$A144,'資格研修記録'!$D$5:$D$1004,"小型船舶1級",'資格研修記録'!$F$5:$F$1004,"")+COUNTIFS('資格研修記録'!$A$5:$A$1004,$A144,'資格研修記録'!$D$5:$D$1004,"小型船舶1級",'資格研修記録'!$F$5:$F$1004,"&gt;="&amp;TODAY()))&gt;0),"1級に含む",IF(COUNTIFS('資格研修記録'!$A$5:$A$1004,$A144,'資格研修記録'!$D$5:$D$1004,G$4)=0,"—",IF(COUNTIFS('資格研修記録'!$A$5:$A$1004,$A144,'資格研修記録'!$D$5:$D$1004,G$4,'資格研修記録'!$F$5:$F$1004,"")+COUNTIFS('資格研修記録'!$A$5:$A$1004,$A144,'資格研修記録'!$D$5:$D$1004,G$4,'資格研修記録'!$F$5:$F$1004,"&gt;="&amp;TODAY())&gt;0,"○","× 期限切れ"))))</f>
        <v/>
      </c>
      <c r="H144" s="15">
        <f>IF(OR($A144="",H$4=""),"",IF(AND(H$4="小型船舶2級",(COUNTIFS('資格研修記録'!$A$5:$A$1004,$A144,'資格研修記録'!$D$5:$D$1004,"小型船舶1級",'資格研修記録'!$F$5:$F$1004,"")+COUNTIFS('資格研修記録'!$A$5:$A$1004,$A144,'資格研修記録'!$D$5:$D$1004,"小型船舶1級",'資格研修記録'!$F$5:$F$1004,"&gt;="&amp;TODAY()))&gt;0),"1級に含む",IF(COUNTIFS('資格研修記録'!$A$5:$A$1004,$A144,'資格研修記録'!$D$5:$D$1004,H$4)=0,"—",IF(COUNTIFS('資格研修記録'!$A$5:$A$1004,$A144,'資格研修記録'!$D$5:$D$1004,H$4,'資格研修記録'!$F$5:$F$1004,"")+COUNTIFS('資格研修記録'!$A$5:$A$1004,$A144,'資格研修記録'!$D$5:$D$1004,H$4,'資格研修記録'!$F$5:$F$1004,"&gt;="&amp;TODAY())&gt;0,"○","× 期限切れ"))))</f>
        <v/>
      </c>
      <c r="I144" s="15">
        <f>IF(OR($A144="",I$4=""),"",IF(AND(I$4="小型船舶2級",(COUNTIFS('資格研修記録'!$A$5:$A$1004,$A144,'資格研修記録'!$D$5:$D$1004,"小型船舶1級",'資格研修記録'!$F$5:$F$1004,"")+COUNTIFS('資格研修記録'!$A$5:$A$1004,$A144,'資格研修記録'!$D$5:$D$1004,"小型船舶1級",'資格研修記録'!$F$5:$F$1004,"&gt;="&amp;TODAY()))&gt;0),"1級に含む",IF(COUNTIFS('資格研修記録'!$A$5:$A$1004,$A144,'資格研修記録'!$D$5:$D$1004,I$4)=0,"—",IF(COUNTIFS('資格研修記録'!$A$5:$A$1004,$A144,'資格研修記録'!$D$5:$D$1004,I$4,'資格研修記録'!$F$5:$F$1004,"")+COUNTIFS('資格研修記録'!$A$5:$A$1004,$A144,'資格研修記録'!$D$5:$D$1004,I$4,'資格研修記録'!$F$5:$F$1004,"&gt;="&amp;TODAY())&gt;0,"○","× 期限切れ"))))</f>
        <v/>
      </c>
      <c r="J144" s="15">
        <f>IF(OR($A144="",J$4=""),"",IF(AND(J$4="小型船舶2級",(COUNTIFS('資格研修記録'!$A$5:$A$1004,$A144,'資格研修記録'!$D$5:$D$1004,"小型船舶1級",'資格研修記録'!$F$5:$F$1004,"")+COUNTIFS('資格研修記録'!$A$5:$A$1004,$A144,'資格研修記録'!$D$5:$D$1004,"小型船舶1級",'資格研修記録'!$F$5:$F$1004,"&gt;="&amp;TODAY()))&gt;0),"1級に含む",IF(COUNTIFS('資格研修記録'!$A$5:$A$1004,$A144,'資格研修記録'!$D$5:$D$1004,J$4)=0,"—",IF(COUNTIFS('資格研修記録'!$A$5:$A$1004,$A144,'資格研修記録'!$D$5:$D$1004,J$4,'資格研修記録'!$F$5:$F$1004,"")+COUNTIFS('資格研修記録'!$A$5:$A$1004,$A144,'資格研修記録'!$D$5:$D$1004,J$4,'資格研修記録'!$F$5:$F$1004,"&gt;="&amp;TODAY())&gt;0,"○","× 期限切れ"))))</f>
        <v/>
      </c>
      <c r="K144" s="15">
        <f>IF(OR($A144="",K$4=""),"",IF(AND(K$4="小型船舶2級",(COUNTIFS('資格研修記録'!$A$5:$A$1004,$A144,'資格研修記録'!$D$5:$D$1004,"小型船舶1級",'資格研修記録'!$F$5:$F$1004,"")+COUNTIFS('資格研修記録'!$A$5:$A$1004,$A144,'資格研修記録'!$D$5:$D$1004,"小型船舶1級",'資格研修記録'!$F$5:$F$1004,"&gt;="&amp;TODAY()))&gt;0),"1級に含む",IF(COUNTIFS('資格研修記録'!$A$5:$A$1004,$A144,'資格研修記録'!$D$5:$D$1004,K$4)=0,"—",IF(COUNTIFS('資格研修記録'!$A$5:$A$1004,$A144,'資格研修記録'!$D$5:$D$1004,K$4,'資格研修記録'!$F$5:$F$1004,"")+COUNTIFS('資格研修記録'!$A$5:$A$1004,$A144,'資格研修記録'!$D$5:$D$1004,K$4,'資格研修記録'!$F$5:$F$1004,"&gt;="&amp;TODAY())&gt;0,"○","× 期限切れ"))))</f>
        <v/>
      </c>
      <c r="L144" s="15">
        <f>IF(OR($A144="",L$4=""),"",IF(AND(L$4="小型船舶2級",(COUNTIFS('資格研修記録'!$A$5:$A$1004,$A144,'資格研修記録'!$D$5:$D$1004,"小型船舶1級",'資格研修記録'!$F$5:$F$1004,"")+COUNTIFS('資格研修記録'!$A$5:$A$1004,$A144,'資格研修記録'!$D$5:$D$1004,"小型船舶1級",'資格研修記録'!$F$5:$F$1004,"&gt;="&amp;TODAY()))&gt;0),"1級に含む",IF(COUNTIFS('資格研修記録'!$A$5:$A$1004,$A144,'資格研修記録'!$D$5:$D$1004,L$4)=0,"—",IF(COUNTIFS('資格研修記録'!$A$5:$A$1004,$A144,'資格研修記録'!$D$5:$D$1004,L$4,'資格研修記録'!$F$5:$F$1004,"")+COUNTIFS('資格研修記録'!$A$5:$A$1004,$A144,'資格研修記録'!$D$5:$D$1004,L$4,'資格研修記録'!$F$5:$F$1004,"&gt;="&amp;TODAY())&gt;0,"○","× 期限切れ"))))</f>
        <v/>
      </c>
    </row>
    <row r="145">
      <c r="A145" s="14">
        <f>IF('隊員マスタ'!A145="","",'隊員マスタ'!A145)</f>
        <v/>
      </c>
      <c r="B145" s="14">
        <f>IF(A145="","",'隊員マスタ'!B145)</f>
        <v/>
      </c>
      <c r="C145" s="14">
        <f>IF(A145="","",'隊員マスタ'!C145)</f>
        <v/>
      </c>
      <c r="D145" s="15">
        <f>IF(A145="","",'隊員マスタ'!D145)</f>
        <v/>
      </c>
      <c r="E145" s="15">
        <f>IF(OR($A145="",E$4=""),"",IF(AND(E$4="小型船舶2級",(COUNTIFS('資格研修記録'!$A$5:$A$1004,$A145,'資格研修記録'!$D$5:$D$1004,"小型船舶1級",'資格研修記録'!$F$5:$F$1004,"")+COUNTIFS('資格研修記録'!$A$5:$A$1004,$A145,'資格研修記録'!$D$5:$D$1004,"小型船舶1級",'資格研修記録'!$F$5:$F$1004,"&gt;="&amp;TODAY()))&gt;0),"1級に含む",IF(COUNTIFS('資格研修記録'!$A$5:$A$1004,$A145,'資格研修記録'!$D$5:$D$1004,E$4)=0,"—",IF(COUNTIFS('資格研修記録'!$A$5:$A$1004,$A145,'資格研修記録'!$D$5:$D$1004,E$4,'資格研修記録'!$F$5:$F$1004,"")+COUNTIFS('資格研修記録'!$A$5:$A$1004,$A145,'資格研修記録'!$D$5:$D$1004,E$4,'資格研修記録'!$F$5:$F$1004,"&gt;="&amp;TODAY())&gt;0,"○","× 期限切れ"))))</f>
        <v/>
      </c>
      <c r="F145" s="15">
        <f>IF(OR($A145="",F$4=""),"",IF(AND(F$4="小型船舶2級",(COUNTIFS('資格研修記録'!$A$5:$A$1004,$A145,'資格研修記録'!$D$5:$D$1004,"小型船舶1級",'資格研修記録'!$F$5:$F$1004,"")+COUNTIFS('資格研修記録'!$A$5:$A$1004,$A145,'資格研修記録'!$D$5:$D$1004,"小型船舶1級",'資格研修記録'!$F$5:$F$1004,"&gt;="&amp;TODAY()))&gt;0),"1級に含む",IF(COUNTIFS('資格研修記録'!$A$5:$A$1004,$A145,'資格研修記録'!$D$5:$D$1004,F$4)=0,"—",IF(COUNTIFS('資格研修記録'!$A$5:$A$1004,$A145,'資格研修記録'!$D$5:$D$1004,F$4,'資格研修記録'!$F$5:$F$1004,"")+COUNTIFS('資格研修記録'!$A$5:$A$1004,$A145,'資格研修記録'!$D$5:$D$1004,F$4,'資格研修記録'!$F$5:$F$1004,"&gt;="&amp;TODAY())&gt;0,"○","× 期限切れ"))))</f>
        <v/>
      </c>
      <c r="G145" s="15">
        <f>IF(OR($A145="",G$4=""),"",IF(AND(G$4="小型船舶2級",(COUNTIFS('資格研修記録'!$A$5:$A$1004,$A145,'資格研修記録'!$D$5:$D$1004,"小型船舶1級",'資格研修記録'!$F$5:$F$1004,"")+COUNTIFS('資格研修記録'!$A$5:$A$1004,$A145,'資格研修記録'!$D$5:$D$1004,"小型船舶1級",'資格研修記録'!$F$5:$F$1004,"&gt;="&amp;TODAY()))&gt;0),"1級に含む",IF(COUNTIFS('資格研修記録'!$A$5:$A$1004,$A145,'資格研修記録'!$D$5:$D$1004,G$4)=0,"—",IF(COUNTIFS('資格研修記録'!$A$5:$A$1004,$A145,'資格研修記録'!$D$5:$D$1004,G$4,'資格研修記録'!$F$5:$F$1004,"")+COUNTIFS('資格研修記録'!$A$5:$A$1004,$A145,'資格研修記録'!$D$5:$D$1004,G$4,'資格研修記録'!$F$5:$F$1004,"&gt;="&amp;TODAY())&gt;0,"○","× 期限切れ"))))</f>
        <v/>
      </c>
      <c r="H145" s="15">
        <f>IF(OR($A145="",H$4=""),"",IF(AND(H$4="小型船舶2級",(COUNTIFS('資格研修記録'!$A$5:$A$1004,$A145,'資格研修記録'!$D$5:$D$1004,"小型船舶1級",'資格研修記録'!$F$5:$F$1004,"")+COUNTIFS('資格研修記録'!$A$5:$A$1004,$A145,'資格研修記録'!$D$5:$D$1004,"小型船舶1級",'資格研修記録'!$F$5:$F$1004,"&gt;="&amp;TODAY()))&gt;0),"1級に含む",IF(COUNTIFS('資格研修記録'!$A$5:$A$1004,$A145,'資格研修記録'!$D$5:$D$1004,H$4)=0,"—",IF(COUNTIFS('資格研修記録'!$A$5:$A$1004,$A145,'資格研修記録'!$D$5:$D$1004,H$4,'資格研修記録'!$F$5:$F$1004,"")+COUNTIFS('資格研修記録'!$A$5:$A$1004,$A145,'資格研修記録'!$D$5:$D$1004,H$4,'資格研修記録'!$F$5:$F$1004,"&gt;="&amp;TODAY())&gt;0,"○","× 期限切れ"))))</f>
        <v/>
      </c>
      <c r="I145" s="15">
        <f>IF(OR($A145="",I$4=""),"",IF(AND(I$4="小型船舶2級",(COUNTIFS('資格研修記録'!$A$5:$A$1004,$A145,'資格研修記録'!$D$5:$D$1004,"小型船舶1級",'資格研修記録'!$F$5:$F$1004,"")+COUNTIFS('資格研修記録'!$A$5:$A$1004,$A145,'資格研修記録'!$D$5:$D$1004,"小型船舶1級",'資格研修記録'!$F$5:$F$1004,"&gt;="&amp;TODAY()))&gt;0),"1級に含む",IF(COUNTIFS('資格研修記録'!$A$5:$A$1004,$A145,'資格研修記録'!$D$5:$D$1004,I$4)=0,"—",IF(COUNTIFS('資格研修記録'!$A$5:$A$1004,$A145,'資格研修記録'!$D$5:$D$1004,I$4,'資格研修記録'!$F$5:$F$1004,"")+COUNTIFS('資格研修記録'!$A$5:$A$1004,$A145,'資格研修記録'!$D$5:$D$1004,I$4,'資格研修記録'!$F$5:$F$1004,"&gt;="&amp;TODAY())&gt;0,"○","× 期限切れ"))))</f>
        <v/>
      </c>
      <c r="J145" s="15">
        <f>IF(OR($A145="",J$4=""),"",IF(AND(J$4="小型船舶2級",(COUNTIFS('資格研修記録'!$A$5:$A$1004,$A145,'資格研修記録'!$D$5:$D$1004,"小型船舶1級",'資格研修記録'!$F$5:$F$1004,"")+COUNTIFS('資格研修記録'!$A$5:$A$1004,$A145,'資格研修記録'!$D$5:$D$1004,"小型船舶1級",'資格研修記録'!$F$5:$F$1004,"&gt;="&amp;TODAY()))&gt;0),"1級に含む",IF(COUNTIFS('資格研修記録'!$A$5:$A$1004,$A145,'資格研修記録'!$D$5:$D$1004,J$4)=0,"—",IF(COUNTIFS('資格研修記録'!$A$5:$A$1004,$A145,'資格研修記録'!$D$5:$D$1004,J$4,'資格研修記録'!$F$5:$F$1004,"")+COUNTIFS('資格研修記録'!$A$5:$A$1004,$A145,'資格研修記録'!$D$5:$D$1004,J$4,'資格研修記録'!$F$5:$F$1004,"&gt;="&amp;TODAY())&gt;0,"○","× 期限切れ"))))</f>
        <v/>
      </c>
      <c r="K145" s="15">
        <f>IF(OR($A145="",K$4=""),"",IF(AND(K$4="小型船舶2級",(COUNTIFS('資格研修記録'!$A$5:$A$1004,$A145,'資格研修記録'!$D$5:$D$1004,"小型船舶1級",'資格研修記録'!$F$5:$F$1004,"")+COUNTIFS('資格研修記録'!$A$5:$A$1004,$A145,'資格研修記録'!$D$5:$D$1004,"小型船舶1級",'資格研修記録'!$F$5:$F$1004,"&gt;="&amp;TODAY()))&gt;0),"1級に含む",IF(COUNTIFS('資格研修記録'!$A$5:$A$1004,$A145,'資格研修記録'!$D$5:$D$1004,K$4)=0,"—",IF(COUNTIFS('資格研修記録'!$A$5:$A$1004,$A145,'資格研修記録'!$D$5:$D$1004,K$4,'資格研修記録'!$F$5:$F$1004,"")+COUNTIFS('資格研修記録'!$A$5:$A$1004,$A145,'資格研修記録'!$D$5:$D$1004,K$4,'資格研修記録'!$F$5:$F$1004,"&gt;="&amp;TODAY())&gt;0,"○","× 期限切れ"))))</f>
        <v/>
      </c>
      <c r="L145" s="15">
        <f>IF(OR($A145="",L$4=""),"",IF(AND(L$4="小型船舶2級",(COUNTIFS('資格研修記録'!$A$5:$A$1004,$A145,'資格研修記録'!$D$5:$D$1004,"小型船舶1級",'資格研修記録'!$F$5:$F$1004,"")+COUNTIFS('資格研修記録'!$A$5:$A$1004,$A145,'資格研修記録'!$D$5:$D$1004,"小型船舶1級",'資格研修記録'!$F$5:$F$1004,"&gt;="&amp;TODAY()))&gt;0),"1級に含む",IF(COUNTIFS('資格研修記録'!$A$5:$A$1004,$A145,'資格研修記録'!$D$5:$D$1004,L$4)=0,"—",IF(COUNTIFS('資格研修記録'!$A$5:$A$1004,$A145,'資格研修記録'!$D$5:$D$1004,L$4,'資格研修記録'!$F$5:$F$1004,"")+COUNTIFS('資格研修記録'!$A$5:$A$1004,$A145,'資格研修記録'!$D$5:$D$1004,L$4,'資格研修記録'!$F$5:$F$1004,"&gt;="&amp;TODAY())&gt;0,"○","× 期限切れ"))))</f>
        <v/>
      </c>
    </row>
    <row r="146">
      <c r="A146" s="14">
        <f>IF('隊員マスタ'!A146="","",'隊員マスタ'!A146)</f>
        <v/>
      </c>
      <c r="B146" s="14">
        <f>IF(A146="","",'隊員マスタ'!B146)</f>
        <v/>
      </c>
      <c r="C146" s="14">
        <f>IF(A146="","",'隊員マスタ'!C146)</f>
        <v/>
      </c>
      <c r="D146" s="15">
        <f>IF(A146="","",'隊員マスタ'!D146)</f>
        <v/>
      </c>
      <c r="E146" s="15">
        <f>IF(OR($A146="",E$4=""),"",IF(AND(E$4="小型船舶2級",(COUNTIFS('資格研修記録'!$A$5:$A$1004,$A146,'資格研修記録'!$D$5:$D$1004,"小型船舶1級",'資格研修記録'!$F$5:$F$1004,"")+COUNTIFS('資格研修記録'!$A$5:$A$1004,$A146,'資格研修記録'!$D$5:$D$1004,"小型船舶1級",'資格研修記録'!$F$5:$F$1004,"&gt;="&amp;TODAY()))&gt;0),"1級に含む",IF(COUNTIFS('資格研修記録'!$A$5:$A$1004,$A146,'資格研修記録'!$D$5:$D$1004,E$4)=0,"—",IF(COUNTIFS('資格研修記録'!$A$5:$A$1004,$A146,'資格研修記録'!$D$5:$D$1004,E$4,'資格研修記録'!$F$5:$F$1004,"")+COUNTIFS('資格研修記録'!$A$5:$A$1004,$A146,'資格研修記録'!$D$5:$D$1004,E$4,'資格研修記録'!$F$5:$F$1004,"&gt;="&amp;TODAY())&gt;0,"○","× 期限切れ"))))</f>
        <v/>
      </c>
      <c r="F146" s="15">
        <f>IF(OR($A146="",F$4=""),"",IF(AND(F$4="小型船舶2級",(COUNTIFS('資格研修記録'!$A$5:$A$1004,$A146,'資格研修記録'!$D$5:$D$1004,"小型船舶1級",'資格研修記録'!$F$5:$F$1004,"")+COUNTIFS('資格研修記録'!$A$5:$A$1004,$A146,'資格研修記録'!$D$5:$D$1004,"小型船舶1級",'資格研修記録'!$F$5:$F$1004,"&gt;="&amp;TODAY()))&gt;0),"1級に含む",IF(COUNTIFS('資格研修記録'!$A$5:$A$1004,$A146,'資格研修記録'!$D$5:$D$1004,F$4)=0,"—",IF(COUNTIFS('資格研修記録'!$A$5:$A$1004,$A146,'資格研修記録'!$D$5:$D$1004,F$4,'資格研修記録'!$F$5:$F$1004,"")+COUNTIFS('資格研修記録'!$A$5:$A$1004,$A146,'資格研修記録'!$D$5:$D$1004,F$4,'資格研修記録'!$F$5:$F$1004,"&gt;="&amp;TODAY())&gt;0,"○","× 期限切れ"))))</f>
        <v/>
      </c>
      <c r="G146" s="15">
        <f>IF(OR($A146="",G$4=""),"",IF(AND(G$4="小型船舶2級",(COUNTIFS('資格研修記録'!$A$5:$A$1004,$A146,'資格研修記録'!$D$5:$D$1004,"小型船舶1級",'資格研修記録'!$F$5:$F$1004,"")+COUNTIFS('資格研修記録'!$A$5:$A$1004,$A146,'資格研修記録'!$D$5:$D$1004,"小型船舶1級",'資格研修記録'!$F$5:$F$1004,"&gt;="&amp;TODAY()))&gt;0),"1級に含む",IF(COUNTIFS('資格研修記録'!$A$5:$A$1004,$A146,'資格研修記録'!$D$5:$D$1004,G$4)=0,"—",IF(COUNTIFS('資格研修記録'!$A$5:$A$1004,$A146,'資格研修記録'!$D$5:$D$1004,G$4,'資格研修記録'!$F$5:$F$1004,"")+COUNTIFS('資格研修記録'!$A$5:$A$1004,$A146,'資格研修記録'!$D$5:$D$1004,G$4,'資格研修記録'!$F$5:$F$1004,"&gt;="&amp;TODAY())&gt;0,"○","× 期限切れ"))))</f>
        <v/>
      </c>
      <c r="H146" s="15">
        <f>IF(OR($A146="",H$4=""),"",IF(AND(H$4="小型船舶2級",(COUNTIFS('資格研修記録'!$A$5:$A$1004,$A146,'資格研修記録'!$D$5:$D$1004,"小型船舶1級",'資格研修記録'!$F$5:$F$1004,"")+COUNTIFS('資格研修記録'!$A$5:$A$1004,$A146,'資格研修記録'!$D$5:$D$1004,"小型船舶1級",'資格研修記録'!$F$5:$F$1004,"&gt;="&amp;TODAY()))&gt;0),"1級に含む",IF(COUNTIFS('資格研修記録'!$A$5:$A$1004,$A146,'資格研修記録'!$D$5:$D$1004,H$4)=0,"—",IF(COUNTIFS('資格研修記録'!$A$5:$A$1004,$A146,'資格研修記録'!$D$5:$D$1004,H$4,'資格研修記録'!$F$5:$F$1004,"")+COUNTIFS('資格研修記録'!$A$5:$A$1004,$A146,'資格研修記録'!$D$5:$D$1004,H$4,'資格研修記録'!$F$5:$F$1004,"&gt;="&amp;TODAY())&gt;0,"○","× 期限切れ"))))</f>
        <v/>
      </c>
      <c r="I146" s="15">
        <f>IF(OR($A146="",I$4=""),"",IF(AND(I$4="小型船舶2級",(COUNTIFS('資格研修記録'!$A$5:$A$1004,$A146,'資格研修記録'!$D$5:$D$1004,"小型船舶1級",'資格研修記録'!$F$5:$F$1004,"")+COUNTIFS('資格研修記録'!$A$5:$A$1004,$A146,'資格研修記録'!$D$5:$D$1004,"小型船舶1級",'資格研修記録'!$F$5:$F$1004,"&gt;="&amp;TODAY()))&gt;0),"1級に含む",IF(COUNTIFS('資格研修記録'!$A$5:$A$1004,$A146,'資格研修記録'!$D$5:$D$1004,I$4)=0,"—",IF(COUNTIFS('資格研修記録'!$A$5:$A$1004,$A146,'資格研修記録'!$D$5:$D$1004,I$4,'資格研修記録'!$F$5:$F$1004,"")+COUNTIFS('資格研修記録'!$A$5:$A$1004,$A146,'資格研修記録'!$D$5:$D$1004,I$4,'資格研修記録'!$F$5:$F$1004,"&gt;="&amp;TODAY())&gt;0,"○","× 期限切れ"))))</f>
        <v/>
      </c>
      <c r="J146" s="15">
        <f>IF(OR($A146="",J$4=""),"",IF(AND(J$4="小型船舶2級",(COUNTIFS('資格研修記録'!$A$5:$A$1004,$A146,'資格研修記録'!$D$5:$D$1004,"小型船舶1級",'資格研修記録'!$F$5:$F$1004,"")+COUNTIFS('資格研修記録'!$A$5:$A$1004,$A146,'資格研修記録'!$D$5:$D$1004,"小型船舶1級",'資格研修記録'!$F$5:$F$1004,"&gt;="&amp;TODAY()))&gt;0),"1級に含む",IF(COUNTIFS('資格研修記録'!$A$5:$A$1004,$A146,'資格研修記録'!$D$5:$D$1004,J$4)=0,"—",IF(COUNTIFS('資格研修記録'!$A$5:$A$1004,$A146,'資格研修記録'!$D$5:$D$1004,J$4,'資格研修記録'!$F$5:$F$1004,"")+COUNTIFS('資格研修記録'!$A$5:$A$1004,$A146,'資格研修記録'!$D$5:$D$1004,J$4,'資格研修記録'!$F$5:$F$1004,"&gt;="&amp;TODAY())&gt;0,"○","× 期限切れ"))))</f>
        <v/>
      </c>
      <c r="K146" s="15">
        <f>IF(OR($A146="",K$4=""),"",IF(AND(K$4="小型船舶2級",(COUNTIFS('資格研修記録'!$A$5:$A$1004,$A146,'資格研修記録'!$D$5:$D$1004,"小型船舶1級",'資格研修記録'!$F$5:$F$1004,"")+COUNTIFS('資格研修記録'!$A$5:$A$1004,$A146,'資格研修記録'!$D$5:$D$1004,"小型船舶1級",'資格研修記録'!$F$5:$F$1004,"&gt;="&amp;TODAY()))&gt;0),"1級に含む",IF(COUNTIFS('資格研修記録'!$A$5:$A$1004,$A146,'資格研修記録'!$D$5:$D$1004,K$4)=0,"—",IF(COUNTIFS('資格研修記録'!$A$5:$A$1004,$A146,'資格研修記録'!$D$5:$D$1004,K$4,'資格研修記録'!$F$5:$F$1004,"")+COUNTIFS('資格研修記録'!$A$5:$A$1004,$A146,'資格研修記録'!$D$5:$D$1004,K$4,'資格研修記録'!$F$5:$F$1004,"&gt;="&amp;TODAY())&gt;0,"○","× 期限切れ"))))</f>
        <v/>
      </c>
      <c r="L146" s="15">
        <f>IF(OR($A146="",L$4=""),"",IF(AND(L$4="小型船舶2級",(COUNTIFS('資格研修記録'!$A$5:$A$1004,$A146,'資格研修記録'!$D$5:$D$1004,"小型船舶1級",'資格研修記録'!$F$5:$F$1004,"")+COUNTIFS('資格研修記録'!$A$5:$A$1004,$A146,'資格研修記録'!$D$5:$D$1004,"小型船舶1級",'資格研修記録'!$F$5:$F$1004,"&gt;="&amp;TODAY()))&gt;0),"1級に含む",IF(COUNTIFS('資格研修記録'!$A$5:$A$1004,$A146,'資格研修記録'!$D$5:$D$1004,L$4)=0,"—",IF(COUNTIFS('資格研修記録'!$A$5:$A$1004,$A146,'資格研修記録'!$D$5:$D$1004,L$4,'資格研修記録'!$F$5:$F$1004,"")+COUNTIFS('資格研修記録'!$A$5:$A$1004,$A146,'資格研修記録'!$D$5:$D$1004,L$4,'資格研修記録'!$F$5:$F$1004,"&gt;="&amp;TODAY())&gt;0,"○","× 期限切れ"))))</f>
        <v/>
      </c>
    </row>
    <row r="147">
      <c r="A147" s="14">
        <f>IF('隊員マスタ'!A147="","",'隊員マスタ'!A147)</f>
        <v/>
      </c>
      <c r="B147" s="14">
        <f>IF(A147="","",'隊員マスタ'!B147)</f>
        <v/>
      </c>
      <c r="C147" s="14">
        <f>IF(A147="","",'隊員マスタ'!C147)</f>
        <v/>
      </c>
      <c r="D147" s="15">
        <f>IF(A147="","",'隊員マスタ'!D147)</f>
        <v/>
      </c>
      <c r="E147" s="15">
        <f>IF(OR($A147="",E$4=""),"",IF(AND(E$4="小型船舶2級",(COUNTIFS('資格研修記録'!$A$5:$A$1004,$A147,'資格研修記録'!$D$5:$D$1004,"小型船舶1級",'資格研修記録'!$F$5:$F$1004,"")+COUNTIFS('資格研修記録'!$A$5:$A$1004,$A147,'資格研修記録'!$D$5:$D$1004,"小型船舶1級",'資格研修記録'!$F$5:$F$1004,"&gt;="&amp;TODAY()))&gt;0),"1級に含む",IF(COUNTIFS('資格研修記録'!$A$5:$A$1004,$A147,'資格研修記録'!$D$5:$D$1004,E$4)=0,"—",IF(COUNTIFS('資格研修記録'!$A$5:$A$1004,$A147,'資格研修記録'!$D$5:$D$1004,E$4,'資格研修記録'!$F$5:$F$1004,"")+COUNTIFS('資格研修記録'!$A$5:$A$1004,$A147,'資格研修記録'!$D$5:$D$1004,E$4,'資格研修記録'!$F$5:$F$1004,"&gt;="&amp;TODAY())&gt;0,"○","× 期限切れ"))))</f>
        <v/>
      </c>
      <c r="F147" s="15">
        <f>IF(OR($A147="",F$4=""),"",IF(AND(F$4="小型船舶2級",(COUNTIFS('資格研修記録'!$A$5:$A$1004,$A147,'資格研修記録'!$D$5:$D$1004,"小型船舶1級",'資格研修記録'!$F$5:$F$1004,"")+COUNTIFS('資格研修記録'!$A$5:$A$1004,$A147,'資格研修記録'!$D$5:$D$1004,"小型船舶1級",'資格研修記録'!$F$5:$F$1004,"&gt;="&amp;TODAY()))&gt;0),"1級に含む",IF(COUNTIFS('資格研修記録'!$A$5:$A$1004,$A147,'資格研修記録'!$D$5:$D$1004,F$4)=0,"—",IF(COUNTIFS('資格研修記録'!$A$5:$A$1004,$A147,'資格研修記録'!$D$5:$D$1004,F$4,'資格研修記録'!$F$5:$F$1004,"")+COUNTIFS('資格研修記録'!$A$5:$A$1004,$A147,'資格研修記録'!$D$5:$D$1004,F$4,'資格研修記録'!$F$5:$F$1004,"&gt;="&amp;TODAY())&gt;0,"○","× 期限切れ"))))</f>
        <v/>
      </c>
      <c r="G147" s="15">
        <f>IF(OR($A147="",G$4=""),"",IF(AND(G$4="小型船舶2級",(COUNTIFS('資格研修記録'!$A$5:$A$1004,$A147,'資格研修記録'!$D$5:$D$1004,"小型船舶1級",'資格研修記録'!$F$5:$F$1004,"")+COUNTIFS('資格研修記録'!$A$5:$A$1004,$A147,'資格研修記録'!$D$5:$D$1004,"小型船舶1級",'資格研修記録'!$F$5:$F$1004,"&gt;="&amp;TODAY()))&gt;0),"1級に含む",IF(COUNTIFS('資格研修記録'!$A$5:$A$1004,$A147,'資格研修記録'!$D$5:$D$1004,G$4)=0,"—",IF(COUNTIFS('資格研修記録'!$A$5:$A$1004,$A147,'資格研修記録'!$D$5:$D$1004,G$4,'資格研修記録'!$F$5:$F$1004,"")+COUNTIFS('資格研修記録'!$A$5:$A$1004,$A147,'資格研修記録'!$D$5:$D$1004,G$4,'資格研修記録'!$F$5:$F$1004,"&gt;="&amp;TODAY())&gt;0,"○","× 期限切れ"))))</f>
        <v/>
      </c>
      <c r="H147" s="15">
        <f>IF(OR($A147="",H$4=""),"",IF(AND(H$4="小型船舶2級",(COUNTIFS('資格研修記録'!$A$5:$A$1004,$A147,'資格研修記録'!$D$5:$D$1004,"小型船舶1級",'資格研修記録'!$F$5:$F$1004,"")+COUNTIFS('資格研修記録'!$A$5:$A$1004,$A147,'資格研修記録'!$D$5:$D$1004,"小型船舶1級",'資格研修記録'!$F$5:$F$1004,"&gt;="&amp;TODAY()))&gt;0),"1級に含む",IF(COUNTIFS('資格研修記録'!$A$5:$A$1004,$A147,'資格研修記録'!$D$5:$D$1004,H$4)=0,"—",IF(COUNTIFS('資格研修記録'!$A$5:$A$1004,$A147,'資格研修記録'!$D$5:$D$1004,H$4,'資格研修記録'!$F$5:$F$1004,"")+COUNTIFS('資格研修記録'!$A$5:$A$1004,$A147,'資格研修記録'!$D$5:$D$1004,H$4,'資格研修記録'!$F$5:$F$1004,"&gt;="&amp;TODAY())&gt;0,"○","× 期限切れ"))))</f>
        <v/>
      </c>
      <c r="I147" s="15">
        <f>IF(OR($A147="",I$4=""),"",IF(AND(I$4="小型船舶2級",(COUNTIFS('資格研修記録'!$A$5:$A$1004,$A147,'資格研修記録'!$D$5:$D$1004,"小型船舶1級",'資格研修記録'!$F$5:$F$1004,"")+COUNTIFS('資格研修記録'!$A$5:$A$1004,$A147,'資格研修記録'!$D$5:$D$1004,"小型船舶1級",'資格研修記録'!$F$5:$F$1004,"&gt;="&amp;TODAY()))&gt;0),"1級に含む",IF(COUNTIFS('資格研修記録'!$A$5:$A$1004,$A147,'資格研修記録'!$D$5:$D$1004,I$4)=0,"—",IF(COUNTIFS('資格研修記録'!$A$5:$A$1004,$A147,'資格研修記録'!$D$5:$D$1004,I$4,'資格研修記録'!$F$5:$F$1004,"")+COUNTIFS('資格研修記録'!$A$5:$A$1004,$A147,'資格研修記録'!$D$5:$D$1004,I$4,'資格研修記録'!$F$5:$F$1004,"&gt;="&amp;TODAY())&gt;0,"○","× 期限切れ"))))</f>
        <v/>
      </c>
      <c r="J147" s="15">
        <f>IF(OR($A147="",J$4=""),"",IF(AND(J$4="小型船舶2級",(COUNTIFS('資格研修記録'!$A$5:$A$1004,$A147,'資格研修記録'!$D$5:$D$1004,"小型船舶1級",'資格研修記録'!$F$5:$F$1004,"")+COUNTIFS('資格研修記録'!$A$5:$A$1004,$A147,'資格研修記録'!$D$5:$D$1004,"小型船舶1級",'資格研修記録'!$F$5:$F$1004,"&gt;="&amp;TODAY()))&gt;0),"1級に含む",IF(COUNTIFS('資格研修記録'!$A$5:$A$1004,$A147,'資格研修記録'!$D$5:$D$1004,J$4)=0,"—",IF(COUNTIFS('資格研修記録'!$A$5:$A$1004,$A147,'資格研修記録'!$D$5:$D$1004,J$4,'資格研修記録'!$F$5:$F$1004,"")+COUNTIFS('資格研修記録'!$A$5:$A$1004,$A147,'資格研修記録'!$D$5:$D$1004,J$4,'資格研修記録'!$F$5:$F$1004,"&gt;="&amp;TODAY())&gt;0,"○","× 期限切れ"))))</f>
        <v/>
      </c>
      <c r="K147" s="15">
        <f>IF(OR($A147="",K$4=""),"",IF(AND(K$4="小型船舶2級",(COUNTIFS('資格研修記録'!$A$5:$A$1004,$A147,'資格研修記録'!$D$5:$D$1004,"小型船舶1級",'資格研修記録'!$F$5:$F$1004,"")+COUNTIFS('資格研修記録'!$A$5:$A$1004,$A147,'資格研修記録'!$D$5:$D$1004,"小型船舶1級",'資格研修記録'!$F$5:$F$1004,"&gt;="&amp;TODAY()))&gt;0),"1級に含む",IF(COUNTIFS('資格研修記録'!$A$5:$A$1004,$A147,'資格研修記録'!$D$5:$D$1004,K$4)=0,"—",IF(COUNTIFS('資格研修記録'!$A$5:$A$1004,$A147,'資格研修記録'!$D$5:$D$1004,K$4,'資格研修記録'!$F$5:$F$1004,"")+COUNTIFS('資格研修記録'!$A$5:$A$1004,$A147,'資格研修記録'!$D$5:$D$1004,K$4,'資格研修記録'!$F$5:$F$1004,"&gt;="&amp;TODAY())&gt;0,"○","× 期限切れ"))))</f>
        <v/>
      </c>
      <c r="L147" s="15">
        <f>IF(OR($A147="",L$4=""),"",IF(AND(L$4="小型船舶2級",(COUNTIFS('資格研修記録'!$A$5:$A$1004,$A147,'資格研修記録'!$D$5:$D$1004,"小型船舶1級",'資格研修記録'!$F$5:$F$1004,"")+COUNTIFS('資格研修記録'!$A$5:$A$1004,$A147,'資格研修記録'!$D$5:$D$1004,"小型船舶1級",'資格研修記録'!$F$5:$F$1004,"&gt;="&amp;TODAY()))&gt;0),"1級に含む",IF(COUNTIFS('資格研修記録'!$A$5:$A$1004,$A147,'資格研修記録'!$D$5:$D$1004,L$4)=0,"—",IF(COUNTIFS('資格研修記録'!$A$5:$A$1004,$A147,'資格研修記録'!$D$5:$D$1004,L$4,'資格研修記録'!$F$5:$F$1004,"")+COUNTIFS('資格研修記録'!$A$5:$A$1004,$A147,'資格研修記録'!$D$5:$D$1004,L$4,'資格研修記録'!$F$5:$F$1004,"&gt;="&amp;TODAY())&gt;0,"○","× 期限切れ"))))</f>
        <v/>
      </c>
    </row>
    <row r="148">
      <c r="A148" s="14">
        <f>IF('隊員マスタ'!A148="","",'隊員マスタ'!A148)</f>
        <v/>
      </c>
      <c r="B148" s="14">
        <f>IF(A148="","",'隊員マスタ'!B148)</f>
        <v/>
      </c>
      <c r="C148" s="14">
        <f>IF(A148="","",'隊員マスタ'!C148)</f>
        <v/>
      </c>
      <c r="D148" s="15">
        <f>IF(A148="","",'隊員マスタ'!D148)</f>
        <v/>
      </c>
      <c r="E148" s="15">
        <f>IF(OR($A148="",E$4=""),"",IF(AND(E$4="小型船舶2級",(COUNTIFS('資格研修記録'!$A$5:$A$1004,$A148,'資格研修記録'!$D$5:$D$1004,"小型船舶1級",'資格研修記録'!$F$5:$F$1004,"")+COUNTIFS('資格研修記録'!$A$5:$A$1004,$A148,'資格研修記録'!$D$5:$D$1004,"小型船舶1級",'資格研修記録'!$F$5:$F$1004,"&gt;="&amp;TODAY()))&gt;0),"1級に含む",IF(COUNTIFS('資格研修記録'!$A$5:$A$1004,$A148,'資格研修記録'!$D$5:$D$1004,E$4)=0,"—",IF(COUNTIFS('資格研修記録'!$A$5:$A$1004,$A148,'資格研修記録'!$D$5:$D$1004,E$4,'資格研修記録'!$F$5:$F$1004,"")+COUNTIFS('資格研修記録'!$A$5:$A$1004,$A148,'資格研修記録'!$D$5:$D$1004,E$4,'資格研修記録'!$F$5:$F$1004,"&gt;="&amp;TODAY())&gt;0,"○","× 期限切れ"))))</f>
        <v/>
      </c>
      <c r="F148" s="15">
        <f>IF(OR($A148="",F$4=""),"",IF(AND(F$4="小型船舶2級",(COUNTIFS('資格研修記録'!$A$5:$A$1004,$A148,'資格研修記録'!$D$5:$D$1004,"小型船舶1級",'資格研修記録'!$F$5:$F$1004,"")+COUNTIFS('資格研修記録'!$A$5:$A$1004,$A148,'資格研修記録'!$D$5:$D$1004,"小型船舶1級",'資格研修記録'!$F$5:$F$1004,"&gt;="&amp;TODAY()))&gt;0),"1級に含む",IF(COUNTIFS('資格研修記録'!$A$5:$A$1004,$A148,'資格研修記録'!$D$5:$D$1004,F$4)=0,"—",IF(COUNTIFS('資格研修記録'!$A$5:$A$1004,$A148,'資格研修記録'!$D$5:$D$1004,F$4,'資格研修記録'!$F$5:$F$1004,"")+COUNTIFS('資格研修記録'!$A$5:$A$1004,$A148,'資格研修記録'!$D$5:$D$1004,F$4,'資格研修記録'!$F$5:$F$1004,"&gt;="&amp;TODAY())&gt;0,"○","× 期限切れ"))))</f>
        <v/>
      </c>
      <c r="G148" s="15">
        <f>IF(OR($A148="",G$4=""),"",IF(AND(G$4="小型船舶2級",(COUNTIFS('資格研修記録'!$A$5:$A$1004,$A148,'資格研修記録'!$D$5:$D$1004,"小型船舶1級",'資格研修記録'!$F$5:$F$1004,"")+COUNTIFS('資格研修記録'!$A$5:$A$1004,$A148,'資格研修記録'!$D$5:$D$1004,"小型船舶1級",'資格研修記録'!$F$5:$F$1004,"&gt;="&amp;TODAY()))&gt;0),"1級に含む",IF(COUNTIFS('資格研修記録'!$A$5:$A$1004,$A148,'資格研修記録'!$D$5:$D$1004,G$4)=0,"—",IF(COUNTIFS('資格研修記録'!$A$5:$A$1004,$A148,'資格研修記録'!$D$5:$D$1004,G$4,'資格研修記録'!$F$5:$F$1004,"")+COUNTIFS('資格研修記録'!$A$5:$A$1004,$A148,'資格研修記録'!$D$5:$D$1004,G$4,'資格研修記録'!$F$5:$F$1004,"&gt;="&amp;TODAY())&gt;0,"○","× 期限切れ"))))</f>
        <v/>
      </c>
      <c r="H148" s="15">
        <f>IF(OR($A148="",H$4=""),"",IF(AND(H$4="小型船舶2級",(COUNTIFS('資格研修記録'!$A$5:$A$1004,$A148,'資格研修記録'!$D$5:$D$1004,"小型船舶1級",'資格研修記録'!$F$5:$F$1004,"")+COUNTIFS('資格研修記録'!$A$5:$A$1004,$A148,'資格研修記録'!$D$5:$D$1004,"小型船舶1級",'資格研修記録'!$F$5:$F$1004,"&gt;="&amp;TODAY()))&gt;0),"1級に含む",IF(COUNTIFS('資格研修記録'!$A$5:$A$1004,$A148,'資格研修記録'!$D$5:$D$1004,H$4)=0,"—",IF(COUNTIFS('資格研修記録'!$A$5:$A$1004,$A148,'資格研修記録'!$D$5:$D$1004,H$4,'資格研修記録'!$F$5:$F$1004,"")+COUNTIFS('資格研修記録'!$A$5:$A$1004,$A148,'資格研修記録'!$D$5:$D$1004,H$4,'資格研修記録'!$F$5:$F$1004,"&gt;="&amp;TODAY())&gt;0,"○","× 期限切れ"))))</f>
        <v/>
      </c>
      <c r="I148" s="15">
        <f>IF(OR($A148="",I$4=""),"",IF(AND(I$4="小型船舶2級",(COUNTIFS('資格研修記録'!$A$5:$A$1004,$A148,'資格研修記録'!$D$5:$D$1004,"小型船舶1級",'資格研修記録'!$F$5:$F$1004,"")+COUNTIFS('資格研修記録'!$A$5:$A$1004,$A148,'資格研修記録'!$D$5:$D$1004,"小型船舶1級",'資格研修記録'!$F$5:$F$1004,"&gt;="&amp;TODAY()))&gt;0),"1級に含む",IF(COUNTIFS('資格研修記録'!$A$5:$A$1004,$A148,'資格研修記録'!$D$5:$D$1004,I$4)=0,"—",IF(COUNTIFS('資格研修記録'!$A$5:$A$1004,$A148,'資格研修記録'!$D$5:$D$1004,I$4,'資格研修記録'!$F$5:$F$1004,"")+COUNTIFS('資格研修記録'!$A$5:$A$1004,$A148,'資格研修記録'!$D$5:$D$1004,I$4,'資格研修記録'!$F$5:$F$1004,"&gt;="&amp;TODAY())&gt;0,"○","× 期限切れ"))))</f>
        <v/>
      </c>
      <c r="J148" s="15">
        <f>IF(OR($A148="",J$4=""),"",IF(AND(J$4="小型船舶2級",(COUNTIFS('資格研修記録'!$A$5:$A$1004,$A148,'資格研修記録'!$D$5:$D$1004,"小型船舶1級",'資格研修記録'!$F$5:$F$1004,"")+COUNTIFS('資格研修記録'!$A$5:$A$1004,$A148,'資格研修記録'!$D$5:$D$1004,"小型船舶1級",'資格研修記録'!$F$5:$F$1004,"&gt;="&amp;TODAY()))&gt;0),"1級に含む",IF(COUNTIFS('資格研修記録'!$A$5:$A$1004,$A148,'資格研修記録'!$D$5:$D$1004,J$4)=0,"—",IF(COUNTIFS('資格研修記録'!$A$5:$A$1004,$A148,'資格研修記録'!$D$5:$D$1004,J$4,'資格研修記録'!$F$5:$F$1004,"")+COUNTIFS('資格研修記録'!$A$5:$A$1004,$A148,'資格研修記録'!$D$5:$D$1004,J$4,'資格研修記録'!$F$5:$F$1004,"&gt;="&amp;TODAY())&gt;0,"○","× 期限切れ"))))</f>
        <v/>
      </c>
      <c r="K148" s="15">
        <f>IF(OR($A148="",K$4=""),"",IF(AND(K$4="小型船舶2級",(COUNTIFS('資格研修記録'!$A$5:$A$1004,$A148,'資格研修記録'!$D$5:$D$1004,"小型船舶1級",'資格研修記録'!$F$5:$F$1004,"")+COUNTIFS('資格研修記録'!$A$5:$A$1004,$A148,'資格研修記録'!$D$5:$D$1004,"小型船舶1級",'資格研修記録'!$F$5:$F$1004,"&gt;="&amp;TODAY()))&gt;0),"1級に含む",IF(COUNTIFS('資格研修記録'!$A$5:$A$1004,$A148,'資格研修記録'!$D$5:$D$1004,K$4)=0,"—",IF(COUNTIFS('資格研修記録'!$A$5:$A$1004,$A148,'資格研修記録'!$D$5:$D$1004,K$4,'資格研修記録'!$F$5:$F$1004,"")+COUNTIFS('資格研修記録'!$A$5:$A$1004,$A148,'資格研修記録'!$D$5:$D$1004,K$4,'資格研修記録'!$F$5:$F$1004,"&gt;="&amp;TODAY())&gt;0,"○","× 期限切れ"))))</f>
        <v/>
      </c>
      <c r="L148" s="15">
        <f>IF(OR($A148="",L$4=""),"",IF(AND(L$4="小型船舶2級",(COUNTIFS('資格研修記録'!$A$5:$A$1004,$A148,'資格研修記録'!$D$5:$D$1004,"小型船舶1級",'資格研修記録'!$F$5:$F$1004,"")+COUNTIFS('資格研修記録'!$A$5:$A$1004,$A148,'資格研修記録'!$D$5:$D$1004,"小型船舶1級",'資格研修記録'!$F$5:$F$1004,"&gt;="&amp;TODAY()))&gt;0),"1級に含む",IF(COUNTIFS('資格研修記録'!$A$5:$A$1004,$A148,'資格研修記録'!$D$5:$D$1004,L$4)=0,"—",IF(COUNTIFS('資格研修記録'!$A$5:$A$1004,$A148,'資格研修記録'!$D$5:$D$1004,L$4,'資格研修記録'!$F$5:$F$1004,"")+COUNTIFS('資格研修記録'!$A$5:$A$1004,$A148,'資格研修記録'!$D$5:$D$1004,L$4,'資格研修記録'!$F$5:$F$1004,"&gt;="&amp;TODAY())&gt;0,"○","× 期限切れ"))))</f>
        <v/>
      </c>
    </row>
    <row r="149">
      <c r="A149" s="14">
        <f>IF('隊員マスタ'!A149="","",'隊員マスタ'!A149)</f>
        <v/>
      </c>
      <c r="B149" s="14">
        <f>IF(A149="","",'隊員マスタ'!B149)</f>
        <v/>
      </c>
      <c r="C149" s="14">
        <f>IF(A149="","",'隊員マスタ'!C149)</f>
        <v/>
      </c>
      <c r="D149" s="15">
        <f>IF(A149="","",'隊員マスタ'!D149)</f>
        <v/>
      </c>
      <c r="E149" s="15">
        <f>IF(OR($A149="",E$4=""),"",IF(AND(E$4="小型船舶2級",(COUNTIFS('資格研修記録'!$A$5:$A$1004,$A149,'資格研修記録'!$D$5:$D$1004,"小型船舶1級",'資格研修記録'!$F$5:$F$1004,"")+COUNTIFS('資格研修記録'!$A$5:$A$1004,$A149,'資格研修記録'!$D$5:$D$1004,"小型船舶1級",'資格研修記録'!$F$5:$F$1004,"&gt;="&amp;TODAY()))&gt;0),"1級に含む",IF(COUNTIFS('資格研修記録'!$A$5:$A$1004,$A149,'資格研修記録'!$D$5:$D$1004,E$4)=0,"—",IF(COUNTIFS('資格研修記録'!$A$5:$A$1004,$A149,'資格研修記録'!$D$5:$D$1004,E$4,'資格研修記録'!$F$5:$F$1004,"")+COUNTIFS('資格研修記録'!$A$5:$A$1004,$A149,'資格研修記録'!$D$5:$D$1004,E$4,'資格研修記録'!$F$5:$F$1004,"&gt;="&amp;TODAY())&gt;0,"○","× 期限切れ"))))</f>
        <v/>
      </c>
      <c r="F149" s="15">
        <f>IF(OR($A149="",F$4=""),"",IF(AND(F$4="小型船舶2級",(COUNTIFS('資格研修記録'!$A$5:$A$1004,$A149,'資格研修記録'!$D$5:$D$1004,"小型船舶1級",'資格研修記録'!$F$5:$F$1004,"")+COUNTIFS('資格研修記録'!$A$5:$A$1004,$A149,'資格研修記録'!$D$5:$D$1004,"小型船舶1級",'資格研修記録'!$F$5:$F$1004,"&gt;="&amp;TODAY()))&gt;0),"1級に含む",IF(COUNTIFS('資格研修記録'!$A$5:$A$1004,$A149,'資格研修記録'!$D$5:$D$1004,F$4)=0,"—",IF(COUNTIFS('資格研修記録'!$A$5:$A$1004,$A149,'資格研修記録'!$D$5:$D$1004,F$4,'資格研修記録'!$F$5:$F$1004,"")+COUNTIFS('資格研修記録'!$A$5:$A$1004,$A149,'資格研修記録'!$D$5:$D$1004,F$4,'資格研修記録'!$F$5:$F$1004,"&gt;="&amp;TODAY())&gt;0,"○","× 期限切れ"))))</f>
        <v/>
      </c>
      <c r="G149" s="15">
        <f>IF(OR($A149="",G$4=""),"",IF(AND(G$4="小型船舶2級",(COUNTIFS('資格研修記録'!$A$5:$A$1004,$A149,'資格研修記録'!$D$5:$D$1004,"小型船舶1級",'資格研修記録'!$F$5:$F$1004,"")+COUNTIFS('資格研修記録'!$A$5:$A$1004,$A149,'資格研修記録'!$D$5:$D$1004,"小型船舶1級",'資格研修記録'!$F$5:$F$1004,"&gt;="&amp;TODAY()))&gt;0),"1級に含む",IF(COUNTIFS('資格研修記録'!$A$5:$A$1004,$A149,'資格研修記録'!$D$5:$D$1004,G$4)=0,"—",IF(COUNTIFS('資格研修記録'!$A$5:$A$1004,$A149,'資格研修記録'!$D$5:$D$1004,G$4,'資格研修記録'!$F$5:$F$1004,"")+COUNTIFS('資格研修記録'!$A$5:$A$1004,$A149,'資格研修記録'!$D$5:$D$1004,G$4,'資格研修記録'!$F$5:$F$1004,"&gt;="&amp;TODAY())&gt;0,"○","× 期限切れ"))))</f>
        <v/>
      </c>
      <c r="H149" s="15">
        <f>IF(OR($A149="",H$4=""),"",IF(AND(H$4="小型船舶2級",(COUNTIFS('資格研修記録'!$A$5:$A$1004,$A149,'資格研修記録'!$D$5:$D$1004,"小型船舶1級",'資格研修記録'!$F$5:$F$1004,"")+COUNTIFS('資格研修記録'!$A$5:$A$1004,$A149,'資格研修記録'!$D$5:$D$1004,"小型船舶1級",'資格研修記録'!$F$5:$F$1004,"&gt;="&amp;TODAY()))&gt;0),"1級に含む",IF(COUNTIFS('資格研修記録'!$A$5:$A$1004,$A149,'資格研修記録'!$D$5:$D$1004,H$4)=0,"—",IF(COUNTIFS('資格研修記録'!$A$5:$A$1004,$A149,'資格研修記録'!$D$5:$D$1004,H$4,'資格研修記録'!$F$5:$F$1004,"")+COUNTIFS('資格研修記録'!$A$5:$A$1004,$A149,'資格研修記録'!$D$5:$D$1004,H$4,'資格研修記録'!$F$5:$F$1004,"&gt;="&amp;TODAY())&gt;0,"○","× 期限切れ"))))</f>
        <v/>
      </c>
      <c r="I149" s="15">
        <f>IF(OR($A149="",I$4=""),"",IF(AND(I$4="小型船舶2級",(COUNTIFS('資格研修記録'!$A$5:$A$1004,$A149,'資格研修記録'!$D$5:$D$1004,"小型船舶1級",'資格研修記録'!$F$5:$F$1004,"")+COUNTIFS('資格研修記録'!$A$5:$A$1004,$A149,'資格研修記録'!$D$5:$D$1004,"小型船舶1級",'資格研修記録'!$F$5:$F$1004,"&gt;="&amp;TODAY()))&gt;0),"1級に含む",IF(COUNTIFS('資格研修記録'!$A$5:$A$1004,$A149,'資格研修記録'!$D$5:$D$1004,I$4)=0,"—",IF(COUNTIFS('資格研修記録'!$A$5:$A$1004,$A149,'資格研修記録'!$D$5:$D$1004,I$4,'資格研修記録'!$F$5:$F$1004,"")+COUNTIFS('資格研修記録'!$A$5:$A$1004,$A149,'資格研修記録'!$D$5:$D$1004,I$4,'資格研修記録'!$F$5:$F$1004,"&gt;="&amp;TODAY())&gt;0,"○","× 期限切れ"))))</f>
        <v/>
      </c>
      <c r="J149" s="15">
        <f>IF(OR($A149="",J$4=""),"",IF(AND(J$4="小型船舶2級",(COUNTIFS('資格研修記録'!$A$5:$A$1004,$A149,'資格研修記録'!$D$5:$D$1004,"小型船舶1級",'資格研修記録'!$F$5:$F$1004,"")+COUNTIFS('資格研修記録'!$A$5:$A$1004,$A149,'資格研修記録'!$D$5:$D$1004,"小型船舶1級",'資格研修記録'!$F$5:$F$1004,"&gt;="&amp;TODAY()))&gt;0),"1級に含む",IF(COUNTIFS('資格研修記録'!$A$5:$A$1004,$A149,'資格研修記録'!$D$5:$D$1004,J$4)=0,"—",IF(COUNTIFS('資格研修記録'!$A$5:$A$1004,$A149,'資格研修記録'!$D$5:$D$1004,J$4,'資格研修記録'!$F$5:$F$1004,"")+COUNTIFS('資格研修記録'!$A$5:$A$1004,$A149,'資格研修記録'!$D$5:$D$1004,J$4,'資格研修記録'!$F$5:$F$1004,"&gt;="&amp;TODAY())&gt;0,"○","× 期限切れ"))))</f>
        <v/>
      </c>
      <c r="K149" s="15">
        <f>IF(OR($A149="",K$4=""),"",IF(AND(K$4="小型船舶2級",(COUNTIFS('資格研修記録'!$A$5:$A$1004,$A149,'資格研修記録'!$D$5:$D$1004,"小型船舶1級",'資格研修記録'!$F$5:$F$1004,"")+COUNTIFS('資格研修記録'!$A$5:$A$1004,$A149,'資格研修記録'!$D$5:$D$1004,"小型船舶1級",'資格研修記録'!$F$5:$F$1004,"&gt;="&amp;TODAY()))&gt;0),"1級に含む",IF(COUNTIFS('資格研修記録'!$A$5:$A$1004,$A149,'資格研修記録'!$D$5:$D$1004,K$4)=0,"—",IF(COUNTIFS('資格研修記録'!$A$5:$A$1004,$A149,'資格研修記録'!$D$5:$D$1004,K$4,'資格研修記録'!$F$5:$F$1004,"")+COUNTIFS('資格研修記録'!$A$5:$A$1004,$A149,'資格研修記録'!$D$5:$D$1004,K$4,'資格研修記録'!$F$5:$F$1004,"&gt;="&amp;TODAY())&gt;0,"○","× 期限切れ"))))</f>
        <v/>
      </c>
      <c r="L149" s="15">
        <f>IF(OR($A149="",L$4=""),"",IF(AND(L$4="小型船舶2級",(COUNTIFS('資格研修記録'!$A$5:$A$1004,$A149,'資格研修記録'!$D$5:$D$1004,"小型船舶1級",'資格研修記録'!$F$5:$F$1004,"")+COUNTIFS('資格研修記録'!$A$5:$A$1004,$A149,'資格研修記録'!$D$5:$D$1004,"小型船舶1級",'資格研修記録'!$F$5:$F$1004,"&gt;="&amp;TODAY()))&gt;0),"1級に含む",IF(COUNTIFS('資格研修記録'!$A$5:$A$1004,$A149,'資格研修記録'!$D$5:$D$1004,L$4)=0,"—",IF(COUNTIFS('資格研修記録'!$A$5:$A$1004,$A149,'資格研修記録'!$D$5:$D$1004,L$4,'資格研修記録'!$F$5:$F$1004,"")+COUNTIFS('資格研修記録'!$A$5:$A$1004,$A149,'資格研修記録'!$D$5:$D$1004,L$4,'資格研修記録'!$F$5:$F$1004,"&gt;="&amp;TODAY())&gt;0,"○","× 期限切れ"))))</f>
        <v/>
      </c>
    </row>
    <row r="150">
      <c r="A150" s="14">
        <f>IF('隊員マスタ'!A150="","",'隊員マスタ'!A150)</f>
        <v/>
      </c>
      <c r="B150" s="14">
        <f>IF(A150="","",'隊員マスタ'!B150)</f>
        <v/>
      </c>
      <c r="C150" s="14">
        <f>IF(A150="","",'隊員マスタ'!C150)</f>
        <v/>
      </c>
      <c r="D150" s="15">
        <f>IF(A150="","",'隊員マスタ'!D150)</f>
        <v/>
      </c>
      <c r="E150" s="15">
        <f>IF(OR($A150="",E$4=""),"",IF(AND(E$4="小型船舶2級",(COUNTIFS('資格研修記録'!$A$5:$A$1004,$A150,'資格研修記録'!$D$5:$D$1004,"小型船舶1級",'資格研修記録'!$F$5:$F$1004,"")+COUNTIFS('資格研修記録'!$A$5:$A$1004,$A150,'資格研修記録'!$D$5:$D$1004,"小型船舶1級",'資格研修記録'!$F$5:$F$1004,"&gt;="&amp;TODAY()))&gt;0),"1級に含む",IF(COUNTIFS('資格研修記録'!$A$5:$A$1004,$A150,'資格研修記録'!$D$5:$D$1004,E$4)=0,"—",IF(COUNTIFS('資格研修記録'!$A$5:$A$1004,$A150,'資格研修記録'!$D$5:$D$1004,E$4,'資格研修記録'!$F$5:$F$1004,"")+COUNTIFS('資格研修記録'!$A$5:$A$1004,$A150,'資格研修記録'!$D$5:$D$1004,E$4,'資格研修記録'!$F$5:$F$1004,"&gt;="&amp;TODAY())&gt;0,"○","× 期限切れ"))))</f>
        <v/>
      </c>
      <c r="F150" s="15">
        <f>IF(OR($A150="",F$4=""),"",IF(AND(F$4="小型船舶2級",(COUNTIFS('資格研修記録'!$A$5:$A$1004,$A150,'資格研修記録'!$D$5:$D$1004,"小型船舶1級",'資格研修記録'!$F$5:$F$1004,"")+COUNTIFS('資格研修記録'!$A$5:$A$1004,$A150,'資格研修記録'!$D$5:$D$1004,"小型船舶1級",'資格研修記録'!$F$5:$F$1004,"&gt;="&amp;TODAY()))&gt;0),"1級に含む",IF(COUNTIFS('資格研修記録'!$A$5:$A$1004,$A150,'資格研修記録'!$D$5:$D$1004,F$4)=0,"—",IF(COUNTIFS('資格研修記録'!$A$5:$A$1004,$A150,'資格研修記録'!$D$5:$D$1004,F$4,'資格研修記録'!$F$5:$F$1004,"")+COUNTIFS('資格研修記録'!$A$5:$A$1004,$A150,'資格研修記録'!$D$5:$D$1004,F$4,'資格研修記録'!$F$5:$F$1004,"&gt;="&amp;TODAY())&gt;0,"○","× 期限切れ"))))</f>
        <v/>
      </c>
      <c r="G150" s="15">
        <f>IF(OR($A150="",G$4=""),"",IF(AND(G$4="小型船舶2級",(COUNTIFS('資格研修記録'!$A$5:$A$1004,$A150,'資格研修記録'!$D$5:$D$1004,"小型船舶1級",'資格研修記録'!$F$5:$F$1004,"")+COUNTIFS('資格研修記録'!$A$5:$A$1004,$A150,'資格研修記録'!$D$5:$D$1004,"小型船舶1級",'資格研修記録'!$F$5:$F$1004,"&gt;="&amp;TODAY()))&gt;0),"1級に含む",IF(COUNTIFS('資格研修記録'!$A$5:$A$1004,$A150,'資格研修記録'!$D$5:$D$1004,G$4)=0,"—",IF(COUNTIFS('資格研修記録'!$A$5:$A$1004,$A150,'資格研修記録'!$D$5:$D$1004,G$4,'資格研修記録'!$F$5:$F$1004,"")+COUNTIFS('資格研修記録'!$A$5:$A$1004,$A150,'資格研修記録'!$D$5:$D$1004,G$4,'資格研修記録'!$F$5:$F$1004,"&gt;="&amp;TODAY())&gt;0,"○","× 期限切れ"))))</f>
        <v/>
      </c>
      <c r="H150" s="15">
        <f>IF(OR($A150="",H$4=""),"",IF(AND(H$4="小型船舶2級",(COUNTIFS('資格研修記録'!$A$5:$A$1004,$A150,'資格研修記録'!$D$5:$D$1004,"小型船舶1級",'資格研修記録'!$F$5:$F$1004,"")+COUNTIFS('資格研修記録'!$A$5:$A$1004,$A150,'資格研修記録'!$D$5:$D$1004,"小型船舶1級",'資格研修記録'!$F$5:$F$1004,"&gt;="&amp;TODAY()))&gt;0),"1級に含む",IF(COUNTIFS('資格研修記録'!$A$5:$A$1004,$A150,'資格研修記録'!$D$5:$D$1004,H$4)=0,"—",IF(COUNTIFS('資格研修記録'!$A$5:$A$1004,$A150,'資格研修記録'!$D$5:$D$1004,H$4,'資格研修記録'!$F$5:$F$1004,"")+COUNTIFS('資格研修記録'!$A$5:$A$1004,$A150,'資格研修記録'!$D$5:$D$1004,H$4,'資格研修記録'!$F$5:$F$1004,"&gt;="&amp;TODAY())&gt;0,"○","× 期限切れ"))))</f>
        <v/>
      </c>
      <c r="I150" s="15">
        <f>IF(OR($A150="",I$4=""),"",IF(AND(I$4="小型船舶2級",(COUNTIFS('資格研修記録'!$A$5:$A$1004,$A150,'資格研修記録'!$D$5:$D$1004,"小型船舶1級",'資格研修記録'!$F$5:$F$1004,"")+COUNTIFS('資格研修記録'!$A$5:$A$1004,$A150,'資格研修記録'!$D$5:$D$1004,"小型船舶1級",'資格研修記録'!$F$5:$F$1004,"&gt;="&amp;TODAY()))&gt;0),"1級に含む",IF(COUNTIFS('資格研修記録'!$A$5:$A$1004,$A150,'資格研修記録'!$D$5:$D$1004,I$4)=0,"—",IF(COUNTIFS('資格研修記録'!$A$5:$A$1004,$A150,'資格研修記録'!$D$5:$D$1004,I$4,'資格研修記録'!$F$5:$F$1004,"")+COUNTIFS('資格研修記録'!$A$5:$A$1004,$A150,'資格研修記録'!$D$5:$D$1004,I$4,'資格研修記録'!$F$5:$F$1004,"&gt;="&amp;TODAY())&gt;0,"○","× 期限切れ"))))</f>
        <v/>
      </c>
      <c r="J150" s="15">
        <f>IF(OR($A150="",J$4=""),"",IF(AND(J$4="小型船舶2級",(COUNTIFS('資格研修記録'!$A$5:$A$1004,$A150,'資格研修記録'!$D$5:$D$1004,"小型船舶1級",'資格研修記録'!$F$5:$F$1004,"")+COUNTIFS('資格研修記録'!$A$5:$A$1004,$A150,'資格研修記録'!$D$5:$D$1004,"小型船舶1級",'資格研修記録'!$F$5:$F$1004,"&gt;="&amp;TODAY()))&gt;0),"1級に含む",IF(COUNTIFS('資格研修記録'!$A$5:$A$1004,$A150,'資格研修記録'!$D$5:$D$1004,J$4)=0,"—",IF(COUNTIFS('資格研修記録'!$A$5:$A$1004,$A150,'資格研修記録'!$D$5:$D$1004,J$4,'資格研修記録'!$F$5:$F$1004,"")+COUNTIFS('資格研修記録'!$A$5:$A$1004,$A150,'資格研修記録'!$D$5:$D$1004,J$4,'資格研修記録'!$F$5:$F$1004,"&gt;="&amp;TODAY())&gt;0,"○","× 期限切れ"))))</f>
        <v/>
      </c>
      <c r="K150" s="15">
        <f>IF(OR($A150="",K$4=""),"",IF(AND(K$4="小型船舶2級",(COUNTIFS('資格研修記録'!$A$5:$A$1004,$A150,'資格研修記録'!$D$5:$D$1004,"小型船舶1級",'資格研修記録'!$F$5:$F$1004,"")+COUNTIFS('資格研修記録'!$A$5:$A$1004,$A150,'資格研修記録'!$D$5:$D$1004,"小型船舶1級",'資格研修記録'!$F$5:$F$1004,"&gt;="&amp;TODAY()))&gt;0),"1級に含む",IF(COUNTIFS('資格研修記録'!$A$5:$A$1004,$A150,'資格研修記録'!$D$5:$D$1004,K$4)=0,"—",IF(COUNTIFS('資格研修記録'!$A$5:$A$1004,$A150,'資格研修記録'!$D$5:$D$1004,K$4,'資格研修記録'!$F$5:$F$1004,"")+COUNTIFS('資格研修記録'!$A$5:$A$1004,$A150,'資格研修記録'!$D$5:$D$1004,K$4,'資格研修記録'!$F$5:$F$1004,"&gt;="&amp;TODAY())&gt;0,"○","× 期限切れ"))))</f>
        <v/>
      </c>
      <c r="L150" s="15">
        <f>IF(OR($A150="",L$4=""),"",IF(AND(L$4="小型船舶2級",(COUNTIFS('資格研修記録'!$A$5:$A$1004,$A150,'資格研修記録'!$D$5:$D$1004,"小型船舶1級",'資格研修記録'!$F$5:$F$1004,"")+COUNTIFS('資格研修記録'!$A$5:$A$1004,$A150,'資格研修記録'!$D$5:$D$1004,"小型船舶1級",'資格研修記録'!$F$5:$F$1004,"&gt;="&amp;TODAY()))&gt;0),"1級に含む",IF(COUNTIFS('資格研修記録'!$A$5:$A$1004,$A150,'資格研修記録'!$D$5:$D$1004,L$4)=0,"—",IF(COUNTIFS('資格研修記録'!$A$5:$A$1004,$A150,'資格研修記録'!$D$5:$D$1004,L$4,'資格研修記録'!$F$5:$F$1004,"")+COUNTIFS('資格研修記録'!$A$5:$A$1004,$A150,'資格研修記録'!$D$5:$D$1004,L$4,'資格研修記録'!$F$5:$F$1004,"&gt;="&amp;TODAY())&gt;0,"○","× 期限切れ"))))</f>
        <v/>
      </c>
    </row>
    <row r="151">
      <c r="A151" s="14">
        <f>IF('隊員マスタ'!A151="","",'隊員マスタ'!A151)</f>
        <v/>
      </c>
      <c r="B151" s="14">
        <f>IF(A151="","",'隊員マスタ'!B151)</f>
        <v/>
      </c>
      <c r="C151" s="14">
        <f>IF(A151="","",'隊員マスタ'!C151)</f>
        <v/>
      </c>
      <c r="D151" s="15">
        <f>IF(A151="","",'隊員マスタ'!D151)</f>
        <v/>
      </c>
      <c r="E151" s="15">
        <f>IF(OR($A151="",E$4=""),"",IF(AND(E$4="小型船舶2級",(COUNTIFS('資格研修記録'!$A$5:$A$1004,$A151,'資格研修記録'!$D$5:$D$1004,"小型船舶1級",'資格研修記録'!$F$5:$F$1004,"")+COUNTIFS('資格研修記録'!$A$5:$A$1004,$A151,'資格研修記録'!$D$5:$D$1004,"小型船舶1級",'資格研修記録'!$F$5:$F$1004,"&gt;="&amp;TODAY()))&gt;0),"1級に含む",IF(COUNTIFS('資格研修記録'!$A$5:$A$1004,$A151,'資格研修記録'!$D$5:$D$1004,E$4)=0,"—",IF(COUNTIFS('資格研修記録'!$A$5:$A$1004,$A151,'資格研修記録'!$D$5:$D$1004,E$4,'資格研修記録'!$F$5:$F$1004,"")+COUNTIFS('資格研修記録'!$A$5:$A$1004,$A151,'資格研修記録'!$D$5:$D$1004,E$4,'資格研修記録'!$F$5:$F$1004,"&gt;="&amp;TODAY())&gt;0,"○","× 期限切れ"))))</f>
        <v/>
      </c>
      <c r="F151" s="15">
        <f>IF(OR($A151="",F$4=""),"",IF(AND(F$4="小型船舶2級",(COUNTIFS('資格研修記録'!$A$5:$A$1004,$A151,'資格研修記録'!$D$5:$D$1004,"小型船舶1級",'資格研修記録'!$F$5:$F$1004,"")+COUNTIFS('資格研修記録'!$A$5:$A$1004,$A151,'資格研修記録'!$D$5:$D$1004,"小型船舶1級",'資格研修記録'!$F$5:$F$1004,"&gt;="&amp;TODAY()))&gt;0),"1級に含む",IF(COUNTIFS('資格研修記録'!$A$5:$A$1004,$A151,'資格研修記録'!$D$5:$D$1004,F$4)=0,"—",IF(COUNTIFS('資格研修記録'!$A$5:$A$1004,$A151,'資格研修記録'!$D$5:$D$1004,F$4,'資格研修記録'!$F$5:$F$1004,"")+COUNTIFS('資格研修記録'!$A$5:$A$1004,$A151,'資格研修記録'!$D$5:$D$1004,F$4,'資格研修記録'!$F$5:$F$1004,"&gt;="&amp;TODAY())&gt;0,"○","× 期限切れ"))))</f>
        <v/>
      </c>
      <c r="G151" s="15">
        <f>IF(OR($A151="",G$4=""),"",IF(AND(G$4="小型船舶2級",(COUNTIFS('資格研修記録'!$A$5:$A$1004,$A151,'資格研修記録'!$D$5:$D$1004,"小型船舶1級",'資格研修記録'!$F$5:$F$1004,"")+COUNTIFS('資格研修記録'!$A$5:$A$1004,$A151,'資格研修記録'!$D$5:$D$1004,"小型船舶1級",'資格研修記録'!$F$5:$F$1004,"&gt;="&amp;TODAY()))&gt;0),"1級に含む",IF(COUNTIFS('資格研修記録'!$A$5:$A$1004,$A151,'資格研修記録'!$D$5:$D$1004,G$4)=0,"—",IF(COUNTIFS('資格研修記録'!$A$5:$A$1004,$A151,'資格研修記録'!$D$5:$D$1004,G$4,'資格研修記録'!$F$5:$F$1004,"")+COUNTIFS('資格研修記録'!$A$5:$A$1004,$A151,'資格研修記録'!$D$5:$D$1004,G$4,'資格研修記録'!$F$5:$F$1004,"&gt;="&amp;TODAY())&gt;0,"○","× 期限切れ"))))</f>
        <v/>
      </c>
      <c r="H151" s="15">
        <f>IF(OR($A151="",H$4=""),"",IF(AND(H$4="小型船舶2級",(COUNTIFS('資格研修記録'!$A$5:$A$1004,$A151,'資格研修記録'!$D$5:$D$1004,"小型船舶1級",'資格研修記録'!$F$5:$F$1004,"")+COUNTIFS('資格研修記録'!$A$5:$A$1004,$A151,'資格研修記録'!$D$5:$D$1004,"小型船舶1級",'資格研修記録'!$F$5:$F$1004,"&gt;="&amp;TODAY()))&gt;0),"1級に含む",IF(COUNTIFS('資格研修記録'!$A$5:$A$1004,$A151,'資格研修記録'!$D$5:$D$1004,H$4)=0,"—",IF(COUNTIFS('資格研修記録'!$A$5:$A$1004,$A151,'資格研修記録'!$D$5:$D$1004,H$4,'資格研修記録'!$F$5:$F$1004,"")+COUNTIFS('資格研修記録'!$A$5:$A$1004,$A151,'資格研修記録'!$D$5:$D$1004,H$4,'資格研修記録'!$F$5:$F$1004,"&gt;="&amp;TODAY())&gt;0,"○","× 期限切れ"))))</f>
        <v/>
      </c>
      <c r="I151" s="15">
        <f>IF(OR($A151="",I$4=""),"",IF(AND(I$4="小型船舶2級",(COUNTIFS('資格研修記録'!$A$5:$A$1004,$A151,'資格研修記録'!$D$5:$D$1004,"小型船舶1級",'資格研修記録'!$F$5:$F$1004,"")+COUNTIFS('資格研修記録'!$A$5:$A$1004,$A151,'資格研修記録'!$D$5:$D$1004,"小型船舶1級",'資格研修記録'!$F$5:$F$1004,"&gt;="&amp;TODAY()))&gt;0),"1級に含む",IF(COUNTIFS('資格研修記録'!$A$5:$A$1004,$A151,'資格研修記録'!$D$5:$D$1004,I$4)=0,"—",IF(COUNTIFS('資格研修記録'!$A$5:$A$1004,$A151,'資格研修記録'!$D$5:$D$1004,I$4,'資格研修記録'!$F$5:$F$1004,"")+COUNTIFS('資格研修記録'!$A$5:$A$1004,$A151,'資格研修記録'!$D$5:$D$1004,I$4,'資格研修記録'!$F$5:$F$1004,"&gt;="&amp;TODAY())&gt;0,"○","× 期限切れ"))))</f>
        <v/>
      </c>
      <c r="J151" s="15">
        <f>IF(OR($A151="",J$4=""),"",IF(AND(J$4="小型船舶2級",(COUNTIFS('資格研修記録'!$A$5:$A$1004,$A151,'資格研修記録'!$D$5:$D$1004,"小型船舶1級",'資格研修記録'!$F$5:$F$1004,"")+COUNTIFS('資格研修記録'!$A$5:$A$1004,$A151,'資格研修記録'!$D$5:$D$1004,"小型船舶1級",'資格研修記録'!$F$5:$F$1004,"&gt;="&amp;TODAY()))&gt;0),"1級に含む",IF(COUNTIFS('資格研修記録'!$A$5:$A$1004,$A151,'資格研修記録'!$D$5:$D$1004,J$4)=0,"—",IF(COUNTIFS('資格研修記録'!$A$5:$A$1004,$A151,'資格研修記録'!$D$5:$D$1004,J$4,'資格研修記録'!$F$5:$F$1004,"")+COUNTIFS('資格研修記録'!$A$5:$A$1004,$A151,'資格研修記録'!$D$5:$D$1004,J$4,'資格研修記録'!$F$5:$F$1004,"&gt;="&amp;TODAY())&gt;0,"○","× 期限切れ"))))</f>
        <v/>
      </c>
      <c r="K151" s="15">
        <f>IF(OR($A151="",K$4=""),"",IF(AND(K$4="小型船舶2級",(COUNTIFS('資格研修記録'!$A$5:$A$1004,$A151,'資格研修記録'!$D$5:$D$1004,"小型船舶1級",'資格研修記録'!$F$5:$F$1004,"")+COUNTIFS('資格研修記録'!$A$5:$A$1004,$A151,'資格研修記録'!$D$5:$D$1004,"小型船舶1級",'資格研修記録'!$F$5:$F$1004,"&gt;="&amp;TODAY()))&gt;0),"1級に含む",IF(COUNTIFS('資格研修記録'!$A$5:$A$1004,$A151,'資格研修記録'!$D$5:$D$1004,K$4)=0,"—",IF(COUNTIFS('資格研修記録'!$A$5:$A$1004,$A151,'資格研修記録'!$D$5:$D$1004,K$4,'資格研修記録'!$F$5:$F$1004,"")+COUNTIFS('資格研修記録'!$A$5:$A$1004,$A151,'資格研修記録'!$D$5:$D$1004,K$4,'資格研修記録'!$F$5:$F$1004,"&gt;="&amp;TODAY())&gt;0,"○","× 期限切れ"))))</f>
        <v/>
      </c>
      <c r="L151" s="15">
        <f>IF(OR($A151="",L$4=""),"",IF(AND(L$4="小型船舶2級",(COUNTIFS('資格研修記録'!$A$5:$A$1004,$A151,'資格研修記録'!$D$5:$D$1004,"小型船舶1級",'資格研修記録'!$F$5:$F$1004,"")+COUNTIFS('資格研修記録'!$A$5:$A$1004,$A151,'資格研修記録'!$D$5:$D$1004,"小型船舶1級",'資格研修記録'!$F$5:$F$1004,"&gt;="&amp;TODAY()))&gt;0),"1級に含む",IF(COUNTIFS('資格研修記録'!$A$5:$A$1004,$A151,'資格研修記録'!$D$5:$D$1004,L$4)=0,"—",IF(COUNTIFS('資格研修記録'!$A$5:$A$1004,$A151,'資格研修記録'!$D$5:$D$1004,L$4,'資格研修記録'!$F$5:$F$1004,"")+COUNTIFS('資格研修記録'!$A$5:$A$1004,$A151,'資格研修記録'!$D$5:$D$1004,L$4,'資格研修記録'!$F$5:$F$1004,"&gt;="&amp;TODAY())&gt;0,"○","× 期限切れ"))))</f>
        <v/>
      </c>
    </row>
    <row r="152">
      <c r="A152" s="14">
        <f>IF('隊員マスタ'!A152="","",'隊員マスタ'!A152)</f>
        <v/>
      </c>
      <c r="B152" s="14">
        <f>IF(A152="","",'隊員マスタ'!B152)</f>
        <v/>
      </c>
      <c r="C152" s="14">
        <f>IF(A152="","",'隊員マスタ'!C152)</f>
        <v/>
      </c>
      <c r="D152" s="15">
        <f>IF(A152="","",'隊員マスタ'!D152)</f>
        <v/>
      </c>
      <c r="E152" s="15">
        <f>IF(OR($A152="",E$4=""),"",IF(AND(E$4="小型船舶2級",(COUNTIFS('資格研修記録'!$A$5:$A$1004,$A152,'資格研修記録'!$D$5:$D$1004,"小型船舶1級",'資格研修記録'!$F$5:$F$1004,"")+COUNTIFS('資格研修記録'!$A$5:$A$1004,$A152,'資格研修記録'!$D$5:$D$1004,"小型船舶1級",'資格研修記録'!$F$5:$F$1004,"&gt;="&amp;TODAY()))&gt;0),"1級に含む",IF(COUNTIFS('資格研修記録'!$A$5:$A$1004,$A152,'資格研修記録'!$D$5:$D$1004,E$4)=0,"—",IF(COUNTIFS('資格研修記録'!$A$5:$A$1004,$A152,'資格研修記録'!$D$5:$D$1004,E$4,'資格研修記録'!$F$5:$F$1004,"")+COUNTIFS('資格研修記録'!$A$5:$A$1004,$A152,'資格研修記録'!$D$5:$D$1004,E$4,'資格研修記録'!$F$5:$F$1004,"&gt;="&amp;TODAY())&gt;0,"○","× 期限切れ"))))</f>
        <v/>
      </c>
      <c r="F152" s="15">
        <f>IF(OR($A152="",F$4=""),"",IF(AND(F$4="小型船舶2級",(COUNTIFS('資格研修記録'!$A$5:$A$1004,$A152,'資格研修記録'!$D$5:$D$1004,"小型船舶1級",'資格研修記録'!$F$5:$F$1004,"")+COUNTIFS('資格研修記録'!$A$5:$A$1004,$A152,'資格研修記録'!$D$5:$D$1004,"小型船舶1級",'資格研修記録'!$F$5:$F$1004,"&gt;="&amp;TODAY()))&gt;0),"1級に含む",IF(COUNTIFS('資格研修記録'!$A$5:$A$1004,$A152,'資格研修記録'!$D$5:$D$1004,F$4)=0,"—",IF(COUNTIFS('資格研修記録'!$A$5:$A$1004,$A152,'資格研修記録'!$D$5:$D$1004,F$4,'資格研修記録'!$F$5:$F$1004,"")+COUNTIFS('資格研修記録'!$A$5:$A$1004,$A152,'資格研修記録'!$D$5:$D$1004,F$4,'資格研修記録'!$F$5:$F$1004,"&gt;="&amp;TODAY())&gt;0,"○","× 期限切れ"))))</f>
        <v/>
      </c>
      <c r="G152" s="15">
        <f>IF(OR($A152="",G$4=""),"",IF(AND(G$4="小型船舶2級",(COUNTIFS('資格研修記録'!$A$5:$A$1004,$A152,'資格研修記録'!$D$5:$D$1004,"小型船舶1級",'資格研修記録'!$F$5:$F$1004,"")+COUNTIFS('資格研修記録'!$A$5:$A$1004,$A152,'資格研修記録'!$D$5:$D$1004,"小型船舶1級",'資格研修記録'!$F$5:$F$1004,"&gt;="&amp;TODAY()))&gt;0),"1級に含む",IF(COUNTIFS('資格研修記録'!$A$5:$A$1004,$A152,'資格研修記録'!$D$5:$D$1004,G$4)=0,"—",IF(COUNTIFS('資格研修記録'!$A$5:$A$1004,$A152,'資格研修記録'!$D$5:$D$1004,G$4,'資格研修記録'!$F$5:$F$1004,"")+COUNTIFS('資格研修記録'!$A$5:$A$1004,$A152,'資格研修記録'!$D$5:$D$1004,G$4,'資格研修記録'!$F$5:$F$1004,"&gt;="&amp;TODAY())&gt;0,"○","× 期限切れ"))))</f>
        <v/>
      </c>
      <c r="H152" s="15">
        <f>IF(OR($A152="",H$4=""),"",IF(AND(H$4="小型船舶2級",(COUNTIFS('資格研修記録'!$A$5:$A$1004,$A152,'資格研修記録'!$D$5:$D$1004,"小型船舶1級",'資格研修記録'!$F$5:$F$1004,"")+COUNTIFS('資格研修記録'!$A$5:$A$1004,$A152,'資格研修記録'!$D$5:$D$1004,"小型船舶1級",'資格研修記録'!$F$5:$F$1004,"&gt;="&amp;TODAY()))&gt;0),"1級に含む",IF(COUNTIFS('資格研修記録'!$A$5:$A$1004,$A152,'資格研修記録'!$D$5:$D$1004,H$4)=0,"—",IF(COUNTIFS('資格研修記録'!$A$5:$A$1004,$A152,'資格研修記録'!$D$5:$D$1004,H$4,'資格研修記録'!$F$5:$F$1004,"")+COUNTIFS('資格研修記録'!$A$5:$A$1004,$A152,'資格研修記録'!$D$5:$D$1004,H$4,'資格研修記録'!$F$5:$F$1004,"&gt;="&amp;TODAY())&gt;0,"○","× 期限切れ"))))</f>
        <v/>
      </c>
      <c r="I152" s="15">
        <f>IF(OR($A152="",I$4=""),"",IF(AND(I$4="小型船舶2級",(COUNTIFS('資格研修記録'!$A$5:$A$1004,$A152,'資格研修記録'!$D$5:$D$1004,"小型船舶1級",'資格研修記録'!$F$5:$F$1004,"")+COUNTIFS('資格研修記録'!$A$5:$A$1004,$A152,'資格研修記録'!$D$5:$D$1004,"小型船舶1級",'資格研修記録'!$F$5:$F$1004,"&gt;="&amp;TODAY()))&gt;0),"1級に含む",IF(COUNTIFS('資格研修記録'!$A$5:$A$1004,$A152,'資格研修記録'!$D$5:$D$1004,I$4)=0,"—",IF(COUNTIFS('資格研修記録'!$A$5:$A$1004,$A152,'資格研修記録'!$D$5:$D$1004,I$4,'資格研修記録'!$F$5:$F$1004,"")+COUNTIFS('資格研修記録'!$A$5:$A$1004,$A152,'資格研修記録'!$D$5:$D$1004,I$4,'資格研修記録'!$F$5:$F$1004,"&gt;="&amp;TODAY())&gt;0,"○","× 期限切れ"))))</f>
        <v/>
      </c>
      <c r="J152" s="15">
        <f>IF(OR($A152="",J$4=""),"",IF(AND(J$4="小型船舶2級",(COUNTIFS('資格研修記録'!$A$5:$A$1004,$A152,'資格研修記録'!$D$5:$D$1004,"小型船舶1級",'資格研修記録'!$F$5:$F$1004,"")+COUNTIFS('資格研修記録'!$A$5:$A$1004,$A152,'資格研修記録'!$D$5:$D$1004,"小型船舶1級",'資格研修記録'!$F$5:$F$1004,"&gt;="&amp;TODAY()))&gt;0),"1級に含む",IF(COUNTIFS('資格研修記録'!$A$5:$A$1004,$A152,'資格研修記録'!$D$5:$D$1004,J$4)=0,"—",IF(COUNTIFS('資格研修記録'!$A$5:$A$1004,$A152,'資格研修記録'!$D$5:$D$1004,J$4,'資格研修記録'!$F$5:$F$1004,"")+COUNTIFS('資格研修記録'!$A$5:$A$1004,$A152,'資格研修記録'!$D$5:$D$1004,J$4,'資格研修記録'!$F$5:$F$1004,"&gt;="&amp;TODAY())&gt;0,"○","× 期限切れ"))))</f>
        <v/>
      </c>
      <c r="K152" s="15">
        <f>IF(OR($A152="",K$4=""),"",IF(AND(K$4="小型船舶2級",(COUNTIFS('資格研修記録'!$A$5:$A$1004,$A152,'資格研修記録'!$D$5:$D$1004,"小型船舶1級",'資格研修記録'!$F$5:$F$1004,"")+COUNTIFS('資格研修記録'!$A$5:$A$1004,$A152,'資格研修記録'!$D$5:$D$1004,"小型船舶1級",'資格研修記録'!$F$5:$F$1004,"&gt;="&amp;TODAY()))&gt;0),"1級に含む",IF(COUNTIFS('資格研修記録'!$A$5:$A$1004,$A152,'資格研修記録'!$D$5:$D$1004,K$4)=0,"—",IF(COUNTIFS('資格研修記録'!$A$5:$A$1004,$A152,'資格研修記録'!$D$5:$D$1004,K$4,'資格研修記録'!$F$5:$F$1004,"")+COUNTIFS('資格研修記録'!$A$5:$A$1004,$A152,'資格研修記録'!$D$5:$D$1004,K$4,'資格研修記録'!$F$5:$F$1004,"&gt;="&amp;TODAY())&gt;0,"○","× 期限切れ"))))</f>
        <v/>
      </c>
      <c r="L152" s="15">
        <f>IF(OR($A152="",L$4=""),"",IF(AND(L$4="小型船舶2級",(COUNTIFS('資格研修記録'!$A$5:$A$1004,$A152,'資格研修記録'!$D$5:$D$1004,"小型船舶1級",'資格研修記録'!$F$5:$F$1004,"")+COUNTIFS('資格研修記録'!$A$5:$A$1004,$A152,'資格研修記録'!$D$5:$D$1004,"小型船舶1級",'資格研修記録'!$F$5:$F$1004,"&gt;="&amp;TODAY()))&gt;0),"1級に含む",IF(COUNTIFS('資格研修記録'!$A$5:$A$1004,$A152,'資格研修記録'!$D$5:$D$1004,L$4)=0,"—",IF(COUNTIFS('資格研修記録'!$A$5:$A$1004,$A152,'資格研修記録'!$D$5:$D$1004,L$4,'資格研修記録'!$F$5:$F$1004,"")+COUNTIFS('資格研修記録'!$A$5:$A$1004,$A152,'資格研修記録'!$D$5:$D$1004,L$4,'資格研修記録'!$F$5:$F$1004,"&gt;="&amp;TODAY())&gt;0,"○","× 期限切れ"))))</f>
        <v/>
      </c>
    </row>
    <row r="153">
      <c r="A153" s="14">
        <f>IF('隊員マスタ'!A153="","",'隊員マスタ'!A153)</f>
        <v/>
      </c>
      <c r="B153" s="14">
        <f>IF(A153="","",'隊員マスタ'!B153)</f>
        <v/>
      </c>
      <c r="C153" s="14">
        <f>IF(A153="","",'隊員マスタ'!C153)</f>
        <v/>
      </c>
      <c r="D153" s="15">
        <f>IF(A153="","",'隊員マスタ'!D153)</f>
        <v/>
      </c>
      <c r="E153" s="15">
        <f>IF(OR($A153="",E$4=""),"",IF(AND(E$4="小型船舶2級",(COUNTIFS('資格研修記録'!$A$5:$A$1004,$A153,'資格研修記録'!$D$5:$D$1004,"小型船舶1級",'資格研修記録'!$F$5:$F$1004,"")+COUNTIFS('資格研修記録'!$A$5:$A$1004,$A153,'資格研修記録'!$D$5:$D$1004,"小型船舶1級",'資格研修記録'!$F$5:$F$1004,"&gt;="&amp;TODAY()))&gt;0),"1級に含む",IF(COUNTIFS('資格研修記録'!$A$5:$A$1004,$A153,'資格研修記録'!$D$5:$D$1004,E$4)=0,"—",IF(COUNTIFS('資格研修記録'!$A$5:$A$1004,$A153,'資格研修記録'!$D$5:$D$1004,E$4,'資格研修記録'!$F$5:$F$1004,"")+COUNTIFS('資格研修記録'!$A$5:$A$1004,$A153,'資格研修記録'!$D$5:$D$1004,E$4,'資格研修記録'!$F$5:$F$1004,"&gt;="&amp;TODAY())&gt;0,"○","× 期限切れ"))))</f>
        <v/>
      </c>
      <c r="F153" s="15">
        <f>IF(OR($A153="",F$4=""),"",IF(AND(F$4="小型船舶2級",(COUNTIFS('資格研修記録'!$A$5:$A$1004,$A153,'資格研修記録'!$D$5:$D$1004,"小型船舶1級",'資格研修記録'!$F$5:$F$1004,"")+COUNTIFS('資格研修記録'!$A$5:$A$1004,$A153,'資格研修記録'!$D$5:$D$1004,"小型船舶1級",'資格研修記録'!$F$5:$F$1004,"&gt;="&amp;TODAY()))&gt;0),"1級に含む",IF(COUNTIFS('資格研修記録'!$A$5:$A$1004,$A153,'資格研修記録'!$D$5:$D$1004,F$4)=0,"—",IF(COUNTIFS('資格研修記録'!$A$5:$A$1004,$A153,'資格研修記録'!$D$5:$D$1004,F$4,'資格研修記録'!$F$5:$F$1004,"")+COUNTIFS('資格研修記録'!$A$5:$A$1004,$A153,'資格研修記録'!$D$5:$D$1004,F$4,'資格研修記録'!$F$5:$F$1004,"&gt;="&amp;TODAY())&gt;0,"○","× 期限切れ"))))</f>
        <v/>
      </c>
      <c r="G153" s="15">
        <f>IF(OR($A153="",G$4=""),"",IF(AND(G$4="小型船舶2級",(COUNTIFS('資格研修記録'!$A$5:$A$1004,$A153,'資格研修記録'!$D$5:$D$1004,"小型船舶1級",'資格研修記録'!$F$5:$F$1004,"")+COUNTIFS('資格研修記録'!$A$5:$A$1004,$A153,'資格研修記録'!$D$5:$D$1004,"小型船舶1級",'資格研修記録'!$F$5:$F$1004,"&gt;="&amp;TODAY()))&gt;0),"1級に含む",IF(COUNTIFS('資格研修記録'!$A$5:$A$1004,$A153,'資格研修記録'!$D$5:$D$1004,G$4)=0,"—",IF(COUNTIFS('資格研修記録'!$A$5:$A$1004,$A153,'資格研修記録'!$D$5:$D$1004,G$4,'資格研修記録'!$F$5:$F$1004,"")+COUNTIFS('資格研修記録'!$A$5:$A$1004,$A153,'資格研修記録'!$D$5:$D$1004,G$4,'資格研修記録'!$F$5:$F$1004,"&gt;="&amp;TODAY())&gt;0,"○","× 期限切れ"))))</f>
        <v/>
      </c>
      <c r="H153" s="15">
        <f>IF(OR($A153="",H$4=""),"",IF(AND(H$4="小型船舶2級",(COUNTIFS('資格研修記録'!$A$5:$A$1004,$A153,'資格研修記録'!$D$5:$D$1004,"小型船舶1級",'資格研修記録'!$F$5:$F$1004,"")+COUNTIFS('資格研修記録'!$A$5:$A$1004,$A153,'資格研修記録'!$D$5:$D$1004,"小型船舶1級",'資格研修記録'!$F$5:$F$1004,"&gt;="&amp;TODAY()))&gt;0),"1級に含む",IF(COUNTIFS('資格研修記録'!$A$5:$A$1004,$A153,'資格研修記録'!$D$5:$D$1004,H$4)=0,"—",IF(COUNTIFS('資格研修記録'!$A$5:$A$1004,$A153,'資格研修記録'!$D$5:$D$1004,H$4,'資格研修記録'!$F$5:$F$1004,"")+COUNTIFS('資格研修記録'!$A$5:$A$1004,$A153,'資格研修記録'!$D$5:$D$1004,H$4,'資格研修記録'!$F$5:$F$1004,"&gt;="&amp;TODAY())&gt;0,"○","× 期限切れ"))))</f>
        <v/>
      </c>
      <c r="I153" s="15">
        <f>IF(OR($A153="",I$4=""),"",IF(AND(I$4="小型船舶2級",(COUNTIFS('資格研修記録'!$A$5:$A$1004,$A153,'資格研修記録'!$D$5:$D$1004,"小型船舶1級",'資格研修記録'!$F$5:$F$1004,"")+COUNTIFS('資格研修記録'!$A$5:$A$1004,$A153,'資格研修記録'!$D$5:$D$1004,"小型船舶1級",'資格研修記録'!$F$5:$F$1004,"&gt;="&amp;TODAY()))&gt;0),"1級に含む",IF(COUNTIFS('資格研修記録'!$A$5:$A$1004,$A153,'資格研修記録'!$D$5:$D$1004,I$4)=0,"—",IF(COUNTIFS('資格研修記録'!$A$5:$A$1004,$A153,'資格研修記録'!$D$5:$D$1004,I$4,'資格研修記録'!$F$5:$F$1004,"")+COUNTIFS('資格研修記録'!$A$5:$A$1004,$A153,'資格研修記録'!$D$5:$D$1004,I$4,'資格研修記録'!$F$5:$F$1004,"&gt;="&amp;TODAY())&gt;0,"○","× 期限切れ"))))</f>
        <v/>
      </c>
      <c r="J153" s="15">
        <f>IF(OR($A153="",J$4=""),"",IF(AND(J$4="小型船舶2級",(COUNTIFS('資格研修記録'!$A$5:$A$1004,$A153,'資格研修記録'!$D$5:$D$1004,"小型船舶1級",'資格研修記録'!$F$5:$F$1004,"")+COUNTIFS('資格研修記録'!$A$5:$A$1004,$A153,'資格研修記録'!$D$5:$D$1004,"小型船舶1級",'資格研修記録'!$F$5:$F$1004,"&gt;="&amp;TODAY()))&gt;0),"1級に含む",IF(COUNTIFS('資格研修記録'!$A$5:$A$1004,$A153,'資格研修記録'!$D$5:$D$1004,J$4)=0,"—",IF(COUNTIFS('資格研修記録'!$A$5:$A$1004,$A153,'資格研修記録'!$D$5:$D$1004,J$4,'資格研修記録'!$F$5:$F$1004,"")+COUNTIFS('資格研修記録'!$A$5:$A$1004,$A153,'資格研修記録'!$D$5:$D$1004,J$4,'資格研修記録'!$F$5:$F$1004,"&gt;="&amp;TODAY())&gt;0,"○","× 期限切れ"))))</f>
        <v/>
      </c>
      <c r="K153" s="15">
        <f>IF(OR($A153="",K$4=""),"",IF(AND(K$4="小型船舶2級",(COUNTIFS('資格研修記録'!$A$5:$A$1004,$A153,'資格研修記録'!$D$5:$D$1004,"小型船舶1級",'資格研修記録'!$F$5:$F$1004,"")+COUNTIFS('資格研修記録'!$A$5:$A$1004,$A153,'資格研修記録'!$D$5:$D$1004,"小型船舶1級",'資格研修記録'!$F$5:$F$1004,"&gt;="&amp;TODAY()))&gt;0),"1級に含む",IF(COUNTIFS('資格研修記録'!$A$5:$A$1004,$A153,'資格研修記録'!$D$5:$D$1004,K$4)=0,"—",IF(COUNTIFS('資格研修記録'!$A$5:$A$1004,$A153,'資格研修記録'!$D$5:$D$1004,K$4,'資格研修記録'!$F$5:$F$1004,"")+COUNTIFS('資格研修記録'!$A$5:$A$1004,$A153,'資格研修記録'!$D$5:$D$1004,K$4,'資格研修記録'!$F$5:$F$1004,"&gt;="&amp;TODAY())&gt;0,"○","× 期限切れ"))))</f>
        <v/>
      </c>
      <c r="L153" s="15">
        <f>IF(OR($A153="",L$4=""),"",IF(AND(L$4="小型船舶2級",(COUNTIFS('資格研修記録'!$A$5:$A$1004,$A153,'資格研修記録'!$D$5:$D$1004,"小型船舶1級",'資格研修記録'!$F$5:$F$1004,"")+COUNTIFS('資格研修記録'!$A$5:$A$1004,$A153,'資格研修記録'!$D$5:$D$1004,"小型船舶1級",'資格研修記録'!$F$5:$F$1004,"&gt;="&amp;TODAY()))&gt;0),"1級に含む",IF(COUNTIFS('資格研修記録'!$A$5:$A$1004,$A153,'資格研修記録'!$D$5:$D$1004,L$4)=0,"—",IF(COUNTIFS('資格研修記録'!$A$5:$A$1004,$A153,'資格研修記録'!$D$5:$D$1004,L$4,'資格研修記録'!$F$5:$F$1004,"")+COUNTIFS('資格研修記録'!$A$5:$A$1004,$A153,'資格研修記録'!$D$5:$D$1004,L$4,'資格研修記録'!$F$5:$F$1004,"&gt;="&amp;TODAY())&gt;0,"○","× 期限切れ"))))</f>
        <v/>
      </c>
    </row>
    <row r="154">
      <c r="A154" s="14">
        <f>IF('隊員マスタ'!A154="","",'隊員マスタ'!A154)</f>
        <v/>
      </c>
      <c r="B154" s="14">
        <f>IF(A154="","",'隊員マスタ'!B154)</f>
        <v/>
      </c>
      <c r="C154" s="14">
        <f>IF(A154="","",'隊員マスタ'!C154)</f>
        <v/>
      </c>
      <c r="D154" s="15">
        <f>IF(A154="","",'隊員マスタ'!D154)</f>
        <v/>
      </c>
      <c r="E154" s="15">
        <f>IF(OR($A154="",E$4=""),"",IF(AND(E$4="小型船舶2級",(COUNTIFS('資格研修記録'!$A$5:$A$1004,$A154,'資格研修記録'!$D$5:$D$1004,"小型船舶1級",'資格研修記録'!$F$5:$F$1004,"")+COUNTIFS('資格研修記録'!$A$5:$A$1004,$A154,'資格研修記録'!$D$5:$D$1004,"小型船舶1級",'資格研修記録'!$F$5:$F$1004,"&gt;="&amp;TODAY()))&gt;0),"1級に含む",IF(COUNTIFS('資格研修記録'!$A$5:$A$1004,$A154,'資格研修記録'!$D$5:$D$1004,E$4)=0,"—",IF(COUNTIFS('資格研修記録'!$A$5:$A$1004,$A154,'資格研修記録'!$D$5:$D$1004,E$4,'資格研修記録'!$F$5:$F$1004,"")+COUNTIFS('資格研修記録'!$A$5:$A$1004,$A154,'資格研修記録'!$D$5:$D$1004,E$4,'資格研修記録'!$F$5:$F$1004,"&gt;="&amp;TODAY())&gt;0,"○","× 期限切れ"))))</f>
        <v/>
      </c>
      <c r="F154" s="15">
        <f>IF(OR($A154="",F$4=""),"",IF(AND(F$4="小型船舶2級",(COUNTIFS('資格研修記録'!$A$5:$A$1004,$A154,'資格研修記録'!$D$5:$D$1004,"小型船舶1級",'資格研修記録'!$F$5:$F$1004,"")+COUNTIFS('資格研修記録'!$A$5:$A$1004,$A154,'資格研修記録'!$D$5:$D$1004,"小型船舶1級",'資格研修記録'!$F$5:$F$1004,"&gt;="&amp;TODAY()))&gt;0),"1級に含む",IF(COUNTIFS('資格研修記録'!$A$5:$A$1004,$A154,'資格研修記録'!$D$5:$D$1004,F$4)=0,"—",IF(COUNTIFS('資格研修記録'!$A$5:$A$1004,$A154,'資格研修記録'!$D$5:$D$1004,F$4,'資格研修記録'!$F$5:$F$1004,"")+COUNTIFS('資格研修記録'!$A$5:$A$1004,$A154,'資格研修記録'!$D$5:$D$1004,F$4,'資格研修記録'!$F$5:$F$1004,"&gt;="&amp;TODAY())&gt;0,"○","× 期限切れ"))))</f>
        <v/>
      </c>
      <c r="G154" s="15">
        <f>IF(OR($A154="",G$4=""),"",IF(AND(G$4="小型船舶2級",(COUNTIFS('資格研修記録'!$A$5:$A$1004,$A154,'資格研修記録'!$D$5:$D$1004,"小型船舶1級",'資格研修記録'!$F$5:$F$1004,"")+COUNTIFS('資格研修記録'!$A$5:$A$1004,$A154,'資格研修記録'!$D$5:$D$1004,"小型船舶1級",'資格研修記録'!$F$5:$F$1004,"&gt;="&amp;TODAY()))&gt;0),"1級に含む",IF(COUNTIFS('資格研修記録'!$A$5:$A$1004,$A154,'資格研修記録'!$D$5:$D$1004,G$4)=0,"—",IF(COUNTIFS('資格研修記録'!$A$5:$A$1004,$A154,'資格研修記録'!$D$5:$D$1004,G$4,'資格研修記録'!$F$5:$F$1004,"")+COUNTIFS('資格研修記録'!$A$5:$A$1004,$A154,'資格研修記録'!$D$5:$D$1004,G$4,'資格研修記録'!$F$5:$F$1004,"&gt;="&amp;TODAY())&gt;0,"○","× 期限切れ"))))</f>
        <v/>
      </c>
      <c r="H154" s="15">
        <f>IF(OR($A154="",H$4=""),"",IF(AND(H$4="小型船舶2級",(COUNTIFS('資格研修記録'!$A$5:$A$1004,$A154,'資格研修記録'!$D$5:$D$1004,"小型船舶1級",'資格研修記録'!$F$5:$F$1004,"")+COUNTIFS('資格研修記録'!$A$5:$A$1004,$A154,'資格研修記録'!$D$5:$D$1004,"小型船舶1級",'資格研修記録'!$F$5:$F$1004,"&gt;="&amp;TODAY()))&gt;0),"1級に含む",IF(COUNTIFS('資格研修記録'!$A$5:$A$1004,$A154,'資格研修記録'!$D$5:$D$1004,H$4)=0,"—",IF(COUNTIFS('資格研修記録'!$A$5:$A$1004,$A154,'資格研修記録'!$D$5:$D$1004,H$4,'資格研修記録'!$F$5:$F$1004,"")+COUNTIFS('資格研修記録'!$A$5:$A$1004,$A154,'資格研修記録'!$D$5:$D$1004,H$4,'資格研修記録'!$F$5:$F$1004,"&gt;="&amp;TODAY())&gt;0,"○","× 期限切れ"))))</f>
        <v/>
      </c>
      <c r="I154" s="15">
        <f>IF(OR($A154="",I$4=""),"",IF(AND(I$4="小型船舶2級",(COUNTIFS('資格研修記録'!$A$5:$A$1004,$A154,'資格研修記録'!$D$5:$D$1004,"小型船舶1級",'資格研修記録'!$F$5:$F$1004,"")+COUNTIFS('資格研修記録'!$A$5:$A$1004,$A154,'資格研修記録'!$D$5:$D$1004,"小型船舶1級",'資格研修記録'!$F$5:$F$1004,"&gt;="&amp;TODAY()))&gt;0),"1級に含む",IF(COUNTIFS('資格研修記録'!$A$5:$A$1004,$A154,'資格研修記録'!$D$5:$D$1004,I$4)=0,"—",IF(COUNTIFS('資格研修記録'!$A$5:$A$1004,$A154,'資格研修記録'!$D$5:$D$1004,I$4,'資格研修記録'!$F$5:$F$1004,"")+COUNTIFS('資格研修記録'!$A$5:$A$1004,$A154,'資格研修記録'!$D$5:$D$1004,I$4,'資格研修記録'!$F$5:$F$1004,"&gt;="&amp;TODAY())&gt;0,"○","× 期限切れ"))))</f>
        <v/>
      </c>
      <c r="J154" s="15">
        <f>IF(OR($A154="",J$4=""),"",IF(AND(J$4="小型船舶2級",(COUNTIFS('資格研修記録'!$A$5:$A$1004,$A154,'資格研修記録'!$D$5:$D$1004,"小型船舶1級",'資格研修記録'!$F$5:$F$1004,"")+COUNTIFS('資格研修記録'!$A$5:$A$1004,$A154,'資格研修記録'!$D$5:$D$1004,"小型船舶1級",'資格研修記録'!$F$5:$F$1004,"&gt;="&amp;TODAY()))&gt;0),"1級に含む",IF(COUNTIFS('資格研修記録'!$A$5:$A$1004,$A154,'資格研修記録'!$D$5:$D$1004,J$4)=0,"—",IF(COUNTIFS('資格研修記録'!$A$5:$A$1004,$A154,'資格研修記録'!$D$5:$D$1004,J$4,'資格研修記録'!$F$5:$F$1004,"")+COUNTIFS('資格研修記録'!$A$5:$A$1004,$A154,'資格研修記録'!$D$5:$D$1004,J$4,'資格研修記録'!$F$5:$F$1004,"&gt;="&amp;TODAY())&gt;0,"○","× 期限切れ"))))</f>
        <v/>
      </c>
      <c r="K154" s="15">
        <f>IF(OR($A154="",K$4=""),"",IF(AND(K$4="小型船舶2級",(COUNTIFS('資格研修記録'!$A$5:$A$1004,$A154,'資格研修記録'!$D$5:$D$1004,"小型船舶1級",'資格研修記録'!$F$5:$F$1004,"")+COUNTIFS('資格研修記録'!$A$5:$A$1004,$A154,'資格研修記録'!$D$5:$D$1004,"小型船舶1級",'資格研修記録'!$F$5:$F$1004,"&gt;="&amp;TODAY()))&gt;0),"1級に含む",IF(COUNTIFS('資格研修記録'!$A$5:$A$1004,$A154,'資格研修記録'!$D$5:$D$1004,K$4)=0,"—",IF(COUNTIFS('資格研修記録'!$A$5:$A$1004,$A154,'資格研修記録'!$D$5:$D$1004,K$4,'資格研修記録'!$F$5:$F$1004,"")+COUNTIFS('資格研修記録'!$A$5:$A$1004,$A154,'資格研修記録'!$D$5:$D$1004,K$4,'資格研修記録'!$F$5:$F$1004,"&gt;="&amp;TODAY())&gt;0,"○","× 期限切れ"))))</f>
        <v/>
      </c>
      <c r="L154" s="15">
        <f>IF(OR($A154="",L$4=""),"",IF(AND(L$4="小型船舶2級",(COUNTIFS('資格研修記録'!$A$5:$A$1004,$A154,'資格研修記録'!$D$5:$D$1004,"小型船舶1級",'資格研修記録'!$F$5:$F$1004,"")+COUNTIFS('資格研修記録'!$A$5:$A$1004,$A154,'資格研修記録'!$D$5:$D$1004,"小型船舶1級",'資格研修記録'!$F$5:$F$1004,"&gt;="&amp;TODAY()))&gt;0),"1級に含む",IF(COUNTIFS('資格研修記録'!$A$5:$A$1004,$A154,'資格研修記録'!$D$5:$D$1004,L$4)=0,"—",IF(COUNTIFS('資格研修記録'!$A$5:$A$1004,$A154,'資格研修記録'!$D$5:$D$1004,L$4,'資格研修記録'!$F$5:$F$1004,"")+COUNTIFS('資格研修記録'!$A$5:$A$1004,$A154,'資格研修記録'!$D$5:$D$1004,L$4,'資格研修記録'!$F$5:$F$1004,"&gt;="&amp;TODAY())&gt;0,"○","× 期限切れ"))))</f>
        <v/>
      </c>
    </row>
    <row r="155">
      <c r="A155" s="14">
        <f>IF('隊員マスタ'!A155="","",'隊員マスタ'!A155)</f>
        <v/>
      </c>
      <c r="B155" s="14">
        <f>IF(A155="","",'隊員マスタ'!B155)</f>
        <v/>
      </c>
      <c r="C155" s="14">
        <f>IF(A155="","",'隊員マスタ'!C155)</f>
        <v/>
      </c>
      <c r="D155" s="15">
        <f>IF(A155="","",'隊員マスタ'!D155)</f>
        <v/>
      </c>
      <c r="E155" s="15">
        <f>IF(OR($A155="",E$4=""),"",IF(AND(E$4="小型船舶2級",(COUNTIFS('資格研修記録'!$A$5:$A$1004,$A155,'資格研修記録'!$D$5:$D$1004,"小型船舶1級",'資格研修記録'!$F$5:$F$1004,"")+COUNTIFS('資格研修記録'!$A$5:$A$1004,$A155,'資格研修記録'!$D$5:$D$1004,"小型船舶1級",'資格研修記録'!$F$5:$F$1004,"&gt;="&amp;TODAY()))&gt;0),"1級に含む",IF(COUNTIFS('資格研修記録'!$A$5:$A$1004,$A155,'資格研修記録'!$D$5:$D$1004,E$4)=0,"—",IF(COUNTIFS('資格研修記録'!$A$5:$A$1004,$A155,'資格研修記録'!$D$5:$D$1004,E$4,'資格研修記録'!$F$5:$F$1004,"")+COUNTIFS('資格研修記録'!$A$5:$A$1004,$A155,'資格研修記録'!$D$5:$D$1004,E$4,'資格研修記録'!$F$5:$F$1004,"&gt;="&amp;TODAY())&gt;0,"○","× 期限切れ"))))</f>
        <v/>
      </c>
      <c r="F155" s="15">
        <f>IF(OR($A155="",F$4=""),"",IF(AND(F$4="小型船舶2級",(COUNTIFS('資格研修記録'!$A$5:$A$1004,$A155,'資格研修記録'!$D$5:$D$1004,"小型船舶1級",'資格研修記録'!$F$5:$F$1004,"")+COUNTIFS('資格研修記録'!$A$5:$A$1004,$A155,'資格研修記録'!$D$5:$D$1004,"小型船舶1級",'資格研修記録'!$F$5:$F$1004,"&gt;="&amp;TODAY()))&gt;0),"1級に含む",IF(COUNTIFS('資格研修記録'!$A$5:$A$1004,$A155,'資格研修記録'!$D$5:$D$1004,F$4)=0,"—",IF(COUNTIFS('資格研修記録'!$A$5:$A$1004,$A155,'資格研修記録'!$D$5:$D$1004,F$4,'資格研修記録'!$F$5:$F$1004,"")+COUNTIFS('資格研修記録'!$A$5:$A$1004,$A155,'資格研修記録'!$D$5:$D$1004,F$4,'資格研修記録'!$F$5:$F$1004,"&gt;="&amp;TODAY())&gt;0,"○","× 期限切れ"))))</f>
        <v/>
      </c>
      <c r="G155" s="15">
        <f>IF(OR($A155="",G$4=""),"",IF(AND(G$4="小型船舶2級",(COUNTIFS('資格研修記録'!$A$5:$A$1004,$A155,'資格研修記録'!$D$5:$D$1004,"小型船舶1級",'資格研修記録'!$F$5:$F$1004,"")+COUNTIFS('資格研修記録'!$A$5:$A$1004,$A155,'資格研修記録'!$D$5:$D$1004,"小型船舶1級",'資格研修記録'!$F$5:$F$1004,"&gt;="&amp;TODAY()))&gt;0),"1級に含む",IF(COUNTIFS('資格研修記録'!$A$5:$A$1004,$A155,'資格研修記録'!$D$5:$D$1004,G$4)=0,"—",IF(COUNTIFS('資格研修記録'!$A$5:$A$1004,$A155,'資格研修記録'!$D$5:$D$1004,G$4,'資格研修記録'!$F$5:$F$1004,"")+COUNTIFS('資格研修記録'!$A$5:$A$1004,$A155,'資格研修記録'!$D$5:$D$1004,G$4,'資格研修記録'!$F$5:$F$1004,"&gt;="&amp;TODAY())&gt;0,"○","× 期限切れ"))))</f>
        <v/>
      </c>
      <c r="H155" s="15">
        <f>IF(OR($A155="",H$4=""),"",IF(AND(H$4="小型船舶2級",(COUNTIFS('資格研修記録'!$A$5:$A$1004,$A155,'資格研修記録'!$D$5:$D$1004,"小型船舶1級",'資格研修記録'!$F$5:$F$1004,"")+COUNTIFS('資格研修記録'!$A$5:$A$1004,$A155,'資格研修記録'!$D$5:$D$1004,"小型船舶1級",'資格研修記録'!$F$5:$F$1004,"&gt;="&amp;TODAY()))&gt;0),"1級に含む",IF(COUNTIFS('資格研修記録'!$A$5:$A$1004,$A155,'資格研修記録'!$D$5:$D$1004,H$4)=0,"—",IF(COUNTIFS('資格研修記録'!$A$5:$A$1004,$A155,'資格研修記録'!$D$5:$D$1004,H$4,'資格研修記録'!$F$5:$F$1004,"")+COUNTIFS('資格研修記録'!$A$5:$A$1004,$A155,'資格研修記録'!$D$5:$D$1004,H$4,'資格研修記録'!$F$5:$F$1004,"&gt;="&amp;TODAY())&gt;0,"○","× 期限切れ"))))</f>
        <v/>
      </c>
      <c r="I155" s="15">
        <f>IF(OR($A155="",I$4=""),"",IF(AND(I$4="小型船舶2級",(COUNTIFS('資格研修記録'!$A$5:$A$1004,$A155,'資格研修記録'!$D$5:$D$1004,"小型船舶1級",'資格研修記録'!$F$5:$F$1004,"")+COUNTIFS('資格研修記録'!$A$5:$A$1004,$A155,'資格研修記録'!$D$5:$D$1004,"小型船舶1級",'資格研修記録'!$F$5:$F$1004,"&gt;="&amp;TODAY()))&gt;0),"1級に含む",IF(COUNTIFS('資格研修記録'!$A$5:$A$1004,$A155,'資格研修記録'!$D$5:$D$1004,I$4)=0,"—",IF(COUNTIFS('資格研修記録'!$A$5:$A$1004,$A155,'資格研修記録'!$D$5:$D$1004,I$4,'資格研修記録'!$F$5:$F$1004,"")+COUNTIFS('資格研修記録'!$A$5:$A$1004,$A155,'資格研修記録'!$D$5:$D$1004,I$4,'資格研修記録'!$F$5:$F$1004,"&gt;="&amp;TODAY())&gt;0,"○","× 期限切れ"))))</f>
        <v/>
      </c>
      <c r="J155" s="15">
        <f>IF(OR($A155="",J$4=""),"",IF(AND(J$4="小型船舶2級",(COUNTIFS('資格研修記録'!$A$5:$A$1004,$A155,'資格研修記録'!$D$5:$D$1004,"小型船舶1級",'資格研修記録'!$F$5:$F$1004,"")+COUNTIFS('資格研修記録'!$A$5:$A$1004,$A155,'資格研修記録'!$D$5:$D$1004,"小型船舶1級",'資格研修記録'!$F$5:$F$1004,"&gt;="&amp;TODAY()))&gt;0),"1級に含む",IF(COUNTIFS('資格研修記録'!$A$5:$A$1004,$A155,'資格研修記録'!$D$5:$D$1004,J$4)=0,"—",IF(COUNTIFS('資格研修記録'!$A$5:$A$1004,$A155,'資格研修記録'!$D$5:$D$1004,J$4,'資格研修記録'!$F$5:$F$1004,"")+COUNTIFS('資格研修記録'!$A$5:$A$1004,$A155,'資格研修記録'!$D$5:$D$1004,J$4,'資格研修記録'!$F$5:$F$1004,"&gt;="&amp;TODAY())&gt;0,"○","× 期限切れ"))))</f>
        <v/>
      </c>
      <c r="K155" s="15">
        <f>IF(OR($A155="",K$4=""),"",IF(AND(K$4="小型船舶2級",(COUNTIFS('資格研修記録'!$A$5:$A$1004,$A155,'資格研修記録'!$D$5:$D$1004,"小型船舶1級",'資格研修記録'!$F$5:$F$1004,"")+COUNTIFS('資格研修記録'!$A$5:$A$1004,$A155,'資格研修記録'!$D$5:$D$1004,"小型船舶1級",'資格研修記録'!$F$5:$F$1004,"&gt;="&amp;TODAY()))&gt;0),"1級に含む",IF(COUNTIFS('資格研修記録'!$A$5:$A$1004,$A155,'資格研修記録'!$D$5:$D$1004,K$4)=0,"—",IF(COUNTIFS('資格研修記録'!$A$5:$A$1004,$A155,'資格研修記録'!$D$5:$D$1004,K$4,'資格研修記録'!$F$5:$F$1004,"")+COUNTIFS('資格研修記録'!$A$5:$A$1004,$A155,'資格研修記録'!$D$5:$D$1004,K$4,'資格研修記録'!$F$5:$F$1004,"&gt;="&amp;TODAY())&gt;0,"○","× 期限切れ"))))</f>
        <v/>
      </c>
      <c r="L155" s="15">
        <f>IF(OR($A155="",L$4=""),"",IF(AND(L$4="小型船舶2級",(COUNTIFS('資格研修記録'!$A$5:$A$1004,$A155,'資格研修記録'!$D$5:$D$1004,"小型船舶1級",'資格研修記録'!$F$5:$F$1004,"")+COUNTIFS('資格研修記録'!$A$5:$A$1004,$A155,'資格研修記録'!$D$5:$D$1004,"小型船舶1級",'資格研修記録'!$F$5:$F$1004,"&gt;="&amp;TODAY()))&gt;0),"1級に含む",IF(COUNTIFS('資格研修記録'!$A$5:$A$1004,$A155,'資格研修記録'!$D$5:$D$1004,L$4)=0,"—",IF(COUNTIFS('資格研修記録'!$A$5:$A$1004,$A155,'資格研修記録'!$D$5:$D$1004,L$4,'資格研修記録'!$F$5:$F$1004,"")+COUNTIFS('資格研修記録'!$A$5:$A$1004,$A155,'資格研修記録'!$D$5:$D$1004,L$4,'資格研修記録'!$F$5:$F$1004,"&gt;="&amp;TODAY())&gt;0,"○","× 期限切れ"))))</f>
        <v/>
      </c>
    </row>
    <row r="156">
      <c r="A156" s="14">
        <f>IF('隊員マスタ'!A156="","",'隊員マスタ'!A156)</f>
        <v/>
      </c>
      <c r="B156" s="14">
        <f>IF(A156="","",'隊員マスタ'!B156)</f>
        <v/>
      </c>
      <c r="C156" s="14">
        <f>IF(A156="","",'隊員マスタ'!C156)</f>
        <v/>
      </c>
      <c r="D156" s="15">
        <f>IF(A156="","",'隊員マスタ'!D156)</f>
        <v/>
      </c>
      <c r="E156" s="15">
        <f>IF(OR($A156="",E$4=""),"",IF(AND(E$4="小型船舶2級",(COUNTIFS('資格研修記録'!$A$5:$A$1004,$A156,'資格研修記録'!$D$5:$D$1004,"小型船舶1級",'資格研修記録'!$F$5:$F$1004,"")+COUNTIFS('資格研修記録'!$A$5:$A$1004,$A156,'資格研修記録'!$D$5:$D$1004,"小型船舶1級",'資格研修記録'!$F$5:$F$1004,"&gt;="&amp;TODAY()))&gt;0),"1級に含む",IF(COUNTIFS('資格研修記録'!$A$5:$A$1004,$A156,'資格研修記録'!$D$5:$D$1004,E$4)=0,"—",IF(COUNTIFS('資格研修記録'!$A$5:$A$1004,$A156,'資格研修記録'!$D$5:$D$1004,E$4,'資格研修記録'!$F$5:$F$1004,"")+COUNTIFS('資格研修記録'!$A$5:$A$1004,$A156,'資格研修記録'!$D$5:$D$1004,E$4,'資格研修記録'!$F$5:$F$1004,"&gt;="&amp;TODAY())&gt;0,"○","× 期限切れ"))))</f>
        <v/>
      </c>
      <c r="F156" s="15">
        <f>IF(OR($A156="",F$4=""),"",IF(AND(F$4="小型船舶2級",(COUNTIFS('資格研修記録'!$A$5:$A$1004,$A156,'資格研修記録'!$D$5:$D$1004,"小型船舶1級",'資格研修記録'!$F$5:$F$1004,"")+COUNTIFS('資格研修記録'!$A$5:$A$1004,$A156,'資格研修記録'!$D$5:$D$1004,"小型船舶1級",'資格研修記録'!$F$5:$F$1004,"&gt;="&amp;TODAY()))&gt;0),"1級に含む",IF(COUNTIFS('資格研修記録'!$A$5:$A$1004,$A156,'資格研修記録'!$D$5:$D$1004,F$4)=0,"—",IF(COUNTIFS('資格研修記録'!$A$5:$A$1004,$A156,'資格研修記録'!$D$5:$D$1004,F$4,'資格研修記録'!$F$5:$F$1004,"")+COUNTIFS('資格研修記録'!$A$5:$A$1004,$A156,'資格研修記録'!$D$5:$D$1004,F$4,'資格研修記録'!$F$5:$F$1004,"&gt;="&amp;TODAY())&gt;0,"○","× 期限切れ"))))</f>
        <v/>
      </c>
      <c r="G156" s="15">
        <f>IF(OR($A156="",G$4=""),"",IF(AND(G$4="小型船舶2級",(COUNTIFS('資格研修記録'!$A$5:$A$1004,$A156,'資格研修記録'!$D$5:$D$1004,"小型船舶1級",'資格研修記録'!$F$5:$F$1004,"")+COUNTIFS('資格研修記録'!$A$5:$A$1004,$A156,'資格研修記録'!$D$5:$D$1004,"小型船舶1級",'資格研修記録'!$F$5:$F$1004,"&gt;="&amp;TODAY()))&gt;0),"1級に含む",IF(COUNTIFS('資格研修記録'!$A$5:$A$1004,$A156,'資格研修記録'!$D$5:$D$1004,G$4)=0,"—",IF(COUNTIFS('資格研修記録'!$A$5:$A$1004,$A156,'資格研修記録'!$D$5:$D$1004,G$4,'資格研修記録'!$F$5:$F$1004,"")+COUNTIFS('資格研修記録'!$A$5:$A$1004,$A156,'資格研修記録'!$D$5:$D$1004,G$4,'資格研修記録'!$F$5:$F$1004,"&gt;="&amp;TODAY())&gt;0,"○","× 期限切れ"))))</f>
        <v/>
      </c>
      <c r="H156" s="15">
        <f>IF(OR($A156="",H$4=""),"",IF(AND(H$4="小型船舶2級",(COUNTIFS('資格研修記録'!$A$5:$A$1004,$A156,'資格研修記録'!$D$5:$D$1004,"小型船舶1級",'資格研修記録'!$F$5:$F$1004,"")+COUNTIFS('資格研修記録'!$A$5:$A$1004,$A156,'資格研修記録'!$D$5:$D$1004,"小型船舶1級",'資格研修記録'!$F$5:$F$1004,"&gt;="&amp;TODAY()))&gt;0),"1級に含む",IF(COUNTIFS('資格研修記録'!$A$5:$A$1004,$A156,'資格研修記録'!$D$5:$D$1004,H$4)=0,"—",IF(COUNTIFS('資格研修記録'!$A$5:$A$1004,$A156,'資格研修記録'!$D$5:$D$1004,H$4,'資格研修記録'!$F$5:$F$1004,"")+COUNTIFS('資格研修記録'!$A$5:$A$1004,$A156,'資格研修記録'!$D$5:$D$1004,H$4,'資格研修記録'!$F$5:$F$1004,"&gt;="&amp;TODAY())&gt;0,"○","× 期限切れ"))))</f>
        <v/>
      </c>
      <c r="I156" s="15">
        <f>IF(OR($A156="",I$4=""),"",IF(AND(I$4="小型船舶2級",(COUNTIFS('資格研修記録'!$A$5:$A$1004,$A156,'資格研修記録'!$D$5:$D$1004,"小型船舶1級",'資格研修記録'!$F$5:$F$1004,"")+COUNTIFS('資格研修記録'!$A$5:$A$1004,$A156,'資格研修記録'!$D$5:$D$1004,"小型船舶1級",'資格研修記録'!$F$5:$F$1004,"&gt;="&amp;TODAY()))&gt;0),"1級に含む",IF(COUNTIFS('資格研修記録'!$A$5:$A$1004,$A156,'資格研修記録'!$D$5:$D$1004,I$4)=0,"—",IF(COUNTIFS('資格研修記録'!$A$5:$A$1004,$A156,'資格研修記録'!$D$5:$D$1004,I$4,'資格研修記録'!$F$5:$F$1004,"")+COUNTIFS('資格研修記録'!$A$5:$A$1004,$A156,'資格研修記録'!$D$5:$D$1004,I$4,'資格研修記録'!$F$5:$F$1004,"&gt;="&amp;TODAY())&gt;0,"○","× 期限切れ"))))</f>
        <v/>
      </c>
      <c r="J156" s="15">
        <f>IF(OR($A156="",J$4=""),"",IF(AND(J$4="小型船舶2級",(COUNTIFS('資格研修記録'!$A$5:$A$1004,$A156,'資格研修記録'!$D$5:$D$1004,"小型船舶1級",'資格研修記録'!$F$5:$F$1004,"")+COUNTIFS('資格研修記録'!$A$5:$A$1004,$A156,'資格研修記録'!$D$5:$D$1004,"小型船舶1級",'資格研修記録'!$F$5:$F$1004,"&gt;="&amp;TODAY()))&gt;0),"1級に含む",IF(COUNTIFS('資格研修記録'!$A$5:$A$1004,$A156,'資格研修記録'!$D$5:$D$1004,J$4)=0,"—",IF(COUNTIFS('資格研修記録'!$A$5:$A$1004,$A156,'資格研修記録'!$D$5:$D$1004,J$4,'資格研修記録'!$F$5:$F$1004,"")+COUNTIFS('資格研修記録'!$A$5:$A$1004,$A156,'資格研修記録'!$D$5:$D$1004,J$4,'資格研修記録'!$F$5:$F$1004,"&gt;="&amp;TODAY())&gt;0,"○","× 期限切れ"))))</f>
        <v/>
      </c>
      <c r="K156" s="15">
        <f>IF(OR($A156="",K$4=""),"",IF(AND(K$4="小型船舶2級",(COUNTIFS('資格研修記録'!$A$5:$A$1004,$A156,'資格研修記録'!$D$5:$D$1004,"小型船舶1級",'資格研修記録'!$F$5:$F$1004,"")+COUNTIFS('資格研修記録'!$A$5:$A$1004,$A156,'資格研修記録'!$D$5:$D$1004,"小型船舶1級",'資格研修記録'!$F$5:$F$1004,"&gt;="&amp;TODAY()))&gt;0),"1級に含む",IF(COUNTIFS('資格研修記録'!$A$5:$A$1004,$A156,'資格研修記録'!$D$5:$D$1004,K$4)=0,"—",IF(COUNTIFS('資格研修記録'!$A$5:$A$1004,$A156,'資格研修記録'!$D$5:$D$1004,K$4,'資格研修記録'!$F$5:$F$1004,"")+COUNTIFS('資格研修記録'!$A$5:$A$1004,$A156,'資格研修記録'!$D$5:$D$1004,K$4,'資格研修記録'!$F$5:$F$1004,"&gt;="&amp;TODAY())&gt;0,"○","× 期限切れ"))))</f>
        <v/>
      </c>
      <c r="L156" s="15">
        <f>IF(OR($A156="",L$4=""),"",IF(AND(L$4="小型船舶2級",(COUNTIFS('資格研修記録'!$A$5:$A$1004,$A156,'資格研修記録'!$D$5:$D$1004,"小型船舶1級",'資格研修記録'!$F$5:$F$1004,"")+COUNTIFS('資格研修記録'!$A$5:$A$1004,$A156,'資格研修記録'!$D$5:$D$1004,"小型船舶1級",'資格研修記録'!$F$5:$F$1004,"&gt;="&amp;TODAY()))&gt;0),"1級に含む",IF(COUNTIFS('資格研修記録'!$A$5:$A$1004,$A156,'資格研修記録'!$D$5:$D$1004,L$4)=0,"—",IF(COUNTIFS('資格研修記録'!$A$5:$A$1004,$A156,'資格研修記録'!$D$5:$D$1004,L$4,'資格研修記録'!$F$5:$F$1004,"")+COUNTIFS('資格研修記録'!$A$5:$A$1004,$A156,'資格研修記録'!$D$5:$D$1004,L$4,'資格研修記録'!$F$5:$F$1004,"&gt;="&amp;TODAY())&gt;0,"○","× 期限切れ"))))</f>
        <v/>
      </c>
    </row>
    <row r="157">
      <c r="A157" s="14">
        <f>IF('隊員マスタ'!A157="","",'隊員マスタ'!A157)</f>
        <v/>
      </c>
      <c r="B157" s="14">
        <f>IF(A157="","",'隊員マスタ'!B157)</f>
        <v/>
      </c>
      <c r="C157" s="14">
        <f>IF(A157="","",'隊員マスタ'!C157)</f>
        <v/>
      </c>
      <c r="D157" s="15">
        <f>IF(A157="","",'隊員マスタ'!D157)</f>
        <v/>
      </c>
      <c r="E157" s="15">
        <f>IF(OR($A157="",E$4=""),"",IF(AND(E$4="小型船舶2級",(COUNTIFS('資格研修記録'!$A$5:$A$1004,$A157,'資格研修記録'!$D$5:$D$1004,"小型船舶1級",'資格研修記録'!$F$5:$F$1004,"")+COUNTIFS('資格研修記録'!$A$5:$A$1004,$A157,'資格研修記録'!$D$5:$D$1004,"小型船舶1級",'資格研修記録'!$F$5:$F$1004,"&gt;="&amp;TODAY()))&gt;0),"1級に含む",IF(COUNTIFS('資格研修記録'!$A$5:$A$1004,$A157,'資格研修記録'!$D$5:$D$1004,E$4)=0,"—",IF(COUNTIFS('資格研修記録'!$A$5:$A$1004,$A157,'資格研修記録'!$D$5:$D$1004,E$4,'資格研修記録'!$F$5:$F$1004,"")+COUNTIFS('資格研修記録'!$A$5:$A$1004,$A157,'資格研修記録'!$D$5:$D$1004,E$4,'資格研修記録'!$F$5:$F$1004,"&gt;="&amp;TODAY())&gt;0,"○","× 期限切れ"))))</f>
        <v/>
      </c>
      <c r="F157" s="15">
        <f>IF(OR($A157="",F$4=""),"",IF(AND(F$4="小型船舶2級",(COUNTIFS('資格研修記録'!$A$5:$A$1004,$A157,'資格研修記録'!$D$5:$D$1004,"小型船舶1級",'資格研修記録'!$F$5:$F$1004,"")+COUNTIFS('資格研修記録'!$A$5:$A$1004,$A157,'資格研修記録'!$D$5:$D$1004,"小型船舶1級",'資格研修記録'!$F$5:$F$1004,"&gt;="&amp;TODAY()))&gt;0),"1級に含む",IF(COUNTIFS('資格研修記録'!$A$5:$A$1004,$A157,'資格研修記録'!$D$5:$D$1004,F$4)=0,"—",IF(COUNTIFS('資格研修記録'!$A$5:$A$1004,$A157,'資格研修記録'!$D$5:$D$1004,F$4,'資格研修記録'!$F$5:$F$1004,"")+COUNTIFS('資格研修記録'!$A$5:$A$1004,$A157,'資格研修記録'!$D$5:$D$1004,F$4,'資格研修記録'!$F$5:$F$1004,"&gt;="&amp;TODAY())&gt;0,"○","× 期限切れ"))))</f>
        <v/>
      </c>
      <c r="G157" s="15">
        <f>IF(OR($A157="",G$4=""),"",IF(AND(G$4="小型船舶2級",(COUNTIFS('資格研修記録'!$A$5:$A$1004,$A157,'資格研修記録'!$D$5:$D$1004,"小型船舶1級",'資格研修記録'!$F$5:$F$1004,"")+COUNTIFS('資格研修記録'!$A$5:$A$1004,$A157,'資格研修記録'!$D$5:$D$1004,"小型船舶1級",'資格研修記録'!$F$5:$F$1004,"&gt;="&amp;TODAY()))&gt;0),"1級に含む",IF(COUNTIFS('資格研修記録'!$A$5:$A$1004,$A157,'資格研修記録'!$D$5:$D$1004,G$4)=0,"—",IF(COUNTIFS('資格研修記録'!$A$5:$A$1004,$A157,'資格研修記録'!$D$5:$D$1004,G$4,'資格研修記録'!$F$5:$F$1004,"")+COUNTIFS('資格研修記録'!$A$5:$A$1004,$A157,'資格研修記録'!$D$5:$D$1004,G$4,'資格研修記録'!$F$5:$F$1004,"&gt;="&amp;TODAY())&gt;0,"○","× 期限切れ"))))</f>
        <v/>
      </c>
      <c r="H157" s="15">
        <f>IF(OR($A157="",H$4=""),"",IF(AND(H$4="小型船舶2級",(COUNTIFS('資格研修記録'!$A$5:$A$1004,$A157,'資格研修記録'!$D$5:$D$1004,"小型船舶1級",'資格研修記録'!$F$5:$F$1004,"")+COUNTIFS('資格研修記録'!$A$5:$A$1004,$A157,'資格研修記録'!$D$5:$D$1004,"小型船舶1級",'資格研修記録'!$F$5:$F$1004,"&gt;="&amp;TODAY()))&gt;0),"1級に含む",IF(COUNTIFS('資格研修記録'!$A$5:$A$1004,$A157,'資格研修記録'!$D$5:$D$1004,H$4)=0,"—",IF(COUNTIFS('資格研修記録'!$A$5:$A$1004,$A157,'資格研修記録'!$D$5:$D$1004,H$4,'資格研修記録'!$F$5:$F$1004,"")+COUNTIFS('資格研修記録'!$A$5:$A$1004,$A157,'資格研修記録'!$D$5:$D$1004,H$4,'資格研修記録'!$F$5:$F$1004,"&gt;="&amp;TODAY())&gt;0,"○","× 期限切れ"))))</f>
        <v/>
      </c>
      <c r="I157" s="15">
        <f>IF(OR($A157="",I$4=""),"",IF(AND(I$4="小型船舶2級",(COUNTIFS('資格研修記録'!$A$5:$A$1004,$A157,'資格研修記録'!$D$5:$D$1004,"小型船舶1級",'資格研修記録'!$F$5:$F$1004,"")+COUNTIFS('資格研修記録'!$A$5:$A$1004,$A157,'資格研修記録'!$D$5:$D$1004,"小型船舶1級",'資格研修記録'!$F$5:$F$1004,"&gt;="&amp;TODAY()))&gt;0),"1級に含む",IF(COUNTIFS('資格研修記録'!$A$5:$A$1004,$A157,'資格研修記録'!$D$5:$D$1004,I$4)=0,"—",IF(COUNTIFS('資格研修記録'!$A$5:$A$1004,$A157,'資格研修記録'!$D$5:$D$1004,I$4,'資格研修記録'!$F$5:$F$1004,"")+COUNTIFS('資格研修記録'!$A$5:$A$1004,$A157,'資格研修記録'!$D$5:$D$1004,I$4,'資格研修記録'!$F$5:$F$1004,"&gt;="&amp;TODAY())&gt;0,"○","× 期限切れ"))))</f>
        <v/>
      </c>
      <c r="J157" s="15">
        <f>IF(OR($A157="",J$4=""),"",IF(AND(J$4="小型船舶2級",(COUNTIFS('資格研修記録'!$A$5:$A$1004,$A157,'資格研修記録'!$D$5:$D$1004,"小型船舶1級",'資格研修記録'!$F$5:$F$1004,"")+COUNTIFS('資格研修記録'!$A$5:$A$1004,$A157,'資格研修記録'!$D$5:$D$1004,"小型船舶1級",'資格研修記録'!$F$5:$F$1004,"&gt;="&amp;TODAY()))&gt;0),"1級に含む",IF(COUNTIFS('資格研修記録'!$A$5:$A$1004,$A157,'資格研修記録'!$D$5:$D$1004,J$4)=0,"—",IF(COUNTIFS('資格研修記録'!$A$5:$A$1004,$A157,'資格研修記録'!$D$5:$D$1004,J$4,'資格研修記録'!$F$5:$F$1004,"")+COUNTIFS('資格研修記録'!$A$5:$A$1004,$A157,'資格研修記録'!$D$5:$D$1004,J$4,'資格研修記録'!$F$5:$F$1004,"&gt;="&amp;TODAY())&gt;0,"○","× 期限切れ"))))</f>
        <v/>
      </c>
      <c r="K157" s="15">
        <f>IF(OR($A157="",K$4=""),"",IF(AND(K$4="小型船舶2級",(COUNTIFS('資格研修記録'!$A$5:$A$1004,$A157,'資格研修記録'!$D$5:$D$1004,"小型船舶1級",'資格研修記録'!$F$5:$F$1004,"")+COUNTIFS('資格研修記録'!$A$5:$A$1004,$A157,'資格研修記録'!$D$5:$D$1004,"小型船舶1級",'資格研修記録'!$F$5:$F$1004,"&gt;="&amp;TODAY()))&gt;0),"1級に含む",IF(COUNTIFS('資格研修記録'!$A$5:$A$1004,$A157,'資格研修記録'!$D$5:$D$1004,K$4)=0,"—",IF(COUNTIFS('資格研修記録'!$A$5:$A$1004,$A157,'資格研修記録'!$D$5:$D$1004,K$4,'資格研修記録'!$F$5:$F$1004,"")+COUNTIFS('資格研修記録'!$A$5:$A$1004,$A157,'資格研修記録'!$D$5:$D$1004,K$4,'資格研修記録'!$F$5:$F$1004,"&gt;="&amp;TODAY())&gt;0,"○","× 期限切れ"))))</f>
        <v/>
      </c>
      <c r="L157" s="15">
        <f>IF(OR($A157="",L$4=""),"",IF(AND(L$4="小型船舶2級",(COUNTIFS('資格研修記録'!$A$5:$A$1004,$A157,'資格研修記録'!$D$5:$D$1004,"小型船舶1級",'資格研修記録'!$F$5:$F$1004,"")+COUNTIFS('資格研修記録'!$A$5:$A$1004,$A157,'資格研修記録'!$D$5:$D$1004,"小型船舶1級",'資格研修記録'!$F$5:$F$1004,"&gt;="&amp;TODAY()))&gt;0),"1級に含む",IF(COUNTIFS('資格研修記録'!$A$5:$A$1004,$A157,'資格研修記録'!$D$5:$D$1004,L$4)=0,"—",IF(COUNTIFS('資格研修記録'!$A$5:$A$1004,$A157,'資格研修記録'!$D$5:$D$1004,L$4,'資格研修記録'!$F$5:$F$1004,"")+COUNTIFS('資格研修記録'!$A$5:$A$1004,$A157,'資格研修記録'!$D$5:$D$1004,L$4,'資格研修記録'!$F$5:$F$1004,"&gt;="&amp;TODAY())&gt;0,"○","× 期限切れ"))))</f>
        <v/>
      </c>
    </row>
    <row r="158">
      <c r="A158" s="14">
        <f>IF('隊員マスタ'!A158="","",'隊員マスタ'!A158)</f>
        <v/>
      </c>
      <c r="B158" s="14">
        <f>IF(A158="","",'隊員マスタ'!B158)</f>
        <v/>
      </c>
      <c r="C158" s="14">
        <f>IF(A158="","",'隊員マスタ'!C158)</f>
        <v/>
      </c>
      <c r="D158" s="15">
        <f>IF(A158="","",'隊員マスタ'!D158)</f>
        <v/>
      </c>
      <c r="E158" s="15">
        <f>IF(OR($A158="",E$4=""),"",IF(AND(E$4="小型船舶2級",(COUNTIFS('資格研修記録'!$A$5:$A$1004,$A158,'資格研修記録'!$D$5:$D$1004,"小型船舶1級",'資格研修記録'!$F$5:$F$1004,"")+COUNTIFS('資格研修記録'!$A$5:$A$1004,$A158,'資格研修記録'!$D$5:$D$1004,"小型船舶1級",'資格研修記録'!$F$5:$F$1004,"&gt;="&amp;TODAY()))&gt;0),"1級に含む",IF(COUNTIFS('資格研修記録'!$A$5:$A$1004,$A158,'資格研修記録'!$D$5:$D$1004,E$4)=0,"—",IF(COUNTIFS('資格研修記録'!$A$5:$A$1004,$A158,'資格研修記録'!$D$5:$D$1004,E$4,'資格研修記録'!$F$5:$F$1004,"")+COUNTIFS('資格研修記録'!$A$5:$A$1004,$A158,'資格研修記録'!$D$5:$D$1004,E$4,'資格研修記録'!$F$5:$F$1004,"&gt;="&amp;TODAY())&gt;0,"○","× 期限切れ"))))</f>
        <v/>
      </c>
      <c r="F158" s="15">
        <f>IF(OR($A158="",F$4=""),"",IF(AND(F$4="小型船舶2級",(COUNTIFS('資格研修記録'!$A$5:$A$1004,$A158,'資格研修記録'!$D$5:$D$1004,"小型船舶1級",'資格研修記録'!$F$5:$F$1004,"")+COUNTIFS('資格研修記録'!$A$5:$A$1004,$A158,'資格研修記録'!$D$5:$D$1004,"小型船舶1級",'資格研修記録'!$F$5:$F$1004,"&gt;="&amp;TODAY()))&gt;0),"1級に含む",IF(COUNTIFS('資格研修記録'!$A$5:$A$1004,$A158,'資格研修記録'!$D$5:$D$1004,F$4)=0,"—",IF(COUNTIFS('資格研修記録'!$A$5:$A$1004,$A158,'資格研修記録'!$D$5:$D$1004,F$4,'資格研修記録'!$F$5:$F$1004,"")+COUNTIFS('資格研修記録'!$A$5:$A$1004,$A158,'資格研修記録'!$D$5:$D$1004,F$4,'資格研修記録'!$F$5:$F$1004,"&gt;="&amp;TODAY())&gt;0,"○","× 期限切れ"))))</f>
        <v/>
      </c>
      <c r="G158" s="15">
        <f>IF(OR($A158="",G$4=""),"",IF(AND(G$4="小型船舶2級",(COUNTIFS('資格研修記録'!$A$5:$A$1004,$A158,'資格研修記録'!$D$5:$D$1004,"小型船舶1級",'資格研修記録'!$F$5:$F$1004,"")+COUNTIFS('資格研修記録'!$A$5:$A$1004,$A158,'資格研修記録'!$D$5:$D$1004,"小型船舶1級",'資格研修記録'!$F$5:$F$1004,"&gt;="&amp;TODAY()))&gt;0),"1級に含む",IF(COUNTIFS('資格研修記録'!$A$5:$A$1004,$A158,'資格研修記録'!$D$5:$D$1004,G$4)=0,"—",IF(COUNTIFS('資格研修記録'!$A$5:$A$1004,$A158,'資格研修記録'!$D$5:$D$1004,G$4,'資格研修記録'!$F$5:$F$1004,"")+COUNTIFS('資格研修記録'!$A$5:$A$1004,$A158,'資格研修記録'!$D$5:$D$1004,G$4,'資格研修記録'!$F$5:$F$1004,"&gt;="&amp;TODAY())&gt;0,"○","× 期限切れ"))))</f>
        <v/>
      </c>
      <c r="H158" s="15">
        <f>IF(OR($A158="",H$4=""),"",IF(AND(H$4="小型船舶2級",(COUNTIFS('資格研修記録'!$A$5:$A$1004,$A158,'資格研修記録'!$D$5:$D$1004,"小型船舶1級",'資格研修記録'!$F$5:$F$1004,"")+COUNTIFS('資格研修記録'!$A$5:$A$1004,$A158,'資格研修記録'!$D$5:$D$1004,"小型船舶1級",'資格研修記録'!$F$5:$F$1004,"&gt;="&amp;TODAY()))&gt;0),"1級に含む",IF(COUNTIFS('資格研修記録'!$A$5:$A$1004,$A158,'資格研修記録'!$D$5:$D$1004,H$4)=0,"—",IF(COUNTIFS('資格研修記録'!$A$5:$A$1004,$A158,'資格研修記録'!$D$5:$D$1004,H$4,'資格研修記録'!$F$5:$F$1004,"")+COUNTIFS('資格研修記録'!$A$5:$A$1004,$A158,'資格研修記録'!$D$5:$D$1004,H$4,'資格研修記録'!$F$5:$F$1004,"&gt;="&amp;TODAY())&gt;0,"○","× 期限切れ"))))</f>
        <v/>
      </c>
      <c r="I158" s="15">
        <f>IF(OR($A158="",I$4=""),"",IF(AND(I$4="小型船舶2級",(COUNTIFS('資格研修記録'!$A$5:$A$1004,$A158,'資格研修記録'!$D$5:$D$1004,"小型船舶1級",'資格研修記録'!$F$5:$F$1004,"")+COUNTIFS('資格研修記録'!$A$5:$A$1004,$A158,'資格研修記録'!$D$5:$D$1004,"小型船舶1級",'資格研修記録'!$F$5:$F$1004,"&gt;="&amp;TODAY()))&gt;0),"1級に含む",IF(COUNTIFS('資格研修記録'!$A$5:$A$1004,$A158,'資格研修記録'!$D$5:$D$1004,I$4)=0,"—",IF(COUNTIFS('資格研修記録'!$A$5:$A$1004,$A158,'資格研修記録'!$D$5:$D$1004,I$4,'資格研修記録'!$F$5:$F$1004,"")+COUNTIFS('資格研修記録'!$A$5:$A$1004,$A158,'資格研修記録'!$D$5:$D$1004,I$4,'資格研修記録'!$F$5:$F$1004,"&gt;="&amp;TODAY())&gt;0,"○","× 期限切れ"))))</f>
        <v/>
      </c>
      <c r="J158" s="15">
        <f>IF(OR($A158="",J$4=""),"",IF(AND(J$4="小型船舶2級",(COUNTIFS('資格研修記録'!$A$5:$A$1004,$A158,'資格研修記録'!$D$5:$D$1004,"小型船舶1級",'資格研修記録'!$F$5:$F$1004,"")+COUNTIFS('資格研修記録'!$A$5:$A$1004,$A158,'資格研修記録'!$D$5:$D$1004,"小型船舶1級",'資格研修記録'!$F$5:$F$1004,"&gt;="&amp;TODAY()))&gt;0),"1級に含む",IF(COUNTIFS('資格研修記録'!$A$5:$A$1004,$A158,'資格研修記録'!$D$5:$D$1004,J$4)=0,"—",IF(COUNTIFS('資格研修記録'!$A$5:$A$1004,$A158,'資格研修記録'!$D$5:$D$1004,J$4,'資格研修記録'!$F$5:$F$1004,"")+COUNTIFS('資格研修記録'!$A$5:$A$1004,$A158,'資格研修記録'!$D$5:$D$1004,J$4,'資格研修記録'!$F$5:$F$1004,"&gt;="&amp;TODAY())&gt;0,"○","× 期限切れ"))))</f>
        <v/>
      </c>
      <c r="K158" s="15">
        <f>IF(OR($A158="",K$4=""),"",IF(AND(K$4="小型船舶2級",(COUNTIFS('資格研修記録'!$A$5:$A$1004,$A158,'資格研修記録'!$D$5:$D$1004,"小型船舶1級",'資格研修記録'!$F$5:$F$1004,"")+COUNTIFS('資格研修記録'!$A$5:$A$1004,$A158,'資格研修記録'!$D$5:$D$1004,"小型船舶1級",'資格研修記録'!$F$5:$F$1004,"&gt;="&amp;TODAY()))&gt;0),"1級に含む",IF(COUNTIFS('資格研修記録'!$A$5:$A$1004,$A158,'資格研修記録'!$D$5:$D$1004,K$4)=0,"—",IF(COUNTIFS('資格研修記録'!$A$5:$A$1004,$A158,'資格研修記録'!$D$5:$D$1004,K$4,'資格研修記録'!$F$5:$F$1004,"")+COUNTIFS('資格研修記録'!$A$5:$A$1004,$A158,'資格研修記録'!$D$5:$D$1004,K$4,'資格研修記録'!$F$5:$F$1004,"&gt;="&amp;TODAY())&gt;0,"○","× 期限切れ"))))</f>
        <v/>
      </c>
      <c r="L158" s="15">
        <f>IF(OR($A158="",L$4=""),"",IF(AND(L$4="小型船舶2級",(COUNTIFS('資格研修記録'!$A$5:$A$1004,$A158,'資格研修記録'!$D$5:$D$1004,"小型船舶1級",'資格研修記録'!$F$5:$F$1004,"")+COUNTIFS('資格研修記録'!$A$5:$A$1004,$A158,'資格研修記録'!$D$5:$D$1004,"小型船舶1級",'資格研修記録'!$F$5:$F$1004,"&gt;="&amp;TODAY()))&gt;0),"1級に含む",IF(COUNTIFS('資格研修記録'!$A$5:$A$1004,$A158,'資格研修記録'!$D$5:$D$1004,L$4)=0,"—",IF(COUNTIFS('資格研修記録'!$A$5:$A$1004,$A158,'資格研修記録'!$D$5:$D$1004,L$4,'資格研修記録'!$F$5:$F$1004,"")+COUNTIFS('資格研修記録'!$A$5:$A$1004,$A158,'資格研修記録'!$D$5:$D$1004,L$4,'資格研修記録'!$F$5:$F$1004,"&gt;="&amp;TODAY())&gt;0,"○","× 期限切れ"))))</f>
        <v/>
      </c>
    </row>
    <row r="159">
      <c r="A159" s="14">
        <f>IF('隊員マスタ'!A159="","",'隊員マスタ'!A159)</f>
        <v/>
      </c>
      <c r="B159" s="14">
        <f>IF(A159="","",'隊員マスタ'!B159)</f>
        <v/>
      </c>
      <c r="C159" s="14">
        <f>IF(A159="","",'隊員マスタ'!C159)</f>
        <v/>
      </c>
      <c r="D159" s="15">
        <f>IF(A159="","",'隊員マスタ'!D159)</f>
        <v/>
      </c>
      <c r="E159" s="15">
        <f>IF(OR($A159="",E$4=""),"",IF(AND(E$4="小型船舶2級",(COUNTIFS('資格研修記録'!$A$5:$A$1004,$A159,'資格研修記録'!$D$5:$D$1004,"小型船舶1級",'資格研修記録'!$F$5:$F$1004,"")+COUNTIFS('資格研修記録'!$A$5:$A$1004,$A159,'資格研修記録'!$D$5:$D$1004,"小型船舶1級",'資格研修記録'!$F$5:$F$1004,"&gt;="&amp;TODAY()))&gt;0),"1級に含む",IF(COUNTIFS('資格研修記録'!$A$5:$A$1004,$A159,'資格研修記録'!$D$5:$D$1004,E$4)=0,"—",IF(COUNTIFS('資格研修記録'!$A$5:$A$1004,$A159,'資格研修記録'!$D$5:$D$1004,E$4,'資格研修記録'!$F$5:$F$1004,"")+COUNTIFS('資格研修記録'!$A$5:$A$1004,$A159,'資格研修記録'!$D$5:$D$1004,E$4,'資格研修記録'!$F$5:$F$1004,"&gt;="&amp;TODAY())&gt;0,"○","× 期限切れ"))))</f>
        <v/>
      </c>
      <c r="F159" s="15">
        <f>IF(OR($A159="",F$4=""),"",IF(AND(F$4="小型船舶2級",(COUNTIFS('資格研修記録'!$A$5:$A$1004,$A159,'資格研修記録'!$D$5:$D$1004,"小型船舶1級",'資格研修記録'!$F$5:$F$1004,"")+COUNTIFS('資格研修記録'!$A$5:$A$1004,$A159,'資格研修記録'!$D$5:$D$1004,"小型船舶1級",'資格研修記録'!$F$5:$F$1004,"&gt;="&amp;TODAY()))&gt;0),"1級に含む",IF(COUNTIFS('資格研修記録'!$A$5:$A$1004,$A159,'資格研修記録'!$D$5:$D$1004,F$4)=0,"—",IF(COUNTIFS('資格研修記録'!$A$5:$A$1004,$A159,'資格研修記録'!$D$5:$D$1004,F$4,'資格研修記録'!$F$5:$F$1004,"")+COUNTIFS('資格研修記録'!$A$5:$A$1004,$A159,'資格研修記録'!$D$5:$D$1004,F$4,'資格研修記録'!$F$5:$F$1004,"&gt;="&amp;TODAY())&gt;0,"○","× 期限切れ"))))</f>
        <v/>
      </c>
      <c r="G159" s="15">
        <f>IF(OR($A159="",G$4=""),"",IF(AND(G$4="小型船舶2級",(COUNTIFS('資格研修記録'!$A$5:$A$1004,$A159,'資格研修記録'!$D$5:$D$1004,"小型船舶1級",'資格研修記録'!$F$5:$F$1004,"")+COUNTIFS('資格研修記録'!$A$5:$A$1004,$A159,'資格研修記録'!$D$5:$D$1004,"小型船舶1級",'資格研修記録'!$F$5:$F$1004,"&gt;="&amp;TODAY()))&gt;0),"1級に含む",IF(COUNTIFS('資格研修記録'!$A$5:$A$1004,$A159,'資格研修記録'!$D$5:$D$1004,G$4)=0,"—",IF(COUNTIFS('資格研修記録'!$A$5:$A$1004,$A159,'資格研修記録'!$D$5:$D$1004,G$4,'資格研修記録'!$F$5:$F$1004,"")+COUNTIFS('資格研修記録'!$A$5:$A$1004,$A159,'資格研修記録'!$D$5:$D$1004,G$4,'資格研修記録'!$F$5:$F$1004,"&gt;="&amp;TODAY())&gt;0,"○","× 期限切れ"))))</f>
        <v/>
      </c>
      <c r="H159" s="15">
        <f>IF(OR($A159="",H$4=""),"",IF(AND(H$4="小型船舶2級",(COUNTIFS('資格研修記録'!$A$5:$A$1004,$A159,'資格研修記録'!$D$5:$D$1004,"小型船舶1級",'資格研修記録'!$F$5:$F$1004,"")+COUNTIFS('資格研修記録'!$A$5:$A$1004,$A159,'資格研修記録'!$D$5:$D$1004,"小型船舶1級",'資格研修記録'!$F$5:$F$1004,"&gt;="&amp;TODAY()))&gt;0),"1級に含む",IF(COUNTIFS('資格研修記録'!$A$5:$A$1004,$A159,'資格研修記録'!$D$5:$D$1004,H$4)=0,"—",IF(COUNTIFS('資格研修記録'!$A$5:$A$1004,$A159,'資格研修記録'!$D$5:$D$1004,H$4,'資格研修記録'!$F$5:$F$1004,"")+COUNTIFS('資格研修記録'!$A$5:$A$1004,$A159,'資格研修記録'!$D$5:$D$1004,H$4,'資格研修記録'!$F$5:$F$1004,"&gt;="&amp;TODAY())&gt;0,"○","× 期限切れ"))))</f>
        <v/>
      </c>
      <c r="I159" s="15">
        <f>IF(OR($A159="",I$4=""),"",IF(AND(I$4="小型船舶2級",(COUNTIFS('資格研修記録'!$A$5:$A$1004,$A159,'資格研修記録'!$D$5:$D$1004,"小型船舶1級",'資格研修記録'!$F$5:$F$1004,"")+COUNTIFS('資格研修記録'!$A$5:$A$1004,$A159,'資格研修記録'!$D$5:$D$1004,"小型船舶1級",'資格研修記録'!$F$5:$F$1004,"&gt;="&amp;TODAY()))&gt;0),"1級に含む",IF(COUNTIFS('資格研修記録'!$A$5:$A$1004,$A159,'資格研修記録'!$D$5:$D$1004,I$4)=0,"—",IF(COUNTIFS('資格研修記録'!$A$5:$A$1004,$A159,'資格研修記録'!$D$5:$D$1004,I$4,'資格研修記録'!$F$5:$F$1004,"")+COUNTIFS('資格研修記録'!$A$5:$A$1004,$A159,'資格研修記録'!$D$5:$D$1004,I$4,'資格研修記録'!$F$5:$F$1004,"&gt;="&amp;TODAY())&gt;0,"○","× 期限切れ"))))</f>
        <v/>
      </c>
      <c r="J159" s="15">
        <f>IF(OR($A159="",J$4=""),"",IF(AND(J$4="小型船舶2級",(COUNTIFS('資格研修記録'!$A$5:$A$1004,$A159,'資格研修記録'!$D$5:$D$1004,"小型船舶1級",'資格研修記録'!$F$5:$F$1004,"")+COUNTIFS('資格研修記録'!$A$5:$A$1004,$A159,'資格研修記録'!$D$5:$D$1004,"小型船舶1級",'資格研修記録'!$F$5:$F$1004,"&gt;="&amp;TODAY()))&gt;0),"1級に含む",IF(COUNTIFS('資格研修記録'!$A$5:$A$1004,$A159,'資格研修記録'!$D$5:$D$1004,J$4)=0,"—",IF(COUNTIFS('資格研修記録'!$A$5:$A$1004,$A159,'資格研修記録'!$D$5:$D$1004,J$4,'資格研修記録'!$F$5:$F$1004,"")+COUNTIFS('資格研修記録'!$A$5:$A$1004,$A159,'資格研修記録'!$D$5:$D$1004,J$4,'資格研修記録'!$F$5:$F$1004,"&gt;="&amp;TODAY())&gt;0,"○","× 期限切れ"))))</f>
        <v/>
      </c>
      <c r="K159" s="15">
        <f>IF(OR($A159="",K$4=""),"",IF(AND(K$4="小型船舶2級",(COUNTIFS('資格研修記録'!$A$5:$A$1004,$A159,'資格研修記録'!$D$5:$D$1004,"小型船舶1級",'資格研修記録'!$F$5:$F$1004,"")+COUNTIFS('資格研修記録'!$A$5:$A$1004,$A159,'資格研修記録'!$D$5:$D$1004,"小型船舶1級",'資格研修記録'!$F$5:$F$1004,"&gt;="&amp;TODAY()))&gt;0),"1級に含む",IF(COUNTIFS('資格研修記録'!$A$5:$A$1004,$A159,'資格研修記録'!$D$5:$D$1004,K$4)=0,"—",IF(COUNTIFS('資格研修記録'!$A$5:$A$1004,$A159,'資格研修記録'!$D$5:$D$1004,K$4,'資格研修記録'!$F$5:$F$1004,"")+COUNTIFS('資格研修記録'!$A$5:$A$1004,$A159,'資格研修記録'!$D$5:$D$1004,K$4,'資格研修記録'!$F$5:$F$1004,"&gt;="&amp;TODAY())&gt;0,"○","× 期限切れ"))))</f>
        <v/>
      </c>
      <c r="L159" s="15">
        <f>IF(OR($A159="",L$4=""),"",IF(AND(L$4="小型船舶2級",(COUNTIFS('資格研修記録'!$A$5:$A$1004,$A159,'資格研修記録'!$D$5:$D$1004,"小型船舶1級",'資格研修記録'!$F$5:$F$1004,"")+COUNTIFS('資格研修記録'!$A$5:$A$1004,$A159,'資格研修記録'!$D$5:$D$1004,"小型船舶1級",'資格研修記録'!$F$5:$F$1004,"&gt;="&amp;TODAY()))&gt;0),"1級に含む",IF(COUNTIFS('資格研修記録'!$A$5:$A$1004,$A159,'資格研修記録'!$D$5:$D$1004,L$4)=0,"—",IF(COUNTIFS('資格研修記録'!$A$5:$A$1004,$A159,'資格研修記録'!$D$5:$D$1004,L$4,'資格研修記録'!$F$5:$F$1004,"")+COUNTIFS('資格研修記録'!$A$5:$A$1004,$A159,'資格研修記録'!$D$5:$D$1004,L$4,'資格研修記録'!$F$5:$F$1004,"&gt;="&amp;TODAY())&gt;0,"○","× 期限切れ"))))</f>
        <v/>
      </c>
    </row>
    <row r="160">
      <c r="A160" s="14">
        <f>IF('隊員マスタ'!A160="","",'隊員マスタ'!A160)</f>
        <v/>
      </c>
      <c r="B160" s="14">
        <f>IF(A160="","",'隊員マスタ'!B160)</f>
        <v/>
      </c>
      <c r="C160" s="14">
        <f>IF(A160="","",'隊員マスタ'!C160)</f>
        <v/>
      </c>
      <c r="D160" s="15">
        <f>IF(A160="","",'隊員マスタ'!D160)</f>
        <v/>
      </c>
      <c r="E160" s="15">
        <f>IF(OR($A160="",E$4=""),"",IF(AND(E$4="小型船舶2級",(COUNTIFS('資格研修記録'!$A$5:$A$1004,$A160,'資格研修記録'!$D$5:$D$1004,"小型船舶1級",'資格研修記録'!$F$5:$F$1004,"")+COUNTIFS('資格研修記録'!$A$5:$A$1004,$A160,'資格研修記録'!$D$5:$D$1004,"小型船舶1級",'資格研修記録'!$F$5:$F$1004,"&gt;="&amp;TODAY()))&gt;0),"1級に含む",IF(COUNTIFS('資格研修記録'!$A$5:$A$1004,$A160,'資格研修記録'!$D$5:$D$1004,E$4)=0,"—",IF(COUNTIFS('資格研修記録'!$A$5:$A$1004,$A160,'資格研修記録'!$D$5:$D$1004,E$4,'資格研修記録'!$F$5:$F$1004,"")+COUNTIFS('資格研修記録'!$A$5:$A$1004,$A160,'資格研修記録'!$D$5:$D$1004,E$4,'資格研修記録'!$F$5:$F$1004,"&gt;="&amp;TODAY())&gt;0,"○","× 期限切れ"))))</f>
        <v/>
      </c>
      <c r="F160" s="15">
        <f>IF(OR($A160="",F$4=""),"",IF(AND(F$4="小型船舶2級",(COUNTIFS('資格研修記録'!$A$5:$A$1004,$A160,'資格研修記録'!$D$5:$D$1004,"小型船舶1級",'資格研修記録'!$F$5:$F$1004,"")+COUNTIFS('資格研修記録'!$A$5:$A$1004,$A160,'資格研修記録'!$D$5:$D$1004,"小型船舶1級",'資格研修記録'!$F$5:$F$1004,"&gt;="&amp;TODAY()))&gt;0),"1級に含む",IF(COUNTIFS('資格研修記録'!$A$5:$A$1004,$A160,'資格研修記録'!$D$5:$D$1004,F$4)=0,"—",IF(COUNTIFS('資格研修記録'!$A$5:$A$1004,$A160,'資格研修記録'!$D$5:$D$1004,F$4,'資格研修記録'!$F$5:$F$1004,"")+COUNTIFS('資格研修記録'!$A$5:$A$1004,$A160,'資格研修記録'!$D$5:$D$1004,F$4,'資格研修記録'!$F$5:$F$1004,"&gt;="&amp;TODAY())&gt;0,"○","× 期限切れ"))))</f>
        <v/>
      </c>
      <c r="G160" s="15">
        <f>IF(OR($A160="",G$4=""),"",IF(AND(G$4="小型船舶2級",(COUNTIFS('資格研修記録'!$A$5:$A$1004,$A160,'資格研修記録'!$D$5:$D$1004,"小型船舶1級",'資格研修記録'!$F$5:$F$1004,"")+COUNTIFS('資格研修記録'!$A$5:$A$1004,$A160,'資格研修記録'!$D$5:$D$1004,"小型船舶1級",'資格研修記録'!$F$5:$F$1004,"&gt;="&amp;TODAY()))&gt;0),"1級に含む",IF(COUNTIFS('資格研修記録'!$A$5:$A$1004,$A160,'資格研修記録'!$D$5:$D$1004,G$4)=0,"—",IF(COUNTIFS('資格研修記録'!$A$5:$A$1004,$A160,'資格研修記録'!$D$5:$D$1004,G$4,'資格研修記録'!$F$5:$F$1004,"")+COUNTIFS('資格研修記録'!$A$5:$A$1004,$A160,'資格研修記録'!$D$5:$D$1004,G$4,'資格研修記録'!$F$5:$F$1004,"&gt;="&amp;TODAY())&gt;0,"○","× 期限切れ"))))</f>
        <v/>
      </c>
      <c r="H160" s="15">
        <f>IF(OR($A160="",H$4=""),"",IF(AND(H$4="小型船舶2級",(COUNTIFS('資格研修記録'!$A$5:$A$1004,$A160,'資格研修記録'!$D$5:$D$1004,"小型船舶1級",'資格研修記録'!$F$5:$F$1004,"")+COUNTIFS('資格研修記録'!$A$5:$A$1004,$A160,'資格研修記録'!$D$5:$D$1004,"小型船舶1級",'資格研修記録'!$F$5:$F$1004,"&gt;="&amp;TODAY()))&gt;0),"1級に含む",IF(COUNTIFS('資格研修記録'!$A$5:$A$1004,$A160,'資格研修記録'!$D$5:$D$1004,H$4)=0,"—",IF(COUNTIFS('資格研修記録'!$A$5:$A$1004,$A160,'資格研修記録'!$D$5:$D$1004,H$4,'資格研修記録'!$F$5:$F$1004,"")+COUNTIFS('資格研修記録'!$A$5:$A$1004,$A160,'資格研修記録'!$D$5:$D$1004,H$4,'資格研修記録'!$F$5:$F$1004,"&gt;="&amp;TODAY())&gt;0,"○","× 期限切れ"))))</f>
        <v/>
      </c>
      <c r="I160" s="15">
        <f>IF(OR($A160="",I$4=""),"",IF(AND(I$4="小型船舶2級",(COUNTIFS('資格研修記録'!$A$5:$A$1004,$A160,'資格研修記録'!$D$5:$D$1004,"小型船舶1級",'資格研修記録'!$F$5:$F$1004,"")+COUNTIFS('資格研修記録'!$A$5:$A$1004,$A160,'資格研修記録'!$D$5:$D$1004,"小型船舶1級",'資格研修記録'!$F$5:$F$1004,"&gt;="&amp;TODAY()))&gt;0),"1級に含む",IF(COUNTIFS('資格研修記録'!$A$5:$A$1004,$A160,'資格研修記録'!$D$5:$D$1004,I$4)=0,"—",IF(COUNTIFS('資格研修記録'!$A$5:$A$1004,$A160,'資格研修記録'!$D$5:$D$1004,I$4,'資格研修記録'!$F$5:$F$1004,"")+COUNTIFS('資格研修記録'!$A$5:$A$1004,$A160,'資格研修記録'!$D$5:$D$1004,I$4,'資格研修記録'!$F$5:$F$1004,"&gt;="&amp;TODAY())&gt;0,"○","× 期限切れ"))))</f>
        <v/>
      </c>
      <c r="J160" s="15">
        <f>IF(OR($A160="",J$4=""),"",IF(AND(J$4="小型船舶2級",(COUNTIFS('資格研修記録'!$A$5:$A$1004,$A160,'資格研修記録'!$D$5:$D$1004,"小型船舶1級",'資格研修記録'!$F$5:$F$1004,"")+COUNTIFS('資格研修記録'!$A$5:$A$1004,$A160,'資格研修記録'!$D$5:$D$1004,"小型船舶1級",'資格研修記録'!$F$5:$F$1004,"&gt;="&amp;TODAY()))&gt;0),"1級に含む",IF(COUNTIFS('資格研修記録'!$A$5:$A$1004,$A160,'資格研修記録'!$D$5:$D$1004,J$4)=0,"—",IF(COUNTIFS('資格研修記録'!$A$5:$A$1004,$A160,'資格研修記録'!$D$5:$D$1004,J$4,'資格研修記録'!$F$5:$F$1004,"")+COUNTIFS('資格研修記録'!$A$5:$A$1004,$A160,'資格研修記録'!$D$5:$D$1004,J$4,'資格研修記録'!$F$5:$F$1004,"&gt;="&amp;TODAY())&gt;0,"○","× 期限切れ"))))</f>
        <v/>
      </c>
      <c r="K160" s="15">
        <f>IF(OR($A160="",K$4=""),"",IF(AND(K$4="小型船舶2級",(COUNTIFS('資格研修記録'!$A$5:$A$1004,$A160,'資格研修記録'!$D$5:$D$1004,"小型船舶1級",'資格研修記録'!$F$5:$F$1004,"")+COUNTIFS('資格研修記録'!$A$5:$A$1004,$A160,'資格研修記録'!$D$5:$D$1004,"小型船舶1級",'資格研修記録'!$F$5:$F$1004,"&gt;="&amp;TODAY()))&gt;0),"1級に含む",IF(COUNTIFS('資格研修記録'!$A$5:$A$1004,$A160,'資格研修記録'!$D$5:$D$1004,K$4)=0,"—",IF(COUNTIFS('資格研修記録'!$A$5:$A$1004,$A160,'資格研修記録'!$D$5:$D$1004,K$4,'資格研修記録'!$F$5:$F$1004,"")+COUNTIFS('資格研修記録'!$A$5:$A$1004,$A160,'資格研修記録'!$D$5:$D$1004,K$4,'資格研修記録'!$F$5:$F$1004,"&gt;="&amp;TODAY())&gt;0,"○","× 期限切れ"))))</f>
        <v/>
      </c>
      <c r="L160" s="15">
        <f>IF(OR($A160="",L$4=""),"",IF(AND(L$4="小型船舶2級",(COUNTIFS('資格研修記録'!$A$5:$A$1004,$A160,'資格研修記録'!$D$5:$D$1004,"小型船舶1級",'資格研修記録'!$F$5:$F$1004,"")+COUNTIFS('資格研修記録'!$A$5:$A$1004,$A160,'資格研修記録'!$D$5:$D$1004,"小型船舶1級",'資格研修記録'!$F$5:$F$1004,"&gt;="&amp;TODAY()))&gt;0),"1級に含む",IF(COUNTIFS('資格研修記録'!$A$5:$A$1004,$A160,'資格研修記録'!$D$5:$D$1004,L$4)=0,"—",IF(COUNTIFS('資格研修記録'!$A$5:$A$1004,$A160,'資格研修記録'!$D$5:$D$1004,L$4,'資格研修記録'!$F$5:$F$1004,"")+COUNTIFS('資格研修記録'!$A$5:$A$1004,$A160,'資格研修記録'!$D$5:$D$1004,L$4,'資格研修記録'!$F$5:$F$1004,"&gt;="&amp;TODAY())&gt;0,"○","× 期限切れ"))))</f>
        <v/>
      </c>
    </row>
    <row r="161">
      <c r="A161" s="14">
        <f>IF('隊員マスタ'!A161="","",'隊員マスタ'!A161)</f>
        <v/>
      </c>
      <c r="B161" s="14">
        <f>IF(A161="","",'隊員マスタ'!B161)</f>
        <v/>
      </c>
      <c r="C161" s="14">
        <f>IF(A161="","",'隊員マスタ'!C161)</f>
        <v/>
      </c>
      <c r="D161" s="15">
        <f>IF(A161="","",'隊員マスタ'!D161)</f>
        <v/>
      </c>
      <c r="E161" s="15">
        <f>IF(OR($A161="",E$4=""),"",IF(AND(E$4="小型船舶2級",(COUNTIFS('資格研修記録'!$A$5:$A$1004,$A161,'資格研修記録'!$D$5:$D$1004,"小型船舶1級",'資格研修記録'!$F$5:$F$1004,"")+COUNTIFS('資格研修記録'!$A$5:$A$1004,$A161,'資格研修記録'!$D$5:$D$1004,"小型船舶1級",'資格研修記録'!$F$5:$F$1004,"&gt;="&amp;TODAY()))&gt;0),"1級に含む",IF(COUNTIFS('資格研修記録'!$A$5:$A$1004,$A161,'資格研修記録'!$D$5:$D$1004,E$4)=0,"—",IF(COUNTIFS('資格研修記録'!$A$5:$A$1004,$A161,'資格研修記録'!$D$5:$D$1004,E$4,'資格研修記録'!$F$5:$F$1004,"")+COUNTIFS('資格研修記録'!$A$5:$A$1004,$A161,'資格研修記録'!$D$5:$D$1004,E$4,'資格研修記録'!$F$5:$F$1004,"&gt;="&amp;TODAY())&gt;0,"○","× 期限切れ"))))</f>
        <v/>
      </c>
      <c r="F161" s="15">
        <f>IF(OR($A161="",F$4=""),"",IF(AND(F$4="小型船舶2級",(COUNTIFS('資格研修記録'!$A$5:$A$1004,$A161,'資格研修記録'!$D$5:$D$1004,"小型船舶1級",'資格研修記録'!$F$5:$F$1004,"")+COUNTIFS('資格研修記録'!$A$5:$A$1004,$A161,'資格研修記録'!$D$5:$D$1004,"小型船舶1級",'資格研修記録'!$F$5:$F$1004,"&gt;="&amp;TODAY()))&gt;0),"1級に含む",IF(COUNTIFS('資格研修記録'!$A$5:$A$1004,$A161,'資格研修記録'!$D$5:$D$1004,F$4)=0,"—",IF(COUNTIFS('資格研修記録'!$A$5:$A$1004,$A161,'資格研修記録'!$D$5:$D$1004,F$4,'資格研修記録'!$F$5:$F$1004,"")+COUNTIFS('資格研修記録'!$A$5:$A$1004,$A161,'資格研修記録'!$D$5:$D$1004,F$4,'資格研修記録'!$F$5:$F$1004,"&gt;="&amp;TODAY())&gt;0,"○","× 期限切れ"))))</f>
        <v/>
      </c>
      <c r="G161" s="15">
        <f>IF(OR($A161="",G$4=""),"",IF(AND(G$4="小型船舶2級",(COUNTIFS('資格研修記録'!$A$5:$A$1004,$A161,'資格研修記録'!$D$5:$D$1004,"小型船舶1級",'資格研修記録'!$F$5:$F$1004,"")+COUNTIFS('資格研修記録'!$A$5:$A$1004,$A161,'資格研修記録'!$D$5:$D$1004,"小型船舶1級",'資格研修記録'!$F$5:$F$1004,"&gt;="&amp;TODAY()))&gt;0),"1級に含む",IF(COUNTIFS('資格研修記録'!$A$5:$A$1004,$A161,'資格研修記録'!$D$5:$D$1004,G$4)=0,"—",IF(COUNTIFS('資格研修記録'!$A$5:$A$1004,$A161,'資格研修記録'!$D$5:$D$1004,G$4,'資格研修記録'!$F$5:$F$1004,"")+COUNTIFS('資格研修記録'!$A$5:$A$1004,$A161,'資格研修記録'!$D$5:$D$1004,G$4,'資格研修記録'!$F$5:$F$1004,"&gt;="&amp;TODAY())&gt;0,"○","× 期限切れ"))))</f>
        <v/>
      </c>
      <c r="H161" s="15">
        <f>IF(OR($A161="",H$4=""),"",IF(AND(H$4="小型船舶2級",(COUNTIFS('資格研修記録'!$A$5:$A$1004,$A161,'資格研修記録'!$D$5:$D$1004,"小型船舶1級",'資格研修記録'!$F$5:$F$1004,"")+COUNTIFS('資格研修記録'!$A$5:$A$1004,$A161,'資格研修記録'!$D$5:$D$1004,"小型船舶1級",'資格研修記録'!$F$5:$F$1004,"&gt;="&amp;TODAY()))&gt;0),"1級に含む",IF(COUNTIFS('資格研修記録'!$A$5:$A$1004,$A161,'資格研修記録'!$D$5:$D$1004,H$4)=0,"—",IF(COUNTIFS('資格研修記録'!$A$5:$A$1004,$A161,'資格研修記録'!$D$5:$D$1004,H$4,'資格研修記録'!$F$5:$F$1004,"")+COUNTIFS('資格研修記録'!$A$5:$A$1004,$A161,'資格研修記録'!$D$5:$D$1004,H$4,'資格研修記録'!$F$5:$F$1004,"&gt;="&amp;TODAY())&gt;0,"○","× 期限切れ"))))</f>
        <v/>
      </c>
      <c r="I161" s="15">
        <f>IF(OR($A161="",I$4=""),"",IF(AND(I$4="小型船舶2級",(COUNTIFS('資格研修記録'!$A$5:$A$1004,$A161,'資格研修記録'!$D$5:$D$1004,"小型船舶1級",'資格研修記録'!$F$5:$F$1004,"")+COUNTIFS('資格研修記録'!$A$5:$A$1004,$A161,'資格研修記録'!$D$5:$D$1004,"小型船舶1級",'資格研修記録'!$F$5:$F$1004,"&gt;="&amp;TODAY()))&gt;0),"1級に含む",IF(COUNTIFS('資格研修記録'!$A$5:$A$1004,$A161,'資格研修記録'!$D$5:$D$1004,I$4)=0,"—",IF(COUNTIFS('資格研修記録'!$A$5:$A$1004,$A161,'資格研修記録'!$D$5:$D$1004,I$4,'資格研修記録'!$F$5:$F$1004,"")+COUNTIFS('資格研修記録'!$A$5:$A$1004,$A161,'資格研修記録'!$D$5:$D$1004,I$4,'資格研修記録'!$F$5:$F$1004,"&gt;="&amp;TODAY())&gt;0,"○","× 期限切れ"))))</f>
        <v/>
      </c>
      <c r="J161" s="15">
        <f>IF(OR($A161="",J$4=""),"",IF(AND(J$4="小型船舶2級",(COUNTIFS('資格研修記録'!$A$5:$A$1004,$A161,'資格研修記録'!$D$5:$D$1004,"小型船舶1級",'資格研修記録'!$F$5:$F$1004,"")+COUNTIFS('資格研修記録'!$A$5:$A$1004,$A161,'資格研修記録'!$D$5:$D$1004,"小型船舶1級",'資格研修記録'!$F$5:$F$1004,"&gt;="&amp;TODAY()))&gt;0),"1級に含む",IF(COUNTIFS('資格研修記録'!$A$5:$A$1004,$A161,'資格研修記録'!$D$5:$D$1004,J$4)=0,"—",IF(COUNTIFS('資格研修記録'!$A$5:$A$1004,$A161,'資格研修記録'!$D$5:$D$1004,J$4,'資格研修記録'!$F$5:$F$1004,"")+COUNTIFS('資格研修記録'!$A$5:$A$1004,$A161,'資格研修記録'!$D$5:$D$1004,J$4,'資格研修記録'!$F$5:$F$1004,"&gt;="&amp;TODAY())&gt;0,"○","× 期限切れ"))))</f>
        <v/>
      </c>
      <c r="K161" s="15">
        <f>IF(OR($A161="",K$4=""),"",IF(AND(K$4="小型船舶2級",(COUNTIFS('資格研修記録'!$A$5:$A$1004,$A161,'資格研修記録'!$D$5:$D$1004,"小型船舶1級",'資格研修記録'!$F$5:$F$1004,"")+COUNTIFS('資格研修記録'!$A$5:$A$1004,$A161,'資格研修記録'!$D$5:$D$1004,"小型船舶1級",'資格研修記録'!$F$5:$F$1004,"&gt;="&amp;TODAY()))&gt;0),"1級に含む",IF(COUNTIFS('資格研修記録'!$A$5:$A$1004,$A161,'資格研修記録'!$D$5:$D$1004,K$4)=0,"—",IF(COUNTIFS('資格研修記録'!$A$5:$A$1004,$A161,'資格研修記録'!$D$5:$D$1004,K$4,'資格研修記録'!$F$5:$F$1004,"")+COUNTIFS('資格研修記録'!$A$5:$A$1004,$A161,'資格研修記録'!$D$5:$D$1004,K$4,'資格研修記録'!$F$5:$F$1004,"&gt;="&amp;TODAY())&gt;0,"○","× 期限切れ"))))</f>
        <v/>
      </c>
      <c r="L161" s="15">
        <f>IF(OR($A161="",L$4=""),"",IF(AND(L$4="小型船舶2級",(COUNTIFS('資格研修記録'!$A$5:$A$1004,$A161,'資格研修記録'!$D$5:$D$1004,"小型船舶1級",'資格研修記録'!$F$5:$F$1004,"")+COUNTIFS('資格研修記録'!$A$5:$A$1004,$A161,'資格研修記録'!$D$5:$D$1004,"小型船舶1級",'資格研修記録'!$F$5:$F$1004,"&gt;="&amp;TODAY()))&gt;0),"1級に含む",IF(COUNTIFS('資格研修記録'!$A$5:$A$1004,$A161,'資格研修記録'!$D$5:$D$1004,L$4)=0,"—",IF(COUNTIFS('資格研修記録'!$A$5:$A$1004,$A161,'資格研修記録'!$D$5:$D$1004,L$4,'資格研修記録'!$F$5:$F$1004,"")+COUNTIFS('資格研修記録'!$A$5:$A$1004,$A161,'資格研修記録'!$D$5:$D$1004,L$4,'資格研修記録'!$F$5:$F$1004,"&gt;="&amp;TODAY())&gt;0,"○","× 期限切れ"))))</f>
        <v/>
      </c>
    </row>
    <row r="162">
      <c r="A162" s="14">
        <f>IF('隊員マスタ'!A162="","",'隊員マスタ'!A162)</f>
        <v/>
      </c>
      <c r="B162" s="14">
        <f>IF(A162="","",'隊員マスタ'!B162)</f>
        <v/>
      </c>
      <c r="C162" s="14">
        <f>IF(A162="","",'隊員マスタ'!C162)</f>
        <v/>
      </c>
      <c r="D162" s="15">
        <f>IF(A162="","",'隊員マスタ'!D162)</f>
        <v/>
      </c>
      <c r="E162" s="15">
        <f>IF(OR($A162="",E$4=""),"",IF(AND(E$4="小型船舶2級",(COUNTIFS('資格研修記録'!$A$5:$A$1004,$A162,'資格研修記録'!$D$5:$D$1004,"小型船舶1級",'資格研修記録'!$F$5:$F$1004,"")+COUNTIFS('資格研修記録'!$A$5:$A$1004,$A162,'資格研修記録'!$D$5:$D$1004,"小型船舶1級",'資格研修記録'!$F$5:$F$1004,"&gt;="&amp;TODAY()))&gt;0),"1級に含む",IF(COUNTIFS('資格研修記録'!$A$5:$A$1004,$A162,'資格研修記録'!$D$5:$D$1004,E$4)=0,"—",IF(COUNTIFS('資格研修記録'!$A$5:$A$1004,$A162,'資格研修記録'!$D$5:$D$1004,E$4,'資格研修記録'!$F$5:$F$1004,"")+COUNTIFS('資格研修記録'!$A$5:$A$1004,$A162,'資格研修記録'!$D$5:$D$1004,E$4,'資格研修記録'!$F$5:$F$1004,"&gt;="&amp;TODAY())&gt;0,"○","× 期限切れ"))))</f>
        <v/>
      </c>
      <c r="F162" s="15">
        <f>IF(OR($A162="",F$4=""),"",IF(AND(F$4="小型船舶2級",(COUNTIFS('資格研修記録'!$A$5:$A$1004,$A162,'資格研修記録'!$D$5:$D$1004,"小型船舶1級",'資格研修記録'!$F$5:$F$1004,"")+COUNTIFS('資格研修記録'!$A$5:$A$1004,$A162,'資格研修記録'!$D$5:$D$1004,"小型船舶1級",'資格研修記録'!$F$5:$F$1004,"&gt;="&amp;TODAY()))&gt;0),"1級に含む",IF(COUNTIFS('資格研修記録'!$A$5:$A$1004,$A162,'資格研修記録'!$D$5:$D$1004,F$4)=0,"—",IF(COUNTIFS('資格研修記録'!$A$5:$A$1004,$A162,'資格研修記録'!$D$5:$D$1004,F$4,'資格研修記録'!$F$5:$F$1004,"")+COUNTIFS('資格研修記録'!$A$5:$A$1004,$A162,'資格研修記録'!$D$5:$D$1004,F$4,'資格研修記録'!$F$5:$F$1004,"&gt;="&amp;TODAY())&gt;0,"○","× 期限切れ"))))</f>
        <v/>
      </c>
      <c r="G162" s="15">
        <f>IF(OR($A162="",G$4=""),"",IF(AND(G$4="小型船舶2級",(COUNTIFS('資格研修記録'!$A$5:$A$1004,$A162,'資格研修記録'!$D$5:$D$1004,"小型船舶1級",'資格研修記録'!$F$5:$F$1004,"")+COUNTIFS('資格研修記録'!$A$5:$A$1004,$A162,'資格研修記録'!$D$5:$D$1004,"小型船舶1級",'資格研修記録'!$F$5:$F$1004,"&gt;="&amp;TODAY()))&gt;0),"1級に含む",IF(COUNTIFS('資格研修記録'!$A$5:$A$1004,$A162,'資格研修記録'!$D$5:$D$1004,G$4)=0,"—",IF(COUNTIFS('資格研修記録'!$A$5:$A$1004,$A162,'資格研修記録'!$D$5:$D$1004,G$4,'資格研修記録'!$F$5:$F$1004,"")+COUNTIFS('資格研修記録'!$A$5:$A$1004,$A162,'資格研修記録'!$D$5:$D$1004,G$4,'資格研修記録'!$F$5:$F$1004,"&gt;="&amp;TODAY())&gt;0,"○","× 期限切れ"))))</f>
        <v/>
      </c>
      <c r="H162" s="15">
        <f>IF(OR($A162="",H$4=""),"",IF(AND(H$4="小型船舶2級",(COUNTIFS('資格研修記録'!$A$5:$A$1004,$A162,'資格研修記録'!$D$5:$D$1004,"小型船舶1級",'資格研修記録'!$F$5:$F$1004,"")+COUNTIFS('資格研修記録'!$A$5:$A$1004,$A162,'資格研修記録'!$D$5:$D$1004,"小型船舶1級",'資格研修記録'!$F$5:$F$1004,"&gt;="&amp;TODAY()))&gt;0),"1級に含む",IF(COUNTIFS('資格研修記録'!$A$5:$A$1004,$A162,'資格研修記録'!$D$5:$D$1004,H$4)=0,"—",IF(COUNTIFS('資格研修記録'!$A$5:$A$1004,$A162,'資格研修記録'!$D$5:$D$1004,H$4,'資格研修記録'!$F$5:$F$1004,"")+COUNTIFS('資格研修記録'!$A$5:$A$1004,$A162,'資格研修記録'!$D$5:$D$1004,H$4,'資格研修記録'!$F$5:$F$1004,"&gt;="&amp;TODAY())&gt;0,"○","× 期限切れ"))))</f>
        <v/>
      </c>
      <c r="I162" s="15">
        <f>IF(OR($A162="",I$4=""),"",IF(AND(I$4="小型船舶2級",(COUNTIFS('資格研修記録'!$A$5:$A$1004,$A162,'資格研修記録'!$D$5:$D$1004,"小型船舶1級",'資格研修記録'!$F$5:$F$1004,"")+COUNTIFS('資格研修記録'!$A$5:$A$1004,$A162,'資格研修記録'!$D$5:$D$1004,"小型船舶1級",'資格研修記録'!$F$5:$F$1004,"&gt;="&amp;TODAY()))&gt;0),"1級に含む",IF(COUNTIFS('資格研修記録'!$A$5:$A$1004,$A162,'資格研修記録'!$D$5:$D$1004,I$4)=0,"—",IF(COUNTIFS('資格研修記録'!$A$5:$A$1004,$A162,'資格研修記録'!$D$5:$D$1004,I$4,'資格研修記録'!$F$5:$F$1004,"")+COUNTIFS('資格研修記録'!$A$5:$A$1004,$A162,'資格研修記録'!$D$5:$D$1004,I$4,'資格研修記録'!$F$5:$F$1004,"&gt;="&amp;TODAY())&gt;0,"○","× 期限切れ"))))</f>
        <v/>
      </c>
      <c r="J162" s="15">
        <f>IF(OR($A162="",J$4=""),"",IF(AND(J$4="小型船舶2級",(COUNTIFS('資格研修記録'!$A$5:$A$1004,$A162,'資格研修記録'!$D$5:$D$1004,"小型船舶1級",'資格研修記録'!$F$5:$F$1004,"")+COUNTIFS('資格研修記録'!$A$5:$A$1004,$A162,'資格研修記録'!$D$5:$D$1004,"小型船舶1級",'資格研修記録'!$F$5:$F$1004,"&gt;="&amp;TODAY()))&gt;0),"1級に含む",IF(COUNTIFS('資格研修記録'!$A$5:$A$1004,$A162,'資格研修記録'!$D$5:$D$1004,J$4)=0,"—",IF(COUNTIFS('資格研修記録'!$A$5:$A$1004,$A162,'資格研修記録'!$D$5:$D$1004,J$4,'資格研修記録'!$F$5:$F$1004,"")+COUNTIFS('資格研修記録'!$A$5:$A$1004,$A162,'資格研修記録'!$D$5:$D$1004,J$4,'資格研修記録'!$F$5:$F$1004,"&gt;="&amp;TODAY())&gt;0,"○","× 期限切れ"))))</f>
        <v/>
      </c>
      <c r="K162" s="15">
        <f>IF(OR($A162="",K$4=""),"",IF(AND(K$4="小型船舶2級",(COUNTIFS('資格研修記録'!$A$5:$A$1004,$A162,'資格研修記録'!$D$5:$D$1004,"小型船舶1級",'資格研修記録'!$F$5:$F$1004,"")+COUNTIFS('資格研修記録'!$A$5:$A$1004,$A162,'資格研修記録'!$D$5:$D$1004,"小型船舶1級",'資格研修記録'!$F$5:$F$1004,"&gt;="&amp;TODAY()))&gt;0),"1級に含む",IF(COUNTIFS('資格研修記録'!$A$5:$A$1004,$A162,'資格研修記録'!$D$5:$D$1004,K$4)=0,"—",IF(COUNTIFS('資格研修記録'!$A$5:$A$1004,$A162,'資格研修記録'!$D$5:$D$1004,K$4,'資格研修記録'!$F$5:$F$1004,"")+COUNTIFS('資格研修記録'!$A$5:$A$1004,$A162,'資格研修記録'!$D$5:$D$1004,K$4,'資格研修記録'!$F$5:$F$1004,"&gt;="&amp;TODAY())&gt;0,"○","× 期限切れ"))))</f>
        <v/>
      </c>
      <c r="L162" s="15">
        <f>IF(OR($A162="",L$4=""),"",IF(AND(L$4="小型船舶2級",(COUNTIFS('資格研修記録'!$A$5:$A$1004,$A162,'資格研修記録'!$D$5:$D$1004,"小型船舶1級",'資格研修記録'!$F$5:$F$1004,"")+COUNTIFS('資格研修記録'!$A$5:$A$1004,$A162,'資格研修記録'!$D$5:$D$1004,"小型船舶1級",'資格研修記録'!$F$5:$F$1004,"&gt;="&amp;TODAY()))&gt;0),"1級に含む",IF(COUNTIFS('資格研修記録'!$A$5:$A$1004,$A162,'資格研修記録'!$D$5:$D$1004,L$4)=0,"—",IF(COUNTIFS('資格研修記録'!$A$5:$A$1004,$A162,'資格研修記録'!$D$5:$D$1004,L$4,'資格研修記録'!$F$5:$F$1004,"")+COUNTIFS('資格研修記録'!$A$5:$A$1004,$A162,'資格研修記録'!$D$5:$D$1004,L$4,'資格研修記録'!$F$5:$F$1004,"&gt;="&amp;TODAY())&gt;0,"○","× 期限切れ"))))</f>
        <v/>
      </c>
    </row>
    <row r="163">
      <c r="A163" s="14">
        <f>IF('隊員マスタ'!A163="","",'隊員マスタ'!A163)</f>
        <v/>
      </c>
      <c r="B163" s="14">
        <f>IF(A163="","",'隊員マスタ'!B163)</f>
        <v/>
      </c>
      <c r="C163" s="14">
        <f>IF(A163="","",'隊員マスタ'!C163)</f>
        <v/>
      </c>
      <c r="D163" s="15">
        <f>IF(A163="","",'隊員マスタ'!D163)</f>
        <v/>
      </c>
      <c r="E163" s="15">
        <f>IF(OR($A163="",E$4=""),"",IF(AND(E$4="小型船舶2級",(COUNTIFS('資格研修記録'!$A$5:$A$1004,$A163,'資格研修記録'!$D$5:$D$1004,"小型船舶1級",'資格研修記録'!$F$5:$F$1004,"")+COUNTIFS('資格研修記録'!$A$5:$A$1004,$A163,'資格研修記録'!$D$5:$D$1004,"小型船舶1級",'資格研修記録'!$F$5:$F$1004,"&gt;="&amp;TODAY()))&gt;0),"1級に含む",IF(COUNTIFS('資格研修記録'!$A$5:$A$1004,$A163,'資格研修記録'!$D$5:$D$1004,E$4)=0,"—",IF(COUNTIFS('資格研修記録'!$A$5:$A$1004,$A163,'資格研修記録'!$D$5:$D$1004,E$4,'資格研修記録'!$F$5:$F$1004,"")+COUNTIFS('資格研修記録'!$A$5:$A$1004,$A163,'資格研修記録'!$D$5:$D$1004,E$4,'資格研修記録'!$F$5:$F$1004,"&gt;="&amp;TODAY())&gt;0,"○","× 期限切れ"))))</f>
        <v/>
      </c>
      <c r="F163" s="15">
        <f>IF(OR($A163="",F$4=""),"",IF(AND(F$4="小型船舶2級",(COUNTIFS('資格研修記録'!$A$5:$A$1004,$A163,'資格研修記録'!$D$5:$D$1004,"小型船舶1級",'資格研修記録'!$F$5:$F$1004,"")+COUNTIFS('資格研修記録'!$A$5:$A$1004,$A163,'資格研修記録'!$D$5:$D$1004,"小型船舶1級",'資格研修記録'!$F$5:$F$1004,"&gt;="&amp;TODAY()))&gt;0),"1級に含む",IF(COUNTIFS('資格研修記録'!$A$5:$A$1004,$A163,'資格研修記録'!$D$5:$D$1004,F$4)=0,"—",IF(COUNTIFS('資格研修記録'!$A$5:$A$1004,$A163,'資格研修記録'!$D$5:$D$1004,F$4,'資格研修記録'!$F$5:$F$1004,"")+COUNTIFS('資格研修記録'!$A$5:$A$1004,$A163,'資格研修記録'!$D$5:$D$1004,F$4,'資格研修記録'!$F$5:$F$1004,"&gt;="&amp;TODAY())&gt;0,"○","× 期限切れ"))))</f>
        <v/>
      </c>
      <c r="G163" s="15">
        <f>IF(OR($A163="",G$4=""),"",IF(AND(G$4="小型船舶2級",(COUNTIFS('資格研修記録'!$A$5:$A$1004,$A163,'資格研修記録'!$D$5:$D$1004,"小型船舶1級",'資格研修記録'!$F$5:$F$1004,"")+COUNTIFS('資格研修記録'!$A$5:$A$1004,$A163,'資格研修記録'!$D$5:$D$1004,"小型船舶1級",'資格研修記録'!$F$5:$F$1004,"&gt;="&amp;TODAY()))&gt;0),"1級に含む",IF(COUNTIFS('資格研修記録'!$A$5:$A$1004,$A163,'資格研修記録'!$D$5:$D$1004,G$4)=0,"—",IF(COUNTIFS('資格研修記録'!$A$5:$A$1004,$A163,'資格研修記録'!$D$5:$D$1004,G$4,'資格研修記録'!$F$5:$F$1004,"")+COUNTIFS('資格研修記録'!$A$5:$A$1004,$A163,'資格研修記録'!$D$5:$D$1004,G$4,'資格研修記録'!$F$5:$F$1004,"&gt;="&amp;TODAY())&gt;0,"○","× 期限切れ"))))</f>
        <v/>
      </c>
      <c r="H163" s="15">
        <f>IF(OR($A163="",H$4=""),"",IF(AND(H$4="小型船舶2級",(COUNTIFS('資格研修記録'!$A$5:$A$1004,$A163,'資格研修記録'!$D$5:$D$1004,"小型船舶1級",'資格研修記録'!$F$5:$F$1004,"")+COUNTIFS('資格研修記録'!$A$5:$A$1004,$A163,'資格研修記録'!$D$5:$D$1004,"小型船舶1級",'資格研修記録'!$F$5:$F$1004,"&gt;="&amp;TODAY()))&gt;0),"1級に含む",IF(COUNTIFS('資格研修記録'!$A$5:$A$1004,$A163,'資格研修記録'!$D$5:$D$1004,H$4)=0,"—",IF(COUNTIFS('資格研修記録'!$A$5:$A$1004,$A163,'資格研修記録'!$D$5:$D$1004,H$4,'資格研修記録'!$F$5:$F$1004,"")+COUNTIFS('資格研修記録'!$A$5:$A$1004,$A163,'資格研修記録'!$D$5:$D$1004,H$4,'資格研修記録'!$F$5:$F$1004,"&gt;="&amp;TODAY())&gt;0,"○","× 期限切れ"))))</f>
        <v/>
      </c>
      <c r="I163" s="15">
        <f>IF(OR($A163="",I$4=""),"",IF(AND(I$4="小型船舶2級",(COUNTIFS('資格研修記録'!$A$5:$A$1004,$A163,'資格研修記録'!$D$5:$D$1004,"小型船舶1級",'資格研修記録'!$F$5:$F$1004,"")+COUNTIFS('資格研修記録'!$A$5:$A$1004,$A163,'資格研修記録'!$D$5:$D$1004,"小型船舶1級",'資格研修記録'!$F$5:$F$1004,"&gt;="&amp;TODAY()))&gt;0),"1級に含む",IF(COUNTIFS('資格研修記録'!$A$5:$A$1004,$A163,'資格研修記録'!$D$5:$D$1004,I$4)=0,"—",IF(COUNTIFS('資格研修記録'!$A$5:$A$1004,$A163,'資格研修記録'!$D$5:$D$1004,I$4,'資格研修記録'!$F$5:$F$1004,"")+COUNTIFS('資格研修記録'!$A$5:$A$1004,$A163,'資格研修記録'!$D$5:$D$1004,I$4,'資格研修記録'!$F$5:$F$1004,"&gt;="&amp;TODAY())&gt;0,"○","× 期限切れ"))))</f>
        <v/>
      </c>
      <c r="J163" s="15">
        <f>IF(OR($A163="",J$4=""),"",IF(AND(J$4="小型船舶2級",(COUNTIFS('資格研修記録'!$A$5:$A$1004,$A163,'資格研修記録'!$D$5:$D$1004,"小型船舶1級",'資格研修記録'!$F$5:$F$1004,"")+COUNTIFS('資格研修記録'!$A$5:$A$1004,$A163,'資格研修記録'!$D$5:$D$1004,"小型船舶1級",'資格研修記録'!$F$5:$F$1004,"&gt;="&amp;TODAY()))&gt;0),"1級に含む",IF(COUNTIFS('資格研修記録'!$A$5:$A$1004,$A163,'資格研修記録'!$D$5:$D$1004,J$4)=0,"—",IF(COUNTIFS('資格研修記録'!$A$5:$A$1004,$A163,'資格研修記録'!$D$5:$D$1004,J$4,'資格研修記録'!$F$5:$F$1004,"")+COUNTIFS('資格研修記録'!$A$5:$A$1004,$A163,'資格研修記録'!$D$5:$D$1004,J$4,'資格研修記録'!$F$5:$F$1004,"&gt;="&amp;TODAY())&gt;0,"○","× 期限切れ"))))</f>
        <v/>
      </c>
      <c r="K163" s="15">
        <f>IF(OR($A163="",K$4=""),"",IF(AND(K$4="小型船舶2級",(COUNTIFS('資格研修記録'!$A$5:$A$1004,$A163,'資格研修記録'!$D$5:$D$1004,"小型船舶1級",'資格研修記録'!$F$5:$F$1004,"")+COUNTIFS('資格研修記録'!$A$5:$A$1004,$A163,'資格研修記録'!$D$5:$D$1004,"小型船舶1級",'資格研修記録'!$F$5:$F$1004,"&gt;="&amp;TODAY()))&gt;0),"1級に含む",IF(COUNTIFS('資格研修記録'!$A$5:$A$1004,$A163,'資格研修記録'!$D$5:$D$1004,K$4)=0,"—",IF(COUNTIFS('資格研修記録'!$A$5:$A$1004,$A163,'資格研修記録'!$D$5:$D$1004,K$4,'資格研修記録'!$F$5:$F$1004,"")+COUNTIFS('資格研修記録'!$A$5:$A$1004,$A163,'資格研修記録'!$D$5:$D$1004,K$4,'資格研修記録'!$F$5:$F$1004,"&gt;="&amp;TODAY())&gt;0,"○","× 期限切れ"))))</f>
        <v/>
      </c>
      <c r="L163" s="15">
        <f>IF(OR($A163="",L$4=""),"",IF(AND(L$4="小型船舶2級",(COUNTIFS('資格研修記録'!$A$5:$A$1004,$A163,'資格研修記録'!$D$5:$D$1004,"小型船舶1級",'資格研修記録'!$F$5:$F$1004,"")+COUNTIFS('資格研修記録'!$A$5:$A$1004,$A163,'資格研修記録'!$D$5:$D$1004,"小型船舶1級",'資格研修記録'!$F$5:$F$1004,"&gt;="&amp;TODAY()))&gt;0),"1級に含む",IF(COUNTIFS('資格研修記録'!$A$5:$A$1004,$A163,'資格研修記録'!$D$5:$D$1004,L$4)=0,"—",IF(COUNTIFS('資格研修記録'!$A$5:$A$1004,$A163,'資格研修記録'!$D$5:$D$1004,L$4,'資格研修記録'!$F$5:$F$1004,"")+COUNTIFS('資格研修記録'!$A$5:$A$1004,$A163,'資格研修記録'!$D$5:$D$1004,L$4,'資格研修記録'!$F$5:$F$1004,"&gt;="&amp;TODAY())&gt;0,"○","× 期限切れ"))))</f>
        <v/>
      </c>
    </row>
    <row r="164">
      <c r="A164" s="14">
        <f>IF('隊員マスタ'!A164="","",'隊員マスタ'!A164)</f>
        <v/>
      </c>
      <c r="B164" s="14">
        <f>IF(A164="","",'隊員マスタ'!B164)</f>
        <v/>
      </c>
      <c r="C164" s="14">
        <f>IF(A164="","",'隊員マスタ'!C164)</f>
        <v/>
      </c>
      <c r="D164" s="15">
        <f>IF(A164="","",'隊員マスタ'!D164)</f>
        <v/>
      </c>
      <c r="E164" s="15">
        <f>IF(OR($A164="",E$4=""),"",IF(AND(E$4="小型船舶2級",(COUNTIFS('資格研修記録'!$A$5:$A$1004,$A164,'資格研修記録'!$D$5:$D$1004,"小型船舶1級",'資格研修記録'!$F$5:$F$1004,"")+COUNTIFS('資格研修記録'!$A$5:$A$1004,$A164,'資格研修記録'!$D$5:$D$1004,"小型船舶1級",'資格研修記録'!$F$5:$F$1004,"&gt;="&amp;TODAY()))&gt;0),"1級に含む",IF(COUNTIFS('資格研修記録'!$A$5:$A$1004,$A164,'資格研修記録'!$D$5:$D$1004,E$4)=0,"—",IF(COUNTIFS('資格研修記録'!$A$5:$A$1004,$A164,'資格研修記録'!$D$5:$D$1004,E$4,'資格研修記録'!$F$5:$F$1004,"")+COUNTIFS('資格研修記録'!$A$5:$A$1004,$A164,'資格研修記録'!$D$5:$D$1004,E$4,'資格研修記録'!$F$5:$F$1004,"&gt;="&amp;TODAY())&gt;0,"○","× 期限切れ"))))</f>
        <v/>
      </c>
      <c r="F164" s="15">
        <f>IF(OR($A164="",F$4=""),"",IF(AND(F$4="小型船舶2級",(COUNTIFS('資格研修記録'!$A$5:$A$1004,$A164,'資格研修記録'!$D$5:$D$1004,"小型船舶1級",'資格研修記録'!$F$5:$F$1004,"")+COUNTIFS('資格研修記録'!$A$5:$A$1004,$A164,'資格研修記録'!$D$5:$D$1004,"小型船舶1級",'資格研修記録'!$F$5:$F$1004,"&gt;="&amp;TODAY()))&gt;0),"1級に含む",IF(COUNTIFS('資格研修記録'!$A$5:$A$1004,$A164,'資格研修記録'!$D$5:$D$1004,F$4)=0,"—",IF(COUNTIFS('資格研修記録'!$A$5:$A$1004,$A164,'資格研修記録'!$D$5:$D$1004,F$4,'資格研修記録'!$F$5:$F$1004,"")+COUNTIFS('資格研修記録'!$A$5:$A$1004,$A164,'資格研修記録'!$D$5:$D$1004,F$4,'資格研修記録'!$F$5:$F$1004,"&gt;="&amp;TODAY())&gt;0,"○","× 期限切れ"))))</f>
        <v/>
      </c>
      <c r="G164" s="15">
        <f>IF(OR($A164="",G$4=""),"",IF(AND(G$4="小型船舶2級",(COUNTIFS('資格研修記録'!$A$5:$A$1004,$A164,'資格研修記録'!$D$5:$D$1004,"小型船舶1級",'資格研修記録'!$F$5:$F$1004,"")+COUNTIFS('資格研修記録'!$A$5:$A$1004,$A164,'資格研修記録'!$D$5:$D$1004,"小型船舶1級",'資格研修記録'!$F$5:$F$1004,"&gt;="&amp;TODAY()))&gt;0),"1級に含む",IF(COUNTIFS('資格研修記録'!$A$5:$A$1004,$A164,'資格研修記録'!$D$5:$D$1004,G$4)=0,"—",IF(COUNTIFS('資格研修記録'!$A$5:$A$1004,$A164,'資格研修記録'!$D$5:$D$1004,G$4,'資格研修記録'!$F$5:$F$1004,"")+COUNTIFS('資格研修記録'!$A$5:$A$1004,$A164,'資格研修記録'!$D$5:$D$1004,G$4,'資格研修記録'!$F$5:$F$1004,"&gt;="&amp;TODAY())&gt;0,"○","× 期限切れ"))))</f>
        <v/>
      </c>
      <c r="H164" s="15">
        <f>IF(OR($A164="",H$4=""),"",IF(AND(H$4="小型船舶2級",(COUNTIFS('資格研修記録'!$A$5:$A$1004,$A164,'資格研修記録'!$D$5:$D$1004,"小型船舶1級",'資格研修記録'!$F$5:$F$1004,"")+COUNTIFS('資格研修記録'!$A$5:$A$1004,$A164,'資格研修記録'!$D$5:$D$1004,"小型船舶1級",'資格研修記録'!$F$5:$F$1004,"&gt;="&amp;TODAY()))&gt;0),"1級に含む",IF(COUNTIFS('資格研修記録'!$A$5:$A$1004,$A164,'資格研修記録'!$D$5:$D$1004,H$4)=0,"—",IF(COUNTIFS('資格研修記録'!$A$5:$A$1004,$A164,'資格研修記録'!$D$5:$D$1004,H$4,'資格研修記録'!$F$5:$F$1004,"")+COUNTIFS('資格研修記録'!$A$5:$A$1004,$A164,'資格研修記録'!$D$5:$D$1004,H$4,'資格研修記録'!$F$5:$F$1004,"&gt;="&amp;TODAY())&gt;0,"○","× 期限切れ"))))</f>
        <v/>
      </c>
      <c r="I164" s="15">
        <f>IF(OR($A164="",I$4=""),"",IF(AND(I$4="小型船舶2級",(COUNTIFS('資格研修記録'!$A$5:$A$1004,$A164,'資格研修記録'!$D$5:$D$1004,"小型船舶1級",'資格研修記録'!$F$5:$F$1004,"")+COUNTIFS('資格研修記録'!$A$5:$A$1004,$A164,'資格研修記録'!$D$5:$D$1004,"小型船舶1級",'資格研修記録'!$F$5:$F$1004,"&gt;="&amp;TODAY()))&gt;0),"1級に含む",IF(COUNTIFS('資格研修記録'!$A$5:$A$1004,$A164,'資格研修記録'!$D$5:$D$1004,I$4)=0,"—",IF(COUNTIFS('資格研修記録'!$A$5:$A$1004,$A164,'資格研修記録'!$D$5:$D$1004,I$4,'資格研修記録'!$F$5:$F$1004,"")+COUNTIFS('資格研修記録'!$A$5:$A$1004,$A164,'資格研修記録'!$D$5:$D$1004,I$4,'資格研修記録'!$F$5:$F$1004,"&gt;="&amp;TODAY())&gt;0,"○","× 期限切れ"))))</f>
        <v/>
      </c>
      <c r="J164" s="15">
        <f>IF(OR($A164="",J$4=""),"",IF(AND(J$4="小型船舶2級",(COUNTIFS('資格研修記録'!$A$5:$A$1004,$A164,'資格研修記録'!$D$5:$D$1004,"小型船舶1級",'資格研修記録'!$F$5:$F$1004,"")+COUNTIFS('資格研修記録'!$A$5:$A$1004,$A164,'資格研修記録'!$D$5:$D$1004,"小型船舶1級",'資格研修記録'!$F$5:$F$1004,"&gt;="&amp;TODAY()))&gt;0),"1級に含む",IF(COUNTIFS('資格研修記録'!$A$5:$A$1004,$A164,'資格研修記録'!$D$5:$D$1004,J$4)=0,"—",IF(COUNTIFS('資格研修記録'!$A$5:$A$1004,$A164,'資格研修記録'!$D$5:$D$1004,J$4,'資格研修記録'!$F$5:$F$1004,"")+COUNTIFS('資格研修記録'!$A$5:$A$1004,$A164,'資格研修記録'!$D$5:$D$1004,J$4,'資格研修記録'!$F$5:$F$1004,"&gt;="&amp;TODAY())&gt;0,"○","× 期限切れ"))))</f>
        <v/>
      </c>
      <c r="K164" s="15">
        <f>IF(OR($A164="",K$4=""),"",IF(AND(K$4="小型船舶2級",(COUNTIFS('資格研修記録'!$A$5:$A$1004,$A164,'資格研修記録'!$D$5:$D$1004,"小型船舶1級",'資格研修記録'!$F$5:$F$1004,"")+COUNTIFS('資格研修記録'!$A$5:$A$1004,$A164,'資格研修記録'!$D$5:$D$1004,"小型船舶1級",'資格研修記録'!$F$5:$F$1004,"&gt;="&amp;TODAY()))&gt;0),"1級に含む",IF(COUNTIFS('資格研修記録'!$A$5:$A$1004,$A164,'資格研修記録'!$D$5:$D$1004,K$4)=0,"—",IF(COUNTIFS('資格研修記録'!$A$5:$A$1004,$A164,'資格研修記録'!$D$5:$D$1004,K$4,'資格研修記録'!$F$5:$F$1004,"")+COUNTIFS('資格研修記録'!$A$5:$A$1004,$A164,'資格研修記録'!$D$5:$D$1004,K$4,'資格研修記録'!$F$5:$F$1004,"&gt;="&amp;TODAY())&gt;0,"○","× 期限切れ"))))</f>
        <v/>
      </c>
      <c r="L164" s="15">
        <f>IF(OR($A164="",L$4=""),"",IF(AND(L$4="小型船舶2級",(COUNTIFS('資格研修記録'!$A$5:$A$1004,$A164,'資格研修記録'!$D$5:$D$1004,"小型船舶1級",'資格研修記録'!$F$5:$F$1004,"")+COUNTIFS('資格研修記録'!$A$5:$A$1004,$A164,'資格研修記録'!$D$5:$D$1004,"小型船舶1級",'資格研修記録'!$F$5:$F$1004,"&gt;="&amp;TODAY()))&gt;0),"1級に含む",IF(COUNTIFS('資格研修記録'!$A$5:$A$1004,$A164,'資格研修記録'!$D$5:$D$1004,L$4)=0,"—",IF(COUNTIFS('資格研修記録'!$A$5:$A$1004,$A164,'資格研修記録'!$D$5:$D$1004,L$4,'資格研修記録'!$F$5:$F$1004,"")+COUNTIFS('資格研修記録'!$A$5:$A$1004,$A164,'資格研修記録'!$D$5:$D$1004,L$4,'資格研修記録'!$F$5:$F$1004,"&gt;="&amp;TODAY())&gt;0,"○","× 期限切れ"))))</f>
        <v/>
      </c>
    </row>
    <row r="165">
      <c r="A165" s="14">
        <f>IF('隊員マスタ'!A165="","",'隊員マスタ'!A165)</f>
        <v/>
      </c>
      <c r="B165" s="14">
        <f>IF(A165="","",'隊員マスタ'!B165)</f>
        <v/>
      </c>
      <c r="C165" s="14">
        <f>IF(A165="","",'隊員マスタ'!C165)</f>
        <v/>
      </c>
      <c r="D165" s="15">
        <f>IF(A165="","",'隊員マスタ'!D165)</f>
        <v/>
      </c>
      <c r="E165" s="15">
        <f>IF(OR($A165="",E$4=""),"",IF(AND(E$4="小型船舶2級",(COUNTIFS('資格研修記録'!$A$5:$A$1004,$A165,'資格研修記録'!$D$5:$D$1004,"小型船舶1級",'資格研修記録'!$F$5:$F$1004,"")+COUNTIFS('資格研修記録'!$A$5:$A$1004,$A165,'資格研修記録'!$D$5:$D$1004,"小型船舶1級",'資格研修記録'!$F$5:$F$1004,"&gt;="&amp;TODAY()))&gt;0),"1級に含む",IF(COUNTIFS('資格研修記録'!$A$5:$A$1004,$A165,'資格研修記録'!$D$5:$D$1004,E$4)=0,"—",IF(COUNTIFS('資格研修記録'!$A$5:$A$1004,$A165,'資格研修記録'!$D$5:$D$1004,E$4,'資格研修記録'!$F$5:$F$1004,"")+COUNTIFS('資格研修記録'!$A$5:$A$1004,$A165,'資格研修記録'!$D$5:$D$1004,E$4,'資格研修記録'!$F$5:$F$1004,"&gt;="&amp;TODAY())&gt;0,"○","× 期限切れ"))))</f>
        <v/>
      </c>
      <c r="F165" s="15">
        <f>IF(OR($A165="",F$4=""),"",IF(AND(F$4="小型船舶2級",(COUNTIFS('資格研修記録'!$A$5:$A$1004,$A165,'資格研修記録'!$D$5:$D$1004,"小型船舶1級",'資格研修記録'!$F$5:$F$1004,"")+COUNTIFS('資格研修記録'!$A$5:$A$1004,$A165,'資格研修記録'!$D$5:$D$1004,"小型船舶1級",'資格研修記録'!$F$5:$F$1004,"&gt;="&amp;TODAY()))&gt;0),"1級に含む",IF(COUNTIFS('資格研修記録'!$A$5:$A$1004,$A165,'資格研修記録'!$D$5:$D$1004,F$4)=0,"—",IF(COUNTIFS('資格研修記録'!$A$5:$A$1004,$A165,'資格研修記録'!$D$5:$D$1004,F$4,'資格研修記録'!$F$5:$F$1004,"")+COUNTIFS('資格研修記録'!$A$5:$A$1004,$A165,'資格研修記録'!$D$5:$D$1004,F$4,'資格研修記録'!$F$5:$F$1004,"&gt;="&amp;TODAY())&gt;0,"○","× 期限切れ"))))</f>
        <v/>
      </c>
      <c r="G165" s="15">
        <f>IF(OR($A165="",G$4=""),"",IF(AND(G$4="小型船舶2級",(COUNTIFS('資格研修記録'!$A$5:$A$1004,$A165,'資格研修記録'!$D$5:$D$1004,"小型船舶1級",'資格研修記録'!$F$5:$F$1004,"")+COUNTIFS('資格研修記録'!$A$5:$A$1004,$A165,'資格研修記録'!$D$5:$D$1004,"小型船舶1級",'資格研修記録'!$F$5:$F$1004,"&gt;="&amp;TODAY()))&gt;0),"1級に含む",IF(COUNTIFS('資格研修記録'!$A$5:$A$1004,$A165,'資格研修記録'!$D$5:$D$1004,G$4)=0,"—",IF(COUNTIFS('資格研修記録'!$A$5:$A$1004,$A165,'資格研修記録'!$D$5:$D$1004,G$4,'資格研修記録'!$F$5:$F$1004,"")+COUNTIFS('資格研修記録'!$A$5:$A$1004,$A165,'資格研修記録'!$D$5:$D$1004,G$4,'資格研修記録'!$F$5:$F$1004,"&gt;="&amp;TODAY())&gt;0,"○","× 期限切れ"))))</f>
        <v/>
      </c>
      <c r="H165" s="15">
        <f>IF(OR($A165="",H$4=""),"",IF(AND(H$4="小型船舶2級",(COUNTIFS('資格研修記録'!$A$5:$A$1004,$A165,'資格研修記録'!$D$5:$D$1004,"小型船舶1級",'資格研修記録'!$F$5:$F$1004,"")+COUNTIFS('資格研修記録'!$A$5:$A$1004,$A165,'資格研修記録'!$D$5:$D$1004,"小型船舶1級",'資格研修記録'!$F$5:$F$1004,"&gt;="&amp;TODAY()))&gt;0),"1級に含む",IF(COUNTIFS('資格研修記録'!$A$5:$A$1004,$A165,'資格研修記録'!$D$5:$D$1004,H$4)=0,"—",IF(COUNTIFS('資格研修記録'!$A$5:$A$1004,$A165,'資格研修記録'!$D$5:$D$1004,H$4,'資格研修記録'!$F$5:$F$1004,"")+COUNTIFS('資格研修記録'!$A$5:$A$1004,$A165,'資格研修記録'!$D$5:$D$1004,H$4,'資格研修記録'!$F$5:$F$1004,"&gt;="&amp;TODAY())&gt;0,"○","× 期限切れ"))))</f>
        <v/>
      </c>
      <c r="I165" s="15">
        <f>IF(OR($A165="",I$4=""),"",IF(AND(I$4="小型船舶2級",(COUNTIFS('資格研修記録'!$A$5:$A$1004,$A165,'資格研修記録'!$D$5:$D$1004,"小型船舶1級",'資格研修記録'!$F$5:$F$1004,"")+COUNTIFS('資格研修記録'!$A$5:$A$1004,$A165,'資格研修記録'!$D$5:$D$1004,"小型船舶1級",'資格研修記録'!$F$5:$F$1004,"&gt;="&amp;TODAY()))&gt;0),"1級に含む",IF(COUNTIFS('資格研修記録'!$A$5:$A$1004,$A165,'資格研修記録'!$D$5:$D$1004,I$4)=0,"—",IF(COUNTIFS('資格研修記録'!$A$5:$A$1004,$A165,'資格研修記録'!$D$5:$D$1004,I$4,'資格研修記録'!$F$5:$F$1004,"")+COUNTIFS('資格研修記録'!$A$5:$A$1004,$A165,'資格研修記録'!$D$5:$D$1004,I$4,'資格研修記録'!$F$5:$F$1004,"&gt;="&amp;TODAY())&gt;0,"○","× 期限切れ"))))</f>
        <v/>
      </c>
      <c r="J165" s="15">
        <f>IF(OR($A165="",J$4=""),"",IF(AND(J$4="小型船舶2級",(COUNTIFS('資格研修記録'!$A$5:$A$1004,$A165,'資格研修記録'!$D$5:$D$1004,"小型船舶1級",'資格研修記録'!$F$5:$F$1004,"")+COUNTIFS('資格研修記録'!$A$5:$A$1004,$A165,'資格研修記録'!$D$5:$D$1004,"小型船舶1級",'資格研修記録'!$F$5:$F$1004,"&gt;="&amp;TODAY()))&gt;0),"1級に含む",IF(COUNTIFS('資格研修記録'!$A$5:$A$1004,$A165,'資格研修記録'!$D$5:$D$1004,J$4)=0,"—",IF(COUNTIFS('資格研修記録'!$A$5:$A$1004,$A165,'資格研修記録'!$D$5:$D$1004,J$4,'資格研修記録'!$F$5:$F$1004,"")+COUNTIFS('資格研修記録'!$A$5:$A$1004,$A165,'資格研修記録'!$D$5:$D$1004,J$4,'資格研修記録'!$F$5:$F$1004,"&gt;="&amp;TODAY())&gt;0,"○","× 期限切れ"))))</f>
        <v/>
      </c>
      <c r="K165" s="15">
        <f>IF(OR($A165="",K$4=""),"",IF(AND(K$4="小型船舶2級",(COUNTIFS('資格研修記録'!$A$5:$A$1004,$A165,'資格研修記録'!$D$5:$D$1004,"小型船舶1級",'資格研修記録'!$F$5:$F$1004,"")+COUNTIFS('資格研修記録'!$A$5:$A$1004,$A165,'資格研修記録'!$D$5:$D$1004,"小型船舶1級",'資格研修記録'!$F$5:$F$1004,"&gt;="&amp;TODAY()))&gt;0),"1級に含む",IF(COUNTIFS('資格研修記録'!$A$5:$A$1004,$A165,'資格研修記録'!$D$5:$D$1004,K$4)=0,"—",IF(COUNTIFS('資格研修記録'!$A$5:$A$1004,$A165,'資格研修記録'!$D$5:$D$1004,K$4,'資格研修記録'!$F$5:$F$1004,"")+COUNTIFS('資格研修記録'!$A$5:$A$1004,$A165,'資格研修記録'!$D$5:$D$1004,K$4,'資格研修記録'!$F$5:$F$1004,"&gt;="&amp;TODAY())&gt;0,"○","× 期限切れ"))))</f>
        <v/>
      </c>
      <c r="L165" s="15">
        <f>IF(OR($A165="",L$4=""),"",IF(AND(L$4="小型船舶2級",(COUNTIFS('資格研修記録'!$A$5:$A$1004,$A165,'資格研修記録'!$D$5:$D$1004,"小型船舶1級",'資格研修記録'!$F$5:$F$1004,"")+COUNTIFS('資格研修記録'!$A$5:$A$1004,$A165,'資格研修記録'!$D$5:$D$1004,"小型船舶1級",'資格研修記録'!$F$5:$F$1004,"&gt;="&amp;TODAY()))&gt;0),"1級に含む",IF(COUNTIFS('資格研修記録'!$A$5:$A$1004,$A165,'資格研修記録'!$D$5:$D$1004,L$4)=0,"—",IF(COUNTIFS('資格研修記録'!$A$5:$A$1004,$A165,'資格研修記録'!$D$5:$D$1004,L$4,'資格研修記録'!$F$5:$F$1004,"")+COUNTIFS('資格研修記録'!$A$5:$A$1004,$A165,'資格研修記録'!$D$5:$D$1004,L$4,'資格研修記録'!$F$5:$F$1004,"&gt;="&amp;TODAY())&gt;0,"○","× 期限切れ"))))</f>
        <v/>
      </c>
    </row>
    <row r="166">
      <c r="A166" s="14">
        <f>IF('隊員マスタ'!A166="","",'隊員マスタ'!A166)</f>
        <v/>
      </c>
      <c r="B166" s="14">
        <f>IF(A166="","",'隊員マスタ'!B166)</f>
        <v/>
      </c>
      <c r="C166" s="14">
        <f>IF(A166="","",'隊員マスタ'!C166)</f>
        <v/>
      </c>
      <c r="D166" s="15">
        <f>IF(A166="","",'隊員マスタ'!D166)</f>
        <v/>
      </c>
      <c r="E166" s="15">
        <f>IF(OR($A166="",E$4=""),"",IF(AND(E$4="小型船舶2級",(COUNTIFS('資格研修記録'!$A$5:$A$1004,$A166,'資格研修記録'!$D$5:$D$1004,"小型船舶1級",'資格研修記録'!$F$5:$F$1004,"")+COUNTIFS('資格研修記録'!$A$5:$A$1004,$A166,'資格研修記録'!$D$5:$D$1004,"小型船舶1級",'資格研修記録'!$F$5:$F$1004,"&gt;="&amp;TODAY()))&gt;0),"1級に含む",IF(COUNTIFS('資格研修記録'!$A$5:$A$1004,$A166,'資格研修記録'!$D$5:$D$1004,E$4)=0,"—",IF(COUNTIFS('資格研修記録'!$A$5:$A$1004,$A166,'資格研修記録'!$D$5:$D$1004,E$4,'資格研修記録'!$F$5:$F$1004,"")+COUNTIFS('資格研修記録'!$A$5:$A$1004,$A166,'資格研修記録'!$D$5:$D$1004,E$4,'資格研修記録'!$F$5:$F$1004,"&gt;="&amp;TODAY())&gt;0,"○","× 期限切れ"))))</f>
        <v/>
      </c>
      <c r="F166" s="15">
        <f>IF(OR($A166="",F$4=""),"",IF(AND(F$4="小型船舶2級",(COUNTIFS('資格研修記録'!$A$5:$A$1004,$A166,'資格研修記録'!$D$5:$D$1004,"小型船舶1級",'資格研修記録'!$F$5:$F$1004,"")+COUNTIFS('資格研修記録'!$A$5:$A$1004,$A166,'資格研修記録'!$D$5:$D$1004,"小型船舶1級",'資格研修記録'!$F$5:$F$1004,"&gt;="&amp;TODAY()))&gt;0),"1級に含む",IF(COUNTIFS('資格研修記録'!$A$5:$A$1004,$A166,'資格研修記録'!$D$5:$D$1004,F$4)=0,"—",IF(COUNTIFS('資格研修記録'!$A$5:$A$1004,$A166,'資格研修記録'!$D$5:$D$1004,F$4,'資格研修記録'!$F$5:$F$1004,"")+COUNTIFS('資格研修記録'!$A$5:$A$1004,$A166,'資格研修記録'!$D$5:$D$1004,F$4,'資格研修記録'!$F$5:$F$1004,"&gt;="&amp;TODAY())&gt;0,"○","× 期限切れ"))))</f>
        <v/>
      </c>
      <c r="G166" s="15">
        <f>IF(OR($A166="",G$4=""),"",IF(AND(G$4="小型船舶2級",(COUNTIFS('資格研修記録'!$A$5:$A$1004,$A166,'資格研修記録'!$D$5:$D$1004,"小型船舶1級",'資格研修記録'!$F$5:$F$1004,"")+COUNTIFS('資格研修記録'!$A$5:$A$1004,$A166,'資格研修記録'!$D$5:$D$1004,"小型船舶1級",'資格研修記録'!$F$5:$F$1004,"&gt;="&amp;TODAY()))&gt;0),"1級に含む",IF(COUNTIFS('資格研修記録'!$A$5:$A$1004,$A166,'資格研修記録'!$D$5:$D$1004,G$4)=0,"—",IF(COUNTIFS('資格研修記録'!$A$5:$A$1004,$A166,'資格研修記録'!$D$5:$D$1004,G$4,'資格研修記録'!$F$5:$F$1004,"")+COUNTIFS('資格研修記録'!$A$5:$A$1004,$A166,'資格研修記録'!$D$5:$D$1004,G$4,'資格研修記録'!$F$5:$F$1004,"&gt;="&amp;TODAY())&gt;0,"○","× 期限切れ"))))</f>
        <v/>
      </c>
      <c r="H166" s="15">
        <f>IF(OR($A166="",H$4=""),"",IF(AND(H$4="小型船舶2級",(COUNTIFS('資格研修記録'!$A$5:$A$1004,$A166,'資格研修記録'!$D$5:$D$1004,"小型船舶1級",'資格研修記録'!$F$5:$F$1004,"")+COUNTIFS('資格研修記録'!$A$5:$A$1004,$A166,'資格研修記録'!$D$5:$D$1004,"小型船舶1級",'資格研修記録'!$F$5:$F$1004,"&gt;="&amp;TODAY()))&gt;0),"1級に含む",IF(COUNTIFS('資格研修記録'!$A$5:$A$1004,$A166,'資格研修記録'!$D$5:$D$1004,H$4)=0,"—",IF(COUNTIFS('資格研修記録'!$A$5:$A$1004,$A166,'資格研修記録'!$D$5:$D$1004,H$4,'資格研修記録'!$F$5:$F$1004,"")+COUNTIFS('資格研修記録'!$A$5:$A$1004,$A166,'資格研修記録'!$D$5:$D$1004,H$4,'資格研修記録'!$F$5:$F$1004,"&gt;="&amp;TODAY())&gt;0,"○","× 期限切れ"))))</f>
        <v/>
      </c>
      <c r="I166" s="15">
        <f>IF(OR($A166="",I$4=""),"",IF(AND(I$4="小型船舶2級",(COUNTIFS('資格研修記録'!$A$5:$A$1004,$A166,'資格研修記録'!$D$5:$D$1004,"小型船舶1級",'資格研修記録'!$F$5:$F$1004,"")+COUNTIFS('資格研修記録'!$A$5:$A$1004,$A166,'資格研修記録'!$D$5:$D$1004,"小型船舶1級",'資格研修記録'!$F$5:$F$1004,"&gt;="&amp;TODAY()))&gt;0),"1級に含む",IF(COUNTIFS('資格研修記録'!$A$5:$A$1004,$A166,'資格研修記録'!$D$5:$D$1004,I$4)=0,"—",IF(COUNTIFS('資格研修記録'!$A$5:$A$1004,$A166,'資格研修記録'!$D$5:$D$1004,I$4,'資格研修記録'!$F$5:$F$1004,"")+COUNTIFS('資格研修記録'!$A$5:$A$1004,$A166,'資格研修記録'!$D$5:$D$1004,I$4,'資格研修記録'!$F$5:$F$1004,"&gt;="&amp;TODAY())&gt;0,"○","× 期限切れ"))))</f>
        <v/>
      </c>
      <c r="J166" s="15">
        <f>IF(OR($A166="",J$4=""),"",IF(AND(J$4="小型船舶2級",(COUNTIFS('資格研修記録'!$A$5:$A$1004,$A166,'資格研修記録'!$D$5:$D$1004,"小型船舶1級",'資格研修記録'!$F$5:$F$1004,"")+COUNTIFS('資格研修記録'!$A$5:$A$1004,$A166,'資格研修記録'!$D$5:$D$1004,"小型船舶1級",'資格研修記録'!$F$5:$F$1004,"&gt;="&amp;TODAY()))&gt;0),"1級に含む",IF(COUNTIFS('資格研修記録'!$A$5:$A$1004,$A166,'資格研修記録'!$D$5:$D$1004,J$4)=0,"—",IF(COUNTIFS('資格研修記録'!$A$5:$A$1004,$A166,'資格研修記録'!$D$5:$D$1004,J$4,'資格研修記録'!$F$5:$F$1004,"")+COUNTIFS('資格研修記録'!$A$5:$A$1004,$A166,'資格研修記録'!$D$5:$D$1004,J$4,'資格研修記録'!$F$5:$F$1004,"&gt;="&amp;TODAY())&gt;0,"○","× 期限切れ"))))</f>
        <v/>
      </c>
      <c r="K166" s="15">
        <f>IF(OR($A166="",K$4=""),"",IF(AND(K$4="小型船舶2級",(COUNTIFS('資格研修記録'!$A$5:$A$1004,$A166,'資格研修記録'!$D$5:$D$1004,"小型船舶1級",'資格研修記録'!$F$5:$F$1004,"")+COUNTIFS('資格研修記録'!$A$5:$A$1004,$A166,'資格研修記録'!$D$5:$D$1004,"小型船舶1級",'資格研修記録'!$F$5:$F$1004,"&gt;="&amp;TODAY()))&gt;0),"1級に含む",IF(COUNTIFS('資格研修記録'!$A$5:$A$1004,$A166,'資格研修記録'!$D$5:$D$1004,K$4)=0,"—",IF(COUNTIFS('資格研修記録'!$A$5:$A$1004,$A166,'資格研修記録'!$D$5:$D$1004,K$4,'資格研修記録'!$F$5:$F$1004,"")+COUNTIFS('資格研修記録'!$A$5:$A$1004,$A166,'資格研修記録'!$D$5:$D$1004,K$4,'資格研修記録'!$F$5:$F$1004,"&gt;="&amp;TODAY())&gt;0,"○","× 期限切れ"))))</f>
        <v/>
      </c>
      <c r="L166" s="15">
        <f>IF(OR($A166="",L$4=""),"",IF(AND(L$4="小型船舶2級",(COUNTIFS('資格研修記録'!$A$5:$A$1004,$A166,'資格研修記録'!$D$5:$D$1004,"小型船舶1級",'資格研修記録'!$F$5:$F$1004,"")+COUNTIFS('資格研修記録'!$A$5:$A$1004,$A166,'資格研修記録'!$D$5:$D$1004,"小型船舶1級",'資格研修記録'!$F$5:$F$1004,"&gt;="&amp;TODAY()))&gt;0),"1級に含む",IF(COUNTIFS('資格研修記録'!$A$5:$A$1004,$A166,'資格研修記録'!$D$5:$D$1004,L$4)=0,"—",IF(COUNTIFS('資格研修記録'!$A$5:$A$1004,$A166,'資格研修記録'!$D$5:$D$1004,L$4,'資格研修記録'!$F$5:$F$1004,"")+COUNTIFS('資格研修記録'!$A$5:$A$1004,$A166,'資格研修記録'!$D$5:$D$1004,L$4,'資格研修記録'!$F$5:$F$1004,"&gt;="&amp;TODAY())&gt;0,"○","× 期限切れ"))))</f>
        <v/>
      </c>
    </row>
    <row r="167">
      <c r="A167" s="14">
        <f>IF('隊員マスタ'!A167="","",'隊員マスタ'!A167)</f>
        <v/>
      </c>
      <c r="B167" s="14">
        <f>IF(A167="","",'隊員マスタ'!B167)</f>
        <v/>
      </c>
      <c r="C167" s="14">
        <f>IF(A167="","",'隊員マスタ'!C167)</f>
        <v/>
      </c>
      <c r="D167" s="15">
        <f>IF(A167="","",'隊員マスタ'!D167)</f>
        <v/>
      </c>
      <c r="E167" s="15">
        <f>IF(OR($A167="",E$4=""),"",IF(AND(E$4="小型船舶2級",(COUNTIFS('資格研修記録'!$A$5:$A$1004,$A167,'資格研修記録'!$D$5:$D$1004,"小型船舶1級",'資格研修記録'!$F$5:$F$1004,"")+COUNTIFS('資格研修記録'!$A$5:$A$1004,$A167,'資格研修記録'!$D$5:$D$1004,"小型船舶1級",'資格研修記録'!$F$5:$F$1004,"&gt;="&amp;TODAY()))&gt;0),"1級に含む",IF(COUNTIFS('資格研修記録'!$A$5:$A$1004,$A167,'資格研修記録'!$D$5:$D$1004,E$4)=0,"—",IF(COUNTIFS('資格研修記録'!$A$5:$A$1004,$A167,'資格研修記録'!$D$5:$D$1004,E$4,'資格研修記録'!$F$5:$F$1004,"")+COUNTIFS('資格研修記録'!$A$5:$A$1004,$A167,'資格研修記録'!$D$5:$D$1004,E$4,'資格研修記録'!$F$5:$F$1004,"&gt;="&amp;TODAY())&gt;0,"○","× 期限切れ"))))</f>
        <v/>
      </c>
      <c r="F167" s="15">
        <f>IF(OR($A167="",F$4=""),"",IF(AND(F$4="小型船舶2級",(COUNTIFS('資格研修記録'!$A$5:$A$1004,$A167,'資格研修記録'!$D$5:$D$1004,"小型船舶1級",'資格研修記録'!$F$5:$F$1004,"")+COUNTIFS('資格研修記録'!$A$5:$A$1004,$A167,'資格研修記録'!$D$5:$D$1004,"小型船舶1級",'資格研修記録'!$F$5:$F$1004,"&gt;="&amp;TODAY()))&gt;0),"1級に含む",IF(COUNTIFS('資格研修記録'!$A$5:$A$1004,$A167,'資格研修記録'!$D$5:$D$1004,F$4)=0,"—",IF(COUNTIFS('資格研修記録'!$A$5:$A$1004,$A167,'資格研修記録'!$D$5:$D$1004,F$4,'資格研修記録'!$F$5:$F$1004,"")+COUNTIFS('資格研修記録'!$A$5:$A$1004,$A167,'資格研修記録'!$D$5:$D$1004,F$4,'資格研修記録'!$F$5:$F$1004,"&gt;="&amp;TODAY())&gt;0,"○","× 期限切れ"))))</f>
        <v/>
      </c>
      <c r="G167" s="15">
        <f>IF(OR($A167="",G$4=""),"",IF(AND(G$4="小型船舶2級",(COUNTIFS('資格研修記録'!$A$5:$A$1004,$A167,'資格研修記録'!$D$5:$D$1004,"小型船舶1級",'資格研修記録'!$F$5:$F$1004,"")+COUNTIFS('資格研修記録'!$A$5:$A$1004,$A167,'資格研修記録'!$D$5:$D$1004,"小型船舶1級",'資格研修記録'!$F$5:$F$1004,"&gt;="&amp;TODAY()))&gt;0),"1級に含む",IF(COUNTIFS('資格研修記録'!$A$5:$A$1004,$A167,'資格研修記録'!$D$5:$D$1004,G$4)=0,"—",IF(COUNTIFS('資格研修記録'!$A$5:$A$1004,$A167,'資格研修記録'!$D$5:$D$1004,G$4,'資格研修記録'!$F$5:$F$1004,"")+COUNTIFS('資格研修記録'!$A$5:$A$1004,$A167,'資格研修記録'!$D$5:$D$1004,G$4,'資格研修記録'!$F$5:$F$1004,"&gt;="&amp;TODAY())&gt;0,"○","× 期限切れ"))))</f>
        <v/>
      </c>
      <c r="H167" s="15">
        <f>IF(OR($A167="",H$4=""),"",IF(AND(H$4="小型船舶2級",(COUNTIFS('資格研修記録'!$A$5:$A$1004,$A167,'資格研修記録'!$D$5:$D$1004,"小型船舶1級",'資格研修記録'!$F$5:$F$1004,"")+COUNTIFS('資格研修記録'!$A$5:$A$1004,$A167,'資格研修記録'!$D$5:$D$1004,"小型船舶1級",'資格研修記録'!$F$5:$F$1004,"&gt;="&amp;TODAY()))&gt;0),"1級に含む",IF(COUNTIFS('資格研修記録'!$A$5:$A$1004,$A167,'資格研修記録'!$D$5:$D$1004,H$4)=0,"—",IF(COUNTIFS('資格研修記録'!$A$5:$A$1004,$A167,'資格研修記録'!$D$5:$D$1004,H$4,'資格研修記録'!$F$5:$F$1004,"")+COUNTIFS('資格研修記録'!$A$5:$A$1004,$A167,'資格研修記録'!$D$5:$D$1004,H$4,'資格研修記録'!$F$5:$F$1004,"&gt;="&amp;TODAY())&gt;0,"○","× 期限切れ"))))</f>
        <v/>
      </c>
      <c r="I167" s="15">
        <f>IF(OR($A167="",I$4=""),"",IF(AND(I$4="小型船舶2級",(COUNTIFS('資格研修記録'!$A$5:$A$1004,$A167,'資格研修記録'!$D$5:$D$1004,"小型船舶1級",'資格研修記録'!$F$5:$F$1004,"")+COUNTIFS('資格研修記録'!$A$5:$A$1004,$A167,'資格研修記録'!$D$5:$D$1004,"小型船舶1級",'資格研修記録'!$F$5:$F$1004,"&gt;="&amp;TODAY()))&gt;0),"1級に含む",IF(COUNTIFS('資格研修記録'!$A$5:$A$1004,$A167,'資格研修記録'!$D$5:$D$1004,I$4)=0,"—",IF(COUNTIFS('資格研修記録'!$A$5:$A$1004,$A167,'資格研修記録'!$D$5:$D$1004,I$4,'資格研修記録'!$F$5:$F$1004,"")+COUNTIFS('資格研修記録'!$A$5:$A$1004,$A167,'資格研修記録'!$D$5:$D$1004,I$4,'資格研修記録'!$F$5:$F$1004,"&gt;="&amp;TODAY())&gt;0,"○","× 期限切れ"))))</f>
        <v/>
      </c>
      <c r="J167" s="15">
        <f>IF(OR($A167="",J$4=""),"",IF(AND(J$4="小型船舶2級",(COUNTIFS('資格研修記録'!$A$5:$A$1004,$A167,'資格研修記録'!$D$5:$D$1004,"小型船舶1級",'資格研修記録'!$F$5:$F$1004,"")+COUNTIFS('資格研修記録'!$A$5:$A$1004,$A167,'資格研修記録'!$D$5:$D$1004,"小型船舶1級",'資格研修記録'!$F$5:$F$1004,"&gt;="&amp;TODAY()))&gt;0),"1級に含む",IF(COUNTIFS('資格研修記録'!$A$5:$A$1004,$A167,'資格研修記録'!$D$5:$D$1004,J$4)=0,"—",IF(COUNTIFS('資格研修記録'!$A$5:$A$1004,$A167,'資格研修記録'!$D$5:$D$1004,J$4,'資格研修記録'!$F$5:$F$1004,"")+COUNTIFS('資格研修記録'!$A$5:$A$1004,$A167,'資格研修記録'!$D$5:$D$1004,J$4,'資格研修記録'!$F$5:$F$1004,"&gt;="&amp;TODAY())&gt;0,"○","× 期限切れ"))))</f>
        <v/>
      </c>
      <c r="K167" s="15">
        <f>IF(OR($A167="",K$4=""),"",IF(AND(K$4="小型船舶2級",(COUNTIFS('資格研修記録'!$A$5:$A$1004,$A167,'資格研修記録'!$D$5:$D$1004,"小型船舶1級",'資格研修記録'!$F$5:$F$1004,"")+COUNTIFS('資格研修記録'!$A$5:$A$1004,$A167,'資格研修記録'!$D$5:$D$1004,"小型船舶1級",'資格研修記録'!$F$5:$F$1004,"&gt;="&amp;TODAY()))&gt;0),"1級に含む",IF(COUNTIFS('資格研修記録'!$A$5:$A$1004,$A167,'資格研修記録'!$D$5:$D$1004,K$4)=0,"—",IF(COUNTIFS('資格研修記録'!$A$5:$A$1004,$A167,'資格研修記録'!$D$5:$D$1004,K$4,'資格研修記録'!$F$5:$F$1004,"")+COUNTIFS('資格研修記録'!$A$5:$A$1004,$A167,'資格研修記録'!$D$5:$D$1004,K$4,'資格研修記録'!$F$5:$F$1004,"&gt;="&amp;TODAY())&gt;0,"○","× 期限切れ"))))</f>
        <v/>
      </c>
      <c r="L167" s="15">
        <f>IF(OR($A167="",L$4=""),"",IF(AND(L$4="小型船舶2級",(COUNTIFS('資格研修記録'!$A$5:$A$1004,$A167,'資格研修記録'!$D$5:$D$1004,"小型船舶1級",'資格研修記録'!$F$5:$F$1004,"")+COUNTIFS('資格研修記録'!$A$5:$A$1004,$A167,'資格研修記録'!$D$5:$D$1004,"小型船舶1級",'資格研修記録'!$F$5:$F$1004,"&gt;="&amp;TODAY()))&gt;0),"1級に含む",IF(COUNTIFS('資格研修記録'!$A$5:$A$1004,$A167,'資格研修記録'!$D$5:$D$1004,L$4)=0,"—",IF(COUNTIFS('資格研修記録'!$A$5:$A$1004,$A167,'資格研修記録'!$D$5:$D$1004,L$4,'資格研修記録'!$F$5:$F$1004,"")+COUNTIFS('資格研修記録'!$A$5:$A$1004,$A167,'資格研修記録'!$D$5:$D$1004,L$4,'資格研修記録'!$F$5:$F$1004,"&gt;="&amp;TODAY())&gt;0,"○","× 期限切れ"))))</f>
        <v/>
      </c>
    </row>
    <row r="168">
      <c r="A168" s="14">
        <f>IF('隊員マスタ'!A168="","",'隊員マスタ'!A168)</f>
        <v/>
      </c>
      <c r="B168" s="14">
        <f>IF(A168="","",'隊員マスタ'!B168)</f>
        <v/>
      </c>
      <c r="C168" s="14">
        <f>IF(A168="","",'隊員マスタ'!C168)</f>
        <v/>
      </c>
      <c r="D168" s="15">
        <f>IF(A168="","",'隊員マスタ'!D168)</f>
        <v/>
      </c>
      <c r="E168" s="15">
        <f>IF(OR($A168="",E$4=""),"",IF(AND(E$4="小型船舶2級",(COUNTIFS('資格研修記録'!$A$5:$A$1004,$A168,'資格研修記録'!$D$5:$D$1004,"小型船舶1級",'資格研修記録'!$F$5:$F$1004,"")+COUNTIFS('資格研修記録'!$A$5:$A$1004,$A168,'資格研修記録'!$D$5:$D$1004,"小型船舶1級",'資格研修記録'!$F$5:$F$1004,"&gt;="&amp;TODAY()))&gt;0),"1級に含む",IF(COUNTIFS('資格研修記録'!$A$5:$A$1004,$A168,'資格研修記録'!$D$5:$D$1004,E$4)=0,"—",IF(COUNTIFS('資格研修記録'!$A$5:$A$1004,$A168,'資格研修記録'!$D$5:$D$1004,E$4,'資格研修記録'!$F$5:$F$1004,"")+COUNTIFS('資格研修記録'!$A$5:$A$1004,$A168,'資格研修記録'!$D$5:$D$1004,E$4,'資格研修記録'!$F$5:$F$1004,"&gt;="&amp;TODAY())&gt;0,"○","× 期限切れ"))))</f>
        <v/>
      </c>
      <c r="F168" s="15">
        <f>IF(OR($A168="",F$4=""),"",IF(AND(F$4="小型船舶2級",(COUNTIFS('資格研修記録'!$A$5:$A$1004,$A168,'資格研修記録'!$D$5:$D$1004,"小型船舶1級",'資格研修記録'!$F$5:$F$1004,"")+COUNTIFS('資格研修記録'!$A$5:$A$1004,$A168,'資格研修記録'!$D$5:$D$1004,"小型船舶1級",'資格研修記録'!$F$5:$F$1004,"&gt;="&amp;TODAY()))&gt;0),"1級に含む",IF(COUNTIFS('資格研修記録'!$A$5:$A$1004,$A168,'資格研修記録'!$D$5:$D$1004,F$4)=0,"—",IF(COUNTIFS('資格研修記録'!$A$5:$A$1004,$A168,'資格研修記録'!$D$5:$D$1004,F$4,'資格研修記録'!$F$5:$F$1004,"")+COUNTIFS('資格研修記録'!$A$5:$A$1004,$A168,'資格研修記録'!$D$5:$D$1004,F$4,'資格研修記録'!$F$5:$F$1004,"&gt;="&amp;TODAY())&gt;0,"○","× 期限切れ"))))</f>
        <v/>
      </c>
      <c r="G168" s="15">
        <f>IF(OR($A168="",G$4=""),"",IF(AND(G$4="小型船舶2級",(COUNTIFS('資格研修記録'!$A$5:$A$1004,$A168,'資格研修記録'!$D$5:$D$1004,"小型船舶1級",'資格研修記録'!$F$5:$F$1004,"")+COUNTIFS('資格研修記録'!$A$5:$A$1004,$A168,'資格研修記録'!$D$5:$D$1004,"小型船舶1級",'資格研修記録'!$F$5:$F$1004,"&gt;="&amp;TODAY()))&gt;0),"1級に含む",IF(COUNTIFS('資格研修記録'!$A$5:$A$1004,$A168,'資格研修記録'!$D$5:$D$1004,G$4)=0,"—",IF(COUNTIFS('資格研修記録'!$A$5:$A$1004,$A168,'資格研修記録'!$D$5:$D$1004,G$4,'資格研修記録'!$F$5:$F$1004,"")+COUNTIFS('資格研修記録'!$A$5:$A$1004,$A168,'資格研修記録'!$D$5:$D$1004,G$4,'資格研修記録'!$F$5:$F$1004,"&gt;="&amp;TODAY())&gt;0,"○","× 期限切れ"))))</f>
        <v/>
      </c>
      <c r="H168" s="15">
        <f>IF(OR($A168="",H$4=""),"",IF(AND(H$4="小型船舶2級",(COUNTIFS('資格研修記録'!$A$5:$A$1004,$A168,'資格研修記録'!$D$5:$D$1004,"小型船舶1級",'資格研修記録'!$F$5:$F$1004,"")+COUNTIFS('資格研修記録'!$A$5:$A$1004,$A168,'資格研修記録'!$D$5:$D$1004,"小型船舶1級",'資格研修記録'!$F$5:$F$1004,"&gt;="&amp;TODAY()))&gt;0),"1級に含む",IF(COUNTIFS('資格研修記録'!$A$5:$A$1004,$A168,'資格研修記録'!$D$5:$D$1004,H$4)=0,"—",IF(COUNTIFS('資格研修記録'!$A$5:$A$1004,$A168,'資格研修記録'!$D$5:$D$1004,H$4,'資格研修記録'!$F$5:$F$1004,"")+COUNTIFS('資格研修記録'!$A$5:$A$1004,$A168,'資格研修記録'!$D$5:$D$1004,H$4,'資格研修記録'!$F$5:$F$1004,"&gt;="&amp;TODAY())&gt;0,"○","× 期限切れ"))))</f>
        <v/>
      </c>
      <c r="I168" s="15">
        <f>IF(OR($A168="",I$4=""),"",IF(AND(I$4="小型船舶2級",(COUNTIFS('資格研修記録'!$A$5:$A$1004,$A168,'資格研修記録'!$D$5:$D$1004,"小型船舶1級",'資格研修記録'!$F$5:$F$1004,"")+COUNTIFS('資格研修記録'!$A$5:$A$1004,$A168,'資格研修記録'!$D$5:$D$1004,"小型船舶1級",'資格研修記録'!$F$5:$F$1004,"&gt;="&amp;TODAY()))&gt;0),"1級に含む",IF(COUNTIFS('資格研修記録'!$A$5:$A$1004,$A168,'資格研修記録'!$D$5:$D$1004,I$4)=0,"—",IF(COUNTIFS('資格研修記録'!$A$5:$A$1004,$A168,'資格研修記録'!$D$5:$D$1004,I$4,'資格研修記録'!$F$5:$F$1004,"")+COUNTIFS('資格研修記録'!$A$5:$A$1004,$A168,'資格研修記録'!$D$5:$D$1004,I$4,'資格研修記録'!$F$5:$F$1004,"&gt;="&amp;TODAY())&gt;0,"○","× 期限切れ"))))</f>
        <v/>
      </c>
      <c r="J168" s="15">
        <f>IF(OR($A168="",J$4=""),"",IF(AND(J$4="小型船舶2級",(COUNTIFS('資格研修記録'!$A$5:$A$1004,$A168,'資格研修記録'!$D$5:$D$1004,"小型船舶1級",'資格研修記録'!$F$5:$F$1004,"")+COUNTIFS('資格研修記録'!$A$5:$A$1004,$A168,'資格研修記録'!$D$5:$D$1004,"小型船舶1級",'資格研修記録'!$F$5:$F$1004,"&gt;="&amp;TODAY()))&gt;0),"1級に含む",IF(COUNTIFS('資格研修記録'!$A$5:$A$1004,$A168,'資格研修記録'!$D$5:$D$1004,J$4)=0,"—",IF(COUNTIFS('資格研修記録'!$A$5:$A$1004,$A168,'資格研修記録'!$D$5:$D$1004,J$4,'資格研修記録'!$F$5:$F$1004,"")+COUNTIFS('資格研修記録'!$A$5:$A$1004,$A168,'資格研修記録'!$D$5:$D$1004,J$4,'資格研修記録'!$F$5:$F$1004,"&gt;="&amp;TODAY())&gt;0,"○","× 期限切れ"))))</f>
        <v/>
      </c>
      <c r="K168" s="15">
        <f>IF(OR($A168="",K$4=""),"",IF(AND(K$4="小型船舶2級",(COUNTIFS('資格研修記録'!$A$5:$A$1004,$A168,'資格研修記録'!$D$5:$D$1004,"小型船舶1級",'資格研修記録'!$F$5:$F$1004,"")+COUNTIFS('資格研修記録'!$A$5:$A$1004,$A168,'資格研修記録'!$D$5:$D$1004,"小型船舶1級",'資格研修記録'!$F$5:$F$1004,"&gt;="&amp;TODAY()))&gt;0),"1級に含む",IF(COUNTIFS('資格研修記録'!$A$5:$A$1004,$A168,'資格研修記録'!$D$5:$D$1004,K$4)=0,"—",IF(COUNTIFS('資格研修記録'!$A$5:$A$1004,$A168,'資格研修記録'!$D$5:$D$1004,K$4,'資格研修記録'!$F$5:$F$1004,"")+COUNTIFS('資格研修記録'!$A$5:$A$1004,$A168,'資格研修記録'!$D$5:$D$1004,K$4,'資格研修記録'!$F$5:$F$1004,"&gt;="&amp;TODAY())&gt;0,"○","× 期限切れ"))))</f>
        <v/>
      </c>
      <c r="L168" s="15">
        <f>IF(OR($A168="",L$4=""),"",IF(AND(L$4="小型船舶2級",(COUNTIFS('資格研修記録'!$A$5:$A$1004,$A168,'資格研修記録'!$D$5:$D$1004,"小型船舶1級",'資格研修記録'!$F$5:$F$1004,"")+COUNTIFS('資格研修記録'!$A$5:$A$1004,$A168,'資格研修記録'!$D$5:$D$1004,"小型船舶1級",'資格研修記録'!$F$5:$F$1004,"&gt;="&amp;TODAY()))&gt;0),"1級に含む",IF(COUNTIFS('資格研修記録'!$A$5:$A$1004,$A168,'資格研修記録'!$D$5:$D$1004,L$4)=0,"—",IF(COUNTIFS('資格研修記録'!$A$5:$A$1004,$A168,'資格研修記録'!$D$5:$D$1004,L$4,'資格研修記録'!$F$5:$F$1004,"")+COUNTIFS('資格研修記録'!$A$5:$A$1004,$A168,'資格研修記録'!$D$5:$D$1004,L$4,'資格研修記録'!$F$5:$F$1004,"&gt;="&amp;TODAY())&gt;0,"○","× 期限切れ"))))</f>
        <v/>
      </c>
    </row>
    <row r="169">
      <c r="A169" s="14">
        <f>IF('隊員マスタ'!A169="","",'隊員マスタ'!A169)</f>
        <v/>
      </c>
      <c r="B169" s="14">
        <f>IF(A169="","",'隊員マスタ'!B169)</f>
        <v/>
      </c>
      <c r="C169" s="14">
        <f>IF(A169="","",'隊員マスタ'!C169)</f>
        <v/>
      </c>
      <c r="D169" s="15">
        <f>IF(A169="","",'隊員マスタ'!D169)</f>
        <v/>
      </c>
      <c r="E169" s="15">
        <f>IF(OR($A169="",E$4=""),"",IF(AND(E$4="小型船舶2級",(COUNTIFS('資格研修記録'!$A$5:$A$1004,$A169,'資格研修記録'!$D$5:$D$1004,"小型船舶1級",'資格研修記録'!$F$5:$F$1004,"")+COUNTIFS('資格研修記録'!$A$5:$A$1004,$A169,'資格研修記録'!$D$5:$D$1004,"小型船舶1級",'資格研修記録'!$F$5:$F$1004,"&gt;="&amp;TODAY()))&gt;0),"1級に含む",IF(COUNTIFS('資格研修記録'!$A$5:$A$1004,$A169,'資格研修記録'!$D$5:$D$1004,E$4)=0,"—",IF(COUNTIFS('資格研修記録'!$A$5:$A$1004,$A169,'資格研修記録'!$D$5:$D$1004,E$4,'資格研修記録'!$F$5:$F$1004,"")+COUNTIFS('資格研修記録'!$A$5:$A$1004,$A169,'資格研修記録'!$D$5:$D$1004,E$4,'資格研修記録'!$F$5:$F$1004,"&gt;="&amp;TODAY())&gt;0,"○","× 期限切れ"))))</f>
        <v/>
      </c>
      <c r="F169" s="15">
        <f>IF(OR($A169="",F$4=""),"",IF(AND(F$4="小型船舶2級",(COUNTIFS('資格研修記録'!$A$5:$A$1004,$A169,'資格研修記録'!$D$5:$D$1004,"小型船舶1級",'資格研修記録'!$F$5:$F$1004,"")+COUNTIFS('資格研修記録'!$A$5:$A$1004,$A169,'資格研修記録'!$D$5:$D$1004,"小型船舶1級",'資格研修記録'!$F$5:$F$1004,"&gt;="&amp;TODAY()))&gt;0),"1級に含む",IF(COUNTIFS('資格研修記録'!$A$5:$A$1004,$A169,'資格研修記録'!$D$5:$D$1004,F$4)=0,"—",IF(COUNTIFS('資格研修記録'!$A$5:$A$1004,$A169,'資格研修記録'!$D$5:$D$1004,F$4,'資格研修記録'!$F$5:$F$1004,"")+COUNTIFS('資格研修記録'!$A$5:$A$1004,$A169,'資格研修記録'!$D$5:$D$1004,F$4,'資格研修記録'!$F$5:$F$1004,"&gt;="&amp;TODAY())&gt;0,"○","× 期限切れ"))))</f>
        <v/>
      </c>
      <c r="G169" s="15">
        <f>IF(OR($A169="",G$4=""),"",IF(AND(G$4="小型船舶2級",(COUNTIFS('資格研修記録'!$A$5:$A$1004,$A169,'資格研修記録'!$D$5:$D$1004,"小型船舶1級",'資格研修記録'!$F$5:$F$1004,"")+COUNTIFS('資格研修記録'!$A$5:$A$1004,$A169,'資格研修記録'!$D$5:$D$1004,"小型船舶1級",'資格研修記録'!$F$5:$F$1004,"&gt;="&amp;TODAY()))&gt;0),"1級に含む",IF(COUNTIFS('資格研修記録'!$A$5:$A$1004,$A169,'資格研修記録'!$D$5:$D$1004,G$4)=0,"—",IF(COUNTIFS('資格研修記録'!$A$5:$A$1004,$A169,'資格研修記録'!$D$5:$D$1004,G$4,'資格研修記録'!$F$5:$F$1004,"")+COUNTIFS('資格研修記録'!$A$5:$A$1004,$A169,'資格研修記録'!$D$5:$D$1004,G$4,'資格研修記録'!$F$5:$F$1004,"&gt;="&amp;TODAY())&gt;0,"○","× 期限切れ"))))</f>
        <v/>
      </c>
      <c r="H169" s="15">
        <f>IF(OR($A169="",H$4=""),"",IF(AND(H$4="小型船舶2級",(COUNTIFS('資格研修記録'!$A$5:$A$1004,$A169,'資格研修記録'!$D$5:$D$1004,"小型船舶1級",'資格研修記録'!$F$5:$F$1004,"")+COUNTIFS('資格研修記録'!$A$5:$A$1004,$A169,'資格研修記録'!$D$5:$D$1004,"小型船舶1級",'資格研修記録'!$F$5:$F$1004,"&gt;="&amp;TODAY()))&gt;0),"1級に含む",IF(COUNTIFS('資格研修記録'!$A$5:$A$1004,$A169,'資格研修記録'!$D$5:$D$1004,H$4)=0,"—",IF(COUNTIFS('資格研修記録'!$A$5:$A$1004,$A169,'資格研修記録'!$D$5:$D$1004,H$4,'資格研修記録'!$F$5:$F$1004,"")+COUNTIFS('資格研修記録'!$A$5:$A$1004,$A169,'資格研修記録'!$D$5:$D$1004,H$4,'資格研修記録'!$F$5:$F$1004,"&gt;="&amp;TODAY())&gt;0,"○","× 期限切れ"))))</f>
        <v/>
      </c>
      <c r="I169" s="15">
        <f>IF(OR($A169="",I$4=""),"",IF(AND(I$4="小型船舶2級",(COUNTIFS('資格研修記録'!$A$5:$A$1004,$A169,'資格研修記録'!$D$5:$D$1004,"小型船舶1級",'資格研修記録'!$F$5:$F$1004,"")+COUNTIFS('資格研修記録'!$A$5:$A$1004,$A169,'資格研修記録'!$D$5:$D$1004,"小型船舶1級",'資格研修記録'!$F$5:$F$1004,"&gt;="&amp;TODAY()))&gt;0),"1級に含む",IF(COUNTIFS('資格研修記録'!$A$5:$A$1004,$A169,'資格研修記録'!$D$5:$D$1004,I$4)=0,"—",IF(COUNTIFS('資格研修記録'!$A$5:$A$1004,$A169,'資格研修記録'!$D$5:$D$1004,I$4,'資格研修記録'!$F$5:$F$1004,"")+COUNTIFS('資格研修記録'!$A$5:$A$1004,$A169,'資格研修記録'!$D$5:$D$1004,I$4,'資格研修記録'!$F$5:$F$1004,"&gt;="&amp;TODAY())&gt;0,"○","× 期限切れ"))))</f>
        <v/>
      </c>
      <c r="J169" s="15">
        <f>IF(OR($A169="",J$4=""),"",IF(AND(J$4="小型船舶2級",(COUNTIFS('資格研修記録'!$A$5:$A$1004,$A169,'資格研修記録'!$D$5:$D$1004,"小型船舶1級",'資格研修記録'!$F$5:$F$1004,"")+COUNTIFS('資格研修記録'!$A$5:$A$1004,$A169,'資格研修記録'!$D$5:$D$1004,"小型船舶1級",'資格研修記録'!$F$5:$F$1004,"&gt;="&amp;TODAY()))&gt;0),"1級に含む",IF(COUNTIFS('資格研修記録'!$A$5:$A$1004,$A169,'資格研修記録'!$D$5:$D$1004,J$4)=0,"—",IF(COUNTIFS('資格研修記録'!$A$5:$A$1004,$A169,'資格研修記録'!$D$5:$D$1004,J$4,'資格研修記録'!$F$5:$F$1004,"")+COUNTIFS('資格研修記録'!$A$5:$A$1004,$A169,'資格研修記録'!$D$5:$D$1004,J$4,'資格研修記録'!$F$5:$F$1004,"&gt;="&amp;TODAY())&gt;0,"○","× 期限切れ"))))</f>
        <v/>
      </c>
      <c r="K169" s="15">
        <f>IF(OR($A169="",K$4=""),"",IF(AND(K$4="小型船舶2級",(COUNTIFS('資格研修記録'!$A$5:$A$1004,$A169,'資格研修記録'!$D$5:$D$1004,"小型船舶1級",'資格研修記録'!$F$5:$F$1004,"")+COUNTIFS('資格研修記録'!$A$5:$A$1004,$A169,'資格研修記録'!$D$5:$D$1004,"小型船舶1級",'資格研修記録'!$F$5:$F$1004,"&gt;="&amp;TODAY()))&gt;0),"1級に含む",IF(COUNTIFS('資格研修記録'!$A$5:$A$1004,$A169,'資格研修記録'!$D$5:$D$1004,K$4)=0,"—",IF(COUNTIFS('資格研修記録'!$A$5:$A$1004,$A169,'資格研修記録'!$D$5:$D$1004,K$4,'資格研修記録'!$F$5:$F$1004,"")+COUNTIFS('資格研修記録'!$A$5:$A$1004,$A169,'資格研修記録'!$D$5:$D$1004,K$4,'資格研修記録'!$F$5:$F$1004,"&gt;="&amp;TODAY())&gt;0,"○","× 期限切れ"))))</f>
        <v/>
      </c>
      <c r="L169" s="15">
        <f>IF(OR($A169="",L$4=""),"",IF(AND(L$4="小型船舶2級",(COUNTIFS('資格研修記録'!$A$5:$A$1004,$A169,'資格研修記録'!$D$5:$D$1004,"小型船舶1級",'資格研修記録'!$F$5:$F$1004,"")+COUNTIFS('資格研修記録'!$A$5:$A$1004,$A169,'資格研修記録'!$D$5:$D$1004,"小型船舶1級",'資格研修記録'!$F$5:$F$1004,"&gt;="&amp;TODAY()))&gt;0),"1級に含む",IF(COUNTIFS('資格研修記録'!$A$5:$A$1004,$A169,'資格研修記録'!$D$5:$D$1004,L$4)=0,"—",IF(COUNTIFS('資格研修記録'!$A$5:$A$1004,$A169,'資格研修記録'!$D$5:$D$1004,L$4,'資格研修記録'!$F$5:$F$1004,"")+COUNTIFS('資格研修記録'!$A$5:$A$1004,$A169,'資格研修記録'!$D$5:$D$1004,L$4,'資格研修記録'!$F$5:$F$1004,"&gt;="&amp;TODAY())&gt;0,"○","× 期限切れ"))))</f>
        <v/>
      </c>
    </row>
    <row r="170">
      <c r="A170" s="14">
        <f>IF('隊員マスタ'!A170="","",'隊員マスタ'!A170)</f>
        <v/>
      </c>
      <c r="B170" s="14">
        <f>IF(A170="","",'隊員マスタ'!B170)</f>
        <v/>
      </c>
      <c r="C170" s="14">
        <f>IF(A170="","",'隊員マスタ'!C170)</f>
        <v/>
      </c>
      <c r="D170" s="15">
        <f>IF(A170="","",'隊員マスタ'!D170)</f>
        <v/>
      </c>
      <c r="E170" s="15">
        <f>IF(OR($A170="",E$4=""),"",IF(AND(E$4="小型船舶2級",(COUNTIFS('資格研修記録'!$A$5:$A$1004,$A170,'資格研修記録'!$D$5:$D$1004,"小型船舶1級",'資格研修記録'!$F$5:$F$1004,"")+COUNTIFS('資格研修記録'!$A$5:$A$1004,$A170,'資格研修記録'!$D$5:$D$1004,"小型船舶1級",'資格研修記録'!$F$5:$F$1004,"&gt;="&amp;TODAY()))&gt;0),"1級に含む",IF(COUNTIFS('資格研修記録'!$A$5:$A$1004,$A170,'資格研修記録'!$D$5:$D$1004,E$4)=0,"—",IF(COUNTIFS('資格研修記録'!$A$5:$A$1004,$A170,'資格研修記録'!$D$5:$D$1004,E$4,'資格研修記録'!$F$5:$F$1004,"")+COUNTIFS('資格研修記録'!$A$5:$A$1004,$A170,'資格研修記録'!$D$5:$D$1004,E$4,'資格研修記録'!$F$5:$F$1004,"&gt;="&amp;TODAY())&gt;0,"○","× 期限切れ"))))</f>
        <v/>
      </c>
      <c r="F170" s="15">
        <f>IF(OR($A170="",F$4=""),"",IF(AND(F$4="小型船舶2級",(COUNTIFS('資格研修記録'!$A$5:$A$1004,$A170,'資格研修記録'!$D$5:$D$1004,"小型船舶1級",'資格研修記録'!$F$5:$F$1004,"")+COUNTIFS('資格研修記録'!$A$5:$A$1004,$A170,'資格研修記録'!$D$5:$D$1004,"小型船舶1級",'資格研修記録'!$F$5:$F$1004,"&gt;="&amp;TODAY()))&gt;0),"1級に含む",IF(COUNTIFS('資格研修記録'!$A$5:$A$1004,$A170,'資格研修記録'!$D$5:$D$1004,F$4)=0,"—",IF(COUNTIFS('資格研修記録'!$A$5:$A$1004,$A170,'資格研修記録'!$D$5:$D$1004,F$4,'資格研修記録'!$F$5:$F$1004,"")+COUNTIFS('資格研修記録'!$A$5:$A$1004,$A170,'資格研修記録'!$D$5:$D$1004,F$4,'資格研修記録'!$F$5:$F$1004,"&gt;="&amp;TODAY())&gt;0,"○","× 期限切れ"))))</f>
        <v/>
      </c>
      <c r="G170" s="15">
        <f>IF(OR($A170="",G$4=""),"",IF(AND(G$4="小型船舶2級",(COUNTIFS('資格研修記録'!$A$5:$A$1004,$A170,'資格研修記録'!$D$5:$D$1004,"小型船舶1級",'資格研修記録'!$F$5:$F$1004,"")+COUNTIFS('資格研修記録'!$A$5:$A$1004,$A170,'資格研修記録'!$D$5:$D$1004,"小型船舶1級",'資格研修記録'!$F$5:$F$1004,"&gt;="&amp;TODAY()))&gt;0),"1級に含む",IF(COUNTIFS('資格研修記録'!$A$5:$A$1004,$A170,'資格研修記録'!$D$5:$D$1004,G$4)=0,"—",IF(COUNTIFS('資格研修記録'!$A$5:$A$1004,$A170,'資格研修記録'!$D$5:$D$1004,G$4,'資格研修記録'!$F$5:$F$1004,"")+COUNTIFS('資格研修記録'!$A$5:$A$1004,$A170,'資格研修記録'!$D$5:$D$1004,G$4,'資格研修記録'!$F$5:$F$1004,"&gt;="&amp;TODAY())&gt;0,"○","× 期限切れ"))))</f>
        <v/>
      </c>
      <c r="H170" s="15">
        <f>IF(OR($A170="",H$4=""),"",IF(AND(H$4="小型船舶2級",(COUNTIFS('資格研修記録'!$A$5:$A$1004,$A170,'資格研修記録'!$D$5:$D$1004,"小型船舶1級",'資格研修記録'!$F$5:$F$1004,"")+COUNTIFS('資格研修記録'!$A$5:$A$1004,$A170,'資格研修記録'!$D$5:$D$1004,"小型船舶1級",'資格研修記録'!$F$5:$F$1004,"&gt;="&amp;TODAY()))&gt;0),"1級に含む",IF(COUNTIFS('資格研修記録'!$A$5:$A$1004,$A170,'資格研修記録'!$D$5:$D$1004,H$4)=0,"—",IF(COUNTIFS('資格研修記録'!$A$5:$A$1004,$A170,'資格研修記録'!$D$5:$D$1004,H$4,'資格研修記録'!$F$5:$F$1004,"")+COUNTIFS('資格研修記録'!$A$5:$A$1004,$A170,'資格研修記録'!$D$5:$D$1004,H$4,'資格研修記録'!$F$5:$F$1004,"&gt;="&amp;TODAY())&gt;0,"○","× 期限切れ"))))</f>
        <v/>
      </c>
      <c r="I170" s="15">
        <f>IF(OR($A170="",I$4=""),"",IF(AND(I$4="小型船舶2級",(COUNTIFS('資格研修記録'!$A$5:$A$1004,$A170,'資格研修記録'!$D$5:$D$1004,"小型船舶1級",'資格研修記録'!$F$5:$F$1004,"")+COUNTIFS('資格研修記録'!$A$5:$A$1004,$A170,'資格研修記録'!$D$5:$D$1004,"小型船舶1級",'資格研修記録'!$F$5:$F$1004,"&gt;="&amp;TODAY()))&gt;0),"1級に含む",IF(COUNTIFS('資格研修記録'!$A$5:$A$1004,$A170,'資格研修記録'!$D$5:$D$1004,I$4)=0,"—",IF(COUNTIFS('資格研修記録'!$A$5:$A$1004,$A170,'資格研修記録'!$D$5:$D$1004,I$4,'資格研修記録'!$F$5:$F$1004,"")+COUNTIFS('資格研修記録'!$A$5:$A$1004,$A170,'資格研修記録'!$D$5:$D$1004,I$4,'資格研修記録'!$F$5:$F$1004,"&gt;="&amp;TODAY())&gt;0,"○","× 期限切れ"))))</f>
        <v/>
      </c>
      <c r="J170" s="15">
        <f>IF(OR($A170="",J$4=""),"",IF(AND(J$4="小型船舶2級",(COUNTIFS('資格研修記録'!$A$5:$A$1004,$A170,'資格研修記録'!$D$5:$D$1004,"小型船舶1級",'資格研修記録'!$F$5:$F$1004,"")+COUNTIFS('資格研修記録'!$A$5:$A$1004,$A170,'資格研修記録'!$D$5:$D$1004,"小型船舶1級",'資格研修記録'!$F$5:$F$1004,"&gt;="&amp;TODAY()))&gt;0),"1級に含む",IF(COUNTIFS('資格研修記録'!$A$5:$A$1004,$A170,'資格研修記録'!$D$5:$D$1004,J$4)=0,"—",IF(COUNTIFS('資格研修記録'!$A$5:$A$1004,$A170,'資格研修記録'!$D$5:$D$1004,J$4,'資格研修記録'!$F$5:$F$1004,"")+COUNTIFS('資格研修記録'!$A$5:$A$1004,$A170,'資格研修記録'!$D$5:$D$1004,J$4,'資格研修記録'!$F$5:$F$1004,"&gt;="&amp;TODAY())&gt;0,"○","× 期限切れ"))))</f>
        <v/>
      </c>
      <c r="K170" s="15">
        <f>IF(OR($A170="",K$4=""),"",IF(AND(K$4="小型船舶2級",(COUNTIFS('資格研修記録'!$A$5:$A$1004,$A170,'資格研修記録'!$D$5:$D$1004,"小型船舶1級",'資格研修記録'!$F$5:$F$1004,"")+COUNTIFS('資格研修記録'!$A$5:$A$1004,$A170,'資格研修記録'!$D$5:$D$1004,"小型船舶1級",'資格研修記録'!$F$5:$F$1004,"&gt;="&amp;TODAY()))&gt;0),"1級に含む",IF(COUNTIFS('資格研修記録'!$A$5:$A$1004,$A170,'資格研修記録'!$D$5:$D$1004,K$4)=0,"—",IF(COUNTIFS('資格研修記録'!$A$5:$A$1004,$A170,'資格研修記録'!$D$5:$D$1004,K$4,'資格研修記録'!$F$5:$F$1004,"")+COUNTIFS('資格研修記録'!$A$5:$A$1004,$A170,'資格研修記録'!$D$5:$D$1004,K$4,'資格研修記録'!$F$5:$F$1004,"&gt;="&amp;TODAY())&gt;0,"○","× 期限切れ"))))</f>
        <v/>
      </c>
      <c r="L170" s="15">
        <f>IF(OR($A170="",L$4=""),"",IF(AND(L$4="小型船舶2級",(COUNTIFS('資格研修記録'!$A$5:$A$1004,$A170,'資格研修記録'!$D$5:$D$1004,"小型船舶1級",'資格研修記録'!$F$5:$F$1004,"")+COUNTIFS('資格研修記録'!$A$5:$A$1004,$A170,'資格研修記録'!$D$5:$D$1004,"小型船舶1級",'資格研修記録'!$F$5:$F$1004,"&gt;="&amp;TODAY()))&gt;0),"1級に含む",IF(COUNTIFS('資格研修記録'!$A$5:$A$1004,$A170,'資格研修記録'!$D$5:$D$1004,L$4)=0,"—",IF(COUNTIFS('資格研修記録'!$A$5:$A$1004,$A170,'資格研修記録'!$D$5:$D$1004,L$4,'資格研修記録'!$F$5:$F$1004,"")+COUNTIFS('資格研修記録'!$A$5:$A$1004,$A170,'資格研修記録'!$D$5:$D$1004,L$4,'資格研修記録'!$F$5:$F$1004,"&gt;="&amp;TODAY())&gt;0,"○","× 期限切れ"))))</f>
        <v/>
      </c>
    </row>
    <row r="171">
      <c r="A171" s="14">
        <f>IF('隊員マスタ'!A171="","",'隊員マスタ'!A171)</f>
        <v/>
      </c>
      <c r="B171" s="14">
        <f>IF(A171="","",'隊員マスタ'!B171)</f>
        <v/>
      </c>
      <c r="C171" s="14">
        <f>IF(A171="","",'隊員マスタ'!C171)</f>
        <v/>
      </c>
      <c r="D171" s="15">
        <f>IF(A171="","",'隊員マスタ'!D171)</f>
        <v/>
      </c>
      <c r="E171" s="15">
        <f>IF(OR($A171="",E$4=""),"",IF(AND(E$4="小型船舶2級",(COUNTIFS('資格研修記録'!$A$5:$A$1004,$A171,'資格研修記録'!$D$5:$D$1004,"小型船舶1級",'資格研修記録'!$F$5:$F$1004,"")+COUNTIFS('資格研修記録'!$A$5:$A$1004,$A171,'資格研修記録'!$D$5:$D$1004,"小型船舶1級",'資格研修記録'!$F$5:$F$1004,"&gt;="&amp;TODAY()))&gt;0),"1級に含む",IF(COUNTIFS('資格研修記録'!$A$5:$A$1004,$A171,'資格研修記録'!$D$5:$D$1004,E$4)=0,"—",IF(COUNTIFS('資格研修記録'!$A$5:$A$1004,$A171,'資格研修記録'!$D$5:$D$1004,E$4,'資格研修記録'!$F$5:$F$1004,"")+COUNTIFS('資格研修記録'!$A$5:$A$1004,$A171,'資格研修記録'!$D$5:$D$1004,E$4,'資格研修記録'!$F$5:$F$1004,"&gt;="&amp;TODAY())&gt;0,"○","× 期限切れ"))))</f>
        <v/>
      </c>
      <c r="F171" s="15">
        <f>IF(OR($A171="",F$4=""),"",IF(AND(F$4="小型船舶2級",(COUNTIFS('資格研修記録'!$A$5:$A$1004,$A171,'資格研修記録'!$D$5:$D$1004,"小型船舶1級",'資格研修記録'!$F$5:$F$1004,"")+COUNTIFS('資格研修記録'!$A$5:$A$1004,$A171,'資格研修記録'!$D$5:$D$1004,"小型船舶1級",'資格研修記録'!$F$5:$F$1004,"&gt;="&amp;TODAY()))&gt;0),"1級に含む",IF(COUNTIFS('資格研修記録'!$A$5:$A$1004,$A171,'資格研修記録'!$D$5:$D$1004,F$4)=0,"—",IF(COUNTIFS('資格研修記録'!$A$5:$A$1004,$A171,'資格研修記録'!$D$5:$D$1004,F$4,'資格研修記録'!$F$5:$F$1004,"")+COUNTIFS('資格研修記録'!$A$5:$A$1004,$A171,'資格研修記録'!$D$5:$D$1004,F$4,'資格研修記録'!$F$5:$F$1004,"&gt;="&amp;TODAY())&gt;0,"○","× 期限切れ"))))</f>
        <v/>
      </c>
      <c r="G171" s="15">
        <f>IF(OR($A171="",G$4=""),"",IF(AND(G$4="小型船舶2級",(COUNTIFS('資格研修記録'!$A$5:$A$1004,$A171,'資格研修記録'!$D$5:$D$1004,"小型船舶1級",'資格研修記録'!$F$5:$F$1004,"")+COUNTIFS('資格研修記録'!$A$5:$A$1004,$A171,'資格研修記録'!$D$5:$D$1004,"小型船舶1級",'資格研修記録'!$F$5:$F$1004,"&gt;="&amp;TODAY()))&gt;0),"1級に含む",IF(COUNTIFS('資格研修記録'!$A$5:$A$1004,$A171,'資格研修記録'!$D$5:$D$1004,G$4)=0,"—",IF(COUNTIFS('資格研修記録'!$A$5:$A$1004,$A171,'資格研修記録'!$D$5:$D$1004,G$4,'資格研修記録'!$F$5:$F$1004,"")+COUNTIFS('資格研修記録'!$A$5:$A$1004,$A171,'資格研修記録'!$D$5:$D$1004,G$4,'資格研修記録'!$F$5:$F$1004,"&gt;="&amp;TODAY())&gt;0,"○","× 期限切れ"))))</f>
        <v/>
      </c>
      <c r="H171" s="15">
        <f>IF(OR($A171="",H$4=""),"",IF(AND(H$4="小型船舶2級",(COUNTIFS('資格研修記録'!$A$5:$A$1004,$A171,'資格研修記録'!$D$5:$D$1004,"小型船舶1級",'資格研修記録'!$F$5:$F$1004,"")+COUNTIFS('資格研修記録'!$A$5:$A$1004,$A171,'資格研修記録'!$D$5:$D$1004,"小型船舶1級",'資格研修記録'!$F$5:$F$1004,"&gt;="&amp;TODAY()))&gt;0),"1級に含む",IF(COUNTIFS('資格研修記録'!$A$5:$A$1004,$A171,'資格研修記録'!$D$5:$D$1004,H$4)=0,"—",IF(COUNTIFS('資格研修記録'!$A$5:$A$1004,$A171,'資格研修記録'!$D$5:$D$1004,H$4,'資格研修記録'!$F$5:$F$1004,"")+COUNTIFS('資格研修記録'!$A$5:$A$1004,$A171,'資格研修記録'!$D$5:$D$1004,H$4,'資格研修記録'!$F$5:$F$1004,"&gt;="&amp;TODAY())&gt;0,"○","× 期限切れ"))))</f>
        <v/>
      </c>
      <c r="I171" s="15">
        <f>IF(OR($A171="",I$4=""),"",IF(AND(I$4="小型船舶2級",(COUNTIFS('資格研修記録'!$A$5:$A$1004,$A171,'資格研修記録'!$D$5:$D$1004,"小型船舶1級",'資格研修記録'!$F$5:$F$1004,"")+COUNTIFS('資格研修記録'!$A$5:$A$1004,$A171,'資格研修記録'!$D$5:$D$1004,"小型船舶1級",'資格研修記録'!$F$5:$F$1004,"&gt;="&amp;TODAY()))&gt;0),"1級に含む",IF(COUNTIFS('資格研修記録'!$A$5:$A$1004,$A171,'資格研修記録'!$D$5:$D$1004,I$4)=0,"—",IF(COUNTIFS('資格研修記録'!$A$5:$A$1004,$A171,'資格研修記録'!$D$5:$D$1004,I$4,'資格研修記録'!$F$5:$F$1004,"")+COUNTIFS('資格研修記録'!$A$5:$A$1004,$A171,'資格研修記録'!$D$5:$D$1004,I$4,'資格研修記録'!$F$5:$F$1004,"&gt;="&amp;TODAY())&gt;0,"○","× 期限切れ"))))</f>
        <v/>
      </c>
      <c r="J171" s="15">
        <f>IF(OR($A171="",J$4=""),"",IF(AND(J$4="小型船舶2級",(COUNTIFS('資格研修記録'!$A$5:$A$1004,$A171,'資格研修記録'!$D$5:$D$1004,"小型船舶1級",'資格研修記録'!$F$5:$F$1004,"")+COUNTIFS('資格研修記録'!$A$5:$A$1004,$A171,'資格研修記録'!$D$5:$D$1004,"小型船舶1級",'資格研修記録'!$F$5:$F$1004,"&gt;="&amp;TODAY()))&gt;0),"1級に含む",IF(COUNTIFS('資格研修記録'!$A$5:$A$1004,$A171,'資格研修記録'!$D$5:$D$1004,J$4)=0,"—",IF(COUNTIFS('資格研修記録'!$A$5:$A$1004,$A171,'資格研修記録'!$D$5:$D$1004,J$4,'資格研修記録'!$F$5:$F$1004,"")+COUNTIFS('資格研修記録'!$A$5:$A$1004,$A171,'資格研修記録'!$D$5:$D$1004,J$4,'資格研修記録'!$F$5:$F$1004,"&gt;="&amp;TODAY())&gt;0,"○","× 期限切れ"))))</f>
        <v/>
      </c>
      <c r="K171" s="15">
        <f>IF(OR($A171="",K$4=""),"",IF(AND(K$4="小型船舶2級",(COUNTIFS('資格研修記録'!$A$5:$A$1004,$A171,'資格研修記録'!$D$5:$D$1004,"小型船舶1級",'資格研修記録'!$F$5:$F$1004,"")+COUNTIFS('資格研修記録'!$A$5:$A$1004,$A171,'資格研修記録'!$D$5:$D$1004,"小型船舶1級",'資格研修記録'!$F$5:$F$1004,"&gt;="&amp;TODAY()))&gt;0),"1級に含む",IF(COUNTIFS('資格研修記録'!$A$5:$A$1004,$A171,'資格研修記録'!$D$5:$D$1004,K$4)=0,"—",IF(COUNTIFS('資格研修記録'!$A$5:$A$1004,$A171,'資格研修記録'!$D$5:$D$1004,K$4,'資格研修記録'!$F$5:$F$1004,"")+COUNTIFS('資格研修記録'!$A$5:$A$1004,$A171,'資格研修記録'!$D$5:$D$1004,K$4,'資格研修記録'!$F$5:$F$1004,"&gt;="&amp;TODAY())&gt;0,"○","× 期限切れ"))))</f>
        <v/>
      </c>
      <c r="L171" s="15">
        <f>IF(OR($A171="",L$4=""),"",IF(AND(L$4="小型船舶2級",(COUNTIFS('資格研修記録'!$A$5:$A$1004,$A171,'資格研修記録'!$D$5:$D$1004,"小型船舶1級",'資格研修記録'!$F$5:$F$1004,"")+COUNTIFS('資格研修記録'!$A$5:$A$1004,$A171,'資格研修記録'!$D$5:$D$1004,"小型船舶1級",'資格研修記録'!$F$5:$F$1004,"&gt;="&amp;TODAY()))&gt;0),"1級に含む",IF(COUNTIFS('資格研修記録'!$A$5:$A$1004,$A171,'資格研修記録'!$D$5:$D$1004,L$4)=0,"—",IF(COUNTIFS('資格研修記録'!$A$5:$A$1004,$A171,'資格研修記録'!$D$5:$D$1004,L$4,'資格研修記録'!$F$5:$F$1004,"")+COUNTIFS('資格研修記録'!$A$5:$A$1004,$A171,'資格研修記録'!$D$5:$D$1004,L$4,'資格研修記録'!$F$5:$F$1004,"&gt;="&amp;TODAY())&gt;0,"○","× 期限切れ"))))</f>
        <v/>
      </c>
    </row>
    <row r="172">
      <c r="A172" s="14">
        <f>IF('隊員マスタ'!A172="","",'隊員マスタ'!A172)</f>
        <v/>
      </c>
      <c r="B172" s="14">
        <f>IF(A172="","",'隊員マスタ'!B172)</f>
        <v/>
      </c>
      <c r="C172" s="14">
        <f>IF(A172="","",'隊員マスタ'!C172)</f>
        <v/>
      </c>
      <c r="D172" s="15">
        <f>IF(A172="","",'隊員マスタ'!D172)</f>
        <v/>
      </c>
      <c r="E172" s="15">
        <f>IF(OR($A172="",E$4=""),"",IF(AND(E$4="小型船舶2級",(COUNTIFS('資格研修記録'!$A$5:$A$1004,$A172,'資格研修記録'!$D$5:$D$1004,"小型船舶1級",'資格研修記録'!$F$5:$F$1004,"")+COUNTIFS('資格研修記録'!$A$5:$A$1004,$A172,'資格研修記録'!$D$5:$D$1004,"小型船舶1級",'資格研修記録'!$F$5:$F$1004,"&gt;="&amp;TODAY()))&gt;0),"1級に含む",IF(COUNTIFS('資格研修記録'!$A$5:$A$1004,$A172,'資格研修記録'!$D$5:$D$1004,E$4)=0,"—",IF(COUNTIFS('資格研修記録'!$A$5:$A$1004,$A172,'資格研修記録'!$D$5:$D$1004,E$4,'資格研修記録'!$F$5:$F$1004,"")+COUNTIFS('資格研修記録'!$A$5:$A$1004,$A172,'資格研修記録'!$D$5:$D$1004,E$4,'資格研修記録'!$F$5:$F$1004,"&gt;="&amp;TODAY())&gt;0,"○","× 期限切れ"))))</f>
        <v/>
      </c>
      <c r="F172" s="15">
        <f>IF(OR($A172="",F$4=""),"",IF(AND(F$4="小型船舶2級",(COUNTIFS('資格研修記録'!$A$5:$A$1004,$A172,'資格研修記録'!$D$5:$D$1004,"小型船舶1級",'資格研修記録'!$F$5:$F$1004,"")+COUNTIFS('資格研修記録'!$A$5:$A$1004,$A172,'資格研修記録'!$D$5:$D$1004,"小型船舶1級",'資格研修記録'!$F$5:$F$1004,"&gt;="&amp;TODAY()))&gt;0),"1級に含む",IF(COUNTIFS('資格研修記録'!$A$5:$A$1004,$A172,'資格研修記録'!$D$5:$D$1004,F$4)=0,"—",IF(COUNTIFS('資格研修記録'!$A$5:$A$1004,$A172,'資格研修記録'!$D$5:$D$1004,F$4,'資格研修記録'!$F$5:$F$1004,"")+COUNTIFS('資格研修記録'!$A$5:$A$1004,$A172,'資格研修記録'!$D$5:$D$1004,F$4,'資格研修記録'!$F$5:$F$1004,"&gt;="&amp;TODAY())&gt;0,"○","× 期限切れ"))))</f>
        <v/>
      </c>
      <c r="G172" s="15">
        <f>IF(OR($A172="",G$4=""),"",IF(AND(G$4="小型船舶2級",(COUNTIFS('資格研修記録'!$A$5:$A$1004,$A172,'資格研修記録'!$D$5:$D$1004,"小型船舶1級",'資格研修記録'!$F$5:$F$1004,"")+COUNTIFS('資格研修記録'!$A$5:$A$1004,$A172,'資格研修記録'!$D$5:$D$1004,"小型船舶1級",'資格研修記録'!$F$5:$F$1004,"&gt;="&amp;TODAY()))&gt;0),"1級に含む",IF(COUNTIFS('資格研修記録'!$A$5:$A$1004,$A172,'資格研修記録'!$D$5:$D$1004,G$4)=0,"—",IF(COUNTIFS('資格研修記録'!$A$5:$A$1004,$A172,'資格研修記録'!$D$5:$D$1004,G$4,'資格研修記録'!$F$5:$F$1004,"")+COUNTIFS('資格研修記録'!$A$5:$A$1004,$A172,'資格研修記録'!$D$5:$D$1004,G$4,'資格研修記録'!$F$5:$F$1004,"&gt;="&amp;TODAY())&gt;0,"○","× 期限切れ"))))</f>
        <v/>
      </c>
      <c r="H172" s="15">
        <f>IF(OR($A172="",H$4=""),"",IF(AND(H$4="小型船舶2級",(COUNTIFS('資格研修記録'!$A$5:$A$1004,$A172,'資格研修記録'!$D$5:$D$1004,"小型船舶1級",'資格研修記録'!$F$5:$F$1004,"")+COUNTIFS('資格研修記録'!$A$5:$A$1004,$A172,'資格研修記録'!$D$5:$D$1004,"小型船舶1級",'資格研修記録'!$F$5:$F$1004,"&gt;="&amp;TODAY()))&gt;0),"1級に含む",IF(COUNTIFS('資格研修記録'!$A$5:$A$1004,$A172,'資格研修記録'!$D$5:$D$1004,H$4)=0,"—",IF(COUNTIFS('資格研修記録'!$A$5:$A$1004,$A172,'資格研修記録'!$D$5:$D$1004,H$4,'資格研修記録'!$F$5:$F$1004,"")+COUNTIFS('資格研修記録'!$A$5:$A$1004,$A172,'資格研修記録'!$D$5:$D$1004,H$4,'資格研修記録'!$F$5:$F$1004,"&gt;="&amp;TODAY())&gt;0,"○","× 期限切れ"))))</f>
        <v/>
      </c>
      <c r="I172" s="15">
        <f>IF(OR($A172="",I$4=""),"",IF(AND(I$4="小型船舶2級",(COUNTIFS('資格研修記録'!$A$5:$A$1004,$A172,'資格研修記録'!$D$5:$D$1004,"小型船舶1級",'資格研修記録'!$F$5:$F$1004,"")+COUNTIFS('資格研修記録'!$A$5:$A$1004,$A172,'資格研修記録'!$D$5:$D$1004,"小型船舶1級",'資格研修記録'!$F$5:$F$1004,"&gt;="&amp;TODAY()))&gt;0),"1級に含む",IF(COUNTIFS('資格研修記録'!$A$5:$A$1004,$A172,'資格研修記録'!$D$5:$D$1004,I$4)=0,"—",IF(COUNTIFS('資格研修記録'!$A$5:$A$1004,$A172,'資格研修記録'!$D$5:$D$1004,I$4,'資格研修記録'!$F$5:$F$1004,"")+COUNTIFS('資格研修記録'!$A$5:$A$1004,$A172,'資格研修記録'!$D$5:$D$1004,I$4,'資格研修記録'!$F$5:$F$1004,"&gt;="&amp;TODAY())&gt;0,"○","× 期限切れ"))))</f>
        <v/>
      </c>
      <c r="J172" s="15">
        <f>IF(OR($A172="",J$4=""),"",IF(AND(J$4="小型船舶2級",(COUNTIFS('資格研修記録'!$A$5:$A$1004,$A172,'資格研修記録'!$D$5:$D$1004,"小型船舶1級",'資格研修記録'!$F$5:$F$1004,"")+COUNTIFS('資格研修記録'!$A$5:$A$1004,$A172,'資格研修記録'!$D$5:$D$1004,"小型船舶1級",'資格研修記録'!$F$5:$F$1004,"&gt;="&amp;TODAY()))&gt;0),"1級に含む",IF(COUNTIFS('資格研修記録'!$A$5:$A$1004,$A172,'資格研修記録'!$D$5:$D$1004,J$4)=0,"—",IF(COUNTIFS('資格研修記録'!$A$5:$A$1004,$A172,'資格研修記録'!$D$5:$D$1004,J$4,'資格研修記録'!$F$5:$F$1004,"")+COUNTIFS('資格研修記録'!$A$5:$A$1004,$A172,'資格研修記録'!$D$5:$D$1004,J$4,'資格研修記録'!$F$5:$F$1004,"&gt;="&amp;TODAY())&gt;0,"○","× 期限切れ"))))</f>
        <v/>
      </c>
      <c r="K172" s="15">
        <f>IF(OR($A172="",K$4=""),"",IF(AND(K$4="小型船舶2級",(COUNTIFS('資格研修記録'!$A$5:$A$1004,$A172,'資格研修記録'!$D$5:$D$1004,"小型船舶1級",'資格研修記録'!$F$5:$F$1004,"")+COUNTIFS('資格研修記録'!$A$5:$A$1004,$A172,'資格研修記録'!$D$5:$D$1004,"小型船舶1級",'資格研修記録'!$F$5:$F$1004,"&gt;="&amp;TODAY()))&gt;0),"1級に含む",IF(COUNTIFS('資格研修記録'!$A$5:$A$1004,$A172,'資格研修記録'!$D$5:$D$1004,K$4)=0,"—",IF(COUNTIFS('資格研修記録'!$A$5:$A$1004,$A172,'資格研修記録'!$D$5:$D$1004,K$4,'資格研修記録'!$F$5:$F$1004,"")+COUNTIFS('資格研修記録'!$A$5:$A$1004,$A172,'資格研修記録'!$D$5:$D$1004,K$4,'資格研修記録'!$F$5:$F$1004,"&gt;="&amp;TODAY())&gt;0,"○","× 期限切れ"))))</f>
        <v/>
      </c>
      <c r="L172" s="15">
        <f>IF(OR($A172="",L$4=""),"",IF(AND(L$4="小型船舶2級",(COUNTIFS('資格研修記録'!$A$5:$A$1004,$A172,'資格研修記録'!$D$5:$D$1004,"小型船舶1級",'資格研修記録'!$F$5:$F$1004,"")+COUNTIFS('資格研修記録'!$A$5:$A$1004,$A172,'資格研修記録'!$D$5:$D$1004,"小型船舶1級",'資格研修記録'!$F$5:$F$1004,"&gt;="&amp;TODAY()))&gt;0),"1級に含む",IF(COUNTIFS('資格研修記録'!$A$5:$A$1004,$A172,'資格研修記録'!$D$5:$D$1004,L$4)=0,"—",IF(COUNTIFS('資格研修記録'!$A$5:$A$1004,$A172,'資格研修記録'!$D$5:$D$1004,L$4,'資格研修記録'!$F$5:$F$1004,"")+COUNTIFS('資格研修記録'!$A$5:$A$1004,$A172,'資格研修記録'!$D$5:$D$1004,L$4,'資格研修記録'!$F$5:$F$1004,"&gt;="&amp;TODAY())&gt;0,"○","× 期限切れ"))))</f>
        <v/>
      </c>
    </row>
    <row r="173">
      <c r="A173" s="14">
        <f>IF('隊員マスタ'!A173="","",'隊員マスタ'!A173)</f>
        <v/>
      </c>
      <c r="B173" s="14">
        <f>IF(A173="","",'隊員マスタ'!B173)</f>
        <v/>
      </c>
      <c r="C173" s="14">
        <f>IF(A173="","",'隊員マスタ'!C173)</f>
        <v/>
      </c>
      <c r="D173" s="15">
        <f>IF(A173="","",'隊員マスタ'!D173)</f>
        <v/>
      </c>
      <c r="E173" s="15">
        <f>IF(OR($A173="",E$4=""),"",IF(AND(E$4="小型船舶2級",(COUNTIFS('資格研修記録'!$A$5:$A$1004,$A173,'資格研修記録'!$D$5:$D$1004,"小型船舶1級",'資格研修記録'!$F$5:$F$1004,"")+COUNTIFS('資格研修記録'!$A$5:$A$1004,$A173,'資格研修記録'!$D$5:$D$1004,"小型船舶1級",'資格研修記録'!$F$5:$F$1004,"&gt;="&amp;TODAY()))&gt;0),"1級に含む",IF(COUNTIFS('資格研修記録'!$A$5:$A$1004,$A173,'資格研修記録'!$D$5:$D$1004,E$4)=0,"—",IF(COUNTIFS('資格研修記録'!$A$5:$A$1004,$A173,'資格研修記録'!$D$5:$D$1004,E$4,'資格研修記録'!$F$5:$F$1004,"")+COUNTIFS('資格研修記録'!$A$5:$A$1004,$A173,'資格研修記録'!$D$5:$D$1004,E$4,'資格研修記録'!$F$5:$F$1004,"&gt;="&amp;TODAY())&gt;0,"○","× 期限切れ"))))</f>
        <v/>
      </c>
      <c r="F173" s="15">
        <f>IF(OR($A173="",F$4=""),"",IF(AND(F$4="小型船舶2級",(COUNTIFS('資格研修記録'!$A$5:$A$1004,$A173,'資格研修記録'!$D$5:$D$1004,"小型船舶1級",'資格研修記録'!$F$5:$F$1004,"")+COUNTIFS('資格研修記録'!$A$5:$A$1004,$A173,'資格研修記録'!$D$5:$D$1004,"小型船舶1級",'資格研修記録'!$F$5:$F$1004,"&gt;="&amp;TODAY()))&gt;0),"1級に含む",IF(COUNTIFS('資格研修記録'!$A$5:$A$1004,$A173,'資格研修記録'!$D$5:$D$1004,F$4)=0,"—",IF(COUNTIFS('資格研修記録'!$A$5:$A$1004,$A173,'資格研修記録'!$D$5:$D$1004,F$4,'資格研修記録'!$F$5:$F$1004,"")+COUNTIFS('資格研修記録'!$A$5:$A$1004,$A173,'資格研修記録'!$D$5:$D$1004,F$4,'資格研修記録'!$F$5:$F$1004,"&gt;="&amp;TODAY())&gt;0,"○","× 期限切れ"))))</f>
        <v/>
      </c>
      <c r="G173" s="15">
        <f>IF(OR($A173="",G$4=""),"",IF(AND(G$4="小型船舶2級",(COUNTIFS('資格研修記録'!$A$5:$A$1004,$A173,'資格研修記録'!$D$5:$D$1004,"小型船舶1級",'資格研修記録'!$F$5:$F$1004,"")+COUNTIFS('資格研修記録'!$A$5:$A$1004,$A173,'資格研修記録'!$D$5:$D$1004,"小型船舶1級",'資格研修記録'!$F$5:$F$1004,"&gt;="&amp;TODAY()))&gt;0),"1級に含む",IF(COUNTIFS('資格研修記録'!$A$5:$A$1004,$A173,'資格研修記録'!$D$5:$D$1004,G$4)=0,"—",IF(COUNTIFS('資格研修記録'!$A$5:$A$1004,$A173,'資格研修記録'!$D$5:$D$1004,G$4,'資格研修記録'!$F$5:$F$1004,"")+COUNTIFS('資格研修記録'!$A$5:$A$1004,$A173,'資格研修記録'!$D$5:$D$1004,G$4,'資格研修記録'!$F$5:$F$1004,"&gt;="&amp;TODAY())&gt;0,"○","× 期限切れ"))))</f>
        <v/>
      </c>
      <c r="H173" s="15">
        <f>IF(OR($A173="",H$4=""),"",IF(AND(H$4="小型船舶2級",(COUNTIFS('資格研修記録'!$A$5:$A$1004,$A173,'資格研修記録'!$D$5:$D$1004,"小型船舶1級",'資格研修記録'!$F$5:$F$1004,"")+COUNTIFS('資格研修記録'!$A$5:$A$1004,$A173,'資格研修記録'!$D$5:$D$1004,"小型船舶1級",'資格研修記録'!$F$5:$F$1004,"&gt;="&amp;TODAY()))&gt;0),"1級に含む",IF(COUNTIFS('資格研修記録'!$A$5:$A$1004,$A173,'資格研修記録'!$D$5:$D$1004,H$4)=0,"—",IF(COUNTIFS('資格研修記録'!$A$5:$A$1004,$A173,'資格研修記録'!$D$5:$D$1004,H$4,'資格研修記録'!$F$5:$F$1004,"")+COUNTIFS('資格研修記録'!$A$5:$A$1004,$A173,'資格研修記録'!$D$5:$D$1004,H$4,'資格研修記録'!$F$5:$F$1004,"&gt;="&amp;TODAY())&gt;0,"○","× 期限切れ"))))</f>
        <v/>
      </c>
      <c r="I173" s="15">
        <f>IF(OR($A173="",I$4=""),"",IF(AND(I$4="小型船舶2級",(COUNTIFS('資格研修記録'!$A$5:$A$1004,$A173,'資格研修記録'!$D$5:$D$1004,"小型船舶1級",'資格研修記録'!$F$5:$F$1004,"")+COUNTIFS('資格研修記録'!$A$5:$A$1004,$A173,'資格研修記録'!$D$5:$D$1004,"小型船舶1級",'資格研修記録'!$F$5:$F$1004,"&gt;="&amp;TODAY()))&gt;0),"1級に含む",IF(COUNTIFS('資格研修記録'!$A$5:$A$1004,$A173,'資格研修記録'!$D$5:$D$1004,I$4)=0,"—",IF(COUNTIFS('資格研修記録'!$A$5:$A$1004,$A173,'資格研修記録'!$D$5:$D$1004,I$4,'資格研修記録'!$F$5:$F$1004,"")+COUNTIFS('資格研修記録'!$A$5:$A$1004,$A173,'資格研修記録'!$D$5:$D$1004,I$4,'資格研修記録'!$F$5:$F$1004,"&gt;="&amp;TODAY())&gt;0,"○","× 期限切れ"))))</f>
        <v/>
      </c>
      <c r="J173" s="15">
        <f>IF(OR($A173="",J$4=""),"",IF(AND(J$4="小型船舶2級",(COUNTIFS('資格研修記録'!$A$5:$A$1004,$A173,'資格研修記録'!$D$5:$D$1004,"小型船舶1級",'資格研修記録'!$F$5:$F$1004,"")+COUNTIFS('資格研修記録'!$A$5:$A$1004,$A173,'資格研修記録'!$D$5:$D$1004,"小型船舶1級",'資格研修記録'!$F$5:$F$1004,"&gt;="&amp;TODAY()))&gt;0),"1級に含む",IF(COUNTIFS('資格研修記録'!$A$5:$A$1004,$A173,'資格研修記録'!$D$5:$D$1004,J$4)=0,"—",IF(COUNTIFS('資格研修記録'!$A$5:$A$1004,$A173,'資格研修記録'!$D$5:$D$1004,J$4,'資格研修記録'!$F$5:$F$1004,"")+COUNTIFS('資格研修記録'!$A$5:$A$1004,$A173,'資格研修記録'!$D$5:$D$1004,J$4,'資格研修記録'!$F$5:$F$1004,"&gt;="&amp;TODAY())&gt;0,"○","× 期限切れ"))))</f>
        <v/>
      </c>
      <c r="K173" s="15">
        <f>IF(OR($A173="",K$4=""),"",IF(AND(K$4="小型船舶2級",(COUNTIFS('資格研修記録'!$A$5:$A$1004,$A173,'資格研修記録'!$D$5:$D$1004,"小型船舶1級",'資格研修記録'!$F$5:$F$1004,"")+COUNTIFS('資格研修記録'!$A$5:$A$1004,$A173,'資格研修記録'!$D$5:$D$1004,"小型船舶1級",'資格研修記録'!$F$5:$F$1004,"&gt;="&amp;TODAY()))&gt;0),"1級に含む",IF(COUNTIFS('資格研修記録'!$A$5:$A$1004,$A173,'資格研修記録'!$D$5:$D$1004,K$4)=0,"—",IF(COUNTIFS('資格研修記録'!$A$5:$A$1004,$A173,'資格研修記録'!$D$5:$D$1004,K$4,'資格研修記録'!$F$5:$F$1004,"")+COUNTIFS('資格研修記録'!$A$5:$A$1004,$A173,'資格研修記録'!$D$5:$D$1004,K$4,'資格研修記録'!$F$5:$F$1004,"&gt;="&amp;TODAY())&gt;0,"○","× 期限切れ"))))</f>
        <v/>
      </c>
      <c r="L173" s="15">
        <f>IF(OR($A173="",L$4=""),"",IF(AND(L$4="小型船舶2級",(COUNTIFS('資格研修記録'!$A$5:$A$1004,$A173,'資格研修記録'!$D$5:$D$1004,"小型船舶1級",'資格研修記録'!$F$5:$F$1004,"")+COUNTIFS('資格研修記録'!$A$5:$A$1004,$A173,'資格研修記録'!$D$5:$D$1004,"小型船舶1級",'資格研修記録'!$F$5:$F$1004,"&gt;="&amp;TODAY()))&gt;0),"1級に含む",IF(COUNTIFS('資格研修記録'!$A$5:$A$1004,$A173,'資格研修記録'!$D$5:$D$1004,L$4)=0,"—",IF(COUNTIFS('資格研修記録'!$A$5:$A$1004,$A173,'資格研修記録'!$D$5:$D$1004,L$4,'資格研修記録'!$F$5:$F$1004,"")+COUNTIFS('資格研修記録'!$A$5:$A$1004,$A173,'資格研修記録'!$D$5:$D$1004,L$4,'資格研修記録'!$F$5:$F$1004,"&gt;="&amp;TODAY())&gt;0,"○","× 期限切れ"))))</f>
        <v/>
      </c>
    </row>
    <row r="174">
      <c r="A174" s="14">
        <f>IF('隊員マスタ'!A174="","",'隊員マスタ'!A174)</f>
        <v/>
      </c>
      <c r="B174" s="14">
        <f>IF(A174="","",'隊員マスタ'!B174)</f>
        <v/>
      </c>
      <c r="C174" s="14">
        <f>IF(A174="","",'隊員マスタ'!C174)</f>
        <v/>
      </c>
      <c r="D174" s="15">
        <f>IF(A174="","",'隊員マスタ'!D174)</f>
        <v/>
      </c>
      <c r="E174" s="15">
        <f>IF(OR($A174="",E$4=""),"",IF(AND(E$4="小型船舶2級",(COUNTIFS('資格研修記録'!$A$5:$A$1004,$A174,'資格研修記録'!$D$5:$D$1004,"小型船舶1級",'資格研修記録'!$F$5:$F$1004,"")+COUNTIFS('資格研修記録'!$A$5:$A$1004,$A174,'資格研修記録'!$D$5:$D$1004,"小型船舶1級",'資格研修記録'!$F$5:$F$1004,"&gt;="&amp;TODAY()))&gt;0),"1級に含む",IF(COUNTIFS('資格研修記録'!$A$5:$A$1004,$A174,'資格研修記録'!$D$5:$D$1004,E$4)=0,"—",IF(COUNTIFS('資格研修記録'!$A$5:$A$1004,$A174,'資格研修記録'!$D$5:$D$1004,E$4,'資格研修記録'!$F$5:$F$1004,"")+COUNTIFS('資格研修記録'!$A$5:$A$1004,$A174,'資格研修記録'!$D$5:$D$1004,E$4,'資格研修記録'!$F$5:$F$1004,"&gt;="&amp;TODAY())&gt;0,"○","× 期限切れ"))))</f>
        <v/>
      </c>
      <c r="F174" s="15">
        <f>IF(OR($A174="",F$4=""),"",IF(AND(F$4="小型船舶2級",(COUNTIFS('資格研修記録'!$A$5:$A$1004,$A174,'資格研修記録'!$D$5:$D$1004,"小型船舶1級",'資格研修記録'!$F$5:$F$1004,"")+COUNTIFS('資格研修記録'!$A$5:$A$1004,$A174,'資格研修記録'!$D$5:$D$1004,"小型船舶1級",'資格研修記録'!$F$5:$F$1004,"&gt;="&amp;TODAY()))&gt;0),"1級に含む",IF(COUNTIFS('資格研修記録'!$A$5:$A$1004,$A174,'資格研修記録'!$D$5:$D$1004,F$4)=0,"—",IF(COUNTIFS('資格研修記録'!$A$5:$A$1004,$A174,'資格研修記録'!$D$5:$D$1004,F$4,'資格研修記録'!$F$5:$F$1004,"")+COUNTIFS('資格研修記録'!$A$5:$A$1004,$A174,'資格研修記録'!$D$5:$D$1004,F$4,'資格研修記録'!$F$5:$F$1004,"&gt;="&amp;TODAY())&gt;0,"○","× 期限切れ"))))</f>
        <v/>
      </c>
      <c r="G174" s="15">
        <f>IF(OR($A174="",G$4=""),"",IF(AND(G$4="小型船舶2級",(COUNTIFS('資格研修記録'!$A$5:$A$1004,$A174,'資格研修記録'!$D$5:$D$1004,"小型船舶1級",'資格研修記録'!$F$5:$F$1004,"")+COUNTIFS('資格研修記録'!$A$5:$A$1004,$A174,'資格研修記録'!$D$5:$D$1004,"小型船舶1級",'資格研修記録'!$F$5:$F$1004,"&gt;="&amp;TODAY()))&gt;0),"1級に含む",IF(COUNTIFS('資格研修記録'!$A$5:$A$1004,$A174,'資格研修記録'!$D$5:$D$1004,G$4)=0,"—",IF(COUNTIFS('資格研修記録'!$A$5:$A$1004,$A174,'資格研修記録'!$D$5:$D$1004,G$4,'資格研修記録'!$F$5:$F$1004,"")+COUNTIFS('資格研修記録'!$A$5:$A$1004,$A174,'資格研修記録'!$D$5:$D$1004,G$4,'資格研修記録'!$F$5:$F$1004,"&gt;="&amp;TODAY())&gt;0,"○","× 期限切れ"))))</f>
        <v/>
      </c>
      <c r="H174" s="15">
        <f>IF(OR($A174="",H$4=""),"",IF(AND(H$4="小型船舶2級",(COUNTIFS('資格研修記録'!$A$5:$A$1004,$A174,'資格研修記録'!$D$5:$D$1004,"小型船舶1級",'資格研修記録'!$F$5:$F$1004,"")+COUNTIFS('資格研修記録'!$A$5:$A$1004,$A174,'資格研修記録'!$D$5:$D$1004,"小型船舶1級",'資格研修記録'!$F$5:$F$1004,"&gt;="&amp;TODAY()))&gt;0),"1級に含む",IF(COUNTIFS('資格研修記録'!$A$5:$A$1004,$A174,'資格研修記録'!$D$5:$D$1004,H$4)=0,"—",IF(COUNTIFS('資格研修記録'!$A$5:$A$1004,$A174,'資格研修記録'!$D$5:$D$1004,H$4,'資格研修記録'!$F$5:$F$1004,"")+COUNTIFS('資格研修記録'!$A$5:$A$1004,$A174,'資格研修記録'!$D$5:$D$1004,H$4,'資格研修記録'!$F$5:$F$1004,"&gt;="&amp;TODAY())&gt;0,"○","× 期限切れ"))))</f>
        <v/>
      </c>
      <c r="I174" s="15">
        <f>IF(OR($A174="",I$4=""),"",IF(AND(I$4="小型船舶2級",(COUNTIFS('資格研修記録'!$A$5:$A$1004,$A174,'資格研修記録'!$D$5:$D$1004,"小型船舶1級",'資格研修記録'!$F$5:$F$1004,"")+COUNTIFS('資格研修記録'!$A$5:$A$1004,$A174,'資格研修記録'!$D$5:$D$1004,"小型船舶1級",'資格研修記録'!$F$5:$F$1004,"&gt;="&amp;TODAY()))&gt;0),"1級に含む",IF(COUNTIFS('資格研修記録'!$A$5:$A$1004,$A174,'資格研修記録'!$D$5:$D$1004,I$4)=0,"—",IF(COUNTIFS('資格研修記録'!$A$5:$A$1004,$A174,'資格研修記録'!$D$5:$D$1004,I$4,'資格研修記録'!$F$5:$F$1004,"")+COUNTIFS('資格研修記録'!$A$5:$A$1004,$A174,'資格研修記録'!$D$5:$D$1004,I$4,'資格研修記録'!$F$5:$F$1004,"&gt;="&amp;TODAY())&gt;0,"○","× 期限切れ"))))</f>
        <v/>
      </c>
      <c r="J174" s="15">
        <f>IF(OR($A174="",J$4=""),"",IF(AND(J$4="小型船舶2級",(COUNTIFS('資格研修記録'!$A$5:$A$1004,$A174,'資格研修記録'!$D$5:$D$1004,"小型船舶1級",'資格研修記録'!$F$5:$F$1004,"")+COUNTIFS('資格研修記録'!$A$5:$A$1004,$A174,'資格研修記録'!$D$5:$D$1004,"小型船舶1級",'資格研修記録'!$F$5:$F$1004,"&gt;="&amp;TODAY()))&gt;0),"1級に含む",IF(COUNTIFS('資格研修記録'!$A$5:$A$1004,$A174,'資格研修記録'!$D$5:$D$1004,J$4)=0,"—",IF(COUNTIFS('資格研修記録'!$A$5:$A$1004,$A174,'資格研修記録'!$D$5:$D$1004,J$4,'資格研修記録'!$F$5:$F$1004,"")+COUNTIFS('資格研修記録'!$A$5:$A$1004,$A174,'資格研修記録'!$D$5:$D$1004,J$4,'資格研修記録'!$F$5:$F$1004,"&gt;="&amp;TODAY())&gt;0,"○","× 期限切れ"))))</f>
        <v/>
      </c>
      <c r="K174" s="15">
        <f>IF(OR($A174="",K$4=""),"",IF(AND(K$4="小型船舶2級",(COUNTIFS('資格研修記録'!$A$5:$A$1004,$A174,'資格研修記録'!$D$5:$D$1004,"小型船舶1級",'資格研修記録'!$F$5:$F$1004,"")+COUNTIFS('資格研修記録'!$A$5:$A$1004,$A174,'資格研修記録'!$D$5:$D$1004,"小型船舶1級",'資格研修記録'!$F$5:$F$1004,"&gt;="&amp;TODAY()))&gt;0),"1級に含む",IF(COUNTIFS('資格研修記録'!$A$5:$A$1004,$A174,'資格研修記録'!$D$5:$D$1004,K$4)=0,"—",IF(COUNTIFS('資格研修記録'!$A$5:$A$1004,$A174,'資格研修記録'!$D$5:$D$1004,K$4,'資格研修記録'!$F$5:$F$1004,"")+COUNTIFS('資格研修記録'!$A$5:$A$1004,$A174,'資格研修記録'!$D$5:$D$1004,K$4,'資格研修記録'!$F$5:$F$1004,"&gt;="&amp;TODAY())&gt;0,"○","× 期限切れ"))))</f>
        <v/>
      </c>
      <c r="L174" s="15">
        <f>IF(OR($A174="",L$4=""),"",IF(AND(L$4="小型船舶2級",(COUNTIFS('資格研修記録'!$A$5:$A$1004,$A174,'資格研修記録'!$D$5:$D$1004,"小型船舶1級",'資格研修記録'!$F$5:$F$1004,"")+COUNTIFS('資格研修記録'!$A$5:$A$1004,$A174,'資格研修記録'!$D$5:$D$1004,"小型船舶1級",'資格研修記録'!$F$5:$F$1004,"&gt;="&amp;TODAY()))&gt;0),"1級に含む",IF(COUNTIFS('資格研修記録'!$A$5:$A$1004,$A174,'資格研修記録'!$D$5:$D$1004,L$4)=0,"—",IF(COUNTIFS('資格研修記録'!$A$5:$A$1004,$A174,'資格研修記録'!$D$5:$D$1004,L$4,'資格研修記録'!$F$5:$F$1004,"")+COUNTIFS('資格研修記録'!$A$5:$A$1004,$A174,'資格研修記録'!$D$5:$D$1004,L$4,'資格研修記録'!$F$5:$F$1004,"&gt;="&amp;TODAY())&gt;0,"○","× 期限切れ"))))</f>
        <v/>
      </c>
    </row>
    <row r="175">
      <c r="A175" s="14">
        <f>IF('隊員マスタ'!A175="","",'隊員マスタ'!A175)</f>
        <v/>
      </c>
      <c r="B175" s="14">
        <f>IF(A175="","",'隊員マスタ'!B175)</f>
        <v/>
      </c>
      <c r="C175" s="14">
        <f>IF(A175="","",'隊員マスタ'!C175)</f>
        <v/>
      </c>
      <c r="D175" s="15">
        <f>IF(A175="","",'隊員マスタ'!D175)</f>
        <v/>
      </c>
      <c r="E175" s="15">
        <f>IF(OR($A175="",E$4=""),"",IF(AND(E$4="小型船舶2級",(COUNTIFS('資格研修記録'!$A$5:$A$1004,$A175,'資格研修記録'!$D$5:$D$1004,"小型船舶1級",'資格研修記録'!$F$5:$F$1004,"")+COUNTIFS('資格研修記録'!$A$5:$A$1004,$A175,'資格研修記録'!$D$5:$D$1004,"小型船舶1級",'資格研修記録'!$F$5:$F$1004,"&gt;="&amp;TODAY()))&gt;0),"1級に含む",IF(COUNTIFS('資格研修記録'!$A$5:$A$1004,$A175,'資格研修記録'!$D$5:$D$1004,E$4)=0,"—",IF(COUNTIFS('資格研修記録'!$A$5:$A$1004,$A175,'資格研修記録'!$D$5:$D$1004,E$4,'資格研修記録'!$F$5:$F$1004,"")+COUNTIFS('資格研修記録'!$A$5:$A$1004,$A175,'資格研修記録'!$D$5:$D$1004,E$4,'資格研修記録'!$F$5:$F$1004,"&gt;="&amp;TODAY())&gt;0,"○","× 期限切れ"))))</f>
        <v/>
      </c>
      <c r="F175" s="15">
        <f>IF(OR($A175="",F$4=""),"",IF(AND(F$4="小型船舶2級",(COUNTIFS('資格研修記録'!$A$5:$A$1004,$A175,'資格研修記録'!$D$5:$D$1004,"小型船舶1級",'資格研修記録'!$F$5:$F$1004,"")+COUNTIFS('資格研修記録'!$A$5:$A$1004,$A175,'資格研修記録'!$D$5:$D$1004,"小型船舶1級",'資格研修記録'!$F$5:$F$1004,"&gt;="&amp;TODAY()))&gt;0),"1級に含む",IF(COUNTIFS('資格研修記録'!$A$5:$A$1004,$A175,'資格研修記録'!$D$5:$D$1004,F$4)=0,"—",IF(COUNTIFS('資格研修記録'!$A$5:$A$1004,$A175,'資格研修記録'!$D$5:$D$1004,F$4,'資格研修記録'!$F$5:$F$1004,"")+COUNTIFS('資格研修記録'!$A$5:$A$1004,$A175,'資格研修記録'!$D$5:$D$1004,F$4,'資格研修記録'!$F$5:$F$1004,"&gt;="&amp;TODAY())&gt;0,"○","× 期限切れ"))))</f>
        <v/>
      </c>
      <c r="G175" s="15">
        <f>IF(OR($A175="",G$4=""),"",IF(AND(G$4="小型船舶2級",(COUNTIFS('資格研修記録'!$A$5:$A$1004,$A175,'資格研修記録'!$D$5:$D$1004,"小型船舶1級",'資格研修記録'!$F$5:$F$1004,"")+COUNTIFS('資格研修記録'!$A$5:$A$1004,$A175,'資格研修記録'!$D$5:$D$1004,"小型船舶1級",'資格研修記録'!$F$5:$F$1004,"&gt;="&amp;TODAY()))&gt;0),"1級に含む",IF(COUNTIFS('資格研修記録'!$A$5:$A$1004,$A175,'資格研修記録'!$D$5:$D$1004,G$4)=0,"—",IF(COUNTIFS('資格研修記録'!$A$5:$A$1004,$A175,'資格研修記録'!$D$5:$D$1004,G$4,'資格研修記録'!$F$5:$F$1004,"")+COUNTIFS('資格研修記録'!$A$5:$A$1004,$A175,'資格研修記録'!$D$5:$D$1004,G$4,'資格研修記録'!$F$5:$F$1004,"&gt;="&amp;TODAY())&gt;0,"○","× 期限切れ"))))</f>
        <v/>
      </c>
      <c r="H175" s="15">
        <f>IF(OR($A175="",H$4=""),"",IF(AND(H$4="小型船舶2級",(COUNTIFS('資格研修記録'!$A$5:$A$1004,$A175,'資格研修記録'!$D$5:$D$1004,"小型船舶1級",'資格研修記録'!$F$5:$F$1004,"")+COUNTIFS('資格研修記録'!$A$5:$A$1004,$A175,'資格研修記録'!$D$5:$D$1004,"小型船舶1級",'資格研修記録'!$F$5:$F$1004,"&gt;="&amp;TODAY()))&gt;0),"1級に含む",IF(COUNTIFS('資格研修記録'!$A$5:$A$1004,$A175,'資格研修記録'!$D$5:$D$1004,H$4)=0,"—",IF(COUNTIFS('資格研修記録'!$A$5:$A$1004,$A175,'資格研修記録'!$D$5:$D$1004,H$4,'資格研修記録'!$F$5:$F$1004,"")+COUNTIFS('資格研修記録'!$A$5:$A$1004,$A175,'資格研修記録'!$D$5:$D$1004,H$4,'資格研修記録'!$F$5:$F$1004,"&gt;="&amp;TODAY())&gt;0,"○","× 期限切れ"))))</f>
        <v/>
      </c>
      <c r="I175" s="15">
        <f>IF(OR($A175="",I$4=""),"",IF(AND(I$4="小型船舶2級",(COUNTIFS('資格研修記録'!$A$5:$A$1004,$A175,'資格研修記録'!$D$5:$D$1004,"小型船舶1級",'資格研修記録'!$F$5:$F$1004,"")+COUNTIFS('資格研修記録'!$A$5:$A$1004,$A175,'資格研修記録'!$D$5:$D$1004,"小型船舶1級",'資格研修記録'!$F$5:$F$1004,"&gt;="&amp;TODAY()))&gt;0),"1級に含む",IF(COUNTIFS('資格研修記録'!$A$5:$A$1004,$A175,'資格研修記録'!$D$5:$D$1004,I$4)=0,"—",IF(COUNTIFS('資格研修記録'!$A$5:$A$1004,$A175,'資格研修記録'!$D$5:$D$1004,I$4,'資格研修記録'!$F$5:$F$1004,"")+COUNTIFS('資格研修記録'!$A$5:$A$1004,$A175,'資格研修記録'!$D$5:$D$1004,I$4,'資格研修記録'!$F$5:$F$1004,"&gt;="&amp;TODAY())&gt;0,"○","× 期限切れ"))))</f>
        <v/>
      </c>
      <c r="J175" s="15">
        <f>IF(OR($A175="",J$4=""),"",IF(AND(J$4="小型船舶2級",(COUNTIFS('資格研修記録'!$A$5:$A$1004,$A175,'資格研修記録'!$D$5:$D$1004,"小型船舶1級",'資格研修記録'!$F$5:$F$1004,"")+COUNTIFS('資格研修記録'!$A$5:$A$1004,$A175,'資格研修記録'!$D$5:$D$1004,"小型船舶1級",'資格研修記録'!$F$5:$F$1004,"&gt;="&amp;TODAY()))&gt;0),"1級に含む",IF(COUNTIFS('資格研修記録'!$A$5:$A$1004,$A175,'資格研修記録'!$D$5:$D$1004,J$4)=0,"—",IF(COUNTIFS('資格研修記録'!$A$5:$A$1004,$A175,'資格研修記録'!$D$5:$D$1004,J$4,'資格研修記録'!$F$5:$F$1004,"")+COUNTIFS('資格研修記録'!$A$5:$A$1004,$A175,'資格研修記録'!$D$5:$D$1004,J$4,'資格研修記録'!$F$5:$F$1004,"&gt;="&amp;TODAY())&gt;0,"○","× 期限切れ"))))</f>
        <v/>
      </c>
      <c r="K175" s="15">
        <f>IF(OR($A175="",K$4=""),"",IF(AND(K$4="小型船舶2級",(COUNTIFS('資格研修記録'!$A$5:$A$1004,$A175,'資格研修記録'!$D$5:$D$1004,"小型船舶1級",'資格研修記録'!$F$5:$F$1004,"")+COUNTIFS('資格研修記録'!$A$5:$A$1004,$A175,'資格研修記録'!$D$5:$D$1004,"小型船舶1級",'資格研修記録'!$F$5:$F$1004,"&gt;="&amp;TODAY()))&gt;0),"1級に含む",IF(COUNTIFS('資格研修記録'!$A$5:$A$1004,$A175,'資格研修記録'!$D$5:$D$1004,K$4)=0,"—",IF(COUNTIFS('資格研修記録'!$A$5:$A$1004,$A175,'資格研修記録'!$D$5:$D$1004,K$4,'資格研修記録'!$F$5:$F$1004,"")+COUNTIFS('資格研修記録'!$A$5:$A$1004,$A175,'資格研修記録'!$D$5:$D$1004,K$4,'資格研修記録'!$F$5:$F$1004,"&gt;="&amp;TODAY())&gt;0,"○","× 期限切れ"))))</f>
        <v/>
      </c>
      <c r="L175" s="15">
        <f>IF(OR($A175="",L$4=""),"",IF(AND(L$4="小型船舶2級",(COUNTIFS('資格研修記録'!$A$5:$A$1004,$A175,'資格研修記録'!$D$5:$D$1004,"小型船舶1級",'資格研修記録'!$F$5:$F$1004,"")+COUNTIFS('資格研修記録'!$A$5:$A$1004,$A175,'資格研修記録'!$D$5:$D$1004,"小型船舶1級",'資格研修記録'!$F$5:$F$1004,"&gt;="&amp;TODAY()))&gt;0),"1級に含む",IF(COUNTIFS('資格研修記録'!$A$5:$A$1004,$A175,'資格研修記録'!$D$5:$D$1004,L$4)=0,"—",IF(COUNTIFS('資格研修記録'!$A$5:$A$1004,$A175,'資格研修記録'!$D$5:$D$1004,L$4,'資格研修記録'!$F$5:$F$1004,"")+COUNTIFS('資格研修記録'!$A$5:$A$1004,$A175,'資格研修記録'!$D$5:$D$1004,L$4,'資格研修記録'!$F$5:$F$1004,"&gt;="&amp;TODAY())&gt;0,"○","× 期限切れ"))))</f>
        <v/>
      </c>
    </row>
    <row r="176">
      <c r="A176" s="14">
        <f>IF('隊員マスタ'!A176="","",'隊員マスタ'!A176)</f>
        <v/>
      </c>
      <c r="B176" s="14">
        <f>IF(A176="","",'隊員マスタ'!B176)</f>
        <v/>
      </c>
      <c r="C176" s="14">
        <f>IF(A176="","",'隊員マスタ'!C176)</f>
        <v/>
      </c>
      <c r="D176" s="15">
        <f>IF(A176="","",'隊員マスタ'!D176)</f>
        <v/>
      </c>
      <c r="E176" s="15">
        <f>IF(OR($A176="",E$4=""),"",IF(AND(E$4="小型船舶2級",(COUNTIFS('資格研修記録'!$A$5:$A$1004,$A176,'資格研修記録'!$D$5:$D$1004,"小型船舶1級",'資格研修記録'!$F$5:$F$1004,"")+COUNTIFS('資格研修記録'!$A$5:$A$1004,$A176,'資格研修記録'!$D$5:$D$1004,"小型船舶1級",'資格研修記録'!$F$5:$F$1004,"&gt;="&amp;TODAY()))&gt;0),"1級に含む",IF(COUNTIFS('資格研修記録'!$A$5:$A$1004,$A176,'資格研修記録'!$D$5:$D$1004,E$4)=0,"—",IF(COUNTIFS('資格研修記録'!$A$5:$A$1004,$A176,'資格研修記録'!$D$5:$D$1004,E$4,'資格研修記録'!$F$5:$F$1004,"")+COUNTIFS('資格研修記録'!$A$5:$A$1004,$A176,'資格研修記録'!$D$5:$D$1004,E$4,'資格研修記録'!$F$5:$F$1004,"&gt;="&amp;TODAY())&gt;0,"○","× 期限切れ"))))</f>
        <v/>
      </c>
      <c r="F176" s="15">
        <f>IF(OR($A176="",F$4=""),"",IF(AND(F$4="小型船舶2級",(COUNTIFS('資格研修記録'!$A$5:$A$1004,$A176,'資格研修記録'!$D$5:$D$1004,"小型船舶1級",'資格研修記録'!$F$5:$F$1004,"")+COUNTIFS('資格研修記録'!$A$5:$A$1004,$A176,'資格研修記録'!$D$5:$D$1004,"小型船舶1級",'資格研修記録'!$F$5:$F$1004,"&gt;="&amp;TODAY()))&gt;0),"1級に含む",IF(COUNTIFS('資格研修記録'!$A$5:$A$1004,$A176,'資格研修記録'!$D$5:$D$1004,F$4)=0,"—",IF(COUNTIFS('資格研修記録'!$A$5:$A$1004,$A176,'資格研修記録'!$D$5:$D$1004,F$4,'資格研修記録'!$F$5:$F$1004,"")+COUNTIFS('資格研修記録'!$A$5:$A$1004,$A176,'資格研修記録'!$D$5:$D$1004,F$4,'資格研修記録'!$F$5:$F$1004,"&gt;="&amp;TODAY())&gt;0,"○","× 期限切れ"))))</f>
        <v/>
      </c>
      <c r="G176" s="15">
        <f>IF(OR($A176="",G$4=""),"",IF(AND(G$4="小型船舶2級",(COUNTIFS('資格研修記録'!$A$5:$A$1004,$A176,'資格研修記録'!$D$5:$D$1004,"小型船舶1級",'資格研修記録'!$F$5:$F$1004,"")+COUNTIFS('資格研修記録'!$A$5:$A$1004,$A176,'資格研修記録'!$D$5:$D$1004,"小型船舶1級",'資格研修記録'!$F$5:$F$1004,"&gt;="&amp;TODAY()))&gt;0),"1級に含む",IF(COUNTIFS('資格研修記録'!$A$5:$A$1004,$A176,'資格研修記録'!$D$5:$D$1004,G$4)=0,"—",IF(COUNTIFS('資格研修記録'!$A$5:$A$1004,$A176,'資格研修記録'!$D$5:$D$1004,G$4,'資格研修記録'!$F$5:$F$1004,"")+COUNTIFS('資格研修記録'!$A$5:$A$1004,$A176,'資格研修記録'!$D$5:$D$1004,G$4,'資格研修記録'!$F$5:$F$1004,"&gt;="&amp;TODAY())&gt;0,"○","× 期限切れ"))))</f>
        <v/>
      </c>
      <c r="H176" s="15">
        <f>IF(OR($A176="",H$4=""),"",IF(AND(H$4="小型船舶2級",(COUNTIFS('資格研修記録'!$A$5:$A$1004,$A176,'資格研修記録'!$D$5:$D$1004,"小型船舶1級",'資格研修記録'!$F$5:$F$1004,"")+COUNTIFS('資格研修記録'!$A$5:$A$1004,$A176,'資格研修記録'!$D$5:$D$1004,"小型船舶1級",'資格研修記録'!$F$5:$F$1004,"&gt;="&amp;TODAY()))&gt;0),"1級に含む",IF(COUNTIFS('資格研修記録'!$A$5:$A$1004,$A176,'資格研修記録'!$D$5:$D$1004,H$4)=0,"—",IF(COUNTIFS('資格研修記録'!$A$5:$A$1004,$A176,'資格研修記録'!$D$5:$D$1004,H$4,'資格研修記録'!$F$5:$F$1004,"")+COUNTIFS('資格研修記録'!$A$5:$A$1004,$A176,'資格研修記録'!$D$5:$D$1004,H$4,'資格研修記録'!$F$5:$F$1004,"&gt;="&amp;TODAY())&gt;0,"○","× 期限切れ"))))</f>
        <v/>
      </c>
      <c r="I176" s="15">
        <f>IF(OR($A176="",I$4=""),"",IF(AND(I$4="小型船舶2級",(COUNTIFS('資格研修記録'!$A$5:$A$1004,$A176,'資格研修記録'!$D$5:$D$1004,"小型船舶1級",'資格研修記録'!$F$5:$F$1004,"")+COUNTIFS('資格研修記録'!$A$5:$A$1004,$A176,'資格研修記録'!$D$5:$D$1004,"小型船舶1級",'資格研修記録'!$F$5:$F$1004,"&gt;="&amp;TODAY()))&gt;0),"1級に含む",IF(COUNTIFS('資格研修記録'!$A$5:$A$1004,$A176,'資格研修記録'!$D$5:$D$1004,I$4)=0,"—",IF(COUNTIFS('資格研修記録'!$A$5:$A$1004,$A176,'資格研修記録'!$D$5:$D$1004,I$4,'資格研修記録'!$F$5:$F$1004,"")+COUNTIFS('資格研修記録'!$A$5:$A$1004,$A176,'資格研修記録'!$D$5:$D$1004,I$4,'資格研修記録'!$F$5:$F$1004,"&gt;="&amp;TODAY())&gt;0,"○","× 期限切れ"))))</f>
        <v/>
      </c>
      <c r="J176" s="15">
        <f>IF(OR($A176="",J$4=""),"",IF(AND(J$4="小型船舶2級",(COUNTIFS('資格研修記録'!$A$5:$A$1004,$A176,'資格研修記録'!$D$5:$D$1004,"小型船舶1級",'資格研修記録'!$F$5:$F$1004,"")+COUNTIFS('資格研修記録'!$A$5:$A$1004,$A176,'資格研修記録'!$D$5:$D$1004,"小型船舶1級",'資格研修記録'!$F$5:$F$1004,"&gt;="&amp;TODAY()))&gt;0),"1級に含む",IF(COUNTIFS('資格研修記録'!$A$5:$A$1004,$A176,'資格研修記録'!$D$5:$D$1004,J$4)=0,"—",IF(COUNTIFS('資格研修記録'!$A$5:$A$1004,$A176,'資格研修記録'!$D$5:$D$1004,J$4,'資格研修記録'!$F$5:$F$1004,"")+COUNTIFS('資格研修記録'!$A$5:$A$1004,$A176,'資格研修記録'!$D$5:$D$1004,J$4,'資格研修記録'!$F$5:$F$1004,"&gt;="&amp;TODAY())&gt;0,"○","× 期限切れ"))))</f>
        <v/>
      </c>
      <c r="K176" s="15">
        <f>IF(OR($A176="",K$4=""),"",IF(AND(K$4="小型船舶2級",(COUNTIFS('資格研修記録'!$A$5:$A$1004,$A176,'資格研修記録'!$D$5:$D$1004,"小型船舶1級",'資格研修記録'!$F$5:$F$1004,"")+COUNTIFS('資格研修記録'!$A$5:$A$1004,$A176,'資格研修記録'!$D$5:$D$1004,"小型船舶1級",'資格研修記録'!$F$5:$F$1004,"&gt;="&amp;TODAY()))&gt;0),"1級に含む",IF(COUNTIFS('資格研修記録'!$A$5:$A$1004,$A176,'資格研修記録'!$D$5:$D$1004,K$4)=0,"—",IF(COUNTIFS('資格研修記録'!$A$5:$A$1004,$A176,'資格研修記録'!$D$5:$D$1004,K$4,'資格研修記録'!$F$5:$F$1004,"")+COUNTIFS('資格研修記録'!$A$5:$A$1004,$A176,'資格研修記録'!$D$5:$D$1004,K$4,'資格研修記録'!$F$5:$F$1004,"&gt;="&amp;TODAY())&gt;0,"○","× 期限切れ"))))</f>
        <v/>
      </c>
      <c r="L176" s="15">
        <f>IF(OR($A176="",L$4=""),"",IF(AND(L$4="小型船舶2級",(COUNTIFS('資格研修記録'!$A$5:$A$1004,$A176,'資格研修記録'!$D$5:$D$1004,"小型船舶1級",'資格研修記録'!$F$5:$F$1004,"")+COUNTIFS('資格研修記録'!$A$5:$A$1004,$A176,'資格研修記録'!$D$5:$D$1004,"小型船舶1級",'資格研修記録'!$F$5:$F$1004,"&gt;="&amp;TODAY()))&gt;0),"1級に含む",IF(COUNTIFS('資格研修記録'!$A$5:$A$1004,$A176,'資格研修記録'!$D$5:$D$1004,L$4)=0,"—",IF(COUNTIFS('資格研修記録'!$A$5:$A$1004,$A176,'資格研修記録'!$D$5:$D$1004,L$4,'資格研修記録'!$F$5:$F$1004,"")+COUNTIFS('資格研修記録'!$A$5:$A$1004,$A176,'資格研修記録'!$D$5:$D$1004,L$4,'資格研修記録'!$F$5:$F$1004,"&gt;="&amp;TODAY())&gt;0,"○","× 期限切れ"))))</f>
        <v/>
      </c>
    </row>
    <row r="177">
      <c r="A177" s="14">
        <f>IF('隊員マスタ'!A177="","",'隊員マスタ'!A177)</f>
        <v/>
      </c>
      <c r="B177" s="14">
        <f>IF(A177="","",'隊員マスタ'!B177)</f>
        <v/>
      </c>
      <c r="C177" s="14">
        <f>IF(A177="","",'隊員マスタ'!C177)</f>
        <v/>
      </c>
      <c r="D177" s="15">
        <f>IF(A177="","",'隊員マスタ'!D177)</f>
        <v/>
      </c>
      <c r="E177" s="15">
        <f>IF(OR($A177="",E$4=""),"",IF(AND(E$4="小型船舶2級",(COUNTIFS('資格研修記録'!$A$5:$A$1004,$A177,'資格研修記録'!$D$5:$D$1004,"小型船舶1級",'資格研修記録'!$F$5:$F$1004,"")+COUNTIFS('資格研修記録'!$A$5:$A$1004,$A177,'資格研修記録'!$D$5:$D$1004,"小型船舶1級",'資格研修記録'!$F$5:$F$1004,"&gt;="&amp;TODAY()))&gt;0),"1級に含む",IF(COUNTIFS('資格研修記録'!$A$5:$A$1004,$A177,'資格研修記録'!$D$5:$D$1004,E$4)=0,"—",IF(COUNTIFS('資格研修記録'!$A$5:$A$1004,$A177,'資格研修記録'!$D$5:$D$1004,E$4,'資格研修記録'!$F$5:$F$1004,"")+COUNTIFS('資格研修記録'!$A$5:$A$1004,$A177,'資格研修記録'!$D$5:$D$1004,E$4,'資格研修記録'!$F$5:$F$1004,"&gt;="&amp;TODAY())&gt;0,"○","× 期限切れ"))))</f>
        <v/>
      </c>
      <c r="F177" s="15">
        <f>IF(OR($A177="",F$4=""),"",IF(AND(F$4="小型船舶2級",(COUNTIFS('資格研修記録'!$A$5:$A$1004,$A177,'資格研修記録'!$D$5:$D$1004,"小型船舶1級",'資格研修記録'!$F$5:$F$1004,"")+COUNTIFS('資格研修記録'!$A$5:$A$1004,$A177,'資格研修記録'!$D$5:$D$1004,"小型船舶1級",'資格研修記録'!$F$5:$F$1004,"&gt;="&amp;TODAY()))&gt;0),"1級に含む",IF(COUNTIFS('資格研修記録'!$A$5:$A$1004,$A177,'資格研修記録'!$D$5:$D$1004,F$4)=0,"—",IF(COUNTIFS('資格研修記録'!$A$5:$A$1004,$A177,'資格研修記録'!$D$5:$D$1004,F$4,'資格研修記録'!$F$5:$F$1004,"")+COUNTIFS('資格研修記録'!$A$5:$A$1004,$A177,'資格研修記録'!$D$5:$D$1004,F$4,'資格研修記録'!$F$5:$F$1004,"&gt;="&amp;TODAY())&gt;0,"○","× 期限切れ"))))</f>
        <v/>
      </c>
      <c r="G177" s="15">
        <f>IF(OR($A177="",G$4=""),"",IF(AND(G$4="小型船舶2級",(COUNTIFS('資格研修記録'!$A$5:$A$1004,$A177,'資格研修記録'!$D$5:$D$1004,"小型船舶1級",'資格研修記録'!$F$5:$F$1004,"")+COUNTIFS('資格研修記録'!$A$5:$A$1004,$A177,'資格研修記録'!$D$5:$D$1004,"小型船舶1級",'資格研修記録'!$F$5:$F$1004,"&gt;="&amp;TODAY()))&gt;0),"1級に含む",IF(COUNTIFS('資格研修記録'!$A$5:$A$1004,$A177,'資格研修記録'!$D$5:$D$1004,G$4)=0,"—",IF(COUNTIFS('資格研修記録'!$A$5:$A$1004,$A177,'資格研修記録'!$D$5:$D$1004,G$4,'資格研修記録'!$F$5:$F$1004,"")+COUNTIFS('資格研修記録'!$A$5:$A$1004,$A177,'資格研修記録'!$D$5:$D$1004,G$4,'資格研修記録'!$F$5:$F$1004,"&gt;="&amp;TODAY())&gt;0,"○","× 期限切れ"))))</f>
        <v/>
      </c>
      <c r="H177" s="15">
        <f>IF(OR($A177="",H$4=""),"",IF(AND(H$4="小型船舶2級",(COUNTIFS('資格研修記録'!$A$5:$A$1004,$A177,'資格研修記録'!$D$5:$D$1004,"小型船舶1級",'資格研修記録'!$F$5:$F$1004,"")+COUNTIFS('資格研修記録'!$A$5:$A$1004,$A177,'資格研修記録'!$D$5:$D$1004,"小型船舶1級",'資格研修記録'!$F$5:$F$1004,"&gt;="&amp;TODAY()))&gt;0),"1級に含む",IF(COUNTIFS('資格研修記録'!$A$5:$A$1004,$A177,'資格研修記録'!$D$5:$D$1004,H$4)=0,"—",IF(COUNTIFS('資格研修記録'!$A$5:$A$1004,$A177,'資格研修記録'!$D$5:$D$1004,H$4,'資格研修記録'!$F$5:$F$1004,"")+COUNTIFS('資格研修記録'!$A$5:$A$1004,$A177,'資格研修記録'!$D$5:$D$1004,H$4,'資格研修記録'!$F$5:$F$1004,"&gt;="&amp;TODAY())&gt;0,"○","× 期限切れ"))))</f>
        <v/>
      </c>
      <c r="I177" s="15">
        <f>IF(OR($A177="",I$4=""),"",IF(AND(I$4="小型船舶2級",(COUNTIFS('資格研修記録'!$A$5:$A$1004,$A177,'資格研修記録'!$D$5:$D$1004,"小型船舶1級",'資格研修記録'!$F$5:$F$1004,"")+COUNTIFS('資格研修記録'!$A$5:$A$1004,$A177,'資格研修記録'!$D$5:$D$1004,"小型船舶1級",'資格研修記録'!$F$5:$F$1004,"&gt;="&amp;TODAY()))&gt;0),"1級に含む",IF(COUNTIFS('資格研修記録'!$A$5:$A$1004,$A177,'資格研修記録'!$D$5:$D$1004,I$4)=0,"—",IF(COUNTIFS('資格研修記録'!$A$5:$A$1004,$A177,'資格研修記録'!$D$5:$D$1004,I$4,'資格研修記録'!$F$5:$F$1004,"")+COUNTIFS('資格研修記録'!$A$5:$A$1004,$A177,'資格研修記録'!$D$5:$D$1004,I$4,'資格研修記録'!$F$5:$F$1004,"&gt;="&amp;TODAY())&gt;0,"○","× 期限切れ"))))</f>
        <v/>
      </c>
      <c r="J177" s="15">
        <f>IF(OR($A177="",J$4=""),"",IF(AND(J$4="小型船舶2級",(COUNTIFS('資格研修記録'!$A$5:$A$1004,$A177,'資格研修記録'!$D$5:$D$1004,"小型船舶1級",'資格研修記録'!$F$5:$F$1004,"")+COUNTIFS('資格研修記録'!$A$5:$A$1004,$A177,'資格研修記録'!$D$5:$D$1004,"小型船舶1級",'資格研修記録'!$F$5:$F$1004,"&gt;="&amp;TODAY()))&gt;0),"1級に含む",IF(COUNTIFS('資格研修記録'!$A$5:$A$1004,$A177,'資格研修記録'!$D$5:$D$1004,J$4)=0,"—",IF(COUNTIFS('資格研修記録'!$A$5:$A$1004,$A177,'資格研修記録'!$D$5:$D$1004,J$4,'資格研修記録'!$F$5:$F$1004,"")+COUNTIFS('資格研修記録'!$A$5:$A$1004,$A177,'資格研修記録'!$D$5:$D$1004,J$4,'資格研修記録'!$F$5:$F$1004,"&gt;="&amp;TODAY())&gt;0,"○","× 期限切れ"))))</f>
        <v/>
      </c>
      <c r="K177" s="15">
        <f>IF(OR($A177="",K$4=""),"",IF(AND(K$4="小型船舶2級",(COUNTIFS('資格研修記録'!$A$5:$A$1004,$A177,'資格研修記録'!$D$5:$D$1004,"小型船舶1級",'資格研修記録'!$F$5:$F$1004,"")+COUNTIFS('資格研修記録'!$A$5:$A$1004,$A177,'資格研修記録'!$D$5:$D$1004,"小型船舶1級",'資格研修記録'!$F$5:$F$1004,"&gt;="&amp;TODAY()))&gt;0),"1級に含む",IF(COUNTIFS('資格研修記録'!$A$5:$A$1004,$A177,'資格研修記録'!$D$5:$D$1004,K$4)=0,"—",IF(COUNTIFS('資格研修記録'!$A$5:$A$1004,$A177,'資格研修記録'!$D$5:$D$1004,K$4,'資格研修記録'!$F$5:$F$1004,"")+COUNTIFS('資格研修記録'!$A$5:$A$1004,$A177,'資格研修記録'!$D$5:$D$1004,K$4,'資格研修記録'!$F$5:$F$1004,"&gt;="&amp;TODAY())&gt;0,"○","× 期限切れ"))))</f>
        <v/>
      </c>
      <c r="L177" s="15">
        <f>IF(OR($A177="",L$4=""),"",IF(AND(L$4="小型船舶2級",(COUNTIFS('資格研修記録'!$A$5:$A$1004,$A177,'資格研修記録'!$D$5:$D$1004,"小型船舶1級",'資格研修記録'!$F$5:$F$1004,"")+COUNTIFS('資格研修記録'!$A$5:$A$1004,$A177,'資格研修記録'!$D$5:$D$1004,"小型船舶1級",'資格研修記録'!$F$5:$F$1004,"&gt;="&amp;TODAY()))&gt;0),"1級に含む",IF(COUNTIFS('資格研修記録'!$A$5:$A$1004,$A177,'資格研修記録'!$D$5:$D$1004,L$4)=0,"—",IF(COUNTIFS('資格研修記録'!$A$5:$A$1004,$A177,'資格研修記録'!$D$5:$D$1004,L$4,'資格研修記録'!$F$5:$F$1004,"")+COUNTIFS('資格研修記録'!$A$5:$A$1004,$A177,'資格研修記録'!$D$5:$D$1004,L$4,'資格研修記録'!$F$5:$F$1004,"&gt;="&amp;TODAY())&gt;0,"○","× 期限切れ"))))</f>
        <v/>
      </c>
    </row>
    <row r="178">
      <c r="A178" s="14">
        <f>IF('隊員マスタ'!A178="","",'隊員マスタ'!A178)</f>
        <v/>
      </c>
      <c r="B178" s="14">
        <f>IF(A178="","",'隊員マスタ'!B178)</f>
        <v/>
      </c>
      <c r="C178" s="14">
        <f>IF(A178="","",'隊員マスタ'!C178)</f>
        <v/>
      </c>
      <c r="D178" s="15">
        <f>IF(A178="","",'隊員マスタ'!D178)</f>
        <v/>
      </c>
      <c r="E178" s="15">
        <f>IF(OR($A178="",E$4=""),"",IF(AND(E$4="小型船舶2級",(COUNTIFS('資格研修記録'!$A$5:$A$1004,$A178,'資格研修記録'!$D$5:$D$1004,"小型船舶1級",'資格研修記録'!$F$5:$F$1004,"")+COUNTIFS('資格研修記録'!$A$5:$A$1004,$A178,'資格研修記録'!$D$5:$D$1004,"小型船舶1級",'資格研修記録'!$F$5:$F$1004,"&gt;="&amp;TODAY()))&gt;0),"1級に含む",IF(COUNTIFS('資格研修記録'!$A$5:$A$1004,$A178,'資格研修記録'!$D$5:$D$1004,E$4)=0,"—",IF(COUNTIFS('資格研修記録'!$A$5:$A$1004,$A178,'資格研修記録'!$D$5:$D$1004,E$4,'資格研修記録'!$F$5:$F$1004,"")+COUNTIFS('資格研修記録'!$A$5:$A$1004,$A178,'資格研修記録'!$D$5:$D$1004,E$4,'資格研修記録'!$F$5:$F$1004,"&gt;="&amp;TODAY())&gt;0,"○","× 期限切れ"))))</f>
        <v/>
      </c>
      <c r="F178" s="15">
        <f>IF(OR($A178="",F$4=""),"",IF(AND(F$4="小型船舶2級",(COUNTIFS('資格研修記録'!$A$5:$A$1004,$A178,'資格研修記録'!$D$5:$D$1004,"小型船舶1級",'資格研修記録'!$F$5:$F$1004,"")+COUNTIFS('資格研修記録'!$A$5:$A$1004,$A178,'資格研修記録'!$D$5:$D$1004,"小型船舶1級",'資格研修記録'!$F$5:$F$1004,"&gt;="&amp;TODAY()))&gt;0),"1級に含む",IF(COUNTIFS('資格研修記録'!$A$5:$A$1004,$A178,'資格研修記録'!$D$5:$D$1004,F$4)=0,"—",IF(COUNTIFS('資格研修記録'!$A$5:$A$1004,$A178,'資格研修記録'!$D$5:$D$1004,F$4,'資格研修記録'!$F$5:$F$1004,"")+COUNTIFS('資格研修記録'!$A$5:$A$1004,$A178,'資格研修記録'!$D$5:$D$1004,F$4,'資格研修記録'!$F$5:$F$1004,"&gt;="&amp;TODAY())&gt;0,"○","× 期限切れ"))))</f>
        <v/>
      </c>
      <c r="G178" s="15">
        <f>IF(OR($A178="",G$4=""),"",IF(AND(G$4="小型船舶2級",(COUNTIFS('資格研修記録'!$A$5:$A$1004,$A178,'資格研修記録'!$D$5:$D$1004,"小型船舶1級",'資格研修記録'!$F$5:$F$1004,"")+COUNTIFS('資格研修記録'!$A$5:$A$1004,$A178,'資格研修記録'!$D$5:$D$1004,"小型船舶1級",'資格研修記録'!$F$5:$F$1004,"&gt;="&amp;TODAY()))&gt;0),"1級に含む",IF(COUNTIFS('資格研修記録'!$A$5:$A$1004,$A178,'資格研修記録'!$D$5:$D$1004,G$4)=0,"—",IF(COUNTIFS('資格研修記録'!$A$5:$A$1004,$A178,'資格研修記録'!$D$5:$D$1004,G$4,'資格研修記録'!$F$5:$F$1004,"")+COUNTIFS('資格研修記録'!$A$5:$A$1004,$A178,'資格研修記録'!$D$5:$D$1004,G$4,'資格研修記録'!$F$5:$F$1004,"&gt;="&amp;TODAY())&gt;0,"○","× 期限切れ"))))</f>
        <v/>
      </c>
      <c r="H178" s="15">
        <f>IF(OR($A178="",H$4=""),"",IF(AND(H$4="小型船舶2級",(COUNTIFS('資格研修記録'!$A$5:$A$1004,$A178,'資格研修記録'!$D$5:$D$1004,"小型船舶1級",'資格研修記録'!$F$5:$F$1004,"")+COUNTIFS('資格研修記録'!$A$5:$A$1004,$A178,'資格研修記録'!$D$5:$D$1004,"小型船舶1級",'資格研修記録'!$F$5:$F$1004,"&gt;="&amp;TODAY()))&gt;0),"1級に含む",IF(COUNTIFS('資格研修記録'!$A$5:$A$1004,$A178,'資格研修記録'!$D$5:$D$1004,H$4)=0,"—",IF(COUNTIFS('資格研修記録'!$A$5:$A$1004,$A178,'資格研修記録'!$D$5:$D$1004,H$4,'資格研修記録'!$F$5:$F$1004,"")+COUNTIFS('資格研修記録'!$A$5:$A$1004,$A178,'資格研修記録'!$D$5:$D$1004,H$4,'資格研修記録'!$F$5:$F$1004,"&gt;="&amp;TODAY())&gt;0,"○","× 期限切れ"))))</f>
        <v/>
      </c>
      <c r="I178" s="15">
        <f>IF(OR($A178="",I$4=""),"",IF(AND(I$4="小型船舶2級",(COUNTIFS('資格研修記録'!$A$5:$A$1004,$A178,'資格研修記録'!$D$5:$D$1004,"小型船舶1級",'資格研修記録'!$F$5:$F$1004,"")+COUNTIFS('資格研修記録'!$A$5:$A$1004,$A178,'資格研修記録'!$D$5:$D$1004,"小型船舶1級",'資格研修記録'!$F$5:$F$1004,"&gt;="&amp;TODAY()))&gt;0),"1級に含む",IF(COUNTIFS('資格研修記録'!$A$5:$A$1004,$A178,'資格研修記録'!$D$5:$D$1004,I$4)=0,"—",IF(COUNTIFS('資格研修記録'!$A$5:$A$1004,$A178,'資格研修記録'!$D$5:$D$1004,I$4,'資格研修記録'!$F$5:$F$1004,"")+COUNTIFS('資格研修記録'!$A$5:$A$1004,$A178,'資格研修記録'!$D$5:$D$1004,I$4,'資格研修記録'!$F$5:$F$1004,"&gt;="&amp;TODAY())&gt;0,"○","× 期限切れ"))))</f>
        <v/>
      </c>
      <c r="J178" s="15">
        <f>IF(OR($A178="",J$4=""),"",IF(AND(J$4="小型船舶2級",(COUNTIFS('資格研修記録'!$A$5:$A$1004,$A178,'資格研修記録'!$D$5:$D$1004,"小型船舶1級",'資格研修記録'!$F$5:$F$1004,"")+COUNTIFS('資格研修記録'!$A$5:$A$1004,$A178,'資格研修記録'!$D$5:$D$1004,"小型船舶1級",'資格研修記録'!$F$5:$F$1004,"&gt;="&amp;TODAY()))&gt;0),"1級に含む",IF(COUNTIFS('資格研修記録'!$A$5:$A$1004,$A178,'資格研修記録'!$D$5:$D$1004,J$4)=0,"—",IF(COUNTIFS('資格研修記録'!$A$5:$A$1004,$A178,'資格研修記録'!$D$5:$D$1004,J$4,'資格研修記録'!$F$5:$F$1004,"")+COUNTIFS('資格研修記録'!$A$5:$A$1004,$A178,'資格研修記録'!$D$5:$D$1004,J$4,'資格研修記録'!$F$5:$F$1004,"&gt;="&amp;TODAY())&gt;0,"○","× 期限切れ"))))</f>
        <v/>
      </c>
      <c r="K178" s="15">
        <f>IF(OR($A178="",K$4=""),"",IF(AND(K$4="小型船舶2級",(COUNTIFS('資格研修記録'!$A$5:$A$1004,$A178,'資格研修記録'!$D$5:$D$1004,"小型船舶1級",'資格研修記録'!$F$5:$F$1004,"")+COUNTIFS('資格研修記録'!$A$5:$A$1004,$A178,'資格研修記録'!$D$5:$D$1004,"小型船舶1級",'資格研修記録'!$F$5:$F$1004,"&gt;="&amp;TODAY()))&gt;0),"1級に含む",IF(COUNTIFS('資格研修記録'!$A$5:$A$1004,$A178,'資格研修記録'!$D$5:$D$1004,K$4)=0,"—",IF(COUNTIFS('資格研修記録'!$A$5:$A$1004,$A178,'資格研修記録'!$D$5:$D$1004,K$4,'資格研修記録'!$F$5:$F$1004,"")+COUNTIFS('資格研修記録'!$A$5:$A$1004,$A178,'資格研修記録'!$D$5:$D$1004,K$4,'資格研修記録'!$F$5:$F$1004,"&gt;="&amp;TODAY())&gt;0,"○","× 期限切れ"))))</f>
        <v/>
      </c>
      <c r="L178" s="15">
        <f>IF(OR($A178="",L$4=""),"",IF(AND(L$4="小型船舶2級",(COUNTIFS('資格研修記録'!$A$5:$A$1004,$A178,'資格研修記録'!$D$5:$D$1004,"小型船舶1級",'資格研修記録'!$F$5:$F$1004,"")+COUNTIFS('資格研修記録'!$A$5:$A$1004,$A178,'資格研修記録'!$D$5:$D$1004,"小型船舶1級",'資格研修記録'!$F$5:$F$1004,"&gt;="&amp;TODAY()))&gt;0),"1級に含む",IF(COUNTIFS('資格研修記録'!$A$5:$A$1004,$A178,'資格研修記録'!$D$5:$D$1004,L$4)=0,"—",IF(COUNTIFS('資格研修記録'!$A$5:$A$1004,$A178,'資格研修記録'!$D$5:$D$1004,L$4,'資格研修記録'!$F$5:$F$1004,"")+COUNTIFS('資格研修記録'!$A$5:$A$1004,$A178,'資格研修記録'!$D$5:$D$1004,L$4,'資格研修記録'!$F$5:$F$1004,"&gt;="&amp;TODAY())&gt;0,"○","× 期限切れ"))))</f>
        <v/>
      </c>
    </row>
    <row r="179">
      <c r="A179" s="14">
        <f>IF('隊員マスタ'!A179="","",'隊員マスタ'!A179)</f>
        <v/>
      </c>
      <c r="B179" s="14">
        <f>IF(A179="","",'隊員マスタ'!B179)</f>
        <v/>
      </c>
      <c r="C179" s="14">
        <f>IF(A179="","",'隊員マスタ'!C179)</f>
        <v/>
      </c>
      <c r="D179" s="15">
        <f>IF(A179="","",'隊員マスタ'!D179)</f>
        <v/>
      </c>
      <c r="E179" s="15">
        <f>IF(OR($A179="",E$4=""),"",IF(AND(E$4="小型船舶2級",(COUNTIFS('資格研修記録'!$A$5:$A$1004,$A179,'資格研修記録'!$D$5:$D$1004,"小型船舶1級",'資格研修記録'!$F$5:$F$1004,"")+COUNTIFS('資格研修記録'!$A$5:$A$1004,$A179,'資格研修記録'!$D$5:$D$1004,"小型船舶1級",'資格研修記録'!$F$5:$F$1004,"&gt;="&amp;TODAY()))&gt;0),"1級に含む",IF(COUNTIFS('資格研修記録'!$A$5:$A$1004,$A179,'資格研修記録'!$D$5:$D$1004,E$4)=0,"—",IF(COUNTIFS('資格研修記録'!$A$5:$A$1004,$A179,'資格研修記録'!$D$5:$D$1004,E$4,'資格研修記録'!$F$5:$F$1004,"")+COUNTIFS('資格研修記録'!$A$5:$A$1004,$A179,'資格研修記録'!$D$5:$D$1004,E$4,'資格研修記録'!$F$5:$F$1004,"&gt;="&amp;TODAY())&gt;0,"○","× 期限切れ"))))</f>
        <v/>
      </c>
      <c r="F179" s="15">
        <f>IF(OR($A179="",F$4=""),"",IF(AND(F$4="小型船舶2級",(COUNTIFS('資格研修記録'!$A$5:$A$1004,$A179,'資格研修記録'!$D$5:$D$1004,"小型船舶1級",'資格研修記録'!$F$5:$F$1004,"")+COUNTIFS('資格研修記録'!$A$5:$A$1004,$A179,'資格研修記録'!$D$5:$D$1004,"小型船舶1級",'資格研修記録'!$F$5:$F$1004,"&gt;="&amp;TODAY()))&gt;0),"1級に含む",IF(COUNTIFS('資格研修記録'!$A$5:$A$1004,$A179,'資格研修記録'!$D$5:$D$1004,F$4)=0,"—",IF(COUNTIFS('資格研修記録'!$A$5:$A$1004,$A179,'資格研修記録'!$D$5:$D$1004,F$4,'資格研修記録'!$F$5:$F$1004,"")+COUNTIFS('資格研修記録'!$A$5:$A$1004,$A179,'資格研修記録'!$D$5:$D$1004,F$4,'資格研修記録'!$F$5:$F$1004,"&gt;="&amp;TODAY())&gt;0,"○","× 期限切れ"))))</f>
        <v/>
      </c>
      <c r="G179" s="15">
        <f>IF(OR($A179="",G$4=""),"",IF(AND(G$4="小型船舶2級",(COUNTIFS('資格研修記録'!$A$5:$A$1004,$A179,'資格研修記録'!$D$5:$D$1004,"小型船舶1級",'資格研修記録'!$F$5:$F$1004,"")+COUNTIFS('資格研修記録'!$A$5:$A$1004,$A179,'資格研修記録'!$D$5:$D$1004,"小型船舶1級",'資格研修記録'!$F$5:$F$1004,"&gt;="&amp;TODAY()))&gt;0),"1級に含む",IF(COUNTIFS('資格研修記録'!$A$5:$A$1004,$A179,'資格研修記録'!$D$5:$D$1004,G$4)=0,"—",IF(COUNTIFS('資格研修記録'!$A$5:$A$1004,$A179,'資格研修記録'!$D$5:$D$1004,G$4,'資格研修記録'!$F$5:$F$1004,"")+COUNTIFS('資格研修記録'!$A$5:$A$1004,$A179,'資格研修記録'!$D$5:$D$1004,G$4,'資格研修記録'!$F$5:$F$1004,"&gt;="&amp;TODAY())&gt;0,"○","× 期限切れ"))))</f>
        <v/>
      </c>
      <c r="H179" s="15">
        <f>IF(OR($A179="",H$4=""),"",IF(AND(H$4="小型船舶2級",(COUNTIFS('資格研修記録'!$A$5:$A$1004,$A179,'資格研修記録'!$D$5:$D$1004,"小型船舶1級",'資格研修記録'!$F$5:$F$1004,"")+COUNTIFS('資格研修記録'!$A$5:$A$1004,$A179,'資格研修記録'!$D$5:$D$1004,"小型船舶1級",'資格研修記録'!$F$5:$F$1004,"&gt;="&amp;TODAY()))&gt;0),"1級に含む",IF(COUNTIFS('資格研修記録'!$A$5:$A$1004,$A179,'資格研修記録'!$D$5:$D$1004,H$4)=0,"—",IF(COUNTIFS('資格研修記録'!$A$5:$A$1004,$A179,'資格研修記録'!$D$5:$D$1004,H$4,'資格研修記録'!$F$5:$F$1004,"")+COUNTIFS('資格研修記録'!$A$5:$A$1004,$A179,'資格研修記録'!$D$5:$D$1004,H$4,'資格研修記録'!$F$5:$F$1004,"&gt;="&amp;TODAY())&gt;0,"○","× 期限切れ"))))</f>
        <v/>
      </c>
      <c r="I179" s="15">
        <f>IF(OR($A179="",I$4=""),"",IF(AND(I$4="小型船舶2級",(COUNTIFS('資格研修記録'!$A$5:$A$1004,$A179,'資格研修記録'!$D$5:$D$1004,"小型船舶1級",'資格研修記録'!$F$5:$F$1004,"")+COUNTIFS('資格研修記録'!$A$5:$A$1004,$A179,'資格研修記録'!$D$5:$D$1004,"小型船舶1級",'資格研修記録'!$F$5:$F$1004,"&gt;="&amp;TODAY()))&gt;0),"1級に含む",IF(COUNTIFS('資格研修記録'!$A$5:$A$1004,$A179,'資格研修記録'!$D$5:$D$1004,I$4)=0,"—",IF(COUNTIFS('資格研修記録'!$A$5:$A$1004,$A179,'資格研修記録'!$D$5:$D$1004,I$4,'資格研修記録'!$F$5:$F$1004,"")+COUNTIFS('資格研修記録'!$A$5:$A$1004,$A179,'資格研修記録'!$D$5:$D$1004,I$4,'資格研修記録'!$F$5:$F$1004,"&gt;="&amp;TODAY())&gt;0,"○","× 期限切れ"))))</f>
        <v/>
      </c>
      <c r="J179" s="15">
        <f>IF(OR($A179="",J$4=""),"",IF(AND(J$4="小型船舶2級",(COUNTIFS('資格研修記録'!$A$5:$A$1004,$A179,'資格研修記録'!$D$5:$D$1004,"小型船舶1級",'資格研修記録'!$F$5:$F$1004,"")+COUNTIFS('資格研修記録'!$A$5:$A$1004,$A179,'資格研修記録'!$D$5:$D$1004,"小型船舶1級",'資格研修記録'!$F$5:$F$1004,"&gt;="&amp;TODAY()))&gt;0),"1級に含む",IF(COUNTIFS('資格研修記録'!$A$5:$A$1004,$A179,'資格研修記録'!$D$5:$D$1004,J$4)=0,"—",IF(COUNTIFS('資格研修記録'!$A$5:$A$1004,$A179,'資格研修記録'!$D$5:$D$1004,J$4,'資格研修記録'!$F$5:$F$1004,"")+COUNTIFS('資格研修記録'!$A$5:$A$1004,$A179,'資格研修記録'!$D$5:$D$1004,J$4,'資格研修記録'!$F$5:$F$1004,"&gt;="&amp;TODAY())&gt;0,"○","× 期限切れ"))))</f>
        <v/>
      </c>
      <c r="K179" s="15">
        <f>IF(OR($A179="",K$4=""),"",IF(AND(K$4="小型船舶2級",(COUNTIFS('資格研修記録'!$A$5:$A$1004,$A179,'資格研修記録'!$D$5:$D$1004,"小型船舶1級",'資格研修記録'!$F$5:$F$1004,"")+COUNTIFS('資格研修記録'!$A$5:$A$1004,$A179,'資格研修記録'!$D$5:$D$1004,"小型船舶1級",'資格研修記録'!$F$5:$F$1004,"&gt;="&amp;TODAY()))&gt;0),"1級に含む",IF(COUNTIFS('資格研修記録'!$A$5:$A$1004,$A179,'資格研修記録'!$D$5:$D$1004,K$4)=0,"—",IF(COUNTIFS('資格研修記録'!$A$5:$A$1004,$A179,'資格研修記録'!$D$5:$D$1004,K$4,'資格研修記録'!$F$5:$F$1004,"")+COUNTIFS('資格研修記録'!$A$5:$A$1004,$A179,'資格研修記録'!$D$5:$D$1004,K$4,'資格研修記録'!$F$5:$F$1004,"&gt;="&amp;TODAY())&gt;0,"○","× 期限切れ"))))</f>
        <v/>
      </c>
      <c r="L179" s="15">
        <f>IF(OR($A179="",L$4=""),"",IF(AND(L$4="小型船舶2級",(COUNTIFS('資格研修記録'!$A$5:$A$1004,$A179,'資格研修記録'!$D$5:$D$1004,"小型船舶1級",'資格研修記録'!$F$5:$F$1004,"")+COUNTIFS('資格研修記録'!$A$5:$A$1004,$A179,'資格研修記録'!$D$5:$D$1004,"小型船舶1級",'資格研修記録'!$F$5:$F$1004,"&gt;="&amp;TODAY()))&gt;0),"1級に含む",IF(COUNTIFS('資格研修記録'!$A$5:$A$1004,$A179,'資格研修記録'!$D$5:$D$1004,L$4)=0,"—",IF(COUNTIFS('資格研修記録'!$A$5:$A$1004,$A179,'資格研修記録'!$D$5:$D$1004,L$4,'資格研修記録'!$F$5:$F$1004,"")+COUNTIFS('資格研修記録'!$A$5:$A$1004,$A179,'資格研修記録'!$D$5:$D$1004,L$4,'資格研修記録'!$F$5:$F$1004,"&gt;="&amp;TODAY())&gt;0,"○","× 期限切れ"))))</f>
        <v/>
      </c>
    </row>
    <row r="180">
      <c r="A180" s="14">
        <f>IF('隊員マスタ'!A180="","",'隊員マスタ'!A180)</f>
        <v/>
      </c>
      <c r="B180" s="14">
        <f>IF(A180="","",'隊員マスタ'!B180)</f>
        <v/>
      </c>
      <c r="C180" s="14">
        <f>IF(A180="","",'隊員マスタ'!C180)</f>
        <v/>
      </c>
      <c r="D180" s="15">
        <f>IF(A180="","",'隊員マスタ'!D180)</f>
        <v/>
      </c>
      <c r="E180" s="15">
        <f>IF(OR($A180="",E$4=""),"",IF(AND(E$4="小型船舶2級",(COUNTIFS('資格研修記録'!$A$5:$A$1004,$A180,'資格研修記録'!$D$5:$D$1004,"小型船舶1級",'資格研修記録'!$F$5:$F$1004,"")+COUNTIFS('資格研修記録'!$A$5:$A$1004,$A180,'資格研修記録'!$D$5:$D$1004,"小型船舶1級",'資格研修記録'!$F$5:$F$1004,"&gt;="&amp;TODAY()))&gt;0),"1級に含む",IF(COUNTIFS('資格研修記録'!$A$5:$A$1004,$A180,'資格研修記録'!$D$5:$D$1004,E$4)=0,"—",IF(COUNTIFS('資格研修記録'!$A$5:$A$1004,$A180,'資格研修記録'!$D$5:$D$1004,E$4,'資格研修記録'!$F$5:$F$1004,"")+COUNTIFS('資格研修記録'!$A$5:$A$1004,$A180,'資格研修記録'!$D$5:$D$1004,E$4,'資格研修記録'!$F$5:$F$1004,"&gt;="&amp;TODAY())&gt;0,"○","× 期限切れ"))))</f>
        <v/>
      </c>
      <c r="F180" s="15">
        <f>IF(OR($A180="",F$4=""),"",IF(AND(F$4="小型船舶2級",(COUNTIFS('資格研修記録'!$A$5:$A$1004,$A180,'資格研修記録'!$D$5:$D$1004,"小型船舶1級",'資格研修記録'!$F$5:$F$1004,"")+COUNTIFS('資格研修記録'!$A$5:$A$1004,$A180,'資格研修記録'!$D$5:$D$1004,"小型船舶1級",'資格研修記録'!$F$5:$F$1004,"&gt;="&amp;TODAY()))&gt;0),"1級に含む",IF(COUNTIFS('資格研修記録'!$A$5:$A$1004,$A180,'資格研修記録'!$D$5:$D$1004,F$4)=0,"—",IF(COUNTIFS('資格研修記録'!$A$5:$A$1004,$A180,'資格研修記録'!$D$5:$D$1004,F$4,'資格研修記録'!$F$5:$F$1004,"")+COUNTIFS('資格研修記録'!$A$5:$A$1004,$A180,'資格研修記録'!$D$5:$D$1004,F$4,'資格研修記録'!$F$5:$F$1004,"&gt;="&amp;TODAY())&gt;0,"○","× 期限切れ"))))</f>
        <v/>
      </c>
      <c r="G180" s="15">
        <f>IF(OR($A180="",G$4=""),"",IF(AND(G$4="小型船舶2級",(COUNTIFS('資格研修記録'!$A$5:$A$1004,$A180,'資格研修記録'!$D$5:$D$1004,"小型船舶1級",'資格研修記録'!$F$5:$F$1004,"")+COUNTIFS('資格研修記録'!$A$5:$A$1004,$A180,'資格研修記録'!$D$5:$D$1004,"小型船舶1級",'資格研修記録'!$F$5:$F$1004,"&gt;="&amp;TODAY()))&gt;0),"1級に含む",IF(COUNTIFS('資格研修記録'!$A$5:$A$1004,$A180,'資格研修記録'!$D$5:$D$1004,G$4)=0,"—",IF(COUNTIFS('資格研修記録'!$A$5:$A$1004,$A180,'資格研修記録'!$D$5:$D$1004,G$4,'資格研修記録'!$F$5:$F$1004,"")+COUNTIFS('資格研修記録'!$A$5:$A$1004,$A180,'資格研修記録'!$D$5:$D$1004,G$4,'資格研修記録'!$F$5:$F$1004,"&gt;="&amp;TODAY())&gt;0,"○","× 期限切れ"))))</f>
        <v/>
      </c>
      <c r="H180" s="15">
        <f>IF(OR($A180="",H$4=""),"",IF(AND(H$4="小型船舶2級",(COUNTIFS('資格研修記録'!$A$5:$A$1004,$A180,'資格研修記録'!$D$5:$D$1004,"小型船舶1級",'資格研修記録'!$F$5:$F$1004,"")+COUNTIFS('資格研修記録'!$A$5:$A$1004,$A180,'資格研修記録'!$D$5:$D$1004,"小型船舶1級",'資格研修記録'!$F$5:$F$1004,"&gt;="&amp;TODAY()))&gt;0),"1級に含む",IF(COUNTIFS('資格研修記録'!$A$5:$A$1004,$A180,'資格研修記録'!$D$5:$D$1004,H$4)=0,"—",IF(COUNTIFS('資格研修記録'!$A$5:$A$1004,$A180,'資格研修記録'!$D$5:$D$1004,H$4,'資格研修記録'!$F$5:$F$1004,"")+COUNTIFS('資格研修記録'!$A$5:$A$1004,$A180,'資格研修記録'!$D$5:$D$1004,H$4,'資格研修記録'!$F$5:$F$1004,"&gt;="&amp;TODAY())&gt;0,"○","× 期限切れ"))))</f>
        <v/>
      </c>
      <c r="I180" s="15">
        <f>IF(OR($A180="",I$4=""),"",IF(AND(I$4="小型船舶2級",(COUNTIFS('資格研修記録'!$A$5:$A$1004,$A180,'資格研修記録'!$D$5:$D$1004,"小型船舶1級",'資格研修記録'!$F$5:$F$1004,"")+COUNTIFS('資格研修記録'!$A$5:$A$1004,$A180,'資格研修記録'!$D$5:$D$1004,"小型船舶1級",'資格研修記録'!$F$5:$F$1004,"&gt;="&amp;TODAY()))&gt;0),"1級に含む",IF(COUNTIFS('資格研修記録'!$A$5:$A$1004,$A180,'資格研修記録'!$D$5:$D$1004,I$4)=0,"—",IF(COUNTIFS('資格研修記録'!$A$5:$A$1004,$A180,'資格研修記録'!$D$5:$D$1004,I$4,'資格研修記録'!$F$5:$F$1004,"")+COUNTIFS('資格研修記録'!$A$5:$A$1004,$A180,'資格研修記録'!$D$5:$D$1004,I$4,'資格研修記録'!$F$5:$F$1004,"&gt;="&amp;TODAY())&gt;0,"○","× 期限切れ"))))</f>
        <v/>
      </c>
      <c r="J180" s="15">
        <f>IF(OR($A180="",J$4=""),"",IF(AND(J$4="小型船舶2級",(COUNTIFS('資格研修記録'!$A$5:$A$1004,$A180,'資格研修記録'!$D$5:$D$1004,"小型船舶1級",'資格研修記録'!$F$5:$F$1004,"")+COUNTIFS('資格研修記録'!$A$5:$A$1004,$A180,'資格研修記録'!$D$5:$D$1004,"小型船舶1級",'資格研修記録'!$F$5:$F$1004,"&gt;="&amp;TODAY()))&gt;0),"1級に含む",IF(COUNTIFS('資格研修記録'!$A$5:$A$1004,$A180,'資格研修記録'!$D$5:$D$1004,J$4)=0,"—",IF(COUNTIFS('資格研修記録'!$A$5:$A$1004,$A180,'資格研修記録'!$D$5:$D$1004,J$4,'資格研修記録'!$F$5:$F$1004,"")+COUNTIFS('資格研修記録'!$A$5:$A$1004,$A180,'資格研修記録'!$D$5:$D$1004,J$4,'資格研修記録'!$F$5:$F$1004,"&gt;="&amp;TODAY())&gt;0,"○","× 期限切れ"))))</f>
        <v/>
      </c>
      <c r="K180" s="15">
        <f>IF(OR($A180="",K$4=""),"",IF(AND(K$4="小型船舶2級",(COUNTIFS('資格研修記録'!$A$5:$A$1004,$A180,'資格研修記録'!$D$5:$D$1004,"小型船舶1級",'資格研修記録'!$F$5:$F$1004,"")+COUNTIFS('資格研修記録'!$A$5:$A$1004,$A180,'資格研修記録'!$D$5:$D$1004,"小型船舶1級",'資格研修記録'!$F$5:$F$1004,"&gt;="&amp;TODAY()))&gt;0),"1級に含む",IF(COUNTIFS('資格研修記録'!$A$5:$A$1004,$A180,'資格研修記録'!$D$5:$D$1004,K$4)=0,"—",IF(COUNTIFS('資格研修記録'!$A$5:$A$1004,$A180,'資格研修記録'!$D$5:$D$1004,K$4,'資格研修記録'!$F$5:$F$1004,"")+COUNTIFS('資格研修記録'!$A$5:$A$1004,$A180,'資格研修記録'!$D$5:$D$1004,K$4,'資格研修記録'!$F$5:$F$1004,"&gt;="&amp;TODAY())&gt;0,"○","× 期限切れ"))))</f>
        <v/>
      </c>
      <c r="L180" s="15">
        <f>IF(OR($A180="",L$4=""),"",IF(AND(L$4="小型船舶2級",(COUNTIFS('資格研修記録'!$A$5:$A$1004,$A180,'資格研修記録'!$D$5:$D$1004,"小型船舶1級",'資格研修記録'!$F$5:$F$1004,"")+COUNTIFS('資格研修記録'!$A$5:$A$1004,$A180,'資格研修記録'!$D$5:$D$1004,"小型船舶1級",'資格研修記録'!$F$5:$F$1004,"&gt;="&amp;TODAY()))&gt;0),"1級に含む",IF(COUNTIFS('資格研修記録'!$A$5:$A$1004,$A180,'資格研修記録'!$D$5:$D$1004,L$4)=0,"—",IF(COUNTIFS('資格研修記録'!$A$5:$A$1004,$A180,'資格研修記録'!$D$5:$D$1004,L$4,'資格研修記録'!$F$5:$F$1004,"")+COUNTIFS('資格研修記録'!$A$5:$A$1004,$A180,'資格研修記録'!$D$5:$D$1004,L$4,'資格研修記録'!$F$5:$F$1004,"&gt;="&amp;TODAY())&gt;0,"○","× 期限切れ"))))</f>
        <v/>
      </c>
    </row>
    <row r="181">
      <c r="A181" s="14">
        <f>IF('隊員マスタ'!A181="","",'隊員マスタ'!A181)</f>
        <v/>
      </c>
      <c r="B181" s="14">
        <f>IF(A181="","",'隊員マスタ'!B181)</f>
        <v/>
      </c>
      <c r="C181" s="14">
        <f>IF(A181="","",'隊員マスタ'!C181)</f>
        <v/>
      </c>
      <c r="D181" s="15">
        <f>IF(A181="","",'隊員マスタ'!D181)</f>
        <v/>
      </c>
      <c r="E181" s="15">
        <f>IF(OR($A181="",E$4=""),"",IF(AND(E$4="小型船舶2級",(COUNTIFS('資格研修記録'!$A$5:$A$1004,$A181,'資格研修記録'!$D$5:$D$1004,"小型船舶1級",'資格研修記録'!$F$5:$F$1004,"")+COUNTIFS('資格研修記録'!$A$5:$A$1004,$A181,'資格研修記録'!$D$5:$D$1004,"小型船舶1級",'資格研修記録'!$F$5:$F$1004,"&gt;="&amp;TODAY()))&gt;0),"1級に含む",IF(COUNTIFS('資格研修記録'!$A$5:$A$1004,$A181,'資格研修記録'!$D$5:$D$1004,E$4)=0,"—",IF(COUNTIFS('資格研修記録'!$A$5:$A$1004,$A181,'資格研修記録'!$D$5:$D$1004,E$4,'資格研修記録'!$F$5:$F$1004,"")+COUNTIFS('資格研修記録'!$A$5:$A$1004,$A181,'資格研修記録'!$D$5:$D$1004,E$4,'資格研修記録'!$F$5:$F$1004,"&gt;="&amp;TODAY())&gt;0,"○","× 期限切れ"))))</f>
        <v/>
      </c>
      <c r="F181" s="15">
        <f>IF(OR($A181="",F$4=""),"",IF(AND(F$4="小型船舶2級",(COUNTIFS('資格研修記録'!$A$5:$A$1004,$A181,'資格研修記録'!$D$5:$D$1004,"小型船舶1級",'資格研修記録'!$F$5:$F$1004,"")+COUNTIFS('資格研修記録'!$A$5:$A$1004,$A181,'資格研修記録'!$D$5:$D$1004,"小型船舶1級",'資格研修記録'!$F$5:$F$1004,"&gt;="&amp;TODAY()))&gt;0),"1級に含む",IF(COUNTIFS('資格研修記録'!$A$5:$A$1004,$A181,'資格研修記録'!$D$5:$D$1004,F$4)=0,"—",IF(COUNTIFS('資格研修記録'!$A$5:$A$1004,$A181,'資格研修記録'!$D$5:$D$1004,F$4,'資格研修記録'!$F$5:$F$1004,"")+COUNTIFS('資格研修記録'!$A$5:$A$1004,$A181,'資格研修記録'!$D$5:$D$1004,F$4,'資格研修記録'!$F$5:$F$1004,"&gt;="&amp;TODAY())&gt;0,"○","× 期限切れ"))))</f>
        <v/>
      </c>
      <c r="G181" s="15">
        <f>IF(OR($A181="",G$4=""),"",IF(AND(G$4="小型船舶2級",(COUNTIFS('資格研修記録'!$A$5:$A$1004,$A181,'資格研修記録'!$D$5:$D$1004,"小型船舶1級",'資格研修記録'!$F$5:$F$1004,"")+COUNTIFS('資格研修記録'!$A$5:$A$1004,$A181,'資格研修記録'!$D$5:$D$1004,"小型船舶1級",'資格研修記録'!$F$5:$F$1004,"&gt;="&amp;TODAY()))&gt;0),"1級に含む",IF(COUNTIFS('資格研修記録'!$A$5:$A$1004,$A181,'資格研修記録'!$D$5:$D$1004,G$4)=0,"—",IF(COUNTIFS('資格研修記録'!$A$5:$A$1004,$A181,'資格研修記録'!$D$5:$D$1004,G$4,'資格研修記録'!$F$5:$F$1004,"")+COUNTIFS('資格研修記録'!$A$5:$A$1004,$A181,'資格研修記録'!$D$5:$D$1004,G$4,'資格研修記録'!$F$5:$F$1004,"&gt;="&amp;TODAY())&gt;0,"○","× 期限切れ"))))</f>
        <v/>
      </c>
      <c r="H181" s="15">
        <f>IF(OR($A181="",H$4=""),"",IF(AND(H$4="小型船舶2級",(COUNTIFS('資格研修記録'!$A$5:$A$1004,$A181,'資格研修記録'!$D$5:$D$1004,"小型船舶1級",'資格研修記録'!$F$5:$F$1004,"")+COUNTIFS('資格研修記録'!$A$5:$A$1004,$A181,'資格研修記録'!$D$5:$D$1004,"小型船舶1級",'資格研修記録'!$F$5:$F$1004,"&gt;="&amp;TODAY()))&gt;0),"1級に含む",IF(COUNTIFS('資格研修記録'!$A$5:$A$1004,$A181,'資格研修記録'!$D$5:$D$1004,H$4)=0,"—",IF(COUNTIFS('資格研修記録'!$A$5:$A$1004,$A181,'資格研修記録'!$D$5:$D$1004,H$4,'資格研修記録'!$F$5:$F$1004,"")+COUNTIFS('資格研修記録'!$A$5:$A$1004,$A181,'資格研修記録'!$D$5:$D$1004,H$4,'資格研修記録'!$F$5:$F$1004,"&gt;="&amp;TODAY())&gt;0,"○","× 期限切れ"))))</f>
        <v/>
      </c>
      <c r="I181" s="15">
        <f>IF(OR($A181="",I$4=""),"",IF(AND(I$4="小型船舶2級",(COUNTIFS('資格研修記録'!$A$5:$A$1004,$A181,'資格研修記録'!$D$5:$D$1004,"小型船舶1級",'資格研修記録'!$F$5:$F$1004,"")+COUNTIFS('資格研修記録'!$A$5:$A$1004,$A181,'資格研修記録'!$D$5:$D$1004,"小型船舶1級",'資格研修記録'!$F$5:$F$1004,"&gt;="&amp;TODAY()))&gt;0),"1級に含む",IF(COUNTIFS('資格研修記録'!$A$5:$A$1004,$A181,'資格研修記録'!$D$5:$D$1004,I$4)=0,"—",IF(COUNTIFS('資格研修記録'!$A$5:$A$1004,$A181,'資格研修記録'!$D$5:$D$1004,I$4,'資格研修記録'!$F$5:$F$1004,"")+COUNTIFS('資格研修記録'!$A$5:$A$1004,$A181,'資格研修記録'!$D$5:$D$1004,I$4,'資格研修記録'!$F$5:$F$1004,"&gt;="&amp;TODAY())&gt;0,"○","× 期限切れ"))))</f>
        <v/>
      </c>
      <c r="J181" s="15">
        <f>IF(OR($A181="",J$4=""),"",IF(AND(J$4="小型船舶2級",(COUNTIFS('資格研修記録'!$A$5:$A$1004,$A181,'資格研修記録'!$D$5:$D$1004,"小型船舶1級",'資格研修記録'!$F$5:$F$1004,"")+COUNTIFS('資格研修記録'!$A$5:$A$1004,$A181,'資格研修記録'!$D$5:$D$1004,"小型船舶1級",'資格研修記録'!$F$5:$F$1004,"&gt;="&amp;TODAY()))&gt;0),"1級に含む",IF(COUNTIFS('資格研修記録'!$A$5:$A$1004,$A181,'資格研修記録'!$D$5:$D$1004,J$4)=0,"—",IF(COUNTIFS('資格研修記録'!$A$5:$A$1004,$A181,'資格研修記録'!$D$5:$D$1004,J$4,'資格研修記録'!$F$5:$F$1004,"")+COUNTIFS('資格研修記録'!$A$5:$A$1004,$A181,'資格研修記録'!$D$5:$D$1004,J$4,'資格研修記録'!$F$5:$F$1004,"&gt;="&amp;TODAY())&gt;0,"○","× 期限切れ"))))</f>
        <v/>
      </c>
      <c r="K181" s="15">
        <f>IF(OR($A181="",K$4=""),"",IF(AND(K$4="小型船舶2級",(COUNTIFS('資格研修記録'!$A$5:$A$1004,$A181,'資格研修記録'!$D$5:$D$1004,"小型船舶1級",'資格研修記録'!$F$5:$F$1004,"")+COUNTIFS('資格研修記録'!$A$5:$A$1004,$A181,'資格研修記録'!$D$5:$D$1004,"小型船舶1級",'資格研修記録'!$F$5:$F$1004,"&gt;="&amp;TODAY()))&gt;0),"1級に含む",IF(COUNTIFS('資格研修記録'!$A$5:$A$1004,$A181,'資格研修記録'!$D$5:$D$1004,K$4)=0,"—",IF(COUNTIFS('資格研修記録'!$A$5:$A$1004,$A181,'資格研修記録'!$D$5:$D$1004,K$4,'資格研修記録'!$F$5:$F$1004,"")+COUNTIFS('資格研修記録'!$A$5:$A$1004,$A181,'資格研修記録'!$D$5:$D$1004,K$4,'資格研修記録'!$F$5:$F$1004,"&gt;="&amp;TODAY())&gt;0,"○","× 期限切れ"))))</f>
        <v/>
      </c>
      <c r="L181" s="15">
        <f>IF(OR($A181="",L$4=""),"",IF(AND(L$4="小型船舶2級",(COUNTIFS('資格研修記録'!$A$5:$A$1004,$A181,'資格研修記録'!$D$5:$D$1004,"小型船舶1級",'資格研修記録'!$F$5:$F$1004,"")+COUNTIFS('資格研修記録'!$A$5:$A$1004,$A181,'資格研修記録'!$D$5:$D$1004,"小型船舶1級",'資格研修記録'!$F$5:$F$1004,"&gt;="&amp;TODAY()))&gt;0),"1級に含む",IF(COUNTIFS('資格研修記録'!$A$5:$A$1004,$A181,'資格研修記録'!$D$5:$D$1004,L$4)=0,"—",IF(COUNTIFS('資格研修記録'!$A$5:$A$1004,$A181,'資格研修記録'!$D$5:$D$1004,L$4,'資格研修記録'!$F$5:$F$1004,"")+COUNTIFS('資格研修記録'!$A$5:$A$1004,$A181,'資格研修記録'!$D$5:$D$1004,L$4,'資格研修記録'!$F$5:$F$1004,"&gt;="&amp;TODAY())&gt;0,"○","× 期限切れ"))))</f>
        <v/>
      </c>
    </row>
    <row r="182">
      <c r="A182" s="14">
        <f>IF('隊員マスタ'!A182="","",'隊員マスタ'!A182)</f>
        <v/>
      </c>
      <c r="B182" s="14">
        <f>IF(A182="","",'隊員マスタ'!B182)</f>
        <v/>
      </c>
      <c r="C182" s="14">
        <f>IF(A182="","",'隊員マスタ'!C182)</f>
        <v/>
      </c>
      <c r="D182" s="15">
        <f>IF(A182="","",'隊員マスタ'!D182)</f>
        <v/>
      </c>
      <c r="E182" s="15">
        <f>IF(OR($A182="",E$4=""),"",IF(AND(E$4="小型船舶2級",(COUNTIFS('資格研修記録'!$A$5:$A$1004,$A182,'資格研修記録'!$D$5:$D$1004,"小型船舶1級",'資格研修記録'!$F$5:$F$1004,"")+COUNTIFS('資格研修記録'!$A$5:$A$1004,$A182,'資格研修記録'!$D$5:$D$1004,"小型船舶1級",'資格研修記録'!$F$5:$F$1004,"&gt;="&amp;TODAY()))&gt;0),"1級に含む",IF(COUNTIFS('資格研修記録'!$A$5:$A$1004,$A182,'資格研修記録'!$D$5:$D$1004,E$4)=0,"—",IF(COUNTIFS('資格研修記録'!$A$5:$A$1004,$A182,'資格研修記録'!$D$5:$D$1004,E$4,'資格研修記録'!$F$5:$F$1004,"")+COUNTIFS('資格研修記録'!$A$5:$A$1004,$A182,'資格研修記録'!$D$5:$D$1004,E$4,'資格研修記録'!$F$5:$F$1004,"&gt;="&amp;TODAY())&gt;0,"○","× 期限切れ"))))</f>
        <v/>
      </c>
      <c r="F182" s="15">
        <f>IF(OR($A182="",F$4=""),"",IF(AND(F$4="小型船舶2級",(COUNTIFS('資格研修記録'!$A$5:$A$1004,$A182,'資格研修記録'!$D$5:$D$1004,"小型船舶1級",'資格研修記録'!$F$5:$F$1004,"")+COUNTIFS('資格研修記録'!$A$5:$A$1004,$A182,'資格研修記録'!$D$5:$D$1004,"小型船舶1級",'資格研修記録'!$F$5:$F$1004,"&gt;="&amp;TODAY()))&gt;0),"1級に含む",IF(COUNTIFS('資格研修記録'!$A$5:$A$1004,$A182,'資格研修記録'!$D$5:$D$1004,F$4)=0,"—",IF(COUNTIFS('資格研修記録'!$A$5:$A$1004,$A182,'資格研修記録'!$D$5:$D$1004,F$4,'資格研修記録'!$F$5:$F$1004,"")+COUNTIFS('資格研修記録'!$A$5:$A$1004,$A182,'資格研修記録'!$D$5:$D$1004,F$4,'資格研修記録'!$F$5:$F$1004,"&gt;="&amp;TODAY())&gt;0,"○","× 期限切れ"))))</f>
        <v/>
      </c>
      <c r="G182" s="15">
        <f>IF(OR($A182="",G$4=""),"",IF(AND(G$4="小型船舶2級",(COUNTIFS('資格研修記録'!$A$5:$A$1004,$A182,'資格研修記録'!$D$5:$D$1004,"小型船舶1級",'資格研修記録'!$F$5:$F$1004,"")+COUNTIFS('資格研修記録'!$A$5:$A$1004,$A182,'資格研修記録'!$D$5:$D$1004,"小型船舶1級",'資格研修記録'!$F$5:$F$1004,"&gt;="&amp;TODAY()))&gt;0),"1級に含む",IF(COUNTIFS('資格研修記録'!$A$5:$A$1004,$A182,'資格研修記録'!$D$5:$D$1004,G$4)=0,"—",IF(COUNTIFS('資格研修記録'!$A$5:$A$1004,$A182,'資格研修記録'!$D$5:$D$1004,G$4,'資格研修記録'!$F$5:$F$1004,"")+COUNTIFS('資格研修記録'!$A$5:$A$1004,$A182,'資格研修記録'!$D$5:$D$1004,G$4,'資格研修記録'!$F$5:$F$1004,"&gt;="&amp;TODAY())&gt;0,"○","× 期限切れ"))))</f>
        <v/>
      </c>
      <c r="H182" s="15">
        <f>IF(OR($A182="",H$4=""),"",IF(AND(H$4="小型船舶2級",(COUNTIFS('資格研修記録'!$A$5:$A$1004,$A182,'資格研修記録'!$D$5:$D$1004,"小型船舶1級",'資格研修記録'!$F$5:$F$1004,"")+COUNTIFS('資格研修記録'!$A$5:$A$1004,$A182,'資格研修記録'!$D$5:$D$1004,"小型船舶1級",'資格研修記録'!$F$5:$F$1004,"&gt;="&amp;TODAY()))&gt;0),"1級に含む",IF(COUNTIFS('資格研修記録'!$A$5:$A$1004,$A182,'資格研修記録'!$D$5:$D$1004,H$4)=0,"—",IF(COUNTIFS('資格研修記録'!$A$5:$A$1004,$A182,'資格研修記録'!$D$5:$D$1004,H$4,'資格研修記録'!$F$5:$F$1004,"")+COUNTIFS('資格研修記録'!$A$5:$A$1004,$A182,'資格研修記録'!$D$5:$D$1004,H$4,'資格研修記録'!$F$5:$F$1004,"&gt;="&amp;TODAY())&gt;0,"○","× 期限切れ"))))</f>
        <v/>
      </c>
      <c r="I182" s="15">
        <f>IF(OR($A182="",I$4=""),"",IF(AND(I$4="小型船舶2級",(COUNTIFS('資格研修記録'!$A$5:$A$1004,$A182,'資格研修記録'!$D$5:$D$1004,"小型船舶1級",'資格研修記録'!$F$5:$F$1004,"")+COUNTIFS('資格研修記録'!$A$5:$A$1004,$A182,'資格研修記録'!$D$5:$D$1004,"小型船舶1級",'資格研修記録'!$F$5:$F$1004,"&gt;="&amp;TODAY()))&gt;0),"1級に含む",IF(COUNTIFS('資格研修記録'!$A$5:$A$1004,$A182,'資格研修記録'!$D$5:$D$1004,I$4)=0,"—",IF(COUNTIFS('資格研修記録'!$A$5:$A$1004,$A182,'資格研修記録'!$D$5:$D$1004,I$4,'資格研修記録'!$F$5:$F$1004,"")+COUNTIFS('資格研修記録'!$A$5:$A$1004,$A182,'資格研修記録'!$D$5:$D$1004,I$4,'資格研修記録'!$F$5:$F$1004,"&gt;="&amp;TODAY())&gt;0,"○","× 期限切れ"))))</f>
        <v/>
      </c>
      <c r="J182" s="15">
        <f>IF(OR($A182="",J$4=""),"",IF(AND(J$4="小型船舶2級",(COUNTIFS('資格研修記録'!$A$5:$A$1004,$A182,'資格研修記録'!$D$5:$D$1004,"小型船舶1級",'資格研修記録'!$F$5:$F$1004,"")+COUNTIFS('資格研修記録'!$A$5:$A$1004,$A182,'資格研修記録'!$D$5:$D$1004,"小型船舶1級",'資格研修記録'!$F$5:$F$1004,"&gt;="&amp;TODAY()))&gt;0),"1級に含む",IF(COUNTIFS('資格研修記録'!$A$5:$A$1004,$A182,'資格研修記録'!$D$5:$D$1004,J$4)=0,"—",IF(COUNTIFS('資格研修記録'!$A$5:$A$1004,$A182,'資格研修記録'!$D$5:$D$1004,J$4,'資格研修記録'!$F$5:$F$1004,"")+COUNTIFS('資格研修記録'!$A$5:$A$1004,$A182,'資格研修記録'!$D$5:$D$1004,J$4,'資格研修記録'!$F$5:$F$1004,"&gt;="&amp;TODAY())&gt;0,"○","× 期限切れ"))))</f>
        <v/>
      </c>
      <c r="K182" s="15">
        <f>IF(OR($A182="",K$4=""),"",IF(AND(K$4="小型船舶2級",(COUNTIFS('資格研修記録'!$A$5:$A$1004,$A182,'資格研修記録'!$D$5:$D$1004,"小型船舶1級",'資格研修記録'!$F$5:$F$1004,"")+COUNTIFS('資格研修記録'!$A$5:$A$1004,$A182,'資格研修記録'!$D$5:$D$1004,"小型船舶1級",'資格研修記録'!$F$5:$F$1004,"&gt;="&amp;TODAY()))&gt;0),"1級に含む",IF(COUNTIFS('資格研修記録'!$A$5:$A$1004,$A182,'資格研修記録'!$D$5:$D$1004,K$4)=0,"—",IF(COUNTIFS('資格研修記録'!$A$5:$A$1004,$A182,'資格研修記録'!$D$5:$D$1004,K$4,'資格研修記録'!$F$5:$F$1004,"")+COUNTIFS('資格研修記録'!$A$5:$A$1004,$A182,'資格研修記録'!$D$5:$D$1004,K$4,'資格研修記録'!$F$5:$F$1004,"&gt;="&amp;TODAY())&gt;0,"○","× 期限切れ"))))</f>
        <v/>
      </c>
      <c r="L182" s="15">
        <f>IF(OR($A182="",L$4=""),"",IF(AND(L$4="小型船舶2級",(COUNTIFS('資格研修記録'!$A$5:$A$1004,$A182,'資格研修記録'!$D$5:$D$1004,"小型船舶1級",'資格研修記録'!$F$5:$F$1004,"")+COUNTIFS('資格研修記録'!$A$5:$A$1004,$A182,'資格研修記録'!$D$5:$D$1004,"小型船舶1級",'資格研修記録'!$F$5:$F$1004,"&gt;="&amp;TODAY()))&gt;0),"1級に含む",IF(COUNTIFS('資格研修記録'!$A$5:$A$1004,$A182,'資格研修記録'!$D$5:$D$1004,L$4)=0,"—",IF(COUNTIFS('資格研修記録'!$A$5:$A$1004,$A182,'資格研修記録'!$D$5:$D$1004,L$4,'資格研修記録'!$F$5:$F$1004,"")+COUNTIFS('資格研修記録'!$A$5:$A$1004,$A182,'資格研修記録'!$D$5:$D$1004,L$4,'資格研修記録'!$F$5:$F$1004,"&gt;="&amp;TODAY())&gt;0,"○","× 期限切れ"))))</f>
        <v/>
      </c>
    </row>
    <row r="183">
      <c r="A183" s="14">
        <f>IF('隊員マスタ'!A183="","",'隊員マスタ'!A183)</f>
        <v/>
      </c>
      <c r="B183" s="14">
        <f>IF(A183="","",'隊員マスタ'!B183)</f>
        <v/>
      </c>
      <c r="C183" s="14">
        <f>IF(A183="","",'隊員マスタ'!C183)</f>
        <v/>
      </c>
      <c r="D183" s="15">
        <f>IF(A183="","",'隊員マスタ'!D183)</f>
        <v/>
      </c>
      <c r="E183" s="15">
        <f>IF(OR($A183="",E$4=""),"",IF(AND(E$4="小型船舶2級",(COUNTIFS('資格研修記録'!$A$5:$A$1004,$A183,'資格研修記録'!$D$5:$D$1004,"小型船舶1級",'資格研修記録'!$F$5:$F$1004,"")+COUNTIFS('資格研修記録'!$A$5:$A$1004,$A183,'資格研修記録'!$D$5:$D$1004,"小型船舶1級",'資格研修記録'!$F$5:$F$1004,"&gt;="&amp;TODAY()))&gt;0),"1級に含む",IF(COUNTIFS('資格研修記録'!$A$5:$A$1004,$A183,'資格研修記録'!$D$5:$D$1004,E$4)=0,"—",IF(COUNTIFS('資格研修記録'!$A$5:$A$1004,$A183,'資格研修記録'!$D$5:$D$1004,E$4,'資格研修記録'!$F$5:$F$1004,"")+COUNTIFS('資格研修記録'!$A$5:$A$1004,$A183,'資格研修記録'!$D$5:$D$1004,E$4,'資格研修記録'!$F$5:$F$1004,"&gt;="&amp;TODAY())&gt;0,"○","× 期限切れ"))))</f>
        <v/>
      </c>
      <c r="F183" s="15">
        <f>IF(OR($A183="",F$4=""),"",IF(AND(F$4="小型船舶2級",(COUNTIFS('資格研修記録'!$A$5:$A$1004,$A183,'資格研修記録'!$D$5:$D$1004,"小型船舶1級",'資格研修記録'!$F$5:$F$1004,"")+COUNTIFS('資格研修記録'!$A$5:$A$1004,$A183,'資格研修記録'!$D$5:$D$1004,"小型船舶1級",'資格研修記録'!$F$5:$F$1004,"&gt;="&amp;TODAY()))&gt;0),"1級に含む",IF(COUNTIFS('資格研修記録'!$A$5:$A$1004,$A183,'資格研修記録'!$D$5:$D$1004,F$4)=0,"—",IF(COUNTIFS('資格研修記録'!$A$5:$A$1004,$A183,'資格研修記録'!$D$5:$D$1004,F$4,'資格研修記録'!$F$5:$F$1004,"")+COUNTIFS('資格研修記録'!$A$5:$A$1004,$A183,'資格研修記録'!$D$5:$D$1004,F$4,'資格研修記録'!$F$5:$F$1004,"&gt;="&amp;TODAY())&gt;0,"○","× 期限切れ"))))</f>
        <v/>
      </c>
      <c r="G183" s="15">
        <f>IF(OR($A183="",G$4=""),"",IF(AND(G$4="小型船舶2級",(COUNTIFS('資格研修記録'!$A$5:$A$1004,$A183,'資格研修記録'!$D$5:$D$1004,"小型船舶1級",'資格研修記録'!$F$5:$F$1004,"")+COUNTIFS('資格研修記録'!$A$5:$A$1004,$A183,'資格研修記録'!$D$5:$D$1004,"小型船舶1級",'資格研修記録'!$F$5:$F$1004,"&gt;="&amp;TODAY()))&gt;0),"1級に含む",IF(COUNTIFS('資格研修記録'!$A$5:$A$1004,$A183,'資格研修記録'!$D$5:$D$1004,G$4)=0,"—",IF(COUNTIFS('資格研修記録'!$A$5:$A$1004,$A183,'資格研修記録'!$D$5:$D$1004,G$4,'資格研修記録'!$F$5:$F$1004,"")+COUNTIFS('資格研修記録'!$A$5:$A$1004,$A183,'資格研修記録'!$D$5:$D$1004,G$4,'資格研修記録'!$F$5:$F$1004,"&gt;="&amp;TODAY())&gt;0,"○","× 期限切れ"))))</f>
        <v/>
      </c>
      <c r="H183" s="15">
        <f>IF(OR($A183="",H$4=""),"",IF(AND(H$4="小型船舶2級",(COUNTIFS('資格研修記録'!$A$5:$A$1004,$A183,'資格研修記録'!$D$5:$D$1004,"小型船舶1級",'資格研修記録'!$F$5:$F$1004,"")+COUNTIFS('資格研修記録'!$A$5:$A$1004,$A183,'資格研修記録'!$D$5:$D$1004,"小型船舶1級",'資格研修記録'!$F$5:$F$1004,"&gt;="&amp;TODAY()))&gt;0),"1級に含む",IF(COUNTIFS('資格研修記録'!$A$5:$A$1004,$A183,'資格研修記録'!$D$5:$D$1004,H$4)=0,"—",IF(COUNTIFS('資格研修記録'!$A$5:$A$1004,$A183,'資格研修記録'!$D$5:$D$1004,H$4,'資格研修記録'!$F$5:$F$1004,"")+COUNTIFS('資格研修記録'!$A$5:$A$1004,$A183,'資格研修記録'!$D$5:$D$1004,H$4,'資格研修記録'!$F$5:$F$1004,"&gt;="&amp;TODAY())&gt;0,"○","× 期限切れ"))))</f>
        <v/>
      </c>
      <c r="I183" s="15">
        <f>IF(OR($A183="",I$4=""),"",IF(AND(I$4="小型船舶2級",(COUNTIFS('資格研修記録'!$A$5:$A$1004,$A183,'資格研修記録'!$D$5:$D$1004,"小型船舶1級",'資格研修記録'!$F$5:$F$1004,"")+COUNTIFS('資格研修記録'!$A$5:$A$1004,$A183,'資格研修記録'!$D$5:$D$1004,"小型船舶1級",'資格研修記録'!$F$5:$F$1004,"&gt;="&amp;TODAY()))&gt;0),"1級に含む",IF(COUNTIFS('資格研修記録'!$A$5:$A$1004,$A183,'資格研修記録'!$D$5:$D$1004,I$4)=0,"—",IF(COUNTIFS('資格研修記録'!$A$5:$A$1004,$A183,'資格研修記録'!$D$5:$D$1004,I$4,'資格研修記録'!$F$5:$F$1004,"")+COUNTIFS('資格研修記録'!$A$5:$A$1004,$A183,'資格研修記録'!$D$5:$D$1004,I$4,'資格研修記録'!$F$5:$F$1004,"&gt;="&amp;TODAY())&gt;0,"○","× 期限切れ"))))</f>
        <v/>
      </c>
      <c r="J183" s="15">
        <f>IF(OR($A183="",J$4=""),"",IF(AND(J$4="小型船舶2級",(COUNTIFS('資格研修記録'!$A$5:$A$1004,$A183,'資格研修記録'!$D$5:$D$1004,"小型船舶1級",'資格研修記録'!$F$5:$F$1004,"")+COUNTIFS('資格研修記録'!$A$5:$A$1004,$A183,'資格研修記録'!$D$5:$D$1004,"小型船舶1級",'資格研修記録'!$F$5:$F$1004,"&gt;="&amp;TODAY()))&gt;0),"1級に含む",IF(COUNTIFS('資格研修記録'!$A$5:$A$1004,$A183,'資格研修記録'!$D$5:$D$1004,J$4)=0,"—",IF(COUNTIFS('資格研修記録'!$A$5:$A$1004,$A183,'資格研修記録'!$D$5:$D$1004,J$4,'資格研修記録'!$F$5:$F$1004,"")+COUNTIFS('資格研修記録'!$A$5:$A$1004,$A183,'資格研修記録'!$D$5:$D$1004,J$4,'資格研修記録'!$F$5:$F$1004,"&gt;="&amp;TODAY())&gt;0,"○","× 期限切れ"))))</f>
        <v/>
      </c>
      <c r="K183" s="15">
        <f>IF(OR($A183="",K$4=""),"",IF(AND(K$4="小型船舶2級",(COUNTIFS('資格研修記録'!$A$5:$A$1004,$A183,'資格研修記録'!$D$5:$D$1004,"小型船舶1級",'資格研修記録'!$F$5:$F$1004,"")+COUNTIFS('資格研修記録'!$A$5:$A$1004,$A183,'資格研修記録'!$D$5:$D$1004,"小型船舶1級",'資格研修記録'!$F$5:$F$1004,"&gt;="&amp;TODAY()))&gt;0),"1級に含む",IF(COUNTIFS('資格研修記録'!$A$5:$A$1004,$A183,'資格研修記録'!$D$5:$D$1004,K$4)=0,"—",IF(COUNTIFS('資格研修記録'!$A$5:$A$1004,$A183,'資格研修記録'!$D$5:$D$1004,K$4,'資格研修記録'!$F$5:$F$1004,"")+COUNTIFS('資格研修記録'!$A$5:$A$1004,$A183,'資格研修記録'!$D$5:$D$1004,K$4,'資格研修記録'!$F$5:$F$1004,"&gt;="&amp;TODAY())&gt;0,"○","× 期限切れ"))))</f>
        <v/>
      </c>
      <c r="L183" s="15">
        <f>IF(OR($A183="",L$4=""),"",IF(AND(L$4="小型船舶2級",(COUNTIFS('資格研修記録'!$A$5:$A$1004,$A183,'資格研修記録'!$D$5:$D$1004,"小型船舶1級",'資格研修記録'!$F$5:$F$1004,"")+COUNTIFS('資格研修記録'!$A$5:$A$1004,$A183,'資格研修記録'!$D$5:$D$1004,"小型船舶1級",'資格研修記録'!$F$5:$F$1004,"&gt;="&amp;TODAY()))&gt;0),"1級に含む",IF(COUNTIFS('資格研修記録'!$A$5:$A$1004,$A183,'資格研修記録'!$D$5:$D$1004,L$4)=0,"—",IF(COUNTIFS('資格研修記録'!$A$5:$A$1004,$A183,'資格研修記録'!$D$5:$D$1004,L$4,'資格研修記録'!$F$5:$F$1004,"")+COUNTIFS('資格研修記録'!$A$5:$A$1004,$A183,'資格研修記録'!$D$5:$D$1004,L$4,'資格研修記録'!$F$5:$F$1004,"&gt;="&amp;TODAY())&gt;0,"○","× 期限切れ"))))</f>
        <v/>
      </c>
    </row>
    <row r="184">
      <c r="A184" s="14">
        <f>IF('隊員マスタ'!A184="","",'隊員マスタ'!A184)</f>
        <v/>
      </c>
      <c r="B184" s="14">
        <f>IF(A184="","",'隊員マスタ'!B184)</f>
        <v/>
      </c>
      <c r="C184" s="14">
        <f>IF(A184="","",'隊員マスタ'!C184)</f>
        <v/>
      </c>
      <c r="D184" s="15">
        <f>IF(A184="","",'隊員マスタ'!D184)</f>
        <v/>
      </c>
      <c r="E184" s="15">
        <f>IF(OR($A184="",E$4=""),"",IF(AND(E$4="小型船舶2級",(COUNTIFS('資格研修記録'!$A$5:$A$1004,$A184,'資格研修記録'!$D$5:$D$1004,"小型船舶1級",'資格研修記録'!$F$5:$F$1004,"")+COUNTIFS('資格研修記録'!$A$5:$A$1004,$A184,'資格研修記録'!$D$5:$D$1004,"小型船舶1級",'資格研修記録'!$F$5:$F$1004,"&gt;="&amp;TODAY()))&gt;0),"1級に含む",IF(COUNTIFS('資格研修記録'!$A$5:$A$1004,$A184,'資格研修記録'!$D$5:$D$1004,E$4)=0,"—",IF(COUNTIFS('資格研修記録'!$A$5:$A$1004,$A184,'資格研修記録'!$D$5:$D$1004,E$4,'資格研修記録'!$F$5:$F$1004,"")+COUNTIFS('資格研修記録'!$A$5:$A$1004,$A184,'資格研修記録'!$D$5:$D$1004,E$4,'資格研修記録'!$F$5:$F$1004,"&gt;="&amp;TODAY())&gt;0,"○","× 期限切れ"))))</f>
        <v/>
      </c>
      <c r="F184" s="15">
        <f>IF(OR($A184="",F$4=""),"",IF(AND(F$4="小型船舶2級",(COUNTIFS('資格研修記録'!$A$5:$A$1004,$A184,'資格研修記録'!$D$5:$D$1004,"小型船舶1級",'資格研修記録'!$F$5:$F$1004,"")+COUNTIFS('資格研修記録'!$A$5:$A$1004,$A184,'資格研修記録'!$D$5:$D$1004,"小型船舶1級",'資格研修記録'!$F$5:$F$1004,"&gt;="&amp;TODAY()))&gt;0),"1級に含む",IF(COUNTIFS('資格研修記録'!$A$5:$A$1004,$A184,'資格研修記録'!$D$5:$D$1004,F$4)=0,"—",IF(COUNTIFS('資格研修記録'!$A$5:$A$1004,$A184,'資格研修記録'!$D$5:$D$1004,F$4,'資格研修記録'!$F$5:$F$1004,"")+COUNTIFS('資格研修記録'!$A$5:$A$1004,$A184,'資格研修記録'!$D$5:$D$1004,F$4,'資格研修記録'!$F$5:$F$1004,"&gt;="&amp;TODAY())&gt;0,"○","× 期限切れ"))))</f>
        <v/>
      </c>
      <c r="G184" s="15">
        <f>IF(OR($A184="",G$4=""),"",IF(AND(G$4="小型船舶2級",(COUNTIFS('資格研修記録'!$A$5:$A$1004,$A184,'資格研修記録'!$D$5:$D$1004,"小型船舶1級",'資格研修記録'!$F$5:$F$1004,"")+COUNTIFS('資格研修記録'!$A$5:$A$1004,$A184,'資格研修記録'!$D$5:$D$1004,"小型船舶1級",'資格研修記録'!$F$5:$F$1004,"&gt;="&amp;TODAY()))&gt;0),"1級に含む",IF(COUNTIFS('資格研修記録'!$A$5:$A$1004,$A184,'資格研修記録'!$D$5:$D$1004,G$4)=0,"—",IF(COUNTIFS('資格研修記録'!$A$5:$A$1004,$A184,'資格研修記録'!$D$5:$D$1004,G$4,'資格研修記録'!$F$5:$F$1004,"")+COUNTIFS('資格研修記録'!$A$5:$A$1004,$A184,'資格研修記録'!$D$5:$D$1004,G$4,'資格研修記録'!$F$5:$F$1004,"&gt;="&amp;TODAY())&gt;0,"○","× 期限切れ"))))</f>
        <v/>
      </c>
      <c r="H184" s="15">
        <f>IF(OR($A184="",H$4=""),"",IF(AND(H$4="小型船舶2級",(COUNTIFS('資格研修記録'!$A$5:$A$1004,$A184,'資格研修記録'!$D$5:$D$1004,"小型船舶1級",'資格研修記録'!$F$5:$F$1004,"")+COUNTIFS('資格研修記録'!$A$5:$A$1004,$A184,'資格研修記録'!$D$5:$D$1004,"小型船舶1級",'資格研修記録'!$F$5:$F$1004,"&gt;="&amp;TODAY()))&gt;0),"1級に含む",IF(COUNTIFS('資格研修記録'!$A$5:$A$1004,$A184,'資格研修記録'!$D$5:$D$1004,H$4)=0,"—",IF(COUNTIFS('資格研修記録'!$A$5:$A$1004,$A184,'資格研修記録'!$D$5:$D$1004,H$4,'資格研修記録'!$F$5:$F$1004,"")+COUNTIFS('資格研修記録'!$A$5:$A$1004,$A184,'資格研修記録'!$D$5:$D$1004,H$4,'資格研修記録'!$F$5:$F$1004,"&gt;="&amp;TODAY())&gt;0,"○","× 期限切れ"))))</f>
        <v/>
      </c>
      <c r="I184" s="15">
        <f>IF(OR($A184="",I$4=""),"",IF(AND(I$4="小型船舶2級",(COUNTIFS('資格研修記録'!$A$5:$A$1004,$A184,'資格研修記録'!$D$5:$D$1004,"小型船舶1級",'資格研修記録'!$F$5:$F$1004,"")+COUNTIFS('資格研修記録'!$A$5:$A$1004,$A184,'資格研修記録'!$D$5:$D$1004,"小型船舶1級",'資格研修記録'!$F$5:$F$1004,"&gt;="&amp;TODAY()))&gt;0),"1級に含む",IF(COUNTIFS('資格研修記録'!$A$5:$A$1004,$A184,'資格研修記録'!$D$5:$D$1004,I$4)=0,"—",IF(COUNTIFS('資格研修記録'!$A$5:$A$1004,$A184,'資格研修記録'!$D$5:$D$1004,I$4,'資格研修記録'!$F$5:$F$1004,"")+COUNTIFS('資格研修記録'!$A$5:$A$1004,$A184,'資格研修記録'!$D$5:$D$1004,I$4,'資格研修記録'!$F$5:$F$1004,"&gt;="&amp;TODAY())&gt;0,"○","× 期限切れ"))))</f>
        <v/>
      </c>
      <c r="J184" s="15">
        <f>IF(OR($A184="",J$4=""),"",IF(AND(J$4="小型船舶2級",(COUNTIFS('資格研修記録'!$A$5:$A$1004,$A184,'資格研修記録'!$D$5:$D$1004,"小型船舶1級",'資格研修記録'!$F$5:$F$1004,"")+COUNTIFS('資格研修記録'!$A$5:$A$1004,$A184,'資格研修記録'!$D$5:$D$1004,"小型船舶1級",'資格研修記録'!$F$5:$F$1004,"&gt;="&amp;TODAY()))&gt;0),"1級に含む",IF(COUNTIFS('資格研修記録'!$A$5:$A$1004,$A184,'資格研修記録'!$D$5:$D$1004,J$4)=0,"—",IF(COUNTIFS('資格研修記録'!$A$5:$A$1004,$A184,'資格研修記録'!$D$5:$D$1004,J$4,'資格研修記録'!$F$5:$F$1004,"")+COUNTIFS('資格研修記録'!$A$5:$A$1004,$A184,'資格研修記録'!$D$5:$D$1004,J$4,'資格研修記録'!$F$5:$F$1004,"&gt;="&amp;TODAY())&gt;0,"○","× 期限切れ"))))</f>
        <v/>
      </c>
      <c r="K184" s="15">
        <f>IF(OR($A184="",K$4=""),"",IF(AND(K$4="小型船舶2級",(COUNTIFS('資格研修記録'!$A$5:$A$1004,$A184,'資格研修記録'!$D$5:$D$1004,"小型船舶1級",'資格研修記録'!$F$5:$F$1004,"")+COUNTIFS('資格研修記録'!$A$5:$A$1004,$A184,'資格研修記録'!$D$5:$D$1004,"小型船舶1級",'資格研修記録'!$F$5:$F$1004,"&gt;="&amp;TODAY()))&gt;0),"1級に含む",IF(COUNTIFS('資格研修記録'!$A$5:$A$1004,$A184,'資格研修記録'!$D$5:$D$1004,K$4)=0,"—",IF(COUNTIFS('資格研修記録'!$A$5:$A$1004,$A184,'資格研修記録'!$D$5:$D$1004,K$4,'資格研修記録'!$F$5:$F$1004,"")+COUNTIFS('資格研修記録'!$A$5:$A$1004,$A184,'資格研修記録'!$D$5:$D$1004,K$4,'資格研修記録'!$F$5:$F$1004,"&gt;="&amp;TODAY())&gt;0,"○","× 期限切れ"))))</f>
        <v/>
      </c>
      <c r="L184" s="15">
        <f>IF(OR($A184="",L$4=""),"",IF(AND(L$4="小型船舶2級",(COUNTIFS('資格研修記録'!$A$5:$A$1004,$A184,'資格研修記録'!$D$5:$D$1004,"小型船舶1級",'資格研修記録'!$F$5:$F$1004,"")+COUNTIFS('資格研修記録'!$A$5:$A$1004,$A184,'資格研修記録'!$D$5:$D$1004,"小型船舶1級",'資格研修記録'!$F$5:$F$1004,"&gt;="&amp;TODAY()))&gt;0),"1級に含む",IF(COUNTIFS('資格研修記録'!$A$5:$A$1004,$A184,'資格研修記録'!$D$5:$D$1004,L$4)=0,"—",IF(COUNTIFS('資格研修記録'!$A$5:$A$1004,$A184,'資格研修記録'!$D$5:$D$1004,L$4,'資格研修記録'!$F$5:$F$1004,"")+COUNTIFS('資格研修記録'!$A$5:$A$1004,$A184,'資格研修記録'!$D$5:$D$1004,L$4,'資格研修記録'!$F$5:$F$1004,"&gt;="&amp;TODAY())&gt;0,"○","× 期限切れ"))))</f>
        <v/>
      </c>
    </row>
    <row r="185">
      <c r="A185" s="14">
        <f>IF('隊員マスタ'!A185="","",'隊員マスタ'!A185)</f>
        <v/>
      </c>
      <c r="B185" s="14">
        <f>IF(A185="","",'隊員マスタ'!B185)</f>
        <v/>
      </c>
      <c r="C185" s="14">
        <f>IF(A185="","",'隊員マスタ'!C185)</f>
        <v/>
      </c>
      <c r="D185" s="15">
        <f>IF(A185="","",'隊員マスタ'!D185)</f>
        <v/>
      </c>
      <c r="E185" s="15">
        <f>IF(OR($A185="",E$4=""),"",IF(AND(E$4="小型船舶2級",(COUNTIFS('資格研修記録'!$A$5:$A$1004,$A185,'資格研修記録'!$D$5:$D$1004,"小型船舶1級",'資格研修記録'!$F$5:$F$1004,"")+COUNTIFS('資格研修記録'!$A$5:$A$1004,$A185,'資格研修記録'!$D$5:$D$1004,"小型船舶1級",'資格研修記録'!$F$5:$F$1004,"&gt;="&amp;TODAY()))&gt;0),"1級に含む",IF(COUNTIFS('資格研修記録'!$A$5:$A$1004,$A185,'資格研修記録'!$D$5:$D$1004,E$4)=0,"—",IF(COUNTIFS('資格研修記録'!$A$5:$A$1004,$A185,'資格研修記録'!$D$5:$D$1004,E$4,'資格研修記録'!$F$5:$F$1004,"")+COUNTIFS('資格研修記録'!$A$5:$A$1004,$A185,'資格研修記録'!$D$5:$D$1004,E$4,'資格研修記録'!$F$5:$F$1004,"&gt;="&amp;TODAY())&gt;0,"○","× 期限切れ"))))</f>
        <v/>
      </c>
      <c r="F185" s="15">
        <f>IF(OR($A185="",F$4=""),"",IF(AND(F$4="小型船舶2級",(COUNTIFS('資格研修記録'!$A$5:$A$1004,$A185,'資格研修記録'!$D$5:$D$1004,"小型船舶1級",'資格研修記録'!$F$5:$F$1004,"")+COUNTIFS('資格研修記録'!$A$5:$A$1004,$A185,'資格研修記録'!$D$5:$D$1004,"小型船舶1級",'資格研修記録'!$F$5:$F$1004,"&gt;="&amp;TODAY()))&gt;0),"1級に含む",IF(COUNTIFS('資格研修記録'!$A$5:$A$1004,$A185,'資格研修記録'!$D$5:$D$1004,F$4)=0,"—",IF(COUNTIFS('資格研修記録'!$A$5:$A$1004,$A185,'資格研修記録'!$D$5:$D$1004,F$4,'資格研修記録'!$F$5:$F$1004,"")+COUNTIFS('資格研修記録'!$A$5:$A$1004,$A185,'資格研修記録'!$D$5:$D$1004,F$4,'資格研修記録'!$F$5:$F$1004,"&gt;="&amp;TODAY())&gt;0,"○","× 期限切れ"))))</f>
        <v/>
      </c>
      <c r="G185" s="15">
        <f>IF(OR($A185="",G$4=""),"",IF(AND(G$4="小型船舶2級",(COUNTIFS('資格研修記録'!$A$5:$A$1004,$A185,'資格研修記録'!$D$5:$D$1004,"小型船舶1級",'資格研修記録'!$F$5:$F$1004,"")+COUNTIFS('資格研修記録'!$A$5:$A$1004,$A185,'資格研修記録'!$D$5:$D$1004,"小型船舶1級",'資格研修記録'!$F$5:$F$1004,"&gt;="&amp;TODAY()))&gt;0),"1級に含む",IF(COUNTIFS('資格研修記録'!$A$5:$A$1004,$A185,'資格研修記録'!$D$5:$D$1004,G$4)=0,"—",IF(COUNTIFS('資格研修記録'!$A$5:$A$1004,$A185,'資格研修記録'!$D$5:$D$1004,G$4,'資格研修記録'!$F$5:$F$1004,"")+COUNTIFS('資格研修記録'!$A$5:$A$1004,$A185,'資格研修記録'!$D$5:$D$1004,G$4,'資格研修記録'!$F$5:$F$1004,"&gt;="&amp;TODAY())&gt;0,"○","× 期限切れ"))))</f>
        <v/>
      </c>
      <c r="H185" s="15">
        <f>IF(OR($A185="",H$4=""),"",IF(AND(H$4="小型船舶2級",(COUNTIFS('資格研修記録'!$A$5:$A$1004,$A185,'資格研修記録'!$D$5:$D$1004,"小型船舶1級",'資格研修記録'!$F$5:$F$1004,"")+COUNTIFS('資格研修記録'!$A$5:$A$1004,$A185,'資格研修記録'!$D$5:$D$1004,"小型船舶1級",'資格研修記録'!$F$5:$F$1004,"&gt;="&amp;TODAY()))&gt;0),"1級に含む",IF(COUNTIFS('資格研修記録'!$A$5:$A$1004,$A185,'資格研修記録'!$D$5:$D$1004,H$4)=0,"—",IF(COUNTIFS('資格研修記録'!$A$5:$A$1004,$A185,'資格研修記録'!$D$5:$D$1004,H$4,'資格研修記録'!$F$5:$F$1004,"")+COUNTIFS('資格研修記録'!$A$5:$A$1004,$A185,'資格研修記録'!$D$5:$D$1004,H$4,'資格研修記録'!$F$5:$F$1004,"&gt;="&amp;TODAY())&gt;0,"○","× 期限切れ"))))</f>
        <v/>
      </c>
      <c r="I185" s="15">
        <f>IF(OR($A185="",I$4=""),"",IF(AND(I$4="小型船舶2級",(COUNTIFS('資格研修記録'!$A$5:$A$1004,$A185,'資格研修記録'!$D$5:$D$1004,"小型船舶1級",'資格研修記録'!$F$5:$F$1004,"")+COUNTIFS('資格研修記録'!$A$5:$A$1004,$A185,'資格研修記録'!$D$5:$D$1004,"小型船舶1級",'資格研修記録'!$F$5:$F$1004,"&gt;="&amp;TODAY()))&gt;0),"1級に含む",IF(COUNTIFS('資格研修記録'!$A$5:$A$1004,$A185,'資格研修記録'!$D$5:$D$1004,I$4)=0,"—",IF(COUNTIFS('資格研修記録'!$A$5:$A$1004,$A185,'資格研修記録'!$D$5:$D$1004,I$4,'資格研修記録'!$F$5:$F$1004,"")+COUNTIFS('資格研修記録'!$A$5:$A$1004,$A185,'資格研修記録'!$D$5:$D$1004,I$4,'資格研修記録'!$F$5:$F$1004,"&gt;="&amp;TODAY())&gt;0,"○","× 期限切れ"))))</f>
        <v/>
      </c>
      <c r="J185" s="15">
        <f>IF(OR($A185="",J$4=""),"",IF(AND(J$4="小型船舶2級",(COUNTIFS('資格研修記録'!$A$5:$A$1004,$A185,'資格研修記録'!$D$5:$D$1004,"小型船舶1級",'資格研修記録'!$F$5:$F$1004,"")+COUNTIFS('資格研修記録'!$A$5:$A$1004,$A185,'資格研修記録'!$D$5:$D$1004,"小型船舶1級",'資格研修記録'!$F$5:$F$1004,"&gt;="&amp;TODAY()))&gt;0),"1級に含む",IF(COUNTIFS('資格研修記録'!$A$5:$A$1004,$A185,'資格研修記録'!$D$5:$D$1004,J$4)=0,"—",IF(COUNTIFS('資格研修記録'!$A$5:$A$1004,$A185,'資格研修記録'!$D$5:$D$1004,J$4,'資格研修記録'!$F$5:$F$1004,"")+COUNTIFS('資格研修記録'!$A$5:$A$1004,$A185,'資格研修記録'!$D$5:$D$1004,J$4,'資格研修記録'!$F$5:$F$1004,"&gt;="&amp;TODAY())&gt;0,"○","× 期限切れ"))))</f>
        <v/>
      </c>
      <c r="K185" s="15">
        <f>IF(OR($A185="",K$4=""),"",IF(AND(K$4="小型船舶2級",(COUNTIFS('資格研修記録'!$A$5:$A$1004,$A185,'資格研修記録'!$D$5:$D$1004,"小型船舶1級",'資格研修記録'!$F$5:$F$1004,"")+COUNTIFS('資格研修記録'!$A$5:$A$1004,$A185,'資格研修記録'!$D$5:$D$1004,"小型船舶1級",'資格研修記録'!$F$5:$F$1004,"&gt;="&amp;TODAY()))&gt;0),"1級に含む",IF(COUNTIFS('資格研修記録'!$A$5:$A$1004,$A185,'資格研修記録'!$D$5:$D$1004,K$4)=0,"—",IF(COUNTIFS('資格研修記録'!$A$5:$A$1004,$A185,'資格研修記録'!$D$5:$D$1004,K$4,'資格研修記録'!$F$5:$F$1004,"")+COUNTIFS('資格研修記録'!$A$5:$A$1004,$A185,'資格研修記録'!$D$5:$D$1004,K$4,'資格研修記録'!$F$5:$F$1004,"&gt;="&amp;TODAY())&gt;0,"○","× 期限切れ"))))</f>
        <v/>
      </c>
      <c r="L185" s="15">
        <f>IF(OR($A185="",L$4=""),"",IF(AND(L$4="小型船舶2級",(COUNTIFS('資格研修記録'!$A$5:$A$1004,$A185,'資格研修記録'!$D$5:$D$1004,"小型船舶1級",'資格研修記録'!$F$5:$F$1004,"")+COUNTIFS('資格研修記録'!$A$5:$A$1004,$A185,'資格研修記録'!$D$5:$D$1004,"小型船舶1級",'資格研修記録'!$F$5:$F$1004,"&gt;="&amp;TODAY()))&gt;0),"1級に含む",IF(COUNTIFS('資格研修記録'!$A$5:$A$1004,$A185,'資格研修記録'!$D$5:$D$1004,L$4)=0,"—",IF(COUNTIFS('資格研修記録'!$A$5:$A$1004,$A185,'資格研修記録'!$D$5:$D$1004,L$4,'資格研修記録'!$F$5:$F$1004,"")+COUNTIFS('資格研修記録'!$A$5:$A$1004,$A185,'資格研修記録'!$D$5:$D$1004,L$4,'資格研修記録'!$F$5:$F$1004,"&gt;="&amp;TODAY())&gt;0,"○","× 期限切れ"))))</f>
        <v/>
      </c>
    </row>
    <row r="186">
      <c r="A186" s="14">
        <f>IF('隊員マスタ'!A186="","",'隊員マスタ'!A186)</f>
        <v/>
      </c>
      <c r="B186" s="14">
        <f>IF(A186="","",'隊員マスタ'!B186)</f>
        <v/>
      </c>
      <c r="C186" s="14">
        <f>IF(A186="","",'隊員マスタ'!C186)</f>
        <v/>
      </c>
      <c r="D186" s="15">
        <f>IF(A186="","",'隊員マスタ'!D186)</f>
        <v/>
      </c>
      <c r="E186" s="15">
        <f>IF(OR($A186="",E$4=""),"",IF(AND(E$4="小型船舶2級",(COUNTIFS('資格研修記録'!$A$5:$A$1004,$A186,'資格研修記録'!$D$5:$D$1004,"小型船舶1級",'資格研修記録'!$F$5:$F$1004,"")+COUNTIFS('資格研修記録'!$A$5:$A$1004,$A186,'資格研修記録'!$D$5:$D$1004,"小型船舶1級",'資格研修記録'!$F$5:$F$1004,"&gt;="&amp;TODAY()))&gt;0),"1級に含む",IF(COUNTIFS('資格研修記録'!$A$5:$A$1004,$A186,'資格研修記録'!$D$5:$D$1004,E$4)=0,"—",IF(COUNTIFS('資格研修記録'!$A$5:$A$1004,$A186,'資格研修記録'!$D$5:$D$1004,E$4,'資格研修記録'!$F$5:$F$1004,"")+COUNTIFS('資格研修記録'!$A$5:$A$1004,$A186,'資格研修記録'!$D$5:$D$1004,E$4,'資格研修記録'!$F$5:$F$1004,"&gt;="&amp;TODAY())&gt;0,"○","× 期限切れ"))))</f>
        <v/>
      </c>
      <c r="F186" s="15">
        <f>IF(OR($A186="",F$4=""),"",IF(AND(F$4="小型船舶2級",(COUNTIFS('資格研修記録'!$A$5:$A$1004,$A186,'資格研修記録'!$D$5:$D$1004,"小型船舶1級",'資格研修記録'!$F$5:$F$1004,"")+COUNTIFS('資格研修記録'!$A$5:$A$1004,$A186,'資格研修記録'!$D$5:$D$1004,"小型船舶1級",'資格研修記録'!$F$5:$F$1004,"&gt;="&amp;TODAY()))&gt;0),"1級に含む",IF(COUNTIFS('資格研修記録'!$A$5:$A$1004,$A186,'資格研修記録'!$D$5:$D$1004,F$4)=0,"—",IF(COUNTIFS('資格研修記録'!$A$5:$A$1004,$A186,'資格研修記録'!$D$5:$D$1004,F$4,'資格研修記録'!$F$5:$F$1004,"")+COUNTIFS('資格研修記録'!$A$5:$A$1004,$A186,'資格研修記録'!$D$5:$D$1004,F$4,'資格研修記録'!$F$5:$F$1004,"&gt;="&amp;TODAY())&gt;0,"○","× 期限切れ"))))</f>
        <v/>
      </c>
      <c r="G186" s="15">
        <f>IF(OR($A186="",G$4=""),"",IF(AND(G$4="小型船舶2級",(COUNTIFS('資格研修記録'!$A$5:$A$1004,$A186,'資格研修記録'!$D$5:$D$1004,"小型船舶1級",'資格研修記録'!$F$5:$F$1004,"")+COUNTIFS('資格研修記録'!$A$5:$A$1004,$A186,'資格研修記録'!$D$5:$D$1004,"小型船舶1級",'資格研修記録'!$F$5:$F$1004,"&gt;="&amp;TODAY()))&gt;0),"1級に含む",IF(COUNTIFS('資格研修記録'!$A$5:$A$1004,$A186,'資格研修記録'!$D$5:$D$1004,G$4)=0,"—",IF(COUNTIFS('資格研修記録'!$A$5:$A$1004,$A186,'資格研修記録'!$D$5:$D$1004,G$4,'資格研修記録'!$F$5:$F$1004,"")+COUNTIFS('資格研修記録'!$A$5:$A$1004,$A186,'資格研修記録'!$D$5:$D$1004,G$4,'資格研修記録'!$F$5:$F$1004,"&gt;="&amp;TODAY())&gt;0,"○","× 期限切れ"))))</f>
        <v/>
      </c>
      <c r="H186" s="15">
        <f>IF(OR($A186="",H$4=""),"",IF(AND(H$4="小型船舶2級",(COUNTIFS('資格研修記録'!$A$5:$A$1004,$A186,'資格研修記録'!$D$5:$D$1004,"小型船舶1級",'資格研修記録'!$F$5:$F$1004,"")+COUNTIFS('資格研修記録'!$A$5:$A$1004,$A186,'資格研修記録'!$D$5:$D$1004,"小型船舶1級",'資格研修記録'!$F$5:$F$1004,"&gt;="&amp;TODAY()))&gt;0),"1級に含む",IF(COUNTIFS('資格研修記録'!$A$5:$A$1004,$A186,'資格研修記録'!$D$5:$D$1004,H$4)=0,"—",IF(COUNTIFS('資格研修記録'!$A$5:$A$1004,$A186,'資格研修記録'!$D$5:$D$1004,H$4,'資格研修記録'!$F$5:$F$1004,"")+COUNTIFS('資格研修記録'!$A$5:$A$1004,$A186,'資格研修記録'!$D$5:$D$1004,H$4,'資格研修記録'!$F$5:$F$1004,"&gt;="&amp;TODAY())&gt;0,"○","× 期限切れ"))))</f>
        <v/>
      </c>
      <c r="I186" s="15">
        <f>IF(OR($A186="",I$4=""),"",IF(AND(I$4="小型船舶2級",(COUNTIFS('資格研修記録'!$A$5:$A$1004,$A186,'資格研修記録'!$D$5:$D$1004,"小型船舶1級",'資格研修記録'!$F$5:$F$1004,"")+COUNTIFS('資格研修記録'!$A$5:$A$1004,$A186,'資格研修記録'!$D$5:$D$1004,"小型船舶1級",'資格研修記録'!$F$5:$F$1004,"&gt;="&amp;TODAY()))&gt;0),"1級に含む",IF(COUNTIFS('資格研修記録'!$A$5:$A$1004,$A186,'資格研修記録'!$D$5:$D$1004,I$4)=0,"—",IF(COUNTIFS('資格研修記録'!$A$5:$A$1004,$A186,'資格研修記録'!$D$5:$D$1004,I$4,'資格研修記録'!$F$5:$F$1004,"")+COUNTIFS('資格研修記録'!$A$5:$A$1004,$A186,'資格研修記録'!$D$5:$D$1004,I$4,'資格研修記録'!$F$5:$F$1004,"&gt;="&amp;TODAY())&gt;0,"○","× 期限切れ"))))</f>
        <v/>
      </c>
      <c r="J186" s="15">
        <f>IF(OR($A186="",J$4=""),"",IF(AND(J$4="小型船舶2級",(COUNTIFS('資格研修記録'!$A$5:$A$1004,$A186,'資格研修記録'!$D$5:$D$1004,"小型船舶1級",'資格研修記録'!$F$5:$F$1004,"")+COUNTIFS('資格研修記録'!$A$5:$A$1004,$A186,'資格研修記録'!$D$5:$D$1004,"小型船舶1級",'資格研修記録'!$F$5:$F$1004,"&gt;="&amp;TODAY()))&gt;0),"1級に含む",IF(COUNTIFS('資格研修記録'!$A$5:$A$1004,$A186,'資格研修記録'!$D$5:$D$1004,J$4)=0,"—",IF(COUNTIFS('資格研修記録'!$A$5:$A$1004,$A186,'資格研修記録'!$D$5:$D$1004,J$4,'資格研修記録'!$F$5:$F$1004,"")+COUNTIFS('資格研修記録'!$A$5:$A$1004,$A186,'資格研修記録'!$D$5:$D$1004,J$4,'資格研修記録'!$F$5:$F$1004,"&gt;="&amp;TODAY())&gt;0,"○","× 期限切れ"))))</f>
        <v/>
      </c>
      <c r="K186" s="15">
        <f>IF(OR($A186="",K$4=""),"",IF(AND(K$4="小型船舶2級",(COUNTIFS('資格研修記録'!$A$5:$A$1004,$A186,'資格研修記録'!$D$5:$D$1004,"小型船舶1級",'資格研修記録'!$F$5:$F$1004,"")+COUNTIFS('資格研修記録'!$A$5:$A$1004,$A186,'資格研修記録'!$D$5:$D$1004,"小型船舶1級",'資格研修記録'!$F$5:$F$1004,"&gt;="&amp;TODAY()))&gt;0),"1級に含む",IF(COUNTIFS('資格研修記録'!$A$5:$A$1004,$A186,'資格研修記録'!$D$5:$D$1004,K$4)=0,"—",IF(COUNTIFS('資格研修記録'!$A$5:$A$1004,$A186,'資格研修記録'!$D$5:$D$1004,K$4,'資格研修記録'!$F$5:$F$1004,"")+COUNTIFS('資格研修記録'!$A$5:$A$1004,$A186,'資格研修記録'!$D$5:$D$1004,K$4,'資格研修記録'!$F$5:$F$1004,"&gt;="&amp;TODAY())&gt;0,"○","× 期限切れ"))))</f>
        <v/>
      </c>
      <c r="L186" s="15">
        <f>IF(OR($A186="",L$4=""),"",IF(AND(L$4="小型船舶2級",(COUNTIFS('資格研修記録'!$A$5:$A$1004,$A186,'資格研修記録'!$D$5:$D$1004,"小型船舶1級",'資格研修記録'!$F$5:$F$1004,"")+COUNTIFS('資格研修記録'!$A$5:$A$1004,$A186,'資格研修記録'!$D$5:$D$1004,"小型船舶1級",'資格研修記録'!$F$5:$F$1004,"&gt;="&amp;TODAY()))&gt;0),"1級に含む",IF(COUNTIFS('資格研修記録'!$A$5:$A$1004,$A186,'資格研修記録'!$D$5:$D$1004,L$4)=0,"—",IF(COUNTIFS('資格研修記録'!$A$5:$A$1004,$A186,'資格研修記録'!$D$5:$D$1004,L$4,'資格研修記録'!$F$5:$F$1004,"")+COUNTIFS('資格研修記録'!$A$5:$A$1004,$A186,'資格研修記録'!$D$5:$D$1004,L$4,'資格研修記録'!$F$5:$F$1004,"&gt;="&amp;TODAY())&gt;0,"○","× 期限切れ"))))</f>
        <v/>
      </c>
    </row>
    <row r="187">
      <c r="A187" s="14">
        <f>IF('隊員マスタ'!A187="","",'隊員マスタ'!A187)</f>
        <v/>
      </c>
      <c r="B187" s="14">
        <f>IF(A187="","",'隊員マスタ'!B187)</f>
        <v/>
      </c>
      <c r="C187" s="14">
        <f>IF(A187="","",'隊員マスタ'!C187)</f>
        <v/>
      </c>
      <c r="D187" s="15">
        <f>IF(A187="","",'隊員マスタ'!D187)</f>
        <v/>
      </c>
      <c r="E187" s="15">
        <f>IF(OR($A187="",E$4=""),"",IF(AND(E$4="小型船舶2級",(COUNTIFS('資格研修記録'!$A$5:$A$1004,$A187,'資格研修記録'!$D$5:$D$1004,"小型船舶1級",'資格研修記録'!$F$5:$F$1004,"")+COUNTIFS('資格研修記録'!$A$5:$A$1004,$A187,'資格研修記録'!$D$5:$D$1004,"小型船舶1級",'資格研修記録'!$F$5:$F$1004,"&gt;="&amp;TODAY()))&gt;0),"1級に含む",IF(COUNTIFS('資格研修記録'!$A$5:$A$1004,$A187,'資格研修記録'!$D$5:$D$1004,E$4)=0,"—",IF(COUNTIFS('資格研修記録'!$A$5:$A$1004,$A187,'資格研修記録'!$D$5:$D$1004,E$4,'資格研修記録'!$F$5:$F$1004,"")+COUNTIFS('資格研修記録'!$A$5:$A$1004,$A187,'資格研修記録'!$D$5:$D$1004,E$4,'資格研修記録'!$F$5:$F$1004,"&gt;="&amp;TODAY())&gt;0,"○","× 期限切れ"))))</f>
        <v/>
      </c>
      <c r="F187" s="15">
        <f>IF(OR($A187="",F$4=""),"",IF(AND(F$4="小型船舶2級",(COUNTIFS('資格研修記録'!$A$5:$A$1004,$A187,'資格研修記録'!$D$5:$D$1004,"小型船舶1級",'資格研修記録'!$F$5:$F$1004,"")+COUNTIFS('資格研修記録'!$A$5:$A$1004,$A187,'資格研修記録'!$D$5:$D$1004,"小型船舶1級",'資格研修記録'!$F$5:$F$1004,"&gt;="&amp;TODAY()))&gt;0),"1級に含む",IF(COUNTIFS('資格研修記録'!$A$5:$A$1004,$A187,'資格研修記録'!$D$5:$D$1004,F$4)=0,"—",IF(COUNTIFS('資格研修記録'!$A$5:$A$1004,$A187,'資格研修記録'!$D$5:$D$1004,F$4,'資格研修記録'!$F$5:$F$1004,"")+COUNTIFS('資格研修記録'!$A$5:$A$1004,$A187,'資格研修記録'!$D$5:$D$1004,F$4,'資格研修記録'!$F$5:$F$1004,"&gt;="&amp;TODAY())&gt;0,"○","× 期限切れ"))))</f>
        <v/>
      </c>
      <c r="G187" s="15">
        <f>IF(OR($A187="",G$4=""),"",IF(AND(G$4="小型船舶2級",(COUNTIFS('資格研修記録'!$A$5:$A$1004,$A187,'資格研修記録'!$D$5:$D$1004,"小型船舶1級",'資格研修記録'!$F$5:$F$1004,"")+COUNTIFS('資格研修記録'!$A$5:$A$1004,$A187,'資格研修記録'!$D$5:$D$1004,"小型船舶1級",'資格研修記録'!$F$5:$F$1004,"&gt;="&amp;TODAY()))&gt;0),"1級に含む",IF(COUNTIFS('資格研修記録'!$A$5:$A$1004,$A187,'資格研修記録'!$D$5:$D$1004,G$4)=0,"—",IF(COUNTIFS('資格研修記録'!$A$5:$A$1004,$A187,'資格研修記録'!$D$5:$D$1004,G$4,'資格研修記録'!$F$5:$F$1004,"")+COUNTIFS('資格研修記録'!$A$5:$A$1004,$A187,'資格研修記録'!$D$5:$D$1004,G$4,'資格研修記録'!$F$5:$F$1004,"&gt;="&amp;TODAY())&gt;0,"○","× 期限切れ"))))</f>
        <v/>
      </c>
      <c r="H187" s="15">
        <f>IF(OR($A187="",H$4=""),"",IF(AND(H$4="小型船舶2級",(COUNTIFS('資格研修記録'!$A$5:$A$1004,$A187,'資格研修記録'!$D$5:$D$1004,"小型船舶1級",'資格研修記録'!$F$5:$F$1004,"")+COUNTIFS('資格研修記録'!$A$5:$A$1004,$A187,'資格研修記録'!$D$5:$D$1004,"小型船舶1級",'資格研修記録'!$F$5:$F$1004,"&gt;="&amp;TODAY()))&gt;0),"1級に含む",IF(COUNTIFS('資格研修記録'!$A$5:$A$1004,$A187,'資格研修記録'!$D$5:$D$1004,H$4)=0,"—",IF(COUNTIFS('資格研修記録'!$A$5:$A$1004,$A187,'資格研修記録'!$D$5:$D$1004,H$4,'資格研修記録'!$F$5:$F$1004,"")+COUNTIFS('資格研修記録'!$A$5:$A$1004,$A187,'資格研修記録'!$D$5:$D$1004,H$4,'資格研修記録'!$F$5:$F$1004,"&gt;="&amp;TODAY())&gt;0,"○","× 期限切れ"))))</f>
        <v/>
      </c>
      <c r="I187" s="15">
        <f>IF(OR($A187="",I$4=""),"",IF(AND(I$4="小型船舶2級",(COUNTIFS('資格研修記録'!$A$5:$A$1004,$A187,'資格研修記録'!$D$5:$D$1004,"小型船舶1級",'資格研修記録'!$F$5:$F$1004,"")+COUNTIFS('資格研修記録'!$A$5:$A$1004,$A187,'資格研修記録'!$D$5:$D$1004,"小型船舶1級",'資格研修記録'!$F$5:$F$1004,"&gt;="&amp;TODAY()))&gt;0),"1級に含む",IF(COUNTIFS('資格研修記録'!$A$5:$A$1004,$A187,'資格研修記録'!$D$5:$D$1004,I$4)=0,"—",IF(COUNTIFS('資格研修記録'!$A$5:$A$1004,$A187,'資格研修記録'!$D$5:$D$1004,I$4,'資格研修記録'!$F$5:$F$1004,"")+COUNTIFS('資格研修記録'!$A$5:$A$1004,$A187,'資格研修記録'!$D$5:$D$1004,I$4,'資格研修記録'!$F$5:$F$1004,"&gt;="&amp;TODAY())&gt;0,"○","× 期限切れ"))))</f>
        <v/>
      </c>
      <c r="J187" s="15">
        <f>IF(OR($A187="",J$4=""),"",IF(AND(J$4="小型船舶2級",(COUNTIFS('資格研修記録'!$A$5:$A$1004,$A187,'資格研修記録'!$D$5:$D$1004,"小型船舶1級",'資格研修記録'!$F$5:$F$1004,"")+COUNTIFS('資格研修記録'!$A$5:$A$1004,$A187,'資格研修記録'!$D$5:$D$1004,"小型船舶1級",'資格研修記録'!$F$5:$F$1004,"&gt;="&amp;TODAY()))&gt;0),"1級に含む",IF(COUNTIFS('資格研修記録'!$A$5:$A$1004,$A187,'資格研修記録'!$D$5:$D$1004,J$4)=0,"—",IF(COUNTIFS('資格研修記録'!$A$5:$A$1004,$A187,'資格研修記録'!$D$5:$D$1004,J$4,'資格研修記録'!$F$5:$F$1004,"")+COUNTIFS('資格研修記録'!$A$5:$A$1004,$A187,'資格研修記録'!$D$5:$D$1004,J$4,'資格研修記録'!$F$5:$F$1004,"&gt;="&amp;TODAY())&gt;0,"○","× 期限切れ"))))</f>
        <v/>
      </c>
      <c r="K187" s="15">
        <f>IF(OR($A187="",K$4=""),"",IF(AND(K$4="小型船舶2級",(COUNTIFS('資格研修記録'!$A$5:$A$1004,$A187,'資格研修記録'!$D$5:$D$1004,"小型船舶1級",'資格研修記録'!$F$5:$F$1004,"")+COUNTIFS('資格研修記録'!$A$5:$A$1004,$A187,'資格研修記録'!$D$5:$D$1004,"小型船舶1級",'資格研修記録'!$F$5:$F$1004,"&gt;="&amp;TODAY()))&gt;0),"1級に含む",IF(COUNTIFS('資格研修記録'!$A$5:$A$1004,$A187,'資格研修記録'!$D$5:$D$1004,K$4)=0,"—",IF(COUNTIFS('資格研修記録'!$A$5:$A$1004,$A187,'資格研修記録'!$D$5:$D$1004,K$4,'資格研修記録'!$F$5:$F$1004,"")+COUNTIFS('資格研修記録'!$A$5:$A$1004,$A187,'資格研修記録'!$D$5:$D$1004,K$4,'資格研修記録'!$F$5:$F$1004,"&gt;="&amp;TODAY())&gt;0,"○","× 期限切れ"))))</f>
        <v/>
      </c>
      <c r="L187" s="15">
        <f>IF(OR($A187="",L$4=""),"",IF(AND(L$4="小型船舶2級",(COUNTIFS('資格研修記録'!$A$5:$A$1004,$A187,'資格研修記録'!$D$5:$D$1004,"小型船舶1級",'資格研修記録'!$F$5:$F$1004,"")+COUNTIFS('資格研修記録'!$A$5:$A$1004,$A187,'資格研修記録'!$D$5:$D$1004,"小型船舶1級",'資格研修記録'!$F$5:$F$1004,"&gt;="&amp;TODAY()))&gt;0),"1級に含む",IF(COUNTIFS('資格研修記録'!$A$5:$A$1004,$A187,'資格研修記録'!$D$5:$D$1004,L$4)=0,"—",IF(COUNTIFS('資格研修記録'!$A$5:$A$1004,$A187,'資格研修記録'!$D$5:$D$1004,L$4,'資格研修記録'!$F$5:$F$1004,"")+COUNTIFS('資格研修記録'!$A$5:$A$1004,$A187,'資格研修記録'!$D$5:$D$1004,L$4,'資格研修記録'!$F$5:$F$1004,"&gt;="&amp;TODAY())&gt;0,"○","× 期限切れ"))))</f>
        <v/>
      </c>
    </row>
    <row r="188">
      <c r="A188" s="14">
        <f>IF('隊員マスタ'!A188="","",'隊員マスタ'!A188)</f>
        <v/>
      </c>
      <c r="B188" s="14">
        <f>IF(A188="","",'隊員マスタ'!B188)</f>
        <v/>
      </c>
      <c r="C188" s="14">
        <f>IF(A188="","",'隊員マスタ'!C188)</f>
        <v/>
      </c>
      <c r="D188" s="15">
        <f>IF(A188="","",'隊員マスタ'!D188)</f>
        <v/>
      </c>
      <c r="E188" s="15">
        <f>IF(OR($A188="",E$4=""),"",IF(AND(E$4="小型船舶2級",(COUNTIFS('資格研修記録'!$A$5:$A$1004,$A188,'資格研修記録'!$D$5:$D$1004,"小型船舶1級",'資格研修記録'!$F$5:$F$1004,"")+COUNTIFS('資格研修記録'!$A$5:$A$1004,$A188,'資格研修記録'!$D$5:$D$1004,"小型船舶1級",'資格研修記録'!$F$5:$F$1004,"&gt;="&amp;TODAY()))&gt;0),"1級に含む",IF(COUNTIFS('資格研修記録'!$A$5:$A$1004,$A188,'資格研修記録'!$D$5:$D$1004,E$4)=0,"—",IF(COUNTIFS('資格研修記録'!$A$5:$A$1004,$A188,'資格研修記録'!$D$5:$D$1004,E$4,'資格研修記録'!$F$5:$F$1004,"")+COUNTIFS('資格研修記録'!$A$5:$A$1004,$A188,'資格研修記録'!$D$5:$D$1004,E$4,'資格研修記録'!$F$5:$F$1004,"&gt;="&amp;TODAY())&gt;0,"○","× 期限切れ"))))</f>
        <v/>
      </c>
      <c r="F188" s="15">
        <f>IF(OR($A188="",F$4=""),"",IF(AND(F$4="小型船舶2級",(COUNTIFS('資格研修記録'!$A$5:$A$1004,$A188,'資格研修記録'!$D$5:$D$1004,"小型船舶1級",'資格研修記録'!$F$5:$F$1004,"")+COUNTIFS('資格研修記録'!$A$5:$A$1004,$A188,'資格研修記録'!$D$5:$D$1004,"小型船舶1級",'資格研修記録'!$F$5:$F$1004,"&gt;="&amp;TODAY()))&gt;0),"1級に含む",IF(COUNTIFS('資格研修記録'!$A$5:$A$1004,$A188,'資格研修記録'!$D$5:$D$1004,F$4)=0,"—",IF(COUNTIFS('資格研修記録'!$A$5:$A$1004,$A188,'資格研修記録'!$D$5:$D$1004,F$4,'資格研修記録'!$F$5:$F$1004,"")+COUNTIFS('資格研修記録'!$A$5:$A$1004,$A188,'資格研修記録'!$D$5:$D$1004,F$4,'資格研修記録'!$F$5:$F$1004,"&gt;="&amp;TODAY())&gt;0,"○","× 期限切れ"))))</f>
        <v/>
      </c>
      <c r="G188" s="15">
        <f>IF(OR($A188="",G$4=""),"",IF(AND(G$4="小型船舶2級",(COUNTIFS('資格研修記録'!$A$5:$A$1004,$A188,'資格研修記録'!$D$5:$D$1004,"小型船舶1級",'資格研修記録'!$F$5:$F$1004,"")+COUNTIFS('資格研修記録'!$A$5:$A$1004,$A188,'資格研修記録'!$D$5:$D$1004,"小型船舶1級",'資格研修記録'!$F$5:$F$1004,"&gt;="&amp;TODAY()))&gt;0),"1級に含む",IF(COUNTIFS('資格研修記録'!$A$5:$A$1004,$A188,'資格研修記録'!$D$5:$D$1004,G$4)=0,"—",IF(COUNTIFS('資格研修記録'!$A$5:$A$1004,$A188,'資格研修記録'!$D$5:$D$1004,G$4,'資格研修記録'!$F$5:$F$1004,"")+COUNTIFS('資格研修記録'!$A$5:$A$1004,$A188,'資格研修記録'!$D$5:$D$1004,G$4,'資格研修記録'!$F$5:$F$1004,"&gt;="&amp;TODAY())&gt;0,"○","× 期限切れ"))))</f>
        <v/>
      </c>
      <c r="H188" s="15">
        <f>IF(OR($A188="",H$4=""),"",IF(AND(H$4="小型船舶2級",(COUNTIFS('資格研修記録'!$A$5:$A$1004,$A188,'資格研修記録'!$D$5:$D$1004,"小型船舶1級",'資格研修記録'!$F$5:$F$1004,"")+COUNTIFS('資格研修記録'!$A$5:$A$1004,$A188,'資格研修記録'!$D$5:$D$1004,"小型船舶1級",'資格研修記録'!$F$5:$F$1004,"&gt;="&amp;TODAY()))&gt;0),"1級に含む",IF(COUNTIFS('資格研修記録'!$A$5:$A$1004,$A188,'資格研修記録'!$D$5:$D$1004,H$4)=0,"—",IF(COUNTIFS('資格研修記録'!$A$5:$A$1004,$A188,'資格研修記録'!$D$5:$D$1004,H$4,'資格研修記録'!$F$5:$F$1004,"")+COUNTIFS('資格研修記録'!$A$5:$A$1004,$A188,'資格研修記録'!$D$5:$D$1004,H$4,'資格研修記録'!$F$5:$F$1004,"&gt;="&amp;TODAY())&gt;0,"○","× 期限切れ"))))</f>
        <v/>
      </c>
      <c r="I188" s="15">
        <f>IF(OR($A188="",I$4=""),"",IF(AND(I$4="小型船舶2級",(COUNTIFS('資格研修記録'!$A$5:$A$1004,$A188,'資格研修記録'!$D$5:$D$1004,"小型船舶1級",'資格研修記録'!$F$5:$F$1004,"")+COUNTIFS('資格研修記録'!$A$5:$A$1004,$A188,'資格研修記録'!$D$5:$D$1004,"小型船舶1級",'資格研修記録'!$F$5:$F$1004,"&gt;="&amp;TODAY()))&gt;0),"1級に含む",IF(COUNTIFS('資格研修記録'!$A$5:$A$1004,$A188,'資格研修記録'!$D$5:$D$1004,I$4)=0,"—",IF(COUNTIFS('資格研修記録'!$A$5:$A$1004,$A188,'資格研修記録'!$D$5:$D$1004,I$4,'資格研修記録'!$F$5:$F$1004,"")+COUNTIFS('資格研修記録'!$A$5:$A$1004,$A188,'資格研修記録'!$D$5:$D$1004,I$4,'資格研修記録'!$F$5:$F$1004,"&gt;="&amp;TODAY())&gt;0,"○","× 期限切れ"))))</f>
        <v/>
      </c>
      <c r="J188" s="15">
        <f>IF(OR($A188="",J$4=""),"",IF(AND(J$4="小型船舶2級",(COUNTIFS('資格研修記録'!$A$5:$A$1004,$A188,'資格研修記録'!$D$5:$D$1004,"小型船舶1級",'資格研修記録'!$F$5:$F$1004,"")+COUNTIFS('資格研修記録'!$A$5:$A$1004,$A188,'資格研修記録'!$D$5:$D$1004,"小型船舶1級",'資格研修記録'!$F$5:$F$1004,"&gt;="&amp;TODAY()))&gt;0),"1級に含む",IF(COUNTIFS('資格研修記録'!$A$5:$A$1004,$A188,'資格研修記録'!$D$5:$D$1004,J$4)=0,"—",IF(COUNTIFS('資格研修記録'!$A$5:$A$1004,$A188,'資格研修記録'!$D$5:$D$1004,J$4,'資格研修記録'!$F$5:$F$1004,"")+COUNTIFS('資格研修記録'!$A$5:$A$1004,$A188,'資格研修記録'!$D$5:$D$1004,J$4,'資格研修記録'!$F$5:$F$1004,"&gt;="&amp;TODAY())&gt;0,"○","× 期限切れ"))))</f>
        <v/>
      </c>
      <c r="K188" s="15">
        <f>IF(OR($A188="",K$4=""),"",IF(AND(K$4="小型船舶2級",(COUNTIFS('資格研修記録'!$A$5:$A$1004,$A188,'資格研修記録'!$D$5:$D$1004,"小型船舶1級",'資格研修記録'!$F$5:$F$1004,"")+COUNTIFS('資格研修記録'!$A$5:$A$1004,$A188,'資格研修記録'!$D$5:$D$1004,"小型船舶1級",'資格研修記録'!$F$5:$F$1004,"&gt;="&amp;TODAY()))&gt;0),"1級に含む",IF(COUNTIFS('資格研修記録'!$A$5:$A$1004,$A188,'資格研修記録'!$D$5:$D$1004,K$4)=0,"—",IF(COUNTIFS('資格研修記録'!$A$5:$A$1004,$A188,'資格研修記録'!$D$5:$D$1004,K$4,'資格研修記録'!$F$5:$F$1004,"")+COUNTIFS('資格研修記録'!$A$5:$A$1004,$A188,'資格研修記録'!$D$5:$D$1004,K$4,'資格研修記録'!$F$5:$F$1004,"&gt;="&amp;TODAY())&gt;0,"○","× 期限切れ"))))</f>
        <v/>
      </c>
      <c r="L188" s="15">
        <f>IF(OR($A188="",L$4=""),"",IF(AND(L$4="小型船舶2級",(COUNTIFS('資格研修記録'!$A$5:$A$1004,$A188,'資格研修記録'!$D$5:$D$1004,"小型船舶1級",'資格研修記録'!$F$5:$F$1004,"")+COUNTIFS('資格研修記録'!$A$5:$A$1004,$A188,'資格研修記録'!$D$5:$D$1004,"小型船舶1級",'資格研修記録'!$F$5:$F$1004,"&gt;="&amp;TODAY()))&gt;0),"1級に含む",IF(COUNTIFS('資格研修記録'!$A$5:$A$1004,$A188,'資格研修記録'!$D$5:$D$1004,L$4)=0,"—",IF(COUNTIFS('資格研修記録'!$A$5:$A$1004,$A188,'資格研修記録'!$D$5:$D$1004,L$4,'資格研修記録'!$F$5:$F$1004,"")+COUNTIFS('資格研修記録'!$A$5:$A$1004,$A188,'資格研修記録'!$D$5:$D$1004,L$4,'資格研修記録'!$F$5:$F$1004,"&gt;="&amp;TODAY())&gt;0,"○","× 期限切れ"))))</f>
        <v/>
      </c>
    </row>
    <row r="189">
      <c r="A189" s="14">
        <f>IF('隊員マスタ'!A189="","",'隊員マスタ'!A189)</f>
        <v/>
      </c>
      <c r="B189" s="14">
        <f>IF(A189="","",'隊員マスタ'!B189)</f>
        <v/>
      </c>
      <c r="C189" s="14">
        <f>IF(A189="","",'隊員マスタ'!C189)</f>
        <v/>
      </c>
      <c r="D189" s="15">
        <f>IF(A189="","",'隊員マスタ'!D189)</f>
        <v/>
      </c>
      <c r="E189" s="15">
        <f>IF(OR($A189="",E$4=""),"",IF(AND(E$4="小型船舶2級",(COUNTIFS('資格研修記録'!$A$5:$A$1004,$A189,'資格研修記録'!$D$5:$D$1004,"小型船舶1級",'資格研修記録'!$F$5:$F$1004,"")+COUNTIFS('資格研修記録'!$A$5:$A$1004,$A189,'資格研修記録'!$D$5:$D$1004,"小型船舶1級",'資格研修記録'!$F$5:$F$1004,"&gt;="&amp;TODAY()))&gt;0),"1級に含む",IF(COUNTIFS('資格研修記録'!$A$5:$A$1004,$A189,'資格研修記録'!$D$5:$D$1004,E$4)=0,"—",IF(COUNTIFS('資格研修記録'!$A$5:$A$1004,$A189,'資格研修記録'!$D$5:$D$1004,E$4,'資格研修記録'!$F$5:$F$1004,"")+COUNTIFS('資格研修記録'!$A$5:$A$1004,$A189,'資格研修記録'!$D$5:$D$1004,E$4,'資格研修記録'!$F$5:$F$1004,"&gt;="&amp;TODAY())&gt;0,"○","× 期限切れ"))))</f>
        <v/>
      </c>
      <c r="F189" s="15">
        <f>IF(OR($A189="",F$4=""),"",IF(AND(F$4="小型船舶2級",(COUNTIFS('資格研修記録'!$A$5:$A$1004,$A189,'資格研修記録'!$D$5:$D$1004,"小型船舶1級",'資格研修記録'!$F$5:$F$1004,"")+COUNTIFS('資格研修記録'!$A$5:$A$1004,$A189,'資格研修記録'!$D$5:$D$1004,"小型船舶1級",'資格研修記録'!$F$5:$F$1004,"&gt;="&amp;TODAY()))&gt;0),"1級に含む",IF(COUNTIFS('資格研修記録'!$A$5:$A$1004,$A189,'資格研修記録'!$D$5:$D$1004,F$4)=0,"—",IF(COUNTIFS('資格研修記録'!$A$5:$A$1004,$A189,'資格研修記録'!$D$5:$D$1004,F$4,'資格研修記録'!$F$5:$F$1004,"")+COUNTIFS('資格研修記録'!$A$5:$A$1004,$A189,'資格研修記録'!$D$5:$D$1004,F$4,'資格研修記録'!$F$5:$F$1004,"&gt;="&amp;TODAY())&gt;0,"○","× 期限切れ"))))</f>
        <v/>
      </c>
      <c r="G189" s="15">
        <f>IF(OR($A189="",G$4=""),"",IF(AND(G$4="小型船舶2級",(COUNTIFS('資格研修記録'!$A$5:$A$1004,$A189,'資格研修記録'!$D$5:$D$1004,"小型船舶1級",'資格研修記録'!$F$5:$F$1004,"")+COUNTIFS('資格研修記録'!$A$5:$A$1004,$A189,'資格研修記録'!$D$5:$D$1004,"小型船舶1級",'資格研修記録'!$F$5:$F$1004,"&gt;="&amp;TODAY()))&gt;0),"1級に含む",IF(COUNTIFS('資格研修記録'!$A$5:$A$1004,$A189,'資格研修記録'!$D$5:$D$1004,G$4)=0,"—",IF(COUNTIFS('資格研修記録'!$A$5:$A$1004,$A189,'資格研修記録'!$D$5:$D$1004,G$4,'資格研修記録'!$F$5:$F$1004,"")+COUNTIFS('資格研修記録'!$A$5:$A$1004,$A189,'資格研修記録'!$D$5:$D$1004,G$4,'資格研修記録'!$F$5:$F$1004,"&gt;="&amp;TODAY())&gt;0,"○","× 期限切れ"))))</f>
        <v/>
      </c>
      <c r="H189" s="15">
        <f>IF(OR($A189="",H$4=""),"",IF(AND(H$4="小型船舶2級",(COUNTIFS('資格研修記録'!$A$5:$A$1004,$A189,'資格研修記録'!$D$5:$D$1004,"小型船舶1級",'資格研修記録'!$F$5:$F$1004,"")+COUNTIFS('資格研修記録'!$A$5:$A$1004,$A189,'資格研修記録'!$D$5:$D$1004,"小型船舶1級",'資格研修記録'!$F$5:$F$1004,"&gt;="&amp;TODAY()))&gt;0),"1級に含む",IF(COUNTIFS('資格研修記録'!$A$5:$A$1004,$A189,'資格研修記録'!$D$5:$D$1004,H$4)=0,"—",IF(COUNTIFS('資格研修記録'!$A$5:$A$1004,$A189,'資格研修記録'!$D$5:$D$1004,H$4,'資格研修記録'!$F$5:$F$1004,"")+COUNTIFS('資格研修記録'!$A$5:$A$1004,$A189,'資格研修記録'!$D$5:$D$1004,H$4,'資格研修記録'!$F$5:$F$1004,"&gt;="&amp;TODAY())&gt;0,"○","× 期限切れ"))))</f>
        <v/>
      </c>
      <c r="I189" s="15">
        <f>IF(OR($A189="",I$4=""),"",IF(AND(I$4="小型船舶2級",(COUNTIFS('資格研修記録'!$A$5:$A$1004,$A189,'資格研修記録'!$D$5:$D$1004,"小型船舶1級",'資格研修記録'!$F$5:$F$1004,"")+COUNTIFS('資格研修記録'!$A$5:$A$1004,$A189,'資格研修記録'!$D$5:$D$1004,"小型船舶1級",'資格研修記録'!$F$5:$F$1004,"&gt;="&amp;TODAY()))&gt;0),"1級に含む",IF(COUNTIFS('資格研修記録'!$A$5:$A$1004,$A189,'資格研修記録'!$D$5:$D$1004,I$4)=0,"—",IF(COUNTIFS('資格研修記録'!$A$5:$A$1004,$A189,'資格研修記録'!$D$5:$D$1004,I$4,'資格研修記録'!$F$5:$F$1004,"")+COUNTIFS('資格研修記録'!$A$5:$A$1004,$A189,'資格研修記録'!$D$5:$D$1004,I$4,'資格研修記録'!$F$5:$F$1004,"&gt;="&amp;TODAY())&gt;0,"○","× 期限切れ"))))</f>
        <v/>
      </c>
      <c r="J189" s="15">
        <f>IF(OR($A189="",J$4=""),"",IF(AND(J$4="小型船舶2級",(COUNTIFS('資格研修記録'!$A$5:$A$1004,$A189,'資格研修記録'!$D$5:$D$1004,"小型船舶1級",'資格研修記録'!$F$5:$F$1004,"")+COUNTIFS('資格研修記録'!$A$5:$A$1004,$A189,'資格研修記録'!$D$5:$D$1004,"小型船舶1級",'資格研修記録'!$F$5:$F$1004,"&gt;="&amp;TODAY()))&gt;0),"1級に含む",IF(COUNTIFS('資格研修記録'!$A$5:$A$1004,$A189,'資格研修記録'!$D$5:$D$1004,J$4)=0,"—",IF(COUNTIFS('資格研修記録'!$A$5:$A$1004,$A189,'資格研修記録'!$D$5:$D$1004,J$4,'資格研修記録'!$F$5:$F$1004,"")+COUNTIFS('資格研修記録'!$A$5:$A$1004,$A189,'資格研修記録'!$D$5:$D$1004,J$4,'資格研修記録'!$F$5:$F$1004,"&gt;="&amp;TODAY())&gt;0,"○","× 期限切れ"))))</f>
        <v/>
      </c>
      <c r="K189" s="15">
        <f>IF(OR($A189="",K$4=""),"",IF(AND(K$4="小型船舶2級",(COUNTIFS('資格研修記録'!$A$5:$A$1004,$A189,'資格研修記録'!$D$5:$D$1004,"小型船舶1級",'資格研修記録'!$F$5:$F$1004,"")+COUNTIFS('資格研修記録'!$A$5:$A$1004,$A189,'資格研修記録'!$D$5:$D$1004,"小型船舶1級",'資格研修記録'!$F$5:$F$1004,"&gt;="&amp;TODAY()))&gt;0),"1級に含む",IF(COUNTIFS('資格研修記録'!$A$5:$A$1004,$A189,'資格研修記録'!$D$5:$D$1004,K$4)=0,"—",IF(COUNTIFS('資格研修記録'!$A$5:$A$1004,$A189,'資格研修記録'!$D$5:$D$1004,K$4,'資格研修記録'!$F$5:$F$1004,"")+COUNTIFS('資格研修記録'!$A$5:$A$1004,$A189,'資格研修記録'!$D$5:$D$1004,K$4,'資格研修記録'!$F$5:$F$1004,"&gt;="&amp;TODAY())&gt;0,"○","× 期限切れ"))))</f>
        <v/>
      </c>
      <c r="L189" s="15">
        <f>IF(OR($A189="",L$4=""),"",IF(AND(L$4="小型船舶2級",(COUNTIFS('資格研修記録'!$A$5:$A$1004,$A189,'資格研修記録'!$D$5:$D$1004,"小型船舶1級",'資格研修記録'!$F$5:$F$1004,"")+COUNTIFS('資格研修記録'!$A$5:$A$1004,$A189,'資格研修記録'!$D$5:$D$1004,"小型船舶1級",'資格研修記録'!$F$5:$F$1004,"&gt;="&amp;TODAY()))&gt;0),"1級に含む",IF(COUNTIFS('資格研修記録'!$A$5:$A$1004,$A189,'資格研修記録'!$D$5:$D$1004,L$4)=0,"—",IF(COUNTIFS('資格研修記録'!$A$5:$A$1004,$A189,'資格研修記録'!$D$5:$D$1004,L$4,'資格研修記録'!$F$5:$F$1004,"")+COUNTIFS('資格研修記録'!$A$5:$A$1004,$A189,'資格研修記録'!$D$5:$D$1004,L$4,'資格研修記録'!$F$5:$F$1004,"&gt;="&amp;TODAY())&gt;0,"○","× 期限切れ"))))</f>
        <v/>
      </c>
    </row>
    <row r="190">
      <c r="A190" s="14">
        <f>IF('隊員マスタ'!A190="","",'隊員マスタ'!A190)</f>
        <v/>
      </c>
      <c r="B190" s="14">
        <f>IF(A190="","",'隊員マスタ'!B190)</f>
        <v/>
      </c>
      <c r="C190" s="14">
        <f>IF(A190="","",'隊員マスタ'!C190)</f>
        <v/>
      </c>
      <c r="D190" s="15">
        <f>IF(A190="","",'隊員マスタ'!D190)</f>
        <v/>
      </c>
      <c r="E190" s="15">
        <f>IF(OR($A190="",E$4=""),"",IF(AND(E$4="小型船舶2級",(COUNTIFS('資格研修記録'!$A$5:$A$1004,$A190,'資格研修記録'!$D$5:$D$1004,"小型船舶1級",'資格研修記録'!$F$5:$F$1004,"")+COUNTIFS('資格研修記録'!$A$5:$A$1004,$A190,'資格研修記録'!$D$5:$D$1004,"小型船舶1級",'資格研修記録'!$F$5:$F$1004,"&gt;="&amp;TODAY()))&gt;0),"1級に含む",IF(COUNTIFS('資格研修記録'!$A$5:$A$1004,$A190,'資格研修記録'!$D$5:$D$1004,E$4)=0,"—",IF(COUNTIFS('資格研修記録'!$A$5:$A$1004,$A190,'資格研修記録'!$D$5:$D$1004,E$4,'資格研修記録'!$F$5:$F$1004,"")+COUNTIFS('資格研修記録'!$A$5:$A$1004,$A190,'資格研修記録'!$D$5:$D$1004,E$4,'資格研修記録'!$F$5:$F$1004,"&gt;="&amp;TODAY())&gt;0,"○","× 期限切れ"))))</f>
        <v/>
      </c>
      <c r="F190" s="15">
        <f>IF(OR($A190="",F$4=""),"",IF(AND(F$4="小型船舶2級",(COUNTIFS('資格研修記録'!$A$5:$A$1004,$A190,'資格研修記録'!$D$5:$D$1004,"小型船舶1級",'資格研修記録'!$F$5:$F$1004,"")+COUNTIFS('資格研修記録'!$A$5:$A$1004,$A190,'資格研修記録'!$D$5:$D$1004,"小型船舶1級",'資格研修記録'!$F$5:$F$1004,"&gt;="&amp;TODAY()))&gt;0),"1級に含む",IF(COUNTIFS('資格研修記録'!$A$5:$A$1004,$A190,'資格研修記録'!$D$5:$D$1004,F$4)=0,"—",IF(COUNTIFS('資格研修記録'!$A$5:$A$1004,$A190,'資格研修記録'!$D$5:$D$1004,F$4,'資格研修記録'!$F$5:$F$1004,"")+COUNTIFS('資格研修記録'!$A$5:$A$1004,$A190,'資格研修記録'!$D$5:$D$1004,F$4,'資格研修記録'!$F$5:$F$1004,"&gt;="&amp;TODAY())&gt;0,"○","× 期限切れ"))))</f>
        <v/>
      </c>
      <c r="G190" s="15">
        <f>IF(OR($A190="",G$4=""),"",IF(AND(G$4="小型船舶2級",(COUNTIFS('資格研修記録'!$A$5:$A$1004,$A190,'資格研修記録'!$D$5:$D$1004,"小型船舶1級",'資格研修記録'!$F$5:$F$1004,"")+COUNTIFS('資格研修記録'!$A$5:$A$1004,$A190,'資格研修記録'!$D$5:$D$1004,"小型船舶1級",'資格研修記録'!$F$5:$F$1004,"&gt;="&amp;TODAY()))&gt;0),"1級に含む",IF(COUNTIFS('資格研修記録'!$A$5:$A$1004,$A190,'資格研修記録'!$D$5:$D$1004,G$4)=0,"—",IF(COUNTIFS('資格研修記録'!$A$5:$A$1004,$A190,'資格研修記録'!$D$5:$D$1004,G$4,'資格研修記録'!$F$5:$F$1004,"")+COUNTIFS('資格研修記録'!$A$5:$A$1004,$A190,'資格研修記録'!$D$5:$D$1004,G$4,'資格研修記録'!$F$5:$F$1004,"&gt;="&amp;TODAY())&gt;0,"○","× 期限切れ"))))</f>
        <v/>
      </c>
      <c r="H190" s="15">
        <f>IF(OR($A190="",H$4=""),"",IF(AND(H$4="小型船舶2級",(COUNTIFS('資格研修記録'!$A$5:$A$1004,$A190,'資格研修記録'!$D$5:$D$1004,"小型船舶1級",'資格研修記録'!$F$5:$F$1004,"")+COUNTIFS('資格研修記録'!$A$5:$A$1004,$A190,'資格研修記録'!$D$5:$D$1004,"小型船舶1級",'資格研修記録'!$F$5:$F$1004,"&gt;="&amp;TODAY()))&gt;0),"1級に含む",IF(COUNTIFS('資格研修記録'!$A$5:$A$1004,$A190,'資格研修記録'!$D$5:$D$1004,H$4)=0,"—",IF(COUNTIFS('資格研修記録'!$A$5:$A$1004,$A190,'資格研修記録'!$D$5:$D$1004,H$4,'資格研修記録'!$F$5:$F$1004,"")+COUNTIFS('資格研修記録'!$A$5:$A$1004,$A190,'資格研修記録'!$D$5:$D$1004,H$4,'資格研修記録'!$F$5:$F$1004,"&gt;="&amp;TODAY())&gt;0,"○","× 期限切れ"))))</f>
        <v/>
      </c>
      <c r="I190" s="15">
        <f>IF(OR($A190="",I$4=""),"",IF(AND(I$4="小型船舶2級",(COUNTIFS('資格研修記録'!$A$5:$A$1004,$A190,'資格研修記録'!$D$5:$D$1004,"小型船舶1級",'資格研修記録'!$F$5:$F$1004,"")+COUNTIFS('資格研修記録'!$A$5:$A$1004,$A190,'資格研修記録'!$D$5:$D$1004,"小型船舶1級",'資格研修記録'!$F$5:$F$1004,"&gt;="&amp;TODAY()))&gt;0),"1級に含む",IF(COUNTIFS('資格研修記録'!$A$5:$A$1004,$A190,'資格研修記録'!$D$5:$D$1004,I$4)=0,"—",IF(COUNTIFS('資格研修記録'!$A$5:$A$1004,$A190,'資格研修記録'!$D$5:$D$1004,I$4,'資格研修記録'!$F$5:$F$1004,"")+COUNTIFS('資格研修記録'!$A$5:$A$1004,$A190,'資格研修記録'!$D$5:$D$1004,I$4,'資格研修記録'!$F$5:$F$1004,"&gt;="&amp;TODAY())&gt;0,"○","× 期限切れ"))))</f>
        <v/>
      </c>
      <c r="J190" s="15">
        <f>IF(OR($A190="",J$4=""),"",IF(AND(J$4="小型船舶2級",(COUNTIFS('資格研修記録'!$A$5:$A$1004,$A190,'資格研修記録'!$D$5:$D$1004,"小型船舶1級",'資格研修記録'!$F$5:$F$1004,"")+COUNTIFS('資格研修記録'!$A$5:$A$1004,$A190,'資格研修記録'!$D$5:$D$1004,"小型船舶1級",'資格研修記録'!$F$5:$F$1004,"&gt;="&amp;TODAY()))&gt;0),"1級に含む",IF(COUNTIFS('資格研修記録'!$A$5:$A$1004,$A190,'資格研修記録'!$D$5:$D$1004,J$4)=0,"—",IF(COUNTIFS('資格研修記録'!$A$5:$A$1004,$A190,'資格研修記録'!$D$5:$D$1004,J$4,'資格研修記録'!$F$5:$F$1004,"")+COUNTIFS('資格研修記録'!$A$5:$A$1004,$A190,'資格研修記録'!$D$5:$D$1004,J$4,'資格研修記録'!$F$5:$F$1004,"&gt;="&amp;TODAY())&gt;0,"○","× 期限切れ"))))</f>
        <v/>
      </c>
      <c r="K190" s="15">
        <f>IF(OR($A190="",K$4=""),"",IF(AND(K$4="小型船舶2級",(COUNTIFS('資格研修記録'!$A$5:$A$1004,$A190,'資格研修記録'!$D$5:$D$1004,"小型船舶1級",'資格研修記録'!$F$5:$F$1004,"")+COUNTIFS('資格研修記録'!$A$5:$A$1004,$A190,'資格研修記録'!$D$5:$D$1004,"小型船舶1級",'資格研修記録'!$F$5:$F$1004,"&gt;="&amp;TODAY()))&gt;0),"1級に含む",IF(COUNTIFS('資格研修記録'!$A$5:$A$1004,$A190,'資格研修記録'!$D$5:$D$1004,K$4)=0,"—",IF(COUNTIFS('資格研修記録'!$A$5:$A$1004,$A190,'資格研修記録'!$D$5:$D$1004,K$4,'資格研修記録'!$F$5:$F$1004,"")+COUNTIFS('資格研修記録'!$A$5:$A$1004,$A190,'資格研修記録'!$D$5:$D$1004,K$4,'資格研修記録'!$F$5:$F$1004,"&gt;="&amp;TODAY())&gt;0,"○","× 期限切れ"))))</f>
        <v/>
      </c>
      <c r="L190" s="15">
        <f>IF(OR($A190="",L$4=""),"",IF(AND(L$4="小型船舶2級",(COUNTIFS('資格研修記録'!$A$5:$A$1004,$A190,'資格研修記録'!$D$5:$D$1004,"小型船舶1級",'資格研修記録'!$F$5:$F$1004,"")+COUNTIFS('資格研修記録'!$A$5:$A$1004,$A190,'資格研修記録'!$D$5:$D$1004,"小型船舶1級",'資格研修記録'!$F$5:$F$1004,"&gt;="&amp;TODAY()))&gt;0),"1級に含む",IF(COUNTIFS('資格研修記録'!$A$5:$A$1004,$A190,'資格研修記録'!$D$5:$D$1004,L$4)=0,"—",IF(COUNTIFS('資格研修記録'!$A$5:$A$1004,$A190,'資格研修記録'!$D$5:$D$1004,L$4,'資格研修記録'!$F$5:$F$1004,"")+COUNTIFS('資格研修記録'!$A$5:$A$1004,$A190,'資格研修記録'!$D$5:$D$1004,L$4,'資格研修記録'!$F$5:$F$1004,"&gt;="&amp;TODAY())&gt;0,"○","× 期限切れ"))))</f>
        <v/>
      </c>
    </row>
    <row r="191">
      <c r="A191" s="14">
        <f>IF('隊員マスタ'!A191="","",'隊員マスタ'!A191)</f>
        <v/>
      </c>
      <c r="B191" s="14">
        <f>IF(A191="","",'隊員マスタ'!B191)</f>
        <v/>
      </c>
      <c r="C191" s="14">
        <f>IF(A191="","",'隊員マスタ'!C191)</f>
        <v/>
      </c>
      <c r="D191" s="15">
        <f>IF(A191="","",'隊員マスタ'!D191)</f>
        <v/>
      </c>
      <c r="E191" s="15">
        <f>IF(OR($A191="",E$4=""),"",IF(AND(E$4="小型船舶2級",(COUNTIFS('資格研修記録'!$A$5:$A$1004,$A191,'資格研修記録'!$D$5:$D$1004,"小型船舶1級",'資格研修記録'!$F$5:$F$1004,"")+COUNTIFS('資格研修記録'!$A$5:$A$1004,$A191,'資格研修記録'!$D$5:$D$1004,"小型船舶1級",'資格研修記録'!$F$5:$F$1004,"&gt;="&amp;TODAY()))&gt;0),"1級に含む",IF(COUNTIFS('資格研修記録'!$A$5:$A$1004,$A191,'資格研修記録'!$D$5:$D$1004,E$4)=0,"—",IF(COUNTIFS('資格研修記録'!$A$5:$A$1004,$A191,'資格研修記録'!$D$5:$D$1004,E$4,'資格研修記録'!$F$5:$F$1004,"")+COUNTIFS('資格研修記録'!$A$5:$A$1004,$A191,'資格研修記録'!$D$5:$D$1004,E$4,'資格研修記録'!$F$5:$F$1004,"&gt;="&amp;TODAY())&gt;0,"○","× 期限切れ"))))</f>
        <v/>
      </c>
      <c r="F191" s="15">
        <f>IF(OR($A191="",F$4=""),"",IF(AND(F$4="小型船舶2級",(COUNTIFS('資格研修記録'!$A$5:$A$1004,$A191,'資格研修記録'!$D$5:$D$1004,"小型船舶1級",'資格研修記録'!$F$5:$F$1004,"")+COUNTIFS('資格研修記録'!$A$5:$A$1004,$A191,'資格研修記録'!$D$5:$D$1004,"小型船舶1級",'資格研修記録'!$F$5:$F$1004,"&gt;="&amp;TODAY()))&gt;0),"1級に含む",IF(COUNTIFS('資格研修記録'!$A$5:$A$1004,$A191,'資格研修記録'!$D$5:$D$1004,F$4)=0,"—",IF(COUNTIFS('資格研修記録'!$A$5:$A$1004,$A191,'資格研修記録'!$D$5:$D$1004,F$4,'資格研修記録'!$F$5:$F$1004,"")+COUNTIFS('資格研修記録'!$A$5:$A$1004,$A191,'資格研修記録'!$D$5:$D$1004,F$4,'資格研修記録'!$F$5:$F$1004,"&gt;="&amp;TODAY())&gt;0,"○","× 期限切れ"))))</f>
        <v/>
      </c>
      <c r="G191" s="15">
        <f>IF(OR($A191="",G$4=""),"",IF(AND(G$4="小型船舶2級",(COUNTIFS('資格研修記録'!$A$5:$A$1004,$A191,'資格研修記録'!$D$5:$D$1004,"小型船舶1級",'資格研修記録'!$F$5:$F$1004,"")+COUNTIFS('資格研修記録'!$A$5:$A$1004,$A191,'資格研修記録'!$D$5:$D$1004,"小型船舶1級",'資格研修記録'!$F$5:$F$1004,"&gt;="&amp;TODAY()))&gt;0),"1級に含む",IF(COUNTIFS('資格研修記録'!$A$5:$A$1004,$A191,'資格研修記録'!$D$5:$D$1004,G$4)=0,"—",IF(COUNTIFS('資格研修記録'!$A$5:$A$1004,$A191,'資格研修記録'!$D$5:$D$1004,G$4,'資格研修記録'!$F$5:$F$1004,"")+COUNTIFS('資格研修記録'!$A$5:$A$1004,$A191,'資格研修記録'!$D$5:$D$1004,G$4,'資格研修記録'!$F$5:$F$1004,"&gt;="&amp;TODAY())&gt;0,"○","× 期限切れ"))))</f>
        <v/>
      </c>
      <c r="H191" s="15">
        <f>IF(OR($A191="",H$4=""),"",IF(AND(H$4="小型船舶2級",(COUNTIFS('資格研修記録'!$A$5:$A$1004,$A191,'資格研修記録'!$D$5:$D$1004,"小型船舶1級",'資格研修記録'!$F$5:$F$1004,"")+COUNTIFS('資格研修記録'!$A$5:$A$1004,$A191,'資格研修記録'!$D$5:$D$1004,"小型船舶1級",'資格研修記録'!$F$5:$F$1004,"&gt;="&amp;TODAY()))&gt;0),"1級に含む",IF(COUNTIFS('資格研修記録'!$A$5:$A$1004,$A191,'資格研修記録'!$D$5:$D$1004,H$4)=0,"—",IF(COUNTIFS('資格研修記録'!$A$5:$A$1004,$A191,'資格研修記録'!$D$5:$D$1004,H$4,'資格研修記録'!$F$5:$F$1004,"")+COUNTIFS('資格研修記録'!$A$5:$A$1004,$A191,'資格研修記録'!$D$5:$D$1004,H$4,'資格研修記録'!$F$5:$F$1004,"&gt;="&amp;TODAY())&gt;0,"○","× 期限切れ"))))</f>
        <v/>
      </c>
      <c r="I191" s="15">
        <f>IF(OR($A191="",I$4=""),"",IF(AND(I$4="小型船舶2級",(COUNTIFS('資格研修記録'!$A$5:$A$1004,$A191,'資格研修記録'!$D$5:$D$1004,"小型船舶1級",'資格研修記録'!$F$5:$F$1004,"")+COUNTIFS('資格研修記録'!$A$5:$A$1004,$A191,'資格研修記録'!$D$5:$D$1004,"小型船舶1級",'資格研修記録'!$F$5:$F$1004,"&gt;="&amp;TODAY()))&gt;0),"1級に含む",IF(COUNTIFS('資格研修記録'!$A$5:$A$1004,$A191,'資格研修記録'!$D$5:$D$1004,I$4)=0,"—",IF(COUNTIFS('資格研修記録'!$A$5:$A$1004,$A191,'資格研修記録'!$D$5:$D$1004,I$4,'資格研修記録'!$F$5:$F$1004,"")+COUNTIFS('資格研修記録'!$A$5:$A$1004,$A191,'資格研修記録'!$D$5:$D$1004,I$4,'資格研修記録'!$F$5:$F$1004,"&gt;="&amp;TODAY())&gt;0,"○","× 期限切れ"))))</f>
        <v/>
      </c>
      <c r="J191" s="15">
        <f>IF(OR($A191="",J$4=""),"",IF(AND(J$4="小型船舶2級",(COUNTIFS('資格研修記録'!$A$5:$A$1004,$A191,'資格研修記録'!$D$5:$D$1004,"小型船舶1級",'資格研修記録'!$F$5:$F$1004,"")+COUNTIFS('資格研修記録'!$A$5:$A$1004,$A191,'資格研修記録'!$D$5:$D$1004,"小型船舶1級",'資格研修記録'!$F$5:$F$1004,"&gt;="&amp;TODAY()))&gt;0),"1級に含む",IF(COUNTIFS('資格研修記録'!$A$5:$A$1004,$A191,'資格研修記録'!$D$5:$D$1004,J$4)=0,"—",IF(COUNTIFS('資格研修記録'!$A$5:$A$1004,$A191,'資格研修記録'!$D$5:$D$1004,J$4,'資格研修記録'!$F$5:$F$1004,"")+COUNTIFS('資格研修記録'!$A$5:$A$1004,$A191,'資格研修記録'!$D$5:$D$1004,J$4,'資格研修記録'!$F$5:$F$1004,"&gt;="&amp;TODAY())&gt;0,"○","× 期限切れ"))))</f>
        <v/>
      </c>
      <c r="K191" s="15">
        <f>IF(OR($A191="",K$4=""),"",IF(AND(K$4="小型船舶2級",(COUNTIFS('資格研修記録'!$A$5:$A$1004,$A191,'資格研修記録'!$D$5:$D$1004,"小型船舶1級",'資格研修記録'!$F$5:$F$1004,"")+COUNTIFS('資格研修記録'!$A$5:$A$1004,$A191,'資格研修記録'!$D$5:$D$1004,"小型船舶1級",'資格研修記録'!$F$5:$F$1004,"&gt;="&amp;TODAY()))&gt;0),"1級に含む",IF(COUNTIFS('資格研修記録'!$A$5:$A$1004,$A191,'資格研修記録'!$D$5:$D$1004,K$4)=0,"—",IF(COUNTIFS('資格研修記録'!$A$5:$A$1004,$A191,'資格研修記録'!$D$5:$D$1004,K$4,'資格研修記録'!$F$5:$F$1004,"")+COUNTIFS('資格研修記録'!$A$5:$A$1004,$A191,'資格研修記録'!$D$5:$D$1004,K$4,'資格研修記録'!$F$5:$F$1004,"&gt;="&amp;TODAY())&gt;0,"○","× 期限切れ"))))</f>
        <v/>
      </c>
      <c r="L191" s="15">
        <f>IF(OR($A191="",L$4=""),"",IF(AND(L$4="小型船舶2級",(COUNTIFS('資格研修記録'!$A$5:$A$1004,$A191,'資格研修記録'!$D$5:$D$1004,"小型船舶1級",'資格研修記録'!$F$5:$F$1004,"")+COUNTIFS('資格研修記録'!$A$5:$A$1004,$A191,'資格研修記録'!$D$5:$D$1004,"小型船舶1級",'資格研修記録'!$F$5:$F$1004,"&gt;="&amp;TODAY()))&gt;0),"1級に含む",IF(COUNTIFS('資格研修記録'!$A$5:$A$1004,$A191,'資格研修記録'!$D$5:$D$1004,L$4)=0,"—",IF(COUNTIFS('資格研修記録'!$A$5:$A$1004,$A191,'資格研修記録'!$D$5:$D$1004,L$4,'資格研修記録'!$F$5:$F$1004,"")+COUNTIFS('資格研修記録'!$A$5:$A$1004,$A191,'資格研修記録'!$D$5:$D$1004,L$4,'資格研修記録'!$F$5:$F$1004,"&gt;="&amp;TODAY())&gt;0,"○","× 期限切れ"))))</f>
        <v/>
      </c>
    </row>
    <row r="192">
      <c r="A192" s="14">
        <f>IF('隊員マスタ'!A192="","",'隊員マスタ'!A192)</f>
        <v/>
      </c>
      <c r="B192" s="14">
        <f>IF(A192="","",'隊員マスタ'!B192)</f>
        <v/>
      </c>
      <c r="C192" s="14">
        <f>IF(A192="","",'隊員マスタ'!C192)</f>
        <v/>
      </c>
      <c r="D192" s="15">
        <f>IF(A192="","",'隊員マスタ'!D192)</f>
        <v/>
      </c>
      <c r="E192" s="15">
        <f>IF(OR($A192="",E$4=""),"",IF(AND(E$4="小型船舶2級",(COUNTIFS('資格研修記録'!$A$5:$A$1004,$A192,'資格研修記録'!$D$5:$D$1004,"小型船舶1級",'資格研修記録'!$F$5:$F$1004,"")+COUNTIFS('資格研修記録'!$A$5:$A$1004,$A192,'資格研修記録'!$D$5:$D$1004,"小型船舶1級",'資格研修記録'!$F$5:$F$1004,"&gt;="&amp;TODAY()))&gt;0),"1級に含む",IF(COUNTIFS('資格研修記録'!$A$5:$A$1004,$A192,'資格研修記録'!$D$5:$D$1004,E$4)=0,"—",IF(COUNTIFS('資格研修記録'!$A$5:$A$1004,$A192,'資格研修記録'!$D$5:$D$1004,E$4,'資格研修記録'!$F$5:$F$1004,"")+COUNTIFS('資格研修記録'!$A$5:$A$1004,$A192,'資格研修記録'!$D$5:$D$1004,E$4,'資格研修記録'!$F$5:$F$1004,"&gt;="&amp;TODAY())&gt;0,"○","× 期限切れ"))))</f>
        <v/>
      </c>
      <c r="F192" s="15">
        <f>IF(OR($A192="",F$4=""),"",IF(AND(F$4="小型船舶2級",(COUNTIFS('資格研修記録'!$A$5:$A$1004,$A192,'資格研修記録'!$D$5:$D$1004,"小型船舶1級",'資格研修記録'!$F$5:$F$1004,"")+COUNTIFS('資格研修記録'!$A$5:$A$1004,$A192,'資格研修記録'!$D$5:$D$1004,"小型船舶1級",'資格研修記録'!$F$5:$F$1004,"&gt;="&amp;TODAY()))&gt;0),"1級に含む",IF(COUNTIFS('資格研修記録'!$A$5:$A$1004,$A192,'資格研修記録'!$D$5:$D$1004,F$4)=0,"—",IF(COUNTIFS('資格研修記録'!$A$5:$A$1004,$A192,'資格研修記録'!$D$5:$D$1004,F$4,'資格研修記録'!$F$5:$F$1004,"")+COUNTIFS('資格研修記録'!$A$5:$A$1004,$A192,'資格研修記録'!$D$5:$D$1004,F$4,'資格研修記録'!$F$5:$F$1004,"&gt;="&amp;TODAY())&gt;0,"○","× 期限切れ"))))</f>
        <v/>
      </c>
      <c r="G192" s="15">
        <f>IF(OR($A192="",G$4=""),"",IF(AND(G$4="小型船舶2級",(COUNTIFS('資格研修記録'!$A$5:$A$1004,$A192,'資格研修記録'!$D$5:$D$1004,"小型船舶1級",'資格研修記録'!$F$5:$F$1004,"")+COUNTIFS('資格研修記録'!$A$5:$A$1004,$A192,'資格研修記録'!$D$5:$D$1004,"小型船舶1級",'資格研修記録'!$F$5:$F$1004,"&gt;="&amp;TODAY()))&gt;0),"1級に含む",IF(COUNTIFS('資格研修記録'!$A$5:$A$1004,$A192,'資格研修記録'!$D$5:$D$1004,G$4)=0,"—",IF(COUNTIFS('資格研修記録'!$A$5:$A$1004,$A192,'資格研修記録'!$D$5:$D$1004,G$4,'資格研修記録'!$F$5:$F$1004,"")+COUNTIFS('資格研修記録'!$A$5:$A$1004,$A192,'資格研修記録'!$D$5:$D$1004,G$4,'資格研修記録'!$F$5:$F$1004,"&gt;="&amp;TODAY())&gt;0,"○","× 期限切れ"))))</f>
        <v/>
      </c>
      <c r="H192" s="15">
        <f>IF(OR($A192="",H$4=""),"",IF(AND(H$4="小型船舶2級",(COUNTIFS('資格研修記録'!$A$5:$A$1004,$A192,'資格研修記録'!$D$5:$D$1004,"小型船舶1級",'資格研修記録'!$F$5:$F$1004,"")+COUNTIFS('資格研修記録'!$A$5:$A$1004,$A192,'資格研修記録'!$D$5:$D$1004,"小型船舶1級",'資格研修記録'!$F$5:$F$1004,"&gt;="&amp;TODAY()))&gt;0),"1級に含む",IF(COUNTIFS('資格研修記録'!$A$5:$A$1004,$A192,'資格研修記録'!$D$5:$D$1004,H$4)=0,"—",IF(COUNTIFS('資格研修記録'!$A$5:$A$1004,$A192,'資格研修記録'!$D$5:$D$1004,H$4,'資格研修記録'!$F$5:$F$1004,"")+COUNTIFS('資格研修記録'!$A$5:$A$1004,$A192,'資格研修記録'!$D$5:$D$1004,H$4,'資格研修記録'!$F$5:$F$1004,"&gt;="&amp;TODAY())&gt;0,"○","× 期限切れ"))))</f>
        <v/>
      </c>
      <c r="I192" s="15">
        <f>IF(OR($A192="",I$4=""),"",IF(AND(I$4="小型船舶2級",(COUNTIFS('資格研修記録'!$A$5:$A$1004,$A192,'資格研修記録'!$D$5:$D$1004,"小型船舶1級",'資格研修記録'!$F$5:$F$1004,"")+COUNTIFS('資格研修記録'!$A$5:$A$1004,$A192,'資格研修記録'!$D$5:$D$1004,"小型船舶1級",'資格研修記録'!$F$5:$F$1004,"&gt;="&amp;TODAY()))&gt;0),"1級に含む",IF(COUNTIFS('資格研修記録'!$A$5:$A$1004,$A192,'資格研修記録'!$D$5:$D$1004,I$4)=0,"—",IF(COUNTIFS('資格研修記録'!$A$5:$A$1004,$A192,'資格研修記録'!$D$5:$D$1004,I$4,'資格研修記録'!$F$5:$F$1004,"")+COUNTIFS('資格研修記録'!$A$5:$A$1004,$A192,'資格研修記録'!$D$5:$D$1004,I$4,'資格研修記録'!$F$5:$F$1004,"&gt;="&amp;TODAY())&gt;0,"○","× 期限切れ"))))</f>
        <v/>
      </c>
      <c r="J192" s="15">
        <f>IF(OR($A192="",J$4=""),"",IF(AND(J$4="小型船舶2級",(COUNTIFS('資格研修記録'!$A$5:$A$1004,$A192,'資格研修記録'!$D$5:$D$1004,"小型船舶1級",'資格研修記録'!$F$5:$F$1004,"")+COUNTIFS('資格研修記録'!$A$5:$A$1004,$A192,'資格研修記録'!$D$5:$D$1004,"小型船舶1級",'資格研修記録'!$F$5:$F$1004,"&gt;="&amp;TODAY()))&gt;0),"1級に含む",IF(COUNTIFS('資格研修記録'!$A$5:$A$1004,$A192,'資格研修記録'!$D$5:$D$1004,J$4)=0,"—",IF(COUNTIFS('資格研修記録'!$A$5:$A$1004,$A192,'資格研修記録'!$D$5:$D$1004,J$4,'資格研修記録'!$F$5:$F$1004,"")+COUNTIFS('資格研修記録'!$A$5:$A$1004,$A192,'資格研修記録'!$D$5:$D$1004,J$4,'資格研修記録'!$F$5:$F$1004,"&gt;="&amp;TODAY())&gt;0,"○","× 期限切れ"))))</f>
        <v/>
      </c>
      <c r="K192" s="15">
        <f>IF(OR($A192="",K$4=""),"",IF(AND(K$4="小型船舶2級",(COUNTIFS('資格研修記録'!$A$5:$A$1004,$A192,'資格研修記録'!$D$5:$D$1004,"小型船舶1級",'資格研修記録'!$F$5:$F$1004,"")+COUNTIFS('資格研修記録'!$A$5:$A$1004,$A192,'資格研修記録'!$D$5:$D$1004,"小型船舶1級",'資格研修記録'!$F$5:$F$1004,"&gt;="&amp;TODAY()))&gt;0),"1級に含む",IF(COUNTIFS('資格研修記録'!$A$5:$A$1004,$A192,'資格研修記録'!$D$5:$D$1004,K$4)=0,"—",IF(COUNTIFS('資格研修記録'!$A$5:$A$1004,$A192,'資格研修記録'!$D$5:$D$1004,K$4,'資格研修記録'!$F$5:$F$1004,"")+COUNTIFS('資格研修記録'!$A$5:$A$1004,$A192,'資格研修記録'!$D$5:$D$1004,K$4,'資格研修記録'!$F$5:$F$1004,"&gt;="&amp;TODAY())&gt;0,"○","× 期限切れ"))))</f>
        <v/>
      </c>
      <c r="L192" s="15">
        <f>IF(OR($A192="",L$4=""),"",IF(AND(L$4="小型船舶2級",(COUNTIFS('資格研修記録'!$A$5:$A$1004,$A192,'資格研修記録'!$D$5:$D$1004,"小型船舶1級",'資格研修記録'!$F$5:$F$1004,"")+COUNTIFS('資格研修記録'!$A$5:$A$1004,$A192,'資格研修記録'!$D$5:$D$1004,"小型船舶1級",'資格研修記録'!$F$5:$F$1004,"&gt;="&amp;TODAY()))&gt;0),"1級に含む",IF(COUNTIFS('資格研修記録'!$A$5:$A$1004,$A192,'資格研修記録'!$D$5:$D$1004,L$4)=0,"—",IF(COUNTIFS('資格研修記録'!$A$5:$A$1004,$A192,'資格研修記録'!$D$5:$D$1004,L$4,'資格研修記録'!$F$5:$F$1004,"")+COUNTIFS('資格研修記録'!$A$5:$A$1004,$A192,'資格研修記録'!$D$5:$D$1004,L$4,'資格研修記録'!$F$5:$F$1004,"&gt;="&amp;TODAY())&gt;0,"○","× 期限切れ"))))</f>
        <v/>
      </c>
    </row>
    <row r="193">
      <c r="A193" s="14">
        <f>IF('隊員マスタ'!A193="","",'隊員マスタ'!A193)</f>
        <v/>
      </c>
      <c r="B193" s="14">
        <f>IF(A193="","",'隊員マスタ'!B193)</f>
        <v/>
      </c>
      <c r="C193" s="14">
        <f>IF(A193="","",'隊員マスタ'!C193)</f>
        <v/>
      </c>
      <c r="D193" s="15">
        <f>IF(A193="","",'隊員マスタ'!D193)</f>
        <v/>
      </c>
      <c r="E193" s="15">
        <f>IF(OR($A193="",E$4=""),"",IF(AND(E$4="小型船舶2級",(COUNTIFS('資格研修記録'!$A$5:$A$1004,$A193,'資格研修記録'!$D$5:$D$1004,"小型船舶1級",'資格研修記録'!$F$5:$F$1004,"")+COUNTIFS('資格研修記録'!$A$5:$A$1004,$A193,'資格研修記録'!$D$5:$D$1004,"小型船舶1級",'資格研修記録'!$F$5:$F$1004,"&gt;="&amp;TODAY()))&gt;0),"1級に含む",IF(COUNTIFS('資格研修記録'!$A$5:$A$1004,$A193,'資格研修記録'!$D$5:$D$1004,E$4)=0,"—",IF(COUNTIFS('資格研修記録'!$A$5:$A$1004,$A193,'資格研修記録'!$D$5:$D$1004,E$4,'資格研修記録'!$F$5:$F$1004,"")+COUNTIFS('資格研修記録'!$A$5:$A$1004,$A193,'資格研修記録'!$D$5:$D$1004,E$4,'資格研修記録'!$F$5:$F$1004,"&gt;="&amp;TODAY())&gt;0,"○","× 期限切れ"))))</f>
        <v/>
      </c>
      <c r="F193" s="15">
        <f>IF(OR($A193="",F$4=""),"",IF(AND(F$4="小型船舶2級",(COUNTIFS('資格研修記録'!$A$5:$A$1004,$A193,'資格研修記録'!$D$5:$D$1004,"小型船舶1級",'資格研修記録'!$F$5:$F$1004,"")+COUNTIFS('資格研修記録'!$A$5:$A$1004,$A193,'資格研修記録'!$D$5:$D$1004,"小型船舶1級",'資格研修記録'!$F$5:$F$1004,"&gt;="&amp;TODAY()))&gt;0),"1級に含む",IF(COUNTIFS('資格研修記録'!$A$5:$A$1004,$A193,'資格研修記録'!$D$5:$D$1004,F$4)=0,"—",IF(COUNTIFS('資格研修記録'!$A$5:$A$1004,$A193,'資格研修記録'!$D$5:$D$1004,F$4,'資格研修記録'!$F$5:$F$1004,"")+COUNTIFS('資格研修記録'!$A$5:$A$1004,$A193,'資格研修記録'!$D$5:$D$1004,F$4,'資格研修記録'!$F$5:$F$1004,"&gt;="&amp;TODAY())&gt;0,"○","× 期限切れ"))))</f>
        <v/>
      </c>
      <c r="G193" s="15">
        <f>IF(OR($A193="",G$4=""),"",IF(AND(G$4="小型船舶2級",(COUNTIFS('資格研修記録'!$A$5:$A$1004,$A193,'資格研修記録'!$D$5:$D$1004,"小型船舶1級",'資格研修記録'!$F$5:$F$1004,"")+COUNTIFS('資格研修記録'!$A$5:$A$1004,$A193,'資格研修記録'!$D$5:$D$1004,"小型船舶1級",'資格研修記録'!$F$5:$F$1004,"&gt;="&amp;TODAY()))&gt;0),"1級に含む",IF(COUNTIFS('資格研修記録'!$A$5:$A$1004,$A193,'資格研修記録'!$D$5:$D$1004,G$4)=0,"—",IF(COUNTIFS('資格研修記録'!$A$5:$A$1004,$A193,'資格研修記録'!$D$5:$D$1004,G$4,'資格研修記録'!$F$5:$F$1004,"")+COUNTIFS('資格研修記録'!$A$5:$A$1004,$A193,'資格研修記録'!$D$5:$D$1004,G$4,'資格研修記録'!$F$5:$F$1004,"&gt;="&amp;TODAY())&gt;0,"○","× 期限切れ"))))</f>
        <v/>
      </c>
      <c r="H193" s="15">
        <f>IF(OR($A193="",H$4=""),"",IF(AND(H$4="小型船舶2級",(COUNTIFS('資格研修記録'!$A$5:$A$1004,$A193,'資格研修記録'!$D$5:$D$1004,"小型船舶1級",'資格研修記録'!$F$5:$F$1004,"")+COUNTIFS('資格研修記録'!$A$5:$A$1004,$A193,'資格研修記録'!$D$5:$D$1004,"小型船舶1級",'資格研修記録'!$F$5:$F$1004,"&gt;="&amp;TODAY()))&gt;0),"1級に含む",IF(COUNTIFS('資格研修記録'!$A$5:$A$1004,$A193,'資格研修記録'!$D$5:$D$1004,H$4)=0,"—",IF(COUNTIFS('資格研修記録'!$A$5:$A$1004,$A193,'資格研修記録'!$D$5:$D$1004,H$4,'資格研修記録'!$F$5:$F$1004,"")+COUNTIFS('資格研修記録'!$A$5:$A$1004,$A193,'資格研修記録'!$D$5:$D$1004,H$4,'資格研修記録'!$F$5:$F$1004,"&gt;="&amp;TODAY())&gt;0,"○","× 期限切れ"))))</f>
        <v/>
      </c>
      <c r="I193" s="15">
        <f>IF(OR($A193="",I$4=""),"",IF(AND(I$4="小型船舶2級",(COUNTIFS('資格研修記録'!$A$5:$A$1004,$A193,'資格研修記録'!$D$5:$D$1004,"小型船舶1級",'資格研修記録'!$F$5:$F$1004,"")+COUNTIFS('資格研修記録'!$A$5:$A$1004,$A193,'資格研修記録'!$D$5:$D$1004,"小型船舶1級",'資格研修記録'!$F$5:$F$1004,"&gt;="&amp;TODAY()))&gt;0),"1級に含む",IF(COUNTIFS('資格研修記録'!$A$5:$A$1004,$A193,'資格研修記録'!$D$5:$D$1004,I$4)=0,"—",IF(COUNTIFS('資格研修記録'!$A$5:$A$1004,$A193,'資格研修記録'!$D$5:$D$1004,I$4,'資格研修記録'!$F$5:$F$1004,"")+COUNTIFS('資格研修記録'!$A$5:$A$1004,$A193,'資格研修記録'!$D$5:$D$1004,I$4,'資格研修記録'!$F$5:$F$1004,"&gt;="&amp;TODAY())&gt;0,"○","× 期限切れ"))))</f>
        <v/>
      </c>
      <c r="J193" s="15">
        <f>IF(OR($A193="",J$4=""),"",IF(AND(J$4="小型船舶2級",(COUNTIFS('資格研修記録'!$A$5:$A$1004,$A193,'資格研修記録'!$D$5:$D$1004,"小型船舶1級",'資格研修記録'!$F$5:$F$1004,"")+COUNTIFS('資格研修記録'!$A$5:$A$1004,$A193,'資格研修記録'!$D$5:$D$1004,"小型船舶1級",'資格研修記録'!$F$5:$F$1004,"&gt;="&amp;TODAY()))&gt;0),"1級に含む",IF(COUNTIFS('資格研修記録'!$A$5:$A$1004,$A193,'資格研修記録'!$D$5:$D$1004,J$4)=0,"—",IF(COUNTIFS('資格研修記録'!$A$5:$A$1004,$A193,'資格研修記録'!$D$5:$D$1004,J$4,'資格研修記録'!$F$5:$F$1004,"")+COUNTIFS('資格研修記録'!$A$5:$A$1004,$A193,'資格研修記録'!$D$5:$D$1004,J$4,'資格研修記録'!$F$5:$F$1004,"&gt;="&amp;TODAY())&gt;0,"○","× 期限切れ"))))</f>
        <v/>
      </c>
      <c r="K193" s="15">
        <f>IF(OR($A193="",K$4=""),"",IF(AND(K$4="小型船舶2級",(COUNTIFS('資格研修記録'!$A$5:$A$1004,$A193,'資格研修記録'!$D$5:$D$1004,"小型船舶1級",'資格研修記録'!$F$5:$F$1004,"")+COUNTIFS('資格研修記録'!$A$5:$A$1004,$A193,'資格研修記録'!$D$5:$D$1004,"小型船舶1級",'資格研修記録'!$F$5:$F$1004,"&gt;="&amp;TODAY()))&gt;0),"1級に含む",IF(COUNTIFS('資格研修記録'!$A$5:$A$1004,$A193,'資格研修記録'!$D$5:$D$1004,K$4)=0,"—",IF(COUNTIFS('資格研修記録'!$A$5:$A$1004,$A193,'資格研修記録'!$D$5:$D$1004,K$4,'資格研修記録'!$F$5:$F$1004,"")+COUNTIFS('資格研修記録'!$A$5:$A$1004,$A193,'資格研修記録'!$D$5:$D$1004,K$4,'資格研修記録'!$F$5:$F$1004,"&gt;="&amp;TODAY())&gt;0,"○","× 期限切れ"))))</f>
        <v/>
      </c>
      <c r="L193" s="15">
        <f>IF(OR($A193="",L$4=""),"",IF(AND(L$4="小型船舶2級",(COUNTIFS('資格研修記録'!$A$5:$A$1004,$A193,'資格研修記録'!$D$5:$D$1004,"小型船舶1級",'資格研修記録'!$F$5:$F$1004,"")+COUNTIFS('資格研修記録'!$A$5:$A$1004,$A193,'資格研修記録'!$D$5:$D$1004,"小型船舶1級",'資格研修記録'!$F$5:$F$1004,"&gt;="&amp;TODAY()))&gt;0),"1級に含む",IF(COUNTIFS('資格研修記録'!$A$5:$A$1004,$A193,'資格研修記録'!$D$5:$D$1004,L$4)=0,"—",IF(COUNTIFS('資格研修記録'!$A$5:$A$1004,$A193,'資格研修記録'!$D$5:$D$1004,L$4,'資格研修記録'!$F$5:$F$1004,"")+COUNTIFS('資格研修記録'!$A$5:$A$1004,$A193,'資格研修記録'!$D$5:$D$1004,L$4,'資格研修記録'!$F$5:$F$1004,"&gt;="&amp;TODAY())&gt;0,"○","× 期限切れ"))))</f>
        <v/>
      </c>
    </row>
    <row r="194">
      <c r="A194" s="14">
        <f>IF('隊員マスタ'!A194="","",'隊員マスタ'!A194)</f>
        <v/>
      </c>
      <c r="B194" s="14">
        <f>IF(A194="","",'隊員マスタ'!B194)</f>
        <v/>
      </c>
      <c r="C194" s="14">
        <f>IF(A194="","",'隊員マスタ'!C194)</f>
        <v/>
      </c>
      <c r="D194" s="15">
        <f>IF(A194="","",'隊員マスタ'!D194)</f>
        <v/>
      </c>
      <c r="E194" s="15">
        <f>IF(OR($A194="",E$4=""),"",IF(AND(E$4="小型船舶2級",(COUNTIFS('資格研修記録'!$A$5:$A$1004,$A194,'資格研修記録'!$D$5:$D$1004,"小型船舶1級",'資格研修記録'!$F$5:$F$1004,"")+COUNTIFS('資格研修記録'!$A$5:$A$1004,$A194,'資格研修記録'!$D$5:$D$1004,"小型船舶1級",'資格研修記録'!$F$5:$F$1004,"&gt;="&amp;TODAY()))&gt;0),"1級に含む",IF(COUNTIFS('資格研修記録'!$A$5:$A$1004,$A194,'資格研修記録'!$D$5:$D$1004,E$4)=0,"—",IF(COUNTIFS('資格研修記録'!$A$5:$A$1004,$A194,'資格研修記録'!$D$5:$D$1004,E$4,'資格研修記録'!$F$5:$F$1004,"")+COUNTIFS('資格研修記録'!$A$5:$A$1004,$A194,'資格研修記録'!$D$5:$D$1004,E$4,'資格研修記録'!$F$5:$F$1004,"&gt;="&amp;TODAY())&gt;0,"○","× 期限切れ"))))</f>
        <v/>
      </c>
      <c r="F194" s="15">
        <f>IF(OR($A194="",F$4=""),"",IF(AND(F$4="小型船舶2級",(COUNTIFS('資格研修記録'!$A$5:$A$1004,$A194,'資格研修記録'!$D$5:$D$1004,"小型船舶1級",'資格研修記録'!$F$5:$F$1004,"")+COUNTIFS('資格研修記録'!$A$5:$A$1004,$A194,'資格研修記録'!$D$5:$D$1004,"小型船舶1級",'資格研修記録'!$F$5:$F$1004,"&gt;="&amp;TODAY()))&gt;0),"1級に含む",IF(COUNTIFS('資格研修記録'!$A$5:$A$1004,$A194,'資格研修記録'!$D$5:$D$1004,F$4)=0,"—",IF(COUNTIFS('資格研修記録'!$A$5:$A$1004,$A194,'資格研修記録'!$D$5:$D$1004,F$4,'資格研修記録'!$F$5:$F$1004,"")+COUNTIFS('資格研修記録'!$A$5:$A$1004,$A194,'資格研修記録'!$D$5:$D$1004,F$4,'資格研修記録'!$F$5:$F$1004,"&gt;="&amp;TODAY())&gt;0,"○","× 期限切れ"))))</f>
        <v/>
      </c>
      <c r="G194" s="15">
        <f>IF(OR($A194="",G$4=""),"",IF(AND(G$4="小型船舶2級",(COUNTIFS('資格研修記録'!$A$5:$A$1004,$A194,'資格研修記録'!$D$5:$D$1004,"小型船舶1級",'資格研修記録'!$F$5:$F$1004,"")+COUNTIFS('資格研修記録'!$A$5:$A$1004,$A194,'資格研修記録'!$D$5:$D$1004,"小型船舶1級",'資格研修記録'!$F$5:$F$1004,"&gt;="&amp;TODAY()))&gt;0),"1級に含む",IF(COUNTIFS('資格研修記録'!$A$5:$A$1004,$A194,'資格研修記録'!$D$5:$D$1004,G$4)=0,"—",IF(COUNTIFS('資格研修記録'!$A$5:$A$1004,$A194,'資格研修記録'!$D$5:$D$1004,G$4,'資格研修記録'!$F$5:$F$1004,"")+COUNTIFS('資格研修記録'!$A$5:$A$1004,$A194,'資格研修記録'!$D$5:$D$1004,G$4,'資格研修記録'!$F$5:$F$1004,"&gt;="&amp;TODAY())&gt;0,"○","× 期限切れ"))))</f>
        <v/>
      </c>
      <c r="H194" s="15">
        <f>IF(OR($A194="",H$4=""),"",IF(AND(H$4="小型船舶2級",(COUNTIFS('資格研修記録'!$A$5:$A$1004,$A194,'資格研修記録'!$D$5:$D$1004,"小型船舶1級",'資格研修記録'!$F$5:$F$1004,"")+COUNTIFS('資格研修記録'!$A$5:$A$1004,$A194,'資格研修記録'!$D$5:$D$1004,"小型船舶1級",'資格研修記録'!$F$5:$F$1004,"&gt;="&amp;TODAY()))&gt;0),"1級に含む",IF(COUNTIFS('資格研修記録'!$A$5:$A$1004,$A194,'資格研修記録'!$D$5:$D$1004,H$4)=0,"—",IF(COUNTIFS('資格研修記録'!$A$5:$A$1004,$A194,'資格研修記録'!$D$5:$D$1004,H$4,'資格研修記録'!$F$5:$F$1004,"")+COUNTIFS('資格研修記録'!$A$5:$A$1004,$A194,'資格研修記録'!$D$5:$D$1004,H$4,'資格研修記録'!$F$5:$F$1004,"&gt;="&amp;TODAY())&gt;0,"○","× 期限切れ"))))</f>
        <v/>
      </c>
      <c r="I194" s="15">
        <f>IF(OR($A194="",I$4=""),"",IF(AND(I$4="小型船舶2級",(COUNTIFS('資格研修記録'!$A$5:$A$1004,$A194,'資格研修記録'!$D$5:$D$1004,"小型船舶1級",'資格研修記録'!$F$5:$F$1004,"")+COUNTIFS('資格研修記録'!$A$5:$A$1004,$A194,'資格研修記録'!$D$5:$D$1004,"小型船舶1級",'資格研修記録'!$F$5:$F$1004,"&gt;="&amp;TODAY()))&gt;0),"1級に含む",IF(COUNTIFS('資格研修記録'!$A$5:$A$1004,$A194,'資格研修記録'!$D$5:$D$1004,I$4)=0,"—",IF(COUNTIFS('資格研修記録'!$A$5:$A$1004,$A194,'資格研修記録'!$D$5:$D$1004,I$4,'資格研修記録'!$F$5:$F$1004,"")+COUNTIFS('資格研修記録'!$A$5:$A$1004,$A194,'資格研修記録'!$D$5:$D$1004,I$4,'資格研修記録'!$F$5:$F$1004,"&gt;="&amp;TODAY())&gt;0,"○","× 期限切れ"))))</f>
        <v/>
      </c>
      <c r="J194" s="15">
        <f>IF(OR($A194="",J$4=""),"",IF(AND(J$4="小型船舶2級",(COUNTIFS('資格研修記録'!$A$5:$A$1004,$A194,'資格研修記録'!$D$5:$D$1004,"小型船舶1級",'資格研修記録'!$F$5:$F$1004,"")+COUNTIFS('資格研修記録'!$A$5:$A$1004,$A194,'資格研修記録'!$D$5:$D$1004,"小型船舶1級",'資格研修記録'!$F$5:$F$1004,"&gt;="&amp;TODAY()))&gt;0),"1級に含む",IF(COUNTIFS('資格研修記録'!$A$5:$A$1004,$A194,'資格研修記録'!$D$5:$D$1004,J$4)=0,"—",IF(COUNTIFS('資格研修記録'!$A$5:$A$1004,$A194,'資格研修記録'!$D$5:$D$1004,J$4,'資格研修記録'!$F$5:$F$1004,"")+COUNTIFS('資格研修記録'!$A$5:$A$1004,$A194,'資格研修記録'!$D$5:$D$1004,J$4,'資格研修記録'!$F$5:$F$1004,"&gt;="&amp;TODAY())&gt;0,"○","× 期限切れ"))))</f>
        <v/>
      </c>
      <c r="K194" s="15">
        <f>IF(OR($A194="",K$4=""),"",IF(AND(K$4="小型船舶2級",(COUNTIFS('資格研修記録'!$A$5:$A$1004,$A194,'資格研修記録'!$D$5:$D$1004,"小型船舶1級",'資格研修記録'!$F$5:$F$1004,"")+COUNTIFS('資格研修記録'!$A$5:$A$1004,$A194,'資格研修記録'!$D$5:$D$1004,"小型船舶1級",'資格研修記録'!$F$5:$F$1004,"&gt;="&amp;TODAY()))&gt;0),"1級に含む",IF(COUNTIFS('資格研修記録'!$A$5:$A$1004,$A194,'資格研修記録'!$D$5:$D$1004,K$4)=0,"—",IF(COUNTIFS('資格研修記録'!$A$5:$A$1004,$A194,'資格研修記録'!$D$5:$D$1004,K$4,'資格研修記録'!$F$5:$F$1004,"")+COUNTIFS('資格研修記録'!$A$5:$A$1004,$A194,'資格研修記録'!$D$5:$D$1004,K$4,'資格研修記録'!$F$5:$F$1004,"&gt;="&amp;TODAY())&gt;0,"○","× 期限切れ"))))</f>
        <v/>
      </c>
      <c r="L194" s="15">
        <f>IF(OR($A194="",L$4=""),"",IF(AND(L$4="小型船舶2級",(COUNTIFS('資格研修記録'!$A$5:$A$1004,$A194,'資格研修記録'!$D$5:$D$1004,"小型船舶1級",'資格研修記録'!$F$5:$F$1004,"")+COUNTIFS('資格研修記録'!$A$5:$A$1004,$A194,'資格研修記録'!$D$5:$D$1004,"小型船舶1級",'資格研修記録'!$F$5:$F$1004,"&gt;="&amp;TODAY()))&gt;0),"1級に含む",IF(COUNTIFS('資格研修記録'!$A$5:$A$1004,$A194,'資格研修記録'!$D$5:$D$1004,L$4)=0,"—",IF(COUNTIFS('資格研修記録'!$A$5:$A$1004,$A194,'資格研修記録'!$D$5:$D$1004,L$4,'資格研修記録'!$F$5:$F$1004,"")+COUNTIFS('資格研修記録'!$A$5:$A$1004,$A194,'資格研修記録'!$D$5:$D$1004,L$4,'資格研修記録'!$F$5:$F$1004,"&gt;="&amp;TODAY())&gt;0,"○","× 期限切れ"))))</f>
        <v/>
      </c>
    </row>
    <row r="195">
      <c r="A195" s="14">
        <f>IF('隊員マスタ'!A195="","",'隊員マスタ'!A195)</f>
        <v/>
      </c>
      <c r="B195" s="14">
        <f>IF(A195="","",'隊員マスタ'!B195)</f>
        <v/>
      </c>
      <c r="C195" s="14">
        <f>IF(A195="","",'隊員マスタ'!C195)</f>
        <v/>
      </c>
      <c r="D195" s="15">
        <f>IF(A195="","",'隊員マスタ'!D195)</f>
        <v/>
      </c>
      <c r="E195" s="15">
        <f>IF(OR($A195="",E$4=""),"",IF(AND(E$4="小型船舶2級",(COUNTIFS('資格研修記録'!$A$5:$A$1004,$A195,'資格研修記録'!$D$5:$D$1004,"小型船舶1級",'資格研修記録'!$F$5:$F$1004,"")+COUNTIFS('資格研修記録'!$A$5:$A$1004,$A195,'資格研修記録'!$D$5:$D$1004,"小型船舶1級",'資格研修記録'!$F$5:$F$1004,"&gt;="&amp;TODAY()))&gt;0),"1級に含む",IF(COUNTIFS('資格研修記録'!$A$5:$A$1004,$A195,'資格研修記録'!$D$5:$D$1004,E$4)=0,"—",IF(COUNTIFS('資格研修記録'!$A$5:$A$1004,$A195,'資格研修記録'!$D$5:$D$1004,E$4,'資格研修記録'!$F$5:$F$1004,"")+COUNTIFS('資格研修記録'!$A$5:$A$1004,$A195,'資格研修記録'!$D$5:$D$1004,E$4,'資格研修記録'!$F$5:$F$1004,"&gt;="&amp;TODAY())&gt;0,"○","× 期限切れ"))))</f>
        <v/>
      </c>
      <c r="F195" s="15">
        <f>IF(OR($A195="",F$4=""),"",IF(AND(F$4="小型船舶2級",(COUNTIFS('資格研修記録'!$A$5:$A$1004,$A195,'資格研修記録'!$D$5:$D$1004,"小型船舶1級",'資格研修記録'!$F$5:$F$1004,"")+COUNTIFS('資格研修記録'!$A$5:$A$1004,$A195,'資格研修記録'!$D$5:$D$1004,"小型船舶1級",'資格研修記録'!$F$5:$F$1004,"&gt;="&amp;TODAY()))&gt;0),"1級に含む",IF(COUNTIFS('資格研修記録'!$A$5:$A$1004,$A195,'資格研修記録'!$D$5:$D$1004,F$4)=0,"—",IF(COUNTIFS('資格研修記録'!$A$5:$A$1004,$A195,'資格研修記録'!$D$5:$D$1004,F$4,'資格研修記録'!$F$5:$F$1004,"")+COUNTIFS('資格研修記録'!$A$5:$A$1004,$A195,'資格研修記録'!$D$5:$D$1004,F$4,'資格研修記録'!$F$5:$F$1004,"&gt;="&amp;TODAY())&gt;0,"○","× 期限切れ"))))</f>
        <v/>
      </c>
      <c r="G195" s="15">
        <f>IF(OR($A195="",G$4=""),"",IF(AND(G$4="小型船舶2級",(COUNTIFS('資格研修記録'!$A$5:$A$1004,$A195,'資格研修記録'!$D$5:$D$1004,"小型船舶1級",'資格研修記録'!$F$5:$F$1004,"")+COUNTIFS('資格研修記録'!$A$5:$A$1004,$A195,'資格研修記録'!$D$5:$D$1004,"小型船舶1級",'資格研修記録'!$F$5:$F$1004,"&gt;="&amp;TODAY()))&gt;0),"1級に含む",IF(COUNTIFS('資格研修記録'!$A$5:$A$1004,$A195,'資格研修記録'!$D$5:$D$1004,G$4)=0,"—",IF(COUNTIFS('資格研修記録'!$A$5:$A$1004,$A195,'資格研修記録'!$D$5:$D$1004,G$4,'資格研修記録'!$F$5:$F$1004,"")+COUNTIFS('資格研修記録'!$A$5:$A$1004,$A195,'資格研修記録'!$D$5:$D$1004,G$4,'資格研修記録'!$F$5:$F$1004,"&gt;="&amp;TODAY())&gt;0,"○","× 期限切れ"))))</f>
        <v/>
      </c>
      <c r="H195" s="15">
        <f>IF(OR($A195="",H$4=""),"",IF(AND(H$4="小型船舶2級",(COUNTIFS('資格研修記録'!$A$5:$A$1004,$A195,'資格研修記録'!$D$5:$D$1004,"小型船舶1級",'資格研修記録'!$F$5:$F$1004,"")+COUNTIFS('資格研修記録'!$A$5:$A$1004,$A195,'資格研修記録'!$D$5:$D$1004,"小型船舶1級",'資格研修記録'!$F$5:$F$1004,"&gt;="&amp;TODAY()))&gt;0),"1級に含む",IF(COUNTIFS('資格研修記録'!$A$5:$A$1004,$A195,'資格研修記録'!$D$5:$D$1004,H$4)=0,"—",IF(COUNTIFS('資格研修記録'!$A$5:$A$1004,$A195,'資格研修記録'!$D$5:$D$1004,H$4,'資格研修記録'!$F$5:$F$1004,"")+COUNTIFS('資格研修記録'!$A$5:$A$1004,$A195,'資格研修記録'!$D$5:$D$1004,H$4,'資格研修記録'!$F$5:$F$1004,"&gt;="&amp;TODAY())&gt;0,"○","× 期限切れ"))))</f>
        <v/>
      </c>
      <c r="I195" s="15">
        <f>IF(OR($A195="",I$4=""),"",IF(AND(I$4="小型船舶2級",(COUNTIFS('資格研修記録'!$A$5:$A$1004,$A195,'資格研修記録'!$D$5:$D$1004,"小型船舶1級",'資格研修記録'!$F$5:$F$1004,"")+COUNTIFS('資格研修記録'!$A$5:$A$1004,$A195,'資格研修記録'!$D$5:$D$1004,"小型船舶1級",'資格研修記録'!$F$5:$F$1004,"&gt;="&amp;TODAY()))&gt;0),"1級に含む",IF(COUNTIFS('資格研修記録'!$A$5:$A$1004,$A195,'資格研修記録'!$D$5:$D$1004,I$4)=0,"—",IF(COUNTIFS('資格研修記録'!$A$5:$A$1004,$A195,'資格研修記録'!$D$5:$D$1004,I$4,'資格研修記録'!$F$5:$F$1004,"")+COUNTIFS('資格研修記録'!$A$5:$A$1004,$A195,'資格研修記録'!$D$5:$D$1004,I$4,'資格研修記録'!$F$5:$F$1004,"&gt;="&amp;TODAY())&gt;0,"○","× 期限切れ"))))</f>
        <v/>
      </c>
      <c r="J195" s="15">
        <f>IF(OR($A195="",J$4=""),"",IF(AND(J$4="小型船舶2級",(COUNTIFS('資格研修記録'!$A$5:$A$1004,$A195,'資格研修記録'!$D$5:$D$1004,"小型船舶1級",'資格研修記録'!$F$5:$F$1004,"")+COUNTIFS('資格研修記録'!$A$5:$A$1004,$A195,'資格研修記録'!$D$5:$D$1004,"小型船舶1級",'資格研修記録'!$F$5:$F$1004,"&gt;="&amp;TODAY()))&gt;0),"1級に含む",IF(COUNTIFS('資格研修記録'!$A$5:$A$1004,$A195,'資格研修記録'!$D$5:$D$1004,J$4)=0,"—",IF(COUNTIFS('資格研修記録'!$A$5:$A$1004,$A195,'資格研修記録'!$D$5:$D$1004,J$4,'資格研修記録'!$F$5:$F$1004,"")+COUNTIFS('資格研修記録'!$A$5:$A$1004,$A195,'資格研修記録'!$D$5:$D$1004,J$4,'資格研修記録'!$F$5:$F$1004,"&gt;="&amp;TODAY())&gt;0,"○","× 期限切れ"))))</f>
        <v/>
      </c>
      <c r="K195" s="15">
        <f>IF(OR($A195="",K$4=""),"",IF(AND(K$4="小型船舶2級",(COUNTIFS('資格研修記録'!$A$5:$A$1004,$A195,'資格研修記録'!$D$5:$D$1004,"小型船舶1級",'資格研修記録'!$F$5:$F$1004,"")+COUNTIFS('資格研修記録'!$A$5:$A$1004,$A195,'資格研修記録'!$D$5:$D$1004,"小型船舶1級",'資格研修記録'!$F$5:$F$1004,"&gt;="&amp;TODAY()))&gt;0),"1級に含む",IF(COUNTIFS('資格研修記録'!$A$5:$A$1004,$A195,'資格研修記録'!$D$5:$D$1004,K$4)=0,"—",IF(COUNTIFS('資格研修記録'!$A$5:$A$1004,$A195,'資格研修記録'!$D$5:$D$1004,K$4,'資格研修記録'!$F$5:$F$1004,"")+COUNTIFS('資格研修記録'!$A$5:$A$1004,$A195,'資格研修記録'!$D$5:$D$1004,K$4,'資格研修記録'!$F$5:$F$1004,"&gt;="&amp;TODAY())&gt;0,"○","× 期限切れ"))))</f>
        <v/>
      </c>
      <c r="L195" s="15">
        <f>IF(OR($A195="",L$4=""),"",IF(AND(L$4="小型船舶2級",(COUNTIFS('資格研修記録'!$A$5:$A$1004,$A195,'資格研修記録'!$D$5:$D$1004,"小型船舶1級",'資格研修記録'!$F$5:$F$1004,"")+COUNTIFS('資格研修記録'!$A$5:$A$1004,$A195,'資格研修記録'!$D$5:$D$1004,"小型船舶1級",'資格研修記録'!$F$5:$F$1004,"&gt;="&amp;TODAY()))&gt;0),"1級に含む",IF(COUNTIFS('資格研修記録'!$A$5:$A$1004,$A195,'資格研修記録'!$D$5:$D$1004,L$4)=0,"—",IF(COUNTIFS('資格研修記録'!$A$5:$A$1004,$A195,'資格研修記録'!$D$5:$D$1004,L$4,'資格研修記録'!$F$5:$F$1004,"")+COUNTIFS('資格研修記録'!$A$5:$A$1004,$A195,'資格研修記録'!$D$5:$D$1004,L$4,'資格研修記録'!$F$5:$F$1004,"&gt;="&amp;TODAY())&gt;0,"○","× 期限切れ"))))</f>
        <v/>
      </c>
    </row>
    <row r="196">
      <c r="A196" s="14">
        <f>IF('隊員マスタ'!A196="","",'隊員マスタ'!A196)</f>
        <v/>
      </c>
      <c r="B196" s="14">
        <f>IF(A196="","",'隊員マスタ'!B196)</f>
        <v/>
      </c>
      <c r="C196" s="14">
        <f>IF(A196="","",'隊員マスタ'!C196)</f>
        <v/>
      </c>
      <c r="D196" s="15">
        <f>IF(A196="","",'隊員マスタ'!D196)</f>
        <v/>
      </c>
      <c r="E196" s="15">
        <f>IF(OR($A196="",E$4=""),"",IF(AND(E$4="小型船舶2級",(COUNTIFS('資格研修記録'!$A$5:$A$1004,$A196,'資格研修記録'!$D$5:$D$1004,"小型船舶1級",'資格研修記録'!$F$5:$F$1004,"")+COUNTIFS('資格研修記録'!$A$5:$A$1004,$A196,'資格研修記録'!$D$5:$D$1004,"小型船舶1級",'資格研修記録'!$F$5:$F$1004,"&gt;="&amp;TODAY()))&gt;0),"1級に含む",IF(COUNTIFS('資格研修記録'!$A$5:$A$1004,$A196,'資格研修記録'!$D$5:$D$1004,E$4)=0,"—",IF(COUNTIFS('資格研修記録'!$A$5:$A$1004,$A196,'資格研修記録'!$D$5:$D$1004,E$4,'資格研修記録'!$F$5:$F$1004,"")+COUNTIFS('資格研修記録'!$A$5:$A$1004,$A196,'資格研修記録'!$D$5:$D$1004,E$4,'資格研修記録'!$F$5:$F$1004,"&gt;="&amp;TODAY())&gt;0,"○","× 期限切れ"))))</f>
        <v/>
      </c>
      <c r="F196" s="15">
        <f>IF(OR($A196="",F$4=""),"",IF(AND(F$4="小型船舶2級",(COUNTIFS('資格研修記録'!$A$5:$A$1004,$A196,'資格研修記録'!$D$5:$D$1004,"小型船舶1級",'資格研修記録'!$F$5:$F$1004,"")+COUNTIFS('資格研修記録'!$A$5:$A$1004,$A196,'資格研修記録'!$D$5:$D$1004,"小型船舶1級",'資格研修記録'!$F$5:$F$1004,"&gt;="&amp;TODAY()))&gt;0),"1級に含む",IF(COUNTIFS('資格研修記録'!$A$5:$A$1004,$A196,'資格研修記録'!$D$5:$D$1004,F$4)=0,"—",IF(COUNTIFS('資格研修記録'!$A$5:$A$1004,$A196,'資格研修記録'!$D$5:$D$1004,F$4,'資格研修記録'!$F$5:$F$1004,"")+COUNTIFS('資格研修記録'!$A$5:$A$1004,$A196,'資格研修記録'!$D$5:$D$1004,F$4,'資格研修記録'!$F$5:$F$1004,"&gt;="&amp;TODAY())&gt;0,"○","× 期限切れ"))))</f>
        <v/>
      </c>
      <c r="G196" s="15">
        <f>IF(OR($A196="",G$4=""),"",IF(AND(G$4="小型船舶2級",(COUNTIFS('資格研修記録'!$A$5:$A$1004,$A196,'資格研修記録'!$D$5:$D$1004,"小型船舶1級",'資格研修記録'!$F$5:$F$1004,"")+COUNTIFS('資格研修記録'!$A$5:$A$1004,$A196,'資格研修記録'!$D$5:$D$1004,"小型船舶1級",'資格研修記録'!$F$5:$F$1004,"&gt;="&amp;TODAY()))&gt;0),"1級に含む",IF(COUNTIFS('資格研修記録'!$A$5:$A$1004,$A196,'資格研修記録'!$D$5:$D$1004,G$4)=0,"—",IF(COUNTIFS('資格研修記録'!$A$5:$A$1004,$A196,'資格研修記録'!$D$5:$D$1004,G$4,'資格研修記録'!$F$5:$F$1004,"")+COUNTIFS('資格研修記録'!$A$5:$A$1004,$A196,'資格研修記録'!$D$5:$D$1004,G$4,'資格研修記録'!$F$5:$F$1004,"&gt;="&amp;TODAY())&gt;0,"○","× 期限切れ"))))</f>
        <v/>
      </c>
      <c r="H196" s="15">
        <f>IF(OR($A196="",H$4=""),"",IF(AND(H$4="小型船舶2級",(COUNTIFS('資格研修記録'!$A$5:$A$1004,$A196,'資格研修記録'!$D$5:$D$1004,"小型船舶1級",'資格研修記録'!$F$5:$F$1004,"")+COUNTIFS('資格研修記録'!$A$5:$A$1004,$A196,'資格研修記録'!$D$5:$D$1004,"小型船舶1級",'資格研修記録'!$F$5:$F$1004,"&gt;="&amp;TODAY()))&gt;0),"1級に含む",IF(COUNTIFS('資格研修記録'!$A$5:$A$1004,$A196,'資格研修記録'!$D$5:$D$1004,H$4)=0,"—",IF(COUNTIFS('資格研修記録'!$A$5:$A$1004,$A196,'資格研修記録'!$D$5:$D$1004,H$4,'資格研修記録'!$F$5:$F$1004,"")+COUNTIFS('資格研修記録'!$A$5:$A$1004,$A196,'資格研修記録'!$D$5:$D$1004,H$4,'資格研修記録'!$F$5:$F$1004,"&gt;="&amp;TODAY())&gt;0,"○","× 期限切れ"))))</f>
        <v/>
      </c>
      <c r="I196" s="15">
        <f>IF(OR($A196="",I$4=""),"",IF(AND(I$4="小型船舶2級",(COUNTIFS('資格研修記録'!$A$5:$A$1004,$A196,'資格研修記録'!$D$5:$D$1004,"小型船舶1級",'資格研修記録'!$F$5:$F$1004,"")+COUNTIFS('資格研修記録'!$A$5:$A$1004,$A196,'資格研修記録'!$D$5:$D$1004,"小型船舶1級",'資格研修記録'!$F$5:$F$1004,"&gt;="&amp;TODAY()))&gt;0),"1級に含む",IF(COUNTIFS('資格研修記録'!$A$5:$A$1004,$A196,'資格研修記録'!$D$5:$D$1004,I$4)=0,"—",IF(COUNTIFS('資格研修記録'!$A$5:$A$1004,$A196,'資格研修記録'!$D$5:$D$1004,I$4,'資格研修記録'!$F$5:$F$1004,"")+COUNTIFS('資格研修記録'!$A$5:$A$1004,$A196,'資格研修記録'!$D$5:$D$1004,I$4,'資格研修記録'!$F$5:$F$1004,"&gt;="&amp;TODAY())&gt;0,"○","× 期限切れ"))))</f>
        <v/>
      </c>
      <c r="J196" s="15">
        <f>IF(OR($A196="",J$4=""),"",IF(AND(J$4="小型船舶2級",(COUNTIFS('資格研修記録'!$A$5:$A$1004,$A196,'資格研修記録'!$D$5:$D$1004,"小型船舶1級",'資格研修記録'!$F$5:$F$1004,"")+COUNTIFS('資格研修記録'!$A$5:$A$1004,$A196,'資格研修記録'!$D$5:$D$1004,"小型船舶1級",'資格研修記録'!$F$5:$F$1004,"&gt;="&amp;TODAY()))&gt;0),"1級に含む",IF(COUNTIFS('資格研修記録'!$A$5:$A$1004,$A196,'資格研修記録'!$D$5:$D$1004,J$4)=0,"—",IF(COUNTIFS('資格研修記録'!$A$5:$A$1004,$A196,'資格研修記録'!$D$5:$D$1004,J$4,'資格研修記録'!$F$5:$F$1004,"")+COUNTIFS('資格研修記録'!$A$5:$A$1004,$A196,'資格研修記録'!$D$5:$D$1004,J$4,'資格研修記録'!$F$5:$F$1004,"&gt;="&amp;TODAY())&gt;0,"○","× 期限切れ"))))</f>
        <v/>
      </c>
      <c r="K196" s="15">
        <f>IF(OR($A196="",K$4=""),"",IF(AND(K$4="小型船舶2級",(COUNTIFS('資格研修記録'!$A$5:$A$1004,$A196,'資格研修記録'!$D$5:$D$1004,"小型船舶1級",'資格研修記録'!$F$5:$F$1004,"")+COUNTIFS('資格研修記録'!$A$5:$A$1004,$A196,'資格研修記録'!$D$5:$D$1004,"小型船舶1級",'資格研修記録'!$F$5:$F$1004,"&gt;="&amp;TODAY()))&gt;0),"1級に含む",IF(COUNTIFS('資格研修記録'!$A$5:$A$1004,$A196,'資格研修記録'!$D$5:$D$1004,K$4)=0,"—",IF(COUNTIFS('資格研修記録'!$A$5:$A$1004,$A196,'資格研修記録'!$D$5:$D$1004,K$4,'資格研修記録'!$F$5:$F$1004,"")+COUNTIFS('資格研修記録'!$A$5:$A$1004,$A196,'資格研修記録'!$D$5:$D$1004,K$4,'資格研修記録'!$F$5:$F$1004,"&gt;="&amp;TODAY())&gt;0,"○","× 期限切れ"))))</f>
        <v/>
      </c>
      <c r="L196" s="15">
        <f>IF(OR($A196="",L$4=""),"",IF(AND(L$4="小型船舶2級",(COUNTIFS('資格研修記録'!$A$5:$A$1004,$A196,'資格研修記録'!$D$5:$D$1004,"小型船舶1級",'資格研修記録'!$F$5:$F$1004,"")+COUNTIFS('資格研修記録'!$A$5:$A$1004,$A196,'資格研修記録'!$D$5:$D$1004,"小型船舶1級",'資格研修記録'!$F$5:$F$1004,"&gt;="&amp;TODAY()))&gt;0),"1級に含む",IF(COUNTIFS('資格研修記録'!$A$5:$A$1004,$A196,'資格研修記録'!$D$5:$D$1004,L$4)=0,"—",IF(COUNTIFS('資格研修記録'!$A$5:$A$1004,$A196,'資格研修記録'!$D$5:$D$1004,L$4,'資格研修記録'!$F$5:$F$1004,"")+COUNTIFS('資格研修記録'!$A$5:$A$1004,$A196,'資格研修記録'!$D$5:$D$1004,L$4,'資格研修記録'!$F$5:$F$1004,"&gt;="&amp;TODAY())&gt;0,"○","× 期限切れ"))))</f>
        <v/>
      </c>
    </row>
    <row r="197">
      <c r="A197" s="14">
        <f>IF('隊員マスタ'!A197="","",'隊員マスタ'!A197)</f>
        <v/>
      </c>
      <c r="B197" s="14">
        <f>IF(A197="","",'隊員マスタ'!B197)</f>
        <v/>
      </c>
      <c r="C197" s="14">
        <f>IF(A197="","",'隊員マスタ'!C197)</f>
        <v/>
      </c>
      <c r="D197" s="15">
        <f>IF(A197="","",'隊員マスタ'!D197)</f>
        <v/>
      </c>
      <c r="E197" s="15">
        <f>IF(OR($A197="",E$4=""),"",IF(AND(E$4="小型船舶2級",(COUNTIFS('資格研修記録'!$A$5:$A$1004,$A197,'資格研修記録'!$D$5:$D$1004,"小型船舶1級",'資格研修記録'!$F$5:$F$1004,"")+COUNTIFS('資格研修記録'!$A$5:$A$1004,$A197,'資格研修記録'!$D$5:$D$1004,"小型船舶1級",'資格研修記録'!$F$5:$F$1004,"&gt;="&amp;TODAY()))&gt;0),"1級に含む",IF(COUNTIFS('資格研修記録'!$A$5:$A$1004,$A197,'資格研修記録'!$D$5:$D$1004,E$4)=0,"—",IF(COUNTIFS('資格研修記録'!$A$5:$A$1004,$A197,'資格研修記録'!$D$5:$D$1004,E$4,'資格研修記録'!$F$5:$F$1004,"")+COUNTIFS('資格研修記録'!$A$5:$A$1004,$A197,'資格研修記録'!$D$5:$D$1004,E$4,'資格研修記録'!$F$5:$F$1004,"&gt;="&amp;TODAY())&gt;0,"○","× 期限切れ"))))</f>
        <v/>
      </c>
      <c r="F197" s="15">
        <f>IF(OR($A197="",F$4=""),"",IF(AND(F$4="小型船舶2級",(COUNTIFS('資格研修記録'!$A$5:$A$1004,$A197,'資格研修記録'!$D$5:$D$1004,"小型船舶1級",'資格研修記録'!$F$5:$F$1004,"")+COUNTIFS('資格研修記録'!$A$5:$A$1004,$A197,'資格研修記録'!$D$5:$D$1004,"小型船舶1級",'資格研修記録'!$F$5:$F$1004,"&gt;="&amp;TODAY()))&gt;0),"1級に含む",IF(COUNTIFS('資格研修記録'!$A$5:$A$1004,$A197,'資格研修記録'!$D$5:$D$1004,F$4)=0,"—",IF(COUNTIFS('資格研修記録'!$A$5:$A$1004,$A197,'資格研修記録'!$D$5:$D$1004,F$4,'資格研修記録'!$F$5:$F$1004,"")+COUNTIFS('資格研修記録'!$A$5:$A$1004,$A197,'資格研修記録'!$D$5:$D$1004,F$4,'資格研修記録'!$F$5:$F$1004,"&gt;="&amp;TODAY())&gt;0,"○","× 期限切れ"))))</f>
        <v/>
      </c>
      <c r="G197" s="15">
        <f>IF(OR($A197="",G$4=""),"",IF(AND(G$4="小型船舶2級",(COUNTIFS('資格研修記録'!$A$5:$A$1004,$A197,'資格研修記録'!$D$5:$D$1004,"小型船舶1級",'資格研修記録'!$F$5:$F$1004,"")+COUNTIFS('資格研修記録'!$A$5:$A$1004,$A197,'資格研修記録'!$D$5:$D$1004,"小型船舶1級",'資格研修記録'!$F$5:$F$1004,"&gt;="&amp;TODAY()))&gt;0),"1級に含む",IF(COUNTIFS('資格研修記録'!$A$5:$A$1004,$A197,'資格研修記録'!$D$5:$D$1004,G$4)=0,"—",IF(COUNTIFS('資格研修記録'!$A$5:$A$1004,$A197,'資格研修記録'!$D$5:$D$1004,G$4,'資格研修記録'!$F$5:$F$1004,"")+COUNTIFS('資格研修記録'!$A$5:$A$1004,$A197,'資格研修記録'!$D$5:$D$1004,G$4,'資格研修記録'!$F$5:$F$1004,"&gt;="&amp;TODAY())&gt;0,"○","× 期限切れ"))))</f>
        <v/>
      </c>
      <c r="H197" s="15">
        <f>IF(OR($A197="",H$4=""),"",IF(AND(H$4="小型船舶2級",(COUNTIFS('資格研修記録'!$A$5:$A$1004,$A197,'資格研修記録'!$D$5:$D$1004,"小型船舶1級",'資格研修記録'!$F$5:$F$1004,"")+COUNTIFS('資格研修記録'!$A$5:$A$1004,$A197,'資格研修記録'!$D$5:$D$1004,"小型船舶1級",'資格研修記録'!$F$5:$F$1004,"&gt;="&amp;TODAY()))&gt;0),"1級に含む",IF(COUNTIFS('資格研修記録'!$A$5:$A$1004,$A197,'資格研修記録'!$D$5:$D$1004,H$4)=0,"—",IF(COUNTIFS('資格研修記録'!$A$5:$A$1004,$A197,'資格研修記録'!$D$5:$D$1004,H$4,'資格研修記録'!$F$5:$F$1004,"")+COUNTIFS('資格研修記録'!$A$5:$A$1004,$A197,'資格研修記録'!$D$5:$D$1004,H$4,'資格研修記録'!$F$5:$F$1004,"&gt;="&amp;TODAY())&gt;0,"○","× 期限切れ"))))</f>
        <v/>
      </c>
      <c r="I197" s="15">
        <f>IF(OR($A197="",I$4=""),"",IF(AND(I$4="小型船舶2級",(COUNTIFS('資格研修記録'!$A$5:$A$1004,$A197,'資格研修記録'!$D$5:$D$1004,"小型船舶1級",'資格研修記録'!$F$5:$F$1004,"")+COUNTIFS('資格研修記録'!$A$5:$A$1004,$A197,'資格研修記録'!$D$5:$D$1004,"小型船舶1級",'資格研修記録'!$F$5:$F$1004,"&gt;="&amp;TODAY()))&gt;0),"1級に含む",IF(COUNTIFS('資格研修記録'!$A$5:$A$1004,$A197,'資格研修記録'!$D$5:$D$1004,I$4)=0,"—",IF(COUNTIFS('資格研修記録'!$A$5:$A$1004,$A197,'資格研修記録'!$D$5:$D$1004,I$4,'資格研修記録'!$F$5:$F$1004,"")+COUNTIFS('資格研修記録'!$A$5:$A$1004,$A197,'資格研修記録'!$D$5:$D$1004,I$4,'資格研修記録'!$F$5:$F$1004,"&gt;="&amp;TODAY())&gt;0,"○","× 期限切れ"))))</f>
        <v/>
      </c>
      <c r="J197" s="15">
        <f>IF(OR($A197="",J$4=""),"",IF(AND(J$4="小型船舶2級",(COUNTIFS('資格研修記録'!$A$5:$A$1004,$A197,'資格研修記録'!$D$5:$D$1004,"小型船舶1級",'資格研修記録'!$F$5:$F$1004,"")+COUNTIFS('資格研修記録'!$A$5:$A$1004,$A197,'資格研修記録'!$D$5:$D$1004,"小型船舶1級",'資格研修記録'!$F$5:$F$1004,"&gt;="&amp;TODAY()))&gt;0),"1級に含む",IF(COUNTIFS('資格研修記録'!$A$5:$A$1004,$A197,'資格研修記録'!$D$5:$D$1004,J$4)=0,"—",IF(COUNTIFS('資格研修記録'!$A$5:$A$1004,$A197,'資格研修記録'!$D$5:$D$1004,J$4,'資格研修記録'!$F$5:$F$1004,"")+COUNTIFS('資格研修記録'!$A$5:$A$1004,$A197,'資格研修記録'!$D$5:$D$1004,J$4,'資格研修記録'!$F$5:$F$1004,"&gt;="&amp;TODAY())&gt;0,"○","× 期限切れ"))))</f>
        <v/>
      </c>
      <c r="K197" s="15">
        <f>IF(OR($A197="",K$4=""),"",IF(AND(K$4="小型船舶2級",(COUNTIFS('資格研修記録'!$A$5:$A$1004,$A197,'資格研修記録'!$D$5:$D$1004,"小型船舶1級",'資格研修記録'!$F$5:$F$1004,"")+COUNTIFS('資格研修記録'!$A$5:$A$1004,$A197,'資格研修記録'!$D$5:$D$1004,"小型船舶1級",'資格研修記録'!$F$5:$F$1004,"&gt;="&amp;TODAY()))&gt;0),"1級に含む",IF(COUNTIFS('資格研修記録'!$A$5:$A$1004,$A197,'資格研修記録'!$D$5:$D$1004,K$4)=0,"—",IF(COUNTIFS('資格研修記録'!$A$5:$A$1004,$A197,'資格研修記録'!$D$5:$D$1004,K$4,'資格研修記録'!$F$5:$F$1004,"")+COUNTIFS('資格研修記録'!$A$5:$A$1004,$A197,'資格研修記録'!$D$5:$D$1004,K$4,'資格研修記録'!$F$5:$F$1004,"&gt;="&amp;TODAY())&gt;0,"○","× 期限切れ"))))</f>
        <v/>
      </c>
      <c r="L197" s="15">
        <f>IF(OR($A197="",L$4=""),"",IF(AND(L$4="小型船舶2級",(COUNTIFS('資格研修記録'!$A$5:$A$1004,$A197,'資格研修記録'!$D$5:$D$1004,"小型船舶1級",'資格研修記録'!$F$5:$F$1004,"")+COUNTIFS('資格研修記録'!$A$5:$A$1004,$A197,'資格研修記録'!$D$5:$D$1004,"小型船舶1級",'資格研修記録'!$F$5:$F$1004,"&gt;="&amp;TODAY()))&gt;0),"1級に含む",IF(COUNTIFS('資格研修記録'!$A$5:$A$1004,$A197,'資格研修記録'!$D$5:$D$1004,L$4)=0,"—",IF(COUNTIFS('資格研修記録'!$A$5:$A$1004,$A197,'資格研修記録'!$D$5:$D$1004,L$4,'資格研修記録'!$F$5:$F$1004,"")+COUNTIFS('資格研修記録'!$A$5:$A$1004,$A197,'資格研修記録'!$D$5:$D$1004,L$4,'資格研修記録'!$F$5:$F$1004,"&gt;="&amp;TODAY())&gt;0,"○","× 期限切れ"))))</f>
        <v/>
      </c>
    </row>
    <row r="198">
      <c r="A198" s="14">
        <f>IF('隊員マスタ'!A198="","",'隊員マスタ'!A198)</f>
        <v/>
      </c>
      <c r="B198" s="14">
        <f>IF(A198="","",'隊員マスタ'!B198)</f>
        <v/>
      </c>
      <c r="C198" s="14">
        <f>IF(A198="","",'隊員マスタ'!C198)</f>
        <v/>
      </c>
      <c r="D198" s="15">
        <f>IF(A198="","",'隊員マスタ'!D198)</f>
        <v/>
      </c>
      <c r="E198" s="15">
        <f>IF(OR($A198="",E$4=""),"",IF(AND(E$4="小型船舶2級",(COUNTIFS('資格研修記録'!$A$5:$A$1004,$A198,'資格研修記録'!$D$5:$D$1004,"小型船舶1級",'資格研修記録'!$F$5:$F$1004,"")+COUNTIFS('資格研修記録'!$A$5:$A$1004,$A198,'資格研修記録'!$D$5:$D$1004,"小型船舶1級",'資格研修記録'!$F$5:$F$1004,"&gt;="&amp;TODAY()))&gt;0),"1級に含む",IF(COUNTIFS('資格研修記録'!$A$5:$A$1004,$A198,'資格研修記録'!$D$5:$D$1004,E$4)=0,"—",IF(COUNTIFS('資格研修記録'!$A$5:$A$1004,$A198,'資格研修記録'!$D$5:$D$1004,E$4,'資格研修記録'!$F$5:$F$1004,"")+COUNTIFS('資格研修記録'!$A$5:$A$1004,$A198,'資格研修記録'!$D$5:$D$1004,E$4,'資格研修記録'!$F$5:$F$1004,"&gt;="&amp;TODAY())&gt;0,"○","× 期限切れ"))))</f>
        <v/>
      </c>
      <c r="F198" s="15">
        <f>IF(OR($A198="",F$4=""),"",IF(AND(F$4="小型船舶2級",(COUNTIFS('資格研修記録'!$A$5:$A$1004,$A198,'資格研修記録'!$D$5:$D$1004,"小型船舶1級",'資格研修記録'!$F$5:$F$1004,"")+COUNTIFS('資格研修記録'!$A$5:$A$1004,$A198,'資格研修記録'!$D$5:$D$1004,"小型船舶1級",'資格研修記録'!$F$5:$F$1004,"&gt;="&amp;TODAY()))&gt;0),"1級に含む",IF(COUNTIFS('資格研修記録'!$A$5:$A$1004,$A198,'資格研修記録'!$D$5:$D$1004,F$4)=0,"—",IF(COUNTIFS('資格研修記録'!$A$5:$A$1004,$A198,'資格研修記録'!$D$5:$D$1004,F$4,'資格研修記録'!$F$5:$F$1004,"")+COUNTIFS('資格研修記録'!$A$5:$A$1004,$A198,'資格研修記録'!$D$5:$D$1004,F$4,'資格研修記録'!$F$5:$F$1004,"&gt;="&amp;TODAY())&gt;0,"○","× 期限切れ"))))</f>
        <v/>
      </c>
      <c r="G198" s="15">
        <f>IF(OR($A198="",G$4=""),"",IF(AND(G$4="小型船舶2級",(COUNTIFS('資格研修記録'!$A$5:$A$1004,$A198,'資格研修記録'!$D$5:$D$1004,"小型船舶1級",'資格研修記録'!$F$5:$F$1004,"")+COUNTIFS('資格研修記録'!$A$5:$A$1004,$A198,'資格研修記録'!$D$5:$D$1004,"小型船舶1級",'資格研修記録'!$F$5:$F$1004,"&gt;="&amp;TODAY()))&gt;0),"1級に含む",IF(COUNTIFS('資格研修記録'!$A$5:$A$1004,$A198,'資格研修記録'!$D$5:$D$1004,G$4)=0,"—",IF(COUNTIFS('資格研修記録'!$A$5:$A$1004,$A198,'資格研修記録'!$D$5:$D$1004,G$4,'資格研修記録'!$F$5:$F$1004,"")+COUNTIFS('資格研修記録'!$A$5:$A$1004,$A198,'資格研修記録'!$D$5:$D$1004,G$4,'資格研修記録'!$F$5:$F$1004,"&gt;="&amp;TODAY())&gt;0,"○","× 期限切れ"))))</f>
        <v/>
      </c>
      <c r="H198" s="15">
        <f>IF(OR($A198="",H$4=""),"",IF(AND(H$4="小型船舶2級",(COUNTIFS('資格研修記録'!$A$5:$A$1004,$A198,'資格研修記録'!$D$5:$D$1004,"小型船舶1級",'資格研修記録'!$F$5:$F$1004,"")+COUNTIFS('資格研修記録'!$A$5:$A$1004,$A198,'資格研修記録'!$D$5:$D$1004,"小型船舶1級",'資格研修記録'!$F$5:$F$1004,"&gt;="&amp;TODAY()))&gt;0),"1級に含む",IF(COUNTIFS('資格研修記録'!$A$5:$A$1004,$A198,'資格研修記録'!$D$5:$D$1004,H$4)=0,"—",IF(COUNTIFS('資格研修記録'!$A$5:$A$1004,$A198,'資格研修記録'!$D$5:$D$1004,H$4,'資格研修記録'!$F$5:$F$1004,"")+COUNTIFS('資格研修記録'!$A$5:$A$1004,$A198,'資格研修記録'!$D$5:$D$1004,H$4,'資格研修記録'!$F$5:$F$1004,"&gt;="&amp;TODAY())&gt;0,"○","× 期限切れ"))))</f>
        <v/>
      </c>
      <c r="I198" s="15">
        <f>IF(OR($A198="",I$4=""),"",IF(AND(I$4="小型船舶2級",(COUNTIFS('資格研修記録'!$A$5:$A$1004,$A198,'資格研修記録'!$D$5:$D$1004,"小型船舶1級",'資格研修記録'!$F$5:$F$1004,"")+COUNTIFS('資格研修記録'!$A$5:$A$1004,$A198,'資格研修記録'!$D$5:$D$1004,"小型船舶1級",'資格研修記録'!$F$5:$F$1004,"&gt;="&amp;TODAY()))&gt;0),"1級に含む",IF(COUNTIFS('資格研修記録'!$A$5:$A$1004,$A198,'資格研修記録'!$D$5:$D$1004,I$4)=0,"—",IF(COUNTIFS('資格研修記録'!$A$5:$A$1004,$A198,'資格研修記録'!$D$5:$D$1004,I$4,'資格研修記録'!$F$5:$F$1004,"")+COUNTIFS('資格研修記録'!$A$5:$A$1004,$A198,'資格研修記録'!$D$5:$D$1004,I$4,'資格研修記録'!$F$5:$F$1004,"&gt;="&amp;TODAY())&gt;0,"○","× 期限切れ"))))</f>
        <v/>
      </c>
      <c r="J198" s="15">
        <f>IF(OR($A198="",J$4=""),"",IF(AND(J$4="小型船舶2級",(COUNTIFS('資格研修記録'!$A$5:$A$1004,$A198,'資格研修記録'!$D$5:$D$1004,"小型船舶1級",'資格研修記録'!$F$5:$F$1004,"")+COUNTIFS('資格研修記録'!$A$5:$A$1004,$A198,'資格研修記録'!$D$5:$D$1004,"小型船舶1級",'資格研修記録'!$F$5:$F$1004,"&gt;="&amp;TODAY()))&gt;0),"1級に含む",IF(COUNTIFS('資格研修記録'!$A$5:$A$1004,$A198,'資格研修記録'!$D$5:$D$1004,J$4)=0,"—",IF(COUNTIFS('資格研修記録'!$A$5:$A$1004,$A198,'資格研修記録'!$D$5:$D$1004,J$4,'資格研修記録'!$F$5:$F$1004,"")+COUNTIFS('資格研修記録'!$A$5:$A$1004,$A198,'資格研修記録'!$D$5:$D$1004,J$4,'資格研修記録'!$F$5:$F$1004,"&gt;="&amp;TODAY())&gt;0,"○","× 期限切れ"))))</f>
        <v/>
      </c>
      <c r="K198" s="15">
        <f>IF(OR($A198="",K$4=""),"",IF(AND(K$4="小型船舶2級",(COUNTIFS('資格研修記録'!$A$5:$A$1004,$A198,'資格研修記録'!$D$5:$D$1004,"小型船舶1級",'資格研修記録'!$F$5:$F$1004,"")+COUNTIFS('資格研修記録'!$A$5:$A$1004,$A198,'資格研修記録'!$D$5:$D$1004,"小型船舶1級",'資格研修記録'!$F$5:$F$1004,"&gt;="&amp;TODAY()))&gt;0),"1級に含む",IF(COUNTIFS('資格研修記録'!$A$5:$A$1004,$A198,'資格研修記録'!$D$5:$D$1004,K$4)=0,"—",IF(COUNTIFS('資格研修記録'!$A$5:$A$1004,$A198,'資格研修記録'!$D$5:$D$1004,K$4,'資格研修記録'!$F$5:$F$1004,"")+COUNTIFS('資格研修記録'!$A$5:$A$1004,$A198,'資格研修記録'!$D$5:$D$1004,K$4,'資格研修記録'!$F$5:$F$1004,"&gt;="&amp;TODAY())&gt;0,"○","× 期限切れ"))))</f>
        <v/>
      </c>
      <c r="L198" s="15">
        <f>IF(OR($A198="",L$4=""),"",IF(AND(L$4="小型船舶2級",(COUNTIFS('資格研修記録'!$A$5:$A$1004,$A198,'資格研修記録'!$D$5:$D$1004,"小型船舶1級",'資格研修記録'!$F$5:$F$1004,"")+COUNTIFS('資格研修記録'!$A$5:$A$1004,$A198,'資格研修記録'!$D$5:$D$1004,"小型船舶1級",'資格研修記録'!$F$5:$F$1004,"&gt;="&amp;TODAY()))&gt;0),"1級に含む",IF(COUNTIFS('資格研修記録'!$A$5:$A$1004,$A198,'資格研修記録'!$D$5:$D$1004,L$4)=0,"—",IF(COUNTIFS('資格研修記録'!$A$5:$A$1004,$A198,'資格研修記録'!$D$5:$D$1004,L$4,'資格研修記録'!$F$5:$F$1004,"")+COUNTIFS('資格研修記録'!$A$5:$A$1004,$A198,'資格研修記録'!$D$5:$D$1004,L$4,'資格研修記録'!$F$5:$F$1004,"&gt;="&amp;TODAY())&gt;0,"○","× 期限切れ"))))</f>
        <v/>
      </c>
    </row>
    <row r="199">
      <c r="A199" s="14">
        <f>IF('隊員マスタ'!A199="","",'隊員マスタ'!A199)</f>
        <v/>
      </c>
      <c r="B199" s="14">
        <f>IF(A199="","",'隊員マスタ'!B199)</f>
        <v/>
      </c>
      <c r="C199" s="14">
        <f>IF(A199="","",'隊員マスタ'!C199)</f>
        <v/>
      </c>
      <c r="D199" s="15">
        <f>IF(A199="","",'隊員マスタ'!D199)</f>
        <v/>
      </c>
      <c r="E199" s="15">
        <f>IF(OR($A199="",E$4=""),"",IF(AND(E$4="小型船舶2級",(COUNTIFS('資格研修記録'!$A$5:$A$1004,$A199,'資格研修記録'!$D$5:$D$1004,"小型船舶1級",'資格研修記録'!$F$5:$F$1004,"")+COUNTIFS('資格研修記録'!$A$5:$A$1004,$A199,'資格研修記録'!$D$5:$D$1004,"小型船舶1級",'資格研修記録'!$F$5:$F$1004,"&gt;="&amp;TODAY()))&gt;0),"1級に含む",IF(COUNTIFS('資格研修記録'!$A$5:$A$1004,$A199,'資格研修記録'!$D$5:$D$1004,E$4)=0,"—",IF(COUNTIFS('資格研修記録'!$A$5:$A$1004,$A199,'資格研修記録'!$D$5:$D$1004,E$4,'資格研修記録'!$F$5:$F$1004,"")+COUNTIFS('資格研修記録'!$A$5:$A$1004,$A199,'資格研修記録'!$D$5:$D$1004,E$4,'資格研修記録'!$F$5:$F$1004,"&gt;="&amp;TODAY())&gt;0,"○","× 期限切れ"))))</f>
        <v/>
      </c>
      <c r="F199" s="15">
        <f>IF(OR($A199="",F$4=""),"",IF(AND(F$4="小型船舶2級",(COUNTIFS('資格研修記録'!$A$5:$A$1004,$A199,'資格研修記録'!$D$5:$D$1004,"小型船舶1級",'資格研修記録'!$F$5:$F$1004,"")+COUNTIFS('資格研修記録'!$A$5:$A$1004,$A199,'資格研修記録'!$D$5:$D$1004,"小型船舶1級",'資格研修記録'!$F$5:$F$1004,"&gt;="&amp;TODAY()))&gt;0),"1級に含む",IF(COUNTIFS('資格研修記録'!$A$5:$A$1004,$A199,'資格研修記録'!$D$5:$D$1004,F$4)=0,"—",IF(COUNTIFS('資格研修記録'!$A$5:$A$1004,$A199,'資格研修記録'!$D$5:$D$1004,F$4,'資格研修記録'!$F$5:$F$1004,"")+COUNTIFS('資格研修記録'!$A$5:$A$1004,$A199,'資格研修記録'!$D$5:$D$1004,F$4,'資格研修記録'!$F$5:$F$1004,"&gt;="&amp;TODAY())&gt;0,"○","× 期限切れ"))))</f>
        <v/>
      </c>
      <c r="G199" s="15">
        <f>IF(OR($A199="",G$4=""),"",IF(AND(G$4="小型船舶2級",(COUNTIFS('資格研修記録'!$A$5:$A$1004,$A199,'資格研修記録'!$D$5:$D$1004,"小型船舶1級",'資格研修記録'!$F$5:$F$1004,"")+COUNTIFS('資格研修記録'!$A$5:$A$1004,$A199,'資格研修記録'!$D$5:$D$1004,"小型船舶1級",'資格研修記録'!$F$5:$F$1004,"&gt;="&amp;TODAY()))&gt;0),"1級に含む",IF(COUNTIFS('資格研修記録'!$A$5:$A$1004,$A199,'資格研修記録'!$D$5:$D$1004,G$4)=0,"—",IF(COUNTIFS('資格研修記録'!$A$5:$A$1004,$A199,'資格研修記録'!$D$5:$D$1004,G$4,'資格研修記録'!$F$5:$F$1004,"")+COUNTIFS('資格研修記録'!$A$5:$A$1004,$A199,'資格研修記録'!$D$5:$D$1004,G$4,'資格研修記録'!$F$5:$F$1004,"&gt;="&amp;TODAY())&gt;0,"○","× 期限切れ"))))</f>
        <v/>
      </c>
      <c r="H199" s="15">
        <f>IF(OR($A199="",H$4=""),"",IF(AND(H$4="小型船舶2級",(COUNTIFS('資格研修記録'!$A$5:$A$1004,$A199,'資格研修記録'!$D$5:$D$1004,"小型船舶1級",'資格研修記録'!$F$5:$F$1004,"")+COUNTIFS('資格研修記録'!$A$5:$A$1004,$A199,'資格研修記録'!$D$5:$D$1004,"小型船舶1級",'資格研修記録'!$F$5:$F$1004,"&gt;="&amp;TODAY()))&gt;0),"1級に含む",IF(COUNTIFS('資格研修記録'!$A$5:$A$1004,$A199,'資格研修記録'!$D$5:$D$1004,H$4)=0,"—",IF(COUNTIFS('資格研修記録'!$A$5:$A$1004,$A199,'資格研修記録'!$D$5:$D$1004,H$4,'資格研修記録'!$F$5:$F$1004,"")+COUNTIFS('資格研修記録'!$A$5:$A$1004,$A199,'資格研修記録'!$D$5:$D$1004,H$4,'資格研修記録'!$F$5:$F$1004,"&gt;="&amp;TODAY())&gt;0,"○","× 期限切れ"))))</f>
        <v/>
      </c>
      <c r="I199" s="15">
        <f>IF(OR($A199="",I$4=""),"",IF(AND(I$4="小型船舶2級",(COUNTIFS('資格研修記録'!$A$5:$A$1004,$A199,'資格研修記録'!$D$5:$D$1004,"小型船舶1級",'資格研修記録'!$F$5:$F$1004,"")+COUNTIFS('資格研修記録'!$A$5:$A$1004,$A199,'資格研修記録'!$D$5:$D$1004,"小型船舶1級",'資格研修記録'!$F$5:$F$1004,"&gt;="&amp;TODAY()))&gt;0),"1級に含む",IF(COUNTIFS('資格研修記録'!$A$5:$A$1004,$A199,'資格研修記録'!$D$5:$D$1004,I$4)=0,"—",IF(COUNTIFS('資格研修記録'!$A$5:$A$1004,$A199,'資格研修記録'!$D$5:$D$1004,I$4,'資格研修記録'!$F$5:$F$1004,"")+COUNTIFS('資格研修記録'!$A$5:$A$1004,$A199,'資格研修記録'!$D$5:$D$1004,I$4,'資格研修記録'!$F$5:$F$1004,"&gt;="&amp;TODAY())&gt;0,"○","× 期限切れ"))))</f>
        <v/>
      </c>
      <c r="J199" s="15">
        <f>IF(OR($A199="",J$4=""),"",IF(AND(J$4="小型船舶2級",(COUNTIFS('資格研修記録'!$A$5:$A$1004,$A199,'資格研修記録'!$D$5:$D$1004,"小型船舶1級",'資格研修記録'!$F$5:$F$1004,"")+COUNTIFS('資格研修記録'!$A$5:$A$1004,$A199,'資格研修記録'!$D$5:$D$1004,"小型船舶1級",'資格研修記録'!$F$5:$F$1004,"&gt;="&amp;TODAY()))&gt;0),"1級に含む",IF(COUNTIFS('資格研修記録'!$A$5:$A$1004,$A199,'資格研修記録'!$D$5:$D$1004,J$4)=0,"—",IF(COUNTIFS('資格研修記録'!$A$5:$A$1004,$A199,'資格研修記録'!$D$5:$D$1004,J$4,'資格研修記録'!$F$5:$F$1004,"")+COUNTIFS('資格研修記録'!$A$5:$A$1004,$A199,'資格研修記録'!$D$5:$D$1004,J$4,'資格研修記録'!$F$5:$F$1004,"&gt;="&amp;TODAY())&gt;0,"○","× 期限切れ"))))</f>
        <v/>
      </c>
      <c r="K199" s="15">
        <f>IF(OR($A199="",K$4=""),"",IF(AND(K$4="小型船舶2級",(COUNTIFS('資格研修記録'!$A$5:$A$1004,$A199,'資格研修記録'!$D$5:$D$1004,"小型船舶1級",'資格研修記録'!$F$5:$F$1004,"")+COUNTIFS('資格研修記録'!$A$5:$A$1004,$A199,'資格研修記録'!$D$5:$D$1004,"小型船舶1級",'資格研修記録'!$F$5:$F$1004,"&gt;="&amp;TODAY()))&gt;0),"1級に含む",IF(COUNTIFS('資格研修記録'!$A$5:$A$1004,$A199,'資格研修記録'!$D$5:$D$1004,K$4)=0,"—",IF(COUNTIFS('資格研修記録'!$A$5:$A$1004,$A199,'資格研修記録'!$D$5:$D$1004,K$4,'資格研修記録'!$F$5:$F$1004,"")+COUNTIFS('資格研修記録'!$A$5:$A$1004,$A199,'資格研修記録'!$D$5:$D$1004,K$4,'資格研修記録'!$F$5:$F$1004,"&gt;="&amp;TODAY())&gt;0,"○","× 期限切れ"))))</f>
        <v/>
      </c>
      <c r="L199" s="15">
        <f>IF(OR($A199="",L$4=""),"",IF(AND(L$4="小型船舶2級",(COUNTIFS('資格研修記録'!$A$5:$A$1004,$A199,'資格研修記録'!$D$5:$D$1004,"小型船舶1級",'資格研修記録'!$F$5:$F$1004,"")+COUNTIFS('資格研修記録'!$A$5:$A$1004,$A199,'資格研修記録'!$D$5:$D$1004,"小型船舶1級",'資格研修記録'!$F$5:$F$1004,"&gt;="&amp;TODAY()))&gt;0),"1級に含む",IF(COUNTIFS('資格研修記録'!$A$5:$A$1004,$A199,'資格研修記録'!$D$5:$D$1004,L$4)=0,"—",IF(COUNTIFS('資格研修記録'!$A$5:$A$1004,$A199,'資格研修記録'!$D$5:$D$1004,L$4,'資格研修記録'!$F$5:$F$1004,"")+COUNTIFS('資格研修記録'!$A$5:$A$1004,$A199,'資格研修記録'!$D$5:$D$1004,L$4,'資格研修記録'!$F$5:$F$1004,"&gt;="&amp;TODAY())&gt;0,"○","× 期限切れ"))))</f>
        <v/>
      </c>
    </row>
    <row r="200">
      <c r="A200" s="14">
        <f>IF('隊員マスタ'!A200="","",'隊員マスタ'!A200)</f>
        <v/>
      </c>
      <c r="B200" s="14">
        <f>IF(A200="","",'隊員マスタ'!B200)</f>
        <v/>
      </c>
      <c r="C200" s="14">
        <f>IF(A200="","",'隊員マスタ'!C200)</f>
        <v/>
      </c>
      <c r="D200" s="15">
        <f>IF(A200="","",'隊員マスタ'!D200)</f>
        <v/>
      </c>
      <c r="E200" s="15">
        <f>IF(OR($A200="",E$4=""),"",IF(AND(E$4="小型船舶2級",(COUNTIFS('資格研修記録'!$A$5:$A$1004,$A200,'資格研修記録'!$D$5:$D$1004,"小型船舶1級",'資格研修記録'!$F$5:$F$1004,"")+COUNTIFS('資格研修記録'!$A$5:$A$1004,$A200,'資格研修記録'!$D$5:$D$1004,"小型船舶1級",'資格研修記録'!$F$5:$F$1004,"&gt;="&amp;TODAY()))&gt;0),"1級に含む",IF(COUNTIFS('資格研修記録'!$A$5:$A$1004,$A200,'資格研修記録'!$D$5:$D$1004,E$4)=0,"—",IF(COUNTIFS('資格研修記録'!$A$5:$A$1004,$A200,'資格研修記録'!$D$5:$D$1004,E$4,'資格研修記録'!$F$5:$F$1004,"")+COUNTIFS('資格研修記録'!$A$5:$A$1004,$A200,'資格研修記録'!$D$5:$D$1004,E$4,'資格研修記録'!$F$5:$F$1004,"&gt;="&amp;TODAY())&gt;0,"○","× 期限切れ"))))</f>
        <v/>
      </c>
      <c r="F200" s="15">
        <f>IF(OR($A200="",F$4=""),"",IF(AND(F$4="小型船舶2級",(COUNTIFS('資格研修記録'!$A$5:$A$1004,$A200,'資格研修記録'!$D$5:$D$1004,"小型船舶1級",'資格研修記録'!$F$5:$F$1004,"")+COUNTIFS('資格研修記録'!$A$5:$A$1004,$A200,'資格研修記録'!$D$5:$D$1004,"小型船舶1級",'資格研修記録'!$F$5:$F$1004,"&gt;="&amp;TODAY()))&gt;0),"1級に含む",IF(COUNTIFS('資格研修記録'!$A$5:$A$1004,$A200,'資格研修記録'!$D$5:$D$1004,F$4)=0,"—",IF(COUNTIFS('資格研修記録'!$A$5:$A$1004,$A200,'資格研修記録'!$D$5:$D$1004,F$4,'資格研修記録'!$F$5:$F$1004,"")+COUNTIFS('資格研修記録'!$A$5:$A$1004,$A200,'資格研修記録'!$D$5:$D$1004,F$4,'資格研修記録'!$F$5:$F$1004,"&gt;="&amp;TODAY())&gt;0,"○","× 期限切れ"))))</f>
        <v/>
      </c>
      <c r="G200" s="15">
        <f>IF(OR($A200="",G$4=""),"",IF(AND(G$4="小型船舶2級",(COUNTIFS('資格研修記録'!$A$5:$A$1004,$A200,'資格研修記録'!$D$5:$D$1004,"小型船舶1級",'資格研修記録'!$F$5:$F$1004,"")+COUNTIFS('資格研修記録'!$A$5:$A$1004,$A200,'資格研修記録'!$D$5:$D$1004,"小型船舶1級",'資格研修記録'!$F$5:$F$1004,"&gt;="&amp;TODAY()))&gt;0),"1級に含む",IF(COUNTIFS('資格研修記録'!$A$5:$A$1004,$A200,'資格研修記録'!$D$5:$D$1004,G$4)=0,"—",IF(COUNTIFS('資格研修記録'!$A$5:$A$1004,$A200,'資格研修記録'!$D$5:$D$1004,G$4,'資格研修記録'!$F$5:$F$1004,"")+COUNTIFS('資格研修記録'!$A$5:$A$1004,$A200,'資格研修記録'!$D$5:$D$1004,G$4,'資格研修記録'!$F$5:$F$1004,"&gt;="&amp;TODAY())&gt;0,"○","× 期限切れ"))))</f>
        <v/>
      </c>
      <c r="H200" s="15">
        <f>IF(OR($A200="",H$4=""),"",IF(AND(H$4="小型船舶2級",(COUNTIFS('資格研修記録'!$A$5:$A$1004,$A200,'資格研修記録'!$D$5:$D$1004,"小型船舶1級",'資格研修記録'!$F$5:$F$1004,"")+COUNTIFS('資格研修記録'!$A$5:$A$1004,$A200,'資格研修記録'!$D$5:$D$1004,"小型船舶1級",'資格研修記録'!$F$5:$F$1004,"&gt;="&amp;TODAY()))&gt;0),"1級に含む",IF(COUNTIFS('資格研修記録'!$A$5:$A$1004,$A200,'資格研修記録'!$D$5:$D$1004,H$4)=0,"—",IF(COUNTIFS('資格研修記録'!$A$5:$A$1004,$A200,'資格研修記録'!$D$5:$D$1004,H$4,'資格研修記録'!$F$5:$F$1004,"")+COUNTIFS('資格研修記録'!$A$5:$A$1004,$A200,'資格研修記録'!$D$5:$D$1004,H$4,'資格研修記録'!$F$5:$F$1004,"&gt;="&amp;TODAY())&gt;0,"○","× 期限切れ"))))</f>
        <v/>
      </c>
      <c r="I200" s="15">
        <f>IF(OR($A200="",I$4=""),"",IF(AND(I$4="小型船舶2級",(COUNTIFS('資格研修記録'!$A$5:$A$1004,$A200,'資格研修記録'!$D$5:$D$1004,"小型船舶1級",'資格研修記録'!$F$5:$F$1004,"")+COUNTIFS('資格研修記録'!$A$5:$A$1004,$A200,'資格研修記録'!$D$5:$D$1004,"小型船舶1級",'資格研修記録'!$F$5:$F$1004,"&gt;="&amp;TODAY()))&gt;0),"1級に含む",IF(COUNTIFS('資格研修記録'!$A$5:$A$1004,$A200,'資格研修記録'!$D$5:$D$1004,I$4)=0,"—",IF(COUNTIFS('資格研修記録'!$A$5:$A$1004,$A200,'資格研修記録'!$D$5:$D$1004,I$4,'資格研修記録'!$F$5:$F$1004,"")+COUNTIFS('資格研修記録'!$A$5:$A$1004,$A200,'資格研修記録'!$D$5:$D$1004,I$4,'資格研修記録'!$F$5:$F$1004,"&gt;="&amp;TODAY())&gt;0,"○","× 期限切れ"))))</f>
        <v/>
      </c>
      <c r="J200" s="15">
        <f>IF(OR($A200="",J$4=""),"",IF(AND(J$4="小型船舶2級",(COUNTIFS('資格研修記録'!$A$5:$A$1004,$A200,'資格研修記録'!$D$5:$D$1004,"小型船舶1級",'資格研修記録'!$F$5:$F$1004,"")+COUNTIFS('資格研修記録'!$A$5:$A$1004,$A200,'資格研修記録'!$D$5:$D$1004,"小型船舶1級",'資格研修記録'!$F$5:$F$1004,"&gt;="&amp;TODAY()))&gt;0),"1級に含む",IF(COUNTIFS('資格研修記録'!$A$5:$A$1004,$A200,'資格研修記録'!$D$5:$D$1004,J$4)=0,"—",IF(COUNTIFS('資格研修記録'!$A$5:$A$1004,$A200,'資格研修記録'!$D$5:$D$1004,J$4,'資格研修記録'!$F$5:$F$1004,"")+COUNTIFS('資格研修記録'!$A$5:$A$1004,$A200,'資格研修記録'!$D$5:$D$1004,J$4,'資格研修記録'!$F$5:$F$1004,"&gt;="&amp;TODAY())&gt;0,"○","× 期限切れ"))))</f>
        <v/>
      </c>
      <c r="K200" s="15">
        <f>IF(OR($A200="",K$4=""),"",IF(AND(K$4="小型船舶2級",(COUNTIFS('資格研修記録'!$A$5:$A$1004,$A200,'資格研修記録'!$D$5:$D$1004,"小型船舶1級",'資格研修記録'!$F$5:$F$1004,"")+COUNTIFS('資格研修記録'!$A$5:$A$1004,$A200,'資格研修記録'!$D$5:$D$1004,"小型船舶1級",'資格研修記録'!$F$5:$F$1004,"&gt;="&amp;TODAY()))&gt;0),"1級に含む",IF(COUNTIFS('資格研修記録'!$A$5:$A$1004,$A200,'資格研修記録'!$D$5:$D$1004,K$4)=0,"—",IF(COUNTIFS('資格研修記録'!$A$5:$A$1004,$A200,'資格研修記録'!$D$5:$D$1004,K$4,'資格研修記録'!$F$5:$F$1004,"")+COUNTIFS('資格研修記録'!$A$5:$A$1004,$A200,'資格研修記録'!$D$5:$D$1004,K$4,'資格研修記録'!$F$5:$F$1004,"&gt;="&amp;TODAY())&gt;0,"○","× 期限切れ"))))</f>
        <v/>
      </c>
      <c r="L200" s="15">
        <f>IF(OR($A200="",L$4=""),"",IF(AND(L$4="小型船舶2級",(COUNTIFS('資格研修記録'!$A$5:$A$1004,$A200,'資格研修記録'!$D$5:$D$1004,"小型船舶1級",'資格研修記録'!$F$5:$F$1004,"")+COUNTIFS('資格研修記録'!$A$5:$A$1004,$A200,'資格研修記録'!$D$5:$D$1004,"小型船舶1級",'資格研修記録'!$F$5:$F$1004,"&gt;="&amp;TODAY()))&gt;0),"1級に含む",IF(COUNTIFS('資格研修記録'!$A$5:$A$1004,$A200,'資格研修記録'!$D$5:$D$1004,L$4)=0,"—",IF(COUNTIFS('資格研修記録'!$A$5:$A$1004,$A200,'資格研修記録'!$D$5:$D$1004,L$4,'資格研修記録'!$F$5:$F$1004,"")+COUNTIFS('資格研修記録'!$A$5:$A$1004,$A200,'資格研修記録'!$D$5:$D$1004,L$4,'資格研修記録'!$F$5:$F$1004,"&gt;="&amp;TODAY())&gt;0,"○","× 期限切れ"))))</f>
        <v/>
      </c>
    </row>
    <row r="201">
      <c r="A201" s="14">
        <f>IF('隊員マスタ'!A201="","",'隊員マスタ'!A201)</f>
        <v/>
      </c>
      <c r="B201" s="14">
        <f>IF(A201="","",'隊員マスタ'!B201)</f>
        <v/>
      </c>
      <c r="C201" s="14">
        <f>IF(A201="","",'隊員マスタ'!C201)</f>
        <v/>
      </c>
      <c r="D201" s="15">
        <f>IF(A201="","",'隊員マスタ'!D201)</f>
        <v/>
      </c>
      <c r="E201" s="15">
        <f>IF(OR($A201="",E$4=""),"",IF(AND(E$4="小型船舶2級",(COUNTIFS('資格研修記録'!$A$5:$A$1004,$A201,'資格研修記録'!$D$5:$D$1004,"小型船舶1級",'資格研修記録'!$F$5:$F$1004,"")+COUNTIFS('資格研修記録'!$A$5:$A$1004,$A201,'資格研修記録'!$D$5:$D$1004,"小型船舶1級",'資格研修記録'!$F$5:$F$1004,"&gt;="&amp;TODAY()))&gt;0),"1級に含む",IF(COUNTIFS('資格研修記録'!$A$5:$A$1004,$A201,'資格研修記録'!$D$5:$D$1004,E$4)=0,"—",IF(COUNTIFS('資格研修記録'!$A$5:$A$1004,$A201,'資格研修記録'!$D$5:$D$1004,E$4,'資格研修記録'!$F$5:$F$1004,"")+COUNTIFS('資格研修記録'!$A$5:$A$1004,$A201,'資格研修記録'!$D$5:$D$1004,E$4,'資格研修記録'!$F$5:$F$1004,"&gt;="&amp;TODAY())&gt;0,"○","× 期限切れ"))))</f>
        <v/>
      </c>
      <c r="F201" s="15">
        <f>IF(OR($A201="",F$4=""),"",IF(AND(F$4="小型船舶2級",(COUNTIFS('資格研修記録'!$A$5:$A$1004,$A201,'資格研修記録'!$D$5:$D$1004,"小型船舶1級",'資格研修記録'!$F$5:$F$1004,"")+COUNTIFS('資格研修記録'!$A$5:$A$1004,$A201,'資格研修記録'!$D$5:$D$1004,"小型船舶1級",'資格研修記録'!$F$5:$F$1004,"&gt;="&amp;TODAY()))&gt;0),"1級に含む",IF(COUNTIFS('資格研修記録'!$A$5:$A$1004,$A201,'資格研修記録'!$D$5:$D$1004,F$4)=0,"—",IF(COUNTIFS('資格研修記録'!$A$5:$A$1004,$A201,'資格研修記録'!$D$5:$D$1004,F$4,'資格研修記録'!$F$5:$F$1004,"")+COUNTIFS('資格研修記録'!$A$5:$A$1004,$A201,'資格研修記録'!$D$5:$D$1004,F$4,'資格研修記録'!$F$5:$F$1004,"&gt;="&amp;TODAY())&gt;0,"○","× 期限切れ"))))</f>
        <v/>
      </c>
      <c r="G201" s="15">
        <f>IF(OR($A201="",G$4=""),"",IF(AND(G$4="小型船舶2級",(COUNTIFS('資格研修記録'!$A$5:$A$1004,$A201,'資格研修記録'!$D$5:$D$1004,"小型船舶1級",'資格研修記録'!$F$5:$F$1004,"")+COUNTIFS('資格研修記録'!$A$5:$A$1004,$A201,'資格研修記録'!$D$5:$D$1004,"小型船舶1級",'資格研修記録'!$F$5:$F$1004,"&gt;="&amp;TODAY()))&gt;0),"1級に含む",IF(COUNTIFS('資格研修記録'!$A$5:$A$1004,$A201,'資格研修記録'!$D$5:$D$1004,G$4)=0,"—",IF(COUNTIFS('資格研修記録'!$A$5:$A$1004,$A201,'資格研修記録'!$D$5:$D$1004,G$4,'資格研修記録'!$F$5:$F$1004,"")+COUNTIFS('資格研修記録'!$A$5:$A$1004,$A201,'資格研修記録'!$D$5:$D$1004,G$4,'資格研修記録'!$F$5:$F$1004,"&gt;="&amp;TODAY())&gt;0,"○","× 期限切れ"))))</f>
        <v/>
      </c>
      <c r="H201" s="15">
        <f>IF(OR($A201="",H$4=""),"",IF(AND(H$4="小型船舶2級",(COUNTIFS('資格研修記録'!$A$5:$A$1004,$A201,'資格研修記録'!$D$5:$D$1004,"小型船舶1級",'資格研修記録'!$F$5:$F$1004,"")+COUNTIFS('資格研修記録'!$A$5:$A$1004,$A201,'資格研修記録'!$D$5:$D$1004,"小型船舶1級",'資格研修記録'!$F$5:$F$1004,"&gt;="&amp;TODAY()))&gt;0),"1級に含む",IF(COUNTIFS('資格研修記録'!$A$5:$A$1004,$A201,'資格研修記録'!$D$5:$D$1004,H$4)=0,"—",IF(COUNTIFS('資格研修記録'!$A$5:$A$1004,$A201,'資格研修記録'!$D$5:$D$1004,H$4,'資格研修記録'!$F$5:$F$1004,"")+COUNTIFS('資格研修記録'!$A$5:$A$1004,$A201,'資格研修記録'!$D$5:$D$1004,H$4,'資格研修記録'!$F$5:$F$1004,"&gt;="&amp;TODAY())&gt;0,"○","× 期限切れ"))))</f>
        <v/>
      </c>
      <c r="I201" s="15">
        <f>IF(OR($A201="",I$4=""),"",IF(AND(I$4="小型船舶2級",(COUNTIFS('資格研修記録'!$A$5:$A$1004,$A201,'資格研修記録'!$D$5:$D$1004,"小型船舶1級",'資格研修記録'!$F$5:$F$1004,"")+COUNTIFS('資格研修記録'!$A$5:$A$1004,$A201,'資格研修記録'!$D$5:$D$1004,"小型船舶1級",'資格研修記録'!$F$5:$F$1004,"&gt;="&amp;TODAY()))&gt;0),"1級に含む",IF(COUNTIFS('資格研修記録'!$A$5:$A$1004,$A201,'資格研修記録'!$D$5:$D$1004,I$4)=0,"—",IF(COUNTIFS('資格研修記録'!$A$5:$A$1004,$A201,'資格研修記録'!$D$5:$D$1004,I$4,'資格研修記録'!$F$5:$F$1004,"")+COUNTIFS('資格研修記録'!$A$5:$A$1004,$A201,'資格研修記録'!$D$5:$D$1004,I$4,'資格研修記録'!$F$5:$F$1004,"&gt;="&amp;TODAY())&gt;0,"○","× 期限切れ"))))</f>
        <v/>
      </c>
      <c r="J201" s="15">
        <f>IF(OR($A201="",J$4=""),"",IF(AND(J$4="小型船舶2級",(COUNTIFS('資格研修記録'!$A$5:$A$1004,$A201,'資格研修記録'!$D$5:$D$1004,"小型船舶1級",'資格研修記録'!$F$5:$F$1004,"")+COUNTIFS('資格研修記録'!$A$5:$A$1004,$A201,'資格研修記録'!$D$5:$D$1004,"小型船舶1級",'資格研修記録'!$F$5:$F$1004,"&gt;="&amp;TODAY()))&gt;0),"1級に含む",IF(COUNTIFS('資格研修記録'!$A$5:$A$1004,$A201,'資格研修記録'!$D$5:$D$1004,J$4)=0,"—",IF(COUNTIFS('資格研修記録'!$A$5:$A$1004,$A201,'資格研修記録'!$D$5:$D$1004,J$4,'資格研修記録'!$F$5:$F$1004,"")+COUNTIFS('資格研修記録'!$A$5:$A$1004,$A201,'資格研修記録'!$D$5:$D$1004,J$4,'資格研修記録'!$F$5:$F$1004,"&gt;="&amp;TODAY())&gt;0,"○","× 期限切れ"))))</f>
        <v/>
      </c>
      <c r="K201" s="15">
        <f>IF(OR($A201="",K$4=""),"",IF(AND(K$4="小型船舶2級",(COUNTIFS('資格研修記録'!$A$5:$A$1004,$A201,'資格研修記録'!$D$5:$D$1004,"小型船舶1級",'資格研修記録'!$F$5:$F$1004,"")+COUNTIFS('資格研修記録'!$A$5:$A$1004,$A201,'資格研修記録'!$D$5:$D$1004,"小型船舶1級",'資格研修記録'!$F$5:$F$1004,"&gt;="&amp;TODAY()))&gt;0),"1級に含む",IF(COUNTIFS('資格研修記録'!$A$5:$A$1004,$A201,'資格研修記録'!$D$5:$D$1004,K$4)=0,"—",IF(COUNTIFS('資格研修記録'!$A$5:$A$1004,$A201,'資格研修記録'!$D$5:$D$1004,K$4,'資格研修記録'!$F$5:$F$1004,"")+COUNTIFS('資格研修記録'!$A$5:$A$1004,$A201,'資格研修記録'!$D$5:$D$1004,K$4,'資格研修記録'!$F$5:$F$1004,"&gt;="&amp;TODAY())&gt;0,"○","× 期限切れ"))))</f>
        <v/>
      </c>
      <c r="L201" s="15">
        <f>IF(OR($A201="",L$4=""),"",IF(AND(L$4="小型船舶2級",(COUNTIFS('資格研修記録'!$A$5:$A$1004,$A201,'資格研修記録'!$D$5:$D$1004,"小型船舶1級",'資格研修記録'!$F$5:$F$1004,"")+COUNTIFS('資格研修記録'!$A$5:$A$1004,$A201,'資格研修記録'!$D$5:$D$1004,"小型船舶1級",'資格研修記録'!$F$5:$F$1004,"&gt;="&amp;TODAY()))&gt;0),"1級に含む",IF(COUNTIFS('資格研修記録'!$A$5:$A$1004,$A201,'資格研修記録'!$D$5:$D$1004,L$4)=0,"—",IF(COUNTIFS('資格研修記録'!$A$5:$A$1004,$A201,'資格研修記録'!$D$5:$D$1004,L$4,'資格研修記録'!$F$5:$F$1004,"")+COUNTIFS('資格研修記録'!$A$5:$A$1004,$A201,'資格研修記録'!$D$5:$D$1004,L$4,'資格研修記録'!$F$5:$F$1004,"&gt;="&amp;TODAY())&gt;0,"○","× 期限切れ"))))</f>
        <v/>
      </c>
    </row>
    <row r="202">
      <c r="A202" s="14">
        <f>IF('隊員マスタ'!A202="","",'隊員マスタ'!A202)</f>
        <v/>
      </c>
      <c r="B202" s="14">
        <f>IF(A202="","",'隊員マスタ'!B202)</f>
        <v/>
      </c>
      <c r="C202" s="14">
        <f>IF(A202="","",'隊員マスタ'!C202)</f>
        <v/>
      </c>
      <c r="D202" s="15">
        <f>IF(A202="","",'隊員マスタ'!D202)</f>
        <v/>
      </c>
      <c r="E202" s="15">
        <f>IF(OR($A202="",E$4=""),"",IF(AND(E$4="小型船舶2級",(COUNTIFS('資格研修記録'!$A$5:$A$1004,$A202,'資格研修記録'!$D$5:$D$1004,"小型船舶1級",'資格研修記録'!$F$5:$F$1004,"")+COUNTIFS('資格研修記録'!$A$5:$A$1004,$A202,'資格研修記録'!$D$5:$D$1004,"小型船舶1級",'資格研修記録'!$F$5:$F$1004,"&gt;="&amp;TODAY()))&gt;0),"1級に含む",IF(COUNTIFS('資格研修記録'!$A$5:$A$1004,$A202,'資格研修記録'!$D$5:$D$1004,E$4)=0,"—",IF(COUNTIFS('資格研修記録'!$A$5:$A$1004,$A202,'資格研修記録'!$D$5:$D$1004,E$4,'資格研修記録'!$F$5:$F$1004,"")+COUNTIFS('資格研修記録'!$A$5:$A$1004,$A202,'資格研修記録'!$D$5:$D$1004,E$4,'資格研修記録'!$F$5:$F$1004,"&gt;="&amp;TODAY())&gt;0,"○","× 期限切れ"))))</f>
        <v/>
      </c>
      <c r="F202" s="15">
        <f>IF(OR($A202="",F$4=""),"",IF(AND(F$4="小型船舶2級",(COUNTIFS('資格研修記録'!$A$5:$A$1004,$A202,'資格研修記録'!$D$5:$D$1004,"小型船舶1級",'資格研修記録'!$F$5:$F$1004,"")+COUNTIFS('資格研修記録'!$A$5:$A$1004,$A202,'資格研修記録'!$D$5:$D$1004,"小型船舶1級",'資格研修記録'!$F$5:$F$1004,"&gt;="&amp;TODAY()))&gt;0),"1級に含む",IF(COUNTIFS('資格研修記録'!$A$5:$A$1004,$A202,'資格研修記録'!$D$5:$D$1004,F$4)=0,"—",IF(COUNTIFS('資格研修記録'!$A$5:$A$1004,$A202,'資格研修記録'!$D$5:$D$1004,F$4,'資格研修記録'!$F$5:$F$1004,"")+COUNTIFS('資格研修記録'!$A$5:$A$1004,$A202,'資格研修記録'!$D$5:$D$1004,F$4,'資格研修記録'!$F$5:$F$1004,"&gt;="&amp;TODAY())&gt;0,"○","× 期限切れ"))))</f>
        <v/>
      </c>
      <c r="G202" s="15">
        <f>IF(OR($A202="",G$4=""),"",IF(AND(G$4="小型船舶2級",(COUNTIFS('資格研修記録'!$A$5:$A$1004,$A202,'資格研修記録'!$D$5:$D$1004,"小型船舶1級",'資格研修記録'!$F$5:$F$1004,"")+COUNTIFS('資格研修記録'!$A$5:$A$1004,$A202,'資格研修記録'!$D$5:$D$1004,"小型船舶1級",'資格研修記録'!$F$5:$F$1004,"&gt;="&amp;TODAY()))&gt;0),"1級に含む",IF(COUNTIFS('資格研修記録'!$A$5:$A$1004,$A202,'資格研修記録'!$D$5:$D$1004,G$4)=0,"—",IF(COUNTIFS('資格研修記録'!$A$5:$A$1004,$A202,'資格研修記録'!$D$5:$D$1004,G$4,'資格研修記録'!$F$5:$F$1004,"")+COUNTIFS('資格研修記録'!$A$5:$A$1004,$A202,'資格研修記録'!$D$5:$D$1004,G$4,'資格研修記録'!$F$5:$F$1004,"&gt;="&amp;TODAY())&gt;0,"○","× 期限切れ"))))</f>
        <v/>
      </c>
      <c r="H202" s="15">
        <f>IF(OR($A202="",H$4=""),"",IF(AND(H$4="小型船舶2級",(COUNTIFS('資格研修記録'!$A$5:$A$1004,$A202,'資格研修記録'!$D$5:$D$1004,"小型船舶1級",'資格研修記録'!$F$5:$F$1004,"")+COUNTIFS('資格研修記録'!$A$5:$A$1004,$A202,'資格研修記録'!$D$5:$D$1004,"小型船舶1級",'資格研修記録'!$F$5:$F$1004,"&gt;="&amp;TODAY()))&gt;0),"1級に含む",IF(COUNTIFS('資格研修記録'!$A$5:$A$1004,$A202,'資格研修記録'!$D$5:$D$1004,H$4)=0,"—",IF(COUNTIFS('資格研修記録'!$A$5:$A$1004,$A202,'資格研修記録'!$D$5:$D$1004,H$4,'資格研修記録'!$F$5:$F$1004,"")+COUNTIFS('資格研修記録'!$A$5:$A$1004,$A202,'資格研修記録'!$D$5:$D$1004,H$4,'資格研修記録'!$F$5:$F$1004,"&gt;="&amp;TODAY())&gt;0,"○","× 期限切れ"))))</f>
        <v/>
      </c>
      <c r="I202" s="15">
        <f>IF(OR($A202="",I$4=""),"",IF(AND(I$4="小型船舶2級",(COUNTIFS('資格研修記録'!$A$5:$A$1004,$A202,'資格研修記録'!$D$5:$D$1004,"小型船舶1級",'資格研修記録'!$F$5:$F$1004,"")+COUNTIFS('資格研修記録'!$A$5:$A$1004,$A202,'資格研修記録'!$D$5:$D$1004,"小型船舶1級",'資格研修記録'!$F$5:$F$1004,"&gt;="&amp;TODAY()))&gt;0),"1級に含む",IF(COUNTIFS('資格研修記録'!$A$5:$A$1004,$A202,'資格研修記録'!$D$5:$D$1004,I$4)=0,"—",IF(COUNTIFS('資格研修記録'!$A$5:$A$1004,$A202,'資格研修記録'!$D$5:$D$1004,I$4,'資格研修記録'!$F$5:$F$1004,"")+COUNTIFS('資格研修記録'!$A$5:$A$1004,$A202,'資格研修記録'!$D$5:$D$1004,I$4,'資格研修記録'!$F$5:$F$1004,"&gt;="&amp;TODAY())&gt;0,"○","× 期限切れ"))))</f>
        <v/>
      </c>
      <c r="J202" s="15">
        <f>IF(OR($A202="",J$4=""),"",IF(AND(J$4="小型船舶2級",(COUNTIFS('資格研修記録'!$A$5:$A$1004,$A202,'資格研修記録'!$D$5:$D$1004,"小型船舶1級",'資格研修記録'!$F$5:$F$1004,"")+COUNTIFS('資格研修記録'!$A$5:$A$1004,$A202,'資格研修記録'!$D$5:$D$1004,"小型船舶1級",'資格研修記録'!$F$5:$F$1004,"&gt;="&amp;TODAY()))&gt;0),"1級に含む",IF(COUNTIFS('資格研修記録'!$A$5:$A$1004,$A202,'資格研修記録'!$D$5:$D$1004,J$4)=0,"—",IF(COUNTIFS('資格研修記録'!$A$5:$A$1004,$A202,'資格研修記録'!$D$5:$D$1004,J$4,'資格研修記録'!$F$5:$F$1004,"")+COUNTIFS('資格研修記録'!$A$5:$A$1004,$A202,'資格研修記録'!$D$5:$D$1004,J$4,'資格研修記録'!$F$5:$F$1004,"&gt;="&amp;TODAY())&gt;0,"○","× 期限切れ"))))</f>
        <v/>
      </c>
      <c r="K202" s="15">
        <f>IF(OR($A202="",K$4=""),"",IF(AND(K$4="小型船舶2級",(COUNTIFS('資格研修記録'!$A$5:$A$1004,$A202,'資格研修記録'!$D$5:$D$1004,"小型船舶1級",'資格研修記録'!$F$5:$F$1004,"")+COUNTIFS('資格研修記録'!$A$5:$A$1004,$A202,'資格研修記録'!$D$5:$D$1004,"小型船舶1級",'資格研修記録'!$F$5:$F$1004,"&gt;="&amp;TODAY()))&gt;0),"1級に含む",IF(COUNTIFS('資格研修記録'!$A$5:$A$1004,$A202,'資格研修記録'!$D$5:$D$1004,K$4)=0,"—",IF(COUNTIFS('資格研修記録'!$A$5:$A$1004,$A202,'資格研修記録'!$D$5:$D$1004,K$4,'資格研修記録'!$F$5:$F$1004,"")+COUNTIFS('資格研修記録'!$A$5:$A$1004,$A202,'資格研修記録'!$D$5:$D$1004,K$4,'資格研修記録'!$F$5:$F$1004,"&gt;="&amp;TODAY())&gt;0,"○","× 期限切れ"))))</f>
        <v/>
      </c>
      <c r="L202" s="15">
        <f>IF(OR($A202="",L$4=""),"",IF(AND(L$4="小型船舶2級",(COUNTIFS('資格研修記録'!$A$5:$A$1004,$A202,'資格研修記録'!$D$5:$D$1004,"小型船舶1級",'資格研修記録'!$F$5:$F$1004,"")+COUNTIFS('資格研修記録'!$A$5:$A$1004,$A202,'資格研修記録'!$D$5:$D$1004,"小型船舶1級",'資格研修記録'!$F$5:$F$1004,"&gt;="&amp;TODAY()))&gt;0),"1級に含む",IF(COUNTIFS('資格研修記録'!$A$5:$A$1004,$A202,'資格研修記録'!$D$5:$D$1004,L$4)=0,"—",IF(COUNTIFS('資格研修記録'!$A$5:$A$1004,$A202,'資格研修記録'!$D$5:$D$1004,L$4,'資格研修記録'!$F$5:$F$1004,"")+COUNTIFS('資格研修記録'!$A$5:$A$1004,$A202,'資格研修記録'!$D$5:$D$1004,L$4,'資格研修記録'!$F$5:$F$1004,"&gt;="&amp;TODAY())&gt;0,"○","× 期限切れ"))))</f>
        <v/>
      </c>
    </row>
    <row r="203">
      <c r="A203" s="14">
        <f>IF('隊員マスタ'!A203="","",'隊員マスタ'!A203)</f>
        <v/>
      </c>
      <c r="B203" s="14">
        <f>IF(A203="","",'隊員マスタ'!B203)</f>
        <v/>
      </c>
      <c r="C203" s="14">
        <f>IF(A203="","",'隊員マスタ'!C203)</f>
        <v/>
      </c>
      <c r="D203" s="15">
        <f>IF(A203="","",'隊員マスタ'!D203)</f>
        <v/>
      </c>
      <c r="E203" s="15">
        <f>IF(OR($A203="",E$4=""),"",IF(AND(E$4="小型船舶2級",(COUNTIFS('資格研修記録'!$A$5:$A$1004,$A203,'資格研修記録'!$D$5:$D$1004,"小型船舶1級",'資格研修記録'!$F$5:$F$1004,"")+COUNTIFS('資格研修記録'!$A$5:$A$1004,$A203,'資格研修記録'!$D$5:$D$1004,"小型船舶1級",'資格研修記録'!$F$5:$F$1004,"&gt;="&amp;TODAY()))&gt;0),"1級に含む",IF(COUNTIFS('資格研修記録'!$A$5:$A$1004,$A203,'資格研修記録'!$D$5:$D$1004,E$4)=0,"—",IF(COUNTIFS('資格研修記録'!$A$5:$A$1004,$A203,'資格研修記録'!$D$5:$D$1004,E$4,'資格研修記録'!$F$5:$F$1004,"")+COUNTIFS('資格研修記録'!$A$5:$A$1004,$A203,'資格研修記録'!$D$5:$D$1004,E$4,'資格研修記録'!$F$5:$F$1004,"&gt;="&amp;TODAY())&gt;0,"○","× 期限切れ"))))</f>
        <v/>
      </c>
      <c r="F203" s="15">
        <f>IF(OR($A203="",F$4=""),"",IF(AND(F$4="小型船舶2級",(COUNTIFS('資格研修記録'!$A$5:$A$1004,$A203,'資格研修記録'!$D$5:$D$1004,"小型船舶1級",'資格研修記録'!$F$5:$F$1004,"")+COUNTIFS('資格研修記録'!$A$5:$A$1004,$A203,'資格研修記録'!$D$5:$D$1004,"小型船舶1級",'資格研修記録'!$F$5:$F$1004,"&gt;="&amp;TODAY()))&gt;0),"1級に含む",IF(COUNTIFS('資格研修記録'!$A$5:$A$1004,$A203,'資格研修記録'!$D$5:$D$1004,F$4)=0,"—",IF(COUNTIFS('資格研修記録'!$A$5:$A$1004,$A203,'資格研修記録'!$D$5:$D$1004,F$4,'資格研修記録'!$F$5:$F$1004,"")+COUNTIFS('資格研修記録'!$A$5:$A$1004,$A203,'資格研修記録'!$D$5:$D$1004,F$4,'資格研修記録'!$F$5:$F$1004,"&gt;="&amp;TODAY())&gt;0,"○","× 期限切れ"))))</f>
        <v/>
      </c>
      <c r="G203" s="15">
        <f>IF(OR($A203="",G$4=""),"",IF(AND(G$4="小型船舶2級",(COUNTIFS('資格研修記録'!$A$5:$A$1004,$A203,'資格研修記録'!$D$5:$D$1004,"小型船舶1級",'資格研修記録'!$F$5:$F$1004,"")+COUNTIFS('資格研修記録'!$A$5:$A$1004,$A203,'資格研修記録'!$D$5:$D$1004,"小型船舶1級",'資格研修記録'!$F$5:$F$1004,"&gt;="&amp;TODAY()))&gt;0),"1級に含む",IF(COUNTIFS('資格研修記録'!$A$5:$A$1004,$A203,'資格研修記録'!$D$5:$D$1004,G$4)=0,"—",IF(COUNTIFS('資格研修記録'!$A$5:$A$1004,$A203,'資格研修記録'!$D$5:$D$1004,G$4,'資格研修記録'!$F$5:$F$1004,"")+COUNTIFS('資格研修記録'!$A$5:$A$1004,$A203,'資格研修記録'!$D$5:$D$1004,G$4,'資格研修記録'!$F$5:$F$1004,"&gt;="&amp;TODAY())&gt;0,"○","× 期限切れ"))))</f>
        <v/>
      </c>
      <c r="H203" s="15">
        <f>IF(OR($A203="",H$4=""),"",IF(AND(H$4="小型船舶2級",(COUNTIFS('資格研修記録'!$A$5:$A$1004,$A203,'資格研修記録'!$D$5:$D$1004,"小型船舶1級",'資格研修記録'!$F$5:$F$1004,"")+COUNTIFS('資格研修記録'!$A$5:$A$1004,$A203,'資格研修記録'!$D$5:$D$1004,"小型船舶1級",'資格研修記録'!$F$5:$F$1004,"&gt;="&amp;TODAY()))&gt;0),"1級に含む",IF(COUNTIFS('資格研修記録'!$A$5:$A$1004,$A203,'資格研修記録'!$D$5:$D$1004,H$4)=0,"—",IF(COUNTIFS('資格研修記録'!$A$5:$A$1004,$A203,'資格研修記録'!$D$5:$D$1004,H$4,'資格研修記録'!$F$5:$F$1004,"")+COUNTIFS('資格研修記録'!$A$5:$A$1004,$A203,'資格研修記録'!$D$5:$D$1004,H$4,'資格研修記録'!$F$5:$F$1004,"&gt;="&amp;TODAY())&gt;0,"○","× 期限切れ"))))</f>
        <v/>
      </c>
      <c r="I203" s="15">
        <f>IF(OR($A203="",I$4=""),"",IF(AND(I$4="小型船舶2級",(COUNTIFS('資格研修記録'!$A$5:$A$1004,$A203,'資格研修記録'!$D$5:$D$1004,"小型船舶1級",'資格研修記録'!$F$5:$F$1004,"")+COUNTIFS('資格研修記録'!$A$5:$A$1004,$A203,'資格研修記録'!$D$5:$D$1004,"小型船舶1級",'資格研修記録'!$F$5:$F$1004,"&gt;="&amp;TODAY()))&gt;0),"1級に含む",IF(COUNTIFS('資格研修記録'!$A$5:$A$1004,$A203,'資格研修記録'!$D$5:$D$1004,I$4)=0,"—",IF(COUNTIFS('資格研修記録'!$A$5:$A$1004,$A203,'資格研修記録'!$D$5:$D$1004,I$4,'資格研修記録'!$F$5:$F$1004,"")+COUNTIFS('資格研修記録'!$A$5:$A$1004,$A203,'資格研修記録'!$D$5:$D$1004,I$4,'資格研修記録'!$F$5:$F$1004,"&gt;="&amp;TODAY())&gt;0,"○","× 期限切れ"))))</f>
        <v/>
      </c>
      <c r="J203" s="15">
        <f>IF(OR($A203="",J$4=""),"",IF(AND(J$4="小型船舶2級",(COUNTIFS('資格研修記録'!$A$5:$A$1004,$A203,'資格研修記録'!$D$5:$D$1004,"小型船舶1級",'資格研修記録'!$F$5:$F$1004,"")+COUNTIFS('資格研修記録'!$A$5:$A$1004,$A203,'資格研修記録'!$D$5:$D$1004,"小型船舶1級",'資格研修記録'!$F$5:$F$1004,"&gt;="&amp;TODAY()))&gt;0),"1級に含む",IF(COUNTIFS('資格研修記録'!$A$5:$A$1004,$A203,'資格研修記録'!$D$5:$D$1004,J$4)=0,"—",IF(COUNTIFS('資格研修記録'!$A$5:$A$1004,$A203,'資格研修記録'!$D$5:$D$1004,J$4,'資格研修記録'!$F$5:$F$1004,"")+COUNTIFS('資格研修記録'!$A$5:$A$1004,$A203,'資格研修記録'!$D$5:$D$1004,J$4,'資格研修記録'!$F$5:$F$1004,"&gt;="&amp;TODAY())&gt;0,"○","× 期限切れ"))))</f>
        <v/>
      </c>
      <c r="K203" s="15">
        <f>IF(OR($A203="",K$4=""),"",IF(AND(K$4="小型船舶2級",(COUNTIFS('資格研修記録'!$A$5:$A$1004,$A203,'資格研修記録'!$D$5:$D$1004,"小型船舶1級",'資格研修記録'!$F$5:$F$1004,"")+COUNTIFS('資格研修記録'!$A$5:$A$1004,$A203,'資格研修記録'!$D$5:$D$1004,"小型船舶1級",'資格研修記録'!$F$5:$F$1004,"&gt;="&amp;TODAY()))&gt;0),"1級に含む",IF(COUNTIFS('資格研修記録'!$A$5:$A$1004,$A203,'資格研修記録'!$D$5:$D$1004,K$4)=0,"—",IF(COUNTIFS('資格研修記録'!$A$5:$A$1004,$A203,'資格研修記録'!$D$5:$D$1004,K$4,'資格研修記録'!$F$5:$F$1004,"")+COUNTIFS('資格研修記録'!$A$5:$A$1004,$A203,'資格研修記録'!$D$5:$D$1004,K$4,'資格研修記録'!$F$5:$F$1004,"&gt;="&amp;TODAY())&gt;0,"○","× 期限切れ"))))</f>
        <v/>
      </c>
      <c r="L203" s="15">
        <f>IF(OR($A203="",L$4=""),"",IF(AND(L$4="小型船舶2級",(COUNTIFS('資格研修記録'!$A$5:$A$1004,$A203,'資格研修記録'!$D$5:$D$1004,"小型船舶1級",'資格研修記録'!$F$5:$F$1004,"")+COUNTIFS('資格研修記録'!$A$5:$A$1004,$A203,'資格研修記録'!$D$5:$D$1004,"小型船舶1級",'資格研修記録'!$F$5:$F$1004,"&gt;="&amp;TODAY()))&gt;0),"1級に含む",IF(COUNTIFS('資格研修記録'!$A$5:$A$1004,$A203,'資格研修記録'!$D$5:$D$1004,L$4)=0,"—",IF(COUNTIFS('資格研修記録'!$A$5:$A$1004,$A203,'資格研修記録'!$D$5:$D$1004,L$4,'資格研修記録'!$F$5:$F$1004,"")+COUNTIFS('資格研修記録'!$A$5:$A$1004,$A203,'資格研修記録'!$D$5:$D$1004,L$4,'資格研修記録'!$F$5:$F$1004,"&gt;="&amp;TODAY())&gt;0,"○","× 期限切れ"))))</f>
        <v/>
      </c>
    </row>
    <row r="204">
      <c r="A204" s="14">
        <f>IF('隊員マスタ'!A204="","",'隊員マスタ'!A204)</f>
        <v/>
      </c>
      <c r="B204" s="14">
        <f>IF(A204="","",'隊員マスタ'!B204)</f>
        <v/>
      </c>
      <c r="C204" s="14">
        <f>IF(A204="","",'隊員マスタ'!C204)</f>
        <v/>
      </c>
      <c r="D204" s="15">
        <f>IF(A204="","",'隊員マスタ'!D204)</f>
        <v/>
      </c>
      <c r="E204" s="15">
        <f>IF(OR($A204="",E$4=""),"",IF(AND(E$4="小型船舶2級",(COUNTIFS('資格研修記録'!$A$5:$A$1004,$A204,'資格研修記録'!$D$5:$D$1004,"小型船舶1級",'資格研修記録'!$F$5:$F$1004,"")+COUNTIFS('資格研修記録'!$A$5:$A$1004,$A204,'資格研修記録'!$D$5:$D$1004,"小型船舶1級",'資格研修記録'!$F$5:$F$1004,"&gt;="&amp;TODAY()))&gt;0),"1級に含む",IF(COUNTIFS('資格研修記録'!$A$5:$A$1004,$A204,'資格研修記録'!$D$5:$D$1004,E$4)=0,"—",IF(COUNTIFS('資格研修記録'!$A$5:$A$1004,$A204,'資格研修記録'!$D$5:$D$1004,E$4,'資格研修記録'!$F$5:$F$1004,"")+COUNTIFS('資格研修記録'!$A$5:$A$1004,$A204,'資格研修記録'!$D$5:$D$1004,E$4,'資格研修記録'!$F$5:$F$1004,"&gt;="&amp;TODAY())&gt;0,"○","× 期限切れ"))))</f>
        <v/>
      </c>
      <c r="F204" s="15">
        <f>IF(OR($A204="",F$4=""),"",IF(AND(F$4="小型船舶2級",(COUNTIFS('資格研修記録'!$A$5:$A$1004,$A204,'資格研修記録'!$D$5:$D$1004,"小型船舶1級",'資格研修記録'!$F$5:$F$1004,"")+COUNTIFS('資格研修記録'!$A$5:$A$1004,$A204,'資格研修記録'!$D$5:$D$1004,"小型船舶1級",'資格研修記録'!$F$5:$F$1004,"&gt;="&amp;TODAY()))&gt;0),"1級に含む",IF(COUNTIFS('資格研修記録'!$A$5:$A$1004,$A204,'資格研修記録'!$D$5:$D$1004,F$4)=0,"—",IF(COUNTIFS('資格研修記録'!$A$5:$A$1004,$A204,'資格研修記録'!$D$5:$D$1004,F$4,'資格研修記録'!$F$5:$F$1004,"")+COUNTIFS('資格研修記録'!$A$5:$A$1004,$A204,'資格研修記録'!$D$5:$D$1004,F$4,'資格研修記録'!$F$5:$F$1004,"&gt;="&amp;TODAY())&gt;0,"○","× 期限切れ"))))</f>
        <v/>
      </c>
      <c r="G204" s="15">
        <f>IF(OR($A204="",G$4=""),"",IF(AND(G$4="小型船舶2級",(COUNTIFS('資格研修記録'!$A$5:$A$1004,$A204,'資格研修記録'!$D$5:$D$1004,"小型船舶1級",'資格研修記録'!$F$5:$F$1004,"")+COUNTIFS('資格研修記録'!$A$5:$A$1004,$A204,'資格研修記録'!$D$5:$D$1004,"小型船舶1級",'資格研修記録'!$F$5:$F$1004,"&gt;="&amp;TODAY()))&gt;0),"1級に含む",IF(COUNTIFS('資格研修記録'!$A$5:$A$1004,$A204,'資格研修記録'!$D$5:$D$1004,G$4)=0,"—",IF(COUNTIFS('資格研修記録'!$A$5:$A$1004,$A204,'資格研修記録'!$D$5:$D$1004,G$4,'資格研修記録'!$F$5:$F$1004,"")+COUNTIFS('資格研修記録'!$A$5:$A$1004,$A204,'資格研修記録'!$D$5:$D$1004,G$4,'資格研修記録'!$F$5:$F$1004,"&gt;="&amp;TODAY())&gt;0,"○","× 期限切れ"))))</f>
        <v/>
      </c>
      <c r="H204" s="15">
        <f>IF(OR($A204="",H$4=""),"",IF(AND(H$4="小型船舶2級",(COUNTIFS('資格研修記録'!$A$5:$A$1004,$A204,'資格研修記録'!$D$5:$D$1004,"小型船舶1級",'資格研修記録'!$F$5:$F$1004,"")+COUNTIFS('資格研修記録'!$A$5:$A$1004,$A204,'資格研修記録'!$D$5:$D$1004,"小型船舶1級",'資格研修記録'!$F$5:$F$1004,"&gt;="&amp;TODAY()))&gt;0),"1級に含む",IF(COUNTIFS('資格研修記録'!$A$5:$A$1004,$A204,'資格研修記録'!$D$5:$D$1004,H$4)=0,"—",IF(COUNTIFS('資格研修記録'!$A$5:$A$1004,$A204,'資格研修記録'!$D$5:$D$1004,H$4,'資格研修記録'!$F$5:$F$1004,"")+COUNTIFS('資格研修記録'!$A$5:$A$1004,$A204,'資格研修記録'!$D$5:$D$1004,H$4,'資格研修記録'!$F$5:$F$1004,"&gt;="&amp;TODAY())&gt;0,"○","× 期限切れ"))))</f>
        <v/>
      </c>
      <c r="I204" s="15">
        <f>IF(OR($A204="",I$4=""),"",IF(AND(I$4="小型船舶2級",(COUNTIFS('資格研修記録'!$A$5:$A$1004,$A204,'資格研修記録'!$D$5:$D$1004,"小型船舶1級",'資格研修記録'!$F$5:$F$1004,"")+COUNTIFS('資格研修記録'!$A$5:$A$1004,$A204,'資格研修記録'!$D$5:$D$1004,"小型船舶1級",'資格研修記録'!$F$5:$F$1004,"&gt;="&amp;TODAY()))&gt;0),"1級に含む",IF(COUNTIFS('資格研修記録'!$A$5:$A$1004,$A204,'資格研修記録'!$D$5:$D$1004,I$4)=0,"—",IF(COUNTIFS('資格研修記録'!$A$5:$A$1004,$A204,'資格研修記録'!$D$5:$D$1004,I$4,'資格研修記録'!$F$5:$F$1004,"")+COUNTIFS('資格研修記録'!$A$5:$A$1004,$A204,'資格研修記録'!$D$5:$D$1004,I$4,'資格研修記録'!$F$5:$F$1004,"&gt;="&amp;TODAY())&gt;0,"○","× 期限切れ"))))</f>
        <v/>
      </c>
      <c r="J204" s="15">
        <f>IF(OR($A204="",J$4=""),"",IF(AND(J$4="小型船舶2級",(COUNTIFS('資格研修記録'!$A$5:$A$1004,$A204,'資格研修記録'!$D$5:$D$1004,"小型船舶1級",'資格研修記録'!$F$5:$F$1004,"")+COUNTIFS('資格研修記録'!$A$5:$A$1004,$A204,'資格研修記録'!$D$5:$D$1004,"小型船舶1級",'資格研修記録'!$F$5:$F$1004,"&gt;="&amp;TODAY()))&gt;0),"1級に含む",IF(COUNTIFS('資格研修記録'!$A$5:$A$1004,$A204,'資格研修記録'!$D$5:$D$1004,J$4)=0,"—",IF(COUNTIFS('資格研修記録'!$A$5:$A$1004,$A204,'資格研修記録'!$D$5:$D$1004,J$4,'資格研修記録'!$F$5:$F$1004,"")+COUNTIFS('資格研修記録'!$A$5:$A$1004,$A204,'資格研修記録'!$D$5:$D$1004,J$4,'資格研修記録'!$F$5:$F$1004,"&gt;="&amp;TODAY())&gt;0,"○","× 期限切れ"))))</f>
        <v/>
      </c>
      <c r="K204" s="15">
        <f>IF(OR($A204="",K$4=""),"",IF(AND(K$4="小型船舶2級",(COUNTIFS('資格研修記録'!$A$5:$A$1004,$A204,'資格研修記録'!$D$5:$D$1004,"小型船舶1級",'資格研修記録'!$F$5:$F$1004,"")+COUNTIFS('資格研修記録'!$A$5:$A$1004,$A204,'資格研修記録'!$D$5:$D$1004,"小型船舶1級",'資格研修記録'!$F$5:$F$1004,"&gt;="&amp;TODAY()))&gt;0),"1級に含む",IF(COUNTIFS('資格研修記録'!$A$5:$A$1004,$A204,'資格研修記録'!$D$5:$D$1004,K$4)=0,"—",IF(COUNTIFS('資格研修記録'!$A$5:$A$1004,$A204,'資格研修記録'!$D$5:$D$1004,K$4,'資格研修記録'!$F$5:$F$1004,"")+COUNTIFS('資格研修記録'!$A$5:$A$1004,$A204,'資格研修記録'!$D$5:$D$1004,K$4,'資格研修記録'!$F$5:$F$1004,"&gt;="&amp;TODAY())&gt;0,"○","× 期限切れ"))))</f>
        <v/>
      </c>
      <c r="L204" s="15">
        <f>IF(OR($A204="",L$4=""),"",IF(AND(L$4="小型船舶2級",(COUNTIFS('資格研修記録'!$A$5:$A$1004,$A204,'資格研修記録'!$D$5:$D$1004,"小型船舶1級",'資格研修記録'!$F$5:$F$1004,"")+COUNTIFS('資格研修記録'!$A$5:$A$1004,$A204,'資格研修記録'!$D$5:$D$1004,"小型船舶1級",'資格研修記録'!$F$5:$F$1004,"&gt;="&amp;TODAY()))&gt;0),"1級に含む",IF(COUNTIFS('資格研修記録'!$A$5:$A$1004,$A204,'資格研修記録'!$D$5:$D$1004,L$4)=0,"—",IF(COUNTIFS('資格研修記録'!$A$5:$A$1004,$A204,'資格研修記録'!$D$5:$D$1004,L$4,'資格研修記録'!$F$5:$F$1004,"")+COUNTIFS('資格研修記録'!$A$5:$A$1004,$A204,'資格研修記録'!$D$5:$D$1004,L$4,'資格研修記録'!$F$5:$F$1004,"&gt;="&amp;TODAY())&gt;0,"○","× 期限切れ"))))</f>
        <v/>
      </c>
    </row>
  </sheetData>
  <autoFilter ref="A4:L204"/>
  <mergeCells count="1">
    <mergeCell ref="A1:D1"/>
  </mergeCells>
  <conditionalFormatting sqref="E5:L204">
    <cfRule type="expression" priority="1" dxfId="0">
      <formula>LEFT(E5,1)="×"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30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22" customWidth="1" min="4" max="4"/>
    <col width="12" customWidth="1" min="5" max="5"/>
    <col width="11" customWidth="1" min="6" max="6"/>
    <col width="9" customWidth="1" min="7" max="7"/>
    <col width="9" customWidth="1" min="8" max="8"/>
    <col width="12" customWidth="1" min="9" max="9"/>
    <col width="9" customWidth="1" min="10" max="10"/>
    <col width="8" customWidth="1" min="11" max="11"/>
    <col width="11" customWidth="1" min="12" max="12"/>
    <col hidden="1" width="13" customWidth="1" min="13" max="13"/>
  </cols>
  <sheetData>
    <row r="1" ht="34" customHeight="1">
      <c r="A1" s="1" t="inlineStr">
        <is>
          <t>潜水経歴簿</t>
        </is>
      </c>
      <c r="B1" s="2" t="n"/>
      <c r="C1" s="2" t="n"/>
      <c r="D1" s="2" t="n"/>
    </row>
    <row r="2">
      <c r="H2" s="10" t="inlineStr">
        <is>
          <t>出力日</t>
        </is>
      </c>
      <c r="I2" s="18">
        <f>TODAY()</f>
        <v/>
      </c>
    </row>
    <row r="4">
      <c r="B4" s="10" t="inlineStr">
        <is>
          <t>職員番号</t>
        </is>
      </c>
      <c r="C4" s="19" t="inlineStr">
        <is>
          <t>1002</t>
        </is>
      </c>
      <c r="D4" s="20" t="inlineStr">
        <is>
          <t>← プルダウンで選ぶ</t>
        </is>
      </c>
      <c r="E4" s="10" t="inlineStr">
        <is>
          <t>氏名</t>
        </is>
      </c>
      <c r="F4" s="21">
        <f>IF($C$4="","",IFERROR(INDEX('隊員マスタ'!$B$5:$B$204,MATCH($C$4&amp;"",'隊員マスタ'!$F$5:$F$204,0)),"番号なし"))</f>
        <v/>
      </c>
      <c r="H4" s="10" t="inlineStr">
        <is>
          <t>所属</t>
        </is>
      </c>
      <c r="I4" s="21">
        <f>IF($C$4="","",IFERROR(INDEX('隊員マスタ'!$C$5:$C$204,MATCH($C$4&amp;"",'隊員マスタ'!$F$5:$F$204,0)),""))</f>
        <v/>
      </c>
    </row>
    <row r="5">
      <c r="B5" s="10" t="inlineStr">
        <is>
          <t>潜水士免許</t>
        </is>
      </c>
      <c r="C5" s="21">
        <f>IF($C$4="","",IF(COUNTIFS('資格研修記録'!$A$5:$A$1004,$C$4,'資格研修記録'!$D$5:$D$1004,"潜水士免許")&gt;0,"有","無"))</f>
        <v/>
      </c>
      <c r="E5" s="10" t="inlineStr">
        <is>
          <t>水難救助研修</t>
        </is>
      </c>
      <c r="F5" s="21">
        <f>IF($C$4="","",IF(COUNTIFS('資格研修記録'!$A$5:$A$1004,$C$4,'資格研修記録'!$D$5:$D$1004,"水難救助研修")&gt;0,"修了","—"))</f>
        <v/>
      </c>
      <c r="H5" s="10" t="inlineStr">
        <is>
          <t>小型船舶</t>
        </is>
      </c>
      <c r="I5" s="21">
        <f>IF($C$4="","",IFERROR(INDEX('隊員一覧'!$G$8:$G$207,MATCH($C$4&amp;"",'隊員マスタ'!$F$5:$F$204,0)),""))</f>
        <v/>
      </c>
    </row>
    <row r="6">
      <c r="B6" s="10" t="inlineStr">
        <is>
          <t>累計本数</t>
        </is>
      </c>
      <c r="C6" s="22">
        <f>IF($C$4="",0,COUNTIF('潜水記録'!$B$5:$B$3004,$C$4))</f>
        <v/>
      </c>
      <c r="E6" s="10" t="inlineStr">
        <is>
          <t>累計潜水時間</t>
        </is>
      </c>
      <c r="F6" s="23">
        <f>IF($C$4="","",SUMIF('潜水記録'!$B$5:$B$3004,$C$4,'潜水記録'!$H$5:$H$3004))</f>
        <v/>
      </c>
      <c r="H6" s="10" t="inlineStr">
        <is>
          <t>最大水深</t>
        </is>
      </c>
      <c r="I6" s="24">
        <f>IF(OR($C$4="",$C$6=0),"",_xlfn.MAXIFS('潜水記録'!$G$5:$G$3004,'潜水記録'!$B$5:$B$3004,$C$4))</f>
        <v/>
      </c>
    </row>
    <row r="7">
      <c r="B7" s="10" t="inlineStr">
        <is>
          <t>最終潜水日</t>
        </is>
      </c>
      <c r="C7" s="18">
        <f>IF(OR($C$4="",$C$6=0),"",_xlfn.MAXIFS('潜水記録'!$A$5:$A$3004,'潜水記録'!$B$5:$B$3004,$C$4))</f>
        <v/>
      </c>
      <c r="E7" s="10" t="inlineStr">
        <is>
          <t>今年度本数</t>
        </is>
      </c>
      <c r="F7" s="22">
        <f>IF($C$4="","",COUNTIFS('潜水記録'!$B$5:$B$3004,$C$4,'潜水記録'!$AF$5:$AF$3004,YEAR(EDATE(TODAY(),-3))))</f>
        <v/>
      </c>
      <c r="H7" s="10" t="inlineStr">
        <is>
          <t>時間換算</t>
        </is>
      </c>
      <c r="I7" s="25">
        <f>IF(F6="","",ROUND(F6/60,1))</f>
        <v/>
      </c>
    </row>
    <row r="9" ht="32" customHeight="1">
      <c r="A9" s="13" t="inlineStr">
        <is>
          <t>No</t>
        </is>
      </c>
      <c r="B9" s="13" t="inlineStr">
        <is>
          <t>日付</t>
        </is>
      </c>
      <c r="C9" s="13" t="inlineStr">
        <is>
          <t>区分</t>
        </is>
      </c>
      <c r="D9" s="13" t="inlineStr">
        <is>
          <t>事案・訓練名</t>
        </is>
      </c>
      <c r="E9" s="13" t="inlineStr">
        <is>
          <t>地点</t>
        </is>
      </c>
      <c r="F9" s="13" t="inlineStr">
        <is>
          <t>最大水深(m)</t>
        </is>
      </c>
      <c r="G9" s="13" t="inlineStr">
        <is>
          <t>潜水時間(分)</t>
        </is>
      </c>
      <c r="H9" s="13" t="inlineStr">
        <is>
          <t>水面休息(分)</t>
        </is>
      </c>
      <c r="I9" s="13" t="inlineStr">
        <is>
          <t>グループ</t>
        </is>
      </c>
      <c r="J9" s="13" t="inlineStr">
        <is>
          <t>減圧停止(表の判定)</t>
        </is>
      </c>
      <c r="K9" s="13" t="inlineStr">
        <is>
          <t>体調異常</t>
        </is>
      </c>
      <c r="L9" s="13" t="inlineStr">
        <is>
          <t>指揮者</t>
        </is>
      </c>
      <c r="M9" s="20" t="inlineStr">
        <is>
          <t>行（自動）</t>
        </is>
      </c>
    </row>
    <row r="10">
      <c r="A10" s="15">
        <f>IF(1&lt;=$C$6,1,"")</f>
        <v/>
      </c>
      <c r="B10" s="16">
        <f>IF($A10="","",IF(INDEX('潜水記録'!$A$5:$A$3004,$M10)="","",INDEX('潜水記録'!$A$5:$A$3004,$M10)))</f>
        <v/>
      </c>
      <c r="C10" s="15">
        <f>IF($A10="","",IF(INDEX('潜水記録'!$D$5:$D$3004,$M10)="","",INDEX('潜水記録'!$D$5:$D$3004,$M10)))</f>
        <v/>
      </c>
      <c r="D10" s="14">
        <f>IF($A10="","",IF(INDEX('潜水記録'!$E$5:$E$3004,$M10)="","",INDEX('潜水記録'!$E$5:$E$3004,$M10)))</f>
        <v/>
      </c>
      <c r="E10" s="14">
        <f>IF($A10="","",IF(INDEX('潜水記録'!$F$5:$F$3004,$M10)="","",INDEX('潜水記録'!$F$5:$F$3004,$M10)))</f>
        <v/>
      </c>
      <c r="F10" s="15">
        <f>IF($A10="","",IF(INDEX('潜水記録'!$G$5:$G$3004,$M10)="","",INDEX('潜水記録'!$G$5:$G$3004,$M10)))</f>
        <v/>
      </c>
      <c r="G10" s="15">
        <f>IF($A10="","",IF(INDEX('潜水記録'!$H$5:$H$3004,$M10)="","",INDEX('潜水記録'!$H$5:$H$3004,$M10)))</f>
        <v/>
      </c>
      <c r="H10" s="15">
        <f>IF($A10="","",IF(INDEX('潜水記録'!$I$5:$I$3004,$M10)="","",INDEX('潜水記録'!$I$5:$I$3004,$M10)))</f>
        <v/>
      </c>
      <c r="I10" s="15">
        <f>IF($A10="","",IF(INDEX('潜水記録'!$X$5:$X$3004,$M10)="","",INDEX('潜水記録'!$X$5:$X$3004,$M10)))</f>
        <v/>
      </c>
      <c r="J10" s="15">
        <f>IF($A10="","",IF(INDEX('潜水記録'!$O$5:$O$3004,$M10)="","",INDEX('潜水記録'!$O$5:$O$3004,$M10)))</f>
        <v/>
      </c>
      <c r="K10" s="15">
        <f>IF($A10="","",IF(INDEX('潜水記録'!$P$5:$P$3004,$M10)="","",INDEX('潜水記録'!$P$5:$P$3004,$M10)))</f>
        <v/>
      </c>
      <c r="L10" s="14">
        <f>IF($A10="","",IF(INDEX('潜水記録'!$Q$5:$Q$3004,$M10)="","",INDEX('潜水記録'!$Q$5:$Q$3004,$M10)))</f>
        <v/>
      </c>
      <c r="M10" s="20">
        <f>IF($A10="","",MATCH($A10,'潜水記録'!$AG$5:$AG$3004,0))</f>
        <v/>
      </c>
    </row>
    <row r="11">
      <c r="A11" s="15">
        <f>IF(2&lt;=$C$6,2,"")</f>
        <v/>
      </c>
      <c r="B11" s="16">
        <f>IF($A11="","",IF(INDEX('潜水記録'!$A$5:$A$3004,$M11)="","",INDEX('潜水記録'!$A$5:$A$3004,$M11)))</f>
        <v/>
      </c>
      <c r="C11" s="15">
        <f>IF($A11="","",IF(INDEX('潜水記録'!$D$5:$D$3004,$M11)="","",INDEX('潜水記録'!$D$5:$D$3004,$M11)))</f>
        <v/>
      </c>
      <c r="D11" s="14">
        <f>IF($A11="","",IF(INDEX('潜水記録'!$E$5:$E$3004,$M11)="","",INDEX('潜水記録'!$E$5:$E$3004,$M11)))</f>
        <v/>
      </c>
      <c r="E11" s="14">
        <f>IF($A11="","",IF(INDEX('潜水記録'!$F$5:$F$3004,$M11)="","",INDEX('潜水記録'!$F$5:$F$3004,$M11)))</f>
        <v/>
      </c>
      <c r="F11" s="15">
        <f>IF($A11="","",IF(INDEX('潜水記録'!$G$5:$G$3004,$M11)="","",INDEX('潜水記録'!$G$5:$G$3004,$M11)))</f>
        <v/>
      </c>
      <c r="G11" s="15">
        <f>IF($A11="","",IF(INDEX('潜水記録'!$H$5:$H$3004,$M11)="","",INDEX('潜水記録'!$H$5:$H$3004,$M11)))</f>
        <v/>
      </c>
      <c r="H11" s="15">
        <f>IF($A11="","",IF(INDEX('潜水記録'!$I$5:$I$3004,$M11)="","",INDEX('潜水記録'!$I$5:$I$3004,$M11)))</f>
        <v/>
      </c>
      <c r="I11" s="15">
        <f>IF($A11="","",IF(INDEX('潜水記録'!$X$5:$X$3004,$M11)="","",INDEX('潜水記録'!$X$5:$X$3004,$M11)))</f>
        <v/>
      </c>
      <c r="J11" s="15">
        <f>IF($A11="","",IF(INDEX('潜水記録'!$O$5:$O$3004,$M11)="","",INDEX('潜水記録'!$O$5:$O$3004,$M11)))</f>
        <v/>
      </c>
      <c r="K11" s="15">
        <f>IF($A11="","",IF(INDEX('潜水記録'!$P$5:$P$3004,$M11)="","",INDEX('潜水記録'!$P$5:$P$3004,$M11)))</f>
        <v/>
      </c>
      <c r="L11" s="14">
        <f>IF($A11="","",IF(INDEX('潜水記録'!$Q$5:$Q$3004,$M11)="","",INDEX('潜水記録'!$Q$5:$Q$3004,$M11)))</f>
        <v/>
      </c>
      <c r="M11" s="20">
        <f>IF($A11="","",MATCH($A11,'潜水記録'!$AG$5:$AG$3004,0))</f>
        <v/>
      </c>
    </row>
    <row r="12">
      <c r="A12" s="15">
        <f>IF(3&lt;=$C$6,3,"")</f>
        <v/>
      </c>
      <c r="B12" s="16">
        <f>IF($A12="","",IF(INDEX('潜水記録'!$A$5:$A$3004,$M12)="","",INDEX('潜水記録'!$A$5:$A$3004,$M12)))</f>
        <v/>
      </c>
      <c r="C12" s="15">
        <f>IF($A12="","",IF(INDEX('潜水記録'!$D$5:$D$3004,$M12)="","",INDEX('潜水記録'!$D$5:$D$3004,$M12)))</f>
        <v/>
      </c>
      <c r="D12" s="14">
        <f>IF($A12="","",IF(INDEX('潜水記録'!$E$5:$E$3004,$M12)="","",INDEX('潜水記録'!$E$5:$E$3004,$M12)))</f>
        <v/>
      </c>
      <c r="E12" s="14">
        <f>IF($A12="","",IF(INDEX('潜水記録'!$F$5:$F$3004,$M12)="","",INDEX('潜水記録'!$F$5:$F$3004,$M12)))</f>
        <v/>
      </c>
      <c r="F12" s="15">
        <f>IF($A12="","",IF(INDEX('潜水記録'!$G$5:$G$3004,$M12)="","",INDEX('潜水記録'!$G$5:$G$3004,$M12)))</f>
        <v/>
      </c>
      <c r="G12" s="15">
        <f>IF($A12="","",IF(INDEX('潜水記録'!$H$5:$H$3004,$M12)="","",INDEX('潜水記録'!$H$5:$H$3004,$M12)))</f>
        <v/>
      </c>
      <c r="H12" s="15">
        <f>IF($A12="","",IF(INDEX('潜水記録'!$I$5:$I$3004,$M12)="","",INDEX('潜水記録'!$I$5:$I$3004,$M12)))</f>
        <v/>
      </c>
      <c r="I12" s="15">
        <f>IF($A12="","",IF(INDEX('潜水記録'!$X$5:$X$3004,$M12)="","",INDEX('潜水記録'!$X$5:$X$3004,$M12)))</f>
        <v/>
      </c>
      <c r="J12" s="15">
        <f>IF($A12="","",IF(INDEX('潜水記録'!$O$5:$O$3004,$M12)="","",INDEX('潜水記録'!$O$5:$O$3004,$M12)))</f>
        <v/>
      </c>
      <c r="K12" s="15">
        <f>IF($A12="","",IF(INDEX('潜水記録'!$P$5:$P$3004,$M12)="","",INDEX('潜水記録'!$P$5:$P$3004,$M12)))</f>
        <v/>
      </c>
      <c r="L12" s="14">
        <f>IF($A12="","",IF(INDEX('潜水記録'!$Q$5:$Q$3004,$M12)="","",INDEX('潜水記録'!$Q$5:$Q$3004,$M12)))</f>
        <v/>
      </c>
      <c r="M12" s="20">
        <f>IF($A12="","",MATCH($A12,'潜水記録'!$AG$5:$AG$3004,0))</f>
        <v/>
      </c>
    </row>
    <row r="13">
      <c r="A13" s="15">
        <f>IF(4&lt;=$C$6,4,"")</f>
        <v/>
      </c>
      <c r="B13" s="16">
        <f>IF($A13="","",IF(INDEX('潜水記録'!$A$5:$A$3004,$M13)="","",INDEX('潜水記録'!$A$5:$A$3004,$M13)))</f>
        <v/>
      </c>
      <c r="C13" s="15">
        <f>IF($A13="","",IF(INDEX('潜水記録'!$D$5:$D$3004,$M13)="","",INDEX('潜水記録'!$D$5:$D$3004,$M13)))</f>
        <v/>
      </c>
      <c r="D13" s="14">
        <f>IF($A13="","",IF(INDEX('潜水記録'!$E$5:$E$3004,$M13)="","",INDEX('潜水記録'!$E$5:$E$3004,$M13)))</f>
        <v/>
      </c>
      <c r="E13" s="14">
        <f>IF($A13="","",IF(INDEX('潜水記録'!$F$5:$F$3004,$M13)="","",INDEX('潜水記録'!$F$5:$F$3004,$M13)))</f>
        <v/>
      </c>
      <c r="F13" s="15">
        <f>IF($A13="","",IF(INDEX('潜水記録'!$G$5:$G$3004,$M13)="","",INDEX('潜水記録'!$G$5:$G$3004,$M13)))</f>
        <v/>
      </c>
      <c r="G13" s="15">
        <f>IF($A13="","",IF(INDEX('潜水記録'!$H$5:$H$3004,$M13)="","",INDEX('潜水記録'!$H$5:$H$3004,$M13)))</f>
        <v/>
      </c>
      <c r="H13" s="15">
        <f>IF($A13="","",IF(INDEX('潜水記録'!$I$5:$I$3004,$M13)="","",INDEX('潜水記録'!$I$5:$I$3004,$M13)))</f>
        <v/>
      </c>
      <c r="I13" s="15">
        <f>IF($A13="","",IF(INDEX('潜水記録'!$X$5:$X$3004,$M13)="","",INDEX('潜水記録'!$X$5:$X$3004,$M13)))</f>
        <v/>
      </c>
      <c r="J13" s="15">
        <f>IF($A13="","",IF(INDEX('潜水記録'!$O$5:$O$3004,$M13)="","",INDEX('潜水記録'!$O$5:$O$3004,$M13)))</f>
        <v/>
      </c>
      <c r="K13" s="15">
        <f>IF($A13="","",IF(INDEX('潜水記録'!$P$5:$P$3004,$M13)="","",INDEX('潜水記録'!$P$5:$P$3004,$M13)))</f>
        <v/>
      </c>
      <c r="L13" s="14">
        <f>IF($A13="","",IF(INDEX('潜水記録'!$Q$5:$Q$3004,$M13)="","",INDEX('潜水記録'!$Q$5:$Q$3004,$M13)))</f>
        <v/>
      </c>
      <c r="M13" s="20">
        <f>IF($A13="","",MATCH($A13,'潜水記録'!$AG$5:$AG$3004,0))</f>
        <v/>
      </c>
    </row>
    <row r="14">
      <c r="A14" s="15">
        <f>IF(5&lt;=$C$6,5,"")</f>
        <v/>
      </c>
      <c r="B14" s="16">
        <f>IF($A14="","",IF(INDEX('潜水記録'!$A$5:$A$3004,$M14)="","",INDEX('潜水記録'!$A$5:$A$3004,$M14)))</f>
        <v/>
      </c>
      <c r="C14" s="15">
        <f>IF($A14="","",IF(INDEX('潜水記録'!$D$5:$D$3004,$M14)="","",INDEX('潜水記録'!$D$5:$D$3004,$M14)))</f>
        <v/>
      </c>
      <c r="D14" s="14">
        <f>IF($A14="","",IF(INDEX('潜水記録'!$E$5:$E$3004,$M14)="","",INDEX('潜水記録'!$E$5:$E$3004,$M14)))</f>
        <v/>
      </c>
      <c r="E14" s="14">
        <f>IF($A14="","",IF(INDEX('潜水記録'!$F$5:$F$3004,$M14)="","",INDEX('潜水記録'!$F$5:$F$3004,$M14)))</f>
        <v/>
      </c>
      <c r="F14" s="15">
        <f>IF($A14="","",IF(INDEX('潜水記録'!$G$5:$G$3004,$M14)="","",INDEX('潜水記録'!$G$5:$G$3004,$M14)))</f>
        <v/>
      </c>
      <c r="G14" s="15">
        <f>IF($A14="","",IF(INDEX('潜水記録'!$H$5:$H$3004,$M14)="","",INDEX('潜水記録'!$H$5:$H$3004,$M14)))</f>
        <v/>
      </c>
      <c r="H14" s="15">
        <f>IF($A14="","",IF(INDEX('潜水記録'!$I$5:$I$3004,$M14)="","",INDEX('潜水記録'!$I$5:$I$3004,$M14)))</f>
        <v/>
      </c>
      <c r="I14" s="15">
        <f>IF($A14="","",IF(INDEX('潜水記録'!$X$5:$X$3004,$M14)="","",INDEX('潜水記録'!$X$5:$X$3004,$M14)))</f>
        <v/>
      </c>
      <c r="J14" s="15">
        <f>IF($A14="","",IF(INDEX('潜水記録'!$O$5:$O$3004,$M14)="","",INDEX('潜水記録'!$O$5:$O$3004,$M14)))</f>
        <v/>
      </c>
      <c r="K14" s="15">
        <f>IF($A14="","",IF(INDEX('潜水記録'!$P$5:$P$3004,$M14)="","",INDEX('潜水記録'!$P$5:$P$3004,$M14)))</f>
        <v/>
      </c>
      <c r="L14" s="14">
        <f>IF($A14="","",IF(INDEX('潜水記録'!$Q$5:$Q$3004,$M14)="","",INDEX('潜水記録'!$Q$5:$Q$3004,$M14)))</f>
        <v/>
      </c>
      <c r="M14" s="20">
        <f>IF($A14="","",MATCH($A14,'潜水記録'!$AG$5:$AG$3004,0))</f>
        <v/>
      </c>
    </row>
    <row r="15">
      <c r="A15" s="15">
        <f>IF(6&lt;=$C$6,6,"")</f>
        <v/>
      </c>
      <c r="B15" s="16">
        <f>IF($A15="","",IF(INDEX('潜水記録'!$A$5:$A$3004,$M15)="","",INDEX('潜水記録'!$A$5:$A$3004,$M15)))</f>
        <v/>
      </c>
      <c r="C15" s="15">
        <f>IF($A15="","",IF(INDEX('潜水記録'!$D$5:$D$3004,$M15)="","",INDEX('潜水記録'!$D$5:$D$3004,$M15)))</f>
        <v/>
      </c>
      <c r="D15" s="14">
        <f>IF($A15="","",IF(INDEX('潜水記録'!$E$5:$E$3004,$M15)="","",INDEX('潜水記録'!$E$5:$E$3004,$M15)))</f>
        <v/>
      </c>
      <c r="E15" s="14">
        <f>IF($A15="","",IF(INDEX('潜水記録'!$F$5:$F$3004,$M15)="","",INDEX('潜水記録'!$F$5:$F$3004,$M15)))</f>
        <v/>
      </c>
      <c r="F15" s="15">
        <f>IF($A15="","",IF(INDEX('潜水記録'!$G$5:$G$3004,$M15)="","",INDEX('潜水記録'!$G$5:$G$3004,$M15)))</f>
        <v/>
      </c>
      <c r="G15" s="15">
        <f>IF($A15="","",IF(INDEX('潜水記録'!$H$5:$H$3004,$M15)="","",INDEX('潜水記録'!$H$5:$H$3004,$M15)))</f>
        <v/>
      </c>
      <c r="H15" s="15">
        <f>IF($A15="","",IF(INDEX('潜水記録'!$I$5:$I$3004,$M15)="","",INDEX('潜水記録'!$I$5:$I$3004,$M15)))</f>
        <v/>
      </c>
      <c r="I15" s="15">
        <f>IF($A15="","",IF(INDEX('潜水記録'!$X$5:$X$3004,$M15)="","",INDEX('潜水記録'!$X$5:$X$3004,$M15)))</f>
        <v/>
      </c>
      <c r="J15" s="15">
        <f>IF($A15="","",IF(INDEX('潜水記録'!$O$5:$O$3004,$M15)="","",INDEX('潜水記録'!$O$5:$O$3004,$M15)))</f>
        <v/>
      </c>
      <c r="K15" s="15">
        <f>IF($A15="","",IF(INDEX('潜水記録'!$P$5:$P$3004,$M15)="","",INDEX('潜水記録'!$P$5:$P$3004,$M15)))</f>
        <v/>
      </c>
      <c r="L15" s="14">
        <f>IF($A15="","",IF(INDEX('潜水記録'!$Q$5:$Q$3004,$M15)="","",INDEX('潜水記録'!$Q$5:$Q$3004,$M15)))</f>
        <v/>
      </c>
      <c r="M15" s="20">
        <f>IF($A15="","",MATCH($A15,'潜水記録'!$AG$5:$AG$3004,0))</f>
        <v/>
      </c>
    </row>
    <row r="16">
      <c r="A16" s="15">
        <f>IF(7&lt;=$C$6,7,"")</f>
        <v/>
      </c>
      <c r="B16" s="16">
        <f>IF($A16="","",IF(INDEX('潜水記録'!$A$5:$A$3004,$M16)="","",INDEX('潜水記録'!$A$5:$A$3004,$M16)))</f>
        <v/>
      </c>
      <c r="C16" s="15">
        <f>IF($A16="","",IF(INDEX('潜水記録'!$D$5:$D$3004,$M16)="","",INDEX('潜水記録'!$D$5:$D$3004,$M16)))</f>
        <v/>
      </c>
      <c r="D16" s="14">
        <f>IF($A16="","",IF(INDEX('潜水記録'!$E$5:$E$3004,$M16)="","",INDEX('潜水記録'!$E$5:$E$3004,$M16)))</f>
        <v/>
      </c>
      <c r="E16" s="14">
        <f>IF($A16="","",IF(INDEX('潜水記録'!$F$5:$F$3004,$M16)="","",INDEX('潜水記録'!$F$5:$F$3004,$M16)))</f>
        <v/>
      </c>
      <c r="F16" s="15">
        <f>IF($A16="","",IF(INDEX('潜水記録'!$G$5:$G$3004,$M16)="","",INDEX('潜水記録'!$G$5:$G$3004,$M16)))</f>
        <v/>
      </c>
      <c r="G16" s="15">
        <f>IF($A16="","",IF(INDEX('潜水記録'!$H$5:$H$3004,$M16)="","",INDEX('潜水記録'!$H$5:$H$3004,$M16)))</f>
        <v/>
      </c>
      <c r="H16" s="15">
        <f>IF($A16="","",IF(INDEX('潜水記録'!$I$5:$I$3004,$M16)="","",INDEX('潜水記録'!$I$5:$I$3004,$M16)))</f>
        <v/>
      </c>
      <c r="I16" s="15">
        <f>IF($A16="","",IF(INDEX('潜水記録'!$X$5:$X$3004,$M16)="","",INDEX('潜水記録'!$X$5:$X$3004,$M16)))</f>
        <v/>
      </c>
      <c r="J16" s="15">
        <f>IF($A16="","",IF(INDEX('潜水記録'!$O$5:$O$3004,$M16)="","",INDEX('潜水記録'!$O$5:$O$3004,$M16)))</f>
        <v/>
      </c>
      <c r="K16" s="15">
        <f>IF($A16="","",IF(INDEX('潜水記録'!$P$5:$P$3004,$M16)="","",INDEX('潜水記録'!$P$5:$P$3004,$M16)))</f>
        <v/>
      </c>
      <c r="L16" s="14">
        <f>IF($A16="","",IF(INDEX('潜水記録'!$Q$5:$Q$3004,$M16)="","",INDEX('潜水記録'!$Q$5:$Q$3004,$M16)))</f>
        <v/>
      </c>
      <c r="M16" s="20">
        <f>IF($A16="","",MATCH($A16,'潜水記録'!$AG$5:$AG$3004,0))</f>
        <v/>
      </c>
    </row>
    <row r="17">
      <c r="A17" s="15">
        <f>IF(8&lt;=$C$6,8,"")</f>
        <v/>
      </c>
      <c r="B17" s="16">
        <f>IF($A17="","",IF(INDEX('潜水記録'!$A$5:$A$3004,$M17)="","",INDEX('潜水記録'!$A$5:$A$3004,$M17)))</f>
        <v/>
      </c>
      <c r="C17" s="15">
        <f>IF($A17="","",IF(INDEX('潜水記録'!$D$5:$D$3004,$M17)="","",INDEX('潜水記録'!$D$5:$D$3004,$M17)))</f>
        <v/>
      </c>
      <c r="D17" s="14">
        <f>IF($A17="","",IF(INDEX('潜水記録'!$E$5:$E$3004,$M17)="","",INDEX('潜水記録'!$E$5:$E$3004,$M17)))</f>
        <v/>
      </c>
      <c r="E17" s="14">
        <f>IF($A17="","",IF(INDEX('潜水記録'!$F$5:$F$3004,$M17)="","",INDEX('潜水記録'!$F$5:$F$3004,$M17)))</f>
        <v/>
      </c>
      <c r="F17" s="15">
        <f>IF($A17="","",IF(INDEX('潜水記録'!$G$5:$G$3004,$M17)="","",INDEX('潜水記録'!$G$5:$G$3004,$M17)))</f>
        <v/>
      </c>
      <c r="G17" s="15">
        <f>IF($A17="","",IF(INDEX('潜水記録'!$H$5:$H$3004,$M17)="","",INDEX('潜水記録'!$H$5:$H$3004,$M17)))</f>
        <v/>
      </c>
      <c r="H17" s="15">
        <f>IF($A17="","",IF(INDEX('潜水記録'!$I$5:$I$3004,$M17)="","",INDEX('潜水記録'!$I$5:$I$3004,$M17)))</f>
        <v/>
      </c>
      <c r="I17" s="15">
        <f>IF($A17="","",IF(INDEX('潜水記録'!$X$5:$X$3004,$M17)="","",INDEX('潜水記録'!$X$5:$X$3004,$M17)))</f>
        <v/>
      </c>
      <c r="J17" s="15">
        <f>IF($A17="","",IF(INDEX('潜水記録'!$O$5:$O$3004,$M17)="","",INDEX('潜水記録'!$O$5:$O$3004,$M17)))</f>
        <v/>
      </c>
      <c r="K17" s="15">
        <f>IF($A17="","",IF(INDEX('潜水記録'!$P$5:$P$3004,$M17)="","",INDEX('潜水記録'!$P$5:$P$3004,$M17)))</f>
        <v/>
      </c>
      <c r="L17" s="14">
        <f>IF($A17="","",IF(INDEX('潜水記録'!$Q$5:$Q$3004,$M17)="","",INDEX('潜水記録'!$Q$5:$Q$3004,$M17)))</f>
        <v/>
      </c>
      <c r="M17" s="20">
        <f>IF($A17="","",MATCH($A17,'潜水記録'!$AG$5:$AG$3004,0))</f>
        <v/>
      </c>
    </row>
    <row r="18">
      <c r="A18" s="15">
        <f>IF(9&lt;=$C$6,9,"")</f>
        <v/>
      </c>
      <c r="B18" s="16">
        <f>IF($A18="","",IF(INDEX('潜水記録'!$A$5:$A$3004,$M18)="","",INDEX('潜水記録'!$A$5:$A$3004,$M18)))</f>
        <v/>
      </c>
      <c r="C18" s="15">
        <f>IF($A18="","",IF(INDEX('潜水記録'!$D$5:$D$3004,$M18)="","",INDEX('潜水記録'!$D$5:$D$3004,$M18)))</f>
        <v/>
      </c>
      <c r="D18" s="14">
        <f>IF($A18="","",IF(INDEX('潜水記録'!$E$5:$E$3004,$M18)="","",INDEX('潜水記録'!$E$5:$E$3004,$M18)))</f>
        <v/>
      </c>
      <c r="E18" s="14">
        <f>IF($A18="","",IF(INDEX('潜水記録'!$F$5:$F$3004,$M18)="","",INDEX('潜水記録'!$F$5:$F$3004,$M18)))</f>
        <v/>
      </c>
      <c r="F18" s="15">
        <f>IF($A18="","",IF(INDEX('潜水記録'!$G$5:$G$3004,$M18)="","",INDEX('潜水記録'!$G$5:$G$3004,$M18)))</f>
        <v/>
      </c>
      <c r="G18" s="15">
        <f>IF($A18="","",IF(INDEX('潜水記録'!$H$5:$H$3004,$M18)="","",INDEX('潜水記録'!$H$5:$H$3004,$M18)))</f>
        <v/>
      </c>
      <c r="H18" s="15">
        <f>IF($A18="","",IF(INDEX('潜水記録'!$I$5:$I$3004,$M18)="","",INDEX('潜水記録'!$I$5:$I$3004,$M18)))</f>
        <v/>
      </c>
      <c r="I18" s="15">
        <f>IF($A18="","",IF(INDEX('潜水記録'!$X$5:$X$3004,$M18)="","",INDEX('潜水記録'!$X$5:$X$3004,$M18)))</f>
        <v/>
      </c>
      <c r="J18" s="15">
        <f>IF($A18="","",IF(INDEX('潜水記録'!$O$5:$O$3004,$M18)="","",INDEX('潜水記録'!$O$5:$O$3004,$M18)))</f>
        <v/>
      </c>
      <c r="K18" s="15">
        <f>IF($A18="","",IF(INDEX('潜水記録'!$P$5:$P$3004,$M18)="","",INDEX('潜水記録'!$P$5:$P$3004,$M18)))</f>
        <v/>
      </c>
      <c r="L18" s="14">
        <f>IF($A18="","",IF(INDEX('潜水記録'!$Q$5:$Q$3004,$M18)="","",INDEX('潜水記録'!$Q$5:$Q$3004,$M18)))</f>
        <v/>
      </c>
      <c r="M18" s="20">
        <f>IF($A18="","",MATCH($A18,'潜水記録'!$AG$5:$AG$3004,0))</f>
        <v/>
      </c>
    </row>
    <row r="19">
      <c r="A19" s="15">
        <f>IF(10&lt;=$C$6,10,"")</f>
        <v/>
      </c>
      <c r="B19" s="16">
        <f>IF($A19="","",IF(INDEX('潜水記録'!$A$5:$A$3004,$M19)="","",INDEX('潜水記録'!$A$5:$A$3004,$M19)))</f>
        <v/>
      </c>
      <c r="C19" s="15">
        <f>IF($A19="","",IF(INDEX('潜水記録'!$D$5:$D$3004,$M19)="","",INDEX('潜水記録'!$D$5:$D$3004,$M19)))</f>
        <v/>
      </c>
      <c r="D19" s="14">
        <f>IF($A19="","",IF(INDEX('潜水記録'!$E$5:$E$3004,$M19)="","",INDEX('潜水記録'!$E$5:$E$3004,$M19)))</f>
        <v/>
      </c>
      <c r="E19" s="14">
        <f>IF($A19="","",IF(INDEX('潜水記録'!$F$5:$F$3004,$M19)="","",INDEX('潜水記録'!$F$5:$F$3004,$M19)))</f>
        <v/>
      </c>
      <c r="F19" s="15">
        <f>IF($A19="","",IF(INDEX('潜水記録'!$G$5:$G$3004,$M19)="","",INDEX('潜水記録'!$G$5:$G$3004,$M19)))</f>
        <v/>
      </c>
      <c r="G19" s="15">
        <f>IF($A19="","",IF(INDEX('潜水記録'!$H$5:$H$3004,$M19)="","",INDEX('潜水記録'!$H$5:$H$3004,$M19)))</f>
        <v/>
      </c>
      <c r="H19" s="15">
        <f>IF($A19="","",IF(INDEX('潜水記録'!$I$5:$I$3004,$M19)="","",INDEX('潜水記録'!$I$5:$I$3004,$M19)))</f>
        <v/>
      </c>
      <c r="I19" s="15">
        <f>IF($A19="","",IF(INDEX('潜水記録'!$X$5:$X$3004,$M19)="","",INDEX('潜水記録'!$X$5:$X$3004,$M19)))</f>
        <v/>
      </c>
      <c r="J19" s="15">
        <f>IF($A19="","",IF(INDEX('潜水記録'!$O$5:$O$3004,$M19)="","",INDEX('潜水記録'!$O$5:$O$3004,$M19)))</f>
        <v/>
      </c>
      <c r="K19" s="15">
        <f>IF($A19="","",IF(INDEX('潜水記録'!$P$5:$P$3004,$M19)="","",INDEX('潜水記録'!$P$5:$P$3004,$M19)))</f>
        <v/>
      </c>
      <c r="L19" s="14">
        <f>IF($A19="","",IF(INDEX('潜水記録'!$Q$5:$Q$3004,$M19)="","",INDEX('潜水記録'!$Q$5:$Q$3004,$M19)))</f>
        <v/>
      </c>
      <c r="M19" s="20">
        <f>IF($A19="","",MATCH($A19,'潜水記録'!$AG$5:$AG$3004,0))</f>
        <v/>
      </c>
    </row>
    <row r="20">
      <c r="A20" s="15">
        <f>IF(11&lt;=$C$6,11,"")</f>
        <v/>
      </c>
      <c r="B20" s="16">
        <f>IF($A20="","",IF(INDEX('潜水記録'!$A$5:$A$3004,$M20)="","",INDEX('潜水記録'!$A$5:$A$3004,$M20)))</f>
        <v/>
      </c>
      <c r="C20" s="15">
        <f>IF($A20="","",IF(INDEX('潜水記録'!$D$5:$D$3004,$M20)="","",INDEX('潜水記録'!$D$5:$D$3004,$M20)))</f>
        <v/>
      </c>
      <c r="D20" s="14">
        <f>IF($A20="","",IF(INDEX('潜水記録'!$E$5:$E$3004,$M20)="","",INDEX('潜水記録'!$E$5:$E$3004,$M20)))</f>
        <v/>
      </c>
      <c r="E20" s="14">
        <f>IF($A20="","",IF(INDEX('潜水記録'!$F$5:$F$3004,$M20)="","",INDEX('潜水記録'!$F$5:$F$3004,$M20)))</f>
        <v/>
      </c>
      <c r="F20" s="15">
        <f>IF($A20="","",IF(INDEX('潜水記録'!$G$5:$G$3004,$M20)="","",INDEX('潜水記録'!$G$5:$G$3004,$M20)))</f>
        <v/>
      </c>
      <c r="G20" s="15">
        <f>IF($A20="","",IF(INDEX('潜水記録'!$H$5:$H$3004,$M20)="","",INDEX('潜水記録'!$H$5:$H$3004,$M20)))</f>
        <v/>
      </c>
      <c r="H20" s="15">
        <f>IF($A20="","",IF(INDEX('潜水記録'!$I$5:$I$3004,$M20)="","",INDEX('潜水記録'!$I$5:$I$3004,$M20)))</f>
        <v/>
      </c>
      <c r="I20" s="15">
        <f>IF($A20="","",IF(INDEX('潜水記録'!$X$5:$X$3004,$M20)="","",INDEX('潜水記録'!$X$5:$X$3004,$M20)))</f>
        <v/>
      </c>
      <c r="J20" s="15">
        <f>IF($A20="","",IF(INDEX('潜水記録'!$O$5:$O$3004,$M20)="","",INDEX('潜水記録'!$O$5:$O$3004,$M20)))</f>
        <v/>
      </c>
      <c r="K20" s="15">
        <f>IF($A20="","",IF(INDEX('潜水記録'!$P$5:$P$3004,$M20)="","",INDEX('潜水記録'!$P$5:$P$3004,$M20)))</f>
        <v/>
      </c>
      <c r="L20" s="14">
        <f>IF($A20="","",IF(INDEX('潜水記録'!$Q$5:$Q$3004,$M20)="","",INDEX('潜水記録'!$Q$5:$Q$3004,$M20)))</f>
        <v/>
      </c>
      <c r="M20" s="20">
        <f>IF($A20="","",MATCH($A20,'潜水記録'!$AG$5:$AG$3004,0))</f>
        <v/>
      </c>
    </row>
    <row r="21">
      <c r="A21" s="15">
        <f>IF(12&lt;=$C$6,12,"")</f>
        <v/>
      </c>
      <c r="B21" s="16">
        <f>IF($A21="","",IF(INDEX('潜水記録'!$A$5:$A$3004,$M21)="","",INDEX('潜水記録'!$A$5:$A$3004,$M21)))</f>
        <v/>
      </c>
      <c r="C21" s="15">
        <f>IF($A21="","",IF(INDEX('潜水記録'!$D$5:$D$3004,$M21)="","",INDEX('潜水記録'!$D$5:$D$3004,$M21)))</f>
        <v/>
      </c>
      <c r="D21" s="14">
        <f>IF($A21="","",IF(INDEX('潜水記録'!$E$5:$E$3004,$M21)="","",INDEX('潜水記録'!$E$5:$E$3004,$M21)))</f>
        <v/>
      </c>
      <c r="E21" s="14">
        <f>IF($A21="","",IF(INDEX('潜水記録'!$F$5:$F$3004,$M21)="","",INDEX('潜水記録'!$F$5:$F$3004,$M21)))</f>
        <v/>
      </c>
      <c r="F21" s="15">
        <f>IF($A21="","",IF(INDEX('潜水記録'!$G$5:$G$3004,$M21)="","",INDEX('潜水記録'!$G$5:$G$3004,$M21)))</f>
        <v/>
      </c>
      <c r="G21" s="15">
        <f>IF($A21="","",IF(INDEX('潜水記録'!$H$5:$H$3004,$M21)="","",INDEX('潜水記録'!$H$5:$H$3004,$M21)))</f>
        <v/>
      </c>
      <c r="H21" s="15">
        <f>IF($A21="","",IF(INDEX('潜水記録'!$I$5:$I$3004,$M21)="","",INDEX('潜水記録'!$I$5:$I$3004,$M21)))</f>
        <v/>
      </c>
      <c r="I21" s="15">
        <f>IF($A21="","",IF(INDEX('潜水記録'!$X$5:$X$3004,$M21)="","",INDEX('潜水記録'!$X$5:$X$3004,$M21)))</f>
        <v/>
      </c>
      <c r="J21" s="15">
        <f>IF($A21="","",IF(INDEX('潜水記録'!$O$5:$O$3004,$M21)="","",INDEX('潜水記録'!$O$5:$O$3004,$M21)))</f>
        <v/>
      </c>
      <c r="K21" s="15">
        <f>IF($A21="","",IF(INDEX('潜水記録'!$P$5:$P$3004,$M21)="","",INDEX('潜水記録'!$P$5:$P$3004,$M21)))</f>
        <v/>
      </c>
      <c r="L21" s="14">
        <f>IF($A21="","",IF(INDEX('潜水記録'!$Q$5:$Q$3004,$M21)="","",INDEX('潜水記録'!$Q$5:$Q$3004,$M21)))</f>
        <v/>
      </c>
      <c r="M21" s="20">
        <f>IF($A21="","",MATCH($A21,'潜水記録'!$AG$5:$AG$3004,0))</f>
        <v/>
      </c>
    </row>
    <row r="22">
      <c r="A22" s="15">
        <f>IF(13&lt;=$C$6,13,"")</f>
        <v/>
      </c>
      <c r="B22" s="16">
        <f>IF($A22="","",IF(INDEX('潜水記録'!$A$5:$A$3004,$M22)="","",INDEX('潜水記録'!$A$5:$A$3004,$M22)))</f>
        <v/>
      </c>
      <c r="C22" s="15">
        <f>IF($A22="","",IF(INDEX('潜水記録'!$D$5:$D$3004,$M22)="","",INDEX('潜水記録'!$D$5:$D$3004,$M22)))</f>
        <v/>
      </c>
      <c r="D22" s="14">
        <f>IF($A22="","",IF(INDEX('潜水記録'!$E$5:$E$3004,$M22)="","",INDEX('潜水記録'!$E$5:$E$3004,$M22)))</f>
        <v/>
      </c>
      <c r="E22" s="14">
        <f>IF($A22="","",IF(INDEX('潜水記録'!$F$5:$F$3004,$M22)="","",INDEX('潜水記録'!$F$5:$F$3004,$M22)))</f>
        <v/>
      </c>
      <c r="F22" s="15">
        <f>IF($A22="","",IF(INDEX('潜水記録'!$G$5:$G$3004,$M22)="","",INDEX('潜水記録'!$G$5:$G$3004,$M22)))</f>
        <v/>
      </c>
      <c r="G22" s="15">
        <f>IF($A22="","",IF(INDEX('潜水記録'!$H$5:$H$3004,$M22)="","",INDEX('潜水記録'!$H$5:$H$3004,$M22)))</f>
        <v/>
      </c>
      <c r="H22" s="15">
        <f>IF($A22="","",IF(INDEX('潜水記録'!$I$5:$I$3004,$M22)="","",INDEX('潜水記録'!$I$5:$I$3004,$M22)))</f>
        <v/>
      </c>
      <c r="I22" s="15">
        <f>IF($A22="","",IF(INDEX('潜水記録'!$X$5:$X$3004,$M22)="","",INDEX('潜水記録'!$X$5:$X$3004,$M22)))</f>
        <v/>
      </c>
      <c r="J22" s="15">
        <f>IF($A22="","",IF(INDEX('潜水記録'!$O$5:$O$3004,$M22)="","",INDEX('潜水記録'!$O$5:$O$3004,$M22)))</f>
        <v/>
      </c>
      <c r="K22" s="15">
        <f>IF($A22="","",IF(INDEX('潜水記録'!$P$5:$P$3004,$M22)="","",INDEX('潜水記録'!$P$5:$P$3004,$M22)))</f>
        <v/>
      </c>
      <c r="L22" s="14">
        <f>IF($A22="","",IF(INDEX('潜水記録'!$Q$5:$Q$3004,$M22)="","",INDEX('潜水記録'!$Q$5:$Q$3004,$M22)))</f>
        <v/>
      </c>
      <c r="M22" s="20">
        <f>IF($A22="","",MATCH($A22,'潜水記録'!$AG$5:$AG$3004,0))</f>
        <v/>
      </c>
    </row>
    <row r="23">
      <c r="A23" s="15">
        <f>IF(14&lt;=$C$6,14,"")</f>
        <v/>
      </c>
      <c r="B23" s="16">
        <f>IF($A23="","",IF(INDEX('潜水記録'!$A$5:$A$3004,$M23)="","",INDEX('潜水記録'!$A$5:$A$3004,$M23)))</f>
        <v/>
      </c>
      <c r="C23" s="15">
        <f>IF($A23="","",IF(INDEX('潜水記録'!$D$5:$D$3004,$M23)="","",INDEX('潜水記録'!$D$5:$D$3004,$M23)))</f>
        <v/>
      </c>
      <c r="D23" s="14">
        <f>IF($A23="","",IF(INDEX('潜水記録'!$E$5:$E$3004,$M23)="","",INDEX('潜水記録'!$E$5:$E$3004,$M23)))</f>
        <v/>
      </c>
      <c r="E23" s="14">
        <f>IF($A23="","",IF(INDEX('潜水記録'!$F$5:$F$3004,$M23)="","",INDEX('潜水記録'!$F$5:$F$3004,$M23)))</f>
        <v/>
      </c>
      <c r="F23" s="15">
        <f>IF($A23="","",IF(INDEX('潜水記録'!$G$5:$G$3004,$M23)="","",INDEX('潜水記録'!$G$5:$G$3004,$M23)))</f>
        <v/>
      </c>
      <c r="G23" s="15">
        <f>IF($A23="","",IF(INDEX('潜水記録'!$H$5:$H$3004,$M23)="","",INDEX('潜水記録'!$H$5:$H$3004,$M23)))</f>
        <v/>
      </c>
      <c r="H23" s="15">
        <f>IF($A23="","",IF(INDEX('潜水記録'!$I$5:$I$3004,$M23)="","",INDEX('潜水記録'!$I$5:$I$3004,$M23)))</f>
        <v/>
      </c>
      <c r="I23" s="15">
        <f>IF($A23="","",IF(INDEX('潜水記録'!$X$5:$X$3004,$M23)="","",INDEX('潜水記録'!$X$5:$X$3004,$M23)))</f>
        <v/>
      </c>
      <c r="J23" s="15">
        <f>IF($A23="","",IF(INDEX('潜水記録'!$O$5:$O$3004,$M23)="","",INDEX('潜水記録'!$O$5:$O$3004,$M23)))</f>
        <v/>
      </c>
      <c r="K23" s="15">
        <f>IF($A23="","",IF(INDEX('潜水記録'!$P$5:$P$3004,$M23)="","",INDEX('潜水記録'!$P$5:$P$3004,$M23)))</f>
        <v/>
      </c>
      <c r="L23" s="14">
        <f>IF($A23="","",IF(INDEX('潜水記録'!$Q$5:$Q$3004,$M23)="","",INDEX('潜水記録'!$Q$5:$Q$3004,$M23)))</f>
        <v/>
      </c>
      <c r="M23" s="20">
        <f>IF($A23="","",MATCH($A23,'潜水記録'!$AG$5:$AG$3004,0))</f>
        <v/>
      </c>
    </row>
    <row r="24">
      <c r="A24" s="15">
        <f>IF(15&lt;=$C$6,15,"")</f>
        <v/>
      </c>
      <c r="B24" s="16">
        <f>IF($A24="","",IF(INDEX('潜水記録'!$A$5:$A$3004,$M24)="","",INDEX('潜水記録'!$A$5:$A$3004,$M24)))</f>
        <v/>
      </c>
      <c r="C24" s="15">
        <f>IF($A24="","",IF(INDEX('潜水記録'!$D$5:$D$3004,$M24)="","",INDEX('潜水記録'!$D$5:$D$3004,$M24)))</f>
        <v/>
      </c>
      <c r="D24" s="14">
        <f>IF($A24="","",IF(INDEX('潜水記録'!$E$5:$E$3004,$M24)="","",INDEX('潜水記録'!$E$5:$E$3004,$M24)))</f>
        <v/>
      </c>
      <c r="E24" s="14">
        <f>IF($A24="","",IF(INDEX('潜水記録'!$F$5:$F$3004,$M24)="","",INDEX('潜水記録'!$F$5:$F$3004,$M24)))</f>
        <v/>
      </c>
      <c r="F24" s="15">
        <f>IF($A24="","",IF(INDEX('潜水記録'!$G$5:$G$3004,$M24)="","",INDEX('潜水記録'!$G$5:$G$3004,$M24)))</f>
        <v/>
      </c>
      <c r="G24" s="15">
        <f>IF($A24="","",IF(INDEX('潜水記録'!$H$5:$H$3004,$M24)="","",INDEX('潜水記録'!$H$5:$H$3004,$M24)))</f>
        <v/>
      </c>
      <c r="H24" s="15">
        <f>IF($A24="","",IF(INDEX('潜水記録'!$I$5:$I$3004,$M24)="","",INDEX('潜水記録'!$I$5:$I$3004,$M24)))</f>
        <v/>
      </c>
      <c r="I24" s="15">
        <f>IF($A24="","",IF(INDEX('潜水記録'!$X$5:$X$3004,$M24)="","",INDEX('潜水記録'!$X$5:$X$3004,$M24)))</f>
        <v/>
      </c>
      <c r="J24" s="15">
        <f>IF($A24="","",IF(INDEX('潜水記録'!$O$5:$O$3004,$M24)="","",INDEX('潜水記録'!$O$5:$O$3004,$M24)))</f>
        <v/>
      </c>
      <c r="K24" s="15">
        <f>IF($A24="","",IF(INDEX('潜水記録'!$P$5:$P$3004,$M24)="","",INDEX('潜水記録'!$P$5:$P$3004,$M24)))</f>
        <v/>
      </c>
      <c r="L24" s="14">
        <f>IF($A24="","",IF(INDEX('潜水記録'!$Q$5:$Q$3004,$M24)="","",INDEX('潜水記録'!$Q$5:$Q$3004,$M24)))</f>
        <v/>
      </c>
      <c r="M24" s="20">
        <f>IF($A24="","",MATCH($A24,'潜水記録'!$AG$5:$AG$3004,0))</f>
        <v/>
      </c>
    </row>
    <row r="25">
      <c r="A25" s="15">
        <f>IF(16&lt;=$C$6,16,"")</f>
        <v/>
      </c>
      <c r="B25" s="16">
        <f>IF($A25="","",IF(INDEX('潜水記録'!$A$5:$A$3004,$M25)="","",INDEX('潜水記録'!$A$5:$A$3004,$M25)))</f>
        <v/>
      </c>
      <c r="C25" s="15">
        <f>IF($A25="","",IF(INDEX('潜水記録'!$D$5:$D$3004,$M25)="","",INDEX('潜水記録'!$D$5:$D$3004,$M25)))</f>
        <v/>
      </c>
      <c r="D25" s="14">
        <f>IF($A25="","",IF(INDEX('潜水記録'!$E$5:$E$3004,$M25)="","",INDEX('潜水記録'!$E$5:$E$3004,$M25)))</f>
        <v/>
      </c>
      <c r="E25" s="14">
        <f>IF($A25="","",IF(INDEX('潜水記録'!$F$5:$F$3004,$M25)="","",INDEX('潜水記録'!$F$5:$F$3004,$M25)))</f>
        <v/>
      </c>
      <c r="F25" s="15">
        <f>IF($A25="","",IF(INDEX('潜水記録'!$G$5:$G$3004,$M25)="","",INDEX('潜水記録'!$G$5:$G$3004,$M25)))</f>
        <v/>
      </c>
      <c r="G25" s="15">
        <f>IF($A25="","",IF(INDEX('潜水記録'!$H$5:$H$3004,$M25)="","",INDEX('潜水記録'!$H$5:$H$3004,$M25)))</f>
        <v/>
      </c>
      <c r="H25" s="15">
        <f>IF($A25="","",IF(INDEX('潜水記録'!$I$5:$I$3004,$M25)="","",INDEX('潜水記録'!$I$5:$I$3004,$M25)))</f>
        <v/>
      </c>
      <c r="I25" s="15">
        <f>IF($A25="","",IF(INDEX('潜水記録'!$X$5:$X$3004,$M25)="","",INDEX('潜水記録'!$X$5:$X$3004,$M25)))</f>
        <v/>
      </c>
      <c r="J25" s="15">
        <f>IF($A25="","",IF(INDEX('潜水記録'!$O$5:$O$3004,$M25)="","",INDEX('潜水記録'!$O$5:$O$3004,$M25)))</f>
        <v/>
      </c>
      <c r="K25" s="15">
        <f>IF($A25="","",IF(INDEX('潜水記録'!$P$5:$P$3004,$M25)="","",INDEX('潜水記録'!$P$5:$P$3004,$M25)))</f>
        <v/>
      </c>
      <c r="L25" s="14">
        <f>IF($A25="","",IF(INDEX('潜水記録'!$Q$5:$Q$3004,$M25)="","",INDEX('潜水記録'!$Q$5:$Q$3004,$M25)))</f>
        <v/>
      </c>
      <c r="M25" s="20">
        <f>IF($A25="","",MATCH($A25,'潜水記録'!$AG$5:$AG$3004,0))</f>
        <v/>
      </c>
    </row>
    <row r="26">
      <c r="A26" s="15">
        <f>IF(17&lt;=$C$6,17,"")</f>
        <v/>
      </c>
      <c r="B26" s="16">
        <f>IF($A26="","",IF(INDEX('潜水記録'!$A$5:$A$3004,$M26)="","",INDEX('潜水記録'!$A$5:$A$3004,$M26)))</f>
        <v/>
      </c>
      <c r="C26" s="15">
        <f>IF($A26="","",IF(INDEX('潜水記録'!$D$5:$D$3004,$M26)="","",INDEX('潜水記録'!$D$5:$D$3004,$M26)))</f>
        <v/>
      </c>
      <c r="D26" s="14">
        <f>IF($A26="","",IF(INDEX('潜水記録'!$E$5:$E$3004,$M26)="","",INDEX('潜水記録'!$E$5:$E$3004,$M26)))</f>
        <v/>
      </c>
      <c r="E26" s="14">
        <f>IF($A26="","",IF(INDEX('潜水記録'!$F$5:$F$3004,$M26)="","",INDEX('潜水記録'!$F$5:$F$3004,$M26)))</f>
        <v/>
      </c>
      <c r="F26" s="15">
        <f>IF($A26="","",IF(INDEX('潜水記録'!$G$5:$G$3004,$M26)="","",INDEX('潜水記録'!$G$5:$G$3004,$M26)))</f>
        <v/>
      </c>
      <c r="G26" s="15">
        <f>IF($A26="","",IF(INDEX('潜水記録'!$H$5:$H$3004,$M26)="","",INDEX('潜水記録'!$H$5:$H$3004,$M26)))</f>
        <v/>
      </c>
      <c r="H26" s="15">
        <f>IF($A26="","",IF(INDEX('潜水記録'!$I$5:$I$3004,$M26)="","",INDEX('潜水記録'!$I$5:$I$3004,$M26)))</f>
        <v/>
      </c>
      <c r="I26" s="15">
        <f>IF($A26="","",IF(INDEX('潜水記録'!$X$5:$X$3004,$M26)="","",INDEX('潜水記録'!$X$5:$X$3004,$M26)))</f>
        <v/>
      </c>
      <c r="J26" s="15">
        <f>IF($A26="","",IF(INDEX('潜水記録'!$O$5:$O$3004,$M26)="","",INDEX('潜水記録'!$O$5:$O$3004,$M26)))</f>
        <v/>
      </c>
      <c r="K26" s="15">
        <f>IF($A26="","",IF(INDEX('潜水記録'!$P$5:$P$3004,$M26)="","",INDEX('潜水記録'!$P$5:$P$3004,$M26)))</f>
        <v/>
      </c>
      <c r="L26" s="14">
        <f>IF($A26="","",IF(INDEX('潜水記録'!$Q$5:$Q$3004,$M26)="","",INDEX('潜水記録'!$Q$5:$Q$3004,$M26)))</f>
        <v/>
      </c>
      <c r="M26" s="20">
        <f>IF($A26="","",MATCH($A26,'潜水記録'!$AG$5:$AG$3004,0))</f>
        <v/>
      </c>
    </row>
    <row r="27">
      <c r="A27" s="15">
        <f>IF(18&lt;=$C$6,18,"")</f>
        <v/>
      </c>
      <c r="B27" s="16">
        <f>IF($A27="","",IF(INDEX('潜水記録'!$A$5:$A$3004,$M27)="","",INDEX('潜水記録'!$A$5:$A$3004,$M27)))</f>
        <v/>
      </c>
      <c r="C27" s="15">
        <f>IF($A27="","",IF(INDEX('潜水記録'!$D$5:$D$3004,$M27)="","",INDEX('潜水記録'!$D$5:$D$3004,$M27)))</f>
        <v/>
      </c>
      <c r="D27" s="14">
        <f>IF($A27="","",IF(INDEX('潜水記録'!$E$5:$E$3004,$M27)="","",INDEX('潜水記録'!$E$5:$E$3004,$M27)))</f>
        <v/>
      </c>
      <c r="E27" s="14">
        <f>IF($A27="","",IF(INDEX('潜水記録'!$F$5:$F$3004,$M27)="","",INDEX('潜水記録'!$F$5:$F$3004,$M27)))</f>
        <v/>
      </c>
      <c r="F27" s="15">
        <f>IF($A27="","",IF(INDEX('潜水記録'!$G$5:$G$3004,$M27)="","",INDEX('潜水記録'!$G$5:$G$3004,$M27)))</f>
        <v/>
      </c>
      <c r="G27" s="15">
        <f>IF($A27="","",IF(INDEX('潜水記録'!$H$5:$H$3004,$M27)="","",INDEX('潜水記録'!$H$5:$H$3004,$M27)))</f>
        <v/>
      </c>
      <c r="H27" s="15">
        <f>IF($A27="","",IF(INDEX('潜水記録'!$I$5:$I$3004,$M27)="","",INDEX('潜水記録'!$I$5:$I$3004,$M27)))</f>
        <v/>
      </c>
      <c r="I27" s="15">
        <f>IF($A27="","",IF(INDEX('潜水記録'!$X$5:$X$3004,$M27)="","",INDEX('潜水記録'!$X$5:$X$3004,$M27)))</f>
        <v/>
      </c>
      <c r="J27" s="15">
        <f>IF($A27="","",IF(INDEX('潜水記録'!$O$5:$O$3004,$M27)="","",INDEX('潜水記録'!$O$5:$O$3004,$M27)))</f>
        <v/>
      </c>
      <c r="K27" s="15">
        <f>IF($A27="","",IF(INDEX('潜水記録'!$P$5:$P$3004,$M27)="","",INDEX('潜水記録'!$P$5:$P$3004,$M27)))</f>
        <v/>
      </c>
      <c r="L27" s="14">
        <f>IF($A27="","",IF(INDEX('潜水記録'!$Q$5:$Q$3004,$M27)="","",INDEX('潜水記録'!$Q$5:$Q$3004,$M27)))</f>
        <v/>
      </c>
      <c r="M27" s="20">
        <f>IF($A27="","",MATCH($A27,'潜水記録'!$AG$5:$AG$3004,0))</f>
        <v/>
      </c>
    </row>
    <row r="28">
      <c r="A28" s="15">
        <f>IF(19&lt;=$C$6,19,"")</f>
        <v/>
      </c>
      <c r="B28" s="16">
        <f>IF($A28="","",IF(INDEX('潜水記録'!$A$5:$A$3004,$M28)="","",INDEX('潜水記録'!$A$5:$A$3004,$M28)))</f>
        <v/>
      </c>
      <c r="C28" s="15">
        <f>IF($A28="","",IF(INDEX('潜水記録'!$D$5:$D$3004,$M28)="","",INDEX('潜水記録'!$D$5:$D$3004,$M28)))</f>
        <v/>
      </c>
      <c r="D28" s="14">
        <f>IF($A28="","",IF(INDEX('潜水記録'!$E$5:$E$3004,$M28)="","",INDEX('潜水記録'!$E$5:$E$3004,$M28)))</f>
        <v/>
      </c>
      <c r="E28" s="14">
        <f>IF($A28="","",IF(INDEX('潜水記録'!$F$5:$F$3004,$M28)="","",INDEX('潜水記録'!$F$5:$F$3004,$M28)))</f>
        <v/>
      </c>
      <c r="F28" s="15">
        <f>IF($A28="","",IF(INDEX('潜水記録'!$G$5:$G$3004,$M28)="","",INDEX('潜水記録'!$G$5:$G$3004,$M28)))</f>
        <v/>
      </c>
      <c r="G28" s="15">
        <f>IF($A28="","",IF(INDEX('潜水記録'!$H$5:$H$3004,$M28)="","",INDEX('潜水記録'!$H$5:$H$3004,$M28)))</f>
        <v/>
      </c>
      <c r="H28" s="15">
        <f>IF($A28="","",IF(INDEX('潜水記録'!$I$5:$I$3004,$M28)="","",INDEX('潜水記録'!$I$5:$I$3004,$M28)))</f>
        <v/>
      </c>
      <c r="I28" s="15">
        <f>IF($A28="","",IF(INDEX('潜水記録'!$X$5:$X$3004,$M28)="","",INDEX('潜水記録'!$X$5:$X$3004,$M28)))</f>
        <v/>
      </c>
      <c r="J28" s="15">
        <f>IF($A28="","",IF(INDEX('潜水記録'!$O$5:$O$3004,$M28)="","",INDEX('潜水記録'!$O$5:$O$3004,$M28)))</f>
        <v/>
      </c>
      <c r="K28" s="15">
        <f>IF($A28="","",IF(INDEX('潜水記録'!$P$5:$P$3004,$M28)="","",INDEX('潜水記録'!$P$5:$P$3004,$M28)))</f>
        <v/>
      </c>
      <c r="L28" s="14">
        <f>IF($A28="","",IF(INDEX('潜水記録'!$Q$5:$Q$3004,$M28)="","",INDEX('潜水記録'!$Q$5:$Q$3004,$M28)))</f>
        <v/>
      </c>
      <c r="M28" s="20">
        <f>IF($A28="","",MATCH($A28,'潜水記録'!$AG$5:$AG$3004,0))</f>
        <v/>
      </c>
    </row>
    <row r="29">
      <c r="A29" s="15">
        <f>IF(20&lt;=$C$6,20,"")</f>
        <v/>
      </c>
      <c r="B29" s="16">
        <f>IF($A29="","",IF(INDEX('潜水記録'!$A$5:$A$3004,$M29)="","",INDEX('潜水記録'!$A$5:$A$3004,$M29)))</f>
        <v/>
      </c>
      <c r="C29" s="15">
        <f>IF($A29="","",IF(INDEX('潜水記録'!$D$5:$D$3004,$M29)="","",INDEX('潜水記録'!$D$5:$D$3004,$M29)))</f>
        <v/>
      </c>
      <c r="D29" s="14">
        <f>IF($A29="","",IF(INDEX('潜水記録'!$E$5:$E$3004,$M29)="","",INDEX('潜水記録'!$E$5:$E$3004,$M29)))</f>
        <v/>
      </c>
      <c r="E29" s="14">
        <f>IF($A29="","",IF(INDEX('潜水記録'!$F$5:$F$3004,$M29)="","",INDEX('潜水記録'!$F$5:$F$3004,$M29)))</f>
        <v/>
      </c>
      <c r="F29" s="15">
        <f>IF($A29="","",IF(INDEX('潜水記録'!$G$5:$G$3004,$M29)="","",INDEX('潜水記録'!$G$5:$G$3004,$M29)))</f>
        <v/>
      </c>
      <c r="G29" s="15">
        <f>IF($A29="","",IF(INDEX('潜水記録'!$H$5:$H$3004,$M29)="","",INDEX('潜水記録'!$H$5:$H$3004,$M29)))</f>
        <v/>
      </c>
      <c r="H29" s="15">
        <f>IF($A29="","",IF(INDEX('潜水記録'!$I$5:$I$3004,$M29)="","",INDEX('潜水記録'!$I$5:$I$3004,$M29)))</f>
        <v/>
      </c>
      <c r="I29" s="15">
        <f>IF($A29="","",IF(INDEX('潜水記録'!$X$5:$X$3004,$M29)="","",INDEX('潜水記録'!$X$5:$X$3004,$M29)))</f>
        <v/>
      </c>
      <c r="J29" s="15">
        <f>IF($A29="","",IF(INDEX('潜水記録'!$O$5:$O$3004,$M29)="","",INDEX('潜水記録'!$O$5:$O$3004,$M29)))</f>
        <v/>
      </c>
      <c r="K29" s="15">
        <f>IF($A29="","",IF(INDEX('潜水記録'!$P$5:$P$3004,$M29)="","",INDEX('潜水記録'!$P$5:$P$3004,$M29)))</f>
        <v/>
      </c>
      <c r="L29" s="14">
        <f>IF($A29="","",IF(INDEX('潜水記録'!$Q$5:$Q$3004,$M29)="","",INDEX('潜水記録'!$Q$5:$Q$3004,$M29)))</f>
        <v/>
      </c>
      <c r="M29" s="20">
        <f>IF($A29="","",MATCH($A29,'潜水記録'!$AG$5:$AG$3004,0))</f>
        <v/>
      </c>
    </row>
    <row r="30">
      <c r="A30" s="15">
        <f>IF(21&lt;=$C$6,21,"")</f>
        <v/>
      </c>
      <c r="B30" s="16">
        <f>IF($A30="","",IF(INDEX('潜水記録'!$A$5:$A$3004,$M30)="","",INDEX('潜水記録'!$A$5:$A$3004,$M30)))</f>
        <v/>
      </c>
      <c r="C30" s="15">
        <f>IF($A30="","",IF(INDEX('潜水記録'!$D$5:$D$3004,$M30)="","",INDEX('潜水記録'!$D$5:$D$3004,$M30)))</f>
        <v/>
      </c>
      <c r="D30" s="14">
        <f>IF($A30="","",IF(INDEX('潜水記録'!$E$5:$E$3004,$M30)="","",INDEX('潜水記録'!$E$5:$E$3004,$M30)))</f>
        <v/>
      </c>
      <c r="E30" s="14">
        <f>IF($A30="","",IF(INDEX('潜水記録'!$F$5:$F$3004,$M30)="","",INDEX('潜水記録'!$F$5:$F$3004,$M30)))</f>
        <v/>
      </c>
      <c r="F30" s="15">
        <f>IF($A30="","",IF(INDEX('潜水記録'!$G$5:$G$3004,$M30)="","",INDEX('潜水記録'!$G$5:$G$3004,$M30)))</f>
        <v/>
      </c>
      <c r="G30" s="15">
        <f>IF($A30="","",IF(INDEX('潜水記録'!$H$5:$H$3004,$M30)="","",INDEX('潜水記録'!$H$5:$H$3004,$M30)))</f>
        <v/>
      </c>
      <c r="H30" s="15">
        <f>IF($A30="","",IF(INDEX('潜水記録'!$I$5:$I$3004,$M30)="","",INDEX('潜水記録'!$I$5:$I$3004,$M30)))</f>
        <v/>
      </c>
      <c r="I30" s="15">
        <f>IF($A30="","",IF(INDEX('潜水記録'!$X$5:$X$3004,$M30)="","",INDEX('潜水記録'!$X$5:$X$3004,$M30)))</f>
        <v/>
      </c>
      <c r="J30" s="15">
        <f>IF($A30="","",IF(INDEX('潜水記録'!$O$5:$O$3004,$M30)="","",INDEX('潜水記録'!$O$5:$O$3004,$M30)))</f>
        <v/>
      </c>
      <c r="K30" s="15">
        <f>IF($A30="","",IF(INDEX('潜水記録'!$P$5:$P$3004,$M30)="","",INDEX('潜水記録'!$P$5:$P$3004,$M30)))</f>
        <v/>
      </c>
      <c r="L30" s="14">
        <f>IF($A30="","",IF(INDEX('潜水記録'!$Q$5:$Q$3004,$M30)="","",INDEX('潜水記録'!$Q$5:$Q$3004,$M30)))</f>
        <v/>
      </c>
      <c r="M30" s="20">
        <f>IF($A30="","",MATCH($A30,'潜水記録'!$AG$5:$AG$3004,0))</f>
        <v/>
      </c>
    </row>
    <row r="31">
      <c r="A31" s="15">
        <f>IF(22&lt;=$C$6,22,"")</f>
        <v/>
      </c>
      <c r="B31" s="16">
        <f>IF($A31="","",IF(INDEX('潜水記録'!$A$5:$A$3004,$M31)="","",INDEX('潜水記録'!$A$5:$A$3004,$M31)))</f>
        <v/>
      </c>
      <c r="C31" s="15">
        <f>IF($A31="","",IF(INDEX('潜水記録'!$D$5:$D$3004,$M31)="","",INDEX('潜水記録'!$D$5:$D$3004,$M31)))</f>
        <v/>
      </c>
      <c r="D31" s="14">
        <f>IF($A31="","",IF(INDEX('潜水記録'!$E$5:$E$3004,$M31)="","",INDEX('潜水記録'!$E$5:$E$3004,$M31)))</f>
        <v/>
      </c>
      <c r="E31" s="14">
        <f>IF($A31="","",IF(INDEX('潜水記録'!$F$5:$F$3004,$M31)="","",INDEX('潜水記録'!$F$5:$F$3004,$M31)))</f>
        <v/>
      </c>
      <c r="F31" s="15">
        <f>IF($A31="","",IF(INDEX('潜水記録'!$G$5:$G$3004,$M31)="","",INDEX('潜水記録'!$G$5:$G$3004,$M31)))</f>
        <v/>
      </c>
      <c r="G31" s="15">
        <f>IF($A31="","",IF(INDEX('潜水記録'!$H$5:$H$3004,$M31)="","",INDEX('潜水記録'!$H$5:$H$3004,$M31)))</f>
        <v/>
      </c>
      <c r="H31" s="15">
        <f>IF($A31="","",IF(INDEX('潜水記録'!$I$5:$I$3004,$M31)="","",INDEX('潜水記録'!$I$5:$I$3004,$M31)))</f>
        <v/>
      </c>
      <c r="I31" s="15">
        <f>IF($A31="","",IF(INDEX('潜水記録'!$X$5:$X$3004,$M31)="","",INDEX('潜水記録'!$X$5:$X$3004,$M31)))</f>
        <v/>
      </c>
      <c r="J31" s="15">
        <f>IF($A31="","",IF(INDEX('潜水記録'!$O$5:$O$3004,$M31)="","",INDEX('潜水記録'!$O$5:$O$3004,$M31)))</f>
        <v/>
      </c>
      <c r="K31" s="15">
        <f>IF($A31="","",IF(INDEX('潜水記録'!$P$5:$P$3004,$M31)="","",INDEX('潜水記録'!$P$5:$P$3004,$M31)))</f>
        <v/>
      </c>
      <c r="L31" s="14">
        <f>IF($A31="","",IF(INDEX('潜水記録'!$Q$5:$Q$3004,$M31)="","",INDEX('潜水記録'!$Q$5:$Q$3004,$M31)))</f>
        <v/>
      </c>
      <c r="M31" s="20">
        <f>IF($A31="","",MATCH($A31,'潜水記録'!$AG$5:$AG$3004,0))</f>
        <v/>
      </c>
    </row>
    <row r="32">
      <c r="A32" s="15">
        <f>IF(23&lt;=$C$6,23,"")</f>
        <v/>
      </c>
      <c r="B32" s="16">
        <f>IF($A32="","",IF(INDEX('潜水記録'!$A$5:$A$3004,$M32)="","",INDEX('潜水記録'!$A$5:$A$3004,$M32)))</f>
        <v/>
      </c>
      <c r="C32" s="15">
        <f>IF($A32="","",IF(INDEX('潜水記録'!$D$5:$D$3004,$M32)="","",INDEX('潜水記録'!$D$5:$D$3004,$M32)))</f>
        <v/>
      </c>
      <c r="D32" s="14">
        <f>IF($A32="","",IF(INDEX('潜水記録'!$E$5:$E$3004,$M32)="","",INDEX('潜水記録'!$E$5:$E$3004,$M32)))</f>
        <v/>
      </c>
      <c r="E32" s="14">
        <f>IF($A32="","",IF(INDEX('潜水記録'!$F$5:$F$3004,$M32)="","",INDEX('潜水記録'!$F$5:$F$3004,$M32)))</f>
        <v/>
      </c>
      <c r="F32" s="15">
        <f>IF($A32="","",IF(INDEX('潜水記録'!$G$5:$G$3004,$M32)="","",INDEX('潜水記録'!$G$5:$G$3004,$M32)))</f>
        <v/>
      </c>
      <c r="G32" s="15">
        <f>IF($A32="","",IF(INDEX('潜水記録'!$H$5:$H$3004,$M32)="","",INDEX('潜水記録'!$H$5:$H$3004,$M32)))</f>
        <v/>
      </c>
      <c r="H32" s="15">
        <f>IF($A32="","",IF(INDEX('潜水記録'!$I$5:$I$3004,$M32)="","",INDEX('潜水記録'!$I$5:$I$3004,$M32)))</f>
        <v/>
      </c>
      <c r="I32" s="15">
        <f>IF($A32="","",IF(INDEX('潜水記録'!$X$5:$X$3004,$M32)="","",INDEX('潜水記録'!$X$5:$X$3004,$M32)))</f>
        <v/>
      </c>
      <c r="J32" s="15">
        <f>IF($A32="","",IF(INDEX('潜水記録'!$O$5:$O$3004,$M32)="","",INDEX('潜水記録'!$O$5:$O$3004,$M32)))</f>
        <v/>
      </c>
      <c r="K32" s="15">
        <f>IF($A32="","",IF(INDEX('潜水記録'!$P$5:$P$3004,$M32)="","",INDEX('潜水記録'!$P$5:$P$3004,$M32)))</f>
        <v/>
      </c>
      <c r="L32" s="14">
        <f>IF($A32="","",IF(INDEX('潜水記録'!$Q$5:$Q$3004,$M32)="","",INDEX('潜水記録'!$Q$5:$Q$3004,$M32)))</f>
        <v/>
      </c>
      <c r="M32" s="20">
        <f>IF($A32="","",MATCH($A32,'潜水記録'!$AG$5:$AG$3004,0))</f>
        <v/>
      </c>
    </row>
    <row r="33">
      <c r="A33" s="15">
        <f>IF(24&lt;=$C$6,24,"")</f>
        <v/>
      </c>
      <c r="B33" s="16">
        <f>IF($A33="","",IF(INDEX('潜水記録'!$A$5:$A$3004,$M33)="","",INDEX('潜水記録'!$A$5:$A$3004,$M33)))</f>
        <v/>
      </c>
      <c r="C33" s="15">
        <f>IF($A33="","",IF(INDEX('潜水記録'!$D$5:$D$3004,$M33)="","",INDEX('潜水記録'!$D$5:$D$3004,$M33)))</f>
        <v/>
      </c>
      <c r="D33" s="14">
        <f>IF($A33="","",IF(INDEX('潜水記録'!$E$5:$E$3004,$M33)="","",INDEX('潜水記録'!$E$5:$E$3004,$M33)))</f>
        <v/>
      </c>
      <c r="E33" s="14">
        <f>IF($A33="","",IF(INDEX('潜水記録'!$F$5:$F$3004,$M33)="","",INDEX('潜水記録'!$F$5:$F$3004,$M33)))</f>
        <v/>
      </c>
      <c r="F33" s="15">
        <f>IF($A33="","",IF(INDEX('潜水記録'!$G$5:$G$3004,$M33)="","",INDEX('潜水記録'!$G$5:$G$3004,$M33)))</f>
        <v/>
      </c>
      <c r="G33" s="15">
        <f>IF($A33="","",IF(INDEX('潜水記録'!$H$5:$H$3004,$M33)="","",INDEX('潜水記録'!$H$5:$H$3004,$M33)))</f>
        <v/>
      </c>
      <c r="H33" s="15">
        <f>IF($A33="","",IF(INDEX('潜水記録'!$I$5:$I$3004,$M33)="","",INDEX('潜水記録'!$I$5:$I$3004,$M33)))</f>
        <v/>
      </c>
      <c r="I33" s="15">
        <f>IF($A33="","",IF(INDEX('潜水記録'!$X$5:$X$3004,$M33)="","",INDEX('潜水記録'!$X$5:$X$3004,$M33)))</f>
        <v/>
      </c>
      <c r="J33" s="15">
        <f>IF($A33="","",IF(INDEX('潜水記録'!$O$5:$O$3004,$M33)="","",INDEX('潜水記録'!$O$5:$O$3004,$M33)))</f>
        <v/>
      </c>
      <c r="K33" s="15">
        <f>IF($A33="","",IF(INDEX('潜水記録'!$P$5:$P$3004,$M33)="","",INDEX('潜水記録'!$P$5:$P$3004,$M33)))</f>
        <v/>
      </c>
      <c r="L33" s="14">
        <f>IF($A33="","",IF(INDEX('潜水記録'!$Q$5:$Q$3004,$M33)="","",INDEX('潜水記録'!$Q$5:$Q$3004,$M33)))</f>
        <v/>
      </c>
      <c r="M33" s="20">
        <f>IF($A33="","",MATCH($A33,'潜水記録'!$AG$5:$AG$3004,0))</f>
        <v/>
      </c>
    </row>
    <row r="34">
      <c r="A34" s="15">
        <f>IF(25&lt;=$C$6,25,"")</f>
        <v/>
      </c>
      <c r="B34" s="16">
        <f>IF($A34="","",IF(INDEX('潜水記録'!$A$5:$A$3004,$M34)="","",INDEX('潜水記録'!$A$5:$A$3004,$M34)))</f>
        <v/>
      </c>
      <c r="C34" s="15">
        <f>IF($A34="","",IF(INDEX('潜水記録'!$D$5:$D$3004,$M34)="","",INDEX('潜水記録'!$D$5:$D$3004,$M34)))</f>
        <v/>
      </c>
      <c r="D34" s="14">
        <f>IF($A34="","",IF(INDEX('潜水記録'!$E$5:$E$3004,$M34)="","",INDEX('潜水記録'!$E$5:$E$3004,$M34)))</f>
        <v/>
      </c>
      <c r="E34" s="14">
        <f>IF($A34="","",IF(INDEX('潜水記録'!$F$5:$F$3004,$M34)="","",INDEX('潜水記録'!$F$5:$F$3004,$M34)))</f>
        <v/>
      </c>
      <c r="F34" s="15">
        <f>IF($A34="","",IF(INDEX('潜水記録'!$G$5:$G$3004,$M34)="","",INDEX('潜水記録'!$G$5:$G$3004,$M34)))</f>
        <v/>
      </c>
      <c r="G34" s="15">
        <f>IF($A34="","",IF(INDEX('潜水記録'!$H$5:$H$3004,$M34)="","",INDEX('潜水記録'!$H$5:$H$3004,$M34)))</f>
        <v/>
      </c>
      <c r="H34" s="15">
        <f>IF($A34="","",IF(INDEX('潜水記録'!$I$5:$I$3004,$M34)="","",INDEX('潜水記録'!$I$5:$I$3004,$M34)))</f>
        <v/>
      </c>
      <c r="I34" s="15">
        <f>IF($A34="","",IF(INDEX('潜水記録'!$X$5:$X$3004,$M34)="","",INDEX('潜水記録'!$X$5:$X$3004,$M34)))</f>
        <v/>
      </c>
      <c r="J34" s="15">
        <f>IF($A34="","",IF(INDEX('潜水記録'!$O$5:$O$3004,$M34)="","",INDEX('潜水記録'!$O$5:$O$3004,$M34)))</f>
        <v/>
      </c>
      <c r="K34" s="15">
        <f>IF($A34="","",IF(INDEX('潜水記録'!$P$5:$P$3004,$M34)="","",INDEX('潜水記録'!$P$5:$P$3004,$M34)))</f>
        <v/>
      </c>
      <c r="L34" s="14">
        <f>IF($A34="","",IF(INDEX('潜水記録'!$Q$5:$Q$3004,$M34)="","",INDEX('潜水記録'!$Q$5:$Q$3004,$M34)))</f>
        <v/>
      </c>
      <c r="M34" s="20">
        <f>IF($A34="","",MATCH($A34,'潜水記録'!$AG$5:$AG$3004,0))</f>
        <v/>
      </c>
    </row>
    <row r="35">
      <c r="A35" s="15">
        <f>IF(26&lt;=$C$6,26,"")</f>
        <v/>
      </c>
      <c r="B35" s="16">
        <f>IF($A35="","",IF(INDEX('潜水記録'!$A$5:$A$3004,$M35)="","",INDEX('潜水記録'!$A$5:$A$3004,$M35)))</f>
        <v/>
      </c>
      <c r="C35" s="15">
        <f>IF($A35="","",IF(INDEX('潜水記録'!$D$5:$D$3004,$M35)="","",INDEX('潜水記録'!$D$5:$D$3004,$M35)))</f>
        <v/>
      </c>
      <c r="D35" s="14">
        <f>IF($A35="","",IF(INDEX('潜水記録'!$E$5:$E$3004,$M35)="","",INDEX('潜水記録'!$E$5:$E$3004,$M35)))</f>
        <v/>
      </c>
      <c r="E35" s="14">
        <f>IF($A35="","",IF(INDEX('潜水記録'!$F$5:$F$3004,$M35)="","",INDEX('潜水記録'!$F$5:$F$3004,$M35)))</f>
        <v/>
      </c>
      <c r="F35" s="15">
        <f>IF($A35="","",IF(INDEX('潜水記録'!$G$5:$G$3004,$M35)="","",INDEX('潜水記録'!$G$5:$G$3004,$M35)))</f>
        <v/>
      </c>
      <c r="G35" s="15">
        <f>IF($A35="","",IF(INDEX('潜水記録'!$H$5:$H$3004,$M35)="","",INDEX('潜水記録'!$H$5:$H$3004,$M35)))</f>
        <v/>
      </c>
      <c r="H35" s="15">
        <f>IF($A35="","",IF(INDEX('潜水記録'!$I$5:$I$3004,$M35)="","",INDEX('潜水記録'!$I$5:$I$3004,$M35)))</f>
        <v/>
      </c>
      <c r="I35" s="15">
        <f>IF($A35="","",IF(INDEX('潜水記録'!$X$5:$X$3004,$M35)="","",INDEX('潜水記録'!$X$5:$X$3004,$M35)))</f>
        <v/>
      </c>
      <c r="J35" s="15">
        <f>IF($A35="","",IF(INDEX('潜水記録'!$O$5:$O$3004,$M35)="","",INDEX('潜水記録'!$O$5:$O$3004,$M35)))</f>
        <v/>
      </c>
      <c r="K35" s="15">
        <f>IF($A35="","",IF(INDEX('潜水記録'!$P$5:$P$3004,$M35)="","",INDEX('潜水記録'!$P$5:$P$3004,$M35)))</f>
        <v/>
      </c>
      <c r="L35" s="14">
        <f>IF($A35="","",IF(INDEX('潜水記録'!$Q$5:$Q$3004,$M35)="","",INDEX('潜水記録'!$Q$5:$Q$3004,$M35)))</f>
        <v/>
      </c>
      <c r="M35" s="20">
        <f>IF($A35="","",MATCH($A35,'潜水記録'!$AG$5:$AG$3004,0))</f>
        <v/>
      </c>
    </row>
    <row r="36">
      <c r="A36" s="15">
        <f>IF(27&lt;=$C$6,27,"")</f>
        <v/>
      </c>
      <c r="B36" s="16">
        <f>IF($A36="","",IF(INDEX('潜水記録'!$A$5:$A$3004,$M36)="","",INDEX('潜水記録'!$A$5:$A$3004,$M36)))</f>
        <v/>
      </c>
      <c r="C36" s="15">
        <f>IF($A36="","",IF(INDEX('潜水記録'!$D$5:$D$3004,$M36)="","",INDEX('潜水記録'!$D$5:$D$3004,$M36)))</f>
        <v/>
      </c>
      <c r="D36" s="14">
        <f>IF($A36="","",IF(INDEX('潜水記録'!$E$5:$E$3004,$M36)="","",INDEX('潜水記録'!$E$5:$E$3004,$M36)))</f>
        <v/>
      </c>
      <c r="E36" s="14">
        <f>IF($A36="","",IF(INDEX('潜水記録'!$F$5:$F$3004,$M36)="","",INDEX('潜水記録'!$F$5:$F$3004,$M36)))</f>
        <v/>
      </c>
      <c r="F36" s="15">
        <f>IF($A36="","",IF(INDEX('潜水記録'!$G$5:$G$3004,$M36)="","",INDEX('潜水記録'!$G$5:$G$3004,$M36)))</f>
        <v/>
      </c>
      <c r="G36" s="15">
        <f>IF($A36="","",IF(INDEX('潜水記録'!$H$5:$H$3004,$M36)="","",INDEX('潜水記録'!$H$5:$H$3004,$M36)))</f>
        <v/>
      </c>
      <c r="H36" s="15">
        <f>IF($A36="","",IF(INDEX('潜水記録'!$I$5:$I$3004,$M36)="","",INDEX('潜水記録'!$I$5:$I$3004,$M36)))</f>
        <v/>
      </c>
      <c r="I36" s="15">
        <f>IF($A36="","",IF(INDEX('潜水記録'!$X$5:$X$3004,$M36)="","",INDEX('潜水記録'!$X$5:$X$3004,$M36)))</f>
        <v/>
      </c>
      <c r="J36" s="15">
        <f>IF($A36="","",IF(INDEX('潜水記録'!$O$5:$O$3004,$M36)="","",INDEX('潜水記録'!$O$5:$O$3004,$M36)))</f>
        <v/>
      </c>
      <c r="K36" s="15">
        <f>IF($A36="","",IF(INDEX('潜水記録'!$P$5:$P$3004,$M36)="","",INDEX('潜水記録'!$P$5:$P$3004,$M36)))</f>
        <v/>
      </c>
      <c r="L36" s="14">
        <f>IF($A36="","",IF(INDEX('潜水記録'!$Q$5:$Q$3004,$M36)="","",INDEX('潜水記録'!$Q$5:$Q$3004,$M36)))</f>
        <v/>
      </c>
      <c r="M36" s="20">
        <f>IF($A36="","",MATCH($A36,'潜水記録'!$AG$5:$AG$3004,0))</f>
        <v/>
      </c>
    </row>
    <row r="37">
      <c r="A37" s="15">
        <f>IF(28&lt;=$C$6,28,"")</f>
        <v/>
      </c>
      <c r="B37" s="16">
        <f>IF($A37="","",IF(INDEX('潜水記録'!$A$5:$A$3004,$M37)="","",INDEX('潜水記録'!$A$5:$A$3004,$M37)))</f>
        <v/>
      </c>
      <c r="C37" s="15">
        <f>IF($A37="","",IF(INDEX('潜水記録'!$D$5:$D$3004,$M37)="","",INDEX('潜水記録'!$D$5:$D$3004,$M37)))</f>
        <v/>
      </c>
      <c r="D37" s="14">
        <f>IF($A37="","",IF(INDEX('潜水記録'!$E$5:$E$3004,$M37)="","",INDEX('潜水記録'!$E$5:$E$3004,$M37)))</f>
        <v/>
      </c>
      <c r="E37" s="14">
        <f>IF($A37="","",IF(INDEX('潜水記録'!$F$5:$F$3004,$M37)="","",INDEX('潜水記録'!$F$5:$F$3004,$M37)))</f>
        <v/>
      </c>
      <c r="F37" s="15">
        <f>IF($A37="","",IF(INDEX('潜水記録'!$G$5:$G$3004,$M37)="","",INDEX('潜水記録'!$G$5:$G$3004,$M37)))</f>
        <v/>
      </c>
      <c r="G37" s="15">
        <f>IF($A37="","",IF(INDEX('潜水記録'!$H$5:$H$3004,$M37)="","",INDEX('潜水記録'!$H$5:$H$3004,$M37)))</f>
        <v/>
      </c>
      <c r="H37" s="15">
        <f>IF($A37="","",IF(INDEX('潜水記録'!$I$5:$I$3004,$M37)="","",INDEX('潜水記録'!$I$5:$I$3004,$M37)))</f>
        <v/>
      </c>
      <c r="I37" s="15">
        <f>IF($A37="","",IF(INDEX('潜水記録'!$X$5:$X$3004,$M37)="","",INDEX('潜水記録'!$X$5:$X$3004,$M37)))</f>
        <v/>
      </c>
      <c r="J37" s="15">
        <f>IF($A37="","",IF(INDEX('潜水記録'!$O$5:$O$3004,$M37)="","",INDEX('潜水記録'!$O$5:$O$3004,$M37)))</f>
        <v/>
      </c>
      <c r="K37" s="15">
        <f>IF($A37="","",IF(INDEX('潜水記録'!$P$5:$P$3004,$M37)="","",INDEX('潜水記録'!$P$5:$P$3004,$M37)))</f>
        <v/>
      </c>
      <c r="L37" s="14">
        <f>IF($A37="","",IF(INDEX('潜水記録'!$Q$5:$Q$3004,$M37)="","",INDEX('潜水記録'!$Q$5:$Q$3004,$M37)))</f>
        <v/>
      </c>
      <c r="M37" s="20">
        <f>IF($A37="","",MATCH($A37,'潜水記録'!$AG$5:$AG$3004,0))</f>
        <v/>
      </c>
    </row>
    <row r="38">
      <c r="A38" s="15">
        <f>IF(29&lt;=$C$6,29,"")</f>
        <v/>
      </c>
      <c r="B38" s="16">
        <f>IF($A38="","",IF(INDEX('潜水記録'!$A$5:$A$3004,$M38)="","",INDEX('潜水記録'!$A$5:$A$3004,$M38)))</f>
        <v/>
      </c>
      <c r="C38" s="15">
        <f>IF($A38="","",IF(INDEX('潜水記録'!$D$5:$D$3004,$M38)="","",INDEX('潜水記録'!$D$5:$D$3004,$M38)))</f>
        <v/>
      </c>
      <c r="D38" s="14">
        <f>IF($A38="","",IF(INDEX('潜水記録'!$E$5:$E$3004,$M38)="","",INDEX('潜水記録'!$E$5:$E$3004,$M38)))</f>
        <v/>
      </c>
      <c r="E38" s="14">
        <f>IF($A38="","",IF(INDEX('潜水記録'!$F$5:$F$3004,$M38)="","",INDEX('潜水記録'!$F$5:$F$3004,$M38)))</f>
        <v/>
      </c>
      <c r="F38" s="15">
        <f>IF($A38="","",IF(INDEX('潜水記録'!$G$5:$G$3004,$M38)="","",INDEX('潜水記録'!$G$5:$G$3004,$M38)))</f>
        <v/>
      </c>
      <c r="G38" s="15">
        <f>IF($A38="","",IF(INDEX('潜水記録'!$H$5:$H$3004,$M38)="","",INDEX('潜水記録'!$H$5:$H$3004,$M38)))</f>
        <v/>
      </c>
      <c r="H38" s="15">
        <f>IF($A38="","",IF(INDEX('潜水記録'!$I$5:$I$3004,$M38)="","",INDEX('潜水記録'!$I$5:$I$3004,$M38)))</f>
        <v/>
      </c>
      <c r="I38" s="15">
        <f>IF($A38="","",IF(INDEX('潜水記録'!$X$5:$X$3004,$M38)="","",INDEX('潜水記録'!$X$5:$X$3004,$M38)))</f>
        <v/>
      </c>
      <c r="J38" s="15">
        <f>IF($A38="","",IF(INDEX('潜水記録'!$O$5:$O$3004,$M38)="","",INDEX('潜水記録'!$O$5:$O$3004,$M38)))</f>
        <v/>
      </c>
      <c r="K38" s="15">
        <f>IF($A38="","",IF(INDEX('潜水記録'!$P$5:$P$3004,$M38)="","",INDEX('潜水記録'!$P$5:$P$3004,$M38)))</f>
        <v/>
      </c>
      <c r="L38" s="14">
        <f>IF($A38="","",IF(INDEX('潜水記録'!$Q$5:$Q$3004,$M38)="","",INDEX('潜水記録'!$Q$5:$Q$3004,$M38)))</f>
        <v/>
      </c>
      <c r="M38" s="20">
        <f>IF($A38="","",MATCH($A38,'潜水記録'!$AG$5:$AG$3004,0))</f>
        <v/>
      </c>
    </row>
    <row r="39">
      <c r="A39" s="15">
        <f>IF(30&lt;=$C$6,30,"")</f>
        <v/>
      </c>
      <c r="B39" s="16">
        <f>IF($A39="","",IF(INDEX('潜水記録'!$A$5:$A$3004,$M39)="","",INDEX('潜水記録'!$A$5:$A$3004,$M39)))</f>
        <v/>
      </c>
      <c r="C39" s="15">
        <f>IF($A39="","",IF(INDEX('潜水記録'!$D$5:$D$3004,$M39)="","",INDEX('潜水記録'!$D$5:$D$3004,$M39)))</f>
        <v/>
      </c>
      <c r="D39" s="14">
        <f>IF($A39="","",IF(INDEX('潜水記録'!$E$5:$E$3004,$M39)="","",INDEX('潜水記録'!$E$5:$E$3004,$M39)))</f>
        <v/>
      </c>
      <c r="E39" s="14">
        <f>IF($A39="","",IF(INDEX('潜水記録'!$F$5:$F$3004,$M39)="","",INDEX('潜水記録'!$F$5:$F$3004,$M39)))</f>
        <v/>
      </c>
      <c r="F39" s="15">
        <f>IF($A39="","",IF(INDEX('潜水記録'!$G$5:$G$3004,$M39)="","",INDEX('潜水記録'!$G$5:$G$3004,$M39)))</f>
        <v/>
      </c>
      <c r="G39" s="15">
        <f>IF($A39="","",IF(INDEX('潜水記録'!$H$5:$H$3004,$M39)="","",INDEX('潜水記録'!$H$5:$H$3004,$M39)))</f>
        <v/>
      </c>
      <c r="H39" s="15">
        <f>IF($A39="","",IF(INDEX('潜水記録'!$I$5:$I$3004,$M39)="","",INDEX('潜水記録'!$I$5:$I$3004,$M39)))</f>
        <v/>
      </c>
      <c r="I39" s="15">
        <f>IF($A39="","",IF(INDEX('潜水記録'!$X$5:$X$3004,$M39)="","",INDEX('潜水記録'!$X$5:$X$3004,$M39)))</f>
        <v/>
      </c>
      <c r="J39" s="15">
        <f>IF($A39="","",IF(INDEX('潜水記録'!$O$5:$O$3004,$M39)="","",INDEX('潜水記録'!$O$5:$O$3004,$M39)))</f>
        <v/>
      </c>
      <c r="K39" s="15">
        <f>IF($A39="","",IF(INDEX('潜水記録'!$P$5:$P$3004,$M39)="","",INDEX('潜水記録'!$P$5:$P$3004,$M39)))</f>
        <v/>
      </c>
      <c r="L39" s="14">
        <f>IF($A39="","",IF(INDEX('潜水記録'!$Q$5:$Q$3004,$M39)="","",INDEX('潜水記録'!$Q$5:$Q$3004,$M39)))</f>
        <v/>
      </c>
      <c r="M39" s="20">
        <f>IF($A39="","",MATCH($A39,'潜水記録'!$AG$5:$AG$3004,0))</f>
        <v/>
      </c>
    </row>
    <row r="40">
      <c r="A40" s="15">
        <f>IF(31&lt;=$C$6,31,"")</f>
        <v/>
      </c>
      <c r="B40" s="16">
        <f>IF($A40="","",IF(INDEX('潜水記録'!$A$5:$A$3004,$M40)="","",INDEX('潜水記録'!$A$5:$A$3004,$M40)))</f>
        <v/>
      </c>
      <c r="C40" s="15">
        <f>IF($A40="","",IF(INDEX('潜水記録'!$D$5:$D$3004,$M40)="","",INDEX('潜水記録'!$D$5:$D$3004,$M40)))</f>
        <v/>
      </c>
      <c r="D40" s="14">
        <f>IF($A40="","",IF(INDEX('潜水記録'!$E$5:$E$3004,$M40)="","",INDEX('潜水記録'!$E$5:$E$3004,$M40)))</f>
        <v/>
      </c>
      <c r="E40" s="14">
        <f>IF($A40="","",IF(INDEX('潜水記録'!$F$5:$F$3004,$M40)="","",INDEX('潜水記録'!$F$5:$F$3004,$M40)))</f>
        <v/>
      </c>
      <c r="F40" s="15">
        <f>IF($A40="","",IF(INDEX('潜水記録'!$G$5:$G$3004,$M40)="","",INDEX('潜水記録'!$G$5:$G$3004,$M40)))</f>
        <v/>
      </c>
      <c r="G40" s="15">
        <f>IF($A40="","",IF(INDEX('潜水記録'!$H$5:$H$3004,$M40)="","",INDEX('潜水記録'!$H$5:$H$3004,$M40)))</f>
        <v/>
      </c>
      <c r="H40" s="15">
        <f>IF($A40="","",IF(INDEX('潜水記録'!$I$5:$I$3004,$M40)="","",INDEX('潜水記録'!$I$5:$I$3004,$M40)))</f>
        <v/>
      </c>
      <c r="I40" s="15">
        <f>IF($A40="","",IF(INDEX('潜水記録'!$X$5:$X$3004,$M40)="","",INDEX('潜水記録'!$X$5:$X$3004,$M40)))</f>
        <v/>
      </c>
      <c r="J40" s="15">
        <f>IF($A40="","",IF(INDEX('潜水記録'!$O$5:$O$3004,$M40)="","",INDEX('潜水記録'!$O$5:$O$3004,$M40)))</f>
        <v/>
      </c>
      <c r="K40" s="15">
        <f>IF($A40="","",IF(INDEX('潜水記録'!$P$5:$P$3004,$M40)="","",INDEX('潜水記録'!$P$5:$P$3004,$M40)))</f>
        <v/>
      </c>
      <c r="L40" s="14">
        <f>IF($A40="","",IF(INDEX('潜水記録'!$Q$5:$Q$3004,$M40)="","",INDEX('潜水記録'!$Q$5:$Q$3004,$M40)))</f>
        <v/>
      </c>
      <c r="M40" s="20">
        <f>IF($A40="","",MATCH($A40,'潜水記録'!$AG$5:$AG$3004,0))</f>
        <v/>
      </c>
    </row>
    <row r="41">
      <c r="A41" s="15">
        <f>IF(32&lt;=$C$6,32,"")</f>
        <v/>
      </c>
      <c r="B41" s="16">
        <f>IF($A41="","",IF(INDEX('潜水記録'!$A$5:$A$3004,$M41)="","",INDEX('潜水記録'!$A$5:$A$3004,$M41)))</f>
        <v/>
      </c>
      <c r="C41" s="15">
        <f>IF($A41="","",IF(INDEX('潜水記録'!$D$5:$D$3004,$M41)="","",INDEX('潜水記録'!$D$5:$D$3004,$M41)))</f>
        <v/>
      </c>
      <c r="D41" s="14">
        <f>IF($A41="","",IF(INDEX('潜水記録'!$E$5:$E$3004,$M41)="","",INDEX('潜水記録'!$E$5:$E$3004,$M41)))</f>
        <v/>
      </c>
      <c r="E41" s="14">
        <f>IF($A41="","",IF(INDEX('潜水記録'!$F$5:$F$3004,$M41)="","",INDEX('潜水記録'!$F$5:$F$3004,$M41)))</f>
        <v/>
      </c>
      <c r="F41" s="15">
        <f>IF($A41="","",IF(INDEX('潜水記録'!$G$5:$G$3004,$M41)="","",INDEX('潜水記録'!$G$5:$G$3004,$M41)))</f>
        <v/>
      </c>
      <c r="G41" s="15">
        <f>IF($A41="","",IF(INDEX('潜水記録'!$H$5:$H$3004,$M41)="","",INDEX('潜水記録'!$H$5:$H$3004,$M41)))</f>
        <v/>
      </c>
      <c r="H41" s="15">
        <f>IF($A41="","",IF(INDEX('潜水記録'!$I$5:$I$3004,$M41)="","",INDEX('潜水記録'!$I$5:$I$3004,$M41)))</f>
        <v/>
      </c>
      <c r="I41" s="15">
        <f>IF($A41="","",IF(INDEX('潜水記録'!$X$5:$X$3004,$M41)="","",INDEX('潜水記録'!$X$5:$X$3004,$M41)))</f>
        <v/>
      </c>
      <c r="J41" s="15">
        <f>IF($A41="","",IF(INDEX('潜水記録'!$O$5:$O$3004,$M41)="","",INDEX('潜水記録'!$O$5:$O$3004,$M41)))</f>
        <v/>
      </c>
      <c r="K41" s="15">
        <f>IF($A41="","",IF(INDEX('潜水記録'!$P$5:$P$3004,$M41)="","",INDEX('潜水記録'!$P$5:$P$3004,$M41)))</f>
        <v/>
      </c>
      <c r="L41" s="14">
        <f>IF($A41="","",IF(INDEX('潜水記録'!$Q$5:$Q$3004,$M41)="","",INDEX('潜水記録'!$Q$5:$Q$3004,$M41)))</f>
        <v/>
      </c>
      <c r="M41" s="20">
        <f>IF($A41="","",MATCH($A41,'潜水記録'!$AG$5:$AG$3004,0))</f>
        <v/>
      </c>
    </row>
    <row r="42">
      <c r="A42" s="15">
        <f>IF(33&lt;=$C$6,33,"")</f>
        <v/>
      </c>
      <c r="B42" s="16">
        <f>IF($A42="","",IF(INDEX('潜水記録'!$A$5:$A$3004,$M42)="","",INDEX('潜水記録'!$A$5:$A$3004,$M42)))</f>
        <v/>
      </c>
      <c r="C42" s="15">
        <f>IF($A42="","",IF(INDEX('潜水記録'!$D$5:$D$3004,$M42)="","",INDEX('潜水記録'!$D$5:$D$3004,$M42)))</f>
        <v/>
      </c>
      <c r="D42" s="14">
        <f>IF($A42="","",IF(INDEX('潜水記録'!$E$5:$E$3004,$M42)="","",INDEX('潜水記録'!$E$5:$E$3004,$M42)))</f>
        <v/>
      </c>
      <c r="E42" s="14">
        <f>IF($A42="","",IF(INDEX('潜水記録'!$F$5:$F$3004,$M42)="","",INDEX('潜水記録'!$F$5:$F$3004,$M42)))</f>
        <v/>
      </c>
      <c r="F42" s="15">
        <f>IF($A42="","",IF(INDEX('潜水記録'!$G$5:$G$3004,$M42)="","",INDEX('潜水記録'!$G$5:$G$3004,$M42)))</f>
        <v/>
      </c>
      <c r="G42" s="15">
        <f>IF($A42="","",IF(INDEX('潜水記録'!$H$5:$H$3004,$M42)="","",INDEX('潜水記録'!$H$5:$H$3004,$M42)))</f>
        <v/>
      </c>
      <c r="H42" s="15">
        <f>IF($A42="","",IF(INDEX('潜水記録'!$I$5:$I$3004,$M42)="","",INDEX('潜水記録'!$I$5:$I$3004,$M42)))</f>
        <v/>
      </c>
      <c r="I42" s="15">
        <f>IF($A42="","",IF(INDEX('潜水記録'!$X$5:$X$3004,$M42)="","",INDEX('潜水記録'!$X$5:$X$3004,$M42)))</f>
        <v/>
      </c>
      <c r="J42" s="15">
        <f>IF($A42="","",IF(INDEX('潜水記録'!$O$5:$O$3004,$M42)="","",INDEX('潜水記録'!$O$5:$O$3004,$M42)))</f>
        <v/>
      </c>
      <c r="K42" s="15">
        <f>IF($A42="","",IF(INDEX('潜水記録'!$P$5:$P$3004,$M42)="","",INDEX('潜水記録'!$P$5:$P$3004,$M42)))</f>
        <v/>
      </c>
      <c r="L42" s="14">
        <f>IF($A42="","",IF(INDEX('潜水記録'!$Q$5:$Q$3004,$M42)="","",INDEX('潜水記録'!$Q$5:$Q$3004,$M42)))</f>
        <v/>
      </c>
      <c r="M42" s="20">
        <f>IF($A42="","",MATCH($A42,'潜水記録'!$AG$5:$AG$3004,0))</f>
        <v/>
      </c>
    </row>
    <row r="43">
      <c r="A43" s="15">
        <f>IF(34&lt;=$C$6,34,"")</f>
        <v/>
      </c>
      <c r="B43" s="16">
        <f>IF($A43="","",IF(INDEX('潜水記録'!$A$5:$A$3004,$M43)="","",INDEX('潜水記録'!$A$5:$A$3004,$M43)))</f>
        <v/>
      </c>
      <c r="C43" s="15">
        <f>IF($A43="","",IF(INDEX('潜水記録'!$D$5:$D$3004,$M43)="","",INDEX('潜水記録'!$D$5:$D$3004,$M43)))</f>
        <v/>
      </c>
      <c r="D43" s="14">
        <f>IF($A43="","",IF(INDEX('潜水記録'!$E$5:$E$3004,$M43)="","",INDEX('潜水記録'!$E$5:$E$3004,$M43)))</f>
        <v/>
      </c>
      <c r="E43" s="14">
        <f>IF($A43="","",IF(INDEX('潜水記録'!$F$5:$F$3004,$M43)="","",INDEX('潜水記録'!$F$5:$F$3004,$M43)))</f>
        <v/>
      </c>
      <c r="F43" s="15">
        <f>IF($A43="","",IF(INDEX('潜水記録'!$G$5:$G$3004,$M43)="","",INDEX('潜水記録'!$G$5:$G$3004,$M43)))</f>
        <v/>
      </c>
      <c r="G43" s="15">
        <f>IF($A43="","",IF(INDEX('潜水記録'!$H$5:$H$3004,$M43)="","",INDEX('潜水記録'!$H$5:$H$3004,$M43)))</f>
        <v/>
      </c>
      <c r="H43" s="15">
        <f>IF($A43="","",IF(INDEX('潜水記録'!$I$5:$I$3004,$M43)="","",INDEX('潜水記録'!$I$5:$I$3004,$M43)))</f>
        <v/>
      </c>
      <c r="I43" s="15">
        <f>IF($A43="","",IF(INDEX('潜水記録'!$X$5:$X$3004,$M43)="","",INDEX('潜水記録'!$X$5:$X$3004,$M43)))</f>
        <v/>
      </c>
      <c r="J43" s="15">
        <f>IF($A43="","",IF(INDEX('潜水記録'!$O$5:$O$3004,$M43)="","",INDEX('潜水記録'!$O$5:$O$3004,$M43)))</f>
        <v/>
      </c>
      <c r="K43" s="15">
        <f>IF($A43="","",IF(INDEX('潜水記録'!$P$5:$P$3004,$M43)="","",INDEX('潜水記録'!$P$5:$P$3004,$M43)))</f>
        <v/>
      </c>
      <c r="L43" s="14">
        <f>IF($A43="","",IF(INDEX('潜水記録'!$Q$5:$Q$3004,$M43)="","",INDEX('潜水記録'!$Q$5:$Q$3004,$M43)))</f>
        <v/>
      </c>
      <c r="M43" s="20">
        <f>IF($A43="","",MATCH($A43,'潜水記録'!$AG$5:$AG$3004,0))</f>
        <v/>
      </c>
    </row>
    <row r="44">
      <c r="A44" s="15">
        <f>IF(35&lt;=$C$6,35,"")</f>
        <v/>
      </c>
      <c r="B44" s="16">
        <f>IF($A44="","",IF(INDEX('潜水記録'!$A$5:$A$3004,$M44)="","",INDEX('潜水記録'!$A$5:$A$3004,$M44)))</f>
        <v/>
      </c>
      <c r="C44" s="15">
        <f>IF($A44="","",IF(INDEX('潜水記録'!$D$5:$D$3004,$M44)="","",INDEX('潜水記録'!$D$5:$D$3004,$M44)))</f>
        <v/>
      </c>
      <c r="D44" s="14">
        <f>IF($A44="","",IF(INDEX('潜水記録'!$E$5:$E$3004,$M44)="","",INDEX('潜水記録'!$E$5:$E$3004,$M44)))</f>
        <v/>
      </c>
      <c r="E44" s="14">
        <f>IF($A44="","",IF(INDEX('潜水記録'!$F$5:$F$3004,$M44)="","",INDEX('潜水記録'!$F$5:$F$3004,$M44)))</f>
        <v/>
      </c>
      <c r="F44" s="15">
        <f>IF($A44="","",IF(INDEX('潜水記録'!$G$5:$G$3004,$M44)="","",INDEX('潜水記録'!$G$5:$G$3004,$M44)))</f>
        <v/>
      </c>
      <c r="G44" s="15">
        <f>IF($A44="","",IF(INDEX('潜水記録'!$H$5:$H$3004,$M44)="","",INDEX('潜水記録'!$H$5:$H$3004,$M44)))</f>
        <v/>
      </c>
      <c r="H44" s="15">
        <f>IF($A44="","",IF(INDEX('潜水記録'!$I$5:$I$3004,$M44)="","",INDEX('潜水記録'!$I$5:$I$3004,$M44)))</f>
        <v/>
      </c>
      <c r="I44" s="15">
        <f>IF($A44="","",IF(INDEX('潜水記録'!$X$5:$X$3004,$M44)="","",INDEX('潜水記録'!$X$5:$X$3004,$M44)))</f>
        <v/>
      </c>
      <c r="J44" s="15">
        <f>IF($A44="","",IF(INDEX('潜水記録'!$O$5:$O$3004,$M44)="","",INDEX('潜水記録'!$O$5:$O$3004,$M44)))</f>
        <v/>
      </c>
      <c r="K44" s="15">
        <f>IF($A44="","",IF(INDEX('潜水記録'!$P$5:$P$3004,$M44)="","",INDEX('潜水記録'!$P$5:$P$3004,$M44)))</f>
        <v/>
      </c>
      <c r="L44" s="14">
        <f>IF($A44="","",IF(INDEX('潜水記録'!$Q$5:$Q$3004,$M44)="","",INDEX('潜水記録'!$Q$5:$Q$3004,$M44)))</f>
        <v/>
      </c>
      <c r="M44" s="20">
        <f>IF($A44="","",MATCH($A44,'潜水記録'!$AG$5:$AG$3004,0))</f>
        <v/>
      </c>
    </row>
    <row r="45">
      <c r="A45" s="15">
        <f>IF(36&lt;=$C$6,36,"")</f>
        <v/>
      </c>
      <c r="B45" s="16">
        <f>IF($A45="","",IF(INDEX('潜水記録'!$A$5:$A$3004,$M45)="","",INDEX('潜水記録'!$A$5:$A$3004,$M45)))</f>
        <v/>
      </c>
      <c r="C45" s="15">
        <f>IF($A45="","",IF(INDEX('潜水記録'!$D$5:$D$3004,$M45)="","",INDEX('潜水記録'!$D$5:$D$3004,$M45)))</f>
        <v/>
      </c>
      <c r="D45" s="14">
        <f>IF($A45="","",IF(INDEX('潜水記録'!$E$5:$E$3004,$M45)="","",INDEX('潜水記録'!$E$5:$E$3004,$M45)))</f>
        <v/>
      </c>
      <c r="E45" s="14">
        <f>IF($A45="","",IF(INDEX('潜水記録'!$F$5:$F$3004,$M45)="","",INDEX('潜水記録'!$F$5:$F$3004,$M45)))</f>
        <v/>
      </c>
      <c r="F45" s="15">
        <f>IF($A45="","",IF(INDEX('潜水記録'!$G$5:$G$3004,$M45)="","",INDEX('潜水記録'!$G$5:$G$3004,$M45)))</f>
        <v/>
      </c>
      <c r="G45" s="15">
        <f>IF($A45="","",IF(INDEX('潜水記録'!$H$5:$H$3004,$M45)="","",INDEX('潜水記録'!$H$5:$H$3004,$M45)))</f>
        <v/>
      </c>
      <c r="H45" s="15">
        <f>IF($A45="","",IF(INDEX('潜水記録'!$I$5:$I$3004,$M45)="","",INDEX('潜水記録'!$I$5:$I$3004,$M45)))</f>
        <v/>
      </c>
      <c r="I45" s="15">
        <f>IF($A45="","",IF(INDEX('潜水記録'!$X$5:$X$3004,$M45)="","",INDEX('潜水記録'!$X$5:$X$3004,$M45)))</f>
        <v/>
      </c>
      <c r="J45" s="15">
        <f>IF($A45="","",IF(INDEX('潜水記録'!$O$5:$O$3004,$M45)="","",INDEX('潜水記録'!$O$5:$O$3004,$M45)))</f>
        <v/>
      </c>
      <c r="K45" s="15">
        <f>IF($A45="","",IF(INDEX('潜水記録'!$P$5:$P$3004,$M45)="","",INDEX('潜水記録'!$P$5:$P$3004,$M45)))</f>
        <v/>
      </c>
      <c r="L45" s="14">
        <f>IF($A45="","",IF(INDEX('潜水記録'!$Q$5:$Q$3004,$M45)="","",INDEX('潜水記録'!$Q$5:$Q$3004,$M45)))</f>
        <v/>
      </c>
      <c r="M45" s="20">
        <f>IF($A45="","",MATCH($A45,'潜水記録'!$AG$5:$AG$3004,0))</f>
        <v/>
      </c>
    </row>
    <row r="46">
      <c r="A46" s="15">
        <f>IF(37&lt;=$C$6,37,"")</f>
        <v/>
      </c>
      <c r="B46" s="16">
        <f>IF($A46="","",IF(INDEX('潜水記録'!$A$5:$A$3004,$M46)="","",INDEX('潜水記録'!$A$5:$A$3004,$M46)))</f>
        <v/>
      </c>
      <c r="C46" s="15">
        <f>IF($A46="","",IF(INDEX('潜水記録'!$D$5:$D$3004,$M46)="","",INDEX('潜水記録'!$D$5:$D$3004,$M46)))</f>
        <v/>
      </c>
      <c r="D46" s="14">
        <f>IF($A46="","",IF(INDEX('潜水記録'!$E$5:$E$3004,$M46)="","",INDEX('潜水記録'!$E$5:$E$3004,$M46)))</f>
        <v/>
      </c>
      <c r="E46" s="14">
        <f>IF($A46="","",IF(INDEX('潜水記録'!$F$5:$F$3004,$M46)="","",INDEX('潜水記録'!$F$5:$F$3004,$M46)))</f>
        <v/>
      </c>
      <c r="F46" s="15">
        <f>IF($A46="","",IF(INDEX('潜水記録'!$G$5:$G$3004,$M46)="","",INDEX('潜水記録'!$G$5:$G$3004,$M46)))</f>
        <v/>
      </c>
      <c r="G46" s="15">
        <f>IF($A46="","",IF(INDEX('潜水記録'!$H$5:$H$3004,$M46)="","",INDEX('潜水記録'!$H$5:$H$3004,$M46)))</f>
        <v/>
      </c>
      <c r="H46" s="15">
        <f>IF($A46="","",IF(INDEX('潜水記録'!$I$5:$I$3004,$M46)="","",INDEX('潜水記録'!$I$5:$I$3004,$M46)))</f>
        <v/>
      </c>
      <c r="I46" s="15">
        <f>IF($A46="","",IF(INDEX('潜水記録'!$X$5:$X$3004,$M46)="","",INDEX('潜水記録'!$X$5:$X$3004,$M46)))</f>
        <v/>
      </c>
      <c r="J46" s="15">
        <f>IF($A46="","",IF(INDEX('潜水記録'!$O$5:$O$3004,$M46)="","",INDEX('潜水記録'!$O$5:$O$3004,$M46)))</f>
        <v/>
      </c>
      <c r="K46" s="15">
        <f>IF($A46="","",IF(INDEX('潜水記録'!$P$5:$P$3004,$M46)="","",INDEX('潜水記録'!$P$5:$P$3004,$M46)))</f>
        <v/>
      </c>
      <c r="L46" s="14">
        <f>IF($A46="","",IF(INDEX('潜水記録'!$Q$5:$Q$3004,$M46)="","",INDEX('潜水記録'!$Q$5:$Q$3004,$M46)))</f>
        <v/>
      </c>
      <c r="M46" s="20">
        <f>IF($A46="","",MATCH($A46,'潜水記録'!$AG$5:$AG$3004,0))</f>
        <v/>
      </c>
    </row>
    <row r="47">
      <c r="A47" s="15">
        <f>IF(38&lt;=$C$6,38,"")</f>
        <v/>
      </c>
      <c r="B47" s="16">
        <f>IF($A47="","",IF(INDEX('潜水記録'!$A$5:$A$3004,$M47)="","",INDEX('潜水記録'!$A$5:$A$3004,$M47)))</f>
        <v/>
      </c>
      <c r="C47" s="15">
        <f>IF($A47="","",IF(INDEX('潜水記録'!$D$5:$D$3004,$M47)="","",INDEX('潜水記録'!$D$5:$D$3004,$M47)))</f>
        <v/>
      </c>
      <c r="D47" s="14">
        <f>IF($A47="","",IF(INDEX('潜水記録'!$E$5:$E$3004,$M47)="","",INDEX('潜水記録'!$E$5:$E$3004,$M47)))</f>
        <v/>
      </c>
      <c r="E47" s="14">
        <f>IF($A47="","",IF(INDEX('潜水記録'!$F$5:$F$3004,$M47)="","",INDEX('潜水記録'!$F$5:$F$3004,$M47)))</f>
        <v/>
      </c>
      <c r="F47" s="15">
        <f>IF($A47="","",IF(INDEX('潜水記録'!$G$5:$G$3004,$M47)="","",INDEX('潜水記録'!$G$5:$G$3004,$M47)))</f>
        <v/>
      </c>
      <c r="G47" s="15">
        <f>IF($A47="","",IF(INDEX('潜水記録'!$H$5:$H$3004,$M47)="","",INDEX('潜水記録'!$H$5:$H$3004,$M47)))</f>
        <v/>
      </c>
      <c r="H47" s="15">
        <f>IF($A47="","",IF(INDEX('潜水記録'!$I$5:$I$3004,$M47)="","",INDEX('潜水記録'!$I$5:$I$3004,$M47)))</f>
        <v/>
      </c>
      <c r="I47" s="15">
        <f>IF($A47="","",IF(INDEX('潜水記録'!$X$5:$X$3004,$M47)="","",INDEX('潜水記録'!$X$5:$X$3004,$M47)))</f>
        <v/>
      </c>
      <c r="J47" s="15">
        <f>IF($A47="","",IF(INDEX('潜水記録'!$O$5:$O$3004,$M47)="","",INDEX('潜水記録'!$O$5:$O$3004,$M47)))</f>
        <v/>
      </c>
      <c r="K47" s="15">
        <f>IF($A47="","",IF(INDEX('潜水記録'!$P$5:$P$3004,$M47)="","",INDEX('潜水記録'!$P$5:$P$3004,$M47)))</f>
        <v/>
      </c>
      <c r="L47" s="14">
        <f>IF($A47="","",IF(INDEX('潜水記録'!$Q$5:$Q$3004,$M47)="","",INDEX('潜水記録'!$Q$5:$Q$3004,$M47)))</f>
        <v/>
      </c>
      <c r="M47" s="20">
        <f>IF($A47="","",MATCH($A47,'潜水記録'!$AG$5:$AG$3004,0))</f>
        <v/>
      </c>
    </row>
    <row r="48">
      <c r="A48" s="15">
        <f>IF(39&lt;=$C$6,39,"")</f>
        <v/>
      </c>
      <c r="B48" s="16">
        <f>IF($A48="","",IF(INDEX('潜水記録'!$A$5:$A$3004,$M48)="","",INDEX('潜水記録'!$A$5:$A$3004,$M48)))</f>
        <v/>
      </c>
      <c r="C48" s="15">
        <f>IF($A48="","",IF(INDEX('潜水記録'!$D$5:$D$3004,$M48)="","",INDEX('潜水記録'!$D$5:$D$3004,$M48)))</f>
        <v/>
      </c>
      <c r="D48" s="14">
        <f>IF($A48="","",IF(INDEX('潜水記録'!$E$5:$E$3004,$M48)="","",INDEX('潜水記録'!$E$5:$E$3004,$M48)))</f>
        <v/>
      </c>
      <c r="E48" s="14">
        <f>IF($A48="","",IF(INDEX('潜水記録'!$F$5:$F$3004,$M48)="","",INDEX('潜水記録'!$F$5:$F$3004,$M48)))</f>
        <v/>
      </c>
      <c r="F48" s="15">
        <f>IF($A48="","",IF(INDEX('潜水記録'!$G$5:$G$3004,$M48)="","",INDEX('潜水記録'!$G$5:$G$3004,$M48)))</f>
        <v/>
      </c>
      <c r="G48" s="15">
        <f>IF($A48="","",IF(INDEX('潜水記録'!$H$5:$H$3004,$M48)="","",INDEX('潜水記録'!$H$5:$H$3004,$M48)))</f>
        <v/>
      </c>
      <c r="H48" s="15">
        <f>IF($A48="","",IF(INDEX('潜水記録'!$I$5:$I$3004,$M48)="","",INDEX('潜水記録'!$I$5:$I$3004,$M48)))</f>
        <v/>
      </c>
      <c r="I48" s="15">
        <f>IF($A48="","",IF(INDEX('潜水記録'!$X$5:$X$3004,$M48)="","",INDEX('潜水記録'!$X$5:$X$3004,$M48)))</f>
        <v/>
      </c>
      <c r="J48" s="15">
        <f>IF($A48="","",IF(INDEX('潜水記録'!$O$5:$O$3004,$M48)="","",INDEX('潜水記録'!$O$5:$O$3004,$M48)))</f>
        <v/>
      </c>
      <c r="K48" s="15">
        <f>IF($A48="","",IF(INDEX('潜水記録'!$P$5:$P$3004,$M48)="","",INDEX('潜水記録'!$P$5:$P$3004,$M48)))</f>
        <v/>
      </c>
      <c r="L48" s="14">
        <f>IF($A48="","",IF(INDEX('潜水記録'!$Q$5:$Q$3004,$M48)="","",INDEX('潜水記録'!$Q$5:$Q$3004,$M48)))</f>
        <v/>
      </c>
      <c r="M48" s="20">
        <f>IF($A48="","",MATCH($A48,'潜水記録'!$AG$5:$AG$3004,0))</f>
        <v/>
      </c>
    </row>
    <row r="49">
      <c r="A49" s="15">
        <f>IF(40&lt;=$C$6,40,"")</f>
        <v/>
      </c>
      <c r="B49" s="16">
        <f>IF($A49="","",IF(INDEX('潜水記録'!$A$5:$A$3004,$M49)="","",INDEX('潜水記録'!$A$5:$A$3004,$M49)))</f>
        <v/>
      </c>
      <c r="C49" s="15">
        <f>IF($A49="","",IF(INDEX('潜水記録'!$D$5:$D$3004,$M49)="","",INDEX('潜水記録'!$D$5:$D$3004,$M49)))</f>
        <v/>
      </c>
      <c r="D49" s="14">
        <f>IF($A49="","",IF(INDEX('潜水記録'!$E$5:$E$3004,$M49)="","",INDEX('潜水記録'!$E$5:$E$3004,$M49)))</f>
        <v/>
      </c>
      <c r="E49" s="14">
        <f>IF($A49="","",IF(INDEX('潜水記録'!$F$5:$F$3004,$M49)="","",INDEX('潜水記録'!$F$5:$F$3004,$M49)))</f>
        <v/>
      </c>
      <c r="F49" s="15">
        <f>IF($A49="","",IF(INDEX('潜水記録'!$G$5:$G$3004,$M49)="","",INDEX('潜水記録'!$G$5:$G$3004,$M49)))</f>
        <v/>
      </c>
      <c r="G49" s="15">
        <f>IF($A49="","",IF(INDEX('潜水記録'!$H$5:$H$3004,$M49)="","",INDEX('潜水記録'!$H$5:$H$3004,$M49)))</f>
        <v/>
      </c>
      <c r="H49" s="15">
        <f>IF($A49="","",IF(INDEX('潜水記録'!$I$5:$I$3004,$M49)="","",INDEX('潜水記録'!$I$5:$I$3004,$M49)))</f>
        <v/>
      </c>
      <c r="I49" s="15">
        <f>IF($A49="","",IF(INDEX('潜水記録'!$X$5:$X$3004,$M49)="","",INDEX('潜水記録'!$X$5:$X$3004,$M49)))</f>
        <v/>
      </c>
      <c r="J49" s="15">
        <f>IF($A49="","",IF(INDEX('潜水記録'!$O$5:$O$3004,$M49)="","",INDEX('潜水記録'!$O$5:$O$3004,$M49)))</f>
        <v/>
      </c>
      <c r="K49" s="15">
        <f>IF($A49="","",IF(INDEX('潜水記録'!$P$5:$P$3004,$M49)="","",INDEX('潜水記録'!$P$5:$P$3004,$M49)))</f>
        <v/>
      </c>
      <c r="L49" s="14">
        <f>IF($A49="","",IF(INDEX('潜水記録'!$Q$5:$Q$3004,$M49)="","",INDEX('潜水記録'!$Q$5:$Q$3004,$M49)))</f>
        <v/>
      </c>
      <c r="M49" s="20">
        <f>IF($A49="","",MATCH($A49,'潜水記録'!$AG$5:$AG$3004,0))</f>
        <v/>
      </c>
    </row>
    <row r="50">
      <c r="A50" s="15">
        <f>IF(41&lt;=$C$6,41,"")</f>
        <v/>
      </c>
      <c r="B50" s="16">
        <f>IF($A50="","",IF(INDEX('潜水記録'!$A$5:$A$3004,$M50)="","",INDEX('潜水記録'!$A$5:$A$3004,$M50)))</f>
        <v/>
      </c>
      <c r="C50" s="15">
        <f>IF($A50="","",IF(INDEX('潜水記録'!$D$5:$D$3004,$M50)="","",INDEX('潜水記録'!$D$5:$D$3004,$M50)))</f>
        <v/>
      </c>
      <c r="D50" s="14">
        <f>IF($A50="","",IF(INDEX('潜水記録'!$E$5:$E$3004,$M50)="","",INDEX('潜水記録'!$E$5:$E$3004,$M50)))</f>
        <v/>
      </c>
      <c r="E50" s="14">
        <f>IF($A50="","",IF(INDEX('潜水記録'!$F$5:$F$3004,$M50)="","",INDEX('潜水記録'!$F$5:$F$3004,$M50)))</f>
        <v/>
      </c>
      <c r="F50" s="15">
        <f>IF($A50="","",IF(INDEX('潜水記録'!$G$5:$G$3004,$M50)="","",INDEX('潜水記録'!$G$5:$G$3004,$M50)))</f>
        <v/>
      </c>
      <c r="G50" s="15">
        <f>IF($A50="","",IF(INDEX('潜水記録'!$H$5:$H$3004,$M50)="","",INDEX('潜水記録'!$H$5:$H$3004,$M50)))</f>
        <v/>
      </c>
      <c r="H50" s="15">
        <f>IF($A50="","",IF(INDEX('潜水記録'!$I$5:$I$3004,$M50)="","",INDEX('潜水記録'!$I$5:$I$3004,$M50)))</f>
        <v/>
      </c>
      <c r="I50" s="15">
        <f>IF($A50="","",IF(INDEX('潜水記録'!$X$5:$X$3004,$M50)="","",INDEX('潜水記録'!$X$5:$X$3004,$M50)))</f>
        <v/>
      </c>
      <c r="J50" s="15">
        <f>IF($A50="","",IF(INDEX('潜水記録'!$O$5:$O$3004,$M50)="","",INDEX('潜水記録'!$O$5:$O$3004,$M50)))</f>
        <v/>
      </c>
      <c r="K50" s="15">
        <f>IF($A50="","",IF(INDEX('潜水記録'!$P$5:$P$3004,$M50)="","",INDEX('潜水記録'!$P$5:$P$3004,$M50)))</f>
        <v/>
      </c>
      <c r="L50" s="14">
        <f>IF($A50="","",IF(INDEX('潜水記録'!$Q$5:$Q$3004,$M50)="","",INDEX('潜水記録'!$Q$5:$Q$3004,$M50)))</f>
        <v/>
      </c>
      <c r="M50" s="20">
        <f>IF($A50="","",MATCH($A50,'潜水記録'!$AG$5:$AG$3004,0))</f>
        <v/>
      </c>
    </row>
    <row r="51">
      <c r="A51" s="15">
        <f>IF(42&lt;=$C$6,42,"")</f>
        <v/>
      </c>
      <c r="B51" s="16">
        <f>IF($A51="","",IF(INDEX('潜水記録'!$A$5:$A$3004,$M51)="","",INDEX('潜水記録'!$A$5:$A$3004,$M51)))</f>
        <v/>
      </c>
      <c r="C51" s="15">
        <f>IF($A51="","",IF(INDEX('潜水記録'!$D$5:$D$3004,$M51)="","",INDEX('潜水記録'!$D$5:$D$3004,$M51)))</f>
        <v/>
      </c>
      <c r="D51" s="14">
        <f>IF($A51="","",IF(INDEX('潜水記録'!$E$5:$E$3004,$M51)="","",INDEX('潜水記録'!$E$5:$E$3004,$M51)))</f>
        <v/>
      </c>
      <c r="E51" s="14">
        <f>IF($A51="","",IF(INDEX('潜水記録'!$F$5:$F$3004,$M51)="","",INDEX('潜水記録'!$F$5:$F$3004,$M51)))</f>
        <v/>
      </c>
      <c r="F51" s="15">
        <f>IF($A51="","",IF(INDEX('潜水記録'!$G$5:$G$3004,$M51)="","",INDEX('潜水記録'!$G$5:$G$3004,$M51)))</f>
        <v/>
      </c>
      <c r="G51" s="15">
        <f>IF($A51="","",IF(INDEX('潜水記録'!$H$5:$H$3004,$M51)="","",INDEX('潜水記録'!$H$5:$H$3004,$M51)))</f>
        <v/>
      </c>
      <c r="H51" s="15">
        <f>IF($A51="","",IF(INDEX('潜水記録'!$I$5:$I$3004,$M51)="","",INDEX('潜水記録'!$I$5:$I$3004,$M51)))</f>
        <v/>
      </c>
      <c r="I51" s="15">
        <f>IF($A51="","",IF(INDEX('潜水記録'!$X$5:$X$3004,$M51)="","",INDEX('潜水記録'!$X$5:$X$3004,$M51)))</f>
        <v/>
      </c>
      <c r="J51" s="15">
        <f>IF($A51="","",IF(INDEX('潜水記録'!$O$5:$O$3004,$M51)="","",INDEX('潜水記録'!$O$5:$O$3004,$M51)))</f>
        <v/>
      </c>
      <c r="K51" s="15">
        <f>IF($A51="","",IF(INDEX('潜水記録'!$P$5:$P$3004,$M51)="","",INDEX('潜水記録'!$P$5:$P$3004,$M51)))</f>
        <v/>
      </c>
      <c r="L51" s="14">
        <f>IF($A51="","",IF(INDEX('潜水記録'!$Q$5:$Q$3004,$M51)="","",INDEX('潜水記録'!$Q$5:$Q$3004,$M51)))</f>
        <v/>
      </c>
      <c r="M51" s="20">
        <f>IF($A51="","",MATCH($A51,'潜水記録'!$AG$5:$AG$3004,0))</f>
        <v/>
      </c>
    </row>
    <row r="52">
      <c r="A52" s="15">
        <f>IF(43&lt;=$C$6,43,"")</f>
        <v/>
      </c>
      <c r="B52" s="16">
        <f>IF($A52="","",IF(INDEX('潜水記録'!$A$5:$A$3004,$M52)="","",INDEX('潜水記録'!$A$5:$A$3004,$M52)))</f>
        <v/>
      </c>
      <c r="C52" s="15">
        <f>IF($A52="","",IF(INDEX('潜水記録'!$D$5:$D$3004,$M52)="","",INDEX('潜水記録'!$D$5:$D$3004,$M52)))</f>
        <v/>
      </c>
      <c r="D52" s="14">
        <f>IF($A52="","",IF(INDEX('潜水記録'!$E$5:$E$3004,$M52)="","",INDEX('潜水記録'!$E$5:$E$3004,$M52)))</f>
        <v/>
      </c>
      <c r="E52" s="14">
        <f>IF($A52="","",IF(INDEX('潜水記録'!$F$5:$F$3004,$M52)="","",INDEX('潜水記録'!$F$5:$F$3004,$M52)))</f>
        <v/>
      </c>
      <c r="F52" s="15">
        <f>IF($A52="","",IF(INDEX('潜水記録'!$G$5:$G$3004,$M52)="","",INDEX('潜水記録'!$G$5:$G$3004,$M52)))</f>
        <v/>
      </c>
      <c r="G52" s="15">
        <f>IF($A52="","",IF(INDEX('潜水記録'!$H$5:$H$3004,$M52)="","",INDEX('潜水記録'!$H$5:$H$3004,$M52)))</f>
        <v/>
      </c>
      <c r="H52" s="15">
        <f>IF($A52="","",IF(INDEX('潜水記録'!$I$5:$I$3004,$M52)="","",INDEX('潜水記録'!$I$5:$I$3004,$M52)))</f>
        <v/>
      </c>
      <c r="I52" s="15">
        <f>IF($A52="","",IF(INDEX('潜水記録'!$X$5:$X$3004,$M52)="","",INDEX('潜水記録'!$X$5:$X$3004,$M52)))</f>
        <v/>
      </c>
      <c r="J52" s="15">
        <f>IF($A52="","",IF(INDEX('潜水記録'!$O$5:$O$3004,$M52)="","",INDEX('潜水記録'!$O$5:$O$3004,$M52)))</f>
        <v/>
      </c>
      <c r="K52" s="15">
        <f>IF($A52="","",IF(INDEX('潜水記録'!$P$5:$P$3004,$M52)="","",INDEX('潜水記録'!$P$5:$P$3004,$M52)))</f>
        <v/>
      </c>
      <c r="L52" s="14">
        <f>IF($A52="","",IF(INDEX('潜水記録'!$Q$5:$Q$3004,$M52)="","",INDEX('潜水記録'!$Q$5:$Q$3004,$M52)))</f>
        <v/>
      </c>
      <c r="M52" s="20">
        <f>IF($A52="","",MATCH($A52,'潜水記録'!$AG$5:$AG$3004,0))</f>
        <v/>
      </c>
    </row>
    <row r="53">
      <c r="A53" s="15">
        <f>IF(44&lt;=$C$6,44,"")</f>
        <v/>
      </c>
      <c r="B53" s="16">
        <f>IF($A53="","",IF(INDEX('潜水記録'!$A$5:$A$3004,$M53)="","",INDEX('潜水記録'!$A$5:$A$3004,$M53)))</f>
        <v/>
      </c>
      <c r="C53" s="15">
        <f>IF($A53="","",IF(INDEX('潜水記録'!$D$5:$D$3004,$M53)="","",INDEX('潜水記録'!$D$5:$D$3004,$M53)))</f>
        <v/>
      </c>
      <c r="D53" s="14">
        <f>IF($A53="","",IF(INDEX('潜水記録'!$E$5:$E$3004,$M53)="","",INDEX('潜水記録'!$E$5:$E$3004,$M53)))</f>
        <v/>
      </c>
      <c r="E53" s="14">
        <f>IF($A53="","",IF(INDEX('潜水記録'!$F$5:$F$3004,$M53)="","",INDEX('潜水記録'!$F$5:$F$3004,$M53)))</f>
        <v/>
      </c>
      <c r="F53" s="15">
        <f>IF($A53="","",IF(INDEX('潜水記録'!$G$5:$G$3004,$M53)="","",INDEX('潜水記録'!$G$5:$G$3004,$M53)))</f>
        <v/>
      </c>
      <c r="G53" s="15">
        <f>IF($A53="","",IF(INDEX('潜水記録'!$H$5:$H$3004,$M53)="","",INDEX('潜水記録'!$H$5:$H$3004,$M53)))</f>
        <v/>
      </c>
      <c r="H53" s="15">
        <f>IF($A53="","",IF(INDEX('潜水記録'!$I$5:$I$3004,$M53)="","",INDEX('潜水記録'!$I$5:$I$3004,$M53)))</f>
        <v/>
      </c>
      <c r="I53" s="15">
        <f>IF($A53="","",IF(INDEX('潜水記録'!$X$5:$X$3004,$M53)="","",INDEX('潜水記録'!$X$5:$X$3004,$M53)))</f>
        <v/>
      </c>
      <c r="J53" s="15">
        <f>IF($A53="","",IF(INDEX('潜水記録'!$O$5:$O$3004,$M53)="","",INDEX('潜水記録'!$O$5:$O$3004,$M53)))</f>
        <v/>
      </c>
      <c r="K53" s="15">
        <f>IF($A53="","",IF(INDEX('潜水記録'!$P$5:$P$3004,$M53)="","",INDEX('潜水記録'!$P$5:$P$3004,$M53)))</f>
        <v/>
      </c>
      <c r="L53" s="14">
        <f>IF($A53="","",IF(INDEX('潜水記録'!$Q$5:$Q$3004,$M53)="","",INDEX('潜水記録'!$Q$5:$Q$3004,$M53)))</f>
        <v/>
      </c>
      <c r="M53" s="20">
        <f>IF($A53="","",MATCH($A53,'潜水記録'!$AG$5:$AG$3004,0))</f>
        <v/>
      </c>
    </row>
    <row r="54">
      <c r="A54" s="15">
        <f>IF(45&lt;=$C$6,45,"")</f>
        <v/>
      </c>
      <c r="B54" s="16">
        <f>IF($A54="","",IF(INDEX('潜水記録'!$A$5:$A$3004,$M54)="","",INDEX('潜水記録'!$A$5:$A$3004,$M54)))</f>
        <v/>
      </c>
      <c r="C54" s="15">
        <f>IF($A54="","",IF(INDEX('潜水記録'!$D$5:$D$3004,$M54)="","",INDEX('潜水記録'!$D$5:$D$3004,$M54)))</f>
        <v/>
      </c>
      <c r="D54" s="14">
        <f>IF($A54="","",IF(INDEX('潜水記録'!$E$5:$E$3004,$M54)="","",INDEX('潜水記録'!$E$5:$E$3004,$M54)))</f>
        <v/>
      </c>
      <c r="E54" s="14">
        <f>IF($A54="","",IF(INDEX('潜水記録'!$F$5:$F$3004,$M54)="","",INDEX('潜水記録'!$F$5:$F$3004,$M54)))</f>
        <v/>
      </c>
      <c r="F54" s="15">
        <f>IF($A54="","",IF(INDEX('潜水記録'!$G$5:$G$3004,$M54)="","",INDEX('潜水記録'!$G$5:$G$3004,$M54)))</f>
        <v/>
      </c>
      <c r="G54" s="15">
        <f>IF($A54="","",IF(INDEX('潜水記録'!$H$5:$H$3004,$M54)="","",INDEX('潜水記録'!$H$5:$H$3004,$M54)))</f>
        <v/>
      </c>
      <c r="H54" s="15">
        <f>IF($A54="","",IF(INDEX('潜水記録'!$I$5:$I$3004,$M54)="","",INDEX('潜水記録'!$I$5:$I$3004,$M54)))</f>
        <v/>
      </c>
      <c r="I54" s="15">
        <f>IF($A54="","",IF(INDEX('潜水記録'!$X$5:$X$3004,$M54)="","",INDEX('潜水記録'!$X$5:$X$3004,$M54)))</f>
        <v/>
      </c>
      <c r="J54" s="15">
        <f>IF($A54="","",IF(INDEX('潜水記録'!$O$5:$O$3004,$M54)="","",INDEX('潜水記録'!$O$5:$O$3004,$M54)))</f>
        <v/>
      </c>
      <c r="K54" s="15">
        <f>IF($A54="","",IF(INDEX('潜水記録'!$P$5:$P$3004,$M54)="","",INDEX('潜水記録'!$P$5:$P$3004,$M54)))</f>
        <v/>
      </c>
      <c r="L54" s="14">
        <f>IF($A54="","",IF(INDEX('潜水記録'!$Q$5:$Q$3004,$M54)="","",INDEX('潜水記録'!$Q$5:$Q$3004,$M54)))</f>
        <v/>
      </c>
      <c r="M54" s="20">
        <f>IF($A54="","",MATCH($A54,'潜水記録'!$AG$5:$AG$3004,0))</f>
        <v/>
      </c>
    </row>
    <row r="55">
      <c r="A55" s="15">
        <f>IF(46&lt;=$C$6,46,"")</f>
        <v/>
      </c>
      <c r="B55" s="16">
        <f>IF($A55="","",IF(INDEX('潜水記録'!$A$5:$A$3004,$M55)="","",INDEX('潜水記録'!$A$5:$A$3004,$M55)))</f>
        <v/>
      </c>
      <c r="C55" s="15">
        <f>IF($A55="","",IF(INDEX('潜水記録'!$D$5:$D$3004,$M55)="","",INDEX('潜水記録'!$D$5:$D$3004,$M55)))</f>
        <v/>
      </c>
      <c r="D55" s="14">
        <f>IF($A55="","",IF(INDEX('潜水記録'!$E$5:$E$3004,$M55)="","",INDEX('潜水記録'!$E$5:$E$3004,$M55)))</f>
        <v/>
      </c>
      <c r="E55" s="14">
        <f>IF($A55="","",IF(INDEX('潜水記録'!$F$5:$F$3004,$M55)="","",INDEX('潜水記録'!$F$5:$F$3004,$M55)))</f>
        <v/>
      </c>
      <c r="F55" s="15">
        <f>IF($A55="","",IF(INDEX('潜水記録'!$G$5:$G$3004,$M55)="","",INDEX('潜水記録'!$G$5:$G$3004,$M55)))</f>
        <v/>
      </c>
      <c r="G55" s="15">
        <f>IF($A55="","",IF(INDEX('潜水記録'!$H$5:$H$3004,$M55)="","",INDEX('潜水記録'!$H$5:$H$3004,$M55)))</f>
        <v/>
      </c>
      <c r="H55" s="15">
        <f>IF($A55="","",IF(INDEX('潜水記録'!$I$5:$I$3004,$M55)="","",INDEX('潜水記録'!$I$5:$I$3004,$M55)))</f>
        <v/>
      </c>
      <c r="I55" s="15">
        <f>IF($A55="","",IF(INDEX('潜水記録'!$X$5:$X$3004,$M55)="","",INDEX('潜水記録'!$X$5:$X$3004,$M55)))</f>
        <v/>
      </c>
      <c r="J55" s="15">
        <f>IF($A55="","",IF(INDEX('潜水記録'!$O$5:$O$3004,$M55)="","",INDEX('潜水記録'!$O$5:$O$3004,$M55)))</f>
        <v/>
      </c>
      <c r="K55" s="15">
        <f>IF($A55="","",IF(INDEX('潜水記録'!$P$5:$P$3004,$M55)="","",INDEX('潜水記録'!$P$5:$P$3004,$M55)))</f>
        <v/>
      </c>
      <c r="L55" s="14">
        <f>IF($A55="","",IF(INDEX('潜水記録'!$Q$5:$Q$3004,$M55)="","",INDEX('潜水記録'!$Q$5:$Q$3004,$M55)))</f>
        <v/>
      </c>
      <c r="M55" s="20">
        <f>IF($A55="","",MATCH($A55,'潜水記録'!$AG$5:$AG$3004,0))</f>
        <v/>
      </c>
    </row>
    <row r="56">
      <c r="A56" s="15">
        <f>IF(47&lt;=$C$6,47,"")</f>
        <v/>
      </c>
      <c r="B56" s="16">
        <f>IF($A56="","",IF(INDEX('潜水記録'!$A$5:$A$3004,$M56)="","",INDEX('潜水記録'!$A$5:$A$3004,$M56)))</f>
        <v/>
      </c>
      <c r="C56" s="15">
        <f>IF($A56="","",IF(INDEX('潜水記録'!$D$5:$D$3004,$M56)="","",INDEX('潜水記録'!$D$5:$D$3004,$M56)))</f>
        <v/>
      </c>
      <c r="D56" s="14">
        <f>IF($A56="","",IF(INDEX('潜水記録'!$E$5:$E$3004,$M56)="","",INDEX('潜水記録'!$E$5:$E$3004,$M56)))</f>
        <v/>
      </c>
      <c r="E56" s="14">
        <f>IF($A56="","",IF(INDEX('潜水記録'!$F$5:$F$3004,$M56)="","",INDEX('潜水記録'!$F$5:$F$3004,$M56)))</f>
        <v/>
      </c>
      <c r="F56" s="15">
        <f>IF($A56="","",IF(INDEX('潜水記録'!$G$5:$G$3004,$M56)="","",INDEX('潜水記録'!$G$5:$G$3004,$M56)))</f>
        <v/>
      </c>
      <c r="G56" s="15">
        <f>IF($A56="","",IF(INDEX('潜水記録'!$H$5:$H$3004,$M56)="","",INDEX('潜水記録'!$H$5:$H$3004,$M56)))</f>
        <v/>
      </c>
      <c r="H56" s="15">
        <f>IF($A56="","",IF(INDEX('潜水記録'!$I$5:$I$3004,$M56)="","",INDEX('潜水記録'!$I$5:$I$3004,$M56)))</f>
        <v/>
      </c>
      <c r="I56" s="15">
        <f>IF($A56="","",IF(INDEX('潜水記録'!$X$5:$X$3004,$M56)="","",INDEX('潜水記録'!$X$5:$X$3004,$M56)))</f>
        <v/>
      </c>
      <c r="J56" s="15">
        <f>IF($A56="","",IF(INDEX('潜水記録'!$O$5:$O$3004,$M56)="","",INDEX('潜水記録'!$O$5:$O$3004,$M56)))</f>
        <v/>
      </c>
      <c r="K56" s="15">
        <f>IF($A56="","",IF(INDEX('潜水記録'!$P$5:$P$3004,$M56)="","",INDEX('潜水記録'!$P$5:$P$3004,$M56)))</f>
        <v/>
      </c>
      <c r="L56" s="14">
        <f>IF($A56="","",IF(INDEX('潜水記録'!$Q$5:$Q$3004,$M56)="","",INDEX('潜水記録'!$Q$5:$Q$3004,$M56)))</f>
        <v/>
      </c>
      <c r="M56" s="20">
        <f>IF($A56="","",MATCH($A56,'潜水記録'!$AG$5:$AG$3004,0))</f>
        <v/>
      </c>
    </row>
    <row r="57">
      <c r="A57" s="15">
        <f>IF(48&lt;=$C$6,48,"")</f>
        <v/>
      </c>
      <c r="B57" s="16">
        <f>IF($A57="","",IF(INDEX('潜水記録'!$A$5:$A$3004,$M57)="","",INDEX('潜水記録'!$A$5:$A$3004,$M57)))</f>
        <v/>
      </c>
      <c r="C57" s="15">
        <f>IF($A57="","",IF(INDEX('潜水記録'!$D$5:$D$3004,$M57)="","",INDEX('潜水記録'!$D$5:$D$3004,$M57)))</f>
        <v/>
      </c>
      <c r="D57" s="14">
        <f>IF($A57="","",IF(INDEX('潜水記録'!$E$5:$E$3004,$M57)="","",INDEX('潜水記録'!$E$5:$E$3004,$M57)))</f>
        <v/>
      </c>
      <c r="E57" s="14">
        <f>IF($A57="","",IF(INDEX('潜水記録'!$F$5:$F$3004,$M57)="","",INDEX('潜水記録'!$F$5:$F$3004,$M57)))</f>
        <v/>
      </c>
      <c r="F57" s="15">
        <f>IF($A57="","",IF(INDEX('潜水記録'!$G$5:$G$3004,$M57)="","",INDEX('潜水記録'!$G$5:$G$3004,$M57)))</f>
        <v/>
      </c>
      <c r="G57" s="15">
        <f>IF($A57="","",IF(INDEX('潜水記録'!$H$5:$H$3004,$M57)="","",INDEX('潜水記録'!$H$5:$H$3004,$M57)))</f>
        <v/>
      </c>
      <c r="H57" s="15">
        <f>IF($A57="","",IF(INDEX('潜水記録'!$I$5:$I$3004,$M57)="","",INDEX('潜水記録'!$I$5:$I$3004,$M57)))</f>
        <v/>
      </c>
      <c r="I57" s="15">
        <f>IF($A57="","",IF(INDEX('潜水記録'!$X$5:$X$3004,$M57)="","",INDEX('潜水記録'!$X$5:$X$3004,$M57)))</f>
        <v/>
      </c>
      <c r="J57" s="15">
        <f>IF($A57="","",IF(INDEX('潜水記録'!$O$5:$O$3004,$M57)="","",INDEX('潜水記録'!$O$5:$O$3004,$M57)))</f>
        <v/>
      </c>
      <c r="K57" s="15">
        <f>IF($A57="","",IF(INDEX('潜水記録'!$P$5:$P$3004,$M57)="","",INDEX('潜水記録'!$P$5:$P$3004,$M57)))</f>
        <v/>
      </c>
      <c r="L57" s="14">
        <f>IF($A57="","",IF(INDEX('潜水記録'!$Q$5:$Q$3004,$M57)="","",INDEX('潜水記録'!$Q$5:$Q$3004,$M57)))</f>
        <v/>
      </c>
      <c r="M57" s="20">
        <f>IF($A57="","",MATCH($A57,'潜水記録'!$AG$5:$AG$3004,0))</f>
        <v/>
      </c>
    </row>
    <row r="58">
      <c r="A58" s="15">
        <f>IF(49&lt;=$C$6,49,"")</f>
        <v/>
      </c>
      <c r="B58" s="16">
        <f>IF($A58="","",IF(INDEX('潜水記録'!$A$5:$A$3004,$M58)="","",INDEX('潜水記録'!$A$5:$A$3004,$M58)))</f>
        <v/>
      </c>
      <c r="C58" s="15">
        <f>IF($A58="","",IF(INDEX('潜水記録'!$D$5:$D$3004,$M58)="","",INDEX('潜水記録'!$D$5:$D$3004,$M58)))</f>
        <v/>
      </c>
      <c r="D58" s="14">
        <f>IF($A58="","",IF(INDEX('潜水記録'!$E$5:$E$3004,$M58)="","",INDEX('潜水記録'!$E$5:$E$3004,$M58)))</f>
        <v/>
      </c>
      <c r="E58" s="14">
        <f>IF($A58="","",IF(INDEX('潜水記録'!$F$5:$F$3004,$M58)="","",INDEX('潜水記録'!$F$5:$F$3004,$M58)))</f>
        <v/>
      </c>
      <c r="F58" s="15">
        <f>IF($A58="","",IF(INDEX('潜水記録'!$G$5:$G$3004,$M58)="","",INDEX('潜水記録'!$G$5:$G$3004,$M58)))</f>
        <v/>
      </c>
      <c r="G58" s="15">
        <f>IF($A58="","",IF(INDEX('潜水記録'!$H$5:$H$3004,$M58)="","",INDEX('潜水記録'!$H$5:$H$3004,$M58)))</f>
        <v/>
      </c>
      <c r="H58" s="15">
        <f>IF($A58="","",IF(INDEX('潜水記録'!$I$5:$I$3004,$M58)="","",INDEX('潜水記録'!$I$5:$I$3004,$M58)))</f>
        <v/>
      </c>
      <c r="I58" s="15">
        <f>IF($A58="","",IF(INDEX('潜水記録'!$X$5:$X$3004,$M58)="","",INDEX('潜水記録'!$X$5:$X$3004,$M58)))</f>
        <v/>
      </c>
      <c r="J58" s="15">
        <f>IF($A58="","",IF(INDEX('潜水記録'!$O$5:$O$3004,$M58)="","",INDEX('潜水記録'!$O$5:$O$3004,$M58)))</f>
        <v/>
      </c>
      <c r="K58" s="15">
        <f>IF($A58="","",IF(INDEX('潜水記録'!$P$5:$P$3004,$M58)="","",INDEX('潜水記録'!$P$5:$P$3004,$M58)))</f>
        <v/>
      </c>
      <c r="L58" s="14">
        <f>IF($A58="","",IF(INDEX('潜水記録'!$Q$5:$Q$3004,$M58)="","",INDEX('潜水記録'!$Q$5:$Q$3004,$M58)))</f>
        <v/>
      </c>
      <c r="M58" s="20">
        <f>IF($A58="","",MATCH($A58,'潜水記録'!$AG$5:$AG$3004,0))</f>
        <v/>
      </c>
    </row>
    <row r="59">
      <c r="A59" s="15">
        <f>IF(50&lt;=$C$6,50,"")</f>
        <v/>
      </c>
      <c r="B59" s="16">
        <f>IF($A59="","",IF(INDEX('潜水記録'!$A$5:$A$3004,$M59)="","",INDEX('潜水記録'!$A$5:$A$3004,$M59)))</f>
        <v/>
      </c>
      <c r="C59" s="15">
        <f>IF($A59="","",IF(INDEX('潜水記録'!$D$5:$D$3004,$M59)="","",INDEX('潜水記録'!$D$5:$D$3004,$M59)))</f>
        <v/>
      </c>
      <c r="D59" s="14">
        <f>IF($A59="","",IF(INDEX('潜水記録'!$E$5:$E$3004,$M59)="","",INDEX('潜水記録'!$E$5:$E$3004,$M59)))</f>
        <v/>
      </c>
      <c r="E59" s="14">
        <f>IF($A59="","",IF(INDEX('潜水記録'!$F$5:$F$3004,$M59)="","",INDEX('潜水記録'!$F$5:$F$3004,$M59)))</f>
        <v/>
      </c>
      <c r="F59" s="15">
        <f>IF($A59="","",IF(INDEX('潜水記録'!$G$5:$G$3004,$M59)="","",INDEX('潜水記録'!$G$5:$G$3004,$M59)))</f>
        <v/>
      </c>
      <c r="G59" s="15">
        <f>IF($A59="","",IF(INDEX('潜水記録'!$H$5:$H$3004,$M59)="","",INDEX('潜水記録'!$H$5:$H$3004,$M59)))</f>
        <v/>
      </c>
      <c r="H59" s="15">
        <f>IF($A59="","",IF(INDEX('潜水記録'!$I$5:$I$3004,$M59)="","",INDEX('潜水記録'!$I$5:$I$3004,$M59)))</f>
        <v/>
      </c>
      <c r="I59" s="15">
        <f>IF($A59="","",IF(INDEX('潜水記録'!$X$5:$X$3004,$M59)="","",INDEX('潜水記録'!$X$5:$X$3004,$M59)))</f>
        <v/>
      </c>
      <c r="J59" s="15">
        <f>IF($A59="","",IF(INDEX('潜水記録'!$O$5:$O$3004,$M59)="","",INDEX('潜水記録'!$O$5:$O$3004,$M59)))</f>
        <v/>
      </c>
      <c r="K59" s="15">
        <f>IF($A59="","",IF(INDEX('潜水記録'!$P$5:$P$3004,$M59)="","",INDEX('潜水記録'!$P$5:$P$3004,$M59)))</f>
        <v/>
      </c>
      <c r="L59" s="14">
        <f>IF($A59="","",IF(INDEX('潜水記録'!$Q$5:$Q$3004,$M59)="","",INDEX('潜水記録'!$Q$5:$Q$3004,$M59)))</f>
        <v/>
      </c>
      <c r="M59" s="20">
        <f>IF($A59="","",MATCH($A59,'潜水記録'!$AG$5:$AG$3004,0))</f>
        <v/>
      </c>
    </row>
    <row r="60">
      <c r="A60" s="15">
        <f>IF(51&lt;=$C$6,51,"")</f>
        <v/>
      </c>
      <c r="B60" s="16">
        <f>IF($A60="","",IF(INDEX('潜水記録'!$A$5:$A$3004,$M60)="","",INDEX('潜水記録'!$A$5:$A$3004,$M60)))</f>
        <v/>
      </c>
      <c r="C60" s="15">
        <f>IF($A60="","",IF(INDEX('潜水記録'!$D$5:$D$3004,$M60)="","",INDEX('潜水記録'!$D$5:$D$3004,$M60)))</f>
        <v/>
      </c>
      <c r="D60" s="14">
        <f>IF($A60="","",IF(INDEX('潜水記録'!$E$5:$E$3004,$M60)="","",INDEX('潜水記録'!$E$5:$E$3004,$M60)))</f>
        <v/>
      </c>
      <c r="E60" s="14">
        <f>IF($A60="","",IF(INDEX('潜水記録'!$F$5:$F$3004,$M60)="","",INDEX('潜水記録'!$F$5:$F$3004,$M60)))</f>
        <v/>
      </c>
      <c r="F60" s="15">
        <f>IF($A60="","",IF(INDEX('潜水記録'!$G$5:$G$3004,$M60)="","",INDEX('潜水記録'!$G$5:$G$3004,$M60)))</f>
        <v/>
      </c>
      <c r="G60" s="15">
        <f>IF($A60="","",IF(INDEX('潜水記録'!$H$5:$H$3004,$M60)="","",INDEX('潜水記録'!$H$5:$H$3004,$M60)))</f>
        <v/>
      </c>
      <c r="H60" s="15">
        <f>IF($A60="","",IF(INDEX('潜水記録'!$I$5:$I$3004,$M60)="","",INDEX('潜水記録'!$I$5:$I$3004,$M60)))</f>
        <v/>
      </c>
      <c r="I60" s="15">
        <f>IF($A60="","",IF(INDEX('潜水記録'!$X$5:$X$3004,$M60)="","",INDEX('潜水記録'!$X$5:$X$3004,$M60)))</f>
        <v/>
      </c>
      <c r="J60" s="15">
        <f>IF($A60="","",IF(INDEX('潜水記録'!$O$5:$O$3004,$M60)="","",INDEX('潜水記録'!$O$5:$O$3004,$M60)))</f>
        <v/>
      </c>
      <c r="K60" s="15">
        <f>IF($A60="","",IF(INDEX('潜水記録'!$P$5:$P$3004,$M60)="","",INDEX('潜水記録'!$P$5:$P$3004,$M60)))</f>
        <v/>
      </c>
      <c r="L60" s="14">
        <f>IF($A60="","",IF(INDEX('潜水記録'!$Q$5:$Q$3004,$M60)="","",INDEX('潜水記録'!$Q$5:$Q$3004,$M60)))</f>
        <v/>
      </c>
      <c r="M60" s="20">
        <f>IF($A60="","",MATCH($A60,'潜水記録'!$AG$5:$AG$3004,0))</f>
        <v/>
      </c>
    </row>
    <row r="61">
      <c r="A61" s="15">
        <f>IF(52&lt;=$C$6,52,"")</f>
        <v/>
      </c>
      <c r="B61" s="16">
        <f>IF($A61="","",IF(INDEX('潜水記録'!$A$5:$A$3004,$M61)="","",INDEX('潜水記録'!$A$5:$A$3004,$M61)))</f>
        <v/>
      </c>
      <c r="C61" s="15">
        <f>IF($A61="","",IF(INDEX('潜水記録'!$D$5:$D$3004,$M61)="","",INDEX('潜水記録'!$D$5:$D$3004,$M61)))</f>
        <v/>
      </c>
      <c r="D61" s="14">
        <f>IF($A61="","",IF(INDEX('潜水記録'!$E$5:$E$3004,$M61)="","",INDEX('潜水記録'!$E$5:$E$3004,$M61)))</f>
        <v/>
      </c>
      <c r="E61" s="14">
        <f>IF($A61="","",IF(INDEX('潜水記録'!$F$5:$F$3004,$M61)="","",INDEX('潜水記録'!$F$5:$F$3004,$M61)))</f>
        <v/>
      </c>
      <c r="F61" s="15">
        <f>IF($A61="","",IF(INDEX('潜水記録'!$G$5:$G$3004,$M61)="","",INDEX('潜水記録'!$G$5:$G$3004,$M61)))</f>
        <v/>
      </c>
      <c r="G61" s="15">
        <f>IF($A61="","",IF(INDEX('潜水記録'!$H$5:$H$3004,$M61)="","",INDEX('潜水記録'!$H$5:$H$3004,$M61)))</f>
        <v/>
      </c>
      <c r="H61" s="15">
        <f>IF($A61="","",IF(INDEX('潜水記録'!$I$5:$I$3004,$M61)="","",INDEX('潜水記録'!$I$5:$I$3004,$M61)))</f>
        <v/>
      </c>
      <c r="I61" s="15">
        <f>IF($A61="","",IF(INDEX('潜水記録'!$X$5:$X$3004,$M61)="","",INDEX('潜水記録'!$X$5:$X$3004,$M61)))</f>
        <v/>
      </c>
      <c r="J61" s="15">
        <f>IF($A61="","",IF(INDEX('潜水記録'!$O$5:$O$3004,$M61)="","",INDEX('潜水記録'!$O$5:$O$3004,$M61)))</f>
        <v/>
      </c>
      <c r="K61" s="15">
        <f>IF($A61="","",IF(INDEX('潜水記録'!$P$5:$P$3004,$M61)="","",INDEX('潜水記録'!$P$5:$P$3004,$M61)))</f>
        <v/>
      </c>
      <c r="L61" s="14">
        <f>IF($A61="","",IF(INDEX('潜水記録'!$Q$5:$Q$3004,$M61)="","",INDEX('潜水記録'!$Q$5:$Q$3004,$M61)))</f>
        <v/>
      </c>
      <c r="M61" s="20">
        <f>IF($A61="","",MATCH($A61,'潜水記録'!$AG$5:$AG$3004,0))</f>
        <v/>
      </c>
    </row>
    <row r="62">
      <c r="A62" s="15">
        <f>IF(53&lt;=$C$6,53,"")</f>
        <v/>
      </c>
      <c r="B62" s="16">
        <f>IF($A62="","",IF(INDEX('潜水記録'!$A$5:$A$3004,$M62)="","",INDEX('潜水記録'!$A$5:$A$3004,$M62)))</f>
        <v/>
      </c>
      <c r="C62" s="15">
        <f>IF($A62="","",IF(INDEX('潜水記録'!$D$5:$D$3004,$M62)="","",INDEX('潜水記録'!$D$5:$D$3004,$M62)))</f>
        <v/>
      </c>
      <c r="D62" s="14">
        <f>IF($A62="","",IF(INDEX('潜水記録'!$E$5:$E$3004,$M62)="","",INDEX('潜水記録'!$E$5:$E$3004,$M62)))</f>
        <v/>
      </c>
      <c r="E62" s="14">
        <f>IF($A62="","",IF(INDEX('潜水記録'!$F$5:$F$3004,$M62)="","",INDEX('潜水記録'!$F$5:$F$3004,$M62)))</f>
        <v/>
      </c>
      <c r="F62" s="15">
        <f>IF($A62="","",IF(INDEX('潜水記録'!$G$5:$G$3004,$M62)="","",INDEX('潜水記録'!$G$5:$G$3004,$M62)))</f>
        <v/>
      </c>
      <c r="G62" s="15">
        <f>IF($A62="","",IF(INDEX('潜水記録'!$H$5:$H$3004,$M62)="","",INDEX('潜水記録'!$H$5:$H$3004,$M62)))</f>
        <v/>
      </c>
      <c r="H62" s="15">
        <f>IF($A62="","",IF(INDEX('潜水記録'!$I$5:$I$3004,$M62)="","",INDEX('潜水記録'!$I$5:$I$3004,$M62)))</f>
        <v/>
      </c>
      <c r="I62" s="15">
        <f>IF($A62="","",IF(INDEX('潜水記録'!$X$5:$X$3004,$M62)="","",INDEX('潜水記録'!$X$5:$X$3004,$M62)))</f>
        <v/>
      </c>
      <c r="J62" s="15">
        <f>IF($A62="","",IF(INDEX('潜水記録'!$O$5:$O$3004,$M62)="","",INDEX('潜水記録'!$O$5:$O$3004,$M62)))</f>
        <v/>
      </c>
      <c r="K62" s="15">
        <f>IF($A62="","",IF(INDEX('潜水記録'!$P$5:$P$3004,$M62)="","",INDEX('潜水記録'!$P$5:$P$3004,$M62)))</f>
        <v/>
      </c>
      <c r="L62" s="14">
        <f>IF($A62="","",IF(INDEX('潜水記録'!$Q$5:$Q$3004,$M62)="","",INDEX('潜水記録'!$Q$5:$Q$3004,$M62)))</f>
        <v/>
      </c>
      <c r="M62" s="20">
        <f>IF($A62="","",MATCH($A62,'潜水記録'!$AG$5:$AG$3004,0))</f>
        <v/>
      </c>
    </row>
    <row r="63">
      <c r="A63" s="15">
        <f>IF(54&lt;=$C$6,54,"")</f>
        <v/>
      </c>
      <c r="B63" s="16">
        <f>IF($A63="","",IF(INDEX('潜水記録'!$A$5:$A$3004,$M63)="","",INDEX('潜水記録'!$A$5:$A$3004,$M63)))</f>
        <v/>
      </c>
      <c r="C63" s="15">
        <f>IF($A63="","",IF(INDEX('潜水記録'!$D$5:$D$3004,$M63)="","",INDEX('潜水記録'!$D$5:$D$3004,$M63)))</f>
        <v/>
      </c>
      <c r="D63" s="14">
        <f>IF($A63="","",IF(INDEX('潜水記録'!$E$5:$E$3004,$M63)="","",INDEX('潜水記録'!$E$5:$E$3004,$M63)))</f>
        <v/>
      </c>
      <c r="E63" s="14">
        <f>IF($A63="","",IF(INDEX('潜水記録'!$F$5:$F$3004,$M63)="","",INDEX('潜水記録'!$F$5:$F$3004,$M63)))</f>
        <v/>
      </c>
      <c r="F63" s="15">
        <f>IF($A63="","",IF(INDEX('潜水記録'!$G$5:$G$3004,$M63)="","",INDEX('潜水記録'!$G$5:$G$3004,$M63)))</f>
        <v/>
      </c>
      <c r="G63" s="15">
        <f>IF($A63="","",IF(INDEX('潜水記録'!$H$5:$H$3004,$M63)="","",INDEX('潜水記録'!$H$5:$H$3004,$M63)))</f>
        <v/>
      </c>
      <c r="H63" s="15">
        <f>IF($A63="","",IF(INDEX('潜水記録'!$I$5:$I$3004,$M63)="","",INDEX('潜水記録'!$I$5:$I$3004,$M63)))</f>
        <v/>
      </c>
      <c r="I63" s="15">
        <f>IF($A63="","",IF(INDEX('潜水記録'!$X$5:$X$3004,$M63)="","",INDEX('潜水記録'!$X$5:$X$3004,$M63)))</f>
        <v/>
      </c>
      <c r="J63" s="15">
        <f>IF($A63="","",IF(INDEX('潜水記録'!$O$5:$O$3004,$M63)="","",INDEX('潜水記録'!$O$5:$O$3004,$M63)))</f>
        <v/>
      </c>
      <c r="K63" s="15">
        <f>IF($A63="","",IF(INDEX('潜水記録'!$P$5:$P$3004,$M63)="","",INDEX('潜水記録'!$P$5:$P$3004,$M63)))</f>
        <v/>
      </c>
      <c r="L63" s="14">
        <f>IF($A63="","",IF(INDEX('潜水記録'!$Q$5:$Q$3004,$M63)="","",INDEX('潜水記録'!$Q$5:$Q$3004,$M63)))</f>
        <v/>
      </c>
      <c r="M63" s="20">
        <f>IF($A63="","",MATCH($A63,'潜水記録'!$AG$5:$AG$3004,0))</f>
        <v/>
      </c>
    </row>
    <row r="64">
      <c r="A64" s="15">
        <f>IF(55&lt;=$C$6,55,"")</f>
        <v/>
      </c>
      <c r="B64" s="16">
        <f>IF($A64="","",IF(INDEX('潜水記録'!$A$5:$A$3004,$M64)="","",INDEX('潜水記録'!$A$5:$A$3004,$M64)))</f>
        <v/>
      </c>
      <c r="C64" s="15">
        <f>IF($A64="","",IF(INDEX('潜水記録'!$D$5:$D$3004,$M64)="","",INDEX('潜水記録'!$D$5:$D$3004,$M64)))</f>
        <v/>
      </c>
      <c r="D64" s="14">
        <f>IF($A64="","",IF(INDEX('潜水記録'!$E$5:$E$3004,$M64)="","",INDEX('潜水記録'!$E$5:$E$3004,$M64)))</f>
        <v/>
      </c>
      <c r="E64" s="14">
        <f>IF($A64="","",IF(INDEX('潜水記録'!$F$5:$F$3004,$M64)="","",INDEX('潜水記録'!$F$5:$F$3004,$M64)))</f>
        <v/>
      </c>
      <c r="F64" s="15">
        <f>IF($A64="","",IF(INDEX('潜水記録'!$G$5:$G$3004,$M64)="","",INDEX('潜水記録'!$G$5:$G$3004,$M64)))</f>
        <v/>
      </c>
      <c r="G64" s="15">
        <f>IF($A64="","",IF(INDEX('潜水記録'!$H$5:$H$3004,$M64)="","",INDEX('潜水記録'!$H$5:$H$3004,$M64)))</f>
        <v/>
      </c>
      <c r="H64" s="15">
        <f>IF($A64="","",IF(INDEX('潜水記録'!$I$5:$I$3004,$M64)="","",INDEX('潜水記録'!$I$5:$I$3004,$M64)))</f>
        <v/>
      </c>
      <c r="I64" s="15">
        <f>IF($A64="","",IF(INDEX('潜水記録'!$X$5:$X$3004,$M64)="","",INDEX('潜水記録'!$X$5:$X$3004,$M64)))</f>
        <v/>
      </c>
      <c r="J64" s="15">
        <f>IF($A64="","",IF(INDEX('潜水記録'!$O$5:$O$3004,$M64)="","",INDEX('潜水記録'!$O$5:$O$3004,$M64)))</f>
        <v/>
      </c>
      <c r="K64" s="15">
        <f>IF($A64="","",IF(INDEX('潜水記録'!$P$5:$P$3004,$M64)="","",INDEX('潜水記録'!$P$5:$P$3004,$M64)))</f>
        <v/>
      </c>
      <c r="L64" s="14">
        <f>IF($A64="","",IF(INDEX('潜水記録'!$Q$5:$Q$3004,$M64)="","",INDEX('潜水記録'!$Q$5:$Q$3004,$M64)))</f>
        <v/>
      </c>
      <c r="M64" s="20">
        <f>IF($A64="","",MATCH($A64,'潜水記録'!$AG$5:$AG$3004,0))</f>
        <v/>
      </c>
    </row>
    <row r="65">
      <c r="A65" s="15">
        <f>IF(56&lt;=$C$6,56,"")</f>
        <v/>
      </c>
      <c r="B65" s="16">
        <f>IF($A65="","",IF(INDEX('潜水記録'!$A$5:$A$3004,$M65)="","",INDEX('潜水記録'!$A$5:$A$3004,$M65)))</f>
        <v/>
      </c>
      <c r="C65" s="15">
        <f>IF($A65="","",IF(INDEX('潜水記録'!$D$5:$D$3004,$M65)="","",INDEX('潜水記録'!$D$5:$D$3004,$M65)))</f>
        <v/>
      </c>
      <c r="D65" s="14">
        <f>IF($A65="","",IF(INDEX('潜水記録'!$E$5:$E$3004,$M65)="","",INDEX('潜水記録'!$E$5:$E$3004,$M65)))</f>
        <v/>
      </c>
      <c r="E65" s="14">
        <f>IF($A65="","",IF(INDEX('潜水記録'!$F$5:$F$3004,$M65)="","",INDEX('潜水記録'!$F$5:$F$3004,$M65)))</f>
        <v/>
      </c>
      <c r="F65" s="15">
        <f>IF($A65="","",IF(INDEX('潜水記録'!$G$5:$G$3004,$M65)="","",INDEX('潜水記録'!$G$5:$G$3004,$M65)))</f>
        <v/>
      </c>
      <c r="G65" s="15">
        <f>IF($A65="","",IF(INDEX('潜水記録'!$H$5:$H$3004,$M65)="","",INDEX('潜水記録'!$H$5:$H$3004,$M65)))</f>
        <v/>
      </c>
      <c r="H65" s="15">
        <f>IF($A65="","",IF(INDEX('潜水記録'!$I$5:$I$3004,$M65)="","",INDEX('潜水記録'!$I$5:$I$3004,$M65)))</f>
        <v/>
      </c>
      <c r="I65" s="15">
        <f>IF($A65="","",IF(INDEX('潜水記録'!$X$5:$X$3004,$M65)="","",INDEX('潜水記録'!$X$5:$X$3004,$M65)))</f>
        <v/>
      </c>
      <c r="J65" s="15">
        <f>IF($A65="","",IF(INDEX('潜水記録'!$O$5:$O$3004,$M65)="","",INDEX('潜水記録'!$O$5:$O$3004,$M65)))</f>
        <v/>
      </c>
      <c r="K65" s="15">
        <f>IF($A65="","",IF(INDEX('潜水記録'!$P$5:$P$3004,$M65)="","",INDEX('潜水記録'!$P$5:$P$3004,$M65)))</f>
        <v/>
      </c>
      <c r="L65" s="14">
        <f>IF($A65="","",IF(INDEX('潜水記録'!$Q$5:$Q$3004,$M65)="","",INDEX('潜水記録'!$Q$5:$Q$3004,$M65)))</f>
        <v/>
      </c>
      <c r="M65" s="20">
        <f>IF($A65="","",MATCH($A65,'潜水記録'!$AG$5:$AG$3004,0))</f>
        <v/>
      </c>
    </row>
    <row r="66">
      <c r="A66" s="15">
        <f>IF(57&lt;=$C$6,57,"")</f>
        <v/>
      </c>
      <c r="B66" s="16">
        <f>IF($A66="","",IF(INDEX('潜水記録'!$A$5:$A$3004,$M66)="","",INDEX('潜水記録'!$A$5:$A$3004,$M66)))</f>
        <v/>
      </c>
      <c r="C66" s="15">
        <f>IF($A66="","",IF(INDEX('潜水記録'!$D$5:$D$3004,$M66)="","",INDEX('潜水記録'!$D$5:$D$3004,$M66)))</f>
        <v/>
      </c>
      <c r="D66" s="14">
        <f>IF($A66="","",IF(INDEX('潜水記録'!$E$5:$E$3004,$M66)="","",INDEX('潜水記録'!$E$5:$E$3004,$M66)))</f>
        <v/>
      </c>
      <c r="E66" s="14">
        <f>IF($A66="","",IF(INDEX('潜水記録'!$F$5:$F$3004,$M66)="","",INDEX('潜水記録'!$F$5:$F$3004,$M66)))</f>
        <v/>
      </c>
      <c r="F66" s="15">
        <f>IF($A66="","",IF(INDEX('潜水記録'!$G$5:$G$3004,$M66)="","",INDEX('潜水記録'!$G$5:$G$3004,$M66)))</f>
        <v/>
      </c>
      <c r="G66" s="15">
        <f>IF($A66="","",IF(INDEX('潜水記録'!$H$5:$H$3004,$M66)="","",INDEX('潜水記録'!$H$5:$H$3004,$M66)))</f>
        <v/>
      </c>
      <c r="H66" s="15">
        <f>IF($A66="","",IF(INDEX('潜水記録'!$I$5:$I$3004,$M66)="","",INDEX('潜水記録'!$I$5:$I$3004,$M66)))</f>
        <v/>
      </c>
      <c r="I66" s="15">
        <f>IF($A66="","",IF(INDEX('潜水記録'!$X$5:$X$3004,$M66)="","",INDEX('潜水記録'!$X$5:$X$3004,$M66)))</f>
        <v/>
      </c>
      <c r="J66" s="15">
        <f>IF($A66="","",IF(INDEX('潜水記録'!$O$5:$O$3004,$M66)="","",INDEX('潜水記録'!$O$5:$O$3004,$M66)))</f>
        <v/>
      </c>
      <c r="K66" s="15">
        <f>IF($A66="","",IF(INDEX('潜水記録'!$P$5:$P$3004,$M66)="","",INDEX('潜水記録'!$P$5:$P$3004,$M66)))</f>
        <v/>
      </c>
      <c r="L66" s="14">
        <f>IF($A66="","",IF(INDEX('潜水記録'!$Q$5:$Q$3004,$M66)="","",INDEX('潜水記録'!$Q$5:$Q$3004,$M66)))</f>
        <v/>
      </c>
      <c r="M66" s="20">
        <f>IF($A66="","",MATCH($A66,'潜水記録'!$AG$5:$AG$3004,0))</f>
        <v/>
      </c>
    </row>
    <row r="67">
      <c r="A67" s="15">
        <f>IF(58&lt;=$C$6,58,"")</f>
        <v/>
      </c>
      <c r="B67" s="16">
        <f>IF($A67="","",IF(INDEX('潜水記録'!$A$5:$A$3004,$M67)="","",INDEX('潜水記録'!$A$5:$A$3004,$M67)))</f>
        <v/>
      </c>
      <c r="C67" s="15">
        <f>IF($A67="","",IF(INDEX('潜水記録'!$D$5:$D$3004,$M67)="","",INDEX('潜水記録'!$D$5:$D$3004,$M67)))</f>
        <v/>
      </c>
      <c r="D67" s="14">
        <f>IF($A67="","",IF(INDEX('潜水記録'!$E$5:$E$3004,$M67)="","",INDEX('潜水記録'!$E$5:$E$3004,$M67)))</f>
        <v/>
      </c>
      <c r="E67" s="14">
        <f>IF($A67="","",IF(INDEX('潜水記録'!$F$5:$F$3004,$M67)="","",INDEX('潜水記録'!$F$5:$F$3004,$M67)))</f>
        <v/>
      </c>
      <c r="F67" s="15">
        <f>IF($A67="","",IF(INDEX('潜水記録'!$G$5:$G$3004,$M67)="","",INDEX('潜水記録'!$G$5:$G$3004,$M67)))</f>
        <v/>
      </c>
      <c r="G67" s="15">
        <f>IF($A67="","",IF(INDEX('潜水記録'!$H$5:$H$3004,$M67)="","",INDEX('潜水記録'!$H$5:$H$3004,$M67)))</f>
        <v/>
      </c>
      <c r="H67" s="15">
        <f>IF($A67="","",IF(INDEX('潜水記録'!$I$5:$I$3004,$M67)="","",INDEX('潜水記録'!$I$5:$I$3004,$M67)))</f>
        <v/>
      </c>
      <c r="I67" s="15">
        <f>IF($A67="","",IF(INDEX('潜水記録'!$X$5:$X$3004,$M67)="","",INDEX('潜水記録'!$X$5:$X$3004,$M67)))</f>
        <v/>
      </c>
      <c r="J67" s="15">
        <f>IF($A67="","",IF(INDEX('潜水記録'!$O$5:$O$3004,$M67)="","",INDEX('潜水記録'!$O$5:$O$3004,$M67)))</f>
        <v/>
      </c>
      <c r="K67" s="15">
        <f>IF($A67="","",IF(INDEX('潜水記録'!$P$5:$P$3004,$M67)="","",INDEX('潜水記録'!$P$5:$P$3004,$M67)))</f>
        <v/>
      </c>
      <c r="L67" s="14">
        <f>IF($A67="","",IF(INDEX('潜水記録'!$Q$5:$Q$3004,$M67)="","",INDEX('潜水記録'!$Q$5:$Q$3004,$M67)))</f>
        <v/>
      </c>
      <c r="M67" s="20">
        <f>IF($A67="","",MATCH($A67,'潜水記録'!$AG$5:$AG$3004,0))</f>
        <v/>
      </c>
    </row>
    <row r="68">
      <c r="A68" s="15">
        <f>IF(59&lt;=$C$6,59,"")</f>
        <v/>
      </c>
      <c r="B68" s="16">
        <f>IF($A68="","",IF(INDEX('潜水記録'!$A$5:$A$3004,$M68)="","",INDEX('潜水記録'!$A$5:$A$3004,$M68)))</f>
        <v/>
      </c>
      <c r="C68" s="15">
        <f>IF($A68="","",IF(INDEX('潜水記録'!$D$5:$D$3004,$M68)="","",INDEX('潜水記録'!$D$5:$D$3004,$M68)))</f>
        <v/>
      </c>
      <c r="D68" s="14">
        <f>IF($A68="","",IF(INDEX('潜水記録'!$E$5:$E$3004,$M68)="","",INDEX('潜水記録'!$E$5:$E$3004,$M68)))</f>
        <v/>
      </c>
      <c r="E68" s="14">
        <f>IF($A68="","",IF(INDEX('潜水記録'!$F$5:$F$3004,$M68)="","",INDEX('潜水記録'!$F$5:$F$3004,$M68)))</f>
        <v/>
      </c>
      <c r="F68" s="15">
        <f>IF($A68="","",IF(INDEX('潜水記録'!$G$5:$G$3004,$M68)="","",INDEX('潜水記録'!$G$5:$G$3004,$M68)))</f>
        <v/>
      </c>
      <c r="G68" s="15">
        <f>IF($A68="","",IF(INDEX('潜水記録'!$H$5:$H$3004,$M68)="","",INDEX('潜水記録'!$H$5:$H$3004,$M68)))</f>
        <v/>
      </c>
      <c r="H68" s="15">
        <f>IF($A68="","",IF(INDEX('潜水記録'!$I$5:$I$3004,$M68)="","",INDEX('潜水記録'!$I$5:$I$3004,$M68)))</f>
        <v/>
      </c>
      <c r="I68" s="15">
        <f>IF($A68="","",IF(INDEX('潜水記録'!$X$5:$X$3004,$M68)="","",INDEX('潜水記録'!$X$5:$X$3004,$M68)))</f>
        <v/>
      </c>
      <c r="J68" s="15">
        <f>IF($A68="","",IF(INDEX('潜水記録'!$O$5:$O$3004,$M68)="","",INDEX('潜水記録'!$O$5:$O$3004,$M68)))</f>
        <v/>
      </c>
      <c r="K68" s="15">
        <f>IF($A68="","",IF(INDEX('潜水記録'!$P$5:$P$3004,$M68)="","",INDEX('潜水記録'!$P$5:$P$3004,$M68)))</f>
        <v/>
      </c>
      <c r="L68" s="14">
        <f>IF($A68="","",IF(INDEX('潜水記録'!$Q$5:$Q$3004,$M68)="","",INDEX('潜水記録'!$Q$5:$Q$3004,$M68)))</f>
        <v/>
      </c>
      <c r="M68" s="20">
        <f>IF($A68="","",MATCH($A68,'潜水記録'!$AG$5:$AG$3004,0))</f>
        <v/>
      </c>
    </row>
    <row r="69">
      <c r="A69" s="15">
        <f>IF(60&lt;=$C$6,60,"")</f>
        <v/>
      </c>
      <c r="B69" s="16">
        <f>IF($A69="","",IF(INDEX('潜水記録'!$A$5:$A$3004,$M69)="","",INDEX('潜水記録'!$A$5:$A$3004,$M69)))</f>
        <v/>
      </c>
      <c r="C69" s="15">
        <f>IF($A69="","",IF(INDEX('潜水記録'!$D$5:$D$3004,$M69)="","",INDEX('潜水記録'!$D$5:$D$3004,$M69)))</f>
        <v/>
      </c>
      <c r="D69" s="14">
        <f>IF($A69="","",IF(INDEX('潜水記録'!$E$5:$E$3004,$M69)="","",INDEX('潜水記録'!$E$5:$E$3004,$M69)))</f>
        <v/>
      </c>
      <c r="E69" s="14">
        <f>IF($A69="","",IF(INDEX('潜水記録'!$F$5:$F$3004,$M69)="","",INDEX('潜水記録'!$F$5:$F$3004,$M69)))</f>
        <v/>
      </c>
      <c r="F69" s="15">
        <f>IF($A69="","",IF(INDEX('潜水記録'!$G$5:$G$3004,$M69)="","",INDEX('潜水記録'!$G$5:$G$3004,$M69)))</f>
        <v/>
      </c>
      <c r="G69" s="15">
        <f>IF($A69="","",IF(INDEX('潜水記録'!$H$5:$H$3004,$M69)="","",INDEX('潜水記録'!$H$5:$H$3004,$M69)))</f>
        <v/>
      </c>
      <c r="H69" s="15">
        <f>IF($A69="","",IF(INDEX('潜水記録'!$I$5:$I$3004,$M69)="","",INDEX('潜水記録'!$I$5:$I$3004,$M69)))</f>
        <v/>
      </c>
      <c r="I69" s="15">
        <f>IF($A69="","",IF(INDEX('潜水記録'!$X$5:$X$3004,$M69)="","",INDEX('潜水記録'!$X$5:$X$3004,$M69)))</f>
        <v/>
      </c>
      <c r="J69" s="15">
        <f>IF($A69="","",IF(INDEX('潜水記録'!$O$5:$O$3004,$M69)="","",INDEX('潜水記録'!$O$5:$O$3004,$M69)))</f>
        <v/>
      </c>
      <c r="K69" s="15">
        <f>IF($A69="","",IF(INDEX('潜水記録'!$P$5:$P$3004,$M69)="","",INDEX('潜水記録'!$P$5:$P$3004,$M69)))</f>
        <v/>
      </c>
      <c r="L69" s="14">
        <f>IF($A69="","",IF(INDEX('潜水記録'!$Q$5:$Q$3004,$M69)="","",INDEX('潜水記録'!$Q$5:$Q$3004,$M69)))</f>
        <v/>
      </c>
      <c r="M69" s="20">
        <f>IF($A69="","",MATCH($A69,'潜水記録'!$AG$5:$AG$3004,0))</f>
        <v/>
      </c>
    </row>
    <row r="70">
      <c r="A70" s="15">
        <f>IF(61&lt;=$C$6,61,"")</f>
        <v/>
      </c>
      <c r="B70" s="16">
        <f>IF($A70="","",IF(INDEX('潜水記録'!$A$5:$A$3004,$M70)="","",INDEX('潜水記録'!$A$5:$A$3004,$M70)))</f>
        <v/>
      </c>
      <c r="C70" s="15">
        <f>IF($A70="","",IF(INDEX('潜水記録'!$D$5:$D$3004,$M70)="","",INDEX('潜水記録'!$D$5:$D$3004,$M70)))</f>
        <v/>
      </c>
      <c r="D70" s="14">
        <f>IF($A70="","",IF(INDEX('潜水記録'!$E$5:$E$3004,$M70)="","",INDEX('潜水記録'!$E$5:$E$3004,$M70)))</f>
        <v/>
      </c>
      <c r="E70" s="14">
        <f>IF($A70="","",IF(INDEX('潜水記録'!$F$5:$F$3004,$M70)="","",INDEX('潜水記録'!$F$5:$F$3004,$M70)))</f>
        <v/>
      </c>
      <c r="F70" s="15">
        <f>IF($A70="","",IF(INDEX('潜水記録'!$G$5:$G$3004,$M70)="","",INDEX('潜水記録'!$G$5:$G$3004,$M70)))</f>
        <v/>
      </c>
      <c r="G70" s="15">
        <f>IF($A70="","",IF(INDEX('潜水記録'!$H$5:$H$3004,$M70)="","",INDEX('潜水記録'!$H$5:$H$3004,$M70)))</f>
        <v/>
      </c>
      <c r="H70" s="15">
        <f>IF($A70="","",IF(INDEX('潜水記録'!$I$5:$I$3004,$M70)="","",INDEX('潜水記録'!$I$5:$I$3004,$M70)))</f>
        <v/>
      </c>
      <c r="I70" s="15">
        <f>IF($A70="","",IF(INDEX('潜水記録'!$X$5:$X$3004,$M70)="","",INDEX('潜水記録'!$X$5:$X$3004,$M70)))</f>
        <v/>
      </c>
      <c r="J70" s="15">
        <f>IF($A70="","",IF(INDEX('潜水記録'!$O$5:$O$3004,$M70)="","",INDEX('潜水記録'!$O$5:$O$3004,$M70)))</f>
        <v/>
      </c>
      <c r="K70" s="15">
        <f>IF($A70="","",IF(INDEX('潜水記録'!$P$5:$P$3004,$M70)="","",INDEX('潜水記録'!$P$5:$P$3004,$M70)))</f>
        <v/>
      </c>
      <c r="L70" s="14">
        <f>IF($A70="","",IF(INDEX('潜水記録'!$Q$5:$Q$3004,$M70)="","",INDEX('潜水記録'!$Q$5:$Q$3004,$M70)))</f>
        <v/>
      </c>
      <c r="M70" s="20">
        <f>IF($A70="","",MATCH($A70,'潜水記録'!$AG$5:$AG$3004,0))</f>
        <v/>
      </c>
    </row>
    <row r="71">
      <c r="A71" s="15">
        <f>IF(62&lt;=$C$6,62,"")</f>
        <v/>
      </c>
      <c r="B71" s="16">
        <f>IF($A71="","",IF(INDEX('潜水記録'!$A$5:$A$3004,$M71)="","",INDEX('潜水記録'!$A$5:$A$3004,$M71)))</f>
        <v/>
      </c>
      <c r="C71" s="15">
        <f>IF($A71="","",IF(INDEX('潜水記録'!$D$5:$D$3004,$M71)="","",INDEX('潜水記録'!$D$5:$D$3004,$M71)))</f>
        <v/>
      </c>
      <c r="D71" s="14">
        <f>IF($A71="","",IF(INDEX('潜水記録'!$E$5:$E$3004,$M71)="","",INDEX('潜水記録'!$E$5:$E$3004,$M71)))</f>
        <v/>
      </c>
      <c r="E71" s="14">
        <f>IF($A71="","",IF(INDEX('潜水記録'!$F$5:$F$3004,$M71)="","",INDEX('潜水記録'!$F$5:$F$3004,$M71)))</f>
        <v/>
      </c>
      <c r="F71" s="15">
        <f>IF($A71="","",IF(INDEX('潜水記録'!$G$5:$G$3004,$M71)="","",INDEX('潜水記録'!$G$5:$G$3004,$M71)))</f>
        <v/>
      </c>
      <c r="G71" s="15">
        <f>IF($A71="","",IF(INDEX('潜水記録'!$H$5:$H$3004,$M71)="","",INDEX('潜水記録'!$H$5:$H$3004,$M71)))</f>
        <v/>
      </c>
      <c r="H71" s="15">
        <f>IF($A71="","",IF(INDEX('潜水記録'!$I$5:$I$3004,$M71)="","",INDEX('潜水記録'!$I$5:$I$3004,$M71)))</f>
        <v/>
      </c>
      <c r="I71" s="15">
        <f>IF($A71="","",IF(INDEX('潜水記録'!$X$5:$X$3004,$M71)="","",INDEX('潜水記録'!$X$5:$X$3004,$M71)))</f>
        <v/>
      </c>
      <c r="J71" s="15">
        <f>IF($A71="","",IF(INDEX('潜水記録'!$O$5:$O$3004,$M71)="","",INDEX('潜水記録'!$O$5:$O$3004,$M71)))</f>
        <v/>
      </c>
      <c r="K71" s="15">
        <f>IF($A71="","",IF(INDEX('潜水記録'!$P$5:$P$3004,$M71)="","",INDEX('潜水記録'!$P$5:$P$3004,$M71)))</f>
        <v/>
      </c>
      <c r="L71" s="14">
        <f>IF($A71="","",IF(INDEX('潜水記録'!$Q$5:$Q$3004,$M71)="","",INDEX('潜水記録'!$Q$5:$Q$3004,$M71)))</f>
        <v/>
      </c>
      <c r="M71" s="20">
        <f>IF($A71="","",MATCH($A71,'潜水記録'!$AG$5:$AG$3004,0))</f>
        <v/>
      </c>
    </row>
    <row r="72">
      <c r="A72" s="15">
        <f>IF(63&lt;=$C$6,63,"")</f>
        <v/>
      </c>
      <c r="B72" s="16">
        <f>IF($A72="","",IF(INDEX('潜水記録'!$A$5:$A$3004,$M72)="","",INDEX('潜水記録'!$A$5:$A$3004,$M72)))</f>
        <v/>
      </c>
      <c r="C72" s="15">
        <f>IF($A72="","",IF(INDEX('潜水記録'!$D$5:$D$3004,$M72)="","",INDEX('潜水記録'!$D$5:$D$3004,$M72)))</f>
        <v/>
      </c>
      <c r="D72" s="14">
        <f>IF($A72="","",IF(INDEX('潜水記録'!$E$5:$E$3004,$M72)="","",INDEX('潜水記録'!$E$5:$E$3004,$M72)))</f>
        <v/>
      </c>
      <c r="E72" s="14">
        <f>IF($A72="","",IF(INDEX('潜水記録'!$F$5:$F$3004,$M72)="","",INDEX('潜水記録'!$F$5:$F$3004,$M72)))</f>
        <v/>
      </c>
      <c r="F72" s="15">
        <f>IF($A72="","",IF(INDEX('潜水記録'!$G$5:$G$3004,$M72)="","",INDEX('潜水記録'!$G$5:$G$3004,$M72)))</f>
        <v/>
      </c>
      <c r="G72" s="15">
        <f>IF($A72="","",IF(INDEX('潜水記録'!$H$5:$H$3004,$M72)="","",INDEX('潜水記録'!$H$5:$H$3004,$M72)))</f>
        <v/>
      </c>
      <c r="H72" s="15">
        <f>IF($A72="","",IF(INDEX('潜水記録'!$I$5:$I$3004,$M72)="","",INDEX('潜水記録'!$I$5:$I$3004,$M72)))</f>
        <v/>
      </c>
      <c r="I72" s="15">
        <f>IF($A72="","",IF(INDEX('潜水記録'!$X$5:$X$3004,$M72)="","",INDEX('潜水記録'!$X$5:$X$3004,$M72)))</f>
        <v/>
      </c>
      <c r="J72" s="15">
        <f>IF($A72="","",IF(INDEX('潜水記録'!$O$5:$O$3004,$M72)="","",INDEX('潜水記録'!$O$5:$O$3004,$M72)))</f>
        <v/>
      </c>
      <c r="K72" s="15">
        <f>IF($A72="","",IF(INDEX('潜水記録'!$P$5:$P$3004,$M72)="","",INDEX('潜水記録'!$P$5:$P$3004,$M72)))</f>
        <v/>
      </c>
      <c r="L72" s="14">
        <f>IF($A72="","",IF(INDEX('潜水記録'!$Q$5:$Q$3004,$M72)="","",INDEX('潜水記録'!$Q$5:$Q$3004,$M72)))</f>
        <v/>
      </c>
      <c r="M72" s="20">
        <f>IF($A72="","",MATCH($A72,'潜水記録'!$AG$5:$AG$3004,0))</f>
        <v/>
      </c>
    </row>
    <row r="73">
      <c r="A73" s="15">
        <f>IF(64&lt;=$C$6,64,"")</f>
        <v/>
      </c>
      <c r="B73" s="16">
        <f>IF($A73="","",IF(INDEX('潜水記録'!$A$5:$A$3004,$M73)="","",INDEX('潜水記録'!$A$5:$A$3004,$M73)))</f>
        <v/>
      </c>
      <c r="C73" s="15">
        <f>IF($A73="","",IF(INDEX('潜水記録'!$D$5:$D$3004,$M73)="","",INDEX('潜水記録'!$D$5:$D$3004,$M73)))</f>
        <v/>
      </c>
      <c r="D73" s="14">
        <f>IF($A73="","",IF(INDEX('潜水記録'!$E$5:$E$3004,$M73)="","",INDEX('潜水記録'!$E$5:$E$3004,$M73)))</f>
        <v/>
      </c>
      <c r="E73" s="14">
        <f>IF($A73="","",IF(INDEX('潜水記録'!$F$5:$F$3004,$M73)="","",INDEX('潜水記録'!$F$5:$F$3004,$M73)))</f>
        <v/>
      </c>
      <c r="F73" s="15">
        <f>IF($A73="","",IF(INDEX('潜水記録'!$G$5:$G$3004,$M73)="","",INDEX('潜水記録'!$G$5:$G$3004,$M73)))</f>
        <v/>
      </c>
      <c r="G73" s="15">
        <f>IF($A73="","",IF(INDEX('潜水記録'!$H$5:$H$3004,$M73)="","",INDEX('潜水記録'!$H$5:$H$3004,$M73)))</f>
        <v/>
      </c>
      <c r="H73" s="15">
        <f>IF($A73="","",IF(INDEX('潜水記録'!$I$5:$I$3004,$M73)="","",INDEX('潜水記録'!$I$5:$I$3004,$M73)))</f>
        <v/>
      </c>
      <c r="I73" s="15">
        <f>IF($A73="","",IF(INDEX('潜水記録'!$X$5:$X$3004,$M73)="","",INDEX('潜水記録'!$X$5:$X$3004,$M73)))</f>
        <v/>
      </c>
      <c r="J73" s="15">
        <f>IF($A73="","",IF(INDEX('潜水記録'!$O$5:$O$3004,$M73)="","",INDEX('潜水記録'!$O$5:$O$3004,$M73)))</f>
        <v/>
      </c>
      <c r="K73" s="15">
        <f>IF($A73="","",IF(INDEX('潜水記録'!$P$5:$P$3004,$M73)="","",INDEX('潜水記録'!$P$5:$P$3004,$M73)))</f>
        <v/>
      </c>
      <c r="L73" s="14">
        <f>IF($A73="","",IF(INDEX('潜水記録'!$Q$5:$Q$3004,$M73)="","",INDEX('潜水記録'!$Q$5:$Q$3004,$M73)))</f>
        <v/>
      </c>
      <c r="M73" s="20">
        <f>IF($A73="","",MATCH($A73,'潜水記録'!$AG$5:$AG$3004,0))</f>
        <v/>
      </c>
    </row>
    <row r="74">
      <c r="A74" s="15">
        <f>IF(65&lt;=$C$6,65,"")</f>
        <v/>
      </c>
      <c r="B74" s="16">
        <f>IF($A74="","",IF(INDEX('潜水記録'!$A$5:$A$3004,$M74)="","",INDEX('潜水記録'!$A$5:$A$3004,$M74)))</f>
        <v/>
      </c>
      <c r="C74" s="15">
        <f>IF($A74="","",IF(INDEX('潜水記録'!$D$5:$D$3004,$M74)="","",INDEX('潜水記録'!$D$5:$D$3004,$M74)))</f>
        <v/>
      </c>
      <c r="D74" s="14">
        <f>IF($A74="","",IF(INDEX('潜水記録'!$E$5:$E$3004,$M74)="","",INDEX('潜水記録'!$E$5:$E$3004,$M74)))</f>
        <v/>
      </c>
      <c r="E74" s="14">
        <f>IF($A74="","",IF(INDEX('潜水記録'!$F$5:$F$3004,$M74)="","",INDEX('潜水記録'!$F$5:$F$3004,$M74)))</f>
        <v/>
      </c>
      <c r="F74" s="15">
        <f>IF($A74="","",IF(INDEX('潜水記録'!$G$5:$G$3004,$M74)="","",INDEX('潜水記録'!$G$5:$G$3004,$M74)))</f>
        <v/>
      </c>
      <c r="G74" s="15">
        <f>IF($A74="","",IF(INDEX('潜水記録'!$H$5:$H$3004,$M74)="","",INDEX('潜水記録'!$H$5:$H$3004,$M74)))</f>
        <v/>
      </c>
      <c r="H74" s="15">
        <f>IF($A74="","",IF(INDEX('潜水記録'!$I$5:$I$3004,$M74)="","",INDEX('潜水記録'!$I$5:$I$3004,$M74)))</f>
        <v/>
      </c>
      <c r="I74" s="15">
        <f>IF($A74="","",IF(INDEX('潜水記録'!$X$5:$X$3004,$M74)="","",INDEX('潜水記録'!$X$5:$X$3004,$M74)))</f>
        <v/>
      </c>
      <c r="J74" s="15">
        <f>IF($A74="","",IF(INDEX('潜水記録'!$O$5:$O$3004,$M74)="","",INDEX('潜水記録'!$O$5:$O$3004,$M74)))</f>
        <v/>
      </c>
      <c r="K74" s="15">
        <f>IF($A74="","",IF(INDEX('潜水記録'!$P$5:$P$3004,$M74)="","",INDEX('潜水記録'!$P$5:$P$3004,$M74)))</f>
        <v/>
      </c>
      <c r="L74" s="14">
        <f>IF($A74="","",IF(INDEX('潜水記録'!$Q$5:$Q$3004,$M74)="","",INDEX('潜水記録'!$Q$5:$Q$3004,$M74)))</f>
        <v/>
      </c>
      <c r="M74" s="20">
        <f>IF($A74="","",MATCH($A74,'潜水記録'!$AG$5:$AG$3004,0))</f>
        <v/>
      </c>
    </row>
    <row r="75">
      <c r="A75" s="15">
        <f>IF(66&lt;=$C$6,66,"")</f>
        <v/>
      </c>
      <c r="B75" s="16">
        <f>IF($A75="","",IF(INDEX('潜水記録'!$A$5:$A$3004,$M75)="","",INDEX('潜水記録'!$A$5:$A$3004,$M75)))</f>
        <v/>
      </c>
      <c r="C75" s="15">
        <f>IF($A75="","",IF(INDEX('潜水記録'!$D$5:$D$3004,$M75)="","",INDEX('潜水記録'!$D$5:$D$3004,$M75)))</f>
        <v/>
      </c>
      <c r="D75" s="14">
        <f>IF($A75="","",IF(INDEX('潜水記録'!$E$5:$E$3004,$M75)="","",INDEX('潜水記録'!$E$5:$E$3004,$M75)))</f>
        <v/>
      </c>
      <c r="E75" s="14">
        <f>IF($A75="","",IF(INDEX('潜水記録'!$F$5:$F$3004,$M75)="","",INDEX('潜水記録'!$F$5:$F$3004,$M75)))</f>
        <v/>
      </c>
      <c r="F75" s="15">
        <f>IF($A75="","",IF(INDEX('潜水記録'!$G$5:$G$3004,$M75)="","",INDEX('潜水記録'!$G$5:$G$3004,$M75)))</f>
        <v/>
      </c>
      <c r="G75" s="15">
        <f>IF($A75="","",IF(INDEX('潜水記録'!$H$5:$H$3004,$M75)="","",INDEX('潜水記録'!$H$5:$H$3004,$M75)))</f>
        <v/>
      </c>
      <c r="H75" s="15">
        <f>IF($A75="","",IF(INDEX('潜水記録'!$I$5:$I$3004,$M75)="","",INDEX('潜水記録'!$I$5:$I$3004,$M75)))</f>
        <v/>
      </c>
      <c r="I75" s="15">
        <f>IF($A75="","",IF(INDEX('潜水記録'!$X$5:$X$3004,$M75)="","",INDEX('潜水記録'!$X$5:$X$3004,$M75)))</f>
        <v/>
      </c>
      <c r="J75" s="15">
        <f>IF($A75="","",IF(INDEX('潜水記録'!$O$5:$O$3004,$M75)="","",INDEX('潜水記録'!$O$5:$O$3004,$M75)))</f>
        <v/>
      </c>
      <c r="K75" s="15">
        <f>IF($A75="","",IF(INDEX('潜水記録'!$P$5:$P$3004,$M75)="","",INDEX('潜水記録'!$P$5:$P$3004,$M75)))</f>
        <v/>
      </c>
      <c r="L75" s="14">
        <f>IF($A75="","",IF(INDEX('潜水記録'!$Q$5:$Q$3004,$M75)="","",INDEX('潜水記録'!$Q$5:$Q$3004,$M75)))</f>
        <v/>
      </c>
      <c r="M75" s="20">
        <f>IF($A75="","",MATCH($A75,'潜水記録'!$AG$5:$AG$3004,0))</f>
        <v/>
      </c>
    </row>
    <row r="76">
      <c r="A76" s="15">
        <f>IF(67&lt;=$C$6,67,"")</f>
        <v/>
      </c>
      <c r="B76" s="16">
        <f>IF($A76="","",IF(INDEX('潜水記録'!$A$5:$A$3004,$M76)="","",INDEX('潜水記録'!$A$5:$A$3004,$M76)))</f>
        <v/>
      </c>
      <c r="C76" s="15">
        <f>IF($A76="","",IF(INDEX('潜水記録'!$D$5:$D$3004,$M76)="","",INDEX('潜水記録'!$D$5:$D$3004,$M76)))</f>
        <v/>
      </c>
      <c r="D76" s="14">
        <f>IF($A76="","",IF(INDEX('潜水記録'!$E$5:$E$3004,$M76)="","",INDEX('潜水記録'!$E$5:$E$3004,$M76)))</f>
        <v/>
      </c>
      <c r="E76" s="14">
        <f>IF($A76="","",IF(INDEX('潜水記録'!$F$5:$F$3004,$M76)="","",INDEX('潜水記録'!$F$5:$F$3004,$M76)))</f>
        <v/>
      </c>
      <c r="F76" s="15">
        <f>IF($A76="","",IF(INDEX('潜水記録'!$G$5:$G$3004,$M76)="","",INDEX('潜水記録'!$G$5:$G$3004,$M76)))</f>
        <v/>
      </c>
      <c r="G76" s="15">
        <f>IF($A76="","",IF(INDEX('潜水記録'!$H$5:$H$3004,$M76)="","",INDEX('潜水記録'!$H$5:$H$3004,$M76)))</f>
        <v/>
      </c>
      <c r="H76" s="15">
        <f>IF($A76="","",IF(INDEX('潜水記録'!$I$5:$I$3004,$M76)="","",INDEX('潜水記録'!$I$5:$I$3004,$M76)))</f>
        <v/>
      </c>
      <c r="I76" s="15">
        <f>IF($A76="","",IF(INDEX('潜水記録'!$X$5:$X$3004,$M76)="","",INDEX('潜水記録'!$X$5:$X$3004,$M76)))</f>
        <v/>
      </c>
      <c r="J76" s="15">
        <f>IF($A76="","",IF(INDEX('潜水記録'!$O$5:$O$3004,$M76)="","",INDEX('潜水記録'!$O$5:$O$3004,$M76)))</f>
        <v/>
      </c>
      <c r="K76" s="15">
        <f>IF($A76="","",IF(INDEX('潜水記録'!$P$5:$P$3004,$M76)="","",INDEX('潜水記録'!$P$5:$P$3004,$M76)))</f>
        <v/>
      </c>
      <c r="L76" s="14">
        <f>IF($A76="","",IF(INDEX('潜水記録'!$Q$5:$Q$3004,$M76)="","",INDEX('潜水記録'!$Q$5:$Q$3004,$M76)))</f>
        <v/>
      </c>
      <c r="M76" s="20">
        <f>IF($A76="","",MATCH($A76,'潜水記録'!$AG$5:$AG$3004,0))</f>
        <v/>
      </c>
    </row>
    <row r="77">
      <c r="A77" s="15">
        <f>IF(68&lt;=$C$6,68,"")</f>
        <v/>
      </c>
      <c r="B77" s="16">
        <f>IF($A77="","",IF(INDEX('潜水記録'!$A$5:$A$3004,$M77)="","",INDEX('潜水記録'!$A$5:$A$3004,$M77)))</f>
        <v/>
      </c>
      <c r="C77" s="15">
        <f>IF($A77="","",IF(INDEX('潜水記録'!$D$5:$D$3004,$M77)="","",INDEX('潜水記録'!$D$5:$D$3004,$M77)))</f>
        <v/>
      </c>
      <c r="D77" s="14">
        <f>IF($A77="","",IF(INDEX('潜水記録'!$E$5:$E$3004,$M77)="","",INDEX('潜水記録'!$E$5:$E$3004,$M77)))</f>
        <v/>
      </c>
      <c r="E77" s="14">
        <f>IF($A77="","",IF(INDEX('潜水記録'!$F$5:$F$3004,$M77)="","",INDEX('潜水記録'!$F$5:$F$3004,$M77)))</f>
        <v/>
      </c>
      <c r="F77" s="15">
        <f>IF($A77="","",IF(INDEX('潜水記録'!$G$5:$G$3004,$M77)="","",INDEX('潜水記録'!$G$5:$G$3004,$M77)))</f>
        <v/>
      </c>
      <c r="G77" s="15">
        <f>IF($A77="","",IF(INDEX('潜水記録'!$H$5:$H$3004,$M77)="","",INDEX('潜水記録'!$H$5:$H$3004,$M77)))</f>
        <v/>
      </c>
      <c r="H77" s="15">
        <f>IF($A77="","",IF(INDEX('潜水記録'!$I$5:$I$3004,$M77)="","",INDEX('潜水記録'!$I$5:$I$3004,$M77)))</f>
        <v/>
      </c>
      <c r="I77" s="15">
        <f>IF($A77="","",IF(INDEX('潜水記録'!$X$5:$X$3004,$M77)="","",INDEX('潜水記録'!$X$5:$X$3004,$M77)))</f>
        <v/>
      </c>
      <c r="J77" s="15">
        <f>IF($A77="","",IF(INDEX('潜水記録'!$O$5:$O$3004,$M77)="","",INDEX('潜水記録'!$O$5:$O$3004,$M77)))</f>
        <v/>
      </c>
      <c r="K77" s="15">
        <f>IF($A77="","",IF(INDEX('潜水記録'!$P$5:$P$3004,$M77)="","",INDEX('潜水記録'!$P$5:$P$3004,$M77)))</f>
        <v/>
      </c>
      <c r="L77" s="14">
        <f>IF($A77="","",IF(INDEX('潜水記録'!$Q$5:$Q$3004,$M77)="","",INDEX('潜水記録'!$Q$5:$Q$3004,$M77)))</f>
        <v/>
      </c>
      <c r="M77" s="20">
        <f>IF($A77="","",MATCH($A77,'潜水記録'!$AG$5:$AG$3004,0))</f>
        <v/>
      </c>
    </row>
    <row r="78">
      <c r="A78" s="15">
        <f>IF(69&lt;=$C$6,69,"")</f>
        <v/>
      </c>
      <c r="B78" s="16">
        <f>IF($A78="","",IF(INDEX('潜水記録'!$A$5:$A$3004,$M78)="","",INDEX('潜水記録'!$A$5:$A$3004,$M78)))</f>
        <v/>
      </c>
      <c r="C78" s="15">
        <f>IF($A78="","",IF(INDEX('潜水記録'!$D$5:$D$3004,$M78)="","",INDEX('潜水記録'!$D$5:$D$3004,$M78)))</f>
        <v/>
      </c>
      <c r="D78" s="14">
        <f>IF($A78="","",IF(INDEX('潜水記録'!$E$5:$E$3004,$M78)="","",INDEX('潜水記録'!$E$5:$E$3004,$M78)))</f>
        <v/>
      </c>
      <c r="E78" s="14">
        <f>IF($A78="","",IF(INDEX('潜水記録'!$F$5:$F$3004,$M78)="","",INDEX('潜水記録'!$F$5:$F$3004,$M78)))</f>
        <v/>
      </c>
      <c r="F78" s="15">
        <f>IF($A78="","",IF(INDEX('潜水記録'!$G$5:$G$3004,$M78)="","",INDEX('潜水記録'!$G$5:$G$3004,$M78)))</f>
        <v/>
      </c>
      <c r="G78" s="15">
        <f>IF($A78="","",IF(INDEX('潜水記録'!$H$5:$H$3004,$M78)="","",INDEX('潜水記録'!$H$5:$H$3004,$M78)))</f>
        <v/>
      </c>
      <c r="H78" s="15">
        <f>IF($A78="","",IF(INDEX('潜水記録'!$I$5:$I$3004,$M78)="","",INDEX('潜水記録'!$I$5:$I$3004,$M78)))</f>
        <v/>
      </c>
      <c r="I78" s="15">
        <f>IF($A78="","",IF(INDEX('潜水記録'!$X$5:$X$3004,$M78)="","",INDEX('潜水記録'!$X$5:$X$3004,$M78)))</f>
        <v/>
      </c>
      <c r="J78" s="15">
        <f>IF($A78="","",IF(INDEX('潜水記録'!$O$5:$O$3004,$M78)="","",INDEX('潜水記録'!$O$5:$O$3004,$M78)))</f>
        <v/>
      </c>
      <c r="K78" s="15">
        <f>IF($A78="","",IF(INDEX('潜水記録'!$P$5:$P$3004,$M78)="","",INDEX('潜水記録'!$P$5:$P$3004,$M78)))</f>
        <v/>
      </c>
      <c r="L78" s="14">
        <f>IF($A78="","",IF(INDEX('潜水記録'!$Q$5:$Q$3004,$M78)="","",INDEX('潜水記録'!$Q$5:$Q$3004,$M78)))</f>
        <v/>
      </c>
      <c r="M78" s="20">
        <f>IF($A78="","",MATCH($A78,'潜水記録'!$AG$5:$AG$3004,0))</f>
        <v/>
      </c>
    </row>
    <row r="79">
      <c r="A79" s="15">
        <f>IF(70&lt;=$C$6,70,"")</f>
        <v/>
      </c>
      <c r="B79" s="16">
        <f>IF($A79="","",IF(INDEX('潜水記録'!$A$5:$A$3004,$M79)="","",INDEX('潜水記録'!$A$5:$A$3004,$M79)))</f>
        <v/>
      </c>
      <c r="C79" s="15">
        <f>IF($A79="","",IF(INDEX('潜水記録'!$D$5:$D$3004,$M79)="","",INDEX('潜水記録'!$D$5:$D$3004,$M79)))</f>
        <v/>
      </c>
      <c r="D79" s="14">
        <f>IF($A79="","",IF(INDEX('潜水記録'!$E$5:$E$3004,$M79)="","",INDEX('潜水記録'!$E$5:$E$3004,$M79)))</f>
        <v/>
      </c>
      <c r="E79" s="14">
        <f>IF($A79="","",IF(INDEX('潜水記録'!$F$5:$F$3004,$M79)="","",INDEX('潜水記録'!$F$5:$F$3004,$M79)))</f>
        <v/>
      </c>
      <c r="F79" s="15">
        <f>IF($A79="","",IF(INDEX('潜水記録'!$G$5:$G$3004,$M79)="","",INDEX('潜水記録'!$G$5:$G$3004,$M79)))</f>
        <v/>
      </c>
      <c r="G79" s="15">
        <f>IF($A79="","",IF(INDEX('潜水記録'!$H$5:$H$3004,$M79)="","",INDEX('潜水記録'!$H$5:$H$3004,$M79)))</f>
        <v/>
      </c>
      <c r="H79" s="15">
        <f>IF($A79="","",IF(INDEX('潜水記録'!$I$5:$I$3004,$M79)="","",INDEX('潜水記録'!$I$5:$I$3004,$M79)))</f>
        <v/>
      </c>
      <c r="I79" s="15">
        <f>IF($A79="","",IF(INDEX('潜水記録'!$X$5:$X$3004,$M79)="","",INDEX('潜水記録'!$X$5:$X$3004,$M79)))</f>
        <v/>
      </c>
      <c r="J79" s="15">
        <f>IF($A79="","",IF(INDEX('潜水記録'!$O$5:$O$3004,$M79)="","",INDEX('潜水記録'!$O$5:$O$3004,$M79)))</f>
        <v/>
      </c>
      <c r="K79" s="15">
        <f>IF($A79="","",IF(INDEX('潜水記録'!$P$5:$P$3004,$M79)="","",INDEX('潜水記録'!$P$5:$P$3004,$M79)))</f>
        <v/>
      </c>
      <c r="L79" s="14">
        <f>IF($A79="","",IF(INDEX('潜水記録'!$Q$5:$Q$3004,$M79)="","",INDEX('潜水記録'!$Q$5:$Q$3004,$M79)))</f>
        <v/>
      </c>
      <c r="M79" s="20">
        <f>IF($A79="","",MATCH($A79,'潜水記録'!$AG$5:$AG$3004,0))</f>
        <v/>
      </c>
    </row>
    <row r="80">
      <c r="A80" s="15">
        <f>IF(71&lt;=$C$6,71,"")</f>
        <v/>
      </c>
      <c r="B80" s="16">
        <f>IF($A80="","",IF(INDEX('潜水記録'!$A$5:$A$3004,$M80)="","",INDEX('潜水記録'!$A$5:$A$3004,$M80)))</f>
        <v/>
      </c>
      <c r="C80" s="15">
        <f>IF($A80="","",IF(INDEX('潜水記録'!$D$5:$D$3004,$M80)="","",INDEX('潜水記録'!$D$5:$D$3004,$M80)))</f>
        <v/>
      </c>
      <c r="D80" s="14">
        <f>IF($A80="","",IF(INDEX('潜水記録'!$E$5:$E$3004,$M80)="","",INDEX('潜水記録'!$E$5:$E$3004,$M80)))</f>
        <v/>
      </c>
      <c r="E80" s="14">
        <f>IF($A80="","",IF(INDEX('潜水記録'!$F$5:$F$3004,$M80)="","",INDEX('潜水記録'!$F$5:$F$3004,$M80)))</f>
        <v/>
      </c>
      <c r="F80" s="15">
        <f>IF($A80="","",IF(INDEX('潜水記録'!$G$5:$G$3004,$M80)="","",INDEX('潜水記録'!$G$5:$G$3004,$M80)))</f>
        <v/>
      </c>
      <c r="G80" s="15">
        <f>IF($A80="","",IF(INDEX('潜水記録'!$H$5:$H$3004,$M80)="","",INDEX('潜水記録'!$H$5:$H$3004,$M80)))</f>
        <v/>
      </c>
      <c r="H80" s="15">
        <f>IF($A80="","",IF(INDEX('潜水記録'!$I$5:$I$3004,$M80)="","",INDEX('潜水記録'!$I$5:$I$3004,$M80)))</f>
        <v/>
      </c>
      <c r="I80" s="15">
        <f>IF($A80="","",IF(INDEX('潜水記録'!$X$5:$X$3004,$M80)="","",INDEX('潜水記録'!$X$5:$X$3004,$M80)))</f>
        <v/>
      </c>
      <c r="J80" s="15">
        <f>IF($A80="","",IF(INDEX('潜水記録'!$O$5:$O$3004,$M80)="","",INDEX('潜水記録'!$O$5:$O$3004,$M80)))</f>
        <v/>
      </c>
      <c r="K80" s="15">
        <f>IF($A80="","",IF(INDEX('潜水記録'!$P$5:$P$3004,$M80)="","",INDEX('潜水記録'!$P$5:$P$3004,$M80)))</f>
        <v/>
      </c>
      <c r="L80" s="14">
        <f>IF($A80="","",IF(INDEX('潜水記録'!$Q$5:$Q$3004,$M80)="","",INDEX('潜水記録'!$Q$5:$Q$3004,$M80)))</f>
        <v/>
      </c>
      <c r="M80" s="20">
        <f>IF($A80="","",MATCH($A80,'潜水記録'!$AG$5:$AG$3004,0))</f>
        <v/>
      </c>
    </row>
    <row r="81">
      <c r="A81" s="15">
        <f>IF(72&lt;=$C$6,72,"")</f>
        <v/>
      </c>
      <c r="B81" s="16">
        <f>IF($A81="","",IF(INDEX('潜水記録'!$A$5:$A$3004,$M81)="","",INDEX('潜水記録'!$A$5:$A$3004,$M81)))</f>
        <v/>
      </c>
      <c r="C81" s="15">
        <f>IF($A81="","",IF(INDEX('潜水記録'!$D$5:$D$3004,$M81)="","",INDEX('潜水記録'!$D$5:$D$3004,$M81)))</f>
        <v/>
      </c>
      <c r="D81" s="14">
        <f>IF($A81="","",IF(INDEX('潜水記録'!$E$5:$E$3004,$M81)="","",INDEX('潜水記録'!$E$5:$E$3004,$M81)))</f>
        <v/>
      </c>
      <c r="E81" s="14">
        <f>IF($A81="","",IF(INDEX('潜水記録'!$F$5:$F$3004,$M81)="","",INDEX('潜水記録'!$F$5:$F$3004,$M81)))</f>
        <v/>
      </c>
      <c r="F81" s="15">
        <f>IF($A81="","",IF(INDEX('潜水記録'!$G$5:$G$3004,$M81)="","",INDEX('潜水記録'!$G$5:$G$3004,$M81)))</f>
        <v/>
      </c>
      <c r="G81" s="15">
        <f>IF($A81="","",IF(INDEX('潜水記録'!$H$5:$H$3004,$M81)="","",INDEX('潜水記録'!$H$5:$H$3004,$M81)))</f>
        <v/>
      </c>
      <c r="H81" s="15">
        <f>IF($A81="","",IF(INDEX('潜水記録'!$I$5:$I$3004,$M81)="","",INDEX('潜水記録'!$I$5:$I$3004,$M81)))</f>
        <v/>
      </c>
      <c r="I81" s="15">
        <f>IF($A81="","",IF(INDEX('潜水記録'!$X$5:$X$3004,$M81)="","",INDEX('潜水記録'!$X$5:$X$3004,$M81)))</f>
        <v/>
      </c>
      <c r="J81" s="15">
        <f>IF($A81="","",IF(INDEX('潜水記録'!$O$5:$O$3004,$M81)="","",INDEX('潜水記録'!$O$5:$O$3004,$M81)))</f>
        <v/>
      </c>
      <c r="K81" s="15">
        <f>IF($A81="","",IF(INDEX('潜水記録'!$P$5:$P$3004,$M81)="","",INDEX('潜水記録'!$P$5:$P$3004,$M81)))</f>
        <v/>
      </c>
      <c r="L81" s="14">
        <f>IF($A81="","",IF(INDEX('潜水記録'!$Q$5:$Q$3004,$M81)="","",INDEX('潜水記録'!$Q$5:$Q$3004,$M81)))</f>
        <v/>
      </c>
      <c r="M81" s="20">
        <f>IF($A81="","",MATCH($A81,'潜水記録'!$AG$5:$AG$3004,0))</f>
        <v/>
      </c>
    </row>
    <row r="82">
      <c r="A82" s="15">
        <f>IF(73&lt;=$C$6,73,"")</f>
        <v/>
      </c>
      <c r="B82" s="16">
        <f>IF($A82="","",IF(INDEX('潜水記録'!$A$5:$A$3004,$M82)="","",INDEX('潜水記録'!$A$5:$A$3004,$M82)))</f>
        <v/>
      </c>
      <c r="C82" s="15">
        <f>IF($A82="","",IF(INDEX('潜水記録'!$D$5:$D$3004,$M82)="","",INDEX('潜水記録'!$D$5:$D$3004,$M82)))</f>
        <v/>
      </c>
      <c r="D82" s="14">
        <f>IF($A82="","",IF(INDEX('潜水記録'!$E$5:$E$3004,$M82)="","",INDEX('潜水記録'!$E$5:$E$3004,$M82)))</f>
        <v/>
      </c>
      <c r="E82" s="14">
        <f>IF($A82="","",IF(INDEX('潜水記録'!$F$5:$F$3004,$M82)="","",INDEX('潜水記録'!$F$5:$F$3004,$M82)))</f>
        <v/>
      </c>
      <c r="F82" s="15">
        <f>IF($A82="","",IF(INDEX('潜水記録'!$G$5:$G$3004,$M82)="","",INDEX('潜水記録'!$G$5:$G$3004,$M82)))</f>
        <v/>
      </c>
      <c r="G82" s="15">
        <f>IF($A82="","",IF(INDEX('潜水記録'!$H$5:$H$3004,$M82)="","",INDEX('潜水記録'!$H$5:$H$3004,$M82)))</f>
        <v/>
      </c>
      <c r="H82" s="15">
        <f>IF($A82="","",IF(INDEX('潜水記録'!$I$5:$I$3004,$M82)="","",INDEX('潜水記録'!$I$5:$I$3004,$M82)))</f>
        <v/>
      </c>
      <c r="I82" s="15">
        <f>IF($A82="","",IF(INDEX('潜水記録'!$X$5:$X$3004,$M82)="","",INDEX('潜水記録'!$X$5:$X$3004,$M82)))</f>
        <v/>
      </c>
      <c r="J82" s="15">
        <f>IF($A82="","",IF(INDEX('潜水記録'!$O$5:$O$3004,$M82)="","",INDEX('潜水記録'!$O$5:$O$3004,$M82)))</f>
        <v/>
      </c>
      <c r="K82" s="15">
        <f>IF($A82="","",IF(INDEX('潜水記録'!$P$5:$P$3004,$M82)="","",INDEX('潜水記録'!$P$5:$P$3004,$M82)))</f>
        <v/>
      </c>
      <c r="L82" s="14">
        <f>IF($A82="","",IF(INDEX('潜水記録'!$Q$5:$Q$3004,$M82)="","",INDEX('潜水記録'!$Q$5:$Q$3004,$M82)))</f>
        <v/>
      </c>
      <c r="M82" s="20">
        <f>IF($A82="","",MATCH($A82,'潜水記録'!$AG$5:$AG$3004,0))</f>
        <v/>
      </c>
    </row>
    <row r="83">
      <c r="A83" s="15">
        <f>IF(74&lt;=$C$6,74,"")</f>
        <v/>
      </c>
      <c r="B83" s="16">
        <f>IF($A83="","",IF(INDEX('潜水記録'!$A$5:$A$3004,$M83)="","",INDEX('潜水記録'!$A$5:$A$3004,$M83)))</f>
        <v/>
      </c>
      <c r="C83" s="15">
        <f>IF($A83="","",IF(INDEX('潜水記録'!$D$5:$D$3004,$M83)="","",INDEX('潜水記録'!$D$5:$D$3004,$M83)))</f>
        <v/>
      </c>
      <c r="D83" s="14">
        <f>IF($A83="","",IF(INDEX('潜水記録'!$E$5:$E$3004,$M83)="","",INDEX('潜水記録'!$E$5:$E$3004,$M83)))</f>
        <v/>
      </c>
      <c r="E83" s="14">
        <f>IF($A83="","",IF(INDEX('潜水記録'!$F$5:$F$3004,$M83)="","",INDEX('潜水記録'!$F$5:$F$3004,$M83)))</f>
        <v/>
      </c>
      <c r="F83" s="15">
        <f>IF($A83="","",IF(INDEX('潜水記録'!$G$5:$G$3004,$M83)="","",INDEX('潜水記録'!$G$5:$G$3004,$M83)))</f>
        <v/>
      </c>
      <c r="G83" s="15">
        <f>IF($A83="","",IF(INDEX('潜水記録'!$H$5:$H$3004,$M83)="","",INDEX('潜水記録'!$H$5:$H$3004,$M83)))</f>
        <v/>
      </c>
      <c r="H83" s="15">
        <f>IF($A83="","",IF(INDEX('潜水記録'!$I$5:$I$3004,$M83)="","",INDEX('潜水記録'!$I$5:$I$3004,$M83)))</f>
        <v/>
      </c>
      <c r="I83" s="15">
        <f>IF($A83="","",IF(INDEX('潜水記録'!$X$5:$X$3004,$M83)="","",INDEX('潜水記録'!$X$5:$X$3004,$M83)))</f>
        <v/>
      </c>
      <c r="J83" s="15">
        <f>IF($A83="","",IF(INDEX('潜水記録'!$O$5:$O$3004,$M83)="","",INDEX('潜水記録'!$O$5:$O$3004,$M83)))</f>
        <v/>
      </c>
      <c r="K83" s="15">
        <f>IF($A83="","",IF(INDEX('潜水記録'!$P$5:$P$3004,$M83)="","",INDEX('潜水記録'!$P$5:$P$3004,$M83)))</f>
        <v/>
      </c>
      <c r="L83" s="14">
        <f>IF($A83="","",IF(INDEX('潜水記録'!$Q$5:$Q$3004,$M83)="","",INDEX('潜水記録'!$Q$5:$Q$3004,$M83)))</f>
        <v/>
      </c>
      <c r="M83" s="20">
        <f>IF($A83="","",MATCH($A83,'潜水記録'!$AG$5:$AG$3004,0))</f>
        <v/>
      </c>
    </row>
    <row r="84">
      <c r="A84" s="15">
        <f>IF(75&lt;=$C$6,75,"")</f>
        <v/>
      </c>
      <c r="B84" s="16">
        <f>IF($A84="","",IF(INDEX('潜水記録'!$A$5:$A$3004,$M84)="","",INDEX('潜水記録'!$A$5:$A$3004,$M84)))</f>
        <v/>
      </c>
      <c r="C84" s="15">
        <f>IF($A84="","",IF(INDEX('潜水記録'!$D$5:$D$3004,$M84)="","",INDEX('潜水記録'!$D$5:$D$3004,$M84)))</f>
        <v/>
      </c>
      <c r="D84" s="14">
        <f>IF($A84="","",IF(INDEX('潜水記録'!$E$5:$E$3004,$M84)="","",INDEX('潜水記録'!$E$5:$E$3004,$M84)))</f>
        <v/>
      </c>
      <c r="E84" s="14">
        <f>IF($A84="","",IF(INDEX('潜水記録'!$F$5:$F$3004,$M84)="","",INDEX('潜水記録'!$F$5:$F$3004,$M84)))</f>
        <v/>
      </c>
      <c r="F84" s="15">
        <f>IF($A84="","",IF(INDEX('潜水記録'!$G$5:$G$3004,$M84)="","",INDEX('潜水記録'!$G$5:$G$3004,$M84)))</f>
        <v/>
      </c>
      <c r="G84" s="15">
        <f>IF($A84="","",IF(INDEX('潜水記録'!$H$5:$H$3004,$M84)="","",INDEX('潜水記録'!$H$5:$H$3004,$M84)))</f>
        <v/>
      </c>
      <c r="H84" s="15">
        <f>IF($A84="","",IF(INDEX('潜水記録'!$I$5:$I$3004,$M84)="","",INDEX('潜水記録'!$I$5:$I$3004,$M84)))</f>
        <v/>
      </c>
      <c r="I84" s="15">
        <f>IF($A84="","",IF(INDEX('潜水記録'!$X$5:$X$3004,$M84)="","",INDEX('潜水記録'!$X$5:$X$3004,$M84)))</f>
        <v/>
      </c>
      <c r="J84" s="15">
        <f>IF($A84="","",IF(INDEX('潜水記録'!$O$5:$O$3004,$M84)="","",INDEX('潜水記録'!$O$5:$O$3004,$M84)))</f>
        <v/>
      </c>
      <c r="K84" s="15">
        <f>IF($A84="","",IF(INDEX('潜水記録'!$P$5:$P$3004,$M84)="","",INDEX('潜水記録'!$P$5:$P$3004,$M84)))</f>
        <v/>
      </c>
      <c r="L84" s="14">
        <f>IF($A84="","",IF(INDEX('潜水記録'!$Q$5:$Q$3004,$M84)="","",INDEX('潜水記録'!$Q$5:$Q$3004,$M84)))</f>
        <v/>
      </c>
      <c r="M84" s="20">
        <f>IF($A84="","",MATCH($A84,'潜水記録'!$AG$5:$AG$3004,0))</f>
        <v/>
      </c>
    </row>
    <row r="85">
      <c r="A85" s="15">
        <f>IF(76&lt;=$C$6,76,"")</f>
        <v/>
      </c>
      <c r="B85" s="16">
        <f>IF($A85="","",IF(INDEX('潜水記録'!$A$5:$A$3004,$M85)="","",INDEX('潜水記録'!$A$5:$A$3004,$M85)))</f>
        <v/>
      </c>
      <c r="C85" s="15">
        <f>IF($A85="","",IF(INDEX('潜水記録'!$D$5:$D$3004,$M85)="","",INDEX('潜水記録'!$D$5:$D$3004,$M85)))</f>
        <v/>
      </c>
      <c r="D85" s="14">
        <f>IF($A85="","",IF(INDEX('潜水記録'!$E$5:$E$3004,$M85)="","",INDEX('潜水記録'!$E$5:$E$3004,$M85)))</f>
        <v/>
      </c>
      <c r="E85" s="14">
        <f>IF($A85="","",IF(INDEX('潜水記録'!$F$5:$F$3004,$M85)="","",INDEX('潜水記録'!$F$5:$F$3004,$M85)))</f>
        <v/>
      </c>
      <c r="F85" s="15">
        <f>IF($A85="","",IF(INDEX('潜水記録'!$G$5:$G$3004,$M85)="","",INDEX('潜水記録'!$G$5:$G$3004,$M85)))</f>
        <v/>
      </c>
      <c r="G85" s="15">
        <f>IF($A85="","",IF(INDEX('潜水記録'!$H$5:$H$3004,$M85)="","",INDEX('潜水記録'!$H$5:$H$3004,$M85)))</f>
        <v/>
      </c>
      <c r="H85" s="15">
        <f>IF($A85="","",IF(INDEX('潜水記録'!$I$5:$I$3004,$M85)="","",INDEX('潜水記録'!$I$5:$I$3004,$M85)))</f>
        <v/>
      </c>
      <c r="I85" s="15">
        <f>IF($A85="","",IF(INDEX('潜水記録'!$X$5:$X$3004,$M85)="","",INDEX('潜水記録'!$X$5:$X$3004,$M85)))</f>
        <v/>
      </c>
      <c r="J85" s="15">
        <f>IF($A85="","",IF(INDEX('潜水記録'!$O$5:$O$3004,$M85)="","",INDEX('潜水記録'!$O$5:$O$3004,$M85)))</f>
        <v/>
      </c>
      <c r="K85" s="15">
        <f>IF($A85="","",IF(INDEX('潜水記録'!$P$5:$P$3004,$M85)="","",INDEX('潜水記録'!$P$5:$P$3004,$M85)))</f>
        <v/>
      </c>
      <c r="L85" s="14">
        <f>IF($A85="","",IF(INDEX('潜水記録'!$Q$5:$Q$3004,$M85)="","",INDEX('潜水記録'!$Q$5:$Q$3004,$M85)))</f>
        <v/>
      </c>
      <c r="M85" s="20">
        <f>IF($A85="","",MATCH($A85,'潜水記録'!$AG$5:$AG$3004,0))</f>
        <v/>
      </c>
    </row>
    <row r="86">
      <c r="A86" s="15">
        <f>IF(77&lt;=$C$6,77,"")</f>
        <v/>
      </c>
      <c r="B86" s="16">
        <f>IF($A86="","",IF(INDEX('潜水記録'!$A$5:$A$3004,$M86)="","",INDEX('潜水記録'!$A$5:$A$3004,$M86)))</f>
        <v/>
      </c>
      <c r="C86" s="15">
        <f>IF($A86="","",IF(INDEX('潜水記録'!$D$5:$D$3004,$M86)="","",INDEX('潜水記録'!$D$5:$D$3004,$M86)))</f>
        <v/>
      </c>
      <c r="D86" s="14">
        <f>IF($A86="","",IF(INDEX('潜水記録'!$E$5:$E$3004,$M86)="","",INDEX('潜水記録'!$E$5:$E$3004,$M86)))</f>
        <v/>
      </c>
      <c r="E86" s="14">
        <f>IF($A86="","",IF(INDEX('潜水記録'!$F$5:$F$3004,$M86)="","",INDEX('潜水記録'!$F$5:$F$3004,$M86)))</f>
        <v/>
      </c>
      <c r="F86" s="15">
        <f>IF($A86="","",IF(INDEX('潜水記録'!$G$5:$G$3004,$M86)="","",INDEX('潜水記録'!$G$5:$G$3004,$M86)))</f>
        <v/>
      </c>
      <c r="G86" s="15">
        <f>IF($A86="","",IF(INDEX('潜水記録'!$H$5:$H$3004,$M86)="","",INDEX('潜水記録'!$H$5:$H$3004,$M86)))</f>
        <v/>
      </c>
      <c r="H86" s="15">
        <f>IF($A86="","",IF(INDEX('潜水記録'!$I$5:$I$3004,$M86)="","",INDEX('潜水記録'!$I$5:$I$3004,$M86)))</f>
        <v/>
      </c>
      <c r="I86" s="15">
        <f>IF($A86="","",IF(INDEX('潜水記録'!$X$5:$X$3004,$M86)="","",INDEX('潜水記録'!$X$5:$X$3004,$M86)))</f>
        <v/>
      </c>
      <c r="J86" s="15">
        <f>IF($A86="","",IF(INDEX('潜水記録'!$O$5:$O$3004,$M86)="","",INDEX('潜水記録'!$O$5:$O$3004,$M86)))</f>
        <v/>
      </c>
      <c r="K86" s="15">
        <f>IF($A86="","",IF(INDEX('潜水記録'!$P$5:$P$3004,$M86)="","",INDEX('潜水記録'!$P$5:$P$3004,$M86)))</f>
        <v/>
      </c>
      <c r="L86" s="14">
        <f>IF($A86="","",IF(INDEX('潜水記録'!$Q$5:$Q$3004,$M86)="","",INDEX('潜水記録'!$Q$5:$Q$3004,$M86)))</f>
        <v/>
      </c>
      <c r="M86" s="20">
        <f>IF($A86="","",MATCH($A86,'潜水記録'!$AG$5:$AG$3004,0))</f>
        <v/>
      </c>
    </row>
    <row r="87">
      <c r="A87" s="15">
        <f>IF(78&lt;=$C$6,78,"")</f>
        <v/>
      </c>
      <c r="B87" s="16">
        <f>IF($A87="","",IF(INDEX('潜水記録'!$A$5:$A$3004,$M87)="","",INDEX('潜水記録'!$A$5:$A$3004,$M87)))</f>
        <v/>
      </c>
      <c r="C87" s="15">
        <f>IF($A87="","",IF(INDEX('潜水記録'!$D$5:$D$3004,$M87)="","",INDEX('潜水記録'!$D$5:$D$3004,$M87)))</f>
        <v/>
      </c>
      <c r="D87" s="14">
        <f>IF($A87="","",IF(INDEX('潜水記録'!$E$5:$E$3004,$M87)="","",INDEX('潜水記録'!$E$5:$E$3004,$M87)))</f>
        <v/>
      </c>
      <c r="E87" s="14">
        <f>IF($A87="","",IF(INDEX('潜水記録'!$F$5:$F$3004,$M87)="","",INDEX('潜水記録'!$F$5:$F$3004,$M87)))</f>
        <v/>
      </c>
      <c r="F87" s="15">
        <f>IF($A87="","",IF(INDEX('潜水記録'!$G$5:$G$3004,$M87)="","",INDEX('潜水記録'!$G$5:$G$3004,$M87)))</f>
        <v/>
      </c>
      <c r="G87" s="15">
        <f>IF($A87="","",IF(INDEX('潜水記録'!$H$5:$H$3004,$M87)="","",INDEX('潜水記録'!$H$5:$H$3004,$M87)))</f>
        <v/>
      </c>
      <c r="H87" s="15">
        <f>IF($A87="","",IF(INDEX('潜水記録'!$I$5:$I$3004,$M87)="","",INDEX('潜水記録'!$I$5:$I$3004,$M87)))</f>
        <v/>
      </c>
      <c r="I87" s="15">
        <f>IF($A87="","",IF(INDEX('潜水記録'!$X$5:$X$3004,$M87)="","",INDEX('潜水記録'!$X$5:$X$3004,$M87)))</f>
        <v/>
      </c>
      <c r="J87" s="15">
        <f>IF($A87="","",IF(INDEX('潜水記録'!$O$5:$O$3004,$M87)="","",INDEX('潜水記録'!$O$5:$O$3004,$M87)))</f>
        <v/>
      </c>
      <c r="K87" s="15">
        <f>IF($A87="","",IF(INDEX('潜水記録'!$P$5:$P$3004,$M87)="","",INDEX('潜水記録'!$P$5:$P$3004,$M87)))</f>
        <v/>
      </c>
      <c r="L87" s="14">
        <f>IF($A87="","",IF(INDEX('潜水記録'!$Q$5:$Q$3004,$M87)="","",INDEX('潜水記録'!$Q$5:$Q$3004,$M87)))</f>
        <v/>
      </c>
      <c r="M87" s="20">
        <f>IF($A87="","",MATCH($A87,'潜水記録'!$AG$5:$AG$3004,0))</f>
        <v/>
      </c>
    </row>
    <row r="88">
      <c r="A88" s="15">
        <f>IF(79&lt;=$C$6,79,"")</f>
        <v/>
      </c>
      <c r="B88" s="16">
        <f>IF($A88="","",IF(INDEX('潜水記録'!$A$5:$A$3004,$M88)="","",INDEX('潜水記録'!$A$5:$A$3004,$M88)))</f>
        <v/>
      </c>
      <c r="C88" s="15">
        <f>IF($A88="","",IF(INDEX('潜水記録'!$D$5:$D$3004,$M88)="","",INDEX('潜水記録'!$D$5:$D$3004,$M88)))</f>
        <v/>
      </c>
      <c r="D88" s="14">
        <f>IF($A88="","",IF(INDEX('潜水記録'!$E$5:$E$3004,$M88)="","",INDEX('潜水記録'!$E$5:$E$3004,$M88)))</f>
        <v/>
      </c>
      <c r="E88" s="14">
        <f>IF($A88="","",IF(INDEX('潜水記録'!$F$5:$F$3004,$M88)="","",INDEX('潜水記録'!$F$5:$F$3004,$M88)))</f>
        <v/>
      </c>
      <c r="F88" s="15">
        <f>IF($A88="","",IF(INDEX('潜水記録'!$G$5:$G$3004,$M88)="","",INDEX('潜水記録'!$G$5:$G$3004,$M88)))</f>
        <v/>
      </c>
      <c r="G88" s="15">
        <f>IF($A88="","",IF(INDEX('潜水記録'!$H$5:$H$3004,$M88)="","",INDEX('潜水記録'!$H$5:$H$3004,$M88)))</f>
        <v/>
      </c>
      <c r="H88" s="15">
        <f>IF($A88="","",IF(INDEX('潜水記録'!$I$5:$I$3004,$M88)="","",INDEX('潜水記録'!$I$5:$I$3004,$M88)))</f>
        <v/>
      </c>
      <c r="I88" s="15">
        <f>IF($A88="","",IF(INDEX('潜水記録'!$X$5:$X$3004,$M88)="","",INDEX('潜水記録'!$X$5:$X$3004,$M88)))</f>
        <v/>
      </c>
      <c r="J88" s="15">
        <f>IF($A88="","",IF(INDEX('潜水記録'!$O$5:$O$3004,$M88)="","",INDEX('潜水記録'!$O$5:$O$3004,$M88)))</f>
        <v/>
      </c>
      <c r="K88" s="15">
        <f>IF($A88="","",IF(INDEX('潜水記録'!$P$5:$P$3004,$M88)="","",INDEX('潜水記録'!$P$5:$P$3004,$M88)))</f>
        <v/>
      </c>
      <c r="L88" s="14">
        <f>IF($A88="","",IF(INDEX('潜水記録'!$Q$5:$Q$3004,$M88)="","",INDEX('潜水記録'!$Q$5:$Q$3004,$M88)))</f>
        <v/>
      </c>
      <c r="M88" s="20">
        <f>IF($A88="","",MATCH($A88,'潜水記録'!$AG$5:$AG$3004,0))</f>
        <v/>
      </c>
    </row>
    <row r="89">
      <c r="A89" s="15">
        <f>IF(80&lt;=$C$6,80,"")</f>
        <v/>
      </c>
      <c r="B89" s="16">
        <f>IF($A89="","",IF(INDEX('潜水記録'!$A$5:$A$3004,$M89)="","",INDEX('潜水記録'!$A$5:$A$3004,$M89)))</f>
        <v/>
      </c>
      <c r="C89" s="15">
        <f>IF($A89="","",IF(INDEX('潜水記録'!$D$5:$D$3004,$M89)="","",INDEX('潜水記録'!$D$5:$D$3004,$M89)))</f>
        <v/>
      </c>
      <c r="D89" s="14">
        <f>IF($A89="","",IF(INDEX('潜水記録'!$E$5:$E$3004,$M89)="","",INDEX('潜水記録'!$E$5:$E$3004,$M89)))</f>
        <v/>
      </c>
      <c r="E89" s="14">
        <f>IF($A89="","",IF(INDEX('潜水記録'!$F$5:$F$3004,$M89)="","",INDEX('潜水記録'!$F$5:$F$3004,$M89)))</f>
        <v/>
      </c>
      <c r="F89" s="15">
        <f>IF($A89="","",IF(INDEX('潜水記録'!$G$5:$G$3004,$M89)="","",INDEX('潜水記録'!$G$5:$G$3004,$M89)))</f>
        <v/>
      </c>
      <c r="G89" s="15">
        <f>IF($A89="","",IF(INDEX('潜水記録'!$H$5:$H$3004,$M89)="","",INDEX('潜水記録'!$H$5:$H$3004,$M89)))</f>
        <v/>
      </c>
      <c r="H89" s="15">
        <f>IF($A89="","",IF(INDEX('潜水記録'!$I$5:$I$3004,$M89)="","",INDEX('潜水記録'!$I$5:$I$3004,$M89)))</f>
        <v/>
      </c>
      <c r="I89" s="15">
        <f>IF($A89="","",IF(INDEX('潜水記録'!$X$5:$X$3004,$M89)="","",INDEX('潜水記録'!$X$5:$X$3004,$M89)))</f>
        <v/>
      </c>
      <c r="J89" s="15">
        <f>IF($A89="","",IF(INDEX('潜水記録'!$O$5:$O$3004,$M89)="","",INDEX('潜水記録'!$O$5:$O$3004,$M89)))</f>
        <v/>
      </c>
      <c r="K89" s="15">
        <f>IF($A89="","",IF(INDEX('潜水記録'!$P$5:$P$3004,$M89)="","",INDEX('潜水記録'!$P$5:$P$3004,$M89)))</f>
        <v/>
      </c>
      <c r="L89" s="14">
        <f>IF($A89="","",IF(INDEX('潜水記録'!$Q$5:$Q$3004,$M89)="","",INDEX('潜水記録'!$Q$5:$Q$3004,$M89)))</f>
        <v/>
      </c>
      <c r="M89" s="20">
        <f>IF($A89="","",MATCH($A89,'潜水記録'!$AG$5:$AG$3004,0))</f>
        <v/>
      </c>
    </row>
    <row r="90">
      <c r="A90" s="15">
        <f>IF(81&lt;=$C$6,81,"")</f>
        <v/>
      </c>
      <c r="B90" s="16">
        <f>IF($A90="","",IF(INDEX('潜水記録'!$A$5:$A$3004,$M90)="","",INDEX('潜水記録'!$A$5:$A$3004,$M90)))</f>
        <v/>
      </c>
      <c r="C90" s="15">
        <f>IF($A90="","",IF(INDEX('潜水記録'!$D$5:$D$3004,$M90)="","",INDEX('潜水記録'!$D$5:$D$3004,$M90)))</f>
        <v/>
      </c>
      <c r="D90" s="14">
        <f>IF($A90="","",IF(INDEX('潜水記録'!$E$5:$E$3004,$M90)="","",INDEX('潜水記録'!$E$5:$E$3004,$M90)))</f>
        <v/>
      </c>
      <c r="E90" s="14">
        <f>IF($A90="","",IF(INDEX('潜水記録'!$F$5:$F$3004,$M90)="","",INDEX('潜水記録'!$F$5:$F$3004,$M90)))</f>
        <v/>
      </c>
      <c r="F90" s="15">
        <f>IF($A90="","",IF(INDEX('潜水記録'!$G$5:$G$3004,$M90)="","",INDEX('潜水記録'!$G$5:$G$3004,$M90)))</f>
        <v/>
      </c>
      <c r="G90" s="15">
        <f>IF($A90="","",IF(INDEX('潜水記録'!$H$5:$H$3004,$M90)="","",INDEX('潜水記録'!$H$5:$H$3004,$M90)))</f>
        <v/>
      </c>
      <c r="H90" s="15">
        <f>IF($A90="","",IF(INDEX('潜水記録'!$I$5:$I$3004,$M90)="","",INDEX('潜水記録'!$I$5:$I$3004,$M90)))</f>
        <v/>
      </c>
      <c r="I90" s="15">
        <f>IF($A90="","",IF(INDEX('潜水記録'!$X$5:$X$3004,$M90)="","",INDEX('潜水記録'!$X$5:$X$3004,$M90)))</f>
        <v/>
      </c>
      <c r="J90" s="15">
        <f>IF($A90="","",IF(INDEX('潜水記録'!$O$5:$O$3004,$M90)="","",INDEX('潜水記録'!$O$5:$O$3004,$M90)))</f>
        <v/>
      </c>
      <c r="K90" s="15">
        <f>IF($A90="","",IF(INDEX('潜水記録'!$P$5:$P$3004,$M90)="","",INDEX('潜水記録'!$P$5:$P$3004,$M90)))</f>
        <v/>
      </c>
      <c r="L90" s="14">
        <f>IF($A90="","",IF(INDEX('潜水記録'!$Q$5:$Q$3004,$M90)="","",INDEX('潜水記録'!$Q$5:$Q$3004,$M90)))</f>
        <v/>
      </c>
      <c r="M90" s="20">
        <f>IF($A90="","",MATCH($A90,'潜水記録'!$AG$5:$AG$3004,0))</f>
        <v/>
      </c>
    </row>
    <row r="91">
      <c r="A91" s="15">
        <f>IF(82&lt;=$C$6,82,"")</f>
        <v/>
      </c>
      <c r="B91" s="16">
        <f>IF($A91="","",IF(INDEX('潜水記録'!$A$5:$A$3004,$M91)="","",INDEX('潜水記録'!$A$5:$A$3004,$M91)))</f>
        <v/>
      </c>
      <c r="C91" s="15">
        <f>IF($A91="","",IF(INDEX('潜水記録'!$D$5:$D$3004,$M91)="","",INDEX('潜水記録'!$D$5:$D$3004,$M91)))</f>
        <v/>
      </c>
      <c r="D91" s="14">
        <f>IF($A91="","",IF(INDEX('潜水記録'!$E$5:$E$3004,$M91)="","",INDEX('潜水記録'!$E$5:$E$3004,$M91)))</f>
        <v/>
      </c>
      <c r="E91" s="14">
        <f>IF($A91="","",IF(INDEX('潜水記録'!$F$5:$F$3004,$M91)="","",INDEX('潜水記録'!$F$5:$F$3004,$M91)))</f>
        <v/>
      </c>
      <c r="F91" s="15">
        <f>IF($A91="","",IF(INDEX('潜水記録'!$G$5:$G$3004,$M91)="","",INDEX('潜水記録'!$G$5:$G$3004,$M91)))</f>
        <v/>
      </c>
      <c r="G91" s="15">
        <f>IF($A91="","",IF(INDEX('潜水記録'!$H$5:$H$3004,$M91)="","",INDEX('潜水記録'!$H$5:$H$3004,$M91)))</f>
        <v/>
      </c>
      <c r="H91" s="15">
        <f>IF($A91="","",IF(INDEX('潜水記録'!$I$5:$I$3004,$M91)="","",INDEX('潜水記録'!$I$5:$I$3004,$M91)))</f>
        <v/>
      </c>
      <c r="I91" s="15">
        <f>IF($A91="","",IF(INDEX('潜水記録'!$X$5:$X$3004,$M91)="","",INDEX('潜水記録'!$X$5:$X$3004,$M91)))</f>
        <v/>
      </c>
      <c r="J91" s="15">
        <f>IF($A91="","",IF(INDEX('潜水記録'!$O$5:$O$3004,$M91)="","",INDEX('潜水記録'!$O$5:$O$3004,$M91)))</f>
        <v/>
      </c>
      <c r="K91" s="15">
        <f>IF($A91="","",IF(INDEX('潜水記録'!$P$5:$P$3004,$M91)="","",INDEX('潜水記録'!$P$5:$P$3004,$M91)))</f>
        <v/>
      </c>
      <c r="L91" s="14">
        <f>IF($A91="","",IF(INDEX('潜水記録'!$Q$5:$Q$3004,$M91)="","",INDEX('潜水記録'!$Q$5:$Q$3004,$M91)))</f>
        <v/>
      </c>
      <c r="M91" s="20">
        <f>IF($A91="","",MATCH($A91,'潜水記録'!$AG$5:$AG$3004,0))</f>
        <v/>
      </c>
    </row>
    <row r="92">
      <c r="A92" s="15">
        <f>IF(83&lt;=$C$6,83,"")</f>
        <v/>
      </c>
      <c r="B92" s="16">
        <f>IF($A92="","",IF(INDEX('潜水記録'!$A$5:$A$3004,$M92)="","",INDEX('潜水記録'!$A$5:$A$3004,$M92)))</f>
        <v/>
      </c>
      <c r="C92" s="15">
        <f>IF($A92="","",IF(INDEX('潜水記録'!$D$5:$D$3004,$M92)="","",INDEX('潜水記録'!$D$5:$D$3004,$M92)))</f>
        <v/>
      </c>
      <c r="D92" s="14">
        <f>IF($A92="","",IF(INDEX('潜水記録'!$E$5:$E$3004,$M92)="","",INDEX('潜水記録'!$E$5:$E$3004,$M92)))</f>
        <v/>
      </c>
      <c r="E92" s="14">
        <f>IF($A92="","",IF(INDEX('潜水記録'!$F$5:$F$3004,$M92)="","",INDEX('潜水記録'!$F$5:$F$3004,$M92)))</f>
        <v/>
      </c>
      <c r="F92" s="15">
        <f>IF($A92="","",IF(INDEX('潜水記録'!$G$5:$G$3004,$M92)="","",INDEX('潜水記録'!$G$5:$G$3004,$M92)))</f>
        <v/>
      </c>
      <c r="G92" s="15">
        <f>IF($A92="","",IF(INDEX('潜水記録'!$H$5:$H$3004,$M92)="","",INDEX('潜水記録'!$H$5:$H$3004,$M92)))</f>
        <v/>
      </c>
      <c r="H92" s="15">
        <f>IF($A92="","",IF(INDEX('潜水記録'!$I$5:$I$3004,$M92)="","",INDEX('潜水記録'!$I$5:$I$3004,$M92)))</f>
        <v/>
      </c>
      <c r="I92" s="15">
        <f>IF($A92="","",IF(INDEX('潜水記録'!$X$5:$X$3004,$M92)="","",INDEX('潜水記録'!$X$5:$X$3004,$M92)))</f>
        <v/>
      </c>
      <c r="J92" s="15">
        <f>IF($A92="","",IF(INDEX('潜水記録'!$O$5:$O$3004,$M92)="","",INDEX('潜水記録'!$O$5:$O$3004,$M92)))</f>
        <v/>
      </c>
      <c r="K92" s="15">
        <f>IF($A92="","",IF(INDEX('潜水記録'!$P$5:$P$3004,$M92)="","",INDEX('潜水記録'!$P$5:$P$3004,$M92)))</f>
        <v/>
      </c>
      <c r="L92" s="14">
        <f>IF($A92="","",IF(INDEX('潜水記録'!$Q$5:$Q$3004,$M92)="","",INDEX('潜水記録'!$Q$5:$Q$3004,$M92)))</f>
        <v/>
      </c>
      <c r="M92" s="20">
        <f>IF($A92="","",MATCH($A92,'潜水記録'!$AG$5:$AG$3004,0))</f>
        <v/>
      </c>
    </row>
    <row r="93">
      <c r="A93" s="15">
        <f>IF(84&lt;=$C$6,84,"")</f>
        <v/>
      </c>
      <c r="B93" s="16">
        <f>IF($A93="","",IF(INDEX('潜水記録'!$A$5:$A$3004,$M93)="","",INDEX('潜水記録'!$A$5:$A$3004,$M93)))</f>
        <v/>
      </c>
      <c r="C93" s="15">
        <f>IF($A93="","",IF(INDEX('潜水記録'!$D$5:$D$3004,$M93)="","",INDEX('潜水記録'!$D$5:$D$3004,$M93)))</f>
        <v/>
      </c>
      <c r="D93" s="14">
        <f>IF($A93="","",IF(INDEX('潜水記録'!$E$5:$E$3004,$M93)="","",INDEX('潜水記録'!$E$5:$E$3004,$M93)))</f>
        <v/>
      </c>
      <c r="E93" s="14">
        <f>IF($A93="","",IF(INDEX('潜水記録'!$F$5:$F$3004,$M93)="","",INDEX('潜水記録'!$F$5:$F$3004,$M93)))</f>
        <v/>
      </c>
      <c r="F93" s="15">
        <f>IF($A93="","",IF(INDEX('潜水記録'!$G$5:$G$3004,$M93)="","",INDEX('潜水記録'!$G$5:$G$3004,$M93)))</f>
        <v/>
      </c>
      <c r="G93" s="15">
        <f>IF($A93="","",IF(INDEX('潜水記録'!$H$5:$H$3004,$M93)="","",INDEX('潜水記録'!$H$5:$H$3004,$M93)))</f>
        <v/>
      </c>
      <c r="H93" s="15">
        <f>IF($A93="","",IF(INDEX('潜水記録'!$I$5:$I$3004,$M93)="","",INDEX('潜水記録'!$I$5:$I$3004,$M93)))</f>
        <v/>
      </c>
      <c r="I93" s="15">
        <f>IF($A93="","",IF(INDEX('潜水記録'!$X$5:$X$3004,$M93)="","",INDEX('潜水記録'!$X$5:$X$3004,$M93)))</f>
        <v/>
      </c>
      <c r="J93" s="15">
        <f>IF($A93="","",IF(INDEX('潜水記録'!$O$5:$O$3004,$M93)="","",INDEX('潜水記録'!$O$5:$O$3004,$M93)))</f>
        <v/>
      </c>
      <c r="K93" s="15">
        <f>IF($A93="","",IF(INDEX('潜水記録'!$P$5:$P$3004,$M93)="","",INDEX('潜水記録'!$P$5:$P$3004,$M93)))</f>
        <v/>
      </c>
      <c r="L93" s="14">
        <f>IF($A93="","",IF(INDEX('潜水記録'!$Q$5:$Q$3004,$M93)="","",INDEX('潜水記録'!$Q$5:$Q$3004,$M93)))</f>
        <v/>
      </c>
      <c r="M93" s="20">
        <f>IF($A93="","",MATCH($A93,'潜水記録'!$AG$5:$AG$3004,0))</f>
        <v/>
      </c>
    </row>
    <row r="94">
      <c r="A94" s="15">
        <f>IF(85&lt;=$C$6,85,"")</f>
        <v/>
      </c>
      <c r="B94" s="16">
        <f>IF($A94="","",IF(INDEX('潜水記録'!$A$5:$A$3004,$M94)="","",INDEX('潜水記録'!$A$5:$A$3004,$M94)))</f>
        <v/>
      </c>
      <c r="C94" s="15">
        <f>IF($A94="","",IF(INDEX('潜水記録'!$D$5:$D$3004,$M94)="","",INDEX('潜水記録'!$D$5:$D$3004,$M94)))</f>
        <v/>
      </c>
      <c r="D94" s="14">
        <f>IF($A94="","",IF(INDEX('潜水記録'!$E$5:$E$3004,$M94)="","",INDEX('潜水記録'!$E$5:$E$3004,$M94)))</f>
        <v/>
      </c>
      <c r="E94" s="14">
        <f>IF($A94="","",IF(INDEX('潜水記録'!$F$5:$F$3004,$M94)="","",INDEX('潜水記録'!$F$5:$F$3004,$M94)))</f>
        <v/>
      </c>
      <c r="F94" s="15">
        <f>IF($A94="","",IF(INDEX('潜水記録'!$G$5:$G$3004,$M94)="","",INDEX('潜水記録'!$G$5:$G$3004,$M94)))</f>
        <v/>
      </c>
      <c r="G94" s="15">
        <f>IF($A94="","",IF(INDEX('潜水記録'!$H$5:$H$3004,$M94)="","",INDEX('潜水記録'!$H$5:$H$3004,$M94)))</f>
        <v/>
      </c>
      <c r="H94" s="15">
        <f>IF($A94="","",IF(INDEX('潜水記録'!$I$5:$I$3004,$M94)="","",INDEX('潜水記録'!$I$5:$I$3004,$M94)))</f>
        <v/>
      </c>
      <c r="I94" s="15">
        <f>IF($A94="","",IF(INDEX('潜水記録'!$X$5:$X$3004,$M94)="","",INDEX('潜水記録'!$X$5:$X$3004,$M94)))</f>
        <v/>
      </c>
      <c r="J94" s="15">
        <f>IF($A94="","",IF(INDEX('潜水記録'!$O$5:$O$3004,$M94)="","",INDEX('潜水記録'!$O$5:$O$3004,$M94)))</f>
        <v/>
      </c>
      <c r="K94" s="15">
        <f>IF($A94="","",IF(INDEX('潜水記録'!$P$5:$P$3004,$M94)="","",INDEX('潜水記録'!$P$5:$P$3004,$M94)))</f>
        <v/>
      </c>
      <c r="L94" s="14">
        <f>IF($A94="","",IF(INDEX('潜水記録'!$Q$5:$Q$3004,$M94)="","",INDEX('潜水記録'!$Q$5:$Q$3004,$M94)))</f>
        <v/>
      </c>
      <c r="M94" s="20">
        <f>IF($A94="","",MATCH($A94,'潜水記録'!$AG$5:$AG$3004,0))</f>
        <v/>
      </c>
    </row>
    <row r="95">
      <c r="A95" s="15">
        <f>IF(86&lt;=$C$6,86,"")</f>
        <v/>
      </c>
      <c r="B95" s="16">
        <f>IF($A95="","",IF(INDEX('潜水記録'!$A$5:$A$3004,$M95)="","",INDEX('潜水記録'!$A$5:$A$3004,$M95)))</f>
        <v/>
      </c>
      <c r="C95" s="15">
        <f>IF($A95="","",IF(INDEX('潜水記録'!$D$5:$D$3004,$M95)="","",INDEX('潜水記録'!$D$5:$D$3004,$M95)))</f>
        <v/>
      </c>
      <c r="D95" s="14">
        <f>IF($A95="","",IF(INDEX('潜水記録'!$E$5:$E$3004,$M95)="","",INDEX('潜水記録'!$E$5:$E$3004,$M95)))</f>
        <v/>
      </c>
      <c r="E95" s="14">
        <f>IF($A95="","",IF(INDEX('潜水記録'!$F$5:$F$3004,$M95)="","",INDEX('潜水記録'!$F$5:$F$3004,$M95)))</f>
        <v/>
      </c>
      <c r="F95" s="15">
        <f>IF($A95="","",IF(INDEX('潜水記録'!$G$5:$G$3004,$M95)="","",INDEX('潜水記録'!$G$5:$G$3004,$M95)))</f>
        <v/>
      </c>
      <c r="G95" s="15">
        <f>IF($A95="","",IF(INDEX('潜水記録'!$H$5:$H$3004,$M95)="","",INDEX('潜水記録'!$H$5:$H$3004,$M95)))</f>
        <v/>
      </c>
      <c r="H95" s="15">
        <f>IF($A95="","",IF(INDEX('潜水記録'!$I$5:$I$3004,$M95)="","",INDEX('潜水記録'!$I$5:$I$3004,$M95)))</f>
        <v/>
      </c>
      <c r="I95" s="15">
        <f>IF($A95="","",IF(INDEX('潜水記録'!$X$5:$X$3004,$M95)="","",INDEX('潜水記録'!$X$5:$X$3004,$M95)))</f>
        <v/>
      </c>
      <c r="J95" s="15">
        <f>IF($A95="","",IF(INDEX('潜水記録'!$O$5:$O$3004,$M95)="","",INDEX('潜水記録'!$O$5:$O$3004,$M95)))</f>
        <v/>
      </c>
      <c r="K95" s="15">
        <f>IF($A95="","",IF(INDEX('潜水記録'!$P$5:$P$3004,$M95)="","",INDEX('潜水記録'!$P$5:$P$3004,$M95)))</f>
        <v/>
      </c>
      <c r="L95" s="14">
        <f>IF($A95="","",IF(INDEX('潜水記録'!$Q$5:$Q$3004,$M95)="","",INDEX('潜水記録'!$Q$5:$Q$3004,$M95)))</f>
        <v/>
      </c>
      <c r="M95" s="20">
        <f>IF($A95="","",MATCH($A95,'潜水記録'!$AG$5:$AG$3004,0))</f>
        <v/>
      </c>
    </row>
    <row r="96">
      <c r="A96" s="15">
        <f>IF(87&lt;=$C$6,87,"")</f>
        <v/>
      </c>
      <c r="B96" s="16">
        <f>IF($A96="","",IF(INDEX('潜水記録'!$A$5:$A$3004,$M96)="","",INDEX('潜水記録'!$A$5:$A$3004,$M96)))</f>
        <v/>
      </c>
      <c r="C96" s="15">
        <f>IF($A96="","",IF(INDEX('潜水記録'!$D$5:$D$3004,$M96)="","",INDEX('潜水記録'!$D$5:$D$3004,$M96)))</f>
        <v/>
      </c>
      <c r="D96" s="14">
        <f>IF($A96="","",IF(INDEX('潜水記録'!$E$5:$E$3004,$M96)="","",INDEX('潜水記録'!$E$5:$E$3004,$M96)))</f>
        <v/>
      </c>
      <c r="E96" s="14">
        <f>IF($A96="","",IF(INDEX('潜水記録'!$F$5:$F$3004,$M96)="","",INDEX('潜水記録'!$F$5:$F$3004,$M96)))</f>
        <v/>
      </c>
      <c r="F96" s="15">
        <f>IF($A96="","",IF(INDEX('潜水記録'!$G$5:$G$3004,$M96)="","",INDEX('潜水記録'!$G$5:$G$3004,$M96)))</f>
        <v/>
      </c>
      <c r="G96" s="15">
        <f>IF($A96="","",IF(INDEX('潜水記録'!$H$5:$H$3004,$M96)="","",INDEX('潜水記録'!$H$5:$H$3004,$M96)))</f>
        <v/>
      </c>
      <c r="H96" s="15">
        <f>IF($A96="","",IF(INDEX('潜水記録'!$I$5:$I$3004,$M96)="","",INDEX('潜水記録'!$I$5:$I$3004,$M96)))</f>
        <v/>
      </c>
      <c r="I96" s="15">
        <f>IF($A96="","",IF(INDEX('潜水記録'!$X$5:$X$3004,$M96)="","",INDEX('潜水記録'!$X$5:$X$3004,$M96)))</f>
        <v/>
      </c>
      <c r="J96" s="15">
        <f>IF($A96="","",IF(INDEX('潜水記録'!$O$5:$O$3004,$M96)="","",INDEX('潜水記録'!$O$5:$O$3004,$M96)))</f>
        <v/>
      </c>
      <c r="K96" s="15">
        <f>IF($A96="","",IF(INDEX('潜水記録'!$P$5:$P$3004,$M96)="","",INDEX('潜水記録'!$P$5:$P$3004,$M96)))</f>
        <v/>
      </c>
      <c r="L96" s="14">
        <f>IF($A96="","",IF(INDEX('潜水記録'!$Q$5:$Q$3004,$M96)="","",INDEX('潜水記録'!$Q$5:$Q$3004,$M96)))</f>
        <v/>
      </c>
      <c r="M96" s="20">
        <f>IF($A96="","",MATCH($A96,'潜水記録'!$AG$5:$AG$3004,0))</f>
        <v/>
      </c>
    </row>
    <row r="97">
      <c r="A97" s="15">
        <f>IF(88&lt;=$C$6,88,"")</f>
        <v/>
      </c>
      <c r="B97" s="16">
        <f>IF($A97="","",IF(INDEX('潜水記録'!$A$5:$A$3004,$M97)="","",INDEX('潜水記録'!$A$5:$A$3004,$M97)))</f>
        <v/>
      </c>
      <c r="C97" s="15">
        <f>IF($A97="","",IF(INDEX('潜水記録'!$D$5:$D$3004,$M97)="","",INDEX('潜水記録'!$D$5:$D$3004,$M97)))</f>
        <v/>
      </c>
      <c r="D97" s="14">
        <f>IF($A97="","",IF(INDEX('潜水記録'!$E$5:$E$3004,$M97)="","",INDEX('潜水記録'!$E$5:$E$3004,$M97)))</f>
        <v/>
      </c>
      <c r="E97" s="14">
        <f>IF($A97="","",IF(INDEX('潜水記録'!$F$5:$F$3004,$M97)="","",INDEX('潜水記録'!$F$5:$F$3004,$M97)))</f>
        <v/>
      </c>
      <c r="F97" s="15">
        <f>IF($A97="","",IF(INDEX('潜水記録'!$G$5:$G$3004,$M97)="","",INDEX('潜水記録'!$G$5:$G$3004,$M97)))</f>
        <v/>
      </c>
      <c r="G97" s="15">
        <f>IF($A97="","",IF(INDEX('潜水記録'!$H$5:$H$3004,$M97)="","",INDEX('潜水記録'!$H$5:$H$3004,$M97)))</f>
        <v/>
      </c>
      <c r="H97" s="15">
        <f>IF($A97="","",IF(INDEX('潜水記録'!$I$5:$I$3004,$M97)="","",INDEX('潜水記録'!$I$5:$I$3004,$M97)))</f>
        <v/>
      </c>
      <c r="I97" s="15">
        <f>IF($A97="","",IF(INDEX('潜水記録'!$X$5:$X$3004,$M97)="","",INDEX('潜水記録'!$X$5:$X$3004,$M97)))</f>
        <v/>
      </c>
      <c r="J97" s="15">
        <f>IF($A97="","",IF(INDEX('潜水記録'!$O$5:$O$3004,$M97)="","",INDEX('潜水記録'!$O$5:$O$3004,$M97)))</f>
        <v/>
      </c>
      <c r="K97" s="15">
        <f>IF($A97="","",IF(INDEX('潜水記録'!$P$5:$P$3004,$M97)="","",INDEX('潜水記録'!$P$5:$P$3004,$M97)))</f>
        <v/>
      </c>
      <c r="L97" s="14">
        <f>IF($A97="","",IF(INDEX('潜水記録'!$Q$5:$Q$3004,$M97)="","",INDEX('潜水記録'!$Q$5:$Q$3004,$M97)))</f>
        <v/>
      </c>
      <c r="M97" s="20">
        <f>IF($A97="","",MATCH($A97,'潜水記録'!$AG$5:$AG$3004,0))</f>
        <v/>
      </c>
    </row>
    <row r="98">
      <c r="A98" s="15">
        <f>IF(89&lt;=$C$6,89,"")</f>
        <v/>
      </c>
      <c r="B98" s="16">
        <f>IF($A98="","",IF(INDEX('潜水記録'!$A$5:$A$3004,$M98)="","",INDEX('潜水記録'!$A$5:$A$3004,$M98)))</f>
        <v/>
      </c>
      <c r="C98" s="15">
        <f>IF($A98="","",IF(INDEX('潜水記録'!$D$5:$D$3004,$M98)="","",INDEX('潜水記録'!$D$5:$D$3004,$M98)))</f>
        <v/>
      </c>
      <c r="D98" s="14">
        <f>IF($A98="","",IF(INDEX('潜水記録'!$E$5:$E$3004,$M98)="","",INDEX('潜水記録'!$E$5:$E$3004,$M98)))</f>
        <v/>
      </c>
      <c r="E98" s="14">
        <f>IF($A98="","",IF(INDEX('潜水記録'!$F$5:$F$3004,$M98)="","",INDEX('潜水記録'!$F$5:$F$3004,$M98)))</f>
        <v/>
      </c>
      <c r="F98" s="15">
        <f>IF($A98="","",IF(INDEX('潜水記録'!$G$5:$G$3004,$M98)="","",INDEX('潜水記録'!$G$5:$G$3004,$M98)))</f>
        <v/>
      </c>
      <c r="G98" s="15">
        <f>IF($A98="","",IF(INDEX('潜水記録'!$H$5:$H$3004,$M98)="","",INDEX('潜水記録'!$H$5:$H$3004,$M98)))</f>
        <v/>
      </c>
      <c r="H98" s="15">
        <f>IF($A98="","",IF(INDEX('潜水記録'!$I$5:$I$3004,$M98)="","",INDEX('潜水記録'!$I$5:$I$3004,$M98)))</f>
        <v/>
      </c>
      <c r="I98" s="15">
        <f>IF($A98="","",IF(INDEX('潜水記録'!$X$5:$X$3004,$M98)="","",INDEX('潜水記録'!$X$5:$X$3004,$M98)))</f>
        <v/>
      </c>
      <c r="J98" s="15">
        <f>IF($A98="","",IF(INDEX('潜水記録'!$O$5:$O$3004,$M98)="","",INDEX('潜水記録'!$O$5:$O$3004,$M98)))</f>
        <v/>
      </c>
      <c r="K98" s="15">
        <f>IF($A98="","",IF(INDEX('潜水記録'!$P$5:$P$3004,$M98)="","",INDEX('潜水記録'!$P$5:$P$3004,$M98)))</f>
        <v/>
      </c>
      <c r="L98" s="14">
        <f>IF($A98="","",IF(INDEX('潜水記録'!$Q$5:$Q$3004,$M98)="","",INDEX('潜水記録'!$Q$5:$Q$3004,$M98)))</f>
        <v/>
      </c>
      <c r="M98" s="20">
        <f>IF($A98="","",MATCH($A98,'潜水記録'!$AG$5:$AG$3004,0))</f>
        <v/>
      </c>
    </row>
    <row r="99">
      <c r="A99" s="15">
        <f>IF(90&lt;=$C$6,90,"")</f>
        <v/>
      </c>
      <c r="B99" s="16">
        <f>IF($A99="","",IF(INDEX('潜水記録'!$A$5:$A$3004,$M99)="","",INDEX('潜水記録'!$A$5:$A$3004,$M99)))</f>
        <v/>
      </c>
      <c r="C99" s="15">
        <f>IF($A99="","",IF(INDEX('潜水記録'!$D$5:$D$3004,$M99)="","",INDEX('潜水記録'!$D$5:$D$3004,$M99)))</f>
        <v/>
      </c>
      <c r="D99" s="14">
        <f>IF($A99="","",IF(INDEX('潜水記録'!$E$5:$E$3004,$M99)="","",INDEX('潜水記録'!$E$5:$E$3004,$M99)))</f>
        <v/>
      </c>
      <c r="E99" s="14">
        <f>IF($A99="","",IF(INDEX('潜水記録'!$F$5:$F$3004,$M99)="","",INDEX('潜水記録'!$F$5:$F$3004,$M99)))</f>
        <v/>
      </c>
      <c r="F99" s="15">
        <f>IF($A99="","",IF(INDEX('潜水記録'!$G$5:$G$3004,$M99)="","",INDEX('潜水記録'!$G$5:$G$3004,$M99)))</f>
        <v/>
      </c>
      <c r="G99" s="15">
        <f>IF($A99="","",IF(INDEX('潜水記録'!$H$5:$H$3004,$M99)="","",INDEX('潜水記録'!$H$5:$H$3004,$M99)))</f>
        <v/>
      </c>
      <c r="H99" s="15">
        <f>IF($A99="","",IF(INDEX('潜水記録'!$I$5:$I$3004,$M99)="","",INDEX('潜水記録'!$I$5:$I$3004,$M99)))</f>
        <v/>
      </c>
      <c r="I99" s="15">
        <f>IF($A99="","",IF(INDEX('潜水記録'!$X$5:$X$3004,$M99)="","",INDEX('潜水記録'!$X$5:$X$3004,$M99)))</f>
        <v/>
      </c>
      <c r="J99" s="15">
        <f>IF($A99="","",IF(INDEX('潜水記録'!$O$5:$O$3004,$M99)="","",INDEX('潜水記録'!$O$5:$O$3004,$M99)))</f>
        <v/>
      </c>
      <c r="K99" s="15">
        <f>IF($A99="","",IF(INDEX('潜水記録'!$P$5:$P$3004,$M99)="","",INDEX('潜水記録'!$P$5:$P$3004,$M99)))</f>
        <v/>
      </c>
      <c r="L99" s="14">
        <f>IF($A99="","",IF(INDEX('潜水記録'!$Q$5:$Q$3004,$M99)="","",INDEX('潜水記録'!$Q$5:$Q$3004,$M99)))</f>
        <v/>
      </c>
      <c r="M99" s="20">
        <f>IF($A99="","",MATCH($A99,'潜水記録'!$AG$5:$AG$3004,0))</f>
        <v/>
      </c>
    </row>
    <row r="100">
      <c r="A100" s="15">
        <f>IF(91&lt;=$C$6,91,"")</f>
        <v/>
      </c>
      <c r="B100" s="16">
        <f>IF($A100="","",IF(INDEX('潜水記録'!$A$5:$A$3004,$M100)="","",INDEX('潜水記録'!$A$5:$A$3004,$M100)))</f>
        <v/>
      </c>
      <c r="C100" s="15">
        <f>IF($A100="","",IF(INDEX('潜水記録'!$D$5:$D$3004,$M100)="","",INDEX('潜水記録'!$D$5:$D$3004,$M100)))</f>
        <v/>
      </c>
      <c r="D100" s="14">
        <f>IF($A100="","",IF(INDEX('潜水記録'!$E$5:$E$3004,$M100)="","",INDEX('潜水記録'!$E$5:$E$3004,$M100)))</f>
        <v/>
      </c>
      <c r="E100" s="14">
        <f>IF($A100="","",IF(INDEX('潜水記録'!$F$5:$F$3004,$M100)="","",INDEX('潜水記録'!$F$5:$F$3004,$M100)))</f>
        <v/>
      </c>
      <c r="F100" s="15">
        <f>IF($A100="","",IF(INDEX('潜水記録'!$G$5:$G$3004,$M100)="","",INDEX('潜水記録'!$G$5:$G$3004,$M100)))</f>
        <v/>
      </c>
      <c r="G100" s="15">
        <f>IF($A100="","",IF(INDEX('潜水記録'!$H$5:$H$3004,$M100)="","",INDEX('潜水記録'!$H$5:$H$3004,$M100)))</f>
        <v/>
      </c>
      <c r="H100" s="15">
        <f>IF($A100="","",IF(INDEX('潜水記録'!$I$5:$I$3004,$M100)="","",INDEX('潜水記録'!$I$5:$I$3004,$M100)))</f>
        <v/>
      </c>
      <c r="I100" s="15">
        <f>IF($A100="","",IF(INDEX('潜水記録'!$X$5:$X$3004,$M100)="","",INDEX('潜水記録'!$X$5:$X$3004,$M100)))</f>
        <v/>
      </c>
      <c r="J100" s="15">
        <f>IF($A100="","",IF(INDEX('潜水記録'!$O$5:$O$3004,$M100)="","",INDEX('潜水記録'!$O$5:$O$3004,$M100)))</f>
        <v/>
      </c>
      <c r="K100" s="15">
        <f>IF($A100="","",IF(INDEX('潜水記録'!$P$5:$P$3004,$M100)="","",INDEX('潜水記録'!$P$5:$P$3004,$M100)))</f>
        <v/>
      </c>
      <c r="L100" s="14">
        <f>IF($A100="","",IF(INDEX('潜水記録'!$Q$5:$Q$3004,$M100)="","",INDEX('潜水記録'!$Q$5:$Q$3004,$M100)))</f>
        <v/>
      </c>
      <c r="M100" s="20">
        <f>IF($A100="","",MATCH($A100,'潜水記録'!$AG$5:$AG$3004,0))</f>
        <v/>
      </c>
    </row>
    <row r="101">
      <c r="A101" s="15">
        <f>IF(92&lt;=$C$6,92,"")</f>
        <v/>
      </c>
      <c r="B101" s="16">
        <f>IF($A101="","",IF(INDEX('潜水記録'!$A$5:$A$3004,$M101)="","",INDEX('潜水記録'!$A$5:$A$3004,$M101)))</f>
        <v/>
      </c>
      <c r="C101" s="15">
        <f>IF($A101="","",IF(INDEX('潜水記録'!$D$5:$D$3004,$M101)="","",INDEX('潜水記録'!$D$5:$D$3004,$M101)))</f>
        <v/>
      </c>
      <c r="D101" s="14">
        <f>IF($A101="","",IF(INDEX('潜水記録'!$E$5:$E$3004,$M101)="","",INDEX('潜水記録'!$E$5:$E$3004,$M101)))</f>
        <v/>
      </c>
      <c r="E101" s="14">
        <f>IF($A101="","",IF(INDEX('潜水記録'!$F$5:$F$3004,$M101)="","",INDEX('潜水記録'!$F$5:$F$3004,$M101)))</f>
        <v/>
      </c>
      <c r="F101" s="15">
        <f>IF($A101="","",IF(INDEX('潜水記録'!$G$5:$G$3004,$M101)="","",INDEX('潜水記録'!$G$5:$G$3004,$M101)))</f>
        <v/>
      </c>
      <c r="G101" s="15">
        <f>IF($A101="","",IF(INDEX('潜水記録'!$H$5:$H$3004,$M101)="","",INDEX('潜水記録'!$H$5:$H$3004,$M101)))</f>
        <v/>
      </c>
      <c r="H101" s="15">
        <f>IF($A101="","",IF(INDEX('潜水記録'!$I$5:$I$3004,$M101)="","",INDEX('潜水記録'!$I$5:$I$3004,$M101)))</f>
        <v/>
      </c>
      <c r="I101" s="15">
        <f>IF($A101="","",IF(INDEX('潜水記録'!$X$5:$X$3004,$M101)="","",INDEX('潜水記録'!$X$5:$X$3004,$M101)))</f>
        <v/>
      </c>
      <c r="J101" s="15">
        <f>IF($A101="","",IF(INDEX('潜水記録'!$O$5:$O$3004,$M101)="","",INDEX('潜水記録'!$O$5:$O$3004,$M101)))</f>
        <v/>
      </c>
      <c r="K101" s="15">
        <f>IF($A101="","",IF(INDEX('潜水記録'!$P$5:$P$3004,$M101)="","",INDEX('潜水記録'!$P$5:$P$3004,$M101)))</f>
        <v/>
      </c>
      <c r="L101" s="14">
        <f>IF($A101="","",IF(INDEX('潜水記録'!$Q$5:$Q$3004,$M101)="","",INDEX('潜水記録'!$Q$5:$Q$3004,$M101)))</f>
        <v/>
      </c>
      <c r="M101" s="20">
        <f>IF($A101="","",MATCH($A101,'潜水記録'!$AG$5:$AG$3004,0))</f>
        <v/>
      </c>
    </row>
    <row r="102">
      <c r="A102" s="15">
        <f>IF(93&lt;=$C$6,93,"")</f>
        <v/>
      </c>
      <c r="B102" s="16">
        <f>IF($A102="","",IF(INDEX('潜水記録'!$A$5:$A$3004,$M102)="","",INDEX('潜水記録'!$A$5:$A$3004,$M102)))</f>
        <v/>
      </c>
      <c r="C102" s="15">
        <f>IF($A102="","",IF(INDEX('潜水記録'!$D$5:$D$3004,$M102)="","",INDEX('潜水記録'!$D$5:$D$3004,$M102)))</f>
        <v/>
      </c>
      <c r="D102" s="14">
        <f>IF($A102="","",IF(INDEX('潜水記録'!$E$5:$E$3004,$M102)="","",INDEX('潜水記録'!$E$5:$E$3004,$M102)))</f>
        <v/>
      </c>
      <c r="E102" s="14">
        <f>IF($A102="","",IF(INDEX('潜水記録'!$F$5:$F$3004,$M102)="","",INDEX('潜水記録'!$F$5:$F$3004,$M102)))</f>
        <v/>
      </c>
      <c r="F102" s="15">
        <f>IF($A102="","",IF(INDEX('潜水記録'!$G$5:$G$3004,$M102)="","",INDEX('潜水記録'!$G$5:$G$3004,$M102)))</f>
        <v/>
      </c>
      <c r="G102" s="15">
        <f>IF($A102="","",IF(INDEX('潜水記録'!$H$5:$H$3004,$M102)="","",INDEX('潜水記録'!$H$5:$H$3004,$M102)))</f>
        <v/>
      </c>
      <c r="H102" s="15">
        <f>IF($A102="","",IF(INDEX('潜水記録'!$I$5:$I$3004,$M102)="","",INDEX('潜水記録'!$I$5:$I$3004,$M102)))</f>
        <v/>
      </c>
      <c r="I102" s="15">
        <f>IF($A102="","",IF(INDEX('潜水記録'!$X$5:$X$3004,$M102)="","",INDEX('潜水記録'!$X$5:$X$3004,$M102)))</f>
        <v/>
      </c>
      <c r="J102" s="15">
        <f>IF($A102="","",IF(INDEX('潜水記録'!$O$5:$O$3004,$M102)="","",INDEX('潜水記録'!$O$5:$O$3004,$M102)))</f>
        <v/>
      </c>
      <c r="K102" s="15">
        <f>IF($A102="","",IF(INDEX('潜水記録'!$P$5:$P$3004,$M102)="","",INDEX('潜水記録'!$P$5:$P$3004,$M102)))</f>
        <v/>
      </c>
      <c r="L102" s="14">
        <f>IF($A102="","",IF(INDEX('潜水記録'!$Q$5:$Q$3004,$M102)="","",INDEX('潜水記録'!$Q$5:$Q$3004,$M102)))</f>
        <v/>
      </c>
      <c r="M102" s="20">
        <f>IF($A102="","",MATCH($A102,'潜水記録'!$AG$5:$AG$3004,0))</f>
        <v/>
      </c>
    </row>
    <row r="103">
      <c r="A103" s="15">
        <f>IF(94&lt;=$C$6,94,"")</f>
        <v/>
      </c>
      <c r="B103" s="16">
        <f>IF($A103="","",IF(INDEX('潜水記録'!$A$5:$A$3004,$M103)="","",INDEX('潜水記録'!$A$5:$A$3004,$M103)))</f>
        <v/>
      </c>
      <c r="C103" s="15">
        <f>IF($A103="","",IF(INDEX('潜水記録'!$D$5:$D$3004,$M103)="","",INDEX('潜水記録'!$D$5:$D$3004,$M103)))</f>
        <v/>
      </c>
      <c r="D103" s="14">
        <f>IF($A103="","",IF(INDEX('潜水記録'!$E$5:$E$3004,$M103)="","",INDEX('潜水記録'!$E$5:$E$3004,$M103)))</f>
        <v/>
      </c>
      <c r="E103" s="14">
        <f>IF($A103="","",IF(INDEX('潜水記録'!$F$5:$F$3004,$M103)="","",INDEX('潜水記録'!$F$5:$F$3004,$M103)))</f>
        <v/>
      </c>
      <c r="F103" s="15">
        <f>IF($A103="","",IF(INDEX('潜水記録'!$G$5:$G$3004,$M103)="","",INDEX('潜水記録'!$G$5:$G$3004,$M103)))</f>
        <v/>
      </c>
      <c r="G103" s="15">
        <f>IF($A103="","",IF(INDEX('潜水記録'!$H$5:$H$3004,$M103)="","",INDEX('潜水記録'!$H$5:$H$3004,$M103)))</f>
        <v/>
      </c>
      <c r="H103" s="15">
        <f>IF($A103="","",IF(INDEX('潜水記録'!$I$5:$I$3004,$M103)="","",INDEX('潜水記録'!$I$5:$I$3004,$M103)))</f>
        <v/>
      </c>
      <c r="I103" s="15">
        <f>IF($A103="","",IF(INDEX('潜水記録'!$X$5:$X$3004,$M103)="","",INDEX('潜水記録'!$X$5:$X$3004,$M103)))</f>
        <v/>
      </c>
      <c r="J103" s="15">
        <f>IF($A103="","",IF(INDEX('潜水記録'!$O$5:$O$3004,$M103)="","",INDEX('潜水記録'!$O$5:$O$3004,$M103)))</f>
        <v/>
      </c>
      <c r="K103" s="15">
        <f>IF($A103="","",IF(INDEX('潜水記録'!$P$5:$P$3004,$M103)="","",INDEX('潜水記録'!$P$5:$P$3004,$M103)))</f>
        <v/>
      </c>
      <c r="L103" s="14">
        <f>IF($A103="","",IF(INDEX('潜水記録'!$Q$5:$Q$3004,$M103)="","",INDEX('潜水記録'!$Q$5:$Q$3004,$M103)))</f>
        <v/>
      </c>
      <c r="M103" s="20">
        <f>IF($A103="","",MATCH($A103,'潜水記録'!$AG$5:$AG$3004,0))</f>
        <v/>
      </c>
    </row>
    <row r="104">
      <c r="A104" s="15">
        <f>IF(95&lt;=$C$6,95,"")</f>
        <v/>
      </c>
      <c r="B104" s="16">
        <f>IF($A104="","",IF(INDEX('潜水記録'!$A$5:$A$3004,$M104)="","",INDEX('潜水記録'!$A$5:$A$3004,$M104)))</f>
        <v/>
      </c>
      <c r="C104" s="15">
        <f>IF($A104="","",IF(INDEX('潜水記録'!$D$5:$D$3004,$M104)="","",INDEX('潜水記録'!$D$5:$D$3004,$M104)))</f>
        <v/>
      </c>
      <c r="D104" s="14">
        <f>IF($A104="","",IF(INDEX('潜水記録'!$E$5:$E$3004,$M104)="","",INDEX('潜水記録'!$E$5:$E$3004,$M104)))</f>
        <v/>
      </c>
      <c r="E104" s="14">
        <f>IF($A104="","",IF(INDEX('潜水記録'!$F$5:$F$3004,$M104)="","",INDEX('潜水記録'!$F$5:$F$3004,$M104)))</f>
        <v/>
      </c>
      <c r="F104" s="15">
        <f>IF($A104="","",IF(INDEX('潜水記録'!$G$5:$G$3004,$M104)="","",INDEX('潜水記録'!$G$5:$G$3004,$M104)))</f>
        <v/>
      </c>
      <c r="G104" s="15">
        <f>IF($A104="","",IF(INDEX('潜水記録'!$H$5:$H$3004,$M104)="","",INDEX('潜水記録'!$H$5:$H$3004,$M104)))</f>
        <v/>
      </c>
      <c r="H104" s="15">
        <f>IF($A104="","",IF(INDEX('潜水記録'!$I$5:$I$3004,$M104)="","",INDEX('潜水記録'!$I$5:$I$3004,$M104)))</f>
        <v/>
      </c>
      <c r="I104" s="15">
        <f>IF($A104="","",IF(INDEX('潜水記録'!$X$5:$X$3004,$M104)="","",INDEX('潜水記録'!$X$5:$X$3004,$M104)))</f>
        <v/>
      </c>
      <c r="J104" s="15">
        <f>IF($A104="","",IF(INDEX('潜水記録'!$O$5:$O$3004,$M104)="","",INDEX('潜水記録'!$O$5:$O$3004,$M104)))</f>
        <v/>
      </c>
      <c r="K104" s="15">
        <f>IF($A104="","",IF(INDEX('潜水記録'!$P$5:$P$3004,$M104)="","",INDEX('潜水記録'!$P$5:$P$3004,$M104)))</f>
        <v/>
      </c>
      <c r="L104" s="14">
        <f>IF($A104="","",IF(INDEX('潜水記録'!$Q$5:$Q$3004,$M104)="","",INDEX('潜水記録'!$Q$5:$Q$3004,$M104)))</f>
        <v/>
      </c>
      <c r="M104" s="20">
        <f>IF($A104="","",MATCH($A104,'潜水記録'!$AG$5:$AG$3004,0))</f>
        <v/>
      </c>
    </row>
    <row r="105">
      <c r="A105" s="15">
        <f>IF(96&lt;=$C$6,96,"")</f>
        <v/>
      </c>
      <c r="B105" s="16">
        <f>IF($A105="","",IF(INDEX('潜水記録'!$A$5:$A$3004,$M105)="","",INDEX('潜水記録'!$A$5:$A$3004,$M105)))</f>
        <v/>
      </c>
      <c r="C105" s="15">
        <f>IF($A105="","",IF(INDEX('潜水記録'!$D$5:$D$3004,$M105)="","",INDEX('潜水記録'!$D$5:$D$3004,$M105)))</f>
        <v/>
      </c>
      <c r="D105" s="14">
        <f>IF($A105="","",IF(INDEX('潜水記録'!$E$5:$E$3004,$M105)="","",INDEX('潜水記録'!$E$5:$E$3004,$M105)))</f>
        <v/>
      </c>
      <c r="E105" s="14">
        <f>IF($A105="","",IF(INDEX('潜水記録'!$F$5:$F$3004,$M105)="","",INDEX('潜水記録'!$F$5:$F$3004,$M105)))</f>
        <v/>
      </c>
      <c r="F105" s="15">
        <f>IF($A105="","",IF(INDEX('潜水記録'!$G$5:$G$3004,$M105)="","",INDEX('潜水記録'!$G$5:$G$3004,$M105)))</f>
        <v/>
      </c>
      <c r="G105" s="15">
        <f>IF($A105="","",IF(INDEX('潜水記録'!$H$5:$H$3004,$M105)="","",INDEX('潜水記録'!$H$5:$H$3004,$M105)))</f>
        <v/>
      </c>
      <c r="H105" s="15">
        <f>IF($A105="","",IF(INDEX('潜水記録'!$I$5:$I$3004,$M105)="","",INDEX('潜水記録'!$I$5:$I$3004,$M105)))</f>
        <v/>
      </c>
      <c r="I105" s="15">
        <f>IF($A105="","",IF(INDEX('潜水記録'!$X$5:$X$3004,$M105)="","",INDEX('潜水記録'!$X$5:$X$3004,$M105)))</f>
        <v/>
      </c>
      <c r="J105" s="15">
        <f>IF($A105="","",IF(INDEX('潜水記録'!$O$5:$O$3004,$M105)="","",INDEX('潜水記録'!$O$5:$O$3004,$M105)))</f>
        <v/>
      </c>
      <c r="K105" s="15">
        <f>IF($A105="","",IF(INDEX('潜水記録'!$P$5:$P$3004,$M105)="","",INDEX('潜水記録'!$P$5:$P$3004,$M105)))</f>
        <v/>
      </c>
      <c r="L105" s="14">
        <f>IF($A105="","",IF(INDEX('潜水記録'!$Q$5:$Q$3004,$M105)="","",INDEX('潜水記録'!$Q$5:$Q$3004,$M105)))</f>
        <v/>
      </c>
      <c r="M105" s="20">
        <f>IF($A105="","",MATCH($A105,'潜水記録'!$AG$5:$AG$3004,0))</f>
        <v/>
      </c>
    </row>
    <row r="106">
      <c r="A106" s="15">
        <f>IF(97&lt;=$C$6,97,"")</f>
        <v/>
      </c>
      <c r="B106" s="16">
        <f>IF($A106="","",IF(INDEX('潜水記録'!$A$5:$A$3004,$M106)="","",INDEX('潜水記録'!$A$5:$A$3004,$M106)))</f>
        <v/>
      </c>
      <c r="C106" s="15">
        <f>IF($A106="","",IF(INDEX('潜水記録'!$D$5:$D$3004,$M106)="","",INDEX('潜水記録'!$D$5:$D$3004,$M106)))</f>
        <v/>
      </c>
      <c r="D106" s="14">
        <f>IF($A106="","",IF(INDEX('潜水記録'!$E$5:$E$3004,$M106)="","",INDEX('潜水記録'!$E$5:$E$3004,$M106)))</f>
        <v/>
      </c>
      <c r="E106" s="14">
        <f>IF($A106="","",IF(INDEX('潜水記録'!$F$5:$F$3004,$M106)="","",INDEX('潜水記録'!$F$5:$F$3004,$M106)))</f>
        <v/>
      </c>
      <c r="F106" s="15">
        <f>IF($A106="","",IF(INDEX('潜水記録'!$G$5:$G$3004,$M106)="","",INDEX('潜水記録'!$G$5:$G$3004,$M106)))</f>
        <v/>
      </c>
      <c r="G106" s="15">
        <f>IF($A106="","",IF(INDEX('潜水記録'!$H$5:$H$3004,$M106)="","",INDEX('潜水記録'!$H$5:$H$3004,$M106)))</f>
        <v/>
      </c>
      <c r="H106" s="15">
        <f>IF($A106="","",IF(INDEX('潜水記録'!$I$5:$I$3004,$M106)="","",INDEX('潜水記録'!$I$5:$I$3004,$M106)))</f>
        <v/>
      </c>
      <c r="I106" s="15">
        <f>IF($A106="","",IF(INDEX('潜水記録'!$X$5:$X$3004,$M106)="","",INDEX('潜水記録'!$X$5:$X$3004,$M106)))</f>
        <v/>
      </c>
      <c r="J106" s="15">
        <f>IF($A106="","",IF(INDEX('潜水記録'!$O$5:$O$3004,$M106)="","",INDEX('潜水記録'!$O$5:$O$3004,$M106)))</f>
        <v/>
      </c>
      <c r="K106" s="15">
        <f>IF($A106="","",IF(INDEX('潜水記録'!$P$5:$P$3004,$M106)="","",INDEX('潜水記録'!$P$5:$P$3004,$M106)))</f>
        <v/>
      </c>
      <c r="L106" s="14">
        <f>IF($A106="","",IF(INDEX('潜水記録'!$Q$5:$Q$3004,$M106)="","",INDEX('潜水記録'!$Q$5:$Q$3004,$M106)))</f>
        <v/>
      </c>
      <c r="M106" s="20">
        <f>IF($A106="","",MATCH($A106,'潜水記録'!$AG$5:$AG$3004,0))</f>
        <v/>
      </c>
    </row>
    <row r="107">
      <c r="A107" s="15">
        <f>IF(98&lt;=$C$6,98,"")</f>
        <v/>
      </c>
      <c r="B107" s="16">
        <f>IF($A107="","",IF(INDEX('潜水記録'!$A$5:$A$3004,$M107)="","",INDEX('潜水記録'!$A$5:$A$3004,$M107)))</f>
        <v/>
      </c>
      <c r="C107" s="15">
        <f>IF($A107="","",IF(INDEX('潜水記録'!$D$5:$D$3004,$M107)="","",INDEX('潜水記録'!$D$5:$D$3004,$M107)))</f>
        <v/>
      </c>
      <c r="D107" s="14">
        <f>IF($A107="","",IF(INDEX('潜水記録'!$E$5:$E$3004,$M107)="","",INDEX('潜水記録'!$E$5:$E$3004,$M107)))</f>
        <v/>
      </c>
      <c r="E107" s="14">
        <f>IF($A107="","",IF(INDEX('潜水記録'!$F$5:$F$3004,$M107)="","",INDEX('潜水記録'!$F$5:$F$3004,$M107)))</f>
        <v/>
      </c>
      <c r="F107" s="15">
        <f>IF($A107="","",IF(INDEX('潜水記録'!$G$5:$G$3004,$M107)="","",INDEX('潜水記録'!$G$5:$G$3004,$M107)))</f>
        <v/>
      </c>
      <c r="G107" s="15">
        <f>IF($A107="","",IF(INDEX('潜水記録'!$H$5:$H$3004,$M107)="","",INDEX('潜水記録'!$H$5:$H$3004,$M107)))</f>
        <v/>
      </c>
      <c r="H107" s="15">
        <f>IF($A107="","",IF(INDEX('潜水記録'!$I$5:$I$3004,$M107)="","",INDEX('潜水記録'!$I$5:$I$3004,$M107)))</f>
        <v/>
      </c>
      <c r="I107" s="15">
        <f>IF($A107="","",IF(INDEX('潜水記録'!$X$5:$X$3004,$M107)="","",INDEX('潜水記録'!$X$5:$X$3004,$M107)))</f>
        <v/>
      </c>
      <c r="J107" s="15">
        <f>IF($A107="","",IF(INDEX('潜水記録'!$O$5:$O$3004,$M107)="","",INDEX('潜水記録'!$O$5:$O$3004,$M107)))</f>
        <v/>
      </c>
      <c r="K107" s="15">
        <f>IF($A107="","",IF(INDEX('潜水記録'!$P$5:$P$3004,$M107)="","",INDEX('潜水記録'!$P$5:$P$3004,$M107)))</f>
        <v/>
      </c>
      <c r="L107" s="14">
        <f>IF($A107="","",IF(INDEX('潜水記録'!$Q$5:$Q$3004,$M107)="","",INDEX('潜水記録'!$Q$5:$Q$3004,$M107)))</f>
        <v/>
      </c>
      <c r="M107" s="20">
        <f>IF($A107="","",MATCH($A107,'潜水記録'!$AG$5:$AG$3004,0))</f>
        <v/>
      </c>
    </row>
    <row r="108">
      <c r="A108" s="15">
        <f>IF(99&lt;=$C$6,99,"")</f>
        <v/>
      </c>
      <c r="B108" s="16">
        <f>IF($A108="","",IF(INDEX('潜水記録'!$A$5:$A$3004,$M108)="","",INDEX('潜水記録'!$A$5:$A$3004,$M108)))</f>
        <v/>
      </c>
      <c r="C108" s="15">
        <f>IF($A108="","",IF(INDEX('潜水記録'!$D$5:$D$3004,$M108)="","",INDEX('潜水記録'!$D$5:$D$3004,$M108)))</f>
        <v/>
      </c>
      <c r="D108" s="14">
        <f>IF($A108="","",IF(INDEX('潜水記録'!$E$5:$E$3004,$M108)="","",INDEX('潜水記録'!$E$5:$E$3004,$M108)))</f>
        <v/>
      </c>
      <c r="E108" s="14">
        <f>IF($A108="","",IF(INDEX('潜水記録'!$F$5:$F$3004,$M108)="","",INDEX('潜水記録'!$F$5:$F$3004,$M108)))</f>
        <v/>
      </c>
      <c r="F108" s="15">
        <f>IF($A108="","",IF(INDEX('潜水記録'!$G$5:$G$3004,$M108)="","",INDEX('潜水記録'!$G$5:$G$3004,$M108)))</f>
        <v/>
      </c>
      <c r="G108" s="15">
        <f>IF($A108="","",IF(INDEX('潜水記録'!$H$5:$H$3004,$M108)="","",INDEX('潜水記録'!$H$5:$H$3004,$M108)))</f>
        <v/>
      </c>
      <c r="H108" s="15">
        <f>IF($A108="","",IF(INDEX('潜水記録'!$I$5:$I$3004,$M108)="","",INDEX('潜水記録'!$I$5:$I$3004,$M108)))</f>
        <v/>
      </c>
      <c r="I108" s="15">
        <f>IF($A108="","",IF(INDEX('潜水記録'!$X$5:$X$3004,$M108)="","",INDEX('潜水記録'!$X$5:$X$3004,$M108)))</f>
        <v/>
      </c>
      <c r="J108" s="15">
        <f>IF($A108="","",IF(INDEX('潜水記録'!$O$5:$O$3004,$M108)="","",INDEX('潜水記録'!$O$5:$O$3004,$M108)))</f>
        <v/>
      </c>
      <c r="K108" s="15">
        <f>IF($A108="","",IF(INDEX('潜水記録'!$P$5:$P$3004,$M108)="","",INDEX('潜水記録'!$P$5:$P$3004,$M108)))</f>
        <v/>
      </c>
      <c r="L108" s="14">
        <f>IF($A108="","",IF(INDEX('潜水記録'!$Q$5:$Q$3004,$M108)="","",INDEX('潜水記録'!$Q$5:$Q$3004,$M108)))</f>
        <v/>
      </c>
      <c r="M108" s="20">
        <f>IF($A108="","",MATCH($A108,'潜水記録'!$AG$5:$AG$3004,0))</f>
        <v/>
      </c>
    </row>
    <row r="109">
      <c r="A109" s="15">
        <f>IF(100&lt;=$C$6,100,"")</f>
        <v/>
      </c>
      <c r="B109" s="16">
        <f>IF($A109="","",IF(INDEX('潜水記録'!$A$5:$A$3004,$M109)="","",INDEX('潜水記録'!$A$5:$A$3004,$M109)))</f>
        <v/>
      </c>
      <c r="C109" s="15">
        <f>IF($A109="","",IF(INDEX('潜水記録'!$D$5:$D$3004,$M109)="","",INDEX('潜水記録'!$D$5:$D$3004,$M109)))</f>
        <v/>
      </c>
      <c r="D109" s="14">
        <f>IF($A109="","",IF(INDEX('潜水記録'!$E$5:$E$3004,$M109)="","",INDEX('潜水記録'!$E$5:$E$3004,$M109)))</f>
        <v/>
      </c>
      <c r="E109" s="14">
        <f>IF($A109="","",IF(INDEX('潜水記録'!$F$5:$F$3004,$M109)="","",INDEX('潜水記録'!$F$5:$F$3004,$M109)))</f>
        <v/>
      </c>
      <c r="F109" s="15">
        <f>IF($A109="","",IF(INDEX('潜水記録'!$G$5:$G$3004,$M109)="","",INDEX('潜水記録'!$G$5:$G$3004,$M109)))</f>
        <v/>
      </c>
      <c r="G109" s="15">
        <f>IF($A109="","",IF(INDEX('潜水記録'!$H$5:$H$3004,$M109)="","",INDEX('潜水記録'!$H$5:$H$3004,$M109)))</f>
        <v/>
      </c>
      <c r="H109" s="15">
        <f>IF($A109="","",IF(INDEX('潜水記録'!$I$5:$I$3004,$M109)="","",INDEX('潜水記録'!$I$5:$I$3004,$M109)))</f>
        <v/>
      </c>
      <c r="I109" s="15">
        <f>IF($A109="","",IF(INDEX('潜水記録'!$X$5:$X$3004,$M109)="","",INDEX('潜水記録'!$X$5:$X$3004,$M109)))</f>
        <v/>
      </c>
      <c r="J109" s="15">
        <f>IF($A109="","",IF(INDEX('潜水記録'!$O$5:$O$3004,$M109)="","",INDEX('潜水記録'!$O$5:$O$3004,$M109)))</f>
        <v/>
      </c>
      <c r="K109" s="15">
        <f>IF($A109="","",IF(INDEX('潜水記録'!$P$5:$P$3004,$M109)="","",INDEX('潜水記録'!$P$5:$P$3004,$M109)))</f>
        <v/>
      </c>
      <c r="L109" s="14">
        <f>IF($A109="","",IF(INDEX('潜水記録'!$Q$5:$Q$3004,$M109)="","",INDEX('潜水記録'!$Q$5:$Q$3004,$M109)))</f>
        <v/>
      </c>
      <c r="M109" s="20">
        <f>IF($A109="","",MATCH($A109,'潜水記録'!$AG$5:$AG$3004,0))</f>
        <v/>
      </c>
    </row>
    <row r="110">
      <c r="A110" s="15">
        <f>IF(101&lt;=$C$6,101,"")</f>
        <v/>
      </c>
      <c r="B110" s="16">
        <f>IF($A110="","",IF(INDEX('潜水記録'!$A$5:$A$3004,$M110)="","",INDEX('潜水記録'!$A$5:$A$3004,$M110)))</f>
        <v/>
      </c>
      <c r="C110" s="15">
        <f>IF($A110="","",IF(INDEX('潜水記録'!$D$5:$D$3004,$M110)="","",INDEX('潜水記録'!$D$5:$D$3004,$M110)))</f>
        <v/>
      </c>
      <c r="D110" s="14">
        <f>IF($A110="","",IF(INDEX('潜水記録'!$E$5:$E$3004,$M110)="","",INDEX('潜水記録'!$E$5:$E$3004,$M110)))</f>
        <v/>
      </c>
      <c r="E110" s="14">
        <f>IF($A110="","",IF(INDEX('潜水記録'!$F$5:$F$3004,$M110)="","",INDEX('潜水記録'!$F$5:$F$3004,$M110)))</f>
        <v/>
      </c>
      <c r="F110" s="15">
        <f>IF($A110="","",IF(INDEX('潜水記録'!$G$5:$G$3004,$M110)="","",INDEX('潜水記録'!$G$5:$G$3004,$M110)))</f>
        <v/>
      </c>
      <c r="G110" s="15">
        <f>IF($A110="","",IF(INDEX('潜水記録'!$H$5:$H$3004,$M110)="","",INDEX('潜水記録'!$H$5:$H$3004,$M110)))</f>
        <v/>
      </c>
      <c r="H110" s="15">
        <f>IF($A110="","",IF(INDEX('潜水記録'!$I$5:$I$3004,$M110)="","",INDEX('潜水記録'!$I$5:$I$3004,$M110)))</f>
        <v/>
      </c>
      <c r="I110" s="15">
        <f>IF($A110="","",IF(INDEX('潜水記録'!$X$5:$X$3004,$M110)="","",INDEX('潜水記録'!$X$5:$X$3004,$M110)))</f>
        <v/>
      </c>
      <c r="J110" s="15">
        <f>IF($A110="","",IF(INDEX('潜水記録'!$O$5:$O$3004,$M110)="","",INDEX('潜水記録'!$O$5:$O$3004,$M110)))</f>
        <v/>
      </c>
      <c r="K110" s="15">
        <f>IF($A110="","",IF(INDEX('潜水記録'!$P$5:$P$3004,$M110)="","",INDEX('潜水記録'!$P$5:$P$3004,$M110)))</f>
        <v/>
      </c>
      <c r="L110" s="14">
        <f>IF($A110="","",IF(INDEX('潜水記録'!$Q$5:$Q$3004,$M110)="","",INDEX('潜水記録'!$Q$5:$Q$3004,$M110)))</f>
        <v/>
      </c>
      <c r="M110" s="20">
        <f>IF($A110="","",MATCH($A110,'潜水記録'!$AG$5:$AG$3004,0))</f>
        <v/>
      </c>
    </row>
    <row r="111">
      <c r="A111" s="15">
        <f>IF(102&lt;=$C$6,102,"")</f>
        <v/>
      </c>
      <c r="B111" s="16">
        <f>IF($A111="","",IF(INDEX('潜水記録'!$A$5:$A$3004,$M111)="","",INDEX('潜水記録'!$A$5:$A$3004,$M111)))</f>
        <v/>
      </c>
      <c r="C111" s="15">
        <f>IF($A111="","",IF(INDEX('潜水記録'!$D$5:$D$3004,$M111)="","",INDEX('潜水記録'!$D$5:$D$3004,$M111)))</f>
        <v/>
      </c>
      <c r="D111" s="14">
        <f>IF($A111="","",IF(INDEX('潜水記録'!$E$5:$E$3004,$M111)="","",INDEX('潜水記録'!$E$5:$E$3004,$M111)))</f>
        <v/>
      </c>
      <c r="E111" s="14">
        <f>IF($A111="","",IF(INDEX('潜水記録'!$F$5:$F$3004,$M111)="","",INDEX('潜水記録'!$F$5:$F$3004,$M111)))</f>
        <v/>
      </c>
      <c r="F111" s="15">
        <f>IF($A111="","",IF(INDEX('潜水記録'!$G$5:$G$3004,$M111)="","",INDEX('潜水記録'!$G$5:$G$3004,$M111)))</f>
        <v/>
      </c>
      <c r="G111" s="15">
        <f>IF($A111="","",IF(INDEX('潜水記録'!$H$5:$H$3004,$M111)="","",INDEX('潜水記録'!$H$5:$H$3004,$M111)))</f>
        <v/>
      </c>
      <c r="H111" s="15">
        <f>IF($A111="","",IF(INDEX('潜水記録'!$I$5:$I$3004,$M111)="","",INDEX('潜水記録'!$I$5:$I$3004,$M111)))</f>
        <v/>
      </c>
      <c r="I111" s="15">
        <f>IF($A111="","",IF(INDEX('潜水記録'!$X$5:$X$3004,$M111)="","",INDEX('潜水記録'!$X$5:$X$3004,$M111)))</f>
        <v/>
      </c>
      <c r="J111" s="15">
        <f>IF($A111="","",IF(INDEX('潜水記録'!$O$5:$O$3004,$M111)="","",INDEX('潜水記録'!$O$5:$O$3004,$M111)))</f>
        <v/>
      </c>
      <c r="K111" s="15">
        <f>IF($A111="","",IF(INDEX('潜水記録'!$P$5:$P$3004,$M111)="","",INDEX('潜水記録'!$P$5:$P$3004,$M111)))</f>
        <v/>
      </c>
      <c r="L111" s="14">
        <f>IF($A111="","",IF(INDEX('潜水記録'!$Q$5:$Q$3004,$M111)="","",INDEX('潜水記録'!$Q$5:$Q$3004,$M111)))</f>
        <v/>
      </c>
      <c r="M111" s="20">
        <f>IF($A111="","",MATCH($A111,'潜水記録'!$AG$5:$AG$3004,0))</f>
        <v/>
      </c>
    </row>
    <row r="112">
      <c r="A112" s="15">
        <f>IF(103&lt;=$C$6,103,"")</f>
        <v/>
      </c>
      <c r="B112" s="16">
        <f>IF($A112="","",IF(INDEX('潜水記録'!$A$5:$A$3004,$M112)="","",INDEX('潜水記録'!$A$5:$A$3004,$M112)))</f>
        <v/>
      </c>
      <c r="C112" s="15">
        <f>IF($A112="","",IF(INDEX('潜水記録'!$D$5:$D$3004,$M112)="","",INDEX('潜水記録'!$D$5:$D$3004,$M112)))</f>
        <v/>
      </c>
      <c r="D112" s="14">
        <f>IF($A112="","",IF(INDEX('潜水記録'!$E$5:$E$3004,$M112)="","",INDEX('潜水記録'!$E$5:$E$3004,$M112)))</f>
        <v/>
      </c>
      <c r="E112" s="14">
        <f>IF($A112="","",IF(INDEX('潜水記録'!$F$5:$F$3004,$M112)="","",INDEX('潜水記録'!$F$5:$F$3004,$M112)))</f>
        <v/>
      </c>
      <c r="F112" s="15">
        <f>IF($A112="","",IF(INDEX('潜水記録'!$G$5:$G$3004,$M112)="","",INDEX('潜水記録'!$G$5:$G$3004,$M112)))</f>
        <v/>
      </c>
      <c r="G112" s="15">
        <f>IF($A112="","",IF(INDEX('潜水記録'!$H$5:$H$3004,$M112)="","",INDEX('潜水記録'!$H$5:$H$3004,$M112)))</f>
        <v/>
      </c>
      <c r="H112" s="15">
        <f>IF($A112="","",IF(INDEX('潜水記録'!$I$5:$I$3004,$M112)="","",INDEX('潜水記録'!$I$5:$I$3004,$M112)))</f>
        <v/>
      </c>
      <c r="I112" s="15">
        <f>IF($A112="","",IF(INDEX('潜水記録'!$X$5:$X$3004,$M112)="","",INDEX('潜水記録'!$X$5:$X$3004,$M112)))</f>
        <v/>
      </c>
      <c r="J112" s="15">
        <f>IF($A112="","",IF(INDEX('潜水記録'!$O$5:$O$3004,$M112)="","",INDEX('潜水記録'!$O$5:$O$3004,$M112)))</f>
        <v/>
      </c>
      <c r="K112" s="15">
        <f>IF($A112="","",IF(INDEX('潜水記録'!$P$5:$P$3004,$M112)="","",INDEX('潜水記録'!$P$5:$P$3004,$M112)))</f>
        <v/>
      </c>
      <c r="L112" s="14">
        <f>IF($A112="","",IF(INDEX('潜水記録'!$Q$5:$Q$3004,$M112)="","",INDEX('潜水記録'!$Q$5:$Q$3004,$M112)))</f>
        <v/>
      </c>
      <c r="M112" s="20">
        <f>IF($A112="","",MATCH($A112,'潜水記録'!$AG$5:$AG$3004,0))</f>
        <v/>
      </c>
    </row>
    <row r="113">
      <c r="A113" s="15">
        <f>IF(104&lt;=$C$6,104,"")</f>
        <v/>
      </c>
      <c r="B113" s="16">
        <f>IF($A113="","",IF(INDEX('潜水記録'!$A$5:$A$3004,$M113)="","",INDEX('潜水記録'!$A$5:$A$3004,$M113)))</f>
        <v/>
      </c>
      <c r="C113" s="15">
        <f>IF($A113="","",IF(INDEX('潜水記録'!$D$5:$D$3004,$M113)="","",INDEX('潜水記録'!$D$5:$D$3004,$M113)))</f>
        <v/>
      </c>
      <c r="D113" s="14">
        <f>IF($A113="","",IF(INDEX('潜水記録'!$E$5:$E$3004,$M113)="","",INDEX('潜水記録'!$E$5:$E$3004,$M113)))</f>
        <v/>
      </c>
      <c r="E113" s="14">
        <f>IF($A113="","",IF(INDEX('潜水記録'!$F$5:$F$3004,$M113)="","",INDEX('潜水記録'!$F$5:$F$3004,$M113)))</f>
        <v/>
      </c>
      <c r="F113" s="15">
        <f>IF($A113="","",IF(INDEX('潜水記録'!$G$5:$G$3004,$M113)="","",INDEX('潜水記録'!$G$5:$G$3004,$M113)))</f>
        <v/>
      </c>
      <c r="G113" s="15">
        <f>IF($A113="","",IF(INDEX('潜水記録'!$H$5:$H$3004,$M113)="","",INDEX('潜水記録'!$H$5:$H$3004,$M113)))</f>
        <v/>
      </c>
      <c r="H113" s="15">
        <f>IF($A113="","",IF(INDEX('潜水記録'!$I$5:$I$3004,$M113)="","",INDEX('潜水記録'!$I$5:$I$3004,$M113)))</f>
        <v/>
      </c>
      <c r="I113" s="15">
        <f>IF($A113="","",IF(INDEX('潜水記録'!$X$5:$X$3004,$M113)="","",INDEX('潜水記録'!$X$5:$X$3004,$M113)))</f>
        <v/>
      </c>
      <c r="J113" s="15">
        <f>IF($A113="","",IF(INDEX('潜水記録'!$O$5:$O$3004,$M113)="","",INDEX('潜水記録'!$O$5:$O$3004,$M113)))</f>
        <v/>
      </c>
      <c r="K113" s="15">
        <f>IF($A113="","",IF(INDEX('潜水記録'!$P$5:$P$3004,$M113)="","",INDEX('潜水記録'!$P$5:$P$3004,$M113)))</f>
        <v/>
      </c>
      <c r="L113" s="14">
        <f>IF($A113="","",IF(INDEX('潜水記録'!$Q$5:$Q$3004,$M113)="","",INDEX('潜水記録'!$Q$5:$Q$3004,$M113)))</f>
        <v/>
      </c>
      <c r="M113" s="20">
        <f>IF($A113="","",MATCH($A113,'潜水記録'!$AG$5:$AG$3004,0))</f>
        <v/>
      </c>
    </row>
    <row r="114">
      <c r="A114" s="15">
        <f>IF(105&lt;=$C$6,105,"")</f>
        <v/>
      </c>
      <c r="B114" s="16">
        <f>IF($A114="","",IF(INDEX('潜水記録'!$A$5:$A$3004,$M114)="","",INDEX('潜水記録'!$A$5:$A$3004,$M114)))</f>
        <v/>
      </c>
      <c r="C114" s="15">
        <f>IF($A114="","",IF(INDEX('潜水記録'!$D$5:$D$3004,$M114)="","",INDEX('潜水記録'!$D$5:$D$3004,$M114)))</f>
        <v/>
      </c>
      <c r="D114" s="14">
        <f>IF($A114="","",IF(INDEX('潜水記録'!$E$5:$E$3004,$M114)="","",INDEX('潜水記録'!$E$5:$E$3004,$M114)))</f>
        <v/>
      </c>
      <c r="E114" s="14">
        <f>IF($A114="","",IF(INDEX('潜水記録'!$F$5:$F$3004,$M114)="","",INDEX('潜水記録'!$F$5:$F$3004,$M114)))</f>
        <v/>
      </c>
      <c r="F114" s="15">
        <f>IF($A114="","",IF(INDEX('潜水記録'!$G$5:$G$3004,$M114)="","",INDEX('潜水記録'!$G$5:$G$3004,$M114)))</f>
        <v/>
      </c>
      <c r="G114" s="15">
        <f>IF($A114="","",IF(INDEX('潜水記録'!$H$5:$H$3004,$M114)="","",INDEX('潜水記録'!$H$5:$H$3004,$M114)))</f>
        <v/>
      </c>
      <c r="H114" s="15">
        <f>IF($A114="","",IF(INDEX('潜水記録'!$I$5:$I$3004,$M114)="","",INDEX('潜水記録'!$I$5:$I$3004,$M114)))</f>
        <v/>
      </c>
      <c r="I114" s="15">
        <f>IF($A114="","",IF(INDEX('潜水記録'!$X$5:$X$3004,$M114)="","",INDEX('潜水記録'!$X$5:$X$3004,$M114)))</f>
        <v/>
      </c>
      <c r="J114" s="15">
        <f>IF($A114="","",IF(INDEX('潜水記録'!$O$5:$O$3004,$M114)="","",INDEX('潜水記録'!$O$5:$O$3004,$M114)))</f>
        <v/>
      </c>
      <c r="K114" s="15">
        <f>IF($A114="","",IF(INDEX('潜水記録'!$P$5:$P$3004,$M114)="","",INDEX('潜水記録'!$P$5:$P$3004,$M114)))</f>
        <v/>
      </c>
      <c r="L114" s="14">
        <f>IF($A114="","",IF(INDEX('潜水記録'!$Q$5:$Q$3004,$M114)="","",INDEX('潜水記録'!$Q$5:$Q$3004,$M114)))</f>
        <v/>
      </c>
      <c r="M114" s="20">
        <f>IF($A114="","",MATCH($A114,'潜水記録'!$AG$5:$AG$3004,0))</f>
        <v/>
      </c>
    </row>
    <row r="115">
      <c r="A115" s="15">
        <f>IF(106&lt;=$C$6,106,"")</f>
        <v/>
      </c>
      <c r="B115" s="16">
        <f>IF($A115="","",IF(INDEX('潜水記録'!$A$5:$A$3004,$M115)="","",INDEX('潜水記録'!$A$5:$A$3004,$M115)))</f>
        <v/>
      </c>
      <c r="C115" s="15">
        <f>IF($A115="","",IF(INDEX('潜水記録'!$D$5:$D$3004,$M115)="","",INDEX('潜水記録'!$D$5:$D$3004,$M115)))</f>
        <v/>
      </c>
      <c r="D115" s="14">
        <f>IF($A115="","",IF(INDEX('潜水記録'!$E$5:$E$3004,$M115)="","",INDEX('潜水記録'!$E$5:$E$3004,$M115)))</f>
        <v/>
      </c>
      <c r="E115" s="14">
        <f>IF($A115="","",IF(INDEX('潜水記録'!$F$5:$F$3004,$M115)="","",INDEX('潜水記録'!$F$5:$F$3004,$M115)))</f>
        <v/>
      </c>
      <c r="F115" s="15">
        <f>IF($A115="","",IF(INDEX('潜水記録'!$G$5:$G$3004,$M115)="","",INDEX('潜水記録'!$G$5:$G$3004,$M115)))</f>
        <v/>
      </c>
      <c r="G115" s="15">
        <f>IF($A115="","",IF(INDEX('潜水記録'!$H$5:$H$3004,$M115)="","",INDEX('潜水記録'!$H$5:$H$3004,$M115)))</f>
        <v/>
      </c>
      <c r="H115" s="15">
        <f>IF($A115="","",IF(INDEX('潜水記録'!$I$5:$I$3004,$M115)="","",INDEX('潜水記録'!$I$5:$I$3004,$M115)))</f>
        <v/>
      </c>
      <c r="I115" s="15">
        <f>IF($A115="","",IF(INDEX('潜水記録'!$X$5:$X$3004,$M115)="","",INDEX('潜水記録'!$X$5:$X$3004,$M115)))</f>
        <v/>
      </c>
      <c r="J115" s="15">
        <f>IF($A115="","",IF(INDEX('潜水記録'!$O$5:$O$3004,$M115)="","",INDEX('潜水記録'!$O$5:$O$3004,$M115)))</f>
        <v/>
      </c>
      <c r="K115" s="15">
        <f>IF($A115="","",IF(INDEX('潜水記録'!$P$5:$P$3004,$M115)="","",INDEX('潜水記録'!$P$5:$P$3004,$M115)))</f>
        <v/>
      </c>
      <c r="L115" s="14">
        <f>IF($A115="","",IF(INDEX('潜水記録'!$Q$5:$Q$3004,$M115)="","",INDEX('潜水記録'!$Q$5:$Q$3004,$M115)))</f>
        <v/>
      </c>
      <c r="M115" s="20">
        <f>IF($A115="","",MATCH($A115,'潜水記録'!$AG$5:$AG$3004,0))</f>
        <v/>
      </c>
    </row>
    <row r="116">
      <c r="A116" s="15">
        <f>IF(107&lt;=$C$6,107,"")</f>
        <v/>
      </c>
      <c r="B116" s="16">
        <f>IF($A116="","",IF(INDEX('潜水記録'!$A$5:$A$3004,$M116)="","",INDEX('潜水記録'!$A$5:$A$3004,$M116)))</f>
        <v/>
      </c>
      <c r="C116" s="15">
        <f>IF($A116="","",IF(INDEX('潜水記録'!$D$5:$D$3004,$M116)="","",INDEX('潜水記録'!$D$5:$D$3004,$M116)))</f>
        <v/>
      </c>
      <c r="D116" s="14">
        <f>IF($A116="","",IF(INDEX('潜水記録'!$E$5:$E$3004,$M116)="","",INDEX('潜水記録'!$E$5:$E$3004,$M116)))</f>
        <v/>
      </c>
      <c r="E116" s="14">
        <f>IF($A116="","",IF(INDEX('潜水記録'!$F$5:$F$3004,$M116)="","",INDEX('潜水記録'!$F$5:$F$3004,$M116)))</f>
        <v/>
      </c>
      <c r="F116" s="15">
        <f>IF($A116="","",IF(INDEX('潜水記録'!$G$5:$G$3004,$M116)="","",INDEX('潜水記録'!$G$5:$G$3004,$M116)))</f>
        <v/>
      </c>
      <c r="G116" s="15">
        <f>IF($A116="","",IF(INDEX('潜水記録'!$H$5:$H$3004,$M116)="","",INDEX('潜水記録'!$H$5:$H$3004,$M116)))</f>
        <v/>
      </c>
      <c r="H116" s="15">
        <f>IF($A116="","",IF(INDEX('潜水記録'!$I$5:$I$3004,$M116)="","",INDEX('潜水記録'!$I$5:$I$3004,$M116)))</f>
        <v/>
      </c>
      <c r="I116" s="15">
        <f>IF($A116="","",IF(INDEX('潜水記録'!$X$5:$X$3004,$M116)="","",INDEX('潜水記録'!$X$5:$X$3004,$M116)))</f>
        <v/>
      </c>
      <c r="J116" s="15">
        <f>IF($A116="","",IF(INDEX('潜水記録'!$O$5:$O$3004,$M116)="","",INDEX('潜水記録'!$O$5:$O$3004,$M116)))</f>
        <v/>
      </c>
      <c r="K116" s="15">
        <f>IF($A116="","",IF(INDEX('潜水記録'!$P$5:$P$3004,$M116)="","",INDEX('潜水記録'!$P$5:$P$3004,$M116)))</f>
        <v/>
      </c>
      <c r="L116" s="14">
        <f>IF($A116="","",IF(INDEX('潜水記録'!$Q$5:$Q$3004,$M116)="","",INDEX('潜水記録'!$Q$5:$Q$3004,$M116)))</f>
        <v/>
      </c>
      <c r="M116" s="20">
        <f>IF($A116="","",MATCH($A116,'潜水記録'!$AG$5:$AG$3004,0))</f>
        <v/>
      </c>
    </row>
    <row r="117">
      <c r="A117" s="15">
        <f>IF(108&lt;=$C$6,108,"")</f>
        <v/>
      </c>
      <c r="B117" s="16">
        <f>IF($A117="","",IF(INDEX('潜水記録'!$A$5:$A$3004,$M117)="","",INDEX('潜水記録'!$A$5:$A$3004,$M117)))</f>
        <v/>
      </c>
      <c r="C117" s="15">
        <f>IF($A117="","",IF(INDEX('潜水記録'!$D$5:$D$3004,$M117)="","",INDEX('潜水記録'!$D$5:$D$3004,$M117)))</f>
        <v/>
      </c>
      <c r="D117" s="14">
        <f>IF($A117="","",IF(INDEX('潜水記録'!$E$5:$E$3004,$M117)="","",INDEX('潜水記録'!$E$5:$E$3004,$M117)))</f>
        <v/>
      </c>
      <c r="E117" s="14">
        <f>IF($A117="","",IF(INDEX('潜水記録'!$F$5:$F$3004,$M117)="","",INDEX('潜水記録'!$F$5:$F$3004,$M117)))</f>
        <v/>
      </c>
      <c r="F117" s="15">
        <f>IF($A117="","",IF(INDEX('潜水記録'!$G$5:$G$3004,$M117)="","",INDEX('潜水記録'!$G$5:$G$3004,$M117)))</f>
        <v/>
      </c>
      <c r="G117" s="15">
        <f>IF($A117="","",IF(INDEX('潜水記録'!$H$5:$H$3004,$M117)="","",INDEX('潜水記録'!$H$5:$H$3004,$M117)))</f>
        <v/>
      </c>
      <c r="H117" s="15">
        <f>IF($A117="","",IF(INDEX('潜水記録'!$I$5:$I$3004,$M117)="","",INDEX('潜水記録'!$I$5:$I$3004,$M117)))</f>
        <v/>
      </c>
      <c r="I117" s="15">
        <f>IF($A117="","",IF(INDEX('潜水記録'!$X$5:$X$3004,$M117)="","",INDEX('潜水記録'!$X$5:$X$3004,$M117)))</f>
        <v/>
      </c>
      <c r="J117" s="15">
        <f>IF($A117="","",IF(INDEX('潜水記録'!$O$5:$O$3004,$M117)="","",INDEX('潜水記録'!$O$5:$O$3004,$M117)))</f>
        <v/>
      </c>
      <c r="K117" s="15">
        <f>IF($A117="","",IF(INDEX('潜水記録'!$P$5:$P$3004,$M117)="","",INDEX('潜水記録'!$P$5:$P$3004,$M117)))</f>
        <v/>
      </c>
      <c r="L117" s="14">
        <f>IF($A117="","",IF(INDEX('潜水記録'!$Q$5:$Q$3004,$M117)="","",INDEX('潜水記録'!$Q$5:$Q$3004,$M117)))</f>
        <v/>
      </c>
      <c r="M117" s="20">
        <f>IF($A117="","",MATCH($A117,'潜水記録'!$AG$5:$AG$3004,0))</f>
        <v/>
      </c>
    </row>
    <row r="118">
      <c r="A118" s="15">
        <f>IF(109&lt;=$C$6,109,"")</f>
        <v/>
      </c>
      <c r="B118" s="16">
        <f>IF($A118="","",IF(INDEX('潜水記録'!$A$5:$A$3004,$M118)="","",INDEX('潜水記録'!$A$5:$A$3004,$M118)))</f>
        <v/>
      </c>
      <c r="C118" s="15">
        <f>IF($A118="","",IF(INDEX('潜水記録'!$D$5:$D$3004,$M118)="","",INDEX('潜水記録'!$D$5:$D$3004,$M118)))</f>
        <v/>
      </c>
      <c r="D118" s="14">
        <f>IF($A118="","",IF(INDEX('潜水記録'!$E$5:$E$3004,$M118)="","",INDEX('潜水記録'!$E$5:$E$3004,$M118)))</f>
        <v/>
      </c>
      <c r="E118" s="14">
        <f>IF($A118="","",IF(INDEX('潜水記録'!$F$5:$F$3004,$M118)="","",INDEX('潜水記録'!$F$5:$F$3004,$M118)))</f>
        <v/>
      </c>
      <c r="F118" s="15">
        <f>IF($A118="","",IF(INDEX('潜水記録'!$G$5:$G$3004,$M118)="","",INDEX('潜水記録'!$G$5:$G$3004,$M118)))</f>
        <v/>
      </c>
      <c r="G118" s="15">
        <f>IF($A118="","",IF(INDEX('潜水記録'!$H$5:$H$3004,$M118)="","",INDEX('潜水記録'!$H$5:$H$3004,$M118)))</f>
        <v/>
      </c>
      <c r="H118" s="15">
        <f>IF($A118="","",IF(INDEX('潜水記録'!$I$5:$I$3004,$M118)="","",INDEX('潜水記録'!$I$5:$I$3004,$M118)))</f>
        <v/>
      </c>
      <c r="I118" s="15">
        <f>IF($A118="","",IF(INDEX('潜水記録'!$X$5:$X$3004,$M118)="","",INDEX('潜水記録'!$X$5:$X$3004,$M118)))</f>
        <v/>
      </c>
      <c r="J118" s="15">
        <f>IF($A118="","",IF(INDEX('潜水記録'!$O$5:$O$3004,$M118)="","",INDEX('潜水記録'!$O$5:$O$3004,$M118)))</f>
        <v/>
      </c>
      <c r="K118" s="15">
        <f>IF($A118="","",IF(INDEX('潜水記録'!$P$5:$P$3004,$M118)="","",INDEX('潜水記録'!$P$5:$P$3004,$M118)))</f>
        <v/>
      </c>
      <c r="L118" s="14">
        <f>IF($A118="","",IF(INDEX('潜水記録'!$Q$5:$Q$3004,$M118)="","",INDEX('潜水記録'!$Q$5:$Q$3004,$M118)))</f>
        <v/>
      </c>
      <c r="M118" s="20">
        <f>IF($A118="","",MATCH($A118,'潜水記録'!$AG$5:$AG$3004,0))</f>
        <v/>
      </c>
    </row>
    <row r="119">
      <c r="A119" s="15">
        <f>IF(110&lt;=$C$6,110,"")</f>
        <v/>
      </c>
      <c r="B119" s="16">
        <f>IF($A119="","",IF(INDEX('潜水記録'!$A$5:$A$3004,$M119)="","",INDEX('潜水記録'!$A$5:$A$3004,$M119)))</f>
        <v/>
      </c>
      <c r="C119" s="15">
        <f>IF($A119="","",IF(INDEX('潜水記録'!$D$5:$D$3004,$M119)="","",INDEX('潜水記録'!$D$5:$D$3004,$M119)))</f>
        <v/>
      </c>
      <c r="D119" s="14">
        <f>IF($A119="","",IF(INDEX('潜水記録'!$E$5:$E$3004,$M119)="","",INDEX('潜水記録'!$E$5:$E$3004,$M119)))</f>
        <v/>
      </c>
      <c r="E119" s="14">
        <f>IF($A119="","",IF(INDEX('潜水記録'!$F$5:$F$3004,$M119)="","",INDEX('潜水記録'!$F$5:$F$3004,$M119)))</f>
        <v/>
      </c>
      <c r="F119" s="15">
        <f>IF($A119="","",IF(INDEX('潜水記録'!$G$5:$G$3004,$M119)="","",INDEX('潜水記録'!$G$5:$G$3004,$M119)))</f>
        <v/>
      </c>
      <c r="G119" s="15">
        <f>IF($A119="","",IF(INDEX('潜水記録'!$H$5:$H$3004,$M119)="","",INDEX('潜水記録'!$H$5:$H$3004,$M119)))</f>
        <v/>
      </c>
      <c r="H119" s="15">
        <f>IF($A119="","",IF(INDEX('潜水記録'!$I$5:$I$3004,$M119)="","",INDEX('潜水記録'!$I$5:$I$3004,$M119)))</f>
        <v/>
      </c>
      <c r="I119" s="15">
        <f>IF($A119="","",IF(INDEX('潜水記録'!$X$5:$X$3004,$M119)="","",INDEX('潜水記録'!$X$5:$X$3004,$M119)))</f>
        <v/>
      </c>
      <c r="J119" s="15">
        <f>IF($A119="","",IF(INDEX('潜水記録'!$O$5:$O$3004,$M119)="","",INDEX('潜水記録'!$O$5:$O$3004,$M119)))</f>
        <v/>
      </c>
      <c r="K119" s="15">
        <f>IF($A119="","",IF(INDEX('潜水記録'!$P$5:$P$3004,$M119)="","",INDEX('潜水記録'!$P$5:$P$3004,$M119)))</f>
        <v/>
      </c>
      <c r="L119" s="14">
        <f>IF($A119="","",IF(INDEX('潜水記録'!$Q$5:$Q$3004,$M119)="","",INDEX('潜水記録'!$Q$5:$Q$3004,$M119)))</f>
        <v/>
      </c>
      <c r="M119" s="20">
        <f>IF($A119="","",MATCH($A119,'潜水記録'!$AG$5:$AG$3004,0))</f>
        <v/>
      </c>
    </row>
    <row r="120">
      <c r="A120" s="15">
        <f>IF(111&lt;=$C$6,111,"")</f>
        <v/>
      </c>
      <c r="B120" s="16">
        <f>IF($A120="","",IF(INDEX('潜水記録'!$A$5:$A$3004,$M120)="","",INDEX('潜水記録'!$A$5:$A$3004,$M120)))</f>
        <v/>
      </c>
      <c r="C120" s="15">
        <f>IF($A120="","",IF(INDEX('潜水記録'!$D$5:$D$3004,$M120)="","",INDEX('潜水記録'!$D$5:$D$3004,$M120)))</f>
        <v/>
      </c>
      <c r="D120" s="14">
        <f>IF($A120="","",IF(INDEX('潜水記録'!$E$5:$E$3004,$M120)="","",INDEX('潜水記録'!$E$5:$E$3004,$M120)))</f>
        <v/>
      </c>
      <c r="E120" s="14">
        <f>IF($A120="","",IF(INDEX('潜水記録'!$F$5:$F$3004,$M120)="","",INDEX('潜水記録'!$F$5:$F$3004,$M120)))</f>
        <v/>
      </c>
      <c r="F120" s="15">
        <f>IF($A120="","",IF(INDEX('潜水記録'!$G$5:$G$3004,$M120)="","",INDEX('潜水記録'!$G$5:$G$3004,$M120)))</f>
        <v/>
      </c>
      <c r="G120" s="15">
        <f>IF($A120="","",IF(INDEX('潜水記録'!$H$5:$H$3004,$M120)="","",INDEX('潜水記録'!$H$5:$H$3004,$M120)))</f>
        <v/>
      </c>
      <c r="H120" s="15">
        <f>IF($A120="","",IF(INDEX('潜水記録'!$I$5:$I$3004,$M120)="","",INDEX('潜水記録'!$I$5:$I$3004,$M120)))</f>
        <v/>
      </c>
      <c r="I120" s="15">
        <f>IF($A120="","",IF(INDEX('潜水記録'!$X$5:$X$3004,$M120)="","",INDEX('潜水記録'!$X$5:$X$3004,$M120)))</f>
        <v/>
      </c>
      <c r="J120" s="15">
        <f>IF($A120="","",IF(INDEX('潜水記録'!$O$5:$O$3004,$M120)="","",INDEX('潜水記録'!$O$5:$O$3004,$M120)))</f>
        <v/>
      </c>
      <c r="K120" s="15">
        <f>IF($A120="","",IF(INDEX('潜水記録'!$P$5:$P$3004,$M120)="","",INDEX('潜水記録'!$P$5:$P$3004,$M120)))</f>
        <v/>
      </c>
      <c r="L120" s="14">
        <f>IF($A120="","",IF(INDEX('潜水記録'!$Q$5:$Q$3004,$M120)="","",INDEX('潜水記録'!$Q$5:$Q$3004,$M120)))</f>
        <v/>
      </c>
      <c r="M120" s="20">
        <f>IF($A120="","",MATCH($A120,'潜水記録'!$AG$5:$AG$3004,0))</f>
        <v/>
      </c>
    </row>
    <row r="121">
      <c r="A121" s="15">
        <f>IF(112&lt;=$C$6,112,"")</f>
        <v/>
      </c>
      <c r="B121" s="16">
        <f>IF($A121="","",IF(INDEX('潜水記録'!$A$5:$A$3004,$M121)="","",INDEX('潜水記録'!$A$5:$A$3004,$M121)))</f>
        <v/>
      </c>
      <c r="C121" s="15">
        <f>IF($A121="","",IF(INDEX('潜水記録'!$D$5:$D$3004,$M121)="","",INDEX('潜水記録'!$D$5:$D$3004,$M121)))</f>
        <v/>
      </c>
      <c r="D121" s="14">
        <f>IF($A121="","",IF(INDEX('潜水記録'!$E$5:$E$3004,$M121)="","",INDEX('潜水記録'!$E$5:$E$3004,$M121)))</f>
        <v/>
      </c>
      <c r="E121" s="14">
        <f>IF($A121="","",IF(INDEX('潜水記録'!$F$5:$F$3004,$M121)="","",INDEX('潜水記録'!$F$5:$F$3004,$M121)))</f>
        <v/>
      </c>
      <c r="F121" s="15">
        <f>IF($A121="","",IF(INDEX('潜水記録'!$G$5:$G$3004,$M121)="","",INDEX('潜水記録'!$G$5:$G$3004,$M121)))</f>
        <v/>
      </c>
      <c r="G121" s="15">
        <f>IF($A121="","",IF(INDEX('潜水記録'!$H$5:$H$3004,$M121)="","",INDEX('潜水記録'!$H$5:$H$3004,$M121)))</f>
        <v/>
      </c>
      <c r="H121" s="15">
        <f>IF($A121="","",IF(INDEX('潜水記録'!$I$5:$I$3004,$M121)="","",INDEX('潜水記録'!$I$5:$I$3004,$M121)))</f>
        <v/>
      </c>
      <c r="I121" s="15">
        <f>IF($A121="","",IF(INDEX('潜水記録'!$X$5:$X$3004,$M121)="","",INDEX('潜水記録'!$X$5:$X$3004,$M121)))</f>
        <v/>
      </c>
      <c r="J121" s="15">
        <f>IF($A121="","",IF(INDEX('潜水記録'!$O$5:$O$3004,$M121)="","",INDEX('潜水記録'!$O$5:$O$3004,$M121)))</f>
        <v/>
      </c>
      <c r="K121" s="15">
        <f>IF($A121="","",IF(INDEX('潜水記録'!$P$5:$P$3004,$M121)="","",INDEX('潜水記録'!$P$5:$P$3004,$M121)))</f>
        <v/>
      </c>
      <c r="L121" s="14">
        <f>IF($A121="","",IF(INDEX('潜水記録'!$Q$5:$Q$3004,$M121)="","",INDEX('潜水記録'!$Q$5:$Q$3004,$M121)))</f>
        <v/>
      </c>
      <c r="M121" s="20">
        <f>IF($A121="","",MATCH($A121,'潜水記録'!$AG$5:$AG$3004,0))</f>
        <v/>
      </c>
    </row>
    <row r="122">
      <c r="A122" s="15">
        <f>IF(113&lt;=$C$6,113,"")</f>
        <v/>
      </c>
      <c r="B122" s="16">
        <f>IF($A122="","",IF(INDEX('潜水記録'!$A$5:$A$3004,$M122)="","",INDEX('潜水記録'!$A$5:$A$3004,$M122)))</f>
        <v/>
      </c>
      <c r="C122" s="15">
        <f>IF($A122="","",IF(INDEX('潜水記録'!$D$5:$D$3004,$M122)="","",INDEX('潜水記録'!$D$5:$D$3004,$M122)))</f>
        <v/>
      </c>
      <c r="D122" s="14">
        <f>IF($A122="","",IF(INDEX('潜水記録'!$E$5:$E$3004,$M122)="","",INDEX('潜水記録'!$E$5:$E$3004,$M122)))</f>
        <v/>
      </c>
      <c r="E122" s="14">
        <f>IF($A122="","",IF(INDEX('潜水記録'!$F$5:$F$3004,$M122)="","",INDEX('潜水記録'!$F$5:$F$3004,$M122)))</f>
        <v/>
      </c>
      <c r="F122" s="15">
        <f>IF($A122="","",IF(INDEX('潜水記録'!$G$5:$G$3004,$M122)="","",INDEX('潜水記録'!$G$5:$G$3004,$M122)))</f>
        <v/>
      </c>
      <c r="G122" s="15">
        <f>IF($A122="","",IF(INDEX('潜水記録'!$H$5:$H$3004,$M122)="","",INDEX('潜水記録'!$H$5:$H$3004,$M122)))</f>
        <v/>
      </c>
      <c r="H122" s="15">
        <f>IF($A122="","",IF(INDEX('潜水記録'!$I$5:$I$3004,$M122)="","",INDEX('潜水記録'!$I$5:$I$3004,$M122)))</f>
        <v/>
      </c>
      <c r="I122" s="15">
        <f>IF($A122="","",IF(INDEX('潜水記録'!$X$5:$X$3004,$M122)="","",INDEX('潜水記録'!$X$5:$X$3004,$M122)))</f>
        <v/>
      </c>
      <c r="J122" s="15">
        <f>IF($A122="","",IF(INDEX('潜水記録'!$O$5:$O$3004,$M122)="","",INDEX('潜水記録'!$O$5:$O$3004,$M122)))</f>
        <v/>
      </c>
      <c r="K122" s="15">
        <f>IF($A122="","",IF(INDEX('潜水記録'!$P$5:$P$3004,$M122)="","",INDEX('潜水記録'!$P$5:$P$3004,$M122)))</f>
        <v/>
      </c>
      <c r="L122" s="14">
        <f>IF($A122="","",IF(INDEX('潜水記録'!$Q$5:$Q$3004,$M122)="","",INDEX('潜水記録'!$Q$5:$Q$3004,$M122)))</f>
        <v/>
      </c>
      <c r="M122" s="20">
        <f>IF($A122="","",MATCH($A122,'潜水記録'!$AG$5:$AG$3004,0))</f>
        <v/>
      </c>
    </row>
    <row r="123">
      <c r="A123" s="15">
        <f>IF(114&lt;=$C$6,114,"")</f>
        <v/>
      </c>
      <c r="B123" s="16">
        <f>IF($A123="","",IF(INDEX('潜水記録'!$A$5:$A$3004,$M123)="","",INDEX('潜水記録'!$A$5:$A$3004,$M123)))</f>
        <v/>
      </c>
      <c r="C123" s="15">
        <f>IF($A123="","",IF(INDEX('潜水記録'!$D$5:$D$3004,$M123)="","",INDEX('潜水記録'!$D$5:$D$3004,$M123)))</f>
        <v/>
      </c>
      <c r="D123" s="14">
        <f>IF($A123="","",IF(INDEX('潜水記録'!$E$5:$E$3004,$M123)="","",INDEX('潜水記録'!$E$5:$E$3004,$M123)))</f>
        <v/>
      </c>
      <c r="E123" s="14">
        <f>IF($A123="","",IF(INDEX('潜水記録'!$F$5:$F$3004,$M123)="","",INDEX('潜水記録'!$F$5:$F$3004,$M123)))</f>
        <v/>
      </c>
      <c r="F123" s="15">
        <f>IF($A123="","",IF(INDEX('潜水記録'!$G$5:$G$3004,$M123)="","",INDEX('潜水記録'!$G$5:$G$3004,$M123)))</f>
        <v/>
      </c>
      <c r="G123" s="15">
        <f>IF($A123="","",IF(INDEX('潜水記録'!$H$5:$H$3004,$M123)="","",INDEX('潜水記録'!$H$5:$H$3004,$M123)))</f>
        <v/>
      </c>
      <c r="H123" s="15">
        <f>IF($A123="","",IF(INDEX('潜水記録'!$I$5:$I$3004,$M123)="","",INDEX('潜水記録'!$I$5:$I$3004,$M123)))</f>
        <v/>
      </c>
      <c r="I123" s="15">
        <f>IF($A123="","",IF(INDEX('潜水記録'!$X$5:$X$3004,$M123)="","",INDEX('潜水記録'!$X$5:$X$3004,$M123)))</f>
        <v/>
      </c>
      <c r="J123" s="15">
        <f>IF($A123="","",IF(INDEX('潜水記録'!$O$5:$O$3004,$M123)="","",INDEX('潜水記録'!$O$5:$O$3004,$M123)))</f>
        <v/>
      </c>
      <c r="K123" s="15">
        <f>IF($A123="","",IF(INDEX('潜水記録'!$P$5:$P$3004,$M123)="","",INDEX('潜水記録'!$P$5:$P$3004,$M123)))</f>
        <v/>
      </c>
      <c r="L123" s="14">
        <f>IF($A123="","",IF(INDEX('潜水記録'!$Q$5:$Q$3004,$M123)="","",INDEX('潜水記録'!$Q$5:$Q$3004,$M123)))</f>
        <v/>
      </c>
      <c r="M123" s="20">
        <f>IF($A123="","",MATCH($A123,'潜水記録'!$AG$5:$AG$3004,0))</f>
        <v/>
      </c>
    </row>
    <row r="124">
      <c r="A124" s="15">
        <f>IF(115&lt;=$C$6,115,"")</f>
        <v/>
      </c>
      <c r="B124" s="16">
        <f>IF($A124="","",IF(INDEX('潜水記録'!$A$5:$A$3004,$M124)="","",INDEX('潜水記録'!$A$5:$A$3004,$M124)))</f>
        <v/>
      </c>
      <c r="C124" s="15">
        <f>IF($A124="","",IF(INDEX('潜水記録'!$D$5:$D$3004,$M124)="","",INDEX('潜水記録'!$D$5:$D$3004,$M124)))</f>
        <v/>
      </c>
      <c r="D124" s="14">
        <f>IF($A124="","",IF(INDEX('潜水記録'!$E$5:$E$3004,$M124)="","",INDEX('潜水記録'!$E$5:$E$3004,$M124)))</f>
        <v/>
      </c>
      <c r="E124" s="14">
        <f>IF($A124="","",IF(INDEX('潜水記録'!$F$5:$F$3004,$M124)="","",INDEX('潜水記録'!$F$5:$F$3004,$M124)))</f>
        <v/>
      </c>
      <c r="F124" s="15">
        <f>IF($A124="","",IF(INDEX('潜水記録'!$G$5:$G$3004,$M124)="","",INDEX('潜水記録'!$G$5:$G$3004,$M124)))</f>
        <v/>
      </c>
      <c r="G124" s="15">
        <f>IF($A124="","",IF(INDEX('潜水記録'!$H$5:$H$3004,$M124)="","",INDEX('潜水記録'!$H$5:$H$3004,$M124)))</f>
        <v/>
      </c>
      <c r="H124" s="15">
        <f>IF($A124="","",IF(INDEX('潜水記録'!$I$5:$I$3004,$M124)="","",INDEX('潜水記録'!$I$5:$I$3004,$M124)))</f>
        <v/>
      </c>
      <c r="I124" s="15">
        <f>IF($A124="","",IF(INDEX('潜水記録'!$X$5:$X$3004,$M124)="","",INDEX('潜水記録'!$X$5:$X$3004,$M124)))</f>
        <v/>
      </c>
      <c r="J124" s="15">
        <f>IF($A124="","",IF(INDEX('潜水記録'!$O$5:$O$3004,$M124)="","",INDEX('潜水記録'!$O$5:$O$3004,$M124)))</f>
        <v/>
      </c>
      <c r="K124" s="15">
        <f>IF($A124="","",IF(INDEX('潜水記録'!$P$5:$P$3004,$M124)="","",INDEX('潜水記録'!$P$5:$P$3004,$M124)))</f>
        <v/>
      </c>
      <c r="L124" s="14">
        <f>IF($A124="","",IF(INDEX('潜水記録'!$Q$5:$Q$3004,$M124)="","",INDEX('潜水記録'!$Q$5:$Q$3004,$M124)))</f>
        <v/>
      </c>
      <c r="M124" s="20">
        <f>IF($A124="","",MATCH($A124,'潜水記録'!$AG$5:$AG$3004,0))</f>
        <v/>
      </c>
    </row>
    <row r="125">
      <c r="A125" s="15">
        <f>IF(116&lt;=$C$6,116,"")</f>
        <v/>
      </c>
      <c r="B125" s="16">
        <f>IF($A125="","",IF(INDEX('潜水記録'!$A$5:$A$3004,$M125)="","",INDEX('潜水記録'!$A$5:$A$3004,$M125)))</f>
        <v/>
      </c>
      <c r="C125" s="15">
        <f>IF($A125="","",IF(INDEX('潜水記録'!$D$5:$D$3004,$M125)="","",INDEX('潜水記録'!$D$5:$D$3004,$M125)))</f>
        <v/>
      </c>
      <c r="D125" s="14">
        <f>IF($A125="","",IF(INDEX('潜水記録'!$E$5:$E$3004,$M125)="","",INDEX('潜水記録'!$E$5:$E$3004,$M125)))</f>
        <v/>
      </c>
      <c r="E125" s="14">
        <f>IF($A125="","",IF(INDEX('潜水記録'!$F$5:$F$3004,$M125)="","",INDEX('潜水記録'!$F$5:$F$3004,$M125)))</f>
        <v/>
      </c>
      <c r="F125" s="15">
        <f>IF($A125="","",IF(INDEX('潜水記録'!$G$5:$G$3004,$M125)="","",INDEX('潜水記録'!$G$5:$G$3004,$M125)))</f>
        <v/>
      </c>
      <c r="G125" s="15">
        <f>IF($A125="","",IF(INDEX('潜水記録'!$H$5:$H$3004,$M125)="","",INDEX('潜水記録'!$H$5:$H$3004,$M125)))</f>
        <v/>
      </c>
      <c r="H125" s="15">
        <f>IF($A125="","",IF(INDEX('潜水記録'!$I$5:$I$3004,$M125)="","",INDEX('潜水記録'!$I$5:$I$3004,$M125)))</f>
        <v/>
      </c>
      <c r="I125" s="15">
        <f>IF($A125="","",IF(INDEX('潜水記録'!$X$5:$X$3004,$M125)="","",INDEX('潜水記録'!$X$5:$X$3004,$M125)))</f>
        <v/>
      </c>
      <c r="J125" s="15">
        <f>IF($A125="","",IF(INDEX('潜水記録'!$O$5:$O$3004,$M125)="","",INDEX('潜水記録'!$O$5:$O$3004,$M125)))</f>
        <v/>
      </c>
      <c r="K125" s="15">
        <f>IF($A125="","",IF(INDEX('潜水記録'!$P$5:$P$3004,$M125)="","",INDEX('潜水記録'!$P$5:$P$3004,$M125)))</f>
        <v/>
      </c>
      <c r="L125" s="14">
        <f>IF($A125="","",IF(INDEX('潜水記録'!$Q$5:$Q$3004,$M125)="","",INDEX('潜水記録'!$Q$5:$Q$3004,$M125)))</f>
        <v/>
      </c>
      <c r="M125" s="20">
        <f>IF($A125="","",MATCH($A125,'潜水記録'!$AG$5:$AG$3004,0))</f>
        <v/>
      </c>
    </row>
    <row r="126">
      <c r="A126" s="15">
        <f>IF(117&lt;=$C$6,117,"")</f>
        <v/>
      </c>
      <c r="B126" s="16">
        <f>IF($A126="","",IF(INDEX('潜水記録'!$A$5:$A$3004,$M126)="","",INDEX('潜水記録'!$A$5:$A$3004,$M126)))</f>
        <v/>
      </c>
      <c r="C126" s="15">
        <f>IF($A126="","",IF(INDEX('潜水記録'!$D$5:$D$3004,$M126)="","",INDEX('潜水記録'!$D$5:$D$3004,$M126)))</f>
        <v/>
      </c>
      <c r="D126" s="14">
        <f>IF($A126="","",IF(INDEX('潜水記録'!$E$5:$E$3004,$M126)="","",INDEX('潜水記録'!$E$5:$E$3004,$M126)))</f>
        <v/>
      </c>
      <c r="E126" s="14">
        <f>IF($A126="","",IF(INDEX('潜水記録'!$F$5:$F$3004,$M126)="","",INDEX('潜水記録'!$F$5:$F$3004,$M126)))</f>
        <v/>
      </c>
      <c r="F126" s="15">
        <f>IF($A126="","",IF(INDEX('潜水記録'!$G$5:$G$3004,$M126)="","",INDEX('潜水記録'!$G$5:$G$3004,$M126)))</f>
        <v/>
      </c>
      <c r="G126" s="15">
        <f>IF($A126="","",IF(INDEX('潜水記録'!$H$5:$H$3004,$M126)="","",INDEX('潜水記録'!$H$5:$H$3004,$M126)))</f>
        <v/>
      </c>
      <c r="H126" s="15">
        <f>IF($A126="","",IF(INDEX('潜水記録'!$I$5:$I$3004,$M126)="","",INDEX('潜水記録'!$I$5:$I$3004,$M126)))</f>
        <v/>
      </c>
      <c r="I126" s="15">
        <f>IF($A126="","",IF(INDEX('潜水記録'!$X$5:$X$3004,$M126)="","",INDEX('潜水記録'!$X$5:$X$3004,$M126)))</f>
        <v/>
      </c>
      <c r="J126" s="15">
        <f>IF($A126="","",IF(INDEX('潜水記録'!$O$5:$O$3004,$M126)="","",INDEX('潜水記録'!$O$5:$O$3004,$M126)))</f>
        <v/>
      </c>
      <c r="K126" s="15">
        <f>IF($A126="","",IF(INDEX('潜水記録'!$P$5:$P$3004,$M126)="","",INDEX('潜水記録'!$P$5:$P$3004,$M126)))</f>
        <v/>
      </c>
      <c r="L126" s="14">
        <f>IF($A126="","",IF(INDEX('潜水記録'!$Q$5:$Q$3004,$M126)="","",INDEX('潜水記録'!$Q$5:$Q$3004,$M126)))</f>
        <v/>
      </c>
      <c r="M126" s="20">
        <f>IF($A126="","",MATCH($A126,'潜水記録'!$AG$5:$AG$3004,0))</f>
        <v/>
      </c>
    </row>
    <row r="127">
      <c r="A127" s="15">
        <f>IF(118&lt;=$C$6,118,"")</f>
        <v/>
      </c>
      <c r="B127" s="16">
        <f>IF($A127="","",IF(INDEX('潜水記録'!$A$5:$A$3004,$M127)="","",INDEX('潜水記録'!$A$5:$A$3004,$M127)))</f>
        <v/>
      </c>
      <c r="C127" s="15">
        <f>IF($A127="","",IF(INDEX('潜水記録'!$D$5:$D$3004,$M127)="","",INDEX('潜水記録'!$D$5:$D$3004,$M127)))</f>
        <v/>
      </c>
      <c r="D127" s="14">
        <f>IF($A127="","",IF(INDEX('潜水記録'!$E$5:$E$3004,$M127)="","",INDEX('潜水記録'!$E$5:$E$3004,$M127)))</f>
        <v/>
      </c>
      <c r="E127" s="14">
        <f>IF($A127="","",IF(INDEX('潜水記録'!$F$5:$F$3004,$M127)="","",INDEX('潜水記録'!$F$5:$F$3004,$M127)))</f>
        <v/>
      </c>
      <c r="F127" s="15">
        <f>IF($A127="","",IF(INDEX('潜水記録'!$G$5:$G$3004,$M127)="","",INDEX('潜水記録'!$G$5:$G$3004,$M127)))</f>
        <v/>
      </c>
      <c r="G127" s="15">
        <f>IF($A127="","",IF(INDEX('潜水記録'!$H$5:$H$3004,$M127)="","",INDEX('潜水記録'!$H$5:$H$3004,$M127)))</f>
        <v/>
      </c>
      <c r="H127" s="15">
        <f>IF($A127="","",IF(INDEX('潜水記録'!$I$5:$I$3004,$M127)="","",INDEX('潜水記録'!$I$5:$I$3004,$M127)))</f>
        <v/>
      </c>
      <c r="I127" s="15">
        <f>IF($A127="","",IF(INDEX('潜水記録'!$X$5:$X$3004,$M127)="","",INDEX('潜水記録'!$X$5:$X$3004,$M127)))</f>
        <v/>
      </c>
      <c r="J127" s="15">
        <f>IF($A127="","",IF(INDEX('潜水記録'!$O$5:$O$3004,$M127)="","",INDEX('潜水記録'!$O$5:$O$3004,$M127)))</f>
        <v/>
      </c>
      <c r="K127" s="15">
        <f>IF($A127="","",IF(INDEX('潜水記録'!$P$5:$P$3004,$M127)="","",INDEX('潜水記録'!$P$5:$P$3004,$M127)))</f>
        <v/>
      </c>
      <c r="L127" s="14">
        <f>IF($A127="","",IF(INDEX('潜水記録'!$Q$5:$Q$3004,$M127)="","",INDEX('潜水記録'!$Q$5:$Q$3004,$M127)))</f>
        <v/>
      </c>
      <c r="M127" s="20">
        <f>IF($A127="","",MATCH($A127,'潜水記録'!$AG$5:$AG$3004,0))</f>
        <v/>
      </c>
    </row>
    <row r="128">
      <c r="A128" s="15">
        <f>IF(119&lt;=$C$6,119,"")</f>
        <v/>
      </c>
      <c r="B128" s="16">
        <f>IF($A128="","",IF(INDEX('潜水記録'!$A$5:$A$3004,$M128)="","",INDEX('潜水記録'!$A$5:$A$3004,$M128)))</f>
        <v/>
      </c>
      <c r="C128" s="15">
        <f>IF($A128="","",IF(INDEX('潜水記録'!$D$5:$D$3004,$M128)="","",INDEX('潜水記録'!$D$5:$D$3004,$M128)))</f>
        <v/>
      </c>
      <c r="D128" s="14">
        <f>IF($A128="","",IF(INDEX('潜水記録'!$E$5:$E$3004,$M128)="","",INDEX('潜水記録'!$E$5:$E$3004,$M128)))</f>
        <v/>
      </c>
      <c r="E128" s="14">
        <f>IF($A128="","",IF(INDEX('潜水記録'!$F$5:$F$3004,$M128)="","",INDEX('潜水記録'!$F$5:$F$3004,$M128)))</f>
        <v/>
      </c>
      <c r="F128" s="15">
        <f>IF($A128="","",IF(INDEX('潜水記録'!$G$5:$G$3004,$M128)="","",INDEX('潜水記録'!$G$5:$G$3004,$M128)))</f>
        <v/>
      </c>
      <c r="G128" s="15">
        <f>IF($A128="","",IF(INDEX('潜水記録'!$H$5:$H$3004,$M128)="","",INDEX('潜水記録'!$H$5:$H$3004,$M128)))</f>
        <v/>
      </c>
      <c r="H128" s="15">
        <f>IF($A128="","",IF(INDEX('潜水記録'!$I$5:$I$3004,$M128)="","",INDEX('潜水記録'!$I$5:$I$3004,$M128)))</f>
        <v/>
      </c>
      <c r="I128" s="15">
        <f>IF($A128="","",IF(INDEX('潜水記録'!$X$5:$X$3004,$M128)="","",INDEX('潜水記録'!$X$5:$X$3004,$M128)))</f>
        <v/>
      </c>
      <c r="J128" s="15">
        <f>IF($A128="","",IF(INDEX('潜水記録'!$O$5:$O$3004,$M128)="","",INDEX('潜水記録'!$O$5:$O$3004,$M128)))</f>
        <v/>
      </c>
      <c r="K128" s="15">
        <f>IF($A128="","",IF(INDEX('潜水記録'!$P$5:$P$3004,$M128)="","",INDEX('潜水記録'!$P$5:$P$3004,$M128)))</f>
        <v/>
      </c>
      <c r="L128" s="14">
        <f>IF($A128="","",IF(INDEX('潜水記録'!$Q$5:$Q$3004,$M128)="","",INDEX('潜水記録'!$Q$5:$Q$3004,$M128)))</f>
        <v/>
      </c>
      <c r="M128" s="20">
        <f>IF($A128="","",MATCH($A128,'潜水記録'!$AG$5:$AG$3004,0))</f>
        <v/>
      </c>
    </row>
    <row r="129">
      <c r="A129" s="15">
        <f>IF(120&lt;=$C$6,120,"")</f>
        <v/>
      </c>
      <c r="B129" s="16">
        <f>IF($A129="","",IF(INDEX('潜水記録'!$A$5:$A$3004,$M129)="","",INDEX('潜水記録'!$A$5:$A$3004,$M129)))</f>
        <v/>
      </c>
      <c r="C129" s="15">
        <f>IF($A129="","",IF(INDEX('潜水記録'!$D$5:$D$3004,$M129)="","",INDEX('潜水記録'!$D$5:$D$3004,$M129)))</f>
        <v/>
      </c>
      <c r="D129" s="14">
        <f>IF($A129="","",IF(INDEX('潜水記録'!$E$5:$E$3004,$M129)="","",INDEX('潜水記録'!$E$5:$E$3004,$M129)))</f>
        <v/>
      </c>
      <c r="E129" s="14">
        <f>IF($A129="","",IF(INDEX('潜水記録'!$F$5:$F$3004,$M129)="","",INDEX('潜水記録'!$F$5:$F$3004,$M129)))</f>
        <v/>
      </c>
      <c r="F129" s="15">
        <f>IF($A129="","",IF(INDEX('潜水記録'!$G$5:$G$3004,$M129)="","",INDEX('潜水記録'!$G$5:$G$3004,$M129)))</f>
        <v/>
      </c>
      <c r="G129" s="15">
        <f>IF($A129="","",IF(INDEX('潜水記録'!$H$5:$H$3004,$M129)="","",INDEX('潜水記録'!$H$5:$H$3004,$M129)))</f>
        <v/>
      </c>
      <c r="H129" s="15">
        <f>IF($A129="","",IF(INDEX('潜水記録'!$I$5:$I$3004,$M129)="","",INDEX('潜水記録'!$I$5:$I$3004,$M129)))</f>
        <v/>
      </c>
      <c r="I129" s="15">
        <f>IF($A129="","",IF(INDEX('潜水記録'!$X$5:$X$3004,$M129)="","",INDEX('潜水記録'!$X$5:$X$3004,$M129)))</f>
        <v/>
      </c>
      <c r="J129" s="15">
        <f>IF($A129="","",IF(INDEX('潜水記録'!$O$5:$O$3004,$M129)="","",INDEX('潜水記録'!$O$5:$O$3004,$M129)))</f>
        <v/>
      </c>
      <c r="K129" s="15">
        <f>IF($A129="","",IF(INDEX('潜水記録'!$P$5:$P$3004,$M129)="","",INDEX('潜水記録'!$P$5:$P$3004,$M129)))</f>
        <v/>
      </c>
      <c r="L129" s="14">
        <f>IF($A129="","",IF(INDEX('潜水記録'!$Q$5:$Q$3004,$M129)="","",INDEX('潜水記録'!$Q$5:$Q$3004,$M129)))</f>
        <v/>
      </c>
      <c r="M129" s="20">
        <f>IF($A129="","",MATCH($A129,'潜水記録'!$AG$5:$AG$3004,0))</f>
        <v/>
      </c>
    </row>
    <row r="130">
      <c r="A130" s="15">
        <f>IF(121&lt;=$C$6,121,"")</f>
        <v/>
      </c>
      <c r="B130" s="16">
        <f>IF($A130="","",IF(INDEX('潜水記録'!$A$5:$A$3004,$M130)="","",INDEX('潜水記録'!$A$5:$A$3004,$M130)))</f>
        <v/>
      </c>
      <c r="C130" s="15">
        <f>IF($A130="","",IF(INDEX('潜水記録'!$D$5:$D$3004,$M130)="","",INDEX('潜水記録'!$D$5:$D$3004,$M130)))</f>
        <v/>
      </c>
      <c r="D130" s="14">
        <f>IF($A130="","",IF(INDEX('潜水記録'!$E$5:$E$3004,$M130)="","",INDEX('潜水記録'!$E$5:$E$3004,$M130)))</f>
        <v/>
      </c>
      <c r="E130" s="14">
        <f>IF($A130="","",IF(INDEX('潜水記録'!$F$5:$F$3004,$M130)="","",INDEX('潜水記録'!$F$5:$F$3004,$M130)))</f>
        <v/>
      </c>
      <c r="F130" s="15">
        <f>IF($A130="","",IF(INDEX('潜水記録'!$G$5:$G$3004,$M130)="","",INDEX('潜水記録'!$G$5:$G$3004,$M130)))</f>
        <v/>
      </c>
      <c r="G130" s="15">
        <f>IF($A130="","",IF(INDEX('潜水記録'!$H$5:$H$3004,$M130)="","",INDEX('潜水記録'!$H$5:$H$3004,$M130)))</f>
        <v/>
      </c>
      <c r="H130" s="15">
        <f>IF($A130="","",IF(INDEX('潜水記録'!$I$5:$I$3004,$M130)="","",INDEX('潜水記録'!$I$5:$I$3004,$M130)))</f>
        <v/>
      </c>
      <c r="I130" s="15">
        <f>IF($A130="","",IF(INDEX('潜水記録'!$X$5:$X$3004,$M130)="","",INDEX('潜水記録'!$X$5:$X$3004,$M130)))</f>
        <v/>
      </c>
      <c r="J130" s="15">
        <f>IF($A130="","",IF(INDEX('潜水記録'!$O$5:$O$3004,$M130)="","",INDEX('潜水記録'!$O$5:$O$3004,$M130)))</f>
        <v/>
      </c>
      <c r="K130" s="15">
        <f>IF($A130="","",IF(INDEX('潜水記録'!$P$5:$P$3004,$M130)="","",INDEX('潜水記録'!$P$5:$P$3004,$M130)))</f>
        <v/>
      </c>
      <c r="L130" s="14">
        <f>IF($A130="","",IF(INDEX('潜水記録'!$Q$5:$Q$3004,$M130)="","",INDEX('潜水記録'!$Q$5:$Q$3004,$M130)))</f>
        <v/>
      </c>
      <c r="M130" s="20">
        <f>IF($A130="","",MATCH($A130,'潜水記録'!$AG$5:$AG$3004,0))</f>
        <v/>
      </c>
    </row>
    <row r="131">
      <c r="A131" s="15">
        <f>IF(122&lt;=$C$6,122,"")</f>
        <v/>
      </c>
      <c r="B131" s="16">
        <f>IF($A131="","",IF(INDEX('潜水記録'!$A$5:$A$3004,$M131)="","",INDEX('潜水記録'!$A$5:$A$3004,$M131)))</f>
        <v/>
      </c>
      <c r="C131" s="15">
        <f>IF($A131="","",IF(INDEX('潜水記録'!$D$5:$D$3004,$M131)="","",INDEX('潜水記録'!$D$5:$D$3004,$M131)))</f>
        <v/>
      </c>
      <c r="D131" s="14">
        <f>IF($A131="","",IF(INDEX('潜水記録'!$E$5:$E$3004,$M131)="","",INDEX('潜水記録'!$E$5:$E$3004,$M131)))</f>
        <v/>
      </c>
      <c r="E131" s="14">
        <f>IF($A131="","",IF(INDEX('潜水記録'!$F$5:$F$3004,$M131)="","",INDEX('潜水記録'!$F$5:$F$3004,$M131)))</f>
        <v/>
      </c>
      <c r="F131" s="15">
        <f>IF($A131="","",IF(INDEX('潜水記録'!$G$5:$G$3004,$M131)="","",INDEX('潜水記録'!$G$5:$G$3004,$M131)))</f>
        <v/>
      </c>
      <c r="G131" s="15">
        <f>IF($A131="","",IF(INDEX('潜水記録'!$H$5:$H$3004,$M131)="","",INDEX('潜水記録'!$H$5:$H$3004,$M131)))</f>
        <v/>
      </c>
      <c r="H131" s="15">
        <f>IF($A131="","",IF(INDEX('潜水記録'!$I$5:$I$3004,$M131)="","",INDEX('潜水記録'!$I$5:$I$3004,$M131)))</f>
        <v/>
      </c>
      <c r="I131" s="15">
        <f>IF($A131="","",IF(INDEX('潜水記録'!$X$5:$X$3004,$M131)="","",INDEX('潜水記録'!$X$5:$X$3004,$M131)))</f>
        <v/>
      </c>
      <c r="J131" s="15">
        <f>IF($A131="","",IF(INDEX('潜水記録'!$O$5:$O$3004,$M131)="","",INDEX('潜水記録'!$O$5:$O$3004,$M131)))</f>
        <v/>
      </c>
      <c r="K131" s="15">
        <f>IF($A131="","",IF(INDEX('潜水記録'!$P$5:$P$3004,$M131)="","",INDEX('潜水記録'!$P$5:$P$3004,$M131)))</f>
        <v/>
      </c>
      <c r="L131" s="14">
        <f>IF($A131="","",IF(INDEX('潜水記録'!$Q$5:$Q$3004,$M131)="","",INDEX('潜水記録'!$Q$5:$Q$3004,$M131)))</f>
        <v/>
      </c>
      <c r="M131" s="20">
        <f>IF($A131="","",MATCH($A131,'潜水記録'!$AG$5:$AG$3004,0))</f>
        <v/>
      </c>
    </row>
    <row r="132">
      <c r="A132" s="15">
        <f>IF(123&lt;=$C$6,123,"")</f>
        <v/>
      </c>
      <c r="B132" s="16">
        <f>IF($A132="","",IF(INDEX('潜水記録'!$A$5:$A$3004,$M132)="","",INDEX('潜水記録'!$A$5:$A$3004,$M132)))</f>
        <v/>
      </c>
      <c r="C132" s="15">
        <f>IF($A132="","",IF(INDEX('潜水記録'!$D$5:$D$3004,$M132)="","",INDEX('潜水記録'!$D$5:$D$3004,$M132)))</f>
        <v/>
      </c>
      <c r="D132" s="14">
        <f>IF($A132="","",IF(INDEX('潜水記録'!$E$5:$E$3004,$M132)="","",INDEX('潜水記録'!$E$5:$E$3004,$M132)))</f>
        <v/>
      </c>
      <c r="E132" s="14">
        <f>IF($A132="","",IF(INDEX('潜水記録'!$F$5:$F$3004,$M132)="","",INDEX('潜水記録'!$F$5:$F$3004,$M132)))</f>
        <v/>
      </c>
      <c r="F132" s="15">
        <f>IF($A132="","",IF(INDEX('潜水記録'!$G$5:$G$3004,$M132)="","",INDEX('潜水記録'!$G$5:$G$3004,$M132)))</f>
        <v/>
      </c>
      <c r="G132" s="15">
        <f>IF($A132="","",IF(INDEX('潜水記録'!$H$5:$H$3004,$M132)="","",INDEX('潜水記録'!$H$5:$H$3004,$M132)))</f>
        <v/>
      </c>
      <c r="H132" s="15">
        <f>IF($A132="","",IF(INDEX('潜水記録'!$I$5:$I$3004,$M132)="","",INDEX('潜水記録'!$I$5:$I$3004,$M132)))</f>
        <v/>
      </c>
      <c r="I132" s="15">
        <f>IF($A132="","",IF(INDEX('潜水記録'!$X$5:$X$3004,$M132)="","",INDEX('潜水記録'!$X$5:$X$3004,$M132)))</f>
        <v/>
      </c>
      <c r="J132" s="15">
        <f>IF($A132="","",IF(INDEX('潜水記録'!$O$5:$O$3004,$M132)="","",INDEX('潜水記録'!$O$5:$O$3004,$M132)))</f>
        <v/>
      </c>
      <c r="K132" s="15">
        <f>IF($A132="","",IF(INDEX('潜水記録'!$P$5:$P$3004,$M132)="","",INDEX('潜水記録'!$P$5:$P$3004,$M132)))</f>
        <v/>
      </c>
      <c r="L132" s="14">
        <f>IF($A132="","",IF(INDEX('潜水記録'!$Q$5:$Q$3004,$M132)="","",INDEX('潜水記録'!$Q$5:$Q$3004,$M132)))</f>
        <v/>
      </c>
      <c r="M132" s="20">
        <f>IF($A132="","",MATCH($A132,'潜水記録'!$AG$5:$AG$3004,0))</f>
        <v/>
      </c>
    </row>
    <row r="133">
      <c r="A133" s="15">
        <f>IF(124&lt;=$C$6,124,"")</f>
        <v/>
      </c>
      <c r="B133" s="16">
        <f>IF($A133="","",IF(INDEX('潜水記録'!$A$5:$A$3004,$M133)="","",INDEX('潜水記録'!$A$5:$A$3004,$M133)))</f>
        <v/>
      </c>
      <c r="C133" s="15">
        <f>IF($A133="","",IF(INDEX('潜水記録'!$D$5:$D$3004,$M133)="","",INDEX('潜水記録'!$D$5:$D$3004,$M133)))</f>
        <v/>
      </c>
      <c r="D133" s="14">
        <f>IF($A133="","",IF(INDEX('潜水記録'!$E$5:$E$3004,$M133)="","",INDEX('潜水記録'!$E$5:$E$3004,$M133)))</f>
        <v/>
      </c>
      <c r="E133" s="14">
        <f>IF($A133="","",IF(INDEX('潜水記録'!$F$5:$F$3004,$M133)="","",INDEX('潜水記録'!$F$5:$F$3004,$M133)))</f>
        <v/>
      </c>
      <c r="F133" s="15">
        <f>IF($A133="","",IF(INDEX('潜水記録'!$G$5:$G$3004,$M133)="","",INDEX('潜水記録'!$G$5:$G$3004,$M133)))</f>
        <v/>
      </c>
      <c r="G133" s="15">
        <f>IF($A133="","",IF(INDEX('潜水記録'!$H$5:$H$3004,$M133)="","",INDEX('潜水記録'!$H$5:$H$3004,$M133)))</f>
        <v/>
      </c>
      <c r="H133" s="15">
        <f>IF($A133="","",IF(INDEX('潜水記録'!$I$5:$I$3004,$M133)="","",INDEX('潜水記録'!$I$5:$I$3004,$M133)))</f>
        <v/>
      </c>
      <c r="I133" s="15">
        <f>IF($A133="","",IF(INDEX('潜水記録'!$X$5:$X$3004,$M133)="","",INDEX('潜水記録'!$X$5:$X$3004,$M133)))</f>
        <v/>
      </c>
      <c r="J133" s="15">
        <f>IF($A133="","",IF(INDEX('潜水記録'!$O$5:$O$3004,$M133)="","",INDEX('潜水記録'!$O$5:$O$3004,$M133)))</f>
        <v/>
      </c>
      <c r="K133" s="15">
        <f>IF($A133="","",IF(INDEX('潜水記録'!$P$5:$P$3004,$M133)="","",INDEX('潜水記録'!$P$5:$P$3004,$M133)))</f>
        <v/>
      </c>
      <c r="L133" s="14">
        <f>IF($A133="","",IF(INDEX('潜水記録'!$Q$5:$Q$3004,$M133)="","",INDEX('潜水記録'!$Q$5:$Q$3004,$M133)))</f>
        <v/>
      </c>
      <c r="M133" s="20">
        <f>IF($A133="","",MATCH($A133,'潜水記録'!$AG$5:$AG$3004,0))</f>
        <v/>
      </c>
    </row>
    <row r="134">
      <c r="A134" s="15">
        <f>IF(125&lt;=$C$6,125,"")</f>
        <v/>
      </c>
      <c r="B134" s="16">
        <f>IF($A134="","",IF(INDEX('潜水記録'!$A$5:$A$3004,$M134)="","",INDEX('潜水記録'!$A$5:$A$3004,$M134)))</f>
        <v/>
      </c>
      <c r="C134" s="15">
        <f>IF($A134="","",IF(INDEX('潜水記録'!$D$5:$D$3004,$M134)="","",INDEX('潜水記録'!$D$5:$D$3004,$M134)))</f>
        <v/>
      </c>
      <c r="D134" s="14">
        <f>IF($A134="","",IF(INDEX('潜水記録'!$E$5:$E$3004,$M134)="","",INDEX('潜水記録'!$E$5:$E$3004,$M134)))</f>
        <v/>
      </c>
      <c r="E134" s="14">
        <f>IF($A134="","",IF(INDEX('潜水記録'!$F$5:$F$3004,$M134)="","",INDEX('潜水記録'!$F$5:$F$3004,$M134)))</f>
        <v/>
      </c>
      <c r="F134" s="15">
        <f>IF($A134="","",IF(INDEX('潜水記録'!$G$5:$G$3004,$M134)="","",INDEX('潜水記録'!$G$5:$G$3004,$M134)))</f>
        <v/>
      </c>
      <c r="G134" s="15">
        <f>IF($A134="","",IF(INDEX('潜水記録'!$H$5:$H$3004,$M134)="","",INDEX('潜水記録'!$H$5:$H$3004,$M134)))</f>
        <v/>
      </c>
      <c r="H134" s="15">
        <f>IF($A134="","",IF(INDEX('潜水記録'!$I$5:$I$3004,$M134)="","",INDEX('潜水記録'!$I$5:$I$3004,$M134)))</f>
        <v/>
      </c>
      <c r="I134" s="15">
        <f>IF($A134="","",IF(INDEX('潜水記録'!$X$5:$X$3004,$M134)="","",INDEX('潜水記録'!$X$5:$X$3004,$M134)))</f>
        <v/>
      </c>
      <c r="J134" s="15">
        <f>IF($A134="","",IF(INDEX('潜水記録'!$O$5:$O$3004,$M134)="","",INDEX('潜水記録'!$O$5:$O$3004,$M134)))</f>
        <v/>
      </c>
      <c r="K134" s="15">
        <f>IF($A134="","",IF(INDEX('潜水記録'!$P$5:$P$3004,$M134)="","",INDEX('潜水記録'!$P$5:$P$3004,$M134)))</f>
        <v/>
      </c>
      <c r="L134" s="14">
        <f>IF($A134="","",IF(INDEX('潜水記録'!$Q$5:$Q$3004,$M134)="","",INDEX('潜水記録'!$Q$5:$Q$3004,$M134)))</f>
        <v/>
      </c>
      <c r="M134" s="20">
        <f>IF($A134="","",MATCH($A134,'潜水記録'!$AG$5:$AG$3004,0))</f>
        <v/>
      </c>
    </row>
    <row r="135">
      <c r="A135" s="15">
        <f>IF(126&lt;=$C$6,126,"")</f>
        <v/>
      </c>
      <c r="B135" s="16">
        <f>IF($A135="","",IF(INDEX('潜水記録'!$A$5:$A$3004,$M135)="","",INDEX('潜水記録'!$A$5:$A$3004,$M135)))</f>
        <v/>
      </c>
      <c r="C135" s="15">
        <f>IF($A135="","",IF(INDEX('潜水記録'!$D$5:$D$3004,$M135)="","",INDEX('潜水記録'!$D$5:$D$3004,$M135)))</f>
        <v/>
      </c>
      <c r="D135" s="14">
        <f>IF($A135="","",IF(INDEX('潜水記録'!$E$5:$E$3004,$M135)="","",INDEX('潜水記録'!$E$5:$E$3004,$M135)))</f>
        <v/>
      </c>
      <c r="E135" s="14">
        <f>IF($A135="","",IF(INDEX('潜水記録'!$F$5:$F$3004,$M135)="","",INDEX('潜水記録'!$F$5:$F$3004,$M135)))</f>
        <v/>
      </c>
      <c r="F135" s="15">
        <f>IF($A135="","",IF(INDEX('潜水記録'!$G$5:$G$3004,$M135)="","",INDEX('潜水記録'!$G$5:$G$3004,$M135)))</f>
        <v/>
      </c>
      <c r="G135" s="15">
        <f>IF($A135="","",IF(INDEX('潜水記録'!$H$5:$H$3004,$M135)="","",INDEX('潜水記録'!$H$5:$H$3004,$M135)))</f>
        <v/>
      </c>
      <c r="H135" s="15">
        <f>IF($A135="","",IF(INDEX('潜水記録'!$I$5:$I$3004,$M135)="","",INDEX('潜水記録'!$I$5:$I$3004,$M135)))</f>
        <v/>
      </c>
      <c r="I135" s="15">
        <f>IF($A135="","",IF(INDEX('潜水記録'!$X$5:$X$3004,$M135)="","",INDEX('潜水記録'!$X$5:$X$3004,$M135)))</f>
        <v/>
      </c>
      <c r="J135" s="15">
        <f>IF($A135="","",IF(INDEX('潜水記録'!$O$5:$O$3004,$M135)="","",INDEX('潜水記録'!$O$5:$O$3004,$M135)))</f>
        <v/>
      </c>
      <c r="K135" s="15">
        <f>IF($A135="","",IF(INDEX('潜水記録'!$P$5:$P$3004,$M135)="","",INDEX('潜水記録'!$P$5:$P$3004,$M135)))</f>
        <v/>
      </c>
      <c r="L135" s="14">
        <f>IF($A135="","",IF(INDEX('潜水記録'!$Q$5:$Q$3004,$M135)="","",INDEX('潜水記録'!$Q$5:$Q$3004,$M135)))</f>
        <v/>
      </c>
      <c r="M135" s="20">
        <f>IF($A135="","",MATCH($A135,'潜水記録'!$AG$5:$AG$3004,0))</f>
        <v/>
      </c>
    </row>
    <row r="136">
      <c r="A136" s="15">
        <f>IF(127&lt;=$C$6,127,"")</f>
        <v/>
      </c>
      <c r="B136" s="16">
        <f>IF($A136="","",IF(INDEX('潜水記録'!$A$5:$A$3004,$M136)="","",INDEX('潜水記録'!$A$5:$A$3004,$M136)))</f>
        <v/>
      </c>
      <c r="C136" s="15">
        <f>IF($A136="","",IF(INDEX('潜水記録'!$D$5:$D$3004,$M136)="","",INDEX('潜水記録'!$D$5:$D$3004,$M136)))</f>
        <v/>
      </c>
      <c r="D136" s="14">
        <f>IF($A136="","",IF(INDEX('潜水記録'!$E$5:$E$3004,$M136)="","",INDEX('潜水記録'!$E$5:$E$3004,$M136)))</f>
        <v/>
      </c>
      <c r="E136" s="14">
        <f>IF($A136="","",IF(INDEX('潜水記録'!$F$5:$F$3004,$M136)="","",INDEX('潜水記録'!$F$5:$F$3004,$M136)))</f>
        <v/>
      </c>
      <c r="F136" s="15">
        <f>IF($A136="","",IF(INDEX('潜水記録'!$G$5:$G$3004,$M136)="","",INDEX('潜水記録'!$G$5:$G$3004,$M136)))</f>
        <v/>
      </c>
      <c r="G136" s="15">
        <f>IF($A136="","",IF(INDEX('潜水記録'!$H$5:$H$3004,$M136)="","",INDEX('潜水記録'!$H$5:$H$3004,$M136)))</f>
        <v/>
      </c>
      <c r="H136" s="15">
        <f>IF($A136="","",IF(INDEX('潜水記録'!$I$5:$I$3004,$M136)="","",INDEX('潜水記録'!$I$5:$I$3004,$M136)))</f>
        <v/>
      </c>
      <c r="I136" s="15">
        <f>IF($A136="","",IF(INDEX('潜水記録'!$X$5:$X$3004,$M136)="","",INDEX('潜水記録'!$X$5:$X$3004,$M136)))</f>
        <v/>
      </c>
      <c r="J136" s="15">
        <f>IF($A136="","",IF(INDEX('潜水記録'!$O$5:$O$3004,$M136)="","",INDEX('潜水記録'!$O$5:$O$3004,$M136)))</f>
        <v/>
      </c>
      <c r="K136" s="15">
        <f>IF($A136="","",IF(INDEX('潜水記録'!$P$5:$P$3004,$M136)="","",INDEX('潜水記録'!$P$5:$P$3004,$M136)))</f>
        <v/>
      </c>
      <c r="L136" s="14">
        <f>IF($A136="","",IF(INDEX('潜水記録'!$Q$5:$Q$3004,$M136)="","",INDEX('潜水記録'!$Q$5:$Q$3004,$M136)))</f>
        <v/>
      </c>
      <c r="M136" s="20">
        <f>IF($A136="","",MATCH($A136,'潜水記録'!$AG$5:$AG$3004,0))</f>
        <v/>
      </c>
    </row>
    <row r="137">
      <c r="A137" s="15">
        <f>IF(128&lt;=$C$6,128,"")</f>
        <v/>
      </c>
      <c r="B137" s="16">
        <f>IF($A137="","",IF(INDEX('潜水記録'!$A$5:$A$3004,$M137)="","",INDEX('潜水記録'!$A$5:$A$3004,$M137)))</f>
        <v/>
      </c>
      <c r="C137" s="15">
        <f>IF($A137="","",IF(INDEX('潜水記録'!$D$5:$D$3004,$M137)="","",INDEX('潜水記録'!$D$5:$D$3004,$M137)))</f>
        <v/>
      </c>
      <c r="D137" s="14">
        <f>IF($A137="","",IF(INDEX('潜水記録'!$E$5:$E$3004,$M137)="","",INDEX('潜水記録'!$E$5:$E$3004,$M137)))</f>
        <v/>
      </c>
      <c r="E137" s="14">
        <f>IF($A137="","",IF(INDEX('潜水記録'!$F$5:$F$3004,$M137)="","",INDEX('潜水記録'!$F$5:$F$3004,$M137)))</f>
        <v/>
      </c>
      <c r="F137" s="15">
        <f>IF($A137="","",IF(INDEX('潜水記録'!$G$5:$G$3004,$M137)="","",INDEX('潜水記録'!$G$5:$G$3004,$M137)))</f>
        <v/>
      </c>
      <c r="G137" s="15">
        <f>IF($A137="","",IF(INDEX('潜水記録'!$H$5:$H$3004,$M137)="","",INDEX('潜水記録'!$H$5:$H$3004,$M137)))</f>
        <v/>
      </c>
      <c r="H137" s="15">
        <f>IF($A137="","",IF(INDEX('潜水記録'!$I$5:$I$3004,$M137)="","",INDEX('潜水記録'!$I$5:$I$3004,$M137)))</f>
        <v/>
      </c>
      <c r="I137" s="15">
        <f>IF($A137="","",IF(INDEX('潜水記録'!$X$5:$X$3004,$M137)="","",INDEX('潜水記録'!$X$5:$X$3004,$M137)))</f>
        <v/>
      </c>
      <c r="J137" s="15">
        <f>IF($A137="","",IF(INDEX('潜水記録'!$O$5:$O$3004,$M137)="","",INDEX('潜水記録'!$O$5:$O$3004,$M137)))</f>
        <v/>
      </c>
      <c r="K137" s="15">
        <f>IF($A137="","",IF(INDEX('潜水記録'!$P$5:$P$3004,$M137)="","",INDEX('潜水記録'!$P$5:$P$3004,$M137)))</f>
        <v/>
      </c>
      <c r="L137" s="14">
        <f>IF($A137="","",IF(INDEX('潜水記録'!$Q$5:$Q$3004,$M137)="","",INDEX('潜水記録'!$Q$5:$Q$3004,$M137)))</f>
        <v/>
      </c>
      <c r="M137" s="20">
        <f>IF($A137="","",MATCH($A137,'潜水記録'!$AG$5:$AG$3004,0))</f>
        <v/>
      </c>
    </row>
    <row r="138">
      <c r="A138" s="15">
        <f>IF(129&lt;=$C$6,129,"")</f>
        <v/>
      </c>
      <c r="B138" s="16">
        <f>IF($A138="","",IF(INDEX('潜水記録'!$A$5:$A$3004,$M138)="","",INDEX('潜水記録'!$A$5:$A$3004,$M138)))</f>
        <v/>
      </c>
      <c r="C138" s="15">
        <f>IF($A138="","",IF(INDEX('潜水記録'!$D$5:$D$3004,$M138)="","",INDEX('潜水記録'!$D$5:$D$3004,$M138)))</f>
        <v/>
      </c>
      <c r="D138" s="14">
        <f>IF($A138="","",IF(INDEX('潜水記録'!$E$5:$E$3004,$M138)="","",INDEX('潜水記録'!$E$5:$E$3004,$M138)))</f>
        <v/>
      </c>
      <c r="E138" s="14">
        <f>IF($A138="","",IF(INDEX('潜水記録'!$F$5:$F$3004,$M138)="","",INDEX('潜水記録'!$F$5:$F$3004,$M138)))</f>
        <v/>
      </c>
      <c r="F138" s="15">
        <f>IF($A138="","",IF(INDEX('潜水記録'!$G$5:$G$3004,$M138)="","",INDEX('潜水記録'!$G$5:$G$3004,$M138)))</f>
        <v/>
      </c>
      <c r="G138" s="15">
        <f>IF($A138="","",IF(INDEX('潜水記録'!$H$5:$H$3004,$M138)="","",INDEX('潜水記録'!$H$5:$H$3004,$M138)))</f>
        <v/>
      </c>
      <c r="H138" s="15">
        <f>IF($A138="","",IF(INDEX('潜水記録'!$I$5:$I$3004,$M138)="","",INDEX('潜水記録'!$I$5:$I$3004,$M138)))</f>
        <v/>
      </c>
      <c r="I138" s="15">
        <f>IF($A138="","",IF(INDEX('潜水記録'!$X$5:$X$3004,$M138)="","",INDEX('潜水記録'!$X$5:$X$3004,$M138)))</f>
        <v/>
      </c>
      <c r="J138" s="15">
        <f>IF($A138="","",IF(INDEX('潜水記録'!$O$5:$O$3004,$M138)="","",INDEX('潜水記録'!$O$5:$O$3004,$M138)))</f>
        <v/>
      </c>
      <c r="K138" s="15">
        <f>IF($A138="","",IF(INDEX('潜水記録'!$P$5:$P$3004,$M138)="","",INDEX('潜水記録'!$P$5:$P$3004,$M138)))</f>
        <v/>
      </c>
      <c r="L138" s="14">
        <f>IF($A138="","",IF(INDEX('潜水記録'!$Q$5:$Q$3004,$M138)="","",INDEX('潜水記録'!$Q$5:$Q$3004,$M138)))</f>
        <v/>
      </c>
      <c r="M138" s="20">
        <f>IF($A138="","",MATCH($A138,'潜水記録'!$AG$5:$AG$3004,0))</f>
        <v/>
      </c>
    </row>
    <row r="139">
      <c r="A139" s="15">
        <f>IF(130&lt;=$C$6,130,"")</f>
        <v/>
      </c>
      <c r="B139" s="16">
        <f>IF($A139="","",IF(INDEX('潜水記録'!$A$5:$A$3004,$M139)="","",INDEX('潜水記録'!$A$5:$A$3004,$M139)))</f>
        <v/>
      </c>
      <c r="C139" s="15">
        <f>IF($A139="","",IF(INDEX('潜水記録'!$D$5:$D$3004,$M139)="","",INDEX('潜水記録'!$D$5:$D$3004,$M139)))</f>
        <v/>
      </c>
      <c r="D139" s="14">
        <f>IF($A139="","",IF(INDEX('潜水記録'!$E$5:$E$3004,$M139)="","",INDEX('潜水記録'!$E$5:$E$3004,$M139)))</f>
        <v/>
      </c>
      <c r="E139" s="14">
        <f>IF($A139="","",IF(INDEX('潜水記録'!$F$5:$F$3004,$M139)="","",INDEX('潜水記録'!$F$5:$F$3004,$M139)))</f>
        <v/>
      </c>
      <c r="F139" s="15">
        <f>IF($A139="","",IF(INDEX('潜水記録'!$G$5:$G$3004,$M139)="","",INDEX('潜水記録'!$G$5:$G$3004,$M139)))</f>
        <v/>
      </c>
      <c r="G139" s="15">
        <f>IF($A139="","",IF(INDEX('潜水記録'!$H$5:$H$3004,$M139)="","",INDEX('潜水記録'!$H$5:$H$3004,$M139)))</f>
        <v/>
      </c>
      <c r="H139" s="15">
        <f>IF($A139="","",IF(INDEX('潜水記録'!$I$5:$I$3004,$M139)="","",INDEX('潜水記録'!$I$5:$I$3004,$M139)))</f>
        <v/>
      </c>
      <c r="I139" s="15">
        <f>IF($A139="","",IF(INDEX('潜水記録'!$X$5:$X$3004,$M139)="","",INDEX('潜水記録'!$X$5:$X$3004,$M139)))</f>
        <v/>
      </c>
      <c r="J139" s="15">
        <f>IF($A139="","",IF(INDEX('潜水記録'!$O$5:$O$3004,$M139)="","",INDEX('潜水記録'!$O$5:$O$3004,$M139)))</f>
        <v/>
      </c>
      <c r="K139" s="15">
        <f>IF($A139="","",IF(INDEX('潜水記録'!$P$5:$P$3004,$M139)="","",INDEX('潜水記録'!$P$5:$P$3004,$M139)))</f>
        <v/>
      </c>
      <c r="L139" s="14">
        <f>IF($A139="","",IF(INDEX('潜水記録'!$Q$5:$Q$3004,$M139)="","",INDEX('潜水記録'!$Q$5:$Q$3004,$M139)))</f>
        <v/>
      </c>
      <c r="M139" s="20">
        <f>IF($A139="","",MATCH($A139,'潜水記録'!$AG$5:$AG$3004,0))</f>
        <v/>
      </c>
    </row>
    <row r="140">
      <c r="A140" s="15">
        <f>IF(131&lt;=$C$6,131,"")</f>
        <v/>
      </c>
      <c r="B140" s="16">
        <f>IF($A140="","",IF(INDEX('潜水記録'!$A$5:$A$3004,$M140)="","",INDEX('潜水記録'!$A$5:$A$3004,$M140)))</f>
        <v/>
      </c>
      <c r="C140" s="15">
        <f>IF($A140="","",IF(INDEX('潜水記録'!$D$5:$D$3004,$M140)="","",INDEX('潜水記録'!$D$5:$D$3004,$M140)))</f>
        <v/>
      </c>
      <c r="D140" s="14">
        <f>IF($A140="","",IF(INDEX('潜水記録'!$E$5:$E$3004,$M140)="","",INDEX('潜水記録'!$E$5:$E$3004,$M140)))</f>
        <v/>
      </c>
      <c r="E140" s="14">
        <f>IF($A140="","",IF(INDEX('潜水記録'!$F$5:$F$3004,$M140)="","",INDEX('潜水記録'!$F$5:$F$3004,$M140)))</f>
        <v/>
      </c>
      <c r="F140" s="15">
        <f>IF($A140="","",IF(INDEX('潜水記録'!$G$5:$G$3004,$M140)="","",INDEX('潜水記録'!$G$5:$G$3004,$M140)))</f>
        <v/>
      </c>
      <c r="G140" s="15">
        <f>IF($A140="","",IF(INDEX('潜水記録'!$H$5:$H$3004,$M140)="","",INDEX('潜水記録'!$H$5:$H$3004,$M140)))</f>
        <v/>
      </c>
      <c r="H140" s="15">
        <f>IF($A140="","",IF(INDEX('潜水記録'!$I$5:$I$3004,$M140)="","",INDEX('潜水記録'!$I$5:$I$3004,$M140)))</f>
        <v/>
      </c>
      <c r="I140" s="15">
        <f>IF($A140="","",IF(INDEX('潜水記録'!$X$5:$X$3004,$M140)="","",INDEX('潜水記録'!$X$5:$X$3004,$M140)))</f>
        <v/>
      </c>
      <c r="J140" s="15">
        <f>IF($A140="","",IF(INDEX('潜水記録'!$O$5:$O$3004,$M140)="","",INDEX('潜水記録'!$O$5:$O$3004,$M140)))</f>
        <v/>
      </c>
      <c r="K140" s="15">
        <f>IF($A140="","",IF(INDEX('潜水記録'!$P$5:$P$3004,$M140)="","",INDEX('潜水記録'!$P$5:$P$3004,$M140)))</f>
        <v/>
      </c>
      <c r="L140" s="14">
        <f>IF($A140="","",IF(INDEX('潜水記録'!$Q$5:$Q$3004,$M140)="","",INDEX('潜水記録'!$Q$5:$Q$3004,$M140)))</f>
        <v/>
      </c>
      <c r="M140" s="20">
        <f>IF($A140="","",MATCH($A140,'潜水記録'!$AG$5:$AG$3004,0))</f>
        <v/>
      </c>
    </row>
    <row r="141">
      <c r="A141" s="15">
        <f>IF(132&lt;=$C$6,132,"")</f>
        <v/>
      </c>
      <c r="B141" s="16">
        <f>IF($A141="","",IF(INDEX('潜水記録'!$A$5:$A$3004,$M141)="","",INDEX('潜水記録'!$A$5:$A$3004,$M141)))</f>
        <v/>
      </c>
      <c r="C141" s="15">
        <f>IF($A141="","",IF(INDEX('潜水記録'!$D$5:$D$3004,$M141)="","",INDEX('潜水記録'!$D$5:$D$3004,$M141)))</f>
        <v/>
      </c>
      <c r="D141" s="14">
        <f>IF($A141="","",IF(INDEX('潜水記録'!$E$5:$E$3004,$M141)="","",INDEX('潜水記録'!$E$5:$E$3004,$M141)))</f>
        <v/>
      </c>
      <c r="E141" s="14">
        <f>IF($A141="","",IF(INDEX('潜水記録'!$F$5:$F$3004,$M141)="","",INDEX('潜水記録'!$F$5:$F$3004,$M141)))</f>
        <v/>
      </c>
      <c r="F141" s="15">
        <f>IF($A141="","",IF(INDEX('潜水記録'!$G$5:$G$3004,$M141)="","",INDEX('潜水記録'!$G$5:$G$3004,$M141)))</f>
        <v/>
      </c>
      <c r="G141" s="15">
        <f>IF($A141="","",IF(INDEX('潜水記録'!$H$5:$H$3004,$M141)="","",INDEX('潜水記録'!$H$5:$H$3004,$M141)))</f>
        <v/>
      </c>
      <c r="H141" s="15">
        <f>IF($A141="","",IF(INDEX('潜水記録'!$I$5:$I$3004,$M141)="","",INDEX('潜水記録'!$I$5:$I$3004,$M141)))</f>
        <v/>
      </c>
      <c r="I141" s="15">
        <f>IF($A141="","",IF(INDEX('潜水記録'!$X$5:$X$3004,$M141)="","",INDEX('潜水記録'!$X$5:$X$3004,$M141)))</f>
        <v/>
      </c>
      <c r="J141" s="15">
        <f>IF($A141="","",IF(INDEX('潜水記録'!$O$5:$O$3004,$M141)="","",INDEX('潜水記録'!$O$5:$O$3004,$M141)))</f>
        <v/>
      </c>
      <c r="K141" s="15">
        <f>IF($A141="","",IF(INDEX('潜水記録'!$P$5:$P$3004,$M141)="","",INDEX('潜水記録'!$P$5:$P$3004,$M141)))</f>
        <v/>
      </c>
      <c r="L141" s="14">
        <f>IF($A141="","",IF(INDEX('潜水記録'!$Q$5:$Q$3004,$M141)="","",INDEX('潜水記録'!$Q$5:$Q$3004,$M141)))</f>
        <v/>
      </c>
      <c r="M141" s="20">
        <f>IF($A141="","",MATCH($A141,'潜水記録'!$AG$5:$AG$3004,0))</f>
        <v/>
      </c>
    </row>
    <row r="142">
      <c r="A142" s="15">
        <f>IF(133&lt;=$C$6,133,"")</f>
        <v/>
      </c>
      <c r="B142" s="16">
        <f>IF($A142="","",IF(INDEX('潜水記録'!$A$5:$A$3004,$M142)="","",INDEX('潜水記録'!$A$5:$A$3004,$M142)))</f>
        <v/>
      </c>
      <c r="C142" s="15">
        <f>IF($A142="","",IF(INDEX('潜水記録'!$D$5:$D$3004,$M142)="","",INDEX('潜水記録'!$D$5:$D$3004,$M142)))</f>
        <v/>
      </c>
      <c r="D142" s="14">
        <f>IF($A142="","",IF(INDEX('潜水記録'!$E$5:$E$3004,$M142)="","",INDEX('潜水記録'!$E$5:$E$3004,$M142)))</f>
        <v/>
      </c>
      <c r="E142" s="14">
        <f>IF($A142="","",IF(INDEX('潜水記録'!$F$5:$F$3004,$M142)="","",INDEX('潜水記録'!$F$5:$F$3004,$M142)))</f>
        <v/>
      </c>
      <c r="F142" s="15">
        <f>IF($A142="","",IF(INDEX('潜水記録'!$G$5:$G$3004,$M142)="","",INDEX('潜水記録'!$G$5:$G$3004,$M142)))</f>
        <v/>
      </c>
      <c r="G142" s="15">
        <f>IF($A142="","",IF(INDEX('潜水記録'!$H$5:$H$3004,$M142)="","",INDEX('潜水記録'!$H$5:$H$3004,$M142)))</f>
        <v/>
      </c>
      <c r="H142" s="15">
        <f>IF($A142="","",IF(INDEX('潜水記録'!$I$5:$I$3004,$M142)="","",INDEX('潜水記録'!$I$5:$I$3004,$M142)))</f>
        <v/>
      </c>
      <c r="I142" s="15">
        <f>IF($A142="","",IF(INDEX('潜水記録'!$X$5:$X$3004,$M142)="","",INDEX('潜水記録'!$X$5:$X$3004,$M142)))</f>
        <v/>
      </c>
      <c r="J142" s="15">
        <f>IF($A142="","",IF(INDEX('潜水記録'!$O$5:$O$3004,$M142)="","",INDEX('潜水記録'!$O$5:$O$3004,$M142)))</f>
        <v/>
      </c>
      <c r="K142" s="15">
        <f>IF($A142="","",IF(INDEX('潜水記録'!$P$5:$P$3004,$M142)="","",INDEX('潜水記録'!$P$5:$P$3004,$M142)))</f>
        <v/>
      </c>
      <c r="L142" s="14">
        <f>IF($A142="","",IF(INDEX('潜水記録'!$Q$5:$Q$3004,$M142)="","",INDEX('潜水記録'!$Q$5:$Q$3004,$M142)))</f>
        <v/>
      </c>
      <c r="M142" s="20">
        <f>IF($A142="","",MATCH($A142,'潜水記録'!$AG$5:$AG$3004,0))</f>
        <v/>
      </c>
    </row>
    <row r="143">
      <c r="A143" s="15">
        <f>IF(134&lt;=$C$6,134,"")</f>
        <v/>
      </c>
      <c r="B143" s="16">
        <f>IF($A143="","",IF(INDEX('潜水記録'!$A$5:$A$3004,$M143)="","",INDEX('潜水記録'!$A$5:$A$3004,$M143)))</f>
        <v/>
      </c>
      <c r="C143" s="15">
        <f>IF($A143="","",IF(INDEX('潜水記録'!$D$5:$D$3004,$M143)="","",INDEX('潜水記録'!$D$5:$D$3004,$M143)))</f>
        <v/>
      </c>
      <c r="D143" s="14">
        <f>IF($A143="","",IF(INDEX('潜水記録'!$E$5:$E$3004,$M143)="","",INDEX('潜水記録'!$E$5:$E$3004,$M143)))</f>
        <v/>
      </c>
      <c r="E143" s="14">
        <f>IF($A143="","",IF(INDEX('潜水記録'!$F$5:$F$3004,$M143)="","",INDEX('潜水記録'!$F$5:$F$3004,$M143)))</f>
        <v/>
      </c>
      <c r="F143" s="15">
        <f>IF($A143="","",IF(INDEX('潜水記録'!$G$5:$G$3004,$M143)="","",INDEX('潜水記録'!$G$5:$G$3004,$M143)))</f>
        <v/>
      </c>
      <c r="G143" s="15">
        <f>IF($A143="","",IF(INDEX('潜水記録'!$H$5:$H$3004,$M143)="","",INDEX('潜水記録'!$H$5:$H$3004,$M143)))</f>
        <v/>
      </c>
      <c r="H143" s="15">
        <f>IF($A143="","",IF(INDEX('潜水記録'!$I$5:$I$3004,$M143)="","",INDEX('潜水記録'!$I$5:$I$3004,$M143)))</f>
        <v/>
      </c>
      <c r="I143" s="15">
        <f>IF($A143="","",IF(INDEX('潜水記録'!$X$5:$X$3004,$M143)="","",INDEX('潜水記録'!$X$5:$X$3004,$M143)))</f>
        <v/>
      </c>
      <c r="J143" s="15">
        <f>IF($A143="","",IF(INDEX('潜水記録'!$O$5:$O$3004,$M143)="","",INDEX('潜水記録'!$O$5:$O$3004,$M143)))</f>
        <v/>
      </c>
      <c r="K143" s="15">
        <f>IF($A143="","",IF(INDEX('潜水記録'!$P$5:$P$3004,$M143)="","",INDEX('潜水記録'!$P$5:$P$3004,$M143)))</f>
        <v/>
      </c>
      <c r="L143" s="14">
        <f>IF($A143="","",IF(INDEX('潜水記録'!$Q$5:$Q$3004,$M143)="","",INDEX('潜水記録'!$Q$5:$Q$3004,$M143)))</f>
        <v/>
      </c>
      <c r="M143" s="20">
        <f>IF($A143="","",MATCH($A143,'潜水記録'!$AG$5:$AG$3004,0))</f>
        <v/>
      </c>
    </row>
    <row r="144">
      <c r="A144" s="15">
        <f>IF(135&lt;=$C$6,135,"")</f>
        <v/>
      </c>
      <c r="B144" s="16">
        <f>IF($A144="","",IF(INDEX('潜水記録'!$A$5:$A$3004,$M144)="","",INDEX('潜水記録'!$A$5:$A$3004,$M144)))</f>
        <v/>
      </c>
      <c r="C144" s="15">
        <f>IF($A144="","",IF(INDEX('潜水記録'!$D$5:$D$3004,$M144)="","",INDEX('潜水記録'!$D$5:$D$3004,$M144)))</f>
        <v/>
      </c>
      <c r="D144" s="14">
        <f>IF($A144="","",IF(INDEX('潜水記録'!$E$5:$E$3004,$M144)="","",INDEX('潜水記録'!$E$5:$E$3004,$M144)))</f>
        <v/>
      </c>
      <c r="E144" s="14">
        <f>IF($A144="","",IF(INDEX('潜水記録'!$F$5:$F$3004,$M144)="","",INDEX('潜水記録'!$F$5:$F$3004,$M144)))</f>
        <v/>
      </c>
      <c r="F144" s="15">
        <f>IF($A144="","",IF(INDEX('潜水記録'!$G$5:$G$3004,$M144)="","",INDEX('潜水記録'!$G$5:$G$3004,$M144)))</f>
        <v/>
      </c>
      <c r="G144" s="15">
        <f>IF($A144="","",IF(INDEX('潜水記録'!$H$5:$H$3004,$M144)="","",INDEX('潜水記録'!$H$5:$H$3004,$M144)))</f>
        <v/>
      </c>
      <c r="H144" s="15">
        <f>IF($A144="","",IF(INDEX('潜水記録'!$I$5:$I$3004,$M144)="","",INDEX('潜水記録'!$I$5:$I$3004,$M144)))</f>
        <v/>
      </c>
      <c r="I144" s="15">
        <f>IF($A144="","",IF(INDEX('潜水記録'!$X$5:$X$3004,$M144)="","",INDEX('潜水記録'!$X$5:$X$3004,$M144)))</f>
        <v/>
      </c>
      <c r="J144" s="15">
        <f>IF($A144="","",IF(INDEX('潜水記録'!$O$5:$O$3004,$M144)="","",INDEX('潜水記録'!$O$5:$O$3004,$M144)))</f>
        <v/>
      </c>
      <c r="K144" s="15">
        <f>IF($A144="","",IF(INDEX('潜水記録'!$P$5:$P$3004,$M144)="","",INDEX('潜水記録'!$P$5:$P$3004,$M144)))</f>
        <v/>
      </c>
      <c r="L144" s="14">
        <f>IF($A144="","",IF(INDEX('潜水記録'!$Q$5:$Q$3004,$M144)="","",INDEX('潜水記録'!$Q$5:$Q$3004,$M144)))</f>
        <v/>
      </c>
      <c r="M144" s="20">
        <f>IF($A144="","",MATCH($A144,'潜水記録'!$AG$5:$AG$3004,0))</f>
        <v/>
      </c>
    </row>
    <row r="145">
      <c r="A145" s="15">
        <f>IF(136&lt;=$C$6,136,"")</f>
        <v/>
      </c>
      <c r="B145" s="16">
        <f>IF($A145="","",IF(INDEX('潜水記録'!$A$5:$A$3004,$M145)="","",INDEX('潜水記録'!$A$5:$A$3004,$M145)))</f>
        <v/>
      </c>
      <c r="C145" s="15">
        <f>IF($A145="","",IF(INDEX('潜水記録'!$D$5:$D$3004,$M145)="","",INDEX('潜水記録'!$D$5:$D$3004,$M145)))</f>
        <v/>
      </c>
      <c r="D145" s="14">
        <f>IF($A145="","",IF(INDEX('潜水記録'!$E$5:$E$3004,$M145)="","",INDEX('潜水記録'!$E$5:$E$3004,$M145)))</f>
        <v/>
      </c>
      <c r="E145" s="14">
        <f>IF($A145="","",IF(INDEX('潜水記録'!$F$5:$F$3004,$M145)="","",INDEX('潜水記録'!$F$5:$F$3004,$M145)))</f>
        <v/>
      </c>
      <c r="F145" s="15">
        <f>IF($A145="","",IF(INDEX('潜水記録'!$G$5:$G$3004,$M145)="","",INDEX('潜水記録'!$G$5:$G$3004,$M145)))</f>
        <v/>
      </c>
      <c r="G145" s="15">
        <f>IF($A145="","",IF(INDEX('潜水記録'!$H$5:$H$3004,$M145)="","",INDEX('潜水記録'!$H$5:$H$3004,$M145)))</f>
        <v/>
      </c>
      <c r="H145" s="15">
        <f>IF($A145="","",IF(INDEX('潜水記録'!$I$5:$I$3004,$M145)="","",INDEX('潜水記録'!$I$5:$I$3004,$M145)))</f>
        <v/>
      </c>
      <c r="I145" s="15">
        <f>IF($A145="","",IF(INDEX('潜水記録'!$X$5:$X$3004,$M145)="","",INDEX('潜水記録'!$X$5:$X$3004,$M145)))</f>
        <v/>
      </c>
      <c r="J145" s="15">
        <f>IF($A145="","",IF(INDEX('潜水記録'!$O$5:$O$3004,$M145)="","",INDEX('潜水記録'!$O$5:$O$3004,$M145)))</f>
        <v/>
      </c>
      <c r="K145" s="15">
        <f>IF($A145="","",IF(INDEX('潜水記録'!$P$5:$P$3004,$M145)="","",INDEX('潜水記録'!$P$5:$P$3004,$M145)))</f>
        <v/>
      </c>
      <c r="L145" s="14">
        <f>IF($A145="","",IF(INDEX('潜水記録'!$Q$5:$Q$3004,$M145)="","",INDEX('潜水記録'!$Q$5:$Q$3004,$M145)))</f>
        <v/>
      </c>
      <c r="M145" s="20">
        <f>IF($A145="","",MATCH($A145,'潜水記録'!$AG$5:$AG$3004,0))</f>
        <v/>
      </c>
    </row>
    <row r="146">
      <c r="A146" s="15">
        <f>IF(137&lt;=$C$6,137,"")</f>
        <v/>
      </c>
      <c r="B146" s="16">
        <f>IF($A146="","",IF(INDEX('潜水記録'!$A$5:$A$3004,$M146)="","",INDEX('潜水記録'!$A$5:$A$3004,$M146)))</f>
        <v/>
      </c>
      <c r="C146" s="15">
        <f>IF($A146="","",IF(INDEX('潜水記録'!$D$5:$D$3004,$M146)="","",INDEX('潜水記録'!$D$5:$D$3004,$M146)))</f>
        <v/>
      </c>
      <c r="D146" s="14">
        <f>IF($A146="","",IF(INDEX('潜水記録'!$E$5:$E$3004,$M146)="","",INDEX('潜水記録'!$E$5:$E$3004,$M146)))</f>
        <v/>
      </c>
      <c r="E146" s="14">
        <f>IF($A146="","",IF(INDEX('潜水記録'!$F$5:$F$3004,$M146)="","",INDEX('潜水記録'!$F$5:$F$3004,$M146)))</f>
        <v/>
      </c>
      <c r="F146" s="15">
        <f>IF($A146="","",IF(INDEX('潜水記録'!$G$5:$G$3004,$M146)="","",INDEX('潜水記録'!$G$5:$G$3004,$M146)))</f>
        <v/>
      </c>
      <c r="G146" s="15">
        <f>IF($A146="","",IF(INDEX('潜水記録'!$H$5:$H$3004,$M146)="","",INDEX('潜水記録'!$H$5:$H$3004,$M146)))</f>
        <v/>
      </c>
      <c r="H146" s="15">
        <f>IF($A146="","",IF(INDEX('潜水記録'!$I$5:$I$3004,$M146)="","",INDEX('潜水記録'!$I$5:$I$3004,$M146)))</f>
        <v/>
      </c>
      <c r="I146" s="15">
        <f>IF($A146="","",IF(INDEX('潜水記録'!$X$5:$X$3004,$M146)="","",INDEX('潜水記録'!$X$5:$X$3004,$M146)))</f>
        <v/>
      </c>
      <c r="J146" s="15">
        <f>IF($A146="","",IF(INDEX('潜水記録'!$O$5:$O$3004,$M146)="","",INDEX('潜水記録'!$O$5:$O$3004,$M146)))</f>
        <v/>
      </c>
      <c r="K146" s="15">
        <f>IF($A146="","",IF(INDEX('潜水記録'!$P$5:$P$3004,$M146)="","",INDEX('潜水記録'!$P$5:$P$3004,$M146)))</f>
        <v/>
      </c>
      <c r="L146" s="14">
        <f>IF($A146="","",IF(INDEX('潜水記録'!$Q$5:$Q$3004,$M146)="","",INDEX('潜水記録'!$Q$5:$Q$3004,$M146)))</f>
        <v/>
      </c>
      <c r="M146" s="20">
        <f>IF($A146="","",MATCH($A146,'潜水記録'!$AG$5:$AG$3004,0))</f>
        <v/>
      </c>
    </row>
    <row r="147">
      <c r="A147" s="15">
        <f>IF(138&lt;=$C$6,138,"")</f>
        <v/>
      </c>
      <c r="B147" s="16">
        <f>IF($A147="","",IF(INDEX('潜水記録'!$A$5:$A$3004,$M147)="","",INDEX('潜水記録'!$A$5:$A$3004,$M147)))</f>
        <v/>
      </c>
      <c r="C147" s="15">
        <f>IF($A147="","",IF(INDEX('潜水記録'!$D$5:$D$3004,$M147)="","",INDEX('潜水記録'!$D$5:$D$3004,$M147)))</f>
        <v/>
      </c>
      <c r="D147" s="14">
        <f>IF($A147="","",IF(INDEX('潜水記録'!$E$5:$E$3004,$M147)="","",INDEX('潜水記録'!$E$5:$E$3004,$M147)))</f>
        <v/>
      </c>
      <c r="E147" s="14">
        <f>IF($A147="","",IF(INDEX('潜水記録'!$F$5:$F$3004,$M147)="","",INDEX('潜水記録'!$F$5:$F$3004,$M147)))</f>
        <v/>
      </c>
      <c r="F147" s="15">
        <f>IF($A147="","",IF(INDEX('潜水記録'!$G$5:$G$3004,$M147)="","",INDEX('潜水記録'!$G$5:$G$3004,$M147)))</f>
        <v/>
      </c>
      <c r="G147" s="15">
        <f>IF($A147="","",IF(INDEX('潜水記録'!$H$5:$H$3004,$M147)="","",INDEX('潜水記録'!$H$5:$H$3004,$M147)))</f>
        <v/>
      </c>
      <c r="H147" s="15">
        <f>IF($A147="","",IF(INDEX('潜水記録'!$I$5:$I$3004,$M147)="","",INDEX('潜水記録'!$I$5:$I$3004,$M147)))</f>
        <v/>
      </c>
      <c r="I147" s="15">
        <f>IF($A147="","",IF(INDEX('潜水記録'!$X$5:$X$3004,$M147)="","",INDEX('潜水記録'!$X$5:$X$3004,$M147)))</f>
        <v/>
      </c>
      <c r="J147" s="15">
        <f>IF($A147="","",IF(INDEX('潜水記録'!$O$5:$O$3004,$M147)="","",INDEX('潜水記録'!$O$5:$O$3004,$M147)))</f>
        <v/>
      </c>
      <c r="K147" s="15">
        <f>IF($A147="","",IF(INDEX('潜水記録'!$P$5:$P$3004,$M147)="","",INDEX('潜水記録'!$P$5:$P$3004,$M147)))</f>
        <v/>
      </c>
      <c r="L147" s="14">
        <f>IF($A147="","",IF(INDEX('潜水記録'!$Q$5:$Q$3004,$M147)="","",INDEX('潜水記録'!$Q$5:$Q$3004,$M147)))</f>
        <v/>
      </c>
      <c r="M147" s="20">
        <f>IF($A147="","",MATCH($A147,'潜水記録'!$AG$5:$AG$3004,0))</f>
        <v/>
      </c>
    </row>
    <row r="148">
      <c r="A148" s="15">
        <f>IF(139&lt;=$C$6,139,"")</f>
        <v/>
      </c>
      <c r="B148" s="16">
        <f>IF($A148="","",IF(INDEX('潜水記録'!$A$5:$A$3004,$M148)="","",INDEX('潜水記録'!$A$5:$A$3004,$M148)))</f>
        <v/>
      </c>
      <c r="C148" s="15">
        <f>IF($A148="","",IF(INDEX('潜水記録'!$D$5:$D$3004,$M148)="","",INDEX('潜水記録'!$D$5:$D$3004,$M148)))</f>
        <v/>
      </c>
      <c r="D148" s="14">
        <f>IF($A148="","",IF(INDEX('潜水記録'!$E$5:$E$3004,$M148)="","",INDEX('潜水記録'!$E$5:$E$3004,$M148)))</f>
        <v/>
      </c>
      <c r="E148" s="14">
        <f>IF($A148="","",IF(INDEX('潜水記録'!$F$5:$F$3004,$M148)="","",INDEX('潜水記録'!$F$5:$F$3004,$M148)))</f>
        <v/>
      </c>
      <c r="F148" s="15">
        <f>IF($A148="","",IF(INDEX('潜水記録'!$G$5:$G$3004,$M148)="","",INDEX('潜水記録'!$G$5:$G$3004,$M148)))</f>
        <v/>
      </c>
      <c r="G148" s="15">
        <f>IF($A148="","",IF(INDEX('潜水記録'!$H$5:$H$3004,$M148)="","",INDEX('潜水記録'!$H$5:$H$3004,$M148)))</f>
        <v/>
      </c>
      <c r="H148" s="15">
        <f>IF($A148="","",IF(INDEX('潜水記録'!$I$5:$I$3004,$M148)="","",INDEX('潜水記録'!$I$5:$I$3004,$M148)))</f>
        <v/>
      </c>
      <c r="I148" s="15">
        <f>IF($A148="","",IF(INDEX('潜水記録'!$X$5:$X$3004,$M148)="","",INDEX('潜水記録'!$X$5:$X$3004,$M148)))</f>
        <v/>
      </c>
      <c r="J148" s="15">
        <f>IF($A148="","",IF(INDEX('潜水記録'!$O$5:$O$3004,$M148)="","",INDEX('潜水記録'!$O$5:$O$3004,$M148)))</f>
        <v/>
      </c>
      <c r="K148" s="15">
        <f>IF($A148="","",IF(INDEX('潜水記録'!$P$5:$P$3004,$M148)="","",INDEX('潜水記録'!$P$5:$P$3004,$M148)))</f>
        <v/>
      </c>
      <c r="L148" s="14">
        <f>IF($A148="","",IF(INDEX('潜水記録'!$Q$5:$Q$3004,$M148)="","",INDEX('潜水記録'!$Q$5:$Q$3004,$M148)))</f>
        <v/>
      </c>
      <c r="M148" s="20">
        <f>IF($A148="","",MATCH($A148,'潜水記録'!$AG$5:$AG$3004,0))</f>
        <v/>
      </c>
    </row>
    <row r="149">
      <c r="A149" s="15">
        <f>IF(140&lt;=$C$6,140,"")</f>
        <v/>
      </c>
      <c r="B149" s="16">
        <f>IF($A149="","",IF(INDEX('潜水記録'!$A$5:$A$3004,$M149)="","",INDEX('潜水記録'!$A$5:$A$3004,$M149)))</f>
        <v/>
      </c>
      <c r="C149" s="15">
        <f>IF($A149="","",IF(INDEX('潜水記録'!$D$5:$D$3004,$M149)="","",INDEX('潜水記録'!$D$5:$D$3004,$M149)))</f>
        <v/>
      </c>
      <c r="D149" s="14">
        <f>IF($A149="","",IF(INDEX('潜水記録'!$E$5:$E$3004,$M149)="","",INDEX('潜水記録'!$E$5:$E$3004,$M149)))</f>
        <v/>
      </c>
      <c r="E149" s="14">
        <f>IF($A149="","",IF(INDEX('潜水記録'!$F$5:$F$3004,$M149)="","",INDEX('潜水記録'!$F$5:$F$3004,$M149)))</f>
        <v/>
      </c>
      <c r="F149" s="15">
        <f>IF($A149="","",IF(INDEX('潜水記録'!$G$5:$G$3004,$M149)="","",INDEX('潜水記録'!$G$5:$G$3004,$M149)))</f>
        <v/>
      </c>
      <c r="G149" s="15">
        <f>IF($A149="","",IF(INDEX('潜水記録'!$H$5:$H$3004,$M149)="","",INDEX('潜水記録'!$H$5:$H$3004,$M149)))</f>
        <v/>
      </c>
      <c r="H149" s="15">
        <f>IF($A149="","",IF(INDEX('潜水記録'!$I$5:$I$3004,$M149)="","",INDEX('潜水記録'!$I$5:$I$3004,$M149)))</f>
        <v/>
      </c>
      <c r="I149" s="15">
        <f>IF($A149="","",IF(INDEX('潜水記録'!$X$5:$X$3004,$M149)="","",INDEX('潜水記録'!$X$5:$X$3004,$M149)))</f>
        <v/>
      </c>
      <c r="J149" s="15">
        <f>IF($A149="","",IF(INDEX('潜水記録'!$O$5:$O$3004,$M149)="","",INDEX('潜水記録'!$O$5:$O$3004,$M149)))</f>
        <v/>
      </c>
      <c r="K149" s="15">
        <f>IF($A149="","",IF(INDEX('潜水記録'!$P$5:$P$3004,$M149)="","",INDEX('潜水記録'!$P$5:$P$3004,$M149)))</f>
        <v/>
      </c>
      <c r="L149" s="14">
        <f>IF($A149="","",IF(INDEX('潜水記録'!$Q$5:$Q$3004,$M149)="","",INDEX('潜水記録'!$Q$5:$Q$3004,$M149)))</f>
        <v/>
      </c>
      <c r="M149" s="20">
        <f>IF($A149="","",MATCH($A149,'潜水記録'!$AG$5:$AG$3004,0))</f>
        <v/>
      </c>
    </row>
    <row r="150">
      <c r="A150" s="15">
        <f>IF(141&lt;=$C$6,141,"")</f>
        <v/>
      </c>
      <c r="B150" s="16">
        <f>IF($A150="","",IF(INDEX('潜水記録'!$A$5:$A$3004,$M150)="","",INDEX('潜水記録'!$A$5:$A$3004,$M150)))</f>
        <v/>
      </c>
      <c r="C150" s="15">
        <f>IF($A150="","",IF(INDEX('潜水記録'!$D$5:$D$3004,$M150)="","",INDEX('潜水記録'!$D$5:$D$3004,$M150)))</f>
        <v/>
      </c>
      <c r="D150" s="14">
        <f>IF($A150="","",IF(INDEX('潜水記録'!$E$5:$E$3004,$M150)="","",INDEX('潜水記録'!$E$5:$E$3004,$M150)))</f>
        <v/>
      </c>
      <c r="E150" s="14">
        <f>IF($A150="","",IF(INDEX('潜水記録'!$F$5:$F$3004,$M150)="","",INDEX('潜水記録'!$F$5:$F$3004,$M150)))</f>
        <v/>
      </c>
      <c r="F150" s="15">
        <f>IF($A150="","",IF(INDEX('潜水記録'!$G$5:$G$3004,$M150)="","",INDEX('潜水記録'!$G$5:$G$3004,$M150)))</f>
        <v/>
      </c>
      <c r="G150" s="15">
        <f>IF($A150="","",IF(INDEX('潜水記録'!$H$5:$H$3004,$M150)="","",INDEX('潜水記録'!$H$5:$H$3004,$M150)))</f>
        <v/>
      </c>
      <c r="H150" s="15">
        <f>IF($A150="","",IF(INDEX('潜水記録'!$I$5:$I$3004,$M150)="","",INDEX('潜水記録'!$I$5:$I$3004,$M150)))</f>
        <v/>
      </c>
      <c r="I150" s="15">
        <f>IF($A150="","",IF(INDEX('潜水記録'!$X$5:$X$3004,$M150)="","",INDEX('潜水記録'!$X$5:$X$3004,$M150)))</f>
        <v/>
      </c>
      <c r="J150" s="15">
        <f>IF($A150="","",IF(INDEX('潜水記録'!$O$5:$O$3004,$M150)="","",INDEX('潜水記録'!$O$5:$O$3004,$M150)))</f>
        <v/>
      </c>
      <c r="K150" s="15">
        <f>IF($A150="","",IF(INDEX('潜水記録'!$P$5:$P$3004,$M150)="","",INDEX('潜水記録'!$P$5:$P$3004,$M150)))</f>
        <v/>
      </c>
      <c r="L150" s="14">
        <f>IF($A150="","",IF(INDEX('潜水記録'!$Q$5:$Q$3004,$M150)="","",INDEX('潜水記録'!$Q$5:$Q$3004,$M150)))</f>
        <v/>
      </c>
      <c r="M150" s="20">
        <f>IF($A150="","",MATCH($A150,'潜水記録'!$AG$5:$AG$3004,0))</f>
        <v/>
      </c>
    </row>
    <row r="151">
      <c r="A151" s="15">
        <f>IF(142&lt;=$C$6,142,"")</f>
        <v/>
      </c>
      <c r="B151" s="16">
        <f>IF($A151="","",IF(INDEX('潜水記録'!$A$5:$A$3004,$M151)="","",INDEX('潜水記録'!$A$5:$A$3004,$M151)))</f>
        <v/>
      </c>
      <c r="C151" s="15">
        <f>IF($A151="","",IF(INDEX('潜水記録'!$D$5:$D$3004,$M151)="","",INDEX('潜水記録'!$D$5:$D$3004,$M151)))</f>
        <v/>
      </c>
      <c r="D151" s="14">
        <f>IF($A151="","",IF(INDEX('潜水記録'!$E$5:$E$3004,$M151)="","",INDEX('潜水記録'!$E$5:$E$3004,$M151)))</f>
        <v/>
      </c>
      <c r="E151" s="14">
        <f>IF($A151="","",IF(INDEX('潜水記録'!$F$5:$F$3004,$M151)="","",INDEX('潜水記録'!$F$5:$F$3004,$M151)))</f>
        <v/>
      </c>
      <c r="F151" s="15">
        <f>IF($A151="","",IF(INDEX('潜水記録'!$G$5:$G$3004,$M151)="","",INDEX('潜水記録'!$G$5:$G$3004,$M151)))</f>
        <v/>
      </c>
      <c r="G151" s="15">
        <f>IF($A151="","",IF(INDEX('潜水記録'!$H$5:$H$3004,$M151)="","",INDEX('潜水記録'!$H$5:$H$3004,$M151)))</f>
        <v/>
      </c>
      <c r="H151" s="15">
        <f>IF($A151="","",IF(INDEX('潜水記録'!$I$5:$I$3004,$M151)="","",INDEX('潜水記録'!$I$5:$I$3004,$M151)))</f>
        <v/>
      </c>
      <c r="I151" s="15">
        <f>IF($A151="","",IF(INDEX('潜水記録'!$X$5:$X$3004,$M151)="","",INDEX('潜水記録'!$X$5:$X$3004,$M151)))</f>
        <v/>
      </c>
      <c r="J151" s="15">
        <f>IF($A151="","",IF(INDEX('潜水記録'!$O$5:$O$3004,$M151)="","",INDEX('潜水記録'!$O$5:$O$3004,$M151)))</f>
        <v/>
      </c>
      <c r="K151" s="15">
        <f>IF($A151="","",IF(INDEX('潜水記録'!$P$5:$P$3004,$M151)="","",INDEX('潜水記録'!$P$5:$P$3004,$M151)))</f>
        <v/>
      </c>
      <c r="L151" s="14">
        <f>IF($A151="","",IF(INDEX('潜水記録'!$Q$5:$Q$3004,$M151)="","",INDEX('潜水記録'!$Q$5:$Q$3004,$M151)))</f>
        <v/>
      </c>
      <c r="M151" s="20">
        <f>IF($A151="","",MATCH($A151,'潜水記録'!$AG$5:$AG$3004,0))</f>
        <v/>
      </c>
    </row>
    <row r="152">
      <c r="A152" s="15">
        <f>IF(143&lt;=$C$6,143,"")</f>
        <v/>
      </c>
      <c r="B152" s="16">
        <f>IF($A152="","",IF(INDEX('潜水記録'!$A$5:$A$3004,$M152)="","",INDEX('潜水記録'!$A$5:$A$3004,$M152)))</f>
        <v/>
      </c>
      <c r="C152" s="15">
        <f>IF($A152="","",IF(INDEX('潜水記録'!$D$5:$D$3004,$M152)="","",INDEX('潜水記録'!$D$5:$D$3004,$M152)))</f>
        <v/>
      </c>
      <c r="D152" s="14">
        <f>IF($A152="","",IF(INDEX('潜水記録'!$E$5:$E$3004,$M152)="","",INDEX('潜水記録'!$E$5:$E$3004,$M152)))</f>
        <v/>
      </c>
      <c r="E152" s="14">
        <f>IF($A152="","",IF(INDEX('潜水記録'!$F$5:$F$3004,$M152)="","",INDEX('潜水記録'!$F$5:$F$3004,$M152)))</f>
        <v/>
      </c>
      <c r="F152" s="15">
        <f>IF($A152="","",IF(INDEX('潜水記録'!$G$5:$G$3004,$M152)="","",INDEX('潜水記録'!$G$5:$G$3004,$M152)))</f>
        <v/>
      </c>
      <c r="G152" s="15">
        <f>IF($A152="","",IF(INDEX('潜水記録'!$H$5:$H$3004,$M152)="","",INDEX('潜水記録'!$H$5:$H$3004,$M152)))</f>
        <v/>
      </c>
      <c r="H152" s="15">
        <f>IF($A152="","",IF(INDEX('潜水記録'!$I$5:$I$3004,$M152)="","",INDEX('潜水記録'!$I$5:$I$3004,$M152)))</f>
        <v/>
      </c>
      <c r="I152" s="15">
        <f>IF($A152="","",IF(INDEX('潜水記録'!$X$5:$X$3004,$M152)="","",INDEX('潜水記録'!$X$5:$X$3004,$M152)))</f>
        <v/>
      </c>
      <c r="J152" s="15">
        <f>IF($A152="","",IF(INDEX('潜水記録'!$O$5:$O$3004,$M152)="","",INDEX('潜水記録'!$O$5:$O$3004,$M152)))</f>
        <v/>
      </c>
      <c r="K152" s="15">
        <f>IF($A152="","",IF(INDEX('潜水記録'!$P$5:$P$3004,$M152)="","",INDEX('潜水記録'!$P$5:$P$3004,$M152)))</f>
        <v/>
      </c>
      <c r="L152" s="14">
        <f>IF($A152="","",IF(INDEX('潜水記録'!$Q$5:$Q$3004,$M152)="","",INDEX('潜水記録'!$Q$5:$Q$3004,$M152)))</f>
        <v/>
      </c>
      <c r="M152" s="20">
        <f>IF($A152="","",MATCH($A152,'潜水記録'!$AG$5:$AG$3004,0))</f>
        <v/>
      </c>
    </row>
    <row r="153">
      <c r="A153" s="15">
        <f>IF(144&lt;=$C$6,144,"")</f>
        <v/>
      </c>
      <c r="B153" s="16">
        <f>IF($A153="","",IF(INDEX('潜水記録'!$A$5:$A$3004,$M153)="","",INDEX('潜水記録'!$A$5:$A$3004,$M153)))</f>
        <v/>
      </c>
      <c r="C153" s="15">
        <f>IF($A153="","",IF(INDEX('潜水記録'!$D$5:$D$3004,$M153)="","",INDEX('潜水記録'!$D$5:$D$3004,$M153)))</f>
        <v/>
      </c>
      <c r="D153" s="14">
        <f>IF($A153="","",IF(INDEX('潜水記録'!$E$5:$E$3004,$M153)="","",INDEX('潜水記録'!$E$5:$E$3004,$M153)))</f>
        <v/>
      </c>
      <c r="E153" s="14">
        <f>IF($A153="","",IF(INDEX('潜水記録'!$F$5:$F$3004,$M153)="","",INDEX('潜水記録'!$F$5:$F$3004,$M153)))</f>
        <v/>
      </c>
      <c r="F153" s="15">
        <f>IF($A153="","",IF(INDEX('潜水記録'!$G$5:$G$3004,$M153)="","",INDEX('潜水記録'!$G$5:$G$3004,$M153)))</f>
        <v/>
      </c>
      <c r="G153" s="15">
        <f>IF($A153="","",IF(INDEX('潜水記録'!$H$5:$H$3004,$M153)="","",INDEX('潜水記録'!$H$5:$H$3004,$M153)))</f>
        <v/>
      </c>
      <c r="H153" s="15">
        <f>IF($A153="","",IF(INDEX('潜水記録'!$I$5:$I$3004,$M153)="","",INDEX('潜水記録'!$I$5:$I$3004,$M153)))</f>
        <v/>
      </c>
      <c r="I153" s="15">
        <f>IF($A153="","",IF(INDEX('潜水記録'!$X$5:$X$3004,$M153)="","",INDEX('潜水記録'!$X$5:$X$3004,$M153)))</f>
        <v/>
      </c>
      <c r="J153" s="15">
        <f>IF($A153="","",IF(INDEX('潜水記録'!$O$5:$O$3004,$M153)="","",INDEX('潜水記録'!$O$5:$O$3004,$M153)))</f>
        <v/>
      </c>
      <c r="K153" s="15">
        <f>IF($A153="","",IF(INDEX('潜水記録'!$P$5:$P$3004,$M153)="","",INDEX('潜水記録'!$P$5:$P$3004,$M153)))</f>
        <v/>
      </c>
      <c r="L153" s="14">
        <f>IF($A153="","",IF(INDEX('潜水記録'!$Q$5:$Q$3004,$M153)="","",INDEX('潜水記録'!$Q$5:$Q$3004,$M153)))</f>
        <v/>
      </c>
      <c r="M153" s="20">
        <f>IF($A153="","",MATCH($A153,'潜水記録'!$AG$5:$AG$3004,0))</f>
        <v/>
      </c>
    </row>
    <row r="154">
      <c r="A154" s="15">
        <f>IF(145&lt;=$C$6,145,"")</f>
        <v/>
      </c>
      <c r="B154" s="16">
        <f>IF($A154="","",IF(INDEX('潜水記録'!$A$5:$A$3004,$M154)="","",INDEX('潜水記録'!$A$5:$A$3004,$M154)))</f>
        <v/>
      </c>
      <c r="C154" s="15">
        <f>IF($A154="","",IF(INDEX('潜水記録'!$D$5:$D$3004,$M154)="","",INDEX('潜水記録'!$D$5:$D$3004,$M154)))</f>
        <v/>
      </c>
      <c r="D154" s="14">
        <f>IF($A154="","",IF(INDEX('潜水記録'!$E$5:$E$3004,$M154)="","",INDEX('潜水記録'!$E$5:$E$3004,$M154)))</f>
        <v/>
      </c>
      <c r="E154" s="14">
        <f>IF($A154="","",IF(INDEX('潜水記録'!$F$5:$F$3004,$M154)="","",INDEX('潜水記録'!$F$5:$F$3004,$M154)))</f>
        <v/>
      </c>
      <c r="F154" s="15">
        <f>IF($A154="","",IF(INDEX('潜水記録'!$G$5:$G$3004,$M154)="","",INDEX('潜水記録'!$G$5:$G$3004,$M154)))</f>
        <v/>
      </c>
      <c r="G154" s="15">
        <f>IF($A154="","",IF(INDEX('潜水記録'!$H$5:$H$3004,$M154)="","",INDEX('潜水記録'!$H$5:$H$3004,$M154)))</f>
        <v/>
      </c>
      <c r="H154" s="15">
        <f>IF($A154="","",IF(INDEX('潜水記録'!$I$5:$I$3004,$M154)="","",INDEX('潜水記録'!$I$5:$I$3004,$M154)))</f>
        <v/>
      </c>
      <c r="I154" s="15">
        <f>IF($A154="","",IF(INDEX('潜水記録'!$X$5:$X$3004,$M154)="","",INDEX('潜水記録'!$X$5:$X$3004,$M154)))</f>
        <v/>
      </c>
      <c r="J154" s="15">
        <f>IF($A154="","",IF(INDEX('潜水記録'!$O$5:$O$3004,$M154)="","",INDEX('潜水記録'!$O$5:$O$3004,$M154)))</f>
        <v/>
      </c>
      <c r="K154" s="15">
        <f>IF($A154="","",IF(INDEX('潜水記録'!$P$5:$P$3004,$M154)="","",INDEX('潜水記録'!$P$5:$P$3004,$M154)))</f>
        <v/>
      </c>
      <c r="L154" s="14">
        <f>IF($A154="","",IF(INDEX('潜水記録'!$Q$5:$Q$3004,$M154)="","",INDEX('潜水記録'!$Q$5:$Q$3004,$M154)))</f>
        <v/>
      </c>
      <c r="M154" s="20">
        <f>IF($A154="","",MATCH($A154,'潜水記録'!$AG$5:$AG$3004,0))</f>
        <v/>
      </c>
    </row>
    <row r="155">
      <c r="A155" s="15">
        <f>IF(146&lt;=$C$6,146,"")</f>
        <v/>
      </c>
      <c r="B155" s="16">
        <f>IF($A155="","",IF(INDEX('潜水記録'!$A$5:$A$3004,$M155)="","",INDEX('潜水記録'!$A$5:$A$3004,$M155)))</f>
        <v/>
      </c>
      <c r="C155" s="15">
        <f>IF($A155="","",IF(INDEX('潜水記録'!$D$5:$D$3004,$M155)="","",INDEX('潜水記録'!$D$5:$D$3004,$M155)))</f>
        <v/>
      </c>
      <c r="D155" s="14">
        <f>IF($A155="","",IF(INDEX('潜水記録'!$E$5:$E$3004,$M155)="","",INDEX('潜水記録'!$E$5:$E$3004,$M155)))</f>
        <v/>
      </c>
      <c r="E155" s="14">
        <f>IF($A155="","",IF(INDEX('潜水記録'!$F$5:$F$3004,$M155)="","",INDEX('潜水記録'!$F$5:$F$3004,$M155)))</f>
        <v/>
      </c>
      <c r="F155" s="15">
        <f>IF($A155="","",IF(INDEX('潜水記録'!$G$5:$G$3004,$M155)="","",INDEX('潜水記録'!$G$5:$G$3004,$M155)))</f>
        <v/>
      </c>
      <c r="G155" s="15">
        <f>IF($A155="","",IF(INDEX('潜水記録'!$H$5:$H$3004,$M155)="","",INDEX('潜水記録'!$H$5:$H$3004,$M155)))</f>
        <v/>
      </c>
      <c r="H155" s="15">
        <f>IF($A155="","",IF(INDEX('潜水記録'!$I$5:$I$3004,$M155)="","",INDEX('潜水記録'!$I$5:$I$3004,$M155)))</f>
        <v/>
      </c>
      <c r="I155" s="15">
        <f>IF($A155="","",IF(INDEX('潜水記録'!$X$5:$X$3004,$M155)="","",INDEX('潜水記録'!$X$5:$X$3004,$M155)))</f>
        <v/>
      </c>
      <c r="J155" s="15">
        <f>IF($A155="","",IF(INDEX('潜水記録'!$O$5:$O$3004,$M155)="","",INDEX('潜水記録'!$O$5:$O$3004,$M155)))</f>
        <v/>
      </c>
      <c r="K155" s="15">
        <f>IF($A155="","",IF(INDEX('潜水記録'!$P$5:$P$3004,$M155)="","",INDEX('潜水記録'!$P$5:$P$3004,$M155)))</f>
        <v/>
      </c>
      <c r="L155" s="14">
        <f>IF($A155="","",IF(INDEX('潜水記録'!$Q$5:$Q$3004,$M155)="","",INDEX('潜水記録'!$Q$5:$Q$3004,$M155)))</f>
        <v/>
      </c>
      <c r="M155" s="20">
        <f>IF($A155="","",MATCH($A155,'潜水記録'!$AG$5:$AG$3004,0))</f>
        <v/>
      </c>
    </row>
    <row r="156">
      <c r="A156" s="15">
        <f>IF(147&lt;=$C$6,147,"")</f>
        <v/>
      </c>
      <c r="B156" s="16">
        <f>IF($A156="","",IF(INDEX('潜水記録'!$A$5:$A$3004,$M156)="","",INDEX('潜水記録'!$A$5:$A$3004,$M156)))</f>
        <v/>
      </c>
      <c r="C156" s="15">
        <f>IF($A156="","",IF(INDEX('潜水記録'!$D$5:$D$3004,$M156)="","",INDEX('潜水記録'!$D$5:$D$3004,$M156)))</f>
        <v/>
      </c>
      <c r="D156" s="14">
        <f>IF($A156="","",IF(INDEX('潜水記録'!$E$5:$E$3004,$M156)="","",INDEX('潜水記録'!$E$5:$E$3004,$M156)))</f>
        <v/>
      </c>
      <c r="E156" s="14">
        <f>IF($A156="","",IF(INDEX('潜水記録'!$F$5:$F$3004,$M156)="","",INDEX('潜水記録'!$F$5:$F$3004,$M156)))</f>
        <v/>
      </c>
      <c r="F156" s="15">
        <f>IF($A156="","",IF(INDEX('潜水記録'!$G$5:$G$3004,$M156)="","",INDEX('潜水記録'!$G$5:$G$3004,$M156)))</f>
        <v/>
      </c>
      <c r="G156" s="15">
        <f>IF($A156="","",IF(INDEX('潜水記録'!$H$5:$H$3004,$M156)="","",INDEX('潜水記録'!$H$5:$H$3004,$M156)))</f>
        <v/>
      </c>
      <c r="H156" s="15">
        <f>IF($A156="","",IF(INDEX('潜水記録'!$I$5:$I$3004,$M156)="","",INDEX('潜水記録'!$I$5:$I$3004,$M156)))</f>
        <v/>
      </c>
      <c r="I156" s="15">
        <f>IF($A156="","",IF(INDEX('潜水記録'!$X$5:$X$3004,$M156)="","",INDEX('潜水記録'!$X$5:$X$3004,$M156)))</f>
        <v/>
      </c>
      <c r="J156" s="15">
        <f>IF($A156="","",IF(INDEX('潜水記録'!$O$5:$O$3004,$M156)="","",INDEX('潜水記録'!$O$5:$O$3004,$M156)))</f>
        <v/>
      </c>
      <c r="K156" s="15">
        <f>IF($A156="","",IF(INDEX('潜水記録'!$P$5:$P$3004,$M156)="","",INDEX('潜水記録'!$P$5:$P$3004,$M156)))</f>
        <v/>
      </c>
      <c r="L156" s="14">
        <f>IF($A156="","",IF(INDEX('潜水記録'!$Q$5:$Q$3004,$M156)="","",INDEX('潜水記録'!$Q$5:$Q$3004,$M156)))</f>
        <v/>
      </c>
      <c r="M156" s="20">
        <f>IF($A156="","",MATCH($A156,'潜水記録'!$AG$5:$AG$3004,0))</f>
        <v/>
      </c>
    </row>
    <row r="157">
      <c r="A157" s="15">
        <f>IF(148&lt;=$C$6,148,"")</f>
        <v/>
      </c>
      <c r="B157" s="16">
        <f>IF($A157="","",IF(INDEX('潜水記録'!$A$5:$A$3004,$M157)="","",INDEX('潜水記録'!$A$5:$A$3004,$M157)))</f>
        <v/>
      </c>
      <c r="C157" s="15">
        <f>IF($A157="","",IF(INDEX('潜水記録'!$D$5:$D$3004,$M157)="","",INDEX('潜水記録'!$D$5:$D$3004,$M157)))</f>
        <v/>
      </c>
      <c r="D157" s="14">
        <f>IF($A157="","",IF(INDEX('潜水記録'!$E$5:$E$3004,$M157)="","",INDEX('潜水記録'!$E$5:$E$3004,$M157)))</f>
        <v/>
      </c>
      <c r="E157" s="14">
        <f>IF($A157="","",IF(INDEX('潜水記録'!$F$5:$F$3004,$M157)="","",INDEX('潜水記録'!$F$5:$F$3004,$M157)))</f>
        <v/>
      </c>
      <c r="F157" s="15">
        <f>IF($A157="","",IF(INDEX('潜水記録'!$G$5:$G$3004,$M157)="","",INDEX('潜水記録'!$G$5:$G$3004,$M157)))</f>
        <v/>
      </c>
      <c r="G157" s="15">
        <f>IF($A157="","",IF(INDEX('潜水記録'!$H$5:$H$3004,$M157)="","",INDEX('潜水記録'!$H$5:$H$3004,$M157)))</f>
        <v/>
      </c>
      <c r="H157" s="15">
        <f>IF($A157="","",IF(INDEX('潜水記録'!$I$5:$I$3004,$M157)="","",INDEX('潜水記録'!$I$5:$I$3004,$M157)))</f>
        <v/>
      </c>
      <c r="I157" s="15">
        <f>IF($A157="","",IF(INDEX('潜水記録'!$X$5:$X$3004,$M157)="","",INDEX('潜水記録'!$X$5:$X$3004,$M157)))</f>
        <v/>
      </c>
      <c r="J157" s="15">
        <f>IF($A157="","",IF(INDEX('潜水記録'!$O$5:$O$3004,$M157)="","",INDEX('潜水記録'!$O$5:$O$3004,$M157)))</f>
        <v/>
      </c>
      <c r="K157" s="15">
        <f>IF($A157="","",IF(INDEX('潜水記録'!$P$5:$P$3004,$M157)="","",INDEX('潜水記録'!$P$5:$P$3004,$M157)))</f>
        <v/>
      </c>
      <c r="L157" s="14">
        <f>IF($A157="","",IF(INDEX('潜水記録'!$Q$5:$Q$3004,$M157)="","",INDEX('潜水記録'!$Q$5:$Q$3004,$M157)))</f>
        <v/>
      </c>
      <c r="M157" s="20">
        <f>IF($A157="","",MATCH($A157,'潜水記録'!$AG$5:$AG$3004,0))</f>
        <v/>
      </c>
    </row>
    <row r="158">
      <c r="A158" s="15">
        <f>IF(149&lt;=$C$6,149,"")</f>
        <v/>
      </c>
      <c r="B158" s="16">
        <f>IF($A158="","",IF(INDEX('潜水記録'!$A$5:$A$3004,$M158)="","",INDEX('潜水記録'!$A$5:$A$3004,$M158)))</f>
        <v/>
      </c>
      <c r="C158" s="15">
        <f>IF($A158="","",IF(INDEX('潜水記録'!$D$5:$D$3004,$M158)="","",INDEX('潜水記録'!$D$5:$D$3004,$M158)))</f>
        <v/>
      </c>
      <c r="D158" s="14">
        <f>IF($A158="","",IF(INDEX('潜水記録'!$E$5:$E$3004,$M158)="","",INDEX('潜水記録'!$E$5:$E$3004,$M158)))</f>
        <v/>
      </c>
      <c r="E158" s="14">
        <f>IF($A158="","",IF(INDEX('潜水記録'!$F$5:$F$3004,$M158)="","",INDEX('潜水記録'!$F$5:$F$3004,$M158)))</f>
        <v/>
      </c>
      <c r="F158" s="15">
        <f>IF($A158="","",IF(INDEX('潜水記録'!$G$5:$G$3004,$M158)="","",INDEX('潜水記録'!$G$5:$G$3004,$M158)))</f>
        <v/>
      </c>
      <c r="G158" s="15">
        <f>IF($A158="","",IF(INDEX('潜水記録'!$H$5:$H$3004,$M158)="","",INDEX('潜水記録'!$H$5:$H$3004,$M158)))</f>
        <v/>
      </c>
      <c r="H158" s="15">
        <f>IF($A158="","",IF(INDEX('潜水記録'!$I$5:$I$3004,$M158)="","",INDEX('潜水記録'!$I$5:$I$3004,$M158)))</f>
        <v/>
      </c>
      <c r="I158" s="15">
        <f>IF($A158="","",IF(INDEX('潜水記録'!$X$5:$X$3004,$M158)="","",INDEX('潜水記録'!$X$5:$X$3004,$M158)))</f>
        <v/>
      </c>
      <c r="J158" s="15">
        <f>IF($A158="","",IF(INDEX('潜水記録'!$O$5:$O$3004,$M158)="","",INDEX('潜水記録'!$O$5:$O$3004,$M158)))</f>
        <v/>
      </c>
      <c r="K158" s="15">
        <f>IF($A158="","",IF(INDEX('潜水記録'!$P$5:$P$3004,$M158)="","",INDEX('潜水記録'!$P$5:$P$3004,$M158)))</f>
        <v/>
      </c>
      <c r="L158" s="14">
        <f>IF($A158="","",IF(INDEX('潜水記録'!$Q$5:$Q$3004,$M158)="","",INDEX('潜水記録'!$Q$5:$Q$3004,$M158)))</f>
        <v/>
      </c>
      <c r="M158" s="20">
        <f>IF($A158="","",MATCH($A158,'潜水記録'!$AG$5:$AG$3004,0))</f>
        <v/>
      </c>
    </row>
    <row r="159">
      <c r="A159" s="15">
        <f>IF(150&lt;=$C$6,150,"")</f>
        <v/>
      </c>
      <c r="B159" s="16">
        <f>IF($A159="","",IF(INDEX('潜水記録'!$A$5:$A$3004,$M159)="","",INDEX('潜水記録'!$A$5:$A$3004,$M159)))</f>
        <v/>
      </c>
      <c r="C159" s="15">
        <f>IF($A159="","",IF(INDEX('潜水記録'!$D$5:$D$3004,$M159)="","",INDEX('潜水記録'!$D$5:$D$3004,$M159)))</f>
        <v/>
      </c>
      <c r="D159" s="14">
        <f>IF($A159="","",IF(INDEX('潜水記録'!$E$5:$E$3004,$M159)="","",INDEX('潜水記録'!$E$5:$E$3004,$M159)))</f>
        <v/>
      </c>
      <c r="E159" s="14">
        <f>IF($A159="","",IF(INDEX('潜水記録'!$F$5:$F$3004,$M159)="","",INDEX('潜水記録'!$F$5:$F$3004,$M159)))</f>
        <v/>
      </c>
      <c r="F159" s="15">
        <f>IF($A159="","",IF(INDEX('潜水記録'!$G$5:$G$3004,$M159)="","",INDEX('潜水記録'!$G$5:$G$3004,$M159)))</f>
        <v/>
      </c>
      <c r="G159" s="15">
        <f>IF($A159="","",IF(INDEX('潜水記録'!$H$5:$H$3004,$M159)="","",INDEX('潜水記録'!$H$5:$H$3004,$M159)))</f>
        <v/>
      </c>
      <c r="H159" s="15">
        <f>IF($A159="","",IF(INDEX('潜水記録'!$I$5:$I$3004,$M159)="","",INDEX('潜水記録'!$I$5:$I$3004,$M159)))</f>
        <v/>
      </c>
      <c r="I159" s="15">
        <f>IF($A159="","",IF(INDEX('潜水記録'!$X$5:$X$3004,$M159)="","",INDEX('潜水記録'!$X$5:$X$3004,$M159)))</f>
        <v/>
      </c>
      <c r="J159" s="15">
        <f>IF($A159="","",IF(INDEX('潜水記録'!$O$5:$O$3004,$M159)="","",INDEX('潜水記録'!$O$5:$O$3004,$M159)))</f>
        <v/>
      </c>
      <c r="K159" s="15">
        <f>IF($A159="","",IF(INDEX('潜水記録'!$P$5:$P$3004,$M159)="","",INDEX('潜水記録'!$P$5:$P$3004,$M159)))</f>
        <v/>
      </c>
      <c r="L159" s="14">
        <f>IF($A159="","",IF(INDEX('潜水記録'!$Q$5:$Q$3004,$M159)="","",INDEX('潜水記録'!$Q$5:$Q$3004,$M159)))</f>
        <v/>
      </c>
      <c r="M159" s="20">
        <f>IF($A159="","",MATCH($A159,'潜水記録'!$AG$5:$AG$3004,0))</f>
        <v/>
      </c>
    </row>
    <row r="160">
      <c r="A160" s="15">
        <f>IF(151&lt;=$C$6,151,"")</f>
        <v/>
      </c>
      <c r="B160" s="16">
        <f>IF($A160="","",IF(INDEX('潜水記録'!$A$5:$A$3004,$M160)="","",INDEX('潜水記録'!$A$5:$A$3004,$M160)))</f>
        <v/>
      </c>
      <c r="C160" s="15">
        <f>IF($A160="","",IF(INDEX('潜水記録'!$D$5:$D$3004,$M160)="","",INDEX('潜水記録'!$D$5:$D$3004,$M160)))</f>
        <v/>
      </c>
      <c r="D160" s="14">
        <f>IF($A160="","",IF(INDEX('潜水記録'!$E$5:$E$3004,$M160)="","",INDEX('潜水記録'!$E$5:$E$3004,$M160)))</f>
        <v/>
      </c>
      <c r="E160" s="14">
        <f>IF($A160="","",IF(INDEX('潜水記録'!$F$5:$F$3004,$M160)="","",INDEX('潜水記録'!$F$5:$F$3004,$M160)))</f>
        <v/>
      </c>
      <c r="F160" s="15">
        <f>IF($A160="","",IF(INDEX('潜水記録'!$G$5:$G$3004,$M160)="","",INDEX('潜水記録'!$G$5:$G$3004,$M160)))</f>
        <v/>
      </c>
      <c r="G160" s="15">
        <f>IF($A160="","",IF(INDEX('潜水記録'!$H$5:$H$3004,$M160)="","",INDEX('潜水記録'!$H$5:$H$3004,$M160)))</f>
        <v/>
      </c>
      <c r="H160" s="15">
        <f>IF($A160="","",IF(INDEX('潜水記録'!$I$5:$I$3004,$M160)="","",INDEX('潜水記録'!$I$5:$I$3004,$M160)))</f>
        <v/>
      </c>
      <c r="I160" s="15">
        <f>IF($A160="","",IF(INDEX('潜水記録'!$X$5:$X$3004,$M160)="","",INDEX('潜水記録'!$X$5:$X$3004,$M160)))</f>
        <v/>
      </c>
      <c r="J160" s="15">
        <f>IF($A160="","",IF(INDEX('潜水記録'!$O$5:$O$3004,$M160)="","",INDEX('潜水記録'!$O$5:$O$3004,$M160)))</f>
        <v/>
      </c>
      <c r="K160" s="15">
        <f>IF($A160="","",IF(INDEX('潜水記録'!$P$5:$P$3004,$M160)="","",INDEX('潜水記録'!$P$5:$P$3004,$M160)))</f>
        <v/>
      </c>
      <c r="L160" s="14">
        <f>IF($A160="","",IF(INDEX('潜水記録'!$Q$5:$Q$3004,$M160)="","",INDEX('潜水記録'!$Q$5:$Q$3004,$M160)))</f>
        <v/>
      </c>
      <c r="M160" s="20">
        <f>IF($A160="","",MATCH($A160,'潜水記録'!$AG$5:$AG$3004,0))</f>
        <v/>
      </c>
    </row>
    <row r="161">
      <c r="A161" s="15">
        <f>IF(152&lt;=$C$6,152,"")</f>
        <v/>
      </c>
      <c r="B161" s="16">
        <f>IF($A161="","",IF(INDEX('潜水記録'!$A$5:$A$3004,$M161)="","",INDEX('潜水記録'!$A$5:$A$3004,$M161)))</f>
        <v/>
      </c>
      <c r="C161" s="15">
        <f>IF($A161="","",IF(INDEX('潜水記録'!$D$5:$D$3004,$M161)="","",INDEX('潜水記録'!$D$5:$D$3004,$M161)))</f>
        <v/>
      </c>
      <c r="D161" s="14">
        <f>IF($A161="","",IF(INDEX('潜水記録'!$E$5:$E$3004,$M161)="","",INDEX('潜水記録'!$E$5:$E$3004,$M161)))</f>
        <v/>
      </c>
      <c r="E161" s="14">
        <f>IF($A161="","",IF(INDEX('潜水記録'!$F$5:$F$3004,$M161)="","",INDEX('潜水記録'!$F$5:$F$3004,$M161)))</f>
        <v/>
      </c>
      <c r="F161" s="15">
        <f>IF($A161="","",IF(INDEX('潜水記録'!$G$5:$G$3004,$M161)="","",INDEX('潜水記録'!$G$5:$G$3004,$M161)))</f>
        <v/>
      </c>
      <c r="G161" s="15">
        <f>IF($A161="","",IF(INDEX('潜水記録'!$H$5:$H$3004,$M161)="","",INDEX('潜水記録'!$H$5:$H$3004,$M161)))</f>
        <v/>
      </c>
      <c r="H161" s="15">
        <f>IF($A161="","",IF(INDEX('潜水記録'!$I$5:$I$3004,$M161)="","",INDEX('潜水記録'!$I$5:$I$3004,$M161)))</f>
        <v/>
      </c>
      <c r="I161" s="15">
        <f>IF($A161="","",IF(INDEX('潜水記録'!$X$5:$X$3004,$M161)="","",INDEX('潜水記録'!$X$5:$X$3004,$M161)))</f>
        <v/>
      </c>
      <c r="J161" s="15">
        <f>IF($A161="","",IF(INDEX('潜水記録'!$O$5:$O$3004,$M161)="","",INDEX('潜水記録'!$O$5:$O$3004,$M161)))</f>
        <v/>
      </c>
      <c r="K161" s="15">
        <f>IF($A161="","",IF(INDEX('潜水記録'!$P$5:$P$3004,$M161)="","",INDEX('潜水記録'!$P$5:$P$3004,$M161)))</f>
        <v/>
      </c>
      <c r="L161" s="14">
        <f>IF($A161="","",IF(INDEX('潜水記録'!$Q$5:$Q$3004,$M161)="","",INDEX('潜水記録'!$Q$5:$Q$3004,$M161)))</f>
        <v/>
      </c>
      <c r="M161" s="20">
        <f>IF($A161="","",MATCH($A161,'潜水記録'!$AG$5:$AG$3004,0))</f>
        <v/>
      </c>
    </row>
    <row r="162">
      <c r="A162" s="15">
        <f>IF(153&lt;=$C$6,153,"")</f>
        <v/>
      </c>
      <c r="B162" s="16">
        <f>IF($A162="","",IF(INDEX('潜水記録'!$A$5:$A$3004,$M162)="","",INDEX('潜水記録'!$A$5:$A$3004,$M162)))</f>
        <v/>
      </c>
      <c r="C162" s="15">
        <f>IF($A162="","",IF(INDEX('潜水記録'!$D$5:$D$3004,$M162)="","",INDEX('潜水記録'!$D$5:$D$3004,$M162)))</f>
        <v/>
      </c>
      <c r="D162" s="14">
        <f>IF($A162="","",IF(INDEX('潜水記録'!$E$5:$E$3004,$M162)="","",INDEX('潜水記録'!$E$5:$E$3004,$M162)))</f>
        <v/>
      </c>
      <c r="E162" s="14">
        <f>IF($A162="","",IF(INDEX('潜水記録'!$F$5:$F$3004,$M162)="","",INDEX('潜水記録'!$F$5:$F$3004,$M162)))</f>
        <v/>
      </c>
      <c r="F162" s="15">
        <f>IF($A162="","",IF(INDEX('潜水記録'!$G$5:$G$3004,$M162)="","",INDEX('潜水記録'!$G$5:$G$3004,$M162)))</f>
        <v/>
      </c>
      <c r="G162" s="15">
        <f>IF($A162="","",IF(INDEX('潜水記録'!$H$5:$H$3004,$M162)="","",INDEX('潜水記録'!$H$5:$H$3004,$M162)))</f>
        <v/>
      </c>
      <c r="H162" s="15">
        <f>IF($A162="","",IF(INDEX('潜水記録'!$I$5:$I$3004,$M162)="","",INDEX('潜水記録'!$I$5:$I$3004,$M162)))</f>
        <v/>
      </c>
      <c r="I162" s="15">
        <f>IF($A162="","",IF(INDEX('潜水記録'!$X$5:$X$3004,$M162)="","",INDEX('潜水記録'!$X$5:$X$3004,$M162)))</f>
        <v/>
      </c>
      <c r="J162" s="15">
        <f>IF($A162="","",IF(INDEX('潜水記録'!$O$5:$O$3004,$M162)="","",INDEX('潜水記録'!$O$5:$O$3004,$M162)))</f>
        <v/>
      </c>
      <c r="K162" s="15">
        <f>IF($A162="","",IF(INDEX('潜水記録'!$P$5:$P$3004,$M162)="","",INDEX('潜水記録'!$P$5:$P$3004,$M162)))</f>
        <v/>
      </c>
      <c r="L162" s="14">
        <f>IF($A162="","",IF(INDEX('潜水記録'!$Q$5:$Q$3004,$M162)="","",INDEX('潜水記録'!$Q$5:$Q$3004,$M162)))</f>
        <v/>
      </c>
      <c r="M162" s="20">
        <f>IF($A162="","",MATCH($A162,'潜水記録'!$AG$5:$AG$3004,0))</f>
        <v/>
      </c>
    </row>
    <row r="163">
      <c r="A163" s="15">
        <f>IF(154&lt;=$C$6,154,"")</f>
        <v/>
      </c>
      <c r="B163" s="16">
        <f>IF($A163="","",IF(INDEX('潜水記録'!$A$5:$A$3004,$M163)="","",INDEX('潜水記録'!$A$5:$A$3004,$M163)))</f>
        <v/>
      </c>
      <c r="C163" s="15">
        <f>IF($A163="","",IF(INDEX('潜水記録'!$D$5:$D$3004,$M163)="","",INDEX('潜水記録'!$D$5:$D$3004,$M163)))</f>
        <v/>
      </c>
      <c r="D163" s="14">
        <f>IF($A163="","",IF(INDEX('潜水記録'!$E$5:$E$3004,$M163)="","",INDEX('潜水記録'!$E$5:$E$3004,$M163)))</f>
        <v/>
      </c>
      <c r="E163" s="14">
        <f>IF($A163="","",IF(INDEX('潜水記録'!$F$5:$F$3004,$M163)="","",INDEX('潜水記録'!$F$5:$F$3004,$M163)))</f>
        <v/>
      </c>
      <c r="F163" s="15">
        <f>IF($A163="","",IF(INDEX('潜水記録'!$G$5:$G$3004,$M163)="","",INDEX('潜水記録'!$G$5:$G$3004,$M163)))</f>
        <v/>
      </c>
      <c r="G163" s="15">
        <f>IF($A163="","",IF(INDEX('潜水記録'!$H$5:$H$3004,$M163)="","",INDEX('潜水記録'!$H$5:$H$3004,$M163)))</f>
        <v/>
      </c>
      <c r="H163" s="15">
        <f>IF($A163="","",IF(INDEX('潜水記録'!$I$5:$I$3004,$M163)="","",INDEX('潜水記録'!$I$5:$I$3004,$M163)))</f>
        <v/>
      </c>
      <c r="I163" s="15">
        <f>IF($A163="","",IF(INDEX('潜水記録'!$X$5:$X$3004,$M163)="","",INDEX('潜水記録'!$X$5:$X$3004,$M163)))</f>
        <v/>
      </c>
      <c r="J163" s="15">
        <f>IF($A163="","",IF(INDEX('潜水記録'!$O$5:$O$3004,$M163)="","",INDEX('潜水記録'!$O$5:$O$3004,$M163)))</f>
        <v/>
      </c>
      <c r="K163" s="15">
        <f>IF($A163="","",IF(INDEX('潜水記録'!$P$5:$P$3004,$M163)="","",INDEX('潜水記録'!$P$5:$P$3004,$M163)))</f>
        <v/>
      </c>
      <c r="L163" s="14">
        <f>IF($A163="","",IF(INDEX('潜水記録'!$Q$5:$Q$3004,$M163)="","",INDEX('潜水記録'!$Q$5:$Q$3004,$M163)))</f>
        <v/>
      </c>
      <c r="M163" s="20">
        <f>IF($A163="","",MATCH($A163,'潜水記録'!$AG$5:$AG$3004,0))</f>
        <v/>
      </c>
    </row>
    <row r="164">
      <c r="A164" s="15">
        <f>IF(155&lt;=$C$6,155,"")</f>
        <v/>
      </c>
      <c r="B164" s="16">
        <f>IF($A164="","",IF(INDEX('潜水記録'!$A$5:$A$3004,$M164)="","",INDEX('潜水記録'!$A$5:$A$3004,$M164)))</f>
        <v/>
      </c>
      <c r="C164" s="15">
        <f>IF($A164="","",IF(INDEX('潜水記録'!$D$5:$D$3004,$M164)="","",INDEX('潜水記録'!$D$5:$D$3004,$M164)))</f>
        <v/>
      </c>
      <c r="D164" s="14">
        <f>IF($A164="","",IF(INDEX('潜水記録'!$E$5:$E$3004,$M164)="","",INDEX('潜水記録'!$E$5:$E$3004,$M164)))</f>
        <v/>
      </c>
      <c r="E164" s="14">
        <f>IF($A164="","",IF(INDEX('潜水記録'!$F$5:$F$3004,$M164)="","",INDEX('潜水記録'!$F$5:$F$3004,$M164)))</f>
        <v/>
      </c>
      <c r="F164" s="15">
        <f>IF($A164="","",IF(INDEX('潜水記録'!$G$5:$G$3004,$M164)="","",INDEX('潜水記録'!$G$5:$G$3004,$M164)))</f>
        <v/>
      </c>
      <c r="G164" s="15">
        <f>IF($A164="","",IF(INDEX('潜水記録'!$H$5:$H$3004,$M164)="","",INDEX('潜水記録'!$H$5:$H$3004,$M164)))</f>
        <v/>
      </c>
      <c r="H164" s="15">
        <f>IF($A164="","",IF(INDEX('潜水記録'!$I$5:$I$3004,$M164)="","",INDEX('潜水記録'!$I$5:$I$3004,$M164)))</f>
        <v/>
      </c>
      <c r="I164" s="15">
        <f>IF($A164="","",IF(INDEX('潜水記録'!$X$5:$X$3004,$M164)="","",INDEX('潜水記録'!$X$5:$X$3004,$M164)))</f>
        <v/>
      </c>
      <c r="J164" s="15">
        <f>IF($A164="","",IF(INDEX('潜水記録'!$O$5:$O$3004,$M164)="","",INDEX('潜水記録'!$O$5:$O$3004,$M164)))</f>
        <v/>
      </c>
      <c r="K164" s="15">
        <f>IF($A164="","",IF(INDEX('潜水記録'!$P$5:$P$3004,$M164)="","",INDEX('潜水記録'!$P$5:$P$3004,$M164)))</f>
        <v/>
      </c>
      <c r="L164" s="14">
        <f>IF($A164="","",IF(INDEX('潜水記録'!$Q$5:$Q$3004,$M164)="","",INDEX('潜水記録'!$Q$5:$Q$3004,$M164)))</f>
        <v/>
      </c>
      <c r="M164" s="20">
        <f>IF($A164="","",MATCH($A164,'潜水記録'!$AG$5:$AG$3004,0))</f>
        <v/>
      </c>
    </row>
    <row r="165">
      <c r="A165" s="15">
        <f>IF(156&lt;=$C$6,156,"")</f>
        <v/>
      </c>
      <c r="B165" s="16">
        <f>IF($A165="","",IF(INDEX('潜水記録'!$A$5:$A$3004,$M165)="","",INDEX('潜水記録'!$A$5:$A$3004,$M165)))</f>
        <v/>
      </c>
      <c r="C165" s="15">
        <f>IF($A165="","",IF(INDEX('潜水記録'!$D$5:$D$3004,$M165)="","",INDEX('潜水記録'!$D$5:$D$3004,$M165)))</f>
        <v/>
      </c>
      <c r="D165" s="14">
        <f>IF($A165="","",IF(INDEX('潜水記録'!$E$5:$E$3004,$M165)="","",INDEX('潜水記録'!$E$5:$E$3004,$M165)))</f>
        <v/>
      </c>
      <c r="E165" s="14">
        <f>IF($A165="","",IF(INDEX('潜水記録'!$F$5:$F$3004,$M165)="","",INDEX('潜水記録'!$F$5:$F$3004,$M165)))</f>
        <v/>
      </c>
      <c r="F165" s="15">
        <f>IF($A165="","",IF(INDEX('潜水記録'!$G$5:$G$3004,$M165)="","",INDEX('潜水記録'!$G$5:$G$3004,$M165)))</f>
        <v/>
      </c>
      <c r="G165" s="15">
        <f>IF($A165="","",IF(INDEX('潜水記録'!$H$5:$H$3004,$M165)="","",INDEX('潜水記録'!$H$5:$H$3004,$M165)))</f>
        <v/>
      </c>
      <c r="H165" s="15">
        <f>IF($A165="","",IF(INDEX('潜水記録'!$I$5:$I$3004,$M165)="","",INDEX('潜水記録'!$I$5:$I$3004,$M165)))</f>
        <v/>
      </c>
      <c r="I165" s="15">
        <f>IF($A165="","",IF(INDEX('潜水記録'!$X$5:$X$3004,$M165)="","",INDEX('潜水記録'!$X$5:$X$3004,$M165)))</f>
        <v/>
      </c>
      <c r="J165" s="15">
        <f>IF($A165="","",IF(INDEX('潜水記録'!$O$5:$O$3004,$M165)="","",INDEX('潜水記録'!$O$5:$O$3004,$M165)))</f>
        <v/>
      </c>
      <c r="K165" s="15">
        <f>IF($A165="","",IF(INDEX('潜水記録'!$P$5:$P$3004,$M165)="","",INDEX('潜水記録'!$P$5:$P$3004,$M165)))</f>
        <v/>
      </c>
      <c r="L165" s="14">
        <f>IF($A165="","",IF(INDEX('潜水記録'!$Q$5:$Q$3004,$M165)="","",INDEX('潜水記録'!$Q$5:$Q$3004,$M165)))</f>
        <v/>
      </c>
      <c r="M165" s="20">
        <f>IF($A165="","",MATCH($A165,'潜水記録'!$AG$5:$AG$3004,0))</f>
        <v/>
      </c>
    </row>
    <row r="166">
      <c r="A166" s="15">
        <f>IF(157&lt;=$C$6,157,"")</f>
        <v/>
      </c>
      <c r="B166" s="16">
        <f>IF($A166="","",IF(INDEX('潜水記録'!$A$5:$A$3004,$M166)="","",INDEX('潜水記録'!$A$5:$A$3004,$M166)))</f>
        <v/>
      </c>
      <c r="C166" s="15">
        <f>IF($A166="","",IF(INDEX('潜水記録'!$D$5:$D$3004,$M166)="","",INDEX('潜水記録'!$D$5:$D$3004,$M166)))</f>
        <v/>
      </c>
      <c r="D166" s="14">
        <f>IF($A166="","",IF(INDEX('潜水記録'!$E$5:$E$3004,$M166)="","",INDEX('潜水記録'!$E$5:$E$3004,$M166)))</f>
        <v/>
      </c>
      <c r="E166" s="14">
        <f>IF($A166="","",IF(INDEX('潜水記録'!$F$5:$F$3004,$M166)="","",INDEX('潜水記録'!$F$5:$F$3004,$M166)))</f>
        <v/>
      </c>
      <c r="F166" s="15">
        <f>IF($A166="","",IF(INDEX('潜水記録'!$G$5:$G$3004,$M166)="","",INDEX('潜水記録'!$G$5:$G$3004,$M166)))</f>
        <v/>
      </c>
      <c r="G166" s="15">
        <f>IF($A166="","",IF(INDEX('潜水記録'!$H$5:$H$3004,$M166)="","",INDEX('潜水記録'!$H$5:$H$3004,$M166)))</f>
        <v/>
      </c>
      <c r="H166" s="15">
        <f>IF($A166="","",IF(INDEX('潜水記録'!$I$5:$I$3004,$M166)="","",INDEX('潜水記録'!$I$5:$I$3004,$M166)))</f>
        <v/>
      </c>
      <c r="I166" s="15">
        <f>IF($A166="","",IF(INDEX('潜水記録'!$X$5:$X$3004,$M166)="","",INDEX('潜水記録'!$X$5:$X$3004,$M166)))</f>
        <v/>
      </c>
      <c r="J166" s="15">
        <f>IF($A166="","",IF(INDEX('潜水記録'!$O$5:$O$3004,$M166)="","",INDEX('潜水記録'!$O$5:$O$3004,$M166)))</f>
        <v/>
      </c>
      <c r="K166" s="15">
        <f>IF($A166="","",IF(INDEX('潜水記録'!$P$5:$P$3004,$M166)="","",INDEX('潜水記録'!$P$5:$P$3004,$M166)))</f>
        <v/>
      </c>
      <c r="L166" s="14">
        <f>IF($A166="","",IF(INDEX('潜水記録'!$Q$5:$Q$3004,$M166)="","",INDEX('潜水記録'!$Q$5:$Q$3004,$M166)))</f>
        <v/>
      </c>
      <c r="M166" s="20">
        <f>IF($A166="","",MATCH($A166,'潜水記録'!$AG$5:$AG$3004,0))</f>
        <v/>
      </c>
    </row>
    <row r="167">
      <c r="A167" s="15">
        <f>IF(158&lt;=$C$6,158,"")</f>
        <v/>
      </c>
      <c r="B167" s="16">
        <f>IF($A167="","",IF(INDEX('潜水記録'!$A$5:$A$3004,$M167)="","",INDEX('潜水記録'!$A$5:$A$3004,$M167)))</f>
        <v/>
      </c>
      <c r="C167" s="15">
        <f>IF($A167="","",IF(INDEX('潜水記録'!$D$5:$D$3004,$M167)="","",INDEX('潜水記録'!$D$5:$D$3004,$M167)))</f>
        <v/>
      </c>
      <c r="D167" s="14">
        <f>IF($A167="","",IF(INDEX('潜水記録'!$E$5:$E$3004,$M167)="","",INDEX('潜水記録'!$E$5:$E$3004,$M167)))</f>
        <v/>
      </c>
      <c r="E167" s="14">
        <f>IF($A167="","",IF(INDEX('潜水記録'!$F$5:$F$3004,$M167)="","",INDEX('潜水記録'!$F$5:$F$3004,$M167)))</f>
        <v/>
      </c>
      <c r="F167" s="15">
        <f>IF($A167="","",IF(INDEX('潜水記録'!$G$5:$G$3004,$M167)="","",INDEX('潜水記録'!$G$5:$G$3004,$M167)))</f>
        <v/>
      </c>
      <c r="G167" s="15">
        <f>IF($A167="","",IF(INDEX('潜水記録'!$H$5:$H$3004,$M167)="","",INDEX('潜水記録'!$H$5:$H$3004,$M167)))</f>
        <v/>
      </c>
      <c r="H167" s="15">
        <f>IF($A167="","",IF(INDEX('潜水記録'!$I$5:$I$3004,$M167)="","",INDEX('潜水記録'!$I$5:$I$3004,$M167)))</f>
        <v/>
      </c>
      <c r="I167" s="15">
        <f>IF($A167="","",IF(INDEX('潜水記録'!$X$5:$X$3004,$M167)="","",INDEX('潜水記録'!$X$5:$X$3004,$M167)))</f>
        <v/>
      </c>
      <c r="J167" s="15">
        <f>IF($A167="","",IF(INDEX('潜水記録'!$O$5:$O$3004,$M167)="","",INDEX('潜水記録'!$O$5:$O$3004,$M167)))</f>
        <v/>
      </c>
      <c r="K167" s="15">
        <f>IF($A167="","",IF(INDEX('潜水記録'!$P$5:$P$3004,$M167)="","",INDEX('潜水記録'!$P$5:$P$3004,$M167)))</f>
        <v/>
      </c>
      <c r="L167" s="14">
        <f>IF($A167="","",IF(INDEX('潜水記録'!$Q$5:$Q$3004,$M167)="","",INDEX('潜水記録'!$Q$5:$Q$3004,$M167)))</f>
        <v/>
      </c>
      <c r="M167" s="20">
        <f>IF($A167="","",MATCH($A167,'潜水記録'!$AG$5:$AG$3004,0))</f>
        <v/>
      </c>
    </row>
    <row r="168">
      <c r="A168" s="15">
        <f>IF(159&lt;=$C$6,159,"")</f>
        <v/>
      </c>
      <c r="B168" s="16">
        <f>IF($A168="","",IF(INDEX('潜水記録'!$A$5:$A$3004,$M168)="","",INDEX('潜水記録'!$A$5:$A$3004,$M168)))</f>
        <v/>
      </c>
      <c r="C168" s="15">
        <f>IF($A168="","",IF(INDEX('潜水記録'!$D$5:$D$3004,$M168)="","",INDEX('潜水記録'!$D$5:$D$3004,$M168)))</f>
        <v/>
      </c>
      <c r="D168" s="14">
        <f>IF($A168="","",IF(INDEX('潜水記録'!$E$5:$E$3004,$M168)="","",INDEX('潜水記録'!$E$5:$E$3004,$M168)))</f>
        <v/>
      </c>
      <c r="E168" s="14">
        <f>IF($A168="","",IF(INDEX('潜水記録'!$F$5:$F$3004,$M168)="","",INDEX('潜水記録'!$F$5:$F$3004,$M168)))</f>
        <v/>
      </c>
      <c r="F168" s="15">
        <f>IF($A168="","",IF(INDEX('潜水記録'!$G$5:$G$3004,$M168)="","",INDEX('潜水記録'!$G$5:$G$3004,$M168)))</f>
        <v/>
      </c>
      <c r="G168" s="15">
        <f>IF($A168="","",IF(INDEX('潜水記録'!$H$5:$H$3004,$M168)="","",INDEX('潜水記録'!$H$5:$H$3004,$M168)))</f>
        <v/>
      </c>
      <c r="H168" s="15">
        <f>IF($A168="","",IF(INDEX('潜水記録'!$I$5:$I$3004,$M168)="","",INDEX('潜水記録'!$I$5:$I$3004,$M168)))</f>
        <v/>
      </c>
      <c r="I168" s="15">
        <f>IF($A168="","",IF(INDEX('潜水記録'!$X$5:$X$3004,$M168)="","",INDEX('潜水記録'!$X$5:$X$3004,$M168)))</f>
        <v/>
      </c>
      <c r="J168" s="15">
        <f>IF($A168="","",IF(INDEX('潜水記録'!$O$5:$O$3004,$M168)="","",INDEX('潜水記録'!$O$5:$O$3004,$M168)))</f>
        <v/>
      </c>
      <c r="K168" s="15">
        <f>IF($A168="","",IF(INDEX('潜水記録'!$P$5:$P$3004,$M168)="","",INDEX('潜水記録'!$P$5:$P$3004,$M168)))</f>
        <v/>
      </c>
      <c r="L168" s="14">
        <f>IF($A168="","",IF(INDEX('潜水記録'!$Q$5:$Q$3004,$M168)="","",INDEX('潜水記録'!$Q$5:$Q$3004,$M168)))</f>
        <v/>
      </c>
      <c r="M168" s="20">
        <f>IF($A168="","",MATCH($A168,'潜水記録'!$AG$5:$AG$3004,0))</f>
        <v/>
      </c>
    </row>
    <row r="169">
      <c r="A169" s="15">
        <f>IF(160&lt;=$C$6,160,"")</f>
        <v/>
      </c>
      <c r="B169" s="16">
        <f>IF($A169="","",IF(INDEX('潜水記録'!$A$5:$A$3004,$M169)="","",INDEX('潜水記録'!$A$5:$A$3004,$M169)))</f>
        <v/>
      </c>
      <c r="C169" s="15">
        <f>IF($A169="","",IF(INDEX('潜水記録'!$D$5:$D$3004,$M169)="","",INDEX('潜水記録'!$D$5:$D$3004,$M169)))</f>
        <v/>
      </c>
      <c r="D169" s="14">
        <f>IF($A169="","",IF(INDEX('潜水記録'!$E$5:$E$3004,$M169)="","",INDEX('潜水記録'!$E$5:$E$3004,$M169)))</f>
        <v/>
      </c>
      <c r="E169" s="14">
        <f>IF($A169="","",IF(INDEX('潜水記録'!$F$5:$F$3004,$M169)="","",INDEX('潜水記録'!$F$5:$F$3004,$M169)))</f>
        <v/>
      </c>
      <c r="F169" s="15">
        <f>IF($A169="","",IF(INDEX('潜水記録'!$G$5:$G$3004,$M169)="","",INDEX('潜水記録'!$G$5:$G$3004,$M169)))</f>
        <v/>
      </c>
      <c r="G169" s="15">
        <f>IF($A169="","",IF(INDEX('潜水記録'!$H$5:$H$3004,$M169)="","",INDEX('潜水記録'!$H$5:$H$3004,$M169)))</f>
        <v/>
      </c>
      <c r="H169" s="15">
        <f>IF($A169="","",IF(INDEX('潜水記録'!$I$5:$I$3004,$M169)="","",INDEX('潜水記録'!$I$5:$I$3004,$M169)))</f>
        <v/>
      </c>
      <c r="I169" s="15">
        <f>IF($A169="","",IF(INDEX('潜水記録'!$X$5:$X$3004,$M169)="","",INDEX('潜水記録'!$X$5:$X$3004,$M169)))</f>
        <v/>
      </c>
      <c r="J169" s="15">
        <f>IF($A169="","",IF(INDEX('潜水記録'!$O$5:$O$3004,$M169)="","",INDEX('潜水記録'!$O$5:$O$3004,$M169)))</f>
        <v/>
      </c>
      <c r="K169" s="15">
        <f>IF($A169="","",IF(INDEX('潜水記録'!$P$5:$P$3004,$M169)="","",INDEX('潜水記録'!$P$5:$P$3004,$M169)))</f>
        <v/>
      </c>
      <c r="L169" s="14">
        <f>IF($A169="","",IF(INDEX('潜水記録'!$Q$5:$Q$3004,$M169)="","",INDEX('潜水記録'!$Q$5:$Q$3004,$M169)))</f>
        <v/>
      </c>
      <c r="M169" s="20">
        <f>IF($A169="","",MATCH($A169,'潜水記録'!$AG$5:$AG$3004,0))</f>
        <v/>
      </c>
    </row>
    <row r="170">
      <c r="A170" s="15">
        <f>IF(161&lt;=$C$6,161,"")</f>
        <v/>
      </c>
      <c r="B170" s="16">
        <f>IF($A170="","",IF(INDEX('潜水記録'!$A$5:$A$3004,$M170)="","",INDEX('潜水記録'!$A$5:$A$3004,$M170)))</f>
        <v/>
      </c>
      <c r="C170" s="15">
        <f>IF($A170="","",IF(INDEX('潜水記録'!$D$5:$D$3004,$M170)="","",INDEX('潜水記録'!$D$5:$D$3004,$M170)))</f>
        <v/>
      </c>
      <c r="D170" s="14">
        <f>IF($A170="","",IF(INDEX('潜水記録'!$E$5:$E$3004,$M170)="","",INDEX('潜水記録'!$E$5:$E$3004,$M170)))</f>
        <v/>
      </c>
      <c r="E170" s="14">
        <f>IF($A170="","",IF(INDEX('潜水記録'!$F$5:$F$3004,$M170)="","",INDEX('潜水記録'!$F$5:$F$3004,$M170)))</f>
        <v/>
      </c>
      <c r="F170" s="15">
        <f>IF($A170="","",IF(INDEX('潜水記録'!$G$5:$G$3004,$M170)="","",INDEX('潜水記録'!$G$5:$G$3004,$M170)))</f>
        <v/>
      </c>
      <c r="G170" s="15">
        <f>IF($A170="","",IF(INDEX('潜水記録'!$H$5:$H$3004,$M170)="","",INDEX('潜水記録'!$H$5:$H$3004,$M170)))</f>
        <v/>
      </c>
      <c r="H170" s="15">
        <f>IF($A170="","",IF(INDEX('潜水記録'!$I$5:$I$3004,$M170)="","",INDEX('潜水記録'!$I$5:$I$3004,$M170)))</f>
        <v/>
      </c>
      <c r="I170" s="15">
        <f>IF($A170="","",IF(INDEX('潜水記録'!$X$5:$X$3004,$M170)="","",INDEX('潜水記録'!$X$5:$X$3004,$M170)))</f>
        <v/>
      </c>
      <c r="J170" s="15">
        <f>IF($A170="","",IF(INDEX('潜水記録'!$O$5:$O$3004,$M170)="","",INDEX('潜水記録'!$O$5:$O$3004,$M170)))</f>
        <v/>
      </c>
      <c r="K170" s="15">
        <f>IF($A170="","",IF(INDEX('潜水記録'!$P$5:$P$3004,$M170)="","",INDEX('潜水記録'!$P$5:$P$3004,$M170)))</f>
        <v/>
      </c>
      <c r="L170" s="14">
        <f>IF($A170="","",IF(INDEX('潜水記録'!$Q$5:$Q$3004,$M170)="","",INDEX('潜水記録'!$Q$5:$Q$3004,$M170)))</f>
        <v/>
      </c>
      <c r="M170" s="20">
        <f>IF($A170="","",MATCH($A170,'潜水記録'!$AG$5:$AG$3004,0))</f>
        <v/>
      </c>
    </row>
    <row r="171">
      <c r="A171" s="15">
        <f>IF(162&lt;=$C$6,162,"")</f>
        <v/>
      </c>
      <c r="B171" s="16">
        <f>IF($A171="","",IF(INDEX('潜水記録'!$A$5:$A$3004,$M171)="","",INDEX('潜水記録'!$A$5:$A$3004,$M171)))</f>
        <v/>
      </c>
      <c r="C171" s="15">
        <f>IF($A171="","",IF(INDEX('潜水記録'!$D$5:$D$3004,$M171)="","",INDEX('潜水記録'!$D$5:$D$3004,$M171)))</f>
        <v/>
      </c>
      <c r="D171" s="14">
        <f>IF($A171="","",IF(INDEX('潜水記録'!$E$5:$E$3004,$M171)="","",INDEX('潜水記録'!$E$5:$E$3004,$M171)))</f>
        <v/>
      </c>
      <c r="E171" s="14">
        <f>IF($A171="","",IF(INDEX('潜水記録'!$F$5:$F$3004,$M171)="","",INDEX('潜水記録'!$F$5:$F$3004,$M171)))</f>
        <v/>
      </c>
      <c r="F171" s="15">
        <f>IF($A171="","",IF(INDEX('潜水記録'!$G$5:$G$3004,$M171)="","",INDEX('潜水記録'!$G$5:$G$3004,$M171)))</f>
        <v/>
      </c>
      <c r="G171" s="15">
        <f>IF($A171="","",IF(INDEX('潜水記録'!$H$5:$H$3004,$M171)="","",INDEX('潜水記録'!$H$5:$H$3004,$M171)))</f>
        <v/>
      </c>
      <c r="H171" s="15">
        <f>IF($A171="","",IF(INDEX('潜水記録'!$I$5:$I$3004,$M171)="","",INDEX('潜水記録'!$I$5:$I$3004,$M171)))</f>
        <v/>
      </c>
      <c r="I171" s="15">
        <f>IF($A171="","",IF(INDEX('潜水記録'!$X$5:$X$3004,$M171)="","",INDEX('潜水記録'!$X$5:$X$3004,$M171)))</f>
        <v/>
      </c>
      <c r="J171" s="15">
        <f>IF($A171="","",IF(INDEX('潜水記録'!$O$5:$O$3004,$M171)="","",INDEX('潜水記録'!$O$5:$O$3004,$M171)))</f>
        <v/>
      </c>
      <c r="K171" s="15">
        <f>IF($A171="","",IF(INDEX('潜水記録'!$P$5:$P$3004,$M171)="","",INDEX('潜水記録'!$P$5:$P$3004,$M171)))</f>
        <v/>
      </c>
      <c r="L171" s="14">
        <f>IF($A171="","",IF(INDEX('潜水記録'!$Q$5:$Q$3004,$M171)="","",INDEX('潜水記録'!$Q$5:$Q$3004,$M171)))</f>
        <v/>
      </c>
      <c r="M171" s="20">
        <f>IF($A171="","",MATCH($A171,'潜水記録'!$AG$5:$AG$3004,0))</f>
        <v/>
      </c>
    </row>
    <row r="172">
      <c r="A172" s="15">
        <f>IF(163&lt;=$C$6,163,"")</f>
        <v/>
      </c>
      <c r="B172" s="16">
        <f>IF($A172="","",IF(INDEX('潜水記録'!$A$5:$A$3004,$M172)="","",INDEX('潜水記録'!$A$5:$A$3004,$M172)))</f>
        <v/>
      </c>
      <c r="C172" s="15">
        <f>IF($A172="","",IF(INDEX('潜水記録'!$D$5:$D$3004,$M172)="","",INDEX('潜水記録'!$D$5:$D$3004,$M172)))</f>
        <v/>
      </c>
      <c r="D172" s="14">
        <f>IF($A172="","",IF(INDEX('潜水記録'!$E$5:$E$3004,$M172)="","",INDEX('潜水記録'!$E$5:$E$3004,$M172)))</f>
        <v/>
      </c>
      <c r="E172" s="14">
        <f>IF($A172="","",IF(INDEX('潜水記録'!$F$5:$F$3004,$M172)="","",INDEX('潜水記録'!$F$5:$F$3004,$M172)))</f>
        <v/>
      </c>
      <c r="F172" s="15">
        <f>IF($A172="","",IF(INDEX('潜水記録'!$G$5:$G$3004,$M172)="","",INDEX('潜水記録'!$G$5:$G$3004,$M172)))</f>
        <v/>
      </c>
      <c r="G172" s="15">
        <f>IF($A172="","",IF(INDEX('潜水記録'!$H$5:$H$3004,$M172)="","",INDEX('潜水記録'!$H$5:$H$3004,$M172)))</f>
        <v/>
      </c>
      <c r="H172" s="15">
        <f>IF($A172="","",IF(INDEX('潜水記録'!$I$5:$I$3004,$M172)="","",INDEX('潜水記録'!$I$5:$I$3004,$M172)))</f>
        <v/>
      </c>
      <c r="I172" s="15">
        <f>IF($A172="","",IF(INDEX('潜水記録'!$X$5:$X$3004,$M172)="","",INDEX('潜水記録'!$X$5:$X$3004,$M172)))</f>
        <v/>
      </c>
      <c r="J172" s="15">
        <f>IF($A172="","",IF(INDEX('潜水記録'!$O$5:$O$3004,$M172)="","",INDEX('潜水記録'!$O$5:$O$3004,$M172)))</f>
        <v/>
      </c>
      <c r="K172" s="15">
        <f>IF($A172="","",IF(INDEX('潜水記録'!$P$5:$P$3004,$M172)="","",INDEX('潜水記録'!$P$5:$P$3004,$M172)))</f>
        <v/>
      </c>
      <c r="L172" s="14">
        <f>IF($A172="","",IF(INDEX('潜水記録'!$Q$5:$Q$3004,$M172)="","",INDEX('潜水記録'!$Q$5:$Q$3004,$M172)))</f>
        <v/>
      </c>
      <c r="M172" s="20">
        <f>IF($A172="","",MATCH($A172,'潜水記録'!$AG$5:$AG$3004,0))</f>
        <v/>
      </c>
    </row>
    <row r="173">
      <c r="A173" s="15">
        <f>IF(164&lt;=$C$6,164,"")</f>
        <v/>
      </c>
      <c r="B173" s="16">
        <f>IF($A173="","",IF(INDEX('潜水記録'!$A$5:$A$3004,$M173)="","",INDEX('潜水記録'!$A$5:$A$3004,$M173)))</f>
        <v/>
      </c>
      <c r="C173" s="15">
        <f>IF($A173="","",IF(INDEX('潜水記録'!$D$5:$D$3004,$M173)="","",INDEX('潜水記録'!$D$5:$D$3004,$M173)))</f>
        <v/>
      </c>
      <c r="D173" s="14">
        <f>IF($A173="","",IF(INDEX('潜水記録'!$E$5:$E$3004,$M173)="","",INDEX('潜水記録'!$E$5:$E$3004,$M173)))</f>
        <v/>
      </c>
      <c r="E173" s="14">
        <f>IF($A173="","",IF(INDEX('潜水記録'!$F$5:$F$3004,$M173)="","",INDEX('潜水記録'!$F$5:$F$3004,$M173)))</f>
        <v/>
      </c>
      <c r="F173" s="15">
        <f>IF($A173="","",IF(INDEX('潜水記録'!$G$5:$G$3004,$M173)="","",INDEX('潜水記録'!$G$5:$G$3004,$M173)))</f>
        <v/>
      </c>
      <c r="G173" s="15">
        <f>IF($A173="","",IF(INDEX('潜水記録'!$H$5:$H$3004,$M173)="","",INDEX('潜水記録'!$H$5:$H$3004,$M173)))</f>
        <v/>
      </c>
      <c r="H173" s="15">
        <f>IF($A173="","",IF(INDEX('潜水記録'!$I$5:$I$3004,$M173)="","",INDEX('潜水記録'!$I$5:$I$3004,$M173)))</f>
        <v/>
      </c>
      <c r="I173" s="15">
        <f>IF($A173="","",IF(INDEX('潜水記録'!$X$5:$X$3004,$M173)="","",INDEX('潜水記録'!$X$5:$X$3004,$M173)))</f>
        <v/>
      </c>
      <c r="J173" s="15">
        <f>IF($A173="","",IF(INDEX('潜水記録'!$O$5:$O$3004,$M173)="","",INDEX('潜水記録'!$O$5:$O$3004,$M173)))</f>
        <v/>
      </c>
      <c r="K173" s="15">
        <f>IF($A173="","",IF(INDEX('潜水記録'!$P$5:$P$3004,$M173)="","",INDEX('潜水記録'!$P$5:$P$3004,$M173)))</f>
        <v/>
      </c>
      <c r="L173" s="14">
        <f>IF($A173="","",IF(INDEX('潜水記録'!$Q$5:$Q$3004,$M173)="","",INDEX('潜水記録'!$Q$5:$Q$3004,$M173)))</f>
        <v/>
      </c>
      <c r="M173" s="20">
        <f>IF($A173="","",MATCH($A173,'潜水記録'!$AG$5:$AG$3004,0))</f>
        <v/>
      </c>
    </row>
    <row r="174">
      <c r="A174" s="15">
        <f>IF(165&lt;=$C$6,165,"")</f>
        <v/>
      </c>
      <c r="B174" s="16">
        <f>IF($A174="","",IF(INDEX('潜水記録'!$A$5:$A$3004,$M174)="","",INDEX('潜水記録'!$A$5:$A$3004,$M174)))</f>
        <v/>
      </c>
      <c r="C174" s="15">
        <f>IF($A174="","",IF(INDEX('潜水記録'!$D$5:$D$3004,$M174)="","",INDEX('潜水記録'!$D$5:$D$3004,$M174)))</f>
        <v/>
      </c>
      <c r="D174" s="14">
        <f>IF($A174="","",IF(INDEX('潜水記録'!$E$5:$E$3004,$M174)="","",INDEX('潜水記録'!$E$5:$E$3004,$M174)))</f>
        <v/>
      </c>
      <c r="E174" s="14">
        <f>IF($A174="","",IF(INDEX('潜水記録'!$F$5:$F$3004,$M174)="","",INDEX('潜水記録'!$F$5:$F$3004,$M174)))</f>
        <v/>
      </c>
      <c r="F174" s="15">
        <f>IF($A174="","",IF(INDEX('潜水記録'!$G$5:$G$3004,$M174)="","",INDEX('潜水記録'!$G$5:$G$3004,$M174)))</f>
        <v/>
      </c>
      <c r="G174" s="15">
        <f>IF($A174="","",IF(INDEX('潜水記録'!$H$5:$H$3004,$M174)="","",INDEX('潜水記録'!$H$5:$H$3004,$M174)))</f>
        <v/>
      </c>
      <c r="H174" s="15">
        <f>IF($A174="","",IF(INDEX('潜水記録'!$I$5:$I$3004,$M174)="","",INDEX('潜水記録'!$I$5:$I$3004,$M174)))</f>
        <v/>
      </c>
      <c r="I174" s="15">
        <f>IF($A174="","",IF(INDEX('潜水記録'!$X$5:$X$3004,$M174)="","",INDEX('潜水記録'!$X$5:$X$3004,$M174)))</f>
        <v/>
      </c>
      <c r="J174" s="15">
        <f>IF($A174="","",IF(INDEX('潜水記録'!$O$5:$O$3004,$M174)="","",INDEX('潜水記録'!$O$5:$O$3004,$M174)))</f>
        <v/>
      </c>
      <c r="K174" s="15">
        <f>IF($A174="","",IF(INDEX('潜水記録'!$P$5:$P$3004,$M174)="","",INDEX('潜水記録'!$P$5:$P$3004,$M174)))</f>
        <v/>
      </c>
      <c r="L174" s="14">
        <f>IF($A174="","",IF(INDEX('潜水記録'!$Q$5:$Q$3004,$M174)="","",INDEX('潜水記録'!$Q$5:$Q$3004,$M174)))</f>
        <v/>
      </c>
      <c r="M174" s="20">
        <f>IF($A174="","",MATCH($A174,'潜水記録'!$AG$5:$AG$3004,0))</f>
        <v/>
      </c>
    </row>
    <row r="175">
      <c r="A175" s="15">
        <f>IF(166&lt;=$C$6,166,"")</f>
        <v/>
      </c>
      <c r="B175" s="16">
        <f>IF($A175="","",IF(INDEX('潜水記録'!$A$5:$A$3004,$M175)="","",INDEX('潜水記録'!$A$5:$A$3004,$M175)))</f>
        <v/>
      </c>
      <c r="C175" s="15">
        <f>IF($A175="","",IF(INDEX('潜水記録'!$D$5:$D$3004,$M175)="","",INDEX('潜水記録'!$D$5:$D$3004,$M175)))</f>
        <v/>
      </c>
      <c r="D175" s="14">
        <f>IF($A175="","",IF(INDEX('潜水記録'!$E$5:$E$3004,$M175)="","",INDEX('潜水記録'!$E$5:$E$3004,$M175)))</f>
        <v/>
      </c>
      <c r="E175" s="14">
        <f>IF($A175="","",IF(INDEX('潜水記録'!$F$5:$F$3004,$M175)="","",INDEX('潜水記録'!$F$5:$F$3004,$M175)))</f>
        <v/>
      </c>
      <c r="F175" s="15">
        <f>IF($A175="","",IF(INDEX('潜水記録'!$G$5:$G$3004,$M175)="","",INDEX('潜水記録'!$G$5:$G$3004,$M175)))</f>
        <v/>
      </c>
      <c r="G175" s="15">
        <f>IF($A175="","",IF(INDEX('潜水記録'!$H$5:$H$3004,$M175)="","",INDEX('潜水記録'!$H$5:$H$3004,$M175)))</f>
        <v/>
      </c>
      <c r="H175" s="15">
        <f>IF($A175="","",IF(INDEX('潜水記録'!$I$5:$I$3004,$M175)="","",INDEX('潜水記録'!$I$5:$I$3004,$M175)))</f>
        <v/>
      </c>
      <c r="I175" s="15">
        <f>IF($A175="","",IF(INDEX('潜水記録'!$X$5:$X$3004,$M175)="","",INDEX('潜水記録'!$X$5:$X$3004,$M175)))</f>
        <v/>
      </c>
      <c r="J175" s="15">
        <f>IF($A175="","",IF(INDEX('潜水記録'!$O$5:$O$3004,$M175)="","",INDEX('潜水記録'!$O$5:$O$3004,$M175)))</f>
        <v/>
      </c>
      <c r="K175" s="15">
        <f>IF($A175="","",IF(INDEX('潜水記録'!$P$5:$P$3004,$M175)="","",INDEX('潜水記録'!$P$5:$P$3004,$M175)))</f>
        <v/>
      </c>
      <c r="L175" s="14">
        <f>IF($A175="","",IF(INDEX('潜水記録'!$Q$5:$Q$3004,$M175)="","",INDEX('潜水記録'!$Q$5:$Q$3004,$M175)))</f>
        <v/>
      </c>
      <c r="M175" s="20">
        <f>IF($A175="","",MATCH($A175,'潜水記録'!$AG$5:$AG$3004,0))</f>
        <v/>
      </c>
    </row>
    <row r="176">
      <c r="A176" s="15">
        <f>IF(167&lt;=$C$6,167,"")</f>
        <v/>
      </c>
      <c r="B176" s="16">
        <f>IF($A176="","",IF(INDEX('潜水記録'!$A$5:$A$3004,$M176)="","",INDEX('潜水記録'!$A$5:$A$3004,$M176)))</f>
        <v/>
      </c>
      <c r="C176" s="15">
        <f>IF($A176="","",IF(INDEX('潜水記録'!$D$5:$D$3004,$M176)="","",INDEX('潜水記録'!$D$5:$D$3004,$M176)))</f>
        <v/>
      </c>
      <c r="D176" s="14">
        <f>IF($A176="","",IF(INDEX('潜水記録'!$E$5:$E$3004,$M176)="","",INDEX('潜水記録'!$E$5:$E$3004,$M176)))</f>
        <v/>
      </c>
      <c r="E176" s="14">
        <f>IF($A176="","",IF(INDEX('潜水記録'!$F$5:$F$3004,$M176)="","",INDEX('潜水記録'!$F$5:$F$3004,$M176)))</f>
        <v/>
      </c>
      <c r="F176" s="15">
        <f>IF($A176="","",IF(INDEX('潜水記録'!$G$5:$G$3004,$M176)="","",INDEX('潜水記録'!$G$5:$G$3004,$M176)))</f>
        <v/>
      </c>
      <c r="G176" s="15">
        <f>IF($A176="","",IF(INDEX('潜水記録'!$H$5:$H$3004,$M176)="","",INDEX('潜水記録'!$H$5:$H$3004,$M176)))</f>
        <v/>
      </c>
      <c r="H176" s="15">
        <f>IF($A176="","",IF(INDEX('潜水記録'!$I$5:$I$3004,$M176)="","",INDEX('潜水記録'!$I$5:$I$3004,$M176)))</f>
        <v/>
      </c>
      <c r="I176" s="15">
        <f>IF($A176="","",IF(INDEX('潜水記録'!$X$5:$X$3004,$M176)="","",INDEX('潜水記録'!$X$5:$X$3004,$M176)))</f>
        <v/>
      </c>
      <c r="J176" s="15">
        <f>IF($A176="","",IF(INDEX('潜水記録'!$O$5:$O$3004,$M176)="","",INDEX('潜水記録'!$O$5:$O$3004,$M176)))</f>
        <v/>
      </c>
      <c r="K176" s="15">
        <f>IF($A176="","",IF(INDEX('潜水記録'!$P$5:$P$3004,$M176)="","",INDEX('潜水記録'!$P$5:$P$3004,$M176)))</f>
        <v/>
      </c>
      <c r="L176" s="14">
        <f>IF($A176="","",IF(INDEX('潜水記録'!$Q$5:$Q$3004,$M176)="","",INDEX('潜水記録'!$Q$5:$Q$3004,$M176)))</f>
        <v/>
      </c>
      <c r="M176" s="20">
        <f>IF($A176="","",MATCH($A176,'潜水記録'!$AG$5:$AG$3004,0))</f>
        <v/>
      </c>
    </row>
    <row r="177">
      <c r="A177" s="15">
        <f>IF(168&lt;=$C$6,168,"")</f>
        <v/>
      </c>
      <c r="B177" s="16">
        <f>IF($A177="","",IF(INDEX('潜水記録'!$A$5:$A$3004,$M177)="","",INDEX('潜水記録'!$A$5:$A$3004,$M177)))</f>
        <v/>
      </c>
      <c r="C177" s="15">
        <f>IF($A177="","",IF(INDEX('潜水記録'!$D$5:$D$3004,$M177)="","",INDEX('潜水記録'!$D$5:$D$3004,$M177)))</f>
        <v/>
      </c>
      <c r="D177" s="14">
        <f>IF($A177="","",IF(INDEX('潜水記録'!$E$5:$E$3004,$M177)="","",INDEX('潜水記録'!$E$5:$E$3004,$M177)))</f>
        <v/>
      </c>
      <c r="E177" s="14">
        <f>IF($A177="","",IF(INDEX('潜水記録'!$F$5:$F$3004,$M177)="","",INDEX('潜水記録'!$F$5:$F$3004,$M177)))</f>
        <v/>
      </c>
      <c r="F177" s="15">
        <f>IF($A177="","",IF(INDEX('潜水記録'!$G$5:$G$3004,$M177)="","",INDEX('潜水記録'!$G$5:$G$3004,$M177)))</f>
        <v/>
      </c>
      <c r="G177" s="15">
        <f>IF($A177="","",IF(INDEX('潜水記録'!$H$5:$H$3004,$M177)="","",INDEX('潜水記録'!$H$5:$H$3004,$M177)))</f>
        <v/>
      </c>
      <c r="H177" s="15">
        <f>IF($A177="","",IF(INDEX('潜水記録'!$I$5:$I$3004,$M177)="","",INDEX('潜水記録'!$I$5:$I$3004,$M177)))</f>
        <v/>
      </c>
      <c r="I177" s="15">
        <f>IF($A177="","",IF(INDEX('潜水記録'!$X$5:$X$3004,$M177)="","",INDEX('潜水記録'!$X$5:$X$3004,$M177)))</f>
        <v/>
      </c>
      <c r="J177" s="15">
        <f>IF($A177="","",IF(INDEX('潜水記録'!$O$5:$O$3004,$M177)="","",INDEX('潜水記録'!$O$5:$O$3004,$M177)))</f>
        <v/>
      </c>
      <c r="K177" s="15">
        <f>IF($A177="","",IF(INDEX('潜水記録'!$P$5:$P$3004,$M177)="","",INDEX('潜水記録'!$P$5:$P$3004,$M177)))</f>
        <v/>
      </c>
      <c r="L177" s="14">
        <f>IF($A177="","",IF(INDEX('潜水記録'!$Q$5:$Q$3004,$M177)="","",INDEX('潜水記録'!$Q$5:$Q$3004,$M177)))</f>
        <v/>
      </c>
      <c r="M177" s="20">
        <f>IF($A177="","",MATCH($A177,'潜水記録'!$AG$5:$AG$3004,0))</f>
        <v/>
      </c>
    </row>
    <row r="178">
      <c r="A178" s="15">
        <f>IF(169&lt;=$C$6,169,"")</f>
        <v/>
      </c>
      <c r="B178" s="16">
        <f>IF($A178="","",IF(INDEX('潜水記録'!$A$5:$A$3004,$M178)="","",INDEX('潜水記録'!$A$5:$A$3004,$M178)))</f>
        <v/>
      </c>
      <c r="C178" s="15">
        <f>IF($A178="","",IF(INDEX('潜水記録'!$D$5:$D$3004,$M178)="","",INDEX('潜水記録'!$D$5:$D$3004,$M178)))</f>
        <v/>
      </c>
      <c r="D178" s="14">
        <f>IF($A178="","",IF(INDEX('潜水記録'!$E$5:$E$3004,$M178)="","",INDEX('潜水記録'!$E$5:$E$3004,$M178)))</f>
        <v/>
      </c>
      <c r="E178" s="14">
        <f>IF($A178="","",IF(INDEX('潜水記録'!$F$5:$F$3004,$M178)="","",INDEX('潜水記録'!$F$5:$F$3004,$M178)))</f>
        <v/>
      </c>
      <c r="F178" s="15">
        <f>IF($A178="","",IF(INDEX('潜水記録'!$G$5:$G$3004,$M178)="","",INDEX('潜水記録'!$G$5:$G$3004,$M178)))</f>
        <v/>
      </c>
      <c r="G178" s="15">
        <f>IF($A178="","",IF(INDEX('潜水記録'!$H$5:$H$3004,$M178)="","",INDEX('潜水記録'!$H$5:$H$3004,$M178)))</f>
        <v/>
      </c>
      <c r="H178" s="15">
        <f>IF($A178="","",IF(INDEX('潜水記録'!$I$5:$I$3004,$M178)="","",INDEX('潜水記録'!$I$5:$I$3004,$M178)))</f>
        <v/>
      </c>
      <c r="I178" s="15">
        <f>IF($A178="","",IF(INDEX('潜水記録'!$X$5:$X$3004,$M178)="","",INDEX('潜水記録'!$X$5:$X$3004,$M178)))</f>
        <v/>
      </c>
      <c r="J178" s="15">
        <f>IF($A178="","",IF(INDEX('潜水記録'!$O$5:$O$3004,$M178)="","",INDEX('潜水記録'!$O$5:$O$3004,$M178)))</f>
        <v/>
      </c>
      <c r="K178" s="15">
        <f>IF($A178="","",IF(INDEX('潜水記録'!$P$5:$P$3004,$M178)="","",INDEX('潜水記録'!$P$5:$P$3004,$M178)))</f>
        <v/>
      </c>
      <c r="L178" s="14">
        <f>IF($A178="","",IF(INDEX('潜水記録'!$Q$5:$Q$3004,$M178)="","",INDEX('潜水記録'!$Q$5:$Q$3004,$M178)))</f>
        <v/>
      </c>
      <c r="M178" s="20">
        <f>IF($A178="","",MATCH($A178,'潜水記録'!$AG$5:$AG$3004,0))</f>
        <v/>
      </c>
    </row>
    <row r="179">
      <c r="A179" s="15">
        <f>IF(170&lt;=$C$6,170,"")</f>
        <v/>
      </c>
      <c r="B179" s="16">
        <f>IF($A179="","",IF(INDEX('潜水記録'!$A$5:$A$3004,$M179)="","",INDEX('潜水記録'!$A$5:$A$3004,$M179)))</f>
        <v/>
      </c>
      <c r="C179" s="15">
        <f>IF($A179="","",IF(INDEX('潜水記録'!$D$5:$D$3004,$M179)="","",INDEX('潜水記録'!$D$5:$D$3004,$M179)))</f>
        <v/>
      </c>
      <c r="D179" s="14">
        <f>IF($A179="","",IF(INDEX('潜水記録'!$E$5:$E$3004,$M179)="","",INDEX('潜水記録'!$E$5:$E$3004,$M179)))</f>
        <v/>
      </c>
      <c r="E179" s="14">
        <f>IF($A179="","",IF(INDEX('潜水記録'!$F$5:$F$3004,$M179)="","",INDEX('潜水記録'!$F$5:$F$3004,$M179)))</f>
        <v/>
      </c>
      <c r="F179" s="15">
        <f>IF($A179="","",IF(INDEX('潜水記録'!$G$5:$G$3004,$M179)="","",INDEX('潜水記録'!$G$5:$G$3004,$M179)))</f>
        <v/>
      </c>
      <c r="G179" s="15">
        <f>IF($A179="","",IF(INDEX('潜水記録'!$H$5:$H$3004,$M179)="","",INDEX('潜水記録'!$H$5:$H$3004,$M179)))</f>
        <v/>
      </c>
      <c r="H179" s="15">
        <f>IF($A179="","",IF(INDEX('潜水記録'!$I$5:$I$3004,$M179)="","",INDEX('潜水記録'!$I$5:$I$3004,$M179)))</f>
        <v/>
      </c>
      <c r="I179" s="15">
        <f>IF($A179="","",IF(INDEX('潜水記録'!$X$5:$X$3004,$M179)="","",INDEX('潜水記録'!$X$5:$X$3004,$M179)))</f>
        <v/>
      </c>
      <c r="J179" s="15">
        <f>IF($A179="","",IF(INDEX('潜水記録'!$O$5:$O$3004,$M179)="","",INDEX('潜水記録'!$O$5:$O$3004,$M179)))</f>
        <v/>
      </c>
      <c r="K179" s="15">
        <f>IF($A179="","",IF(INDEX('潜水記録'!$P$5:$P$3004,$M179)="","",INDEX('潜水記録'!$P$5:$P$3004,$M179)))</f>
        <v/>
      </c>
      <c r="L179" s="14">
        <f>IF($A179="","",IF(INDEX('潜水記録'!$Q$5:$Q$3004,$M179)="","",INDEX('潜水記録'!$Q$5:$Q$3004,$M179)))</f>
        <v/>
      </c>
      <c r="M179" s="20">
        <f>IF($A179="","",MATCH($A179,'潜水記録'!$AG$5:$AG$3004,0))</f>
        <v/>
      </c>
    </row>
    <row r="180">
      <c r="A180" s="15">
        <f>IF(171&lt;=$C$6,171,"")</f>
        <v/>
      </c>
      <c r="B180" s="16">
        <f>IF($A180="","",IF(INDEX('潜水記録'!$A$5:$A$3004,$M180)="","",INDEX('潜水記録'!$A$5:$A$3004,$M180)))</f>
        <v/>
      </c>
      <c r="C180" s="15">
        <f>IF($A180="","",IF(INDEX('潜水記録'!$D$5:$D$3004,$M180)="","",INDEX('潜水記録'!$D$5:$D$3004,$M180)))</f>
        <v/>
      </c>
      <c r="D180" s="14">
        <f>IF($A180="","",IF(INDEX('潜水記録'!$E$5:$E$3004,$M180)="","",INDEX('潜水記録'!$E$5:$E$3004,$M180)))</f>
        <v/>
      </c>
      <c r="E180" s="14">
        <f>IF($A180="","",IF(INDEX('潜水記録'!$F$5:$F$3004,$M180)="","",INDEX('潜水記録'!$F$5:$F$3004,$M180)))</f>
        <v/>
      </c>
      <c r="F180" s="15">
        <f>IF($A180="","",IF(INDEX('潜水記録'!$G$5:$G$3004,$M180)="","",INDEX('潜水記録'!$G$5:$G$3004,$M180)))</f>
        <v/>
      </c>
      <c r="G180" s="15">
        <f>IF($A180="","",IF(INDEX('潜水記録'!$H$5:$H$3004,$M180)="","",INDEX('潜水記録'!$H$5:$H$3004,$M180)))</f>
        <v/>
      </c>
      <c r="H180" s="15">
        <f>IF($A180="","",IF(INDEX('潜水記録'!$I$5:$I$3004,$M180)="","",INDEX('潜水記録'!$I$5:$I$3004,$M180)))</f>
        <v/>
      </c>
      <c r="I180" s="15">
        <f>IF($A180="","",IF(INDEX('潜水記録'!$X$5:$X$3004,$M180)="","",INDEX('潜水記録'!$X$5:$X$3004,$M180)))</f>
        <v/>
      </c>
      <c r="J180" s="15">
        <f>IF($A180="","",IF(INDEX('潜水記録'!$O$5:$O$3004,$M180)="","",INDEX('潜水記録'!$O$5:$O$3004,$M180)))</f>
        <v/>
      </c>
      <c r="K180" s="15">
        <f>IF($A180="","",IF(INDEX('潜水記録'!$P$5:$P$3004,$M180)="","",INDEX('潜水記録'!$P$5:$P$3004,$M180)))</f>
        <v/>
      </c>
      <c r="L180" s="14">
        <f>IF($A180="","",IF(INDEX('潜水記録'!$Q$5:$Q$3004,$M180)="","",INDEX('潜水記録'!$Q$5:$Q$3004,$M180)))</f>
        <v/>
      </c>
      <c r="M180" s="20">
        <f>IF($A180="","",MATCH($A180,'潜水記録'!$AG$5:$AG$3004,0))</f>
        <v/>
      </c>
    </row>
    <row r="181">
      <c r="A181" s="15">
        <f>IF(172&lt;=$C$6,172,"")</f>
        <v/>
      </c>
      <c r="B181" s="16">
        <f>IF($A181="","",IF(INDEX('潜水記録'!$A$5:$A$3004,$M181)="","",INDEX('潜水記録'!$A$5:$A$3004,$M181)))</f>
        <v/>
      </c>
      <c r="C181" s="15">
        <f>IF($A181="","",IF(INDEX('潜水記録'!$D$5:$D$3004,$M181)="","",INDEX('潜水記録'!$D$5:$D$3004,$M181)))</f>
        <v/>
      </c>
      <c r="D181" s="14">
        <f>IF($A181="","",IF(INDEX('潜水記録'!$E$5:$E$3004,$M181)="","",INDEX('潜水記録'!$E$5:$E$3004,$M181)))</f>
        <v/>
      </c>
      <c r="E181" s="14">
        <f>IF($A181="","",IF(INDEX('潜水記録'!$F$5:$F$3004,$M181)="","",INDEX('潜水記録'!$F$5:$F$3004,$M181)))</f>
        <v/>
      </c>
      <c r="F181" s="15">
        <f>IF($A181="","",IF(INDEX('潜水記録'!$G$5:$G$3004,$M181)="","",INDEX('潜水記録'!$G$5:$G$3004,$M181)))</f>
        <v/>
      </c>
      <c r="G181" s="15">
        <f>IF($A181="","",IF(INDEX('潜水記録'!$H$5:$H$3004,$M181)="","",INDEX('潜水記録'!$H$5:$H$3004,$M181)))</f>
        <v/>
      </c>
      <c r="H181" s="15">
        <f>IF($A181="","",IF(INDEX('潜水記録'!$I$5:$I$3004,$M181)="","",INDEX('潜水記録'!$I$5:$I$3004,$M181)))</f>
        <v/>
      </c>
      <c r="I181" s="15">
        <f>IF($A181="","",IF(INDEX('潜水記録'!$X$5:$X$3004,$M181)="","",INDEX('潜水記録'!$X$5:$X$3004,$M181)))</f>
        <v/>
      </c>
      <c r="J181" s="15">
        <f>IF($A181="","",IF(INDEX('潜水記録'!$O$5:$O$3004,$M181)="","",INDEX('潜水記録'!$O$5:$O$3004,$M181)))</f>
        <v/>
      </c>
      <c r="K181" s="15">
        <f>IF($A181="","",IF(INDEX('潜水記録'!$P$5:$P$3004,$M181)="","",INDEX('潜水記録'!$P$5:$P$3004,$M181)))</f>
        <v/>
      </c>
      <c r="L181" s="14">
        <f>IF($A181="","",IF(INDEX('潜水記録'!$Q$5:$Q$3004,$M181)="","",INDEX('潜水記録'!$Q$5:$Q$3004,$M181)))</f>
        <v/>
      </c>
      <c r="M181" s="20">
        <f>IF($A181="","",MATCH($A181,'潜水記録'!$AG$5:$AG$3004,0))</f>
        <v/>
      </c>
    </row>
    <row r="182">
      <c r="A182" s="15">
        <f>IF(173&lt;=$C$6,173,"")</f>
        <v/>
      </c>
      <c r="B182" s="16">
        <f>IF($A182="","",IF(INDEX('潜水記録'!$A$5:$A$3004,$M182)="","",INDEX('潜水記録'!$A$5:$A$3004,$M182)))</f>
        <v/>
      </c>
      <c r="C182" s="15">
        <f>IF($A182="","",IF(INDEX('潜水記録'!$D$5:$D$3004,$M182)="","",INDEX('潜水記録'!$D$5:$D$3004,$M182)))</f>
        <v/>
      </c>
      <c r="D182" s="14">
        <f>IF($A182="","",IF(INDEX('潜水記録'!$E$5:$E$3004,$M182)="","",INDEX('潜水記録'!$E$5:$E$3004,$M182)))</f>
        <v/>
      </c>
      <c r="E182" s="14">
        <f>IF($A182="","",IF(INDEX('潜水記録'!$F$5:$F$3004,$M182)="","",INDEX('潜水記録'!$F$5:$F$3004,$M182)))</f>
        <v/>
      </c>
      <c r="F182" s="15">
        <f>IF($A182="","",IF(INDEX('潜水記録'!$G$5:$G$3004,$M182)="","",INDEX('潜水記録'!$G$5:$G$3004,$M182)))</f>
        <v/>
      </c>
      <c r="G182" s="15">
        <f>IF($A182="","",IF(INDEX('潜水記録'!$H$5:$H$3004,$M182)="","",INDEX('潜水記録'!$H$5:$H$3004,$M182)))</f>
        <v/>
      </c>
      <c r="H182" s="15">
        <f>IF($A182="","",IF(INDEX('潜水記録'!$I$5:$I$3004,$M182)="","",INDEX('潜水記録'!$I$5:$I$3004,$M182)))</f>
        <v/>
      </c>
      <c r="I182" s="15">
        <f>IF($A182="","",IF(INDEX('潜水記録'!$X$5:$X$3004,$M182)="","",INDEX('潜水記録'!$X$5:$X$3004,$M182)))</f>
        <v/>
      </c>
      <c r="J182" s="15">
        <f>IF($A182="","",IF(INDEX('潜水記録'!$O$5:$O$3004,$M182)="","",INDEX('潜水記録'!$O$5:$O$3004,$M182)))</f>
        <v/>
      </c>
      <c r="K182" s="15">
        <f>IF($A182="","",IF(INDEX('潜水記録'!$P$5:$P$3004,$M182)="","",INDEX('潜水記録'!$P$5:$P$3004,$M182)))</f>
        <v/>
      </c>
      <c r="L182" s="14">
        <f>IF($A182="","",IF(INDEX('潜水記録'!$Q$5:$Q$3004,$M182)="","",INDEX('潜水記録'!$Q$5:$Q$3004,$M182)))</f>
        <v/>
      </c>
      <c r="M182" s="20">
        <f>IF($A182="","",MATCH($A182,'潜水記録'!$AG$5:$AG$3004,0))</f>
        <v/>
      </c>
    </row>
    <row r="183">
      <c r="A183" s="15">
        <f>IF(174&lt;=$C$6,174,"")</f>
        <v/>
      </c>
      <c r="B183" s="16">
        <f>IF($A183="","",IF(INDEX('潜水記録'!$A$5:$A$3004,$M183)="","",INDEX('潜水記録'!$A$5:$A$3004,$M183)))</f>
        <v/>
      </c>
      <c r="C183" s="15">
        <f>IF($A183="","",IF(INDEX('潜水記録'!$D$5:$D$3004,$M183)="","",INDEX('潜水記録'!$D$5:$D$3004,$M183)))</f>
        <v/>
      </c>
      <c r="D183" s="14">
        <f>IF($A183="","",IF(INDEX('潜水記録'!$E$5:$E$3004,$M183)="","",INDEX('潜水記録'!$E$5:$E$3004,$M183)))</f>
        <v/>
      </c>
      <c r="E183" s="14">
        <f>IF($A183="","",IF(INDEX('潜水記録'!$F$5:$F$3004,$M183)="","",INDEX('潜水記録'!$F$5:$F$3004,$M183)))</f>
        <v/>
      </c>
      <c r="F183" s="15">
        <f>IF($A183="","",IF(INDEX('潜水記録'!$G$5:$G$3004,$M183)="","",INDEX('潜水記録'!$G$5:$G$3004,$M183)))</f>
        <v/>
      </c>
      <c r="G183" s="15">
        <f>IF($A183="","",IF(INDEX('潜水記録'!$H$5:$H$3004,$M183)="","",INDEX('潜水記録'!$H$5:$H$3004,$M183)))</f>
        <v/>
      </c>
      <c r="H183" s="15">
        <f>IF($A183="","",IF(INDEX('潜水記録'!$I$5:$I$3004,$M183)="","",INDEX('潜水記録'!$I$5:$I$3004,$M183)))</f>
        <v/>
      </c>
      <c r="I183" s="15">
        <f>IF($A183="","",IF(INDEX('潜水記録'!$X$5:$X$3004,$M183)="","",INDEX('潜水記録'!$X$5:$X$3004,$M183)))</f>
        <v/>
      </c>
      <c r="J183" s="15">
        <f>IF($A183="","",IF(INDEX('潜水記録'!$O$5:$O$3004,$M183)="","",INDEX('潜水記録'!$O$5:$O$3004,$M183)))</f>
        <v/>
      </c>
      <c r="K183" s="15">
        <f>IF($A183="","",IF(INDEX('潜水記録'!$P$5:$P$3004,$M183)="","",INDEX('潜水記録'!$P$5:$P$3004,$M183)))</f>
        <v/>
      </c>
      <c r="L183" s="14">
        <f>IF($A183="","",IF(INDEX('潜水記録'!$Q$5:$Q$3004,$M183)="","",INDEX('潜水記録'!$Q$5:$Q$3004,$M183)))</f>
        <v/>
      </c>
      <c r="M183" s="20">
        <f>IF($A183="","",MATCH($A183,'潜水記録'!$AG$5:$AG$3004,0))</f>
        <v/>
      </c>
    </row>
    <row r="184">
      <c r="A184" s="15">
        <f>IF(175&lt;=$C$6,175,"")</f>
        <v/>
      </c>
      <c r="B184" s="16">
        <f>IF($A184="","",IF(INDEX('潜水記録'!$A$5:$A$3004,$M184)="","",INDEX('潜水記録'!$A$5:$A$3004,$M184)))</f>
        <v/>
      </c>
      <c r="C184" s="15">
        <f>IF($A184="","",IF(INDEX('潜水記録'!$D$5:$D$3004,$M184)="","",INDEX('潜水記録'!$D$5:$D$3004,$M184)))</f>
        <v/>
      </c>
      <c r="D184" s="14">
        <f>IF($A184="","",IF(INDEX('潜水記録'!$E$5:$E$3004,$M184)="","",INDEX('潜水記録'!$E$5:$E$3004,$M184)))</f>
        <v/>
      </c>
      <c r="E184" s="14">
        <f>IF($A184="","",IF(INDEX('潜水記録'!$F$5:$F$3004,$M184)="","",INDEX('潜水記録'!$F$5:$F$3004,$M184)))</f>
        <v/>
      </c>
      <c r="F184" s="15">
        <f>IF($A184="","",IF(INDEX('潜水記録'!$G$5:$G$3004,$M184)="","",INDEX('潜水記録'!$G$5:$G$3004,$M184)))</f>
        <v/>
      </c>
      <c r="G184" s="15">
        <f>IF($A184="","",IF(INDEX('潜水記録'!$H$5:$H$3004,$M184)="","",INDEX('潜水記録'!$H$5:$H$3004,$M184)))</f>
        <v/>
      </c>
      <c r="H184" s="15">
        <f>IF($A184="","",IF(INDEX('潜水記録'!$I$5:$I$3004,$M184)="","",INDEX('潜水記録'!$I$5:$I$3004,$M184)))</f>
        <v/>
      </c>
      <c r="I184" s="15">
        <f>IF($A184="","",IF(INDEX('潜水記録'!$X$5:$X$3004,$M184)="","",INDEX('潜水記録'!$X$5:$X$3004,$M184)))</f>
        <v/>
      </c>
      <c r="J184" s="15">
        <f>IF($A184="","",IF(INDEX('潜水記録'!$O$5:$O$3004,$M184)="","",INDEX('潜水記録'!$O$5:$O$3004,$M184)))</f>
        <v/>
      </c>
      <c r="K184" s="15">
        <f>IF($A184="","",IF(INDEX('潜水記録'!$P$5:$P$3004,$M184)="","",INDEX('潜水記録'!$P$5:$P$3004,$M184)))</f>
        <v/>
      </c>
      <c r="L184" s="14">
        <f>IF($A184="","",IF(INDEX('潜水記録'!$Q$5:$Q$3004,$M184)="","",INDEX('潜水記録'!$Q$5:$Q$3004,$M184)))</f>
        <v/>
      </c>
      <c r="M184" s="20">
        <f>IF($A184="","",MATCH($A184,'潜水記録'!$AG$5:$AG$3004,0))</f>
        <v/>
      </c>
    </row>
    <row r="185">
      <c r="A185" s="15">
        <f>IF(176&lt;=$C$6,176,"")</f>
        <v/>
      </c>
      <c r="B185" s="16">
        <f>IF($A185="","",IF(INDEX('潜水記録'!$A$5:$A$3004,$M185)="","",INDEX('潜水記録'!$A$5:$A$3004,$M185)))</f>
        <v/>
      </c>
      <c r="C185" s="15">
        <f>IF($A185="","",IF(INDEX('潜水記録'!$D$5:$D$3004,$M185)="","",INDEX('潜水記録'!$D$5:$D$3004,$M185)))</f>
        <v/>
      </c>
      <c r="D185" s="14">
        <f>IF($A185="","",IF(INDEX('潜水記録'!$E$5:$E$3004,$M185)="","",INDEX('潜水記録'!$E$5:$E$3004,$M185)))</f>
        <v/>
      </c>
      <c r="E185" s="14">
        <f>IF($A185="","",IF(INDEX('潜水記録'!$F$5:$F$3004,$M185)="","",INDEX('潜水記録'!$F$5:$F$3004,$M185)))</f>
        <v/>
      </c>
      <c r="F185" s="15">
        <f>IF($A185="","",IF(INDEX('潜水記録'!$G$5:$G$3004,$M185)="","",INDEX('潜水記録'!$G$5:$G$3004,$M185)))</f>
        <v/>
      </c>
      <c r="G185" s="15">
        <f>IF($A185="","",IF(INDEX('潜水記録'!$H$5:$H$3004,$M185)="","",INDEX('潜水記録'!$H$5:$H$3004,$M185)))</f>
        <v/>
      </c>
      <c r="H185" s="15">
        <f>IF($A185="","",IF(INDEX('潜水記録'!$I$5:$I$3004,$M185)="","",INDEX('潜水記録'!$I$5:$I$3004,$M185)))</f>
        <v/>
      </c>
      <c r="I185" s="15">
        <f>IF($A185="","",IF(INDEX('潜水記録'!$X$5:$X$3004,$M185)="","",INDEX('潜水記録'!$X$5:$X$3004,$M185)))</f>
        <v/>
      </c>
      <c r="J185" s="15">
        <f>IF($A185="","",IF(INDEX('潜水記録'!$O$5:$O$3004,$M185)="","",INDEX('潜水記録'!$O$5:$O$3004,$M185)))</f>
        <v/>
      </c>
      <c r="K185" s="15">
        <f>IF($A185="","",IF(INDEX('潜水記録'!$P$5:$P$3004,$M185)="","",INDEX('潜水記録'!$P$5:$P$3004,$M185)))</f>
        <v/>
      </c>
      <c r="L185" s="14">
        <f>IF($A185="","",IF(INDEX('潜水記録'!$Q$5:$Q$3004,$M185)="","",INDEX('潜水記録'!$Q$5:$Q$3004,$M185)))</f>
        <v/>
      </c>
      <c r="M185" s="20">
        <f>IF($A185="","",MATCH($A185,'潜水記録'!$AG$5:$AG$3004,0))</f>
        <v/>
      </c>
    </row>
    <row r="186">
      <c r="A186" s="15">
        <f>IF(177&lt;=$C$6,177,"")</f>
        <v/>
      </c>
      <c r="B186" s="16">
        <f>IF($A186="","",IF(INDEX('潜水記録'!$A$5:$A$3004,$M186)="","",INDEX('潜水記録'!$A$5:$A$3004,$M186)))</f>
        <v/>
      </c>
      <c r="C186" s="15">
        <f>IF($A186="","",IF(INDEX('潜水記録'!$D$5:$D$3004,$M186)="","",INDEX('潜水記録'!$D$5:$D$3004,$M186)))</f>
        <v/>
      </c>
      <c r="D186" s="14">
        <f>IF($A186="","",IF(INDEX('潜水記録'!$E$5:$E$3004,$M186)="","",INDEX('潜水記録'!$E$5:$E$3004,$M186)))</f>
        <v/>
      </c>
      <c r="E186" s="14">
        <f>IF($A186="","",IF(INDEX('潜水記録'!$F$5:$F$3004,$M186)="","",INDEX('潜水記録'!$F$5:$F$3004,$M186)))</f>
        <v/>
      </c>
      <c r="F186" s="15">
        <f>IF($A186="","",IF(INDEX('潜水記録'!$G$5:$G$3004,$M186)="","",INDEX('潜水記録'!$G$5:$G$3004,$M186)))</f>
        <v/>
      </c>
      <c r="G186" s="15">
        <f>IF($A186="","",IF(INDEX('潜水記録'!$H$5:$H$3004,$M186)="","",INDEX('潜水記録'!$H$5:$H$3004,$M186)))</f>
        <v/>
      </c>
      <c r="H186" s="15">
        <f>IF($A186="","",IF(INDEX('潜水記録'!$I$5:$I$3004,$M186)="","",INDEX('潜水記録'!$I$5:$I$3004,$M186)))</f>
        <v/>
      </c>
      <c r="I186" s="15">
        <f>IF($A186="","",IF(INDEX('潜水記録'!$X$5:$X$3004,$M186)="","",INDEX('潜水記録'!$X$5:$X$3004,$M186)))</f>
        <v/>
      </c>
      <c r="J186" s="15">
        <f>IF($A186="","",IF(INDEX('潜水記録'!$O$5:$O$3004,$M186)="","",INDEX('潜水記録'!$O$5:$O$3004,$M186)))</f>
        <v/>
      </c>
      <c r="K186" s="15">
        <f>IF($A186="","",IF(INDEX('潜水記録'!$P$5:$P$3004,$M186)="","",INDEX('潜水記録'!$P$5:$P$3004,$M186)))</f>
        <v/>
      </c>
      <c r="L186" s="14">
        <f>IF($A186="","",IF(INDEX('潜水記録'!$Q$5:$Q$3004,$M186)="","",INDEX('潜水記録'!$Q$5:$Q$3004,$M186)))</f>
        <v/>
      </c>
      <c r="M186" s="20">
        <f>IF($A186="","",MATCH($A186,'潜水記録'!$AG$5:$AG$3004,0))</f>
        <v/>
      </c>
    </row>
    <row r="187">
      <c r="A187" s="15">
        <f>IF(178&lt;=$C$6,178,"")</f>
        <v/>
      </c>
      <c r="B187" s="16">
        <f>IF($A187="","",IF(INDEX('潜水記録'!$A$5:$A$3004,$M187)="","",INDEX('潜水記録'!$A$5:$A$3004,$M187)))</f>
        <v/>
      </c>
      <c r="C187" s="15">
        <f>IF($A187="","",IF(INDEX('潜水記録'!$D$5:$D$3004,$M187)="","",INDEX('潜水記録'!$D$5:$D$3004,$M187)))</f>
        <v/>
      </c>
      <c r="D187" s="14">
        <f>IF($A187="","",IF(INDEX('潜水記録'!$E$5:$E$3004,$M187)="","",INDEX('潜水記録'!$E$5:$E$3004,$M187)))</f>
        <v/>
      </c>
      <c r="E187" s="14">
        <f>IF($A187="","",IF(INDEX('潜水記録'!$F$5:$F$3004,$M187)="","",INDEX('潜水記録'!$F$5:$F$3004,$M187)))</f>
        <v/>
      </c>
      <c r="F187" s="15">
        <f>IF($A187="","",IF(INDEX('潜水記録'!$G$5:$G$3004,$M187)="","",INDEX('潜水記録'!$G$5:$G$3004,$M187)))</f>
        <v/>
      </c>
      <c r="G187" s="15">
        <f>IF($A187="","",IF(INDEX('潜水記録'!$H$5:$H$3004,$M187)="","",INDEX('潜水記録'!$H$5:$H$3004,$M187)))</f>
        <v/>
      </c>
      <c r="H187" s="15">
        <f>IF($A187="","",IF(INDEX('潜水記録'!$I$5:$I$3004,$M187)="","",INDEX('潜水記録'!$I$5:$I$3004,$M187)))</f>
        <v/>
      </c>
      <c r="I187" s="15">
        <f>IF($A187="","",IF(INDEX('潜水記録'!$X$5:$X$3004,$M187)="","",INDEX('潜水記録'!$X$5:$X$3004,$M187)))</f>
        <v/>
      </c>
      <c r="J187" s="15">
        <f>IF($A187="","",IF(INDEX('潜水記録'!$O$5:$O$3004,$M187)="","",INDEX('潜水記録'!$O$5:$O$3004,$M187)))</f>
        <v/>
      </c>
      <c r="K187" s="15">
        <f>IF($A187="","",IF(INDEX('潜水記録'!$P$5:$P$3004,$M187)="","",INDEX('潜水記録'!$P$5:$P$3004,$M187)))</f>
        <v/>
      </c>
      <c r="L187" s="14">
        <f>IF($A187="","",IF(INDEX('潜水記録'!$Q$5:$Q$3004,$M187)="","",INDEX('潜水記録'!$Q$5:$Q$3004,$M187)))</f>
        <v/>
      </c>
      <c r="M187" s="20">
        <f>IF($A187="","",MATCH($A187,'潜水記録'!$AG$5:$AG$3004,0))</f>
        <v/>
      </c>
    </row>
    <row r="188">
      <c r="A188" s="15">
        <f>IF(179&lt;=$C$6,179,"")</f>
        <v/>
      </c>
      <c r="B188" s="16">
        <f>IF($A188="","",IF(INDEX('潜水記録'!$A$5:$A$3004,$M188)="","",INDEX('潜水記録'!$A$5:$A$3004,$M188)))</f>
        <v/>
      </c>
      <c r="C188" s="15">
        <f>IF($A188="","",IF(INDEX('潜水記録'!$D$5:$D$3004,$M188)="","",INDEX('潜水記録'!$D$5:$D$3004,$M188)))</f>
        <v/>
      </c>
      <c r="D188" s="14">
        <f>IF($A188="","",IF(INDEX('潜水記録'!$E$5:$E$3004,$M188)="","",INDEX('潜水記録'!$E$5:$E$3004,$M188)))</f>
        <v/>
      </c>
      <c r="E188" s="14">
        <f>IF($A188="","",IF(INDEX('潜水記録'!$F$5:$F$3004,$M188)="","",INDEX('潜水記録'!$F$5:$F$3004,$M188)))</f>
        <v/>
      </c>
      <c r="F188" s="15">
        <f>IF($A188="","",IF(INDEX('潜水記録'!$G$5:$G$3004,$M188)="","",INDEX('潜水記録'!$G$5:$G$3004,$M188)))</f>
        <v/>
      </c>
      <c r="G188" s="15">
        <f>IF($A188="","",IF(INDEX('潜水記録'!$H$5:$H$3004,$M188)="","",INDEX('潜水記録'!$H$5:$H$3004,$M188)))</f>
        <v/>
      </c>
      <c r="H188" s="15">
        <f>IF($A188="","",IF(INDEX('潜水記録'!$I$5:$I$3004,$M188)="","",INDEX('潜水記録'!$I$5:$I$3004,$M188)))</f>
        <v/>
      </c>
      <c r="I188" s="15">
        <f>IF($A188="","",IF(INDEX('潜水記録'!$X$5:$X$3004,$M188)="","",INDEX('潜水記録'!$X$5:$X$3004,$M188)))</f>
        <v/>
      </c>
      <c r="J188" s="15">
        <f>IF($A188="","",IF(INDEX('潜水記録'!$O$5:$O$3004,$M188)="","",INDEX('潜水記録'!$O$5:$O$3004,$M188)))</f>
        <v/>
      </c>
      <c r="K188" s="15">
        <f>IF($A188="","",IF(INDEX('潜水記録'!$P$5:$P$3004,$M188)="","",INDEX('潜水記録'!$P$5:$P$3004,$M188)))</f>
        <v/>
      </c>
      <c r="L188" s="14">
        <f>IF($A188="","",IF(INDEX('潜水記録'!$Q$5:$Q$3004,$M188)="","",INDEX('潜水記録'!$Q$5:$Q$3004,$M188)))</f>
        <v/>
      </c>
      <c r="M188" s="20">
        <f>IF($A188="","",MATCH($A188,'潜水記録'!$AG$5:$AG$3004,0))</f>
        <v/>
      </c>
    </row>
    <row r="189">
      <c r="A189" s="15">
        <f>IF(180&lt;=$C$6,180,"")</f>
        <v/>
      </c>
      <c r="B189" s="16">
        <f>IF($A189="","",IF(INDEX('潜水記録'!$A$5:$A$3004,$M189)="","",INDEX('潜水記録'!$A$5:$A$3004,$M189)))</f>
        <v/>
      </c>
      <c r="C189" s="15">
        <f>IF($A189="","",IF(INDEX('潜水記録'!$D$5:$D$3004,$M189)="","",INDEX('潜水記録'!$D$5:$D$3004,$M189)))</f>
        <v/>
      </c>
      <c r="D189" s="14">
        <f>IF($A189="","",IF(INDEX('潜水記録'!$E$5:$E$3004,$M189)="","",INDEX('潜水記録'!$E$5:$E$3004,$M189)))</f>
        <v/>
      </c>
      <c r="E189" s="14">
        <f>IF($A189="","",IF(INDEX('潜水記録'!$F$5:$F$3004,$M189)="","",INDEX('潜水記録'!$F$5:$F$3004,$M189)))</f>
        <v/>
      </c>
      <c r="F189" s="15">
        <f>IF($A189="","",IF(INDEX('潜水記録'!$G$5:$G$3004,$M189)="","",INDEX('潜水記録'!$G$5:$G$3004,$M189)))</f>
        <v/>
      </c>
      <c r="G189" s="15">
        <f>IF($A189="","",IF(INDEX('潜水記録'!$H$5:$H$3004,$M189)="","",INDEX('潜水記録'!$H$5:$H$3004,$M189)))</f>
        <v/>
      </c>
      <c r="H189" s="15">
        <f>IF($A189="","",IF(INDEX('潜水記録'!$I$5:$I$3004,$M189)="","",INDEX('潜水記録'!$I$5:$I$3004,$M189)))</f>
        <v/>
      </c>
      <c r="I189" s="15">
        <f>IF($A189="","",IF(INDEX('潜水記録'!$X$5:$X$3004,$M189)="","",INDEX('潜水記録'!$X$5:$X$3004,$M189)))</f>
        <v/>
      </c>
      <c r="J189" s="15">
        <f>IF($A189="","",IF(INDEX('潜水記録'!$O$5:$O$3004,$M189)="","",INDEX('潜水記録'!$O$5:$O$3004,$M189)))</f>
        <v/>
      </c>
      <c r="K189" s="15">
        <f>IF($A189="","",IF(INDEX('潜水記録'!$P$5:$P$3004,$M189)="","",INDEX('潜水記録'!$P$5:$P$3004,$M189)))</f>
        <v/>
      </c>
      <c r="L189" s="14">
        <f>IF($A189="","",IF(INDEX('潜水記録'!$Q$5:$Q$3004,$M189)="","",INDEX('潜水記録'!$Q$5:$Q$3004,$M189)))</f>
        <v/>
      </c>
      <c r="M189" s="20">
        <f>IF($A189="","",MATCH($A189,'潜水記録'!$AG$5:$AG$3004,0))</f>
        <v/>
      </c>
    </row>
    <row r="190">
      <c r="A190" s="15">
        <f>IF(181&lt;=$C$6,181,"")</f>
        <v/>
      </c>
      <c r="B190" s="16">
        <f>IF($A190="","",IF(INDEX('潜水記録'!$A$5:$A$3004,$M190)="","",INDEX('潜水記録'!$A$5:$A$3004,$M190)))</f>
        <v/>
      </c>
      <c r="C190" s="15">
        <f>IF($A190="","",IF(INDEX('潜水記録'!$D$5:$D$3004,$M190)="","",INDEX('潜水記録'!$D$5:$D$3004,$M190)))</f>
        <v/>
      </c>
      <c r="D190" s="14">
        <f>IF($A190="","",IF(INDEX('潜水記録'!$E$5:$E$3004,$M190)="","",INDEX('潜水記録'!$E$5:$E$3004,$M190)))</f>
        <v/>
      </c>
      <c r="E190" s="14">
        <f>IF($A190="","",IF(INDEX('潜水記録'!$F$5:$F$3004,$M190)="","",INDEX('潜水記録'!$F$5:$F$3004,$M190)))</f>
        <v/>
      </c>
      <c r="F190" s="15">
        <f>IF($A190="","",IF(INDEX('潜水記録'!$G$5:$G$3004,$M190)="","",INDEX('潜水記録'!$G$5:$G$3004,$M190)))</f>
        <v/>
      </c>
      <c r="G190" s="15">
        <f>IF($A190="","",IF(INDEX('潜水記録'!$H$5:$H$3004,$M190)="","",INDEX('潜水記録'!$H$5:$H$3004,$M190)))</f>
        <v/>
      </c>
      <c r="H190" s="15">
        <f>IF($A190="","",IF(INDEX('潜水記録'!$I$5:$I$3004,$M190)="","",INDEX('潜水記録'!$I$5:$I$3004,$M190)))</f>
        <v/>
      </c>
      <c r="I190" s="15">
        <f>IF($A190="","",IF(INDEX('潜水記録'!$X$5:$X$3004,$M190)="","",INDEX('潜水記録'!$X$5:$X$3004,$M190)))</f>
        <v/>
      </c>
      <c r="J190" s="15">
        <f>IF($A190="","",IF(INDEX('潜水記録'!$O$5:$O$3004,$M190)="","",INDEX('潜水記録'!$O$5:$O$3004,$M190)))</f>
        <v/>
      </c>
      <c r="K190" s="15">
        <f>IF($A190="","",IF(INDEX('潜水記録'!$P$5:$P$3004,$M190)="","",INDEX('潜水記録'!$P$5:$P$3004,$M190)))</f>
        <v/>
      </c>
      <c r="L190" s="14">
        <f>IF($A190="","",IF(INDEX('潜水記録'!$Q$5:$Q$3004,$M190)="","",INDEX('潜水記録'!$Q$5:$Q$3004,$M190)))</f>
        <v/>
      </c>
      <c r="M190" s="20">
        <f>IF($A190="","",MATCH($A190,'潜水記録'!$AG$5:$AG$3004,0))</f>
        <v/>
      </c>
    </row>
    <row r="191">
      <c r="A191" s="15">
        <f>IF(182&lt;=$C$6,182,"")</f>
        <v/>
      </c>
      <c r="B191" s="16">
        <f>IF($A191="","",IF(INDEX('潜水記録'!$A$5:$A$3004,$M191)="","",INDEX('潜水記録'!$A$5:$A$3004,$M191)))</f>
        <v/>
      </c>
      <c r="C191" s="15">
        <f>IF($A191="","",IF(INDEX('潜水記録'!$D$5:$D$3004,$M191)="","",INDEX('潜水記録'!$D$5:$D$3004,$M191)))</f>
        <v/>
      </c>
      <c r="D191" s="14">
        <f>IF($A191="","",IF(INDEX('潜水記録'!$E$5:$E$3004,$M191)="","",INDEX('潜水記録'!$E$5:$E$3004,$M191)))</f>
        <v/>
      </c>
      <c r="E191" s="14">
        <f>IF($A191="","",IF(INDEX('潜水記録'!$F$5:$F$3004,$M191)="","",INDEX('潜水記録'!$F$5:$F$3004,$M191)))</f>
        <v/>
      </c>
      <c r="F191" s="15">
        <f>IF($A191="","",IF(INDEX('潜水記録'!$G$5:$G$3004,$M191)="","",INDEX('潜水記録'!$G$5:$G$3004,$M191)))</f>
        <v/>
      </c>
      <c r="G191" s="15">
        <f>IF($A191="","",IF(INDEX('潜水記録'!$H$5:$H$3004,$M191)="","",INDEX('潜水記録'!$H$5:$H$3004,$M191)))</f>
        <v/>
      </c>
      <c r="H191" s="15">
        <f>IF($A191="","",IF(INDEX('潜水記録'!$I$5:$I$3004,$M191)="","",INDEX('潜水記録'!$I$5:$I$3004,$M191)))</f>
        <v/>
      </c>
      <c r="I191" s="15">
        <f>IF($A191="","",IF(INDEX('潜水記録'!$X$5:$X$3004,$M191)="","",INDEX('潜水記録'!$X$5:$X$3004,$M191)))</f>
        <v/>
      </c>
      <c r="J191" s="15">
        <f>IF($A191="","",IF(INDEX('潜水記録'!$O$5:$O$3004,$M191)="","",INDEX('潜水記録'!$O$5:$O$3004,$M191)))</f>
        <v/>
      </c>
      <c r="K191" s="15">
        <f>IF($A191="","",IF(INDEX('潜水記録'!$P$5:$P$3004,$M191)="","",INDEX('潜水記録'!$P$5:$P$3004,$M191)))</f>
        <v/>
      </c>
      <c r="L191" s="14">
        <f>IF($A191="","",IF(INDEX('潜水記録'!$Q$5:$Q$3004,$M191)="","",INDEX('潜水記録'!$Q$5:$Q$3004,$M191)))</f>
        <v/>
      </c>
      <c r="M191" s="20">
        <f>IF($A191="","",MATCH($A191,'潜水記録'!$AG$5:$AG$3004,0))</f>
        <v/>
      </c>
    </row>
    <row r="192">
      <c r="A192" s="15">
        <f>IF(183&lt;=$C$6,183,"")</f>
        <v/>
      </c>
      <c r="B192" s="16">
        <f>IF($A192="","",IF(INDEX('潜水記録'!$A$5:$A$3004,$M192)="","",INDEX('潜水記録'!$A$5:$A$3004,$M192)))</f>
        <v/>
      </c>
      <c r="C192" s="15">
        <f>IF($A192="","",IF(INDEX('潜水記録'!$D$5:$D$3004,$M192)="","",INDEX('潜水記録'!$D$5:$D$3004,$M192)))</f>
        <v/>
      </c>
      <c r="D192" s="14">
        <f>IF($A192="","",IF(INDEX('潜水記録'!$E$5:$E$3004,$M192)="","",INDEX('潜水記録'!$E$5:$E$3004,$M192)))</f>
        <v/>
      </c>
      <c r="E192" s="14">
        <f>IF($A192="","",IF(INDEX('潜水記録'!$F$5:$F$3004,$M192)="","",INDEX('潜水記録'!$F$5:$F$3004,$M192)))</f>
        <v/>
      </c>
      <c r="F192" s="15">
        <f>IF($A192="","",IF(INDEX('潜水記録'!$G$5:$G$3004,$M192)="","",INDEX('潜水記録'!$G$5:$G$3004,$M192)))</f>
        <v/>
      </c>
      <c r="G192" s="15">
        <f>IF($A192="","",IF(INDEX('潜水記録'!$H$5:$H$3004,$M192)="","",INDEX('潜水記録'!$H$5:$H$3004,$M192)))</f>
        <v/>
      </c>
      <c r="H192" s="15">
        <f>IF($A192="","",IF(INDEX('潜水記録'!$I$5:$I$3004,$M192)="","",INDEX('潜水記録'!$I$5:$I$3004,$M192)))</f>
        <v/>
      </c>
      <c r="I192" s="15">
        <f>IF($A192="","",IF(INDEX('潜水記録'!$X$5:$X$3004,$M192)="","",INDEX('潜水記録'!$X$5:$X$3004,$M192)))</f>
        <v/>
      </c>
      <c r="J192" s="15">
        <f>IF($A192="","",IF(INDEX('潜水記録'!$O$5:$O$3004,$M192)="","",INDEX('潜水記録'!$O$5:$O$3004,$M192)))</f>
        <v/>
      </c>
      <c r="K192" s="15">
        <f>IF($A192="","",IF(INDEX('潜水記録'!$P$5:$P$3004,$M192)="","",INDEX('潜水記録'!$P$5:$P$3004,$M192)))</f>
        <v/>
      </c>
      <c r="L192" s="14">
        <f>IF($A192="","",IF(INDEX('潜水記録'!$Q$5:$Q$3004,$M192)="","",INDEX('潜水記録'!$Q$5:$Q$3004,$M192)))</f>
        <v/>
      </c>
      <c r="M192" s="20">
        <f>IF($A192="","",MATCH($A192,'潜水記録'!$AG$5:$AG$3004,0))</f>
        <v/>
      </c>
    </row>
    <row r="193">
      <c r="A193" s="15">
        <f>IF(184&lt;=$C$6,184,"")</f>
        <v/>
      </c>
      <c r="B193" s="16">
        <f>IF($A193="","",IF(INDEX('潜水記録'!$A$5:$A$3004,$M193)="","",INDEX('潜水記録'!$A$5:$A$3004,$M193)))</f>
        <v/>
      </c>
      <c r="C193" s="15">
        <f>IF($A193="","",IF(INDEX('潜水記録'!$D$5:$D$3004,$M193)="","",INDEX('潜水記録'!$D$5:$D$3004,$M193)))</f>
        <v/>
      </c>
      <c r="D193" s="14">
        <f>IF($A193="","",IF(INDEX('潜水記録'!$E$5:$E$3004,$M193)="","",INDEX('潜水記録'!$E$5:$E$3004,$M193)))</f>
        <v/>
      </c>
      <c r="E193" s="14">
        <f>IF($A193="","",IF(INDEX('潜水記録'!$F$5:$F$3004,$M193)="","",INDEX('潜水記録'!$F$5:$F$3004,$M193)))</f>
        <v/>
      </c>
      <c r="F193" s="15">
        <f>IF($A193="","",IF(INDEX('潜水記録'!$G$5:$G$3004,$M193)="","",INDEX('潜水記録'!$G$5:$G$3004,$M193)))</f>
        <v/>
      </c>
      <c r="G193" s="15">
        <f>IF($A193="","",IF(INDEX('潜水記録'!$H$5:$H$3004,$M193)="","",INDEX('潜水記録'!$H$5:$H$3004,$M193)))</f>
        <v/>
      </c>
      <c r="H193" s="15">
        <f>IF($A193="","",IF(INDEX('潜水記録'!$I$5:$I$3004,$M193)="","",INDEX('潜水記録'!$I$5:$I$3004,$M193)))</f>
        <v/>
      </c>
      <c r="I193" s="15">
        <f>IF($A193="","",IF(INDEX('潜水記録'!$X$5:$X$3004,$M193)="","",INDEX('潜水記録'!$X$5:$X$3004,$M193)))</f>
        <v/>
      </c>
      <c r="J193" s="15">
        <f>IF($A193="","",IF(INDEX('潜水記録'!$O$5:$O$3004,$M193)="","",INDEX('潜水記録'!$O$5:$O$3004,$M193)))</f>
        <v/>
      </c>
      <c r="K193" s="15">
        <f>IF($A193="","",IF(INDEX('潜水記録'!$P$5:$P$3004,$M193)="","",INDEX('潜水記録'!$P$5:$P$3004,$M193)))</f>
        <v/>
      </c>
      <c r="L193" s="14">
        <f>IF($A193="","",IF(INDEX('潜水記録'!$Q$5:$Q$3004,$M193)="","",INDEX('潜水記録'!$Q$5:$Q$3004,$M193)))</f>
        <v/>
      </c>
      <c r="M193" s="20">
        <f>IF($A193="","",MATCH($A193,'潜水記録'!$AG$5:$AG$3004,0))</f>
        <v/>
      </c>
    </row>
    <row r="194">
      <c r="A194" s="15">
        <f>IF(185&lt;=$C$6,185,"")</f>
        <v/>
      </c>
      <c r="B194" s="16">
        <f>IF($A194="","",IF(INDEX('潜水記録'!$A$5:$A$3004,$M194)="","",INDEX('潜水記録'!$A$5:$A$3004,$M194)))</f>
        <v/>
      </c>
      <c r="C194" s="15">
        <f>IF($A194="","",IF(INDEX('潜水記録'!$D$5:$D$3004,$M194)="","",INDEX('潜水記録'!$D$5:$D$3004,$M194)))</f>
        <v/>
      </c>
      <c r="D194" s="14">
        <f>IF($A194="","",IF(INDEX('潜水記録'!$E$5:$E$3004,$M194)="","",INDEX('潜水記録'!$E$5:$E$3004,$M194)))</f>
        <v/>
      </c>
      <c r="E194" s="14">
        <f>IF($A194="","",IF(INDEX('潜水記録'!$F$5:$F$3004,$M194)="","",INDEX('潜水記録'!$F$5:$F$3004,$M194)))</f>
        <v/>
      </c>
      <c r="F194" s="15">
        <f>IF($A194="","",IF(INDEX('潜水記録'!$G$5:$G$3004,$M194)="","",INDEX('潜水記録'!$G$5:$G$3004,$M194)))</f>
        <v/>
      </c>
      <c r="G194" s="15">
        <f>IF($A194="","",IF(INDEX('潜水記録'!$H$5:$H$3004,$M194)="","",INDEX('潜水記録'!$H$5:$H$3004,$M194)))</f>
        <v/>
      </c>
      <c r="H194" s="15">
        <f>IF($A194="","",IF(INDEX('潜水記録'!$I$5:$I$3004,$M194)="","",INDEX('潜水記録'!$I$5:$I$3004,$M194)))</f>
        <v/>
      </c>
      <c r="I194" s="15">
        <f>IF($A194="","",IF(INDEX('潜水記録'!$X$5:$X$3004,$M194)="","",INDEX('潜水記録'!$X$5:$X$3004,$M194)))</f>
        <v/>
      </c>
      <c r="J194" s="15">
        <f>IF($A194="","",IF(INDEX('潜水記録'!$O$5:$O$3004,$M194)="","",INDEX('潜水記録'!$O$5:$O$3004,$M194)))</f>
        <v/>
      </c>
      <c r="K194" s="15">
        <f>IF($A194="","",IF(INDEX('潜水記録'!$P$5:$P$3004,$M194)="","",INDEX('潜水記録'!$P$5:$P$3004,$M194)))</f>
        <v/>
      </c>
      <c r="L194" s="14">
        <f>IF($A194="","",IF(INDEX('潜水記録'!$Q$5:$Q$3004,$M194)="","",INDEX('潜水記録'!$Q$5:$Q$3004,$M194)))</f>
        <v/>
      </c>
      <c r="M194" s="20">
        <f>IF($A194="","",MATCH($A194,'潜水記録'!$AG$5:$AG$3004,0))</f>
        <v/>
      </c>
    </row>
    <row r="195">
      <c r="A195" s="15">
        <f>IF(186&lt;=$C$6,186,"")</f>
        <v/>
      </c>
      <c r="B195" s="16">
        <f>IF($A195="","",IF(INDEX('潜水記録'!$A$5:$A$3004,$M195)="","",INDEX('潜水記録'!$A$5:$A$3004,$M195)))</f>
        <v/>
      </c>
      <c r="C195" s="15">
        <f>IF($A195="","",IF(INDEX('潜水記録'!$D$5:$D$3004,$M195)="","",INDEX('潜水記録'!$D$5:$D$3004,$M195)))</f>
        <v/>
      </c>
      <c r="D195" s="14">
        <f>IF($A195="","",IF(INDEX('潜水記録'!$E$5:$E$3004,$M195)="","",INDEX('潜水記録'!$E$5:$E$3004,$M195)))</f>
        <v/>
      </c>
      <c r="E195" s="14">
        <f>IF($A195="","",IF(INDEX('潜水記録'!$F$5:$F$3004,$M195)="","",INDEX('潜水記録'!$F$5:$F$3004,$M195)))</f>
        <v/>
      </c>
      <c r="F195" s="15">
        <f>IF($A195="","",IF(INDEX('潜水記録'!$G$5:$G$3004,$M195)="","",INDEX('潜水記録'!$G$5:$G$3004,$M195)))</f>
        <v/>
      </c>
      <c r="G195" s="15">
        <f>IF($A195="","",IF(INDEX('潜水記録'!$H$5:$H$3004,$M195)="","",INDEX('潜水記録'!$H$5:$H$3004,$M195)))</f>
        <v/>
      </c>
      <c r="H195" s="15">
        <f>IF($A195="","",IF(INDEX('潜水記録'!$I$5:$I$3004,$M195)="","",INDEX('潜水記録'!$I$5:$I$3004,$M195)))</f>
        <v/>
      </c>
      <c r="I195" s="15">
        <f>IF($A195="","",IF(INDEX('潜水記録'!$X$5:$X$3004,$M195)="","",INDEX('潜水記録'!$X$5:$X$3004,$M195)))</f>
        <v/>
      </c>
      <c r="J195" s="15">
        <f>IF($A195="","",IF(INDEX('潜水記録'!$O$5:$O$3004,$M195)="","",INDEX('潜水記録'!$O$5:$O$3004,$M195)))</f>
        <v/>
      </c>
      <c r="K195" s="15">
        <f>IF($A195="","",IF(INDEX('潜水記録'!$P$5:$P$3004,$M195)="","",INDEX('潜水記録'!$P$5:$P$3004,$M195)))</f>
        <v/>
      </c>
      <c r="L195" s="14">
        <f>IF($A195="","",IF(INDEX('潜水記録'!$Q$5:$Q$3004,$M195)="","",INDEX('潜水記録'!$Q$5:$Q$3004,$M195)))</f>
        <v/>
      </c>
      <c r="M195" s="20">
        <f>IF($A195="","",MATCH($A195,'潜水記録'!$AG$5:$AG$3004,0))</f>
        <v/>
      </c>
    </row>
    <row r="196">
      <c r="A196" s="15">
        <f>IF(187&lt;=$C$6,187,"")</f>
        <v/>
      </c>
      <c r="B196" s="16">
        <f>IF($A196="","",IF(INDEX('潜水記録'!$A$5:$A$3004,$M196)="","",INDEX('潜水記録'!$A$5:$A$3004,$M196)))</f>
        <v/>
      </c>
      <c r="C196" s="15">
        <f>IF($A196="","",IF(INDEX('潜水記録'!$D$5:$D$3004,$M196)="","",INDEX('潜水記録'!$D$5:$D$3004,$M196)))</f>
        <v/>
      </c>
      <c r="D196" s="14">
        <f>IF($A196="","",IF(INDEX('潜水記録'!$E$5:$E$3004,$M196)="","",INDEX('潜水記録'!$E$5:$E$3004,$M196)))</f>
        <v/>
      </c>
      <c r="E196" s="14">
        <f>IF($A196="","",IF(INDEX('潜水記録'!$F$5:$F$3004,$M196)="","",INDEX('潜水記録'!$F$5:$F$3004,$M196)))</f>
        <v/>
      </c>
      <c r="F196" s="15">
        <f>IF($A196="","",IF(INDEX('潜水記録'!$G$5:$G$3004,$M196)="","",INDEX('潜水記録'!$G$5:$G$3004,$M196)))</f>
        <v/>
      </c>
      <c r="G196" s="15">
        <f>IF($A196="","",IF(INDEX('潜水記録'!$H$5:$H$3004,$M196)="","",INDEX('潜水記録'!$H$5:$H$3004,$M196)))</f>
        <v/>
      </c>
      <c r="H196" s="15">
        <f>IF($A196="","",IF(INDEX('潜水記録'!$I$5:$I$3004,$M196)="","",INDEX('潜水記録'!$I$5:$I$3004,$M196)))</f>
        <v/>
      </c>
      <c r="I196" s="15">
        <f>IF($A196="","",IF(INDEX('潜水記録'!$X$5:$X$3004,$M196)="","",INDEX('潜水記録'!$X$5:$X$3004,$M196)))</f>
        <v/>
      </c>
      <c r="J196" s="15">
        <f>IF($A196="","",IF(INDEX('潜水記録'!$O$5:$O$3004,$M196)="","",INDEX('潜水記録'!$O$5:$O$3004,$M196)))</f>
        <v/>
      </c>
      <c r="K196" s="15">
        <f>IF($A196="","",IF(INDEX('潜水記録'!$P$5:$P$3004,$M196)="","",INDEX('潜水記録'!$P$5:$P$3004,$M196)))</f>
        <v/>
      </c>
      <c r="L196" s="14">
        <f>IF($A196="","",IF(INDEX('潜水記録'!$Q$5:$Q$3004,$M196)="","",INDEX('潜水記録'!$Q$5:$Q$3004,$M196)))</f>
        <v/>
      </c>
      <c r="M196" s="20">
        <f>IF($A196="","",MATCH($A196,'潜水記録'!$AG$5:$AG$3004,0))</f>
        <v/>
      </c>
    </row>
    <row r="197">
      <c r="A197" s="15">
        <f>IF(188&lt;=$C$6,188,"")</f>
        <v/>
      </c>
      <c r="B197" s="16">
        <f>IF($A197="","",IF(INDEX('潜水記録'!$A$5:$A$3004,$M197)="","",INDEX('潜水記録'!$A$5:$A$3004,$M197)))</f>
        <v/>
      </c>
      <c r="C197" s="15">
        <f>IF($A197="","",IF(INDEX('潜水記録'!$D$5:$D$3004,$M197)="","",INDEX('潜水記録'!$D$5:$D$3004,$M197)))</f>
        <v/>
      </c>
      <c r="D197" s="14">
        <f>IF($A197="","",IF(INDEX('潜水記録'!$E$5:$E$3004,$M197)="","",INDEX('潜水記録'!$E$5:$E$3004,$M197)))</f>
        <v/>
      </c>
      <c r="E197" s="14">
        <f>IF($A197="","",IF(INDEX('潜水記録'!$F$5:$F$3004,$M197)="","",INDEX('潜水記録'!$F$5:$F$3004,$M197)))</f>
        <v/>
      </c>
      <c r="F197" s="15">
        <f>IF($A197="","",IF(INDEX('潜水記録'!$G$5:$G$3004,$M197)="","",INDEX('潜水記録'!$G$5:$G$3004,$M197)))</f>
        <v/>
      </c>
      <c r="G197" s="15">
        <f>IF($A197="","",IF(INDEX('潜水記録'!$H$5:$H$3004,$M197)="","",INDEX('潜水記録'!$H$5:$H$3004,$M197)))</f>
        <v/>
      </c>
      <c r="H197" s="15">
        <f>IF($A197="","",IF(INDEX('潜水記録'!$I$5:$I$3004,$M197)="","",INDEX('潜水記録'!$I$5:$I$3004,$M197)))</f>
        <v/>
      </c>
      <c r="I197" s="15">
        <f>IF($A197="","",IF(INDEX('潜水記録'!$X$5:$X$3004,$M197)="","",INDEX('潜水記録'!$X$5:$X$3004,$M197)))</f>
        <v/>
      </c>
      <c r="J197" s="15">
        <f>IF($A197="","",IF(INDEX('潜水記録'!$O$5:$O$3004,$M197)="","",INDEX('潜水記録'!$O$5:$O$3004,$M197)))</f>
        <v/>
      </c>
      <c r="K197" s="15">
        <f>IF($A197="","",IF(INDEX('潜水記録'!$P$5:$P$3004,$M197)="","",INDEX('潜水記録'!$P$5:$P$3004,$M197)))</f>
        <v/>
      </c>
      <c r="L197" s="14">
        <f>IF($A197="","",IF(INDEX('潜水記録'!$Q$5:$Q$3004,$M197)="","",INDEX('潜水記録'!$Q$5:$Q$3004,$M197)))</f>
        <v/>
      </c>
      <c r="M197" s="20">
        <f>IF($A197="","",MATCH($A197,'潜水記録'!$AG$5:$AG$3004,0))</f>
        <v/>
      </c>
    </row>
    <row r="198">
      <c r="A198" s="15">
        <f>IF(189&lt;=$C$6,189,"")</f>
        <v/>
      </c>
      <c r="B198" s="16">
        <f>IF($A198="","",IF(INDEX('潜水記録'!$A$5:$A$3004,$M198)="","",INDEX('潜水記録'!$A$5:$A$3004,$M198)))</f>
        <v/>
      </c>
      <c r="C198" s="15">
        <f>IF($A198="","",IF(INDEX('潜水記録'!$D$5:$D$3004,$M198)="","",INDEX('潜水記録'!$D$5:$D$3004,$M198)))</f>
        <v/>
      </c>
      <c r="D198" s="14">
        <f>IF($A198="","",IF(INDEX('潜水記録'!$E$5:$E$3004,$M198)="","",INDEX('潜水記録'!$E$5:$E$3004,$M198)))</f>
        <v/>
      </c>
      <c r="E198" s="14">
        <f>IF($A198="","",IF(INDEX('潜水記録'!$F$5:$F$3004,$M198)="","",INDEX('潜水記録'!$F$5:$F$3004,$M198)))</f>
        <v/>
      </c>
      <c r="F198" s="15">
        <f>IF($A198="","",IF(INDEX('潜水記録'!$G$5:$G$3004,$M198)="","",INDEX('潜水記録'!$G$5:$G$3004,$M198)))</f>
        <v/>
      </c>
      <c r="G198" s="15">
        <f>IF($A198="","",IF(INDEX('潜水記録'!$H$5:$H$3004,$M198)="","",INDEX('潜水記録'!$H$5:$H$3004,$M198)))</f>
        <v/>
      </c>
      <c r="H198" s="15">
        <f>IF($A198="","",IF(INDEX('潜水記録'!$I$5:$I$3004,$M198)="","",INDEX('潜水記録'!$I$5:$I$3004,$M198)))</f>
        <v/>
      </c>
      <c r="I198" s="15">
        <f>IF($A198="","",IF(INDEX('潜水記録'!$X$5:$X$3004,$M198)="","",INDEX('潜水記録'!$X$5:$X$3004,$M198)))</f>
        <v/>
      </c>
      <c r="J198" s="15">
        <f>IF($A198="","",IF(INDEX('潜水記録'!$O$5:$O$3004,$M198)="","",INDEX('潜水記録'!$O$5:$O$3004,$M198)))</f>
        <v/>
      </c>
      <c r="K198" s="15">
        <f>IF($A198="","",IF(INDEX('潜水記録'!$P$5:$P$3004,$M198)="","",INDEX('潜水記録'!$P$5:$P$3004,$M198)))</f>
        <v/>
      </c>
      <c r="L198" s="14">
        <f>IF($A198="","",IF(INDEX('潜水記録'!$Q$5:$Q$3004,$M198)="","",INDEX('潜水記録'!$Q$5:$Q$3004,$M198)))</f>
        <v/>
      </c>
      <c r="M198" s="20">
        <f>IF($A198="","",MATCH($A198,'潜水記録'!$AG$5:$AG$3004,0))</f>
        <v/>
      </c>
    </row>
    <row r="199">
      <c r="A199" s="15">
        <f>IF(190&lt;=$C$6,190,"")</f>
        <v/>
      </c>
      <c r="B199" s="16">
        <f>IF($A199="","",IF(INDEX('潜水記録'!$A$5:$A$3004,$M199)="","",INDEX('潜水記録'!$A$5:$A$3004,$M199)))</f>
        <v/>
      </c>
      <c r="C199" s="15">
        <f>IF($A199="","",IF(INDEX('潜水記録'!$D$5:$D$3004,$M199)="","",INDEX('潜水記録'!$D$5:$D$3004,$M199)))</f>
        <v/>
      </c>
      <c r="D199" s="14">
        <f>IF($A199="","",IF(INDEX('潜水記録'!$E$5:$E$3004,$M199)="","",INDEX('潜水記録'!$E$5:$E$3004,$M199)))</f>
        <v/>
      </c>
      <c r="E199" s="14">
        <f>IF($A199="","",IF(INDEX('潜水記録'!$F$5:$F$3004,$M199)="","",INDEX('潜水記録'!$F$5:$F$3004,$M199)))</f>
        <v/>
      </c>
      <c r="F199" s="15">
        <f>IF($A199="","",IF(INDEX('潜水記録'!$G$5:$G$3004,$M199)="","",INDEX('潜水記録'!$G$5:$G$3004,$M199)))</f>
        <v/>
      </c>
      <c r="G199" s="15">
        <f>IF($A199="","",IF(INDEX('潜水記録'!$H$5:$H$3004,$M199)="","",INDEX('潜水記録'!$H$5:$H$3004,$M199)))</f>
        <v/>
      </c>
      <c r="H199" s="15">
        <f>IF($A199="","",IF(INDEX('潜水記録'!$I$5:$I$3004,$M199)="","",INDEX('潜水記録'!$I$5:$I$3004,$M199)))</f>
        <v/>
      </c>
      <c r="I199" s="15">
        <f>IF($A199="","",IF(INDEX('潜水記録'!$X$5:$X$3004,$M199)="","",INDEX('潜水記録'!$X$5:$X$3004,$M199)))</f>
        <v/>
      </c>
      <c r="J199" s="15">
        <f>IF($A199="","",IF(INDEX('潜水記録'!$O$5:$O$3004,$M199)="","",INDEX('潜水記録'!$O$5:$O$3004,$M199)))</f>
        <v/>
      </c>
      <c r="K199" s="15">
        <f>IF($A199="","",IF(INDEX('潜水記録'!$P$5:$P$3004,$M199)="","",INDEX('潜水記録'!$P$5:$P$3004,$M199)))</f>
        <v/>
      </c>
      <c r="L199" s="14">
        <f>IF($A199="","",IF(INDEX('潜水記録'!$Q$5:$Q$3004,$M199)="","",INDEX('潜水記録'!$Q$5:$Q$3004,$M199)))</f>
        <v/>
      </c>
      <c r="M199" s="20">
        <f>IF($A199="","",MATCH($A199,'潜水記録'!$AG$5:$AG$3004,0))</f>
        <v/>
      </c>
    </row>
    <row r="200">
      <c r="A200" s="15">
        <f>IF(191&lt;=$C$6,191,"")</f>
        <v/>
      </c>
      <c r="B200" s="16">
        <f>IF($A200="","",IF(INDEX('潜水記録'!$A$5:$A$3004,$M200)="","",INDEX('潜水記録'!$A$5:$A$3004,$M200)))</f>
        <v/>
      </c>
      <c r="C200" s="15">
        <f>IF($A200="","",IF(INDEX('潜水記録'!$D$5:$D$3004,$M200)="","",INDEX('潜水記録'!$D$5:$D$3004,$M200)))</f>
        <v/>
      </c>
      <c r="D200" s="14">
        <f>IF($A200="","",IF(INDEX('潜水記録'!$E$5:$E$3004,$M200)="","",INDEX('潜水記録'!$E$5:$E$3004,$M200)))</f>
        <v/>
      </c>
      <c r="E200" s="14">
        <f>IF($A200="","",IF(INDEX('潜水記録'!$F$5:$F$3004,$M200)="","",INDEX('潜水記録'!$F$5:$F$3004,$M200)))</f>
        <v/>
      </c>
      <c r="F200" s="15">
        <f>IF($A200="","",IF(INDEX('潜水記録'!$G$5:$G$3004,$M200)="","",INDEX('潜水記録'!$G$5:$G$3004,$M200)))</f>
        <v/>
      </c>
      <c r="G200" s="15">
        <f>IF($A200="","",IF(INDEX('潜水記録'!$H$5:$H$3004,$M200)="","",INDEX('潜水記録'!$H$5:$H$3004,$M200)))</f>
        <v/>
      </c>
      <c r="H200" s="15">
        <f>IF($A200="","",IF(INDEX('潜水記録'!$I$5:$I$3004,$M200)="","",INDEX('潜水記録'!$I$5:$I$3004,$M200)))</f>
        <v/>
      </c>
      <c r="I200" s="15">
        <f>IF($A200="","",IF(INDEX('潜水記録'!$X$5:$X$3004,$M200)="","",INDEX('潜水記録'!$X$5:$X$3004,$M200)))</f>
        <v/>
      </c>
      <c r="J200" s="15">
        <f>IF($A200="","",IF(INDEX('潜水記録'!$O$5:$O$3004,$M200)="","",INDEX('潜水記録'!$O$5:$O$3004,$M200)))</f>
        <v/>
      </c>
      <c r="K200" s="15">
        <f>IF($A200="","",IF(INDEX('潜水記録'!$P$5:$P$3004,$M200)="","",INDEX('潜水記録'!$P$5:$P$3004,$M200)))</f>
        <v/>
      </c>
      <c r="L200" s="14">
        <f>IF($A200="","",IF(INDEX('潜水記録'!$Q$5:$Q$3004,$M200)="","",INDEX('潜水記録'!$Q$5:$Q$3004,$M200)))</f>
        <v/>
      </c>
      <c r="M200" s="20">
        <f>IF($A200="","",MATCH($A200,'潜水記録'!$AG$5:$AG$3004,0))</f>
        <v/>
      </c>
    </row>
    <row r="201">
      <c r="A201" s="15">
        <f>IF(192&lt;=$C$6,192,"")</f>
        <v/>
      </c>
      <c r="B201" s="16">
        <f>IF($A201="","",IF(INDEX('潜水記録'!$A$5:$A$3004,$M201)="","",INDEX('潜水記録'!$A$5:$A$3004,$M201)))</f>
        <v/>
      </c>
      <c r="C201" s="15">
        <f>IF($A201="","",IF(INDEX('潜水記録'!$D$5:$D$3004,$M201)="","",INDEX('潜水記録'!$D$5:$D$3004,$M201)))</f>
        <v/>
      </c>
      <c r="D201" s="14">
        <f>IF($A201="","",IF(INDEX('潜水記録'!$E$5:$E$3004,$M201)="","",INDEX('潜水記録'!$E$5:$E$3004,$M201)))</f>
        <v/>
      </c>
      <c r="E201" s="14">
        <f>IF($A201="","",IF(INDEX('潜水記録'!$F$5:$F$3004,$M201)="","",INDEX('潜水記録'!$F$5:$F$3004,$M201)))</f>
        <v/>
      </c>
      <c r="F201" s="15">
        <f>IF($A201="","",IF(INDEX('潜水記録'!$G$5:$G$3004,$M201)="","",INDEX('潜水記録'!$G$5:$G$3004,$M201)))</f>
        <v/>
      </c>
      <c r="G201" s="15">
        <f>IF($A201="","",IF(INDEX('潜水記録'!$H$5:$H$3004,$M201)="","",INDEX('潜水記録'!$H$5:$H$3004,$M201)))</f>
        <v/>
      </c>
      <c r="H201" s="15">
        <f>IF($A201="","",IF(INDEX('潜水記録'!$I$5:$I$3004,$M201)="","",INDEX('潜水記録'!$I$5:$I$3004,$M201)))</f>
        <v/>
      </c>
      <c r="I201" s="15">
        <f>IF($A201="","",IF(INDEX('潜水記録'!$X$5:$X$3004,$M201)="","",INDEX('潜水記録'!$X$5:$X$3004,$M201)))</f>
        <v/>
      </c>
      <c r="J201" s="15">
        <f>IF($A201="","",IF(INDEX('潜水記録'!$O$5:$O$3004,$M201)="","",INDEX('潜水記録'!$O$5:$O$3004,$M201)))</f>
        <v/>
      </c>
      <c r="K201" s="15">
        <f>IF($A201="","",IF(INDEX('潜水記録'!$P$5:$P$3004,$M201)="","",INDEX('潜水記録'!$P$5:$P$3004,$M201)))</f>
        <v/>
      </c>
      <c r="L201" s="14">
        <f>IF($A201="","",IF(INDEX('潜水記録'!$Q$5:$Q$3004,$M201)="","",INDEX('潜水記録'!$Q$5:$Q$3004,$M201)))</f>
        <v/>
      </c>
      <c r="M201" s="20">
        <f>IF($A201="","",MATCH($A201,'潜水記録'!$AG$5:$AG$3004,0))</f>
        <v/>
      </c>
    </row>
    <row r="202">
      <c r="A202" s="15">
        <f>IF(193&lt;=$C$6,193,"")</f>
        <v/>
      </c>
      <c r="B202" s="16">
        <f>IF($A202="","",IF(INDEX('潜水記録'!$A$5:$A$3004,$M202)="","",INDEX('潜水記録'!$A$5:$A$3004,$M202)))</f>
        <v/>
      </c>
      <c r="C202" s="15">
        <f>IF($A202="","",IF(INDEX('潜水記録'!$D$5:$D$3004,$M202)="","",INDEX('潜水記録'!$D$5:$D$3004,$M202)))</f>
        <v/>
      </c>
      <c r="D202" s="14">
        <f>IF($A202="","",IF(INDEX('潜水記録'!$E$5:$E$3004,$M202)="","",INDEX('潜水記録'!$E$5:$E$3004,$M202)))</f>
        <v/>
      </c>
      <c r="E202" s="14">
        <f>IF($A202="","",IF(INDEX('潜水記録'!$F$5:$F$3004,$M202)="","",INDEX('潜水記録'!$F$5:$F$3004,$M202)))</f>
        <v/>
      </c>
      <c r="F202" s="15">
        <f>IF($A202="","",IF(INDEX('潜水記録'!$G$5:$G$3004,$M202)="","",INDEX('潜水記録'!$G$5:$G$3004,$M202)))</f>
        <v/>
      </c>
      <c r="G202" s="15">
        <f>IF($A202="","",IF(INDEX('潜水記録'!$H$5:$H$3004,$M202)="","",INDEX('潜水記録'!$H$5:$H$3004,$M202)))</f>
        <v/>
      </c>
      <c r="H202" s="15">
        <f>IF($A202="","",IF(INDEX('潜水記録'!$I$5:$I$3004,$M202)="","",INDEX('潜水記録'!$I$5:$I$3004,$M202)))</f>
        <v/>
      </c>
      <c r="I202" s="15">
        <f>IF($A202="","",IF(INDEX('潜水記録'!$X$5:$X$3004,$M202)="","",INDEX('潜水記録'!$X$5:$X$3004,$M202)))</f>
        <v/>
      </c>
      <c r="J202" s="15">
        <f>IF($A202="","",IF(INDEX('潜水記録'!$O$5:$O$3004,$M202)="","",INDEX('潜水記録'!$O$5:$O$3004,$M202)))</f>
        <v/>
      </c>
      <c r="K202" s="15">
        <f>IF($A202="","",IF(INDEX('潜水記録'!$P$5:$P$3004,$M202)="","",INDEX('潜水記録'!$P$5:$P$3004,$M202)))</f>
        <v/>
      </c>
      <c r="L202" s="14">
        <f>IF($A202="","",IF(INDEX('潜水記録'!$Q$5:$Q$3004,$M202)="","",INDEX('潜水記録'!$Q$5:$Q$3004,$M202)))</f>
        <v/>
      </c>
      <c r="M202" s="20">
        <f>IF($A202="","",MATCH($A202,'潜水記録'!$AG$5:$AG$3004,0))</f>
        <v/>
      </c>
    </row>
    <row r="203">
      <c r="A203" s="15">
        <f>IF(194&lt;=$C$6,194,"")</f>
        <v/>
      </c>
      <c r="B203" s="16">
        <f>IF($A203="","",IF(INDEX('潜水記録'!$A$5:$A$3004,$M203)="","",INDEX('潜水記録'!$A$5:$A$3004,$M203)))</f>
        <v/>
      </c>
      <c r="C203" s="15">
        <f>IF($A203="","",IF(INDEX('潜水記録'!$D$5:$D$3004,$M203)="","",INDEX('潜水記録'!$D$5:$D$3004,$M203)))</f>
        <v/>
      </c>
      <c r="D203" s="14">
        <f>IF($A203="","",IF(INDEX('潜水記録'!$E$5:$E$3004,$M203)="","",INDEX('潜水記録'!$E$5:$E$3004,$M203)))</f>
        <v/>
      </c>
      <c r="E203" s="14">
        <f>IF($A203="","",IF(INDEX('潜水記録'!$F$5:$F$3004,$M203)="","",INDEX('潜水記録'!$F$5:$F$3004,$M203)))</f>
        <v/>
      </c>
      <c r="F203" s="15">
        <f>IF($A203="","",IF(INDEX('潜水記録'!$G$5:$G$3004,$M203)="","",INDEX('潜水記録'!$G$5:$G$3004,$M203)))</f>
        <v/>
      </c>
      <c r="G203" s="15">
        <f>IF($A203="","",IF(INDEX('潜水記録'!$H$5:$H$3004,$M203)="","",INDEX('潜水記録'!$H$5:$H$3004,$M203)))</f>
        <v/>
      </c>
      <c r="H203" s="15">
        <f>IF($A203="","",IF(INDEX('潜水記録'!$I$5:$I$3004,$M203)="","",INDEX('潜水記録'!$I$5:$I$3004,$M203)))</f>
        <v/>
      </c>
      <c r="I203" s="15">
        <f>IF($A203="","",IF(INDEX('潜水記録'!$X$5:$X$3004,$M203)="","",INDEX('潜水記録'!$X$5:$X$3004,$M203)))</f>
        <v/>
      </c>
      <c r="J203" s="15">
        <f>IF($A203="","",IF(INDEX('潜水記録'!$O$5:$O$3004,$M203)="","",INDEX('潜水記録'!$O$5:$O$3004,$M203)))</f>
        <v/>
      </c>
      <c r="K203" s="15">
        <f>IF($A203="","",IF(INDEX('潜水記録'!$P$5:$P$3004,$M203)="","",INDEX('潜水記録'!$P$5:$P$3004,$M203)))</f>
        <v/>
      </c>
      <c r="L203" s="14">
        <f>IF($A203="","",IF(INDEX('潜水記録'!$Q$5:$Q$3004,$M203)="","",INDEX('潜水記録'!$Q$5:$Q$3004,$M203)))</f>
        <v/>
      </c>
      <c r="M203" s="20">
        <f>IF($A203="","",MATCH($A203,'潜水記録'!$AG$5:$AG$3004,0))</f>
        <v/>
      </c>
    </row>
    <row r="204">
      <c r="A204" s="15">
        <f>IF(195&lt;=$C$6,195,"")</f>
        <v/>
      </c>
      <c r="B204" s="16">
        <f>IF($A204="","",IF(INDEX('潜水記録'!$A$5:$A$3004,$M204)="","",INDEX('潜水記録'!$A$5:$A$3004,$M204)))</f>
        <v/>
      </c>
      <c r="C204" s="15">
        <f>IF($A204="","",IF(INDEX('潜水記録'!$D$5:$D$3004,$M204)="","",INDEX('潜水記録'!$D$5:$D$3004,$M204)))</f>
        <v/>
      </c>
      <c r="D204" s="14">
        <f>IF($A204="","",IF(INDEX('潜水記録'!$E$5:$E$3004,$M204)="","",INDEX('潜水記録'!$E$5:$E$3004,$M204)))</f>
        <v/>
      </c>
      <c r="E204" s="14">
        <f>IF($A204="","",IF(INDEX('潜水記録'!$F$5:$F$3004,$M204)="","",INDEX('潜水記録'!$F$5:$F$3004,$M204)))</f>
        <v/>
      </c>
      <c r="F204" s="15">
        <f>IF($A204="","",IF(INDEX('潜水記録'!$G$5:$G$3004,$M204)="","",INDEX('潜水記録'!$G$5:$G$3004,$M204)))</f>
        <v/>
      </c>
      <c r="G204" s="15">
        <f>IF($A204="","",IF(INDEX('潜水記録'!$H$5:$H$3004,$M204)="","",INDEX('潜水記録'!$H$5:$H$3004,$M204)))</f>
        <v/>
      </c>
      <c r="H204" s="15">
        <f>IF($A204="","",IF(INDEX('潜水記録'!$I$5:$I$3004,$M204)="","",INDEX('潜水記録'!$I$5:$I$3004,$M204)))</f>
        <v/>
      </c>
      <c r="I204" s="15">
        <f>IF($A204="","",IF(INDEX('潜水記録'!$X$5:$X$3004,$M204)="","",INDEX('潜水記録'!$X$5:$X$3004,$M204)))</f>
        <v/>
      </c>
      <c r="J204" s="15">
        <f>IF($A204="","",IF(INDEX('潜水記録'!$O$5:$O$3004,$M204)="","",INDEX('潜水記録'!$O$5:$O$3004,$M204)))</f>
        <v/>
      </c>
      <c r="K204" s="15">
        <f>IF($A204="","",IF(INDEX('潜水記録'!$P$5:$P$3004,$M204)="","",INDEX('潜水記録'!$P$5:$P$3004,$M204)))</f>
        <v/>
      </c>
      <c r="L204" s="14">
        <f>IF($A204="","",IF(INDEX('潜水記録'!$Q$5:$Q$3004,$M204)="","",INDEX('潜水記録'!$Q$5:$Q$3004,$M204)))</f>
        <v/>
      </c>
      <c r="M204" s="20">
        <f>IF($A204="","",MATCH($A204,'潜水記録'!$AG$5:$AG$3004,0))</f>
        <v/>
      </c>
    </row>
    <row r="205">
      <c r="A205" s="15">
        <f>IF(196&lt;=$C$6,196,"")</f>
        <v/>
      </c>
      <c r="B205" s="16">
        <f>IF($A205="","",IF(INDEX('潜水記録'!$A$5:$A$3004,$M205)="","",INDEX('潜水記録'!$A$5:$A$3004,$M205)))</f>
        <v/>
      </c>
      <c r="C205" s="15">
        <f>IF($A205="","",IF(INDEX('潜水記録'!$D$5:$D$3004,$M205)="","",INDEX('潜水記録'!$D$5:$D$3004,$M205)))</f>
        <v/>
      </c>
      <c r="D205" s="14">
        <f>IF($A205="","",IF(INDEX('潜水記録'!$E$5:$E$3004,$M205)="","",INDEX('潜水記録'!$E$5:$E$3004,$M205)))</f>
        <v/>
      </c>
      <c r="E205" s="14">
        <f>IF($A205="","",IF(INDEX('潜水記録'!$F$5:$F$3004,$M205)="","",INDEX('潜水記録'!$F$5:$F$3004,$M205)))</f>
        <v/>
      </c>
      <c r="F205" s="15">
        <f>IF($A205="","",IF(INDEX('潜水記録'!$G$5:$G$3004,$M205)="","",INDEX('潜水記録'!$G$5:$G$3004,$M205)))</f>
        <v/>
      </c>
      <c r="G205" s="15">
        <f>IF($A205="","",IF(INDEX('潜水記録'!$H$5:$H$3004,$M205)="","",INDEX('潜水記録'!$H$5:$H$3004,$M205)))</f>
        <v/>
      </c>
      <c r="H205" s="15">
        <f>IF($A205="","",IF(INDEX('潜水記録'!$I$5:$I$3004,$M205)="","",INDEX('潜水記録'!$I$5:$I$3004,$M205)))</f>
        <v/>
      </c>
      <c r="I205" s="15">
        <f>IF($A205="","",IF(INDEX('潜水記録'!$X$5:$X$3004,$M205)="","",INDEX('潜水記録'!$X$5:$X$3004,$M205)))</f>
        <v/>
      </c>
      <c r="J205" s="15">
        <f>IF($A205="","",IF(INDEX('潜水記録'!$O$5:$O$3004,$M205)="","",INDEX('潜水記録'!$O$5:$O$3004,$M205)))</f>
        <v/>
      </c>
      <c r="K205" s="15">
        <f>IF($A205="","",IF(INDEX('潜水記録'!$P$5:$P$3004,$M205)="","",INDEX('潜水記録'!$P$5:$P$3004,$M205)))</f>
        <v/>
      </c>
      <c r="L205" s="14">
        <f>IF($A205="","",IF(INDEX('潜水記録'!$Q$5:$Q$3004,$M205)="","",INDEX('潜水記録'!$Q$5:$Q$3004,$M205)))</f>
        <v/>
      </c>
      <c r="M205" s="20">
        <f>IF($A205="","",MATCH($A205,'潜水記録'!$AG$5:$AG$3004,0))</f>
        <v/>
      </c>
    </row>
    <row r="206">
      <c r="A206" s="15">
        <f>IF(197&lt;=$C$6,197,"")</f>
        <v/>
      </c>
      <c r="B206" s="16">
        <f>IF($A206="","",IF(INDEX('潜水記録'!$A$5:$A$3004,$M206)="","",INDEX('潜水記録'!$A$5:$A$3004,$M206)))</f>
        <v/>
      </c>
      <c r="C206" s="15">
        <f>IF($A206="","",IF(INDEX('潜水記録'!$D$5:$D$3004,$M206)="","",INDEX('潜水記録'!$D$5:$D$3004,$M206)))</f>
        <v/>
      </c>
      <c r="D206" s="14">
        <f>IF($A206="","",IF(INDEX('潜水記録'!$E$5:$E$3004,$M206)="","",INDEX('潜水記録'!$E$5:$E$3004,$M206)))</f>
        <v/>
      </c>
      <c r="E206" s="14">
        <f>IF($A206="","",IF(INDEX('潜水記録'!$F$5:$F$3004,$M206)="","",INDEX('潜水記録'!$F$5:$F$3004,$M206)))</f>
        <v/>
      </c>
      <c r="F206" s="15">
        <f>IF($A206="","",IF(INDEX('潜水記録'!$G$5:$G$3004,$M206)="","",INDEX('潜水記録'!$G$5:$G$3004,$M206)))</f>
        <v/>
      </c>
      <c r="G206" s="15">
        <f>IF($A206="","",IF(INDEX('潜水記録'!$H$5:$H$3004,$M206)="","",INDEX('潜水記録'!$H$5:$H$3004,$M206)))</f>
        <v/>
      </c>
      <c r="H206" s="15">
        <f>IF($A206="","",IF(INDEX('潜水記録'!$I$5:$I$3004,$M206)="","",INDEX('潜水記録'!$I$5:$I$3004,$M206)))</f>
        <v/>
      </c>
      <c r="I206" s="15">
        <f>IF($A206="","",IF(INDEX('潜水記録'!$X$5:$X$3004,$M206)="","",INDEX('潜水記録'!$X$5:$X$3004,$M206)))</f>
        <v/>
      </c>
      <c r="J206" s="15">
        <f>IF($A206="","",IF(INDEX('潜水記録'!$O$5:$O$3004,$M206)="","",INDEX('潜水記録'!$O$5:$O$3004,$M206)))</f>
        <v/>
      </c>
      <c r="K206" s="15">
        <f>IF($A206="","",IF(INDEX('潜水記録'!$P$5:$P$3004,$M206)="","",INDEX('潜水記録'!$P$5:$P$3004,$M206)))</f>
        <v/>
      </c>
      <c r="L206" s="14">
        <f>IF($A206="","",IF(INDEX('潜水記録'!$Q$5:$Q$3004,$M206)="","",INDEX('潜水記録'!$Q$5:$Q$3004,$M206)))</f>
        <v/>
      </c>
      <c r="M206" s="20">
        <f>IF($A206="","",MATCH($A206,'潜水記録'!$AG$5:$AG$3004,0))</f>
        <v/>
      </c>
    </row>
    <row r="207">
      <c r="A207" s="15">
        <f>IF(198&lt;=$C$6,198,"")</f>
        <v/>
      </c>
      <c r="B207" s="16">
        <f>IF($A207="","",IF(INDEX('潜水記録'!$A$5:$A$3004,$M207)="","",INDEX('潜水記録'!$A$5:$A$3004,$M207)))</f>
        <v/>
      </c>
      <c r="C207" s="15">
        <f>IF($A207="","",IF(INDEX('潜水記録'!$D$5:$D$3004,$M207)="","",INDEX('潜水記録'!$D$5:$D$3004,$M207)))</f>
        <v/>
      </c>
      <c r="D207" s="14">
        <f>IF($A207="","",IF(INDEX('潜水記録'!$E$5:$E$3004,$M207)="","",INDEX('潜水記録'!$E$5:$E$3004,$M207)))</f>
        <v/>
      </c>
      <c r="E207" s="14">
        <f>IF($A207="","",IF(INDEX('潜水記録'!$F$5:$F$3004,$M207)="","",INDEX('潜水記録'!$F$5:$F$3004,$M207)))</f>
        <v/>
      </c>
      <c r="F207" s="15">
        <f>IF($A207="","",IF(INDEX('潜水記録'!$G$5:$G$3004,$M207)="","",INDEX('潜水記録'!$G$5:$G$3004,$M207)))</f>
        <v/>
      </c>
      <c r="G207" s="15">
        <f>IF($A207="","",IF(INDEX('潜水記録'!$H$5:$H$3004,$M207)="","",INDEX('潜水記録'!$H$5:$H$3004,$M207)))</f>
        <v/>
      </c>
      <c r="H207" s="15">
        <f>IF($A207="","",IF(INDEX('潜水記録'!$I$5:$I$3004,$M207)="","",INDEX('潜水記録'!$I$5:$I$3004,$M207)))</f>
        <v/>
      </c>
      <c r="I207" s="15">
        <f>IF($A207="","",IF(INDEX('潜水記録'!$X$5:$X$3004,$M207)="","",INDEX('潜水記録'!$X$5:$X$3004,$M207)))</f>
        <v/>
      </c>
      <c r="J207" s="15">
        <f>IF($A207="","",IF(INDEX('潜水記録'!$O$5:$O$3004,$M207)="","",INDEX('潜水記録'!$O$5:$O$3004,$M207)))</f>
        <v/>
      </c>
      <c r="K207" s="15">
        <f>IF($A207="","",IF(INDEX('潜水記録'!$P$5:$P$3004,$M207)="","",INDEX('潜水記録'!$P$5:$P$3004,$M207)))</f>
        <v/>
      </c>
      <c r="L207" s="14">
        <f>IF($A207="","",IF(INDEX('潜水記録'!$Q$5:$Q$3004,$M207)="","",INDEX('潜水記録'!$Q$5:$Q$3004,$M207)))</f>
        <v/>
      </c>
      <c r="M207" s="20">
        <f>IF($A207="","",MATCH($A207,'潜水記録'!$AG$5:$AG$3004,0))</f>
        <v/>
      </c>
    </row>
    <row r="208">
      <c r="A208" s="15">
        <f>IF(199&lt;=$C$6,199,"")</f>
        <v/>
      </c>
      <c r="B208" s="16">
        <f>IF($A208="","",IF(INDEX('潜水記録'!$A$5:$A$3004,$M208)="","",INDEX('潜水記録'!$A$5:$A$3004,$M208)))</f>
        <v/>
      </c>
      <c r="C208" s="15">
        <f>IF($A208="","",IF(INDEX('潜水記録'!$D$5:$D$3004,$M208)="","",INDEX('潜水記録'!$D$5:$D$3004,$M208)))</f>
        <v/>
      </c>
      <c r="D208" s="14">
        <f>IF($A208="","",IF(INDEX('潜水記録'!$E$5:$E$3004,$M208)="","",INDEX('潜水記録'!$E$5:$E$3004,$M208)))</f>
        <v/>
      </c>
      <c r="E208" s="14">
        <f>IF($A208="","",IF(INDEX('潜水記録'!$F$5:$F$3004,$M208)="","",INDEX('潜水記録'!$F$5:$F$3004,$M208)))</f>
        <v/>
      </c>
      <c r="F208" s="15">
        <f>IF($A208="","",IF(INDEX('潜水記録'!$G$5:$G$3004,$M208)="","",INDEX('潜水記録'!$G$5:$G$3004,$M208)))</f>
        <v/>
      </c>
      <c r="G208" s="15">
        <f>IF($A208="","",IF(INDEX('潜水記録'!$H$5:$H$3004,$M208)="","",INDEX('潜水記録'!$H$5:$H$3004,$M208)))</f>
        <v/>
      </c>
      <c r="H208" s="15">
        <f>IF($A208="","",IF(INDEX('潜水記録'!$I$5:$I$3004,$M208)="","",INDEX('潜水記録'!$I$5:$I$3004,$M208)))</f>
        <v/>
      </c>
      <c r="I208" s="15">
        <f>IF($A208="","",IF(INDEX('潜水記録'!$X$5:$X$3004,$M208)="","",INDEX('潜水記録'!$X$5:$X$3004,$M208)))</f>
        <v/>
      </c>
      <c r="J208" s="15">
        <f>IF($A208="","",IF(INDEX('潜水記録'!$O$5:$O$3004,$M208)="","",INDEX('潜水記録'!$O$5:$O$3004,$M208)))</f>
        <v/>
      </c>
      <c r="K208" s="15">
        <f>IF($A208="","",IF(INDEX('潜水記録'!$P$5:$P$3004,$M208)="","",INDEX('潜水記録'!$P$5:$P$3004,$M208)))</f>
        <v/>
      </c>
      <c r="L208" s="14">
        <f>IF($A208="","",IF(INDEX('潜水記録'!$Q$5:$Q$3004,$M208)="","",INDEX('潜水記録'!$Q$5:$Q$3004,$M208)))</f>
        <v/>
      </c>
      <c r="M208" s="20">
        <f>IF($A208="","",MATCH($A208,'潜水記録'!$AG$5:$AG$3004,0))</f>
        <v/>
      </c>
    </row>
    <row r="209">
      <c r="A209" s="15">
        <f>IF(200&lt;=$C$6,200,"")</f>
        <v/>
      </c>
      <c r="B209" s="16">
        <f>IF($A209="","",IF(INDEX('潜水記録'!$A$5:$A$3004,$M209)="","",INDEX('潜水記録'!$A$5:$A$3004,$M209)))</f>
        <v/>
      </c>
      <c r="C209" s="15">
        <f>IF($A209="","",IF(INDEX('潜水記録'!$D$5:$D$3004,$M209)="","",INDEX('潜水記録'!$D$5:$D$3004,$M209)))</f>
        <v/>
      </c>
      <c r="D209" s="14">
        <f>IF($A209="","",IF(INDEX('潜水記録'!$E$5:$E$3004,$M209)="","",INDEX('潜水記録'!$E$5:$E$3004,$M209)))</f>
        <v/>
      </c>
      <c r="E209" s="14">
        <f>IF($A209="","",IF(INDEX('潜水記録'!$F$5:$F$3004,$M209)="","",INDEX('潜水記録'!$F$5:$F$3004,$M209)))</f>
        <v/>
      </c>
      <c r="F209" s="15">
        <f>IF($A209="","",IF(INDEX('潜水記録'!$G$5:$G$3004,$M209)="","",INDEX('潜水記録'!$G$5:$G$3004,$M209)))</f>
        <v/>
      </c>
      <c r="G209" s="15">
        <f>IF($A209="","",IF(INDEX('潜水記録'!$H$5:$H$3004,$M209)="","",INDEX('潜水記録'!$H$5:$H$3004,$M209)))</f>
        <v/>
      </c>
      <c r="H209" s="15">
        <f>IF($A209="","",IF(INDEX('潜水記録'!$I$5:$I$3004,$M209)="","",INDEX('潜水記録'!$I$5:$I$3004,$M209)))</f>
        <v/>
      </c>
      <c r="I209" s="15">
        <f>IF($A209="","",IF(INDEX('潜水記録'!$X$5:$X$3004,$M209)="","",INDEX('潜水記録'!$X$5:$X$3004,$M209)))</f>
        <v/>
      </c>
      <c r="J209" s="15">
        <f>IF($A209="","",IF(INDEX('潜水記録'!$O$5:$O$3004,$M209)="","",INDEX('潜水記録'!$O$5:$O$3004,$M209)))</f>
        <v/>
      </c>
      <c r="K209" s="15">
        <f>IF($A209="","",IF(INDEX('潜水記録'!$P$5:$P$3004,$M209)="","",INDEX('潜水記録'!$P$5:$P$3004,$M209)))</f>
        <v/>
      </c>
      <c r="L209" s="14">
        <f>IF($A209="","",IF(INDEX('潜水記録'!$Q$5:$Q$3004,$M209)="","",INDEX('潜水記録'!$Q$5:$Q$3004,$M209)))</f>
        <v/>
      </c>
      <c r="M209" s="20">
        <f>IF($A209="","",MATCH($A209,'潜水記録'!$AG$5:$AG$3004,0))</f>
        <v/>
      </c>
    </row>
    <row r="210">
      <c r="A210" s="15">
        <f>IF(201&lt;=$C$6,201,"")</f>
        <v/>
      </c>
      <c r="B210" s="16">
        <f>IF($A210="","",IF(INDEX('潜水記録'!$A$5:$A$3004,$M210)="","",INDEX('潜水記録'!$A$5:$A$3004,$M210)))</f>
        <v/>
      </c>
      <c r="C210" s="15">
        <f>IF($A210="","",IF(INDEX('潜水記録'!$D$5:$D$3004,$M210)="","",INDEX('潜水記録'!$D$5:$D$3004,$M210)))</f>
        <v/>
      </c>
      <c r="D210" s="14">
        <f>IF($A210="","",IF(INDEX('潜水記録'!$E$5:$E$3004,$M210)="","",INDEX('潜水記録'!$E$5:$E$3004,$M210)))</f>
        <v/>
      </c>
      <c r="E210" s="14">
        <f>IF($A210="","",IF(INDEX('潜水記録'!$F$5:$F$3004,$M210)="","",INDEX('潜水記録'!$F$5:$F$3004,$M210)))</f>
        <v/>
      </c>
      <c r="F210" s="15">
        <f>IF($A210="","",IF(INDEX('潜水記録'!$G$5:$G$3004,$M210)="","",INDEX('潜水記録'!$G$5:$G$3004,$M210)))</f>
        <v/>
      </c>
      <c r="G210" s="15">
        <f>IF($A210="","",IF(INDEX('潜水記録'!$H$5:$H$3004,$M210)="","",INDEX('潜水記録'!$H$5:$H$3004,$M210)))</f>
        <v/>
      </c>
      <c r="H210" s="15">
        <f>IF($A210="","",IF(INDEX('潜水記録'!$I$5:$I$3004,$M210)="","",INDEX('潜水記録'!$I$5:$I$3004,$M210)))</f>
        <v/>
      </c>
      <c r="I210" s="15">
        <f>IF($A210="","",IF(INDEX('潜水記録'!$X$5:$X$3004,$M210)="","",INDEX('潜水記録'!$X$5:$X$3004,$M210)))</f>
        <v/>
      </c>
      <c r="J210" s="15">
        <f>IF($A210="","",IF(INDEX('潜水記録'!$O$5:$O$3004,$M210)="","",INDEX('潜水記録'!$O$5:$O$3004,$M210)))</f>
        <v/>
      </c>
      <c r="K210" s="15">
        <f>IF($A210="","",IF(INDEX('潜水記録'!$P$5:$P$3004,$M210)="","",INDEX('潜水記録'!$P$5:$P$3004,$M210)))</f>
        <v/>
      </c>
      <c r="L210" s="14">
        <f>IF($A210="","",IF(INDEX('潜水記録'!$Q$5:$Q$3004,$M210)="","",INDEX('潜水記録'!$Q$5:$Q$3004,$M210)))</f>
        <v/>
      </c>
      <c r="M210" s="20">
        <f>IF($A210="","",MATCH($A210,'潜水記録'!$AG$5:$AG$3004,0))</f>
        <v/>
      </c>
    </row>
    <row r="211">
      <c r="A211" s="15">
        <f>IF(202&lt;=$C$6,202,"")</f>
        <v/>
      </c>
      <c r="B211" s="16">
        <f>IF($A211="","",IF(INDEX('潜水記録'!$A$5:$A$3004,$M211)="","",INDEX('潜水記録'!$A$5:$A$3004,$M211)))</f>
        <v/>
      </c>
      <c r="C211" s="15">
        <f>IF($A211="","",IF(INDEX('潜水記録'!$D$5:$D$3004,$M211)="","",INDEX('潜水記録'!$D$5:$D$3004,$M211)))</f>
        <v/>
      </c>
      <c r="D211" s="14">
        <f>IF($A211="","",IF(INDEX('潜水記録'!$E$5:$E$3004,$M211)="","",INDEX('潜水記録'!$E$5:$E$3004,$M211)))</f>
        <v/>
      </c>
      <c r="E211" s="14">
        <f>IF($A211="","",IF(INDEX('潜水記録'!$F$5:$F$3004,$M211)="","",INDEX('潜水記録'!$F$5:$F$3004,$M211)))</f>
        <v/>
      </c>
      <c r="F211" s="15">
        <f>IF($A211="","",IF(INDEX('潜水記録'!$G$5:$G$3004,$M211)="","",INDEX('潜水記録'!$G$5:$G$3004,$M211)))</f>
        <v/>
      </c>
      <c r="G211" s="15">
        <f>IF($A211="","",IF(INDEX('潜水記録'!$H$5:$H$3004,$M211)="","",INDEX('潜水記録'!$H$5:$H$3004,$M211)))</f>
        <v/>
      </c>
      <c r="H211" s="15">
        <f>IF($A211="","",IF(INDEX('潜水記録'!$I$5:$I$3004,$M211)="","",INDEX('潜水記録'!$I$5:$I$3004,$M211)))</f>
        <v/>
      </c>
      <c r="I211" s="15">
        <f>IF($A211="","",IF(INDEX('潜水記録'!$X$5:$X$3004,$M211)="","",INDEX('潜水記録'!$X$5:$X$3004,$M211)))</f>
        <v/>
      </c>
      <c r="J211" s="15">
        <f>IF($A211="","",IF(INDEX('潜水記録'!$O$5:$O$3004,$M211)="","",INDEX('潜水記録'!$O$5:$O$3004,$M211)))</f>
        <v/>
      </c>
      <c r="K211" s="15">
        <f>IF($A211="","",IF(INDEX('潜水記録'!$P$5:$P$3004,$M211)="","",INDEX('潜水記録'!$P$5:$P$3004,$M211)))</f>
        <v/>
      </c>
      <c r="L211" s="14">
        <f>IF($A211="","",IF(INDEX('潜水記録'!$Q$5:$Q$3004,$M211)="","",INDEX('潜水記録'!$Q$5:$Q$3004,$M211)))</f>
        <v/>
      </c>
      <c r="M211" s="20">
        <f>IF($A211="","",MATCH($A211,'潜水記録'!$AG$5:$AG$3004,0))</f>
        <v/>
      </c>
    </row>
    <row r="212">
      <c r="A212" s="15">
        <f>IF(203&lt;=$C$6,203,"")</f>
        <v/>
      </c>
      <c r="B212" s="16">
        <f>IF($A212="","",IF(INDEX('潜水記録'!$A$5:$A$3004,$M212)="","",INDEX('潜水記録'!$A$5:$A$3004,$M212)))</f>
        <v/>
      </c>
      <c r="C212" s="15">
        <f>IF($A212="","",IF(INDEX('潜水記録'!$D$5:$D$3004,$M212)="","",INDEX('潜水記録'!$D$5:$D$3004,$M212)))</f>
        <v/>
      </c>
      <c r="D212" s="14">
        <f>IF($A212="","",IF(INDEX('潜水記録'!$E$5:$E$3004,$M212)="","",INDEX('潜水記録'!$E$5:$E$3004,$M212)))</f>
        <v/>
      </c>
      <c r="E212" s="14">
        <f>IF($A212="","",IF(INDEX('潜水記録'!$F$5:$F$3004,$M212)="","",INDEX('潜水記録'!$F$5:$F$3004,$M212)))</f>
        <v/>
      </c>
      <c r="F212" s="15">
        <f>IF($A212="","",IF(INDEX('潜水記録'!$G$5:$G$3004,$M212)="","",INDEX('潜水記録'!$G$5:$G$3004,$M212)))</f>
        <v/>
      </c>
      <c r="G212" s="15">
        <f>IF($A212="","",IF(INDEX('潜水記録'!$H$5:$H$3004,$M212)="","",INDEX('潜水記録'!$H$5:$H$3004,$M212)))</f>
        <v/>
      </c>
      <c r="H212" s="15">
        <f>IF($A212="","",IF(INDEX('潜水記録'!$I$5:$I$3004,$M212)="","",INDEX('潜水記録'!$I$5:$I$3004,$M212)))</f>
        <v/>
      </c>
      <c r="I212" s="15">
        <f>IF($A212="","",IF(INDEX('潜水記録'!$X$5:$X$3004,$M212)="","",INDEX('潜水記録'!$X$5:$X$3004,$M212)))</f>
        <v/>
      </c>
      <c r="J212" s="15">
        <f>IF($A212="","",IF(INDEX('潜水記録'!$O$5:$O$3004,$M212)="","",INDEX('潜水記録'!$O$5:$O$3004,$M212)))</f>
        <v/>
      </c>
      <c r="K212" s="15">
        <f>IF($A212="","",IF(INDEX('潜水記録'!$P$5:$P$3004,$M212)="","",INDEX('潜水記録'!$P$5:$P$3004,$M212)))</f>
        <v/>
      </c>
      <c r="L212" s="14">
        <f>IF($A212="","",IF(INDEX('潜水記録'!$Q$5:$Q$3004,$M212)="","",INDEX('潜水記録'!$Q$5:$Q$3004,$M212)))</f>
        <v/>
      </c>
      <c r="M212" s="20">
        <f>IF($A212="","",MATCH($A212,'潜水記録'!$AG$5:$AG$3004,0))</f>
        <v/>
      </c>
    </row>
    <row r="213">
      <c r="A213" s="15">
        <f>IF(204&lt;=$C$6,204,"")</f>
        <v/>
      </c>
      <c r="B213" s="16">
        <f>IF($A213="","",IF(INDEX('潜水記録'!$A$5:$A$3004,$M213)="","",INDEX('潜水記録'!$A$5:$A$3004,$M213)))</f>
        <v/>
      </c>
      <c r="C213" s="15">
        <f>IF($A213="","",IF(INDEX('潜水記録'!$D$5:$D$3004,$M213)="","",INDEX('潜水記録'!$D$5:$D$3004,$M213)))</f>
        <v/>
      </c>
      <c r="D213" s="14">
        <f>IF($A213="","",IF(INDEX('潜水記録'!$E$5:$E$3004,$M213)="","",INDEX('潜水記録'!$E$5:$E$3004,$M213)))</f>
        <v/>
      </c>
      <c r="E213" s="14">
        <f>IF($A213="","",IF(INDEX('潜水記録'!$F$5:$F$3004,$M213)="","",INDEX('潜水記録'!$F$5:$F$3004,$M213)))</f>
        <v/>
      </c>
      <c r="F213" s="15">
        <f>IF($A213="","",IF(INDEX('潜水記録'!$G$5:$G$3004,$M213)="","",INDEX('潜水記録'!$G$5:$G$3004,$M213)))</f>
        <v/>
      </c>
      <c r="G213" s="15">
        <f>IF($A213="","",IF(INDEX('潜水記録'!$H$5:$H$3004,$M213)="","",INDEX('潜水記録'!$H$5:$H$3004,$M213)))</f>
        <v/>
      </c>
      <c r="H213" s="15">
        <f>IF($A213="","",IF(INDEX('潜水記録'!$I$5:$I$3004,$M213)="","",INDEX('潜水記録'!$I$5:$I$3004,$M213)))</f>
        <v/>
      </c>
      <c r="I213" s="15">
        <f>IF($A213="","",IF(INDEX('潜水記録'!$X$5:$X$3004,$M213)="","",INDEX('潜水記録'!$X$5:$X$3004,$M213)))</f>
        <v/>
      </c>
      <c r="J213" s="15">
        <f>IF($A213="","",IF(INDEX('潜水記録'!$O$5:$O$3004,$M213)="","",INDEX('潜水記録'!$O$5:$O$3004,$M213)))</f>
        <v/>
      </c>
      <c r="K213" s="15">
        <f>IF($A213="","",IF(INDEX('潜水記録'!$P$5:$P$3004,$M213)="","",INDEX('潜水記録'!$P$5:$P$3004,$M213)))</f>
        <v/>
      </c>
      <c r="L213" s="14">
        <f>IF($A213="","",IF(INDEX('潜水記録'!$Q$5:$Q$3004,$M213)="","",INDEX('潜水記録'!$Q$5:$Q$3004,$M213)))</f>
        <v/>
      </c>
      <c r="M213" s="20">
        <f>IF($A213="","",MATCH($A213,'潜水記録'!$AG$5:$AG$3004,0))</f>
        <v/>
      </c>
    </row>
    <row r="214">
      <c r="A214" s="15">
        <f>IF(205&lt;=$C$6,205,"")</f>
        <v/>
      </c>
      <c r="B214" s="16">
        <f>IF($A214="","",IF(INDEX('潜水記録'!$A$5:$A$3004,$M214)="","",INDEX('潜水記録'!$A$5:$A$3004,$M214)))</f>
        <v/>
      </c>
      <c r="C214" s="15">
        <f>IF($A214="","",IF(INDEX('潜水記録'!$D$5:$D$3004,$M214)="","",INDEX('潜水記録'!$D$5:$D$3004,$M214)))</f>
        <v/>
      </c>
      <c r="D214" s="14">
        <f>IF($A214="","",IF(INDEX('潜水記録'!$E$5:$E$3004,$M214)="","",INDEX('潜水記録'!$E$5:$E$3004,$M214)))</f>
        <v/>
      </c>
      <c r="E214" s="14">
        <f>IF($A214="","",IF(INDEX('潜水記録'!$F$5:$F$3004,$M214)="","",INDEX('潜水記録'!$F$5:$F$3004,$M214)))</f>
        <v/>
      </c>
      <c r="F214" s="15">
        <f>IF($A214="","",IF(INDEX('潜水記録'!$G$5:$G$3004,$M214)="","",INDEX('潜水記録'!$G$5:$G$3004,$M214)))</f>
        <v/>
      </c>
      <c r="G214" s="15">
        <f>IF($A214="","",IF(INDEX('潜水記録'!$H$5:$H$3004,$M214)="","",INDEX('潜水記録'!$H$5:$H$3004,$M214)))</f>
        <v/>
      </c>
      <c r="H214" s="15">
        <f>IF($A214="","",IF(INDEX('潜水記録'!$I$5:$I$3004,$M214)="","",INDEX('潜水記録'!$I$5:$I$3004,$M214)))</f>
        <v/>
      </c>
      <c r="I214" s="15">
        <f>IF($A214="","",IF(INDEX('潜水記録'!$X$5:$X$3004,$M214)="","",INDEX('潜水記録'!$X$5:$X$3004,$M214)))</f>
        <v/>
      </c>
      <c r="J214" s="15">
        <f>IF($A214="","",IF(INDEX('潜水記録'!$O$5:$O$3004,$M214)="","",INDEX('潜水記録'!$O$5:$O$3004,$M214)))</f>
        <v/>
      </c>
      <c r="K214" s="15">
        <f>IF($A214="","",IF(INDEX('潜水記録'!$P$5:$P$3004,$M214)="","",INDEX('潜水記録'!$P$5:$P$3004,$M214)))</f>
        <v/>
      </c>
      <c r="L214" s="14">
        <f>IF($A214="","",IF(INDEX('潜水記録'!$Q$5:$Q$3004,$M214)="","",INDEX('潜水記録'!$Q$5:$Q$3004,$M214)))</f>
        <v/>
      </c>
      <c r="M214" s="20">
        <f>IF($A214="","",MATCH($A214,'潜水記録'!$AG$5:$AG$3004,0))</f>
        <v/>
      </c>
    </row>
    <row r="215">
      <c r="A215" s="15">
        <f>IF(206&lt;=$C$6,206,"")</f>
        <v/>
      </c>
      <c r="B215" s="16">
        <f>IF($A215="","",IF(INDEX('潜水記録'!$A$5:$A$3004,$M215)="","",INDEX('潜水記録'!$A$5:$A$3004,$M215)))</f>
        <v/>
      </c>
      <c r="C215" s="15">
        <f>IF($A215="","",IF(INDEX('潜水記録'!$D$5:$D$3004,$M215)="","",INDEX('潜水記録'!$D$5:$D$3004,$M215)))</f>
        <v/>
      </c>
      <c r="D215" s="14">
        <f>IF($A215="","",IF(INDEX('潜水記録'!$E$5:$E$3004,$M215)="","",INDEX('潜水記録'!$E$5:$E$3004,$M215)))</f>
        <v/>
      </c>
      <c r="E215" s="14">
        <f>IF($A215="","",IF(INDEX('潜水記録'!$F$5:$F$3004,$M215)="","",INDEX('潜水記録'!$F$5:$F$3004,$M215)))</f>
        <v/>
      </c>
      <c r="F215" s="15">
        <f>IF($A215="","",IF(INDEX('潜水記録'!$G$5:$G$3004,$M215)="","",INDEX('潜水記録'!$G$5:$G$3004,$M215)))</f>
        <v/>
      </c>
      <c r="G215" s="15">
        <f>IF($A215="","",IF(INDEX('潜水記録'!$H$5:$H$3004,$M215)="","",INDEX('潜水記録'!$H$5:$H$3004,$M215)))</f>
        <v/>
      </c>
      <c r="H215" s="15">
        <f>IF($A215="","",IF(INDEX('潜水記録'!$I$5:$I$3004,$M215)="","",INDEX('潜水記録'!$I$5:$I$3004,$M215)))</f>
        <v/>
      </c>
      <c r="I215" s="15">
        <f>IF($A215="","",IF(INDEX('潜水記録'!$X$5:$X$3004,$M215)="","",INDEX('潜水記録'!$X$5:$X$3004,$M215)))</f>
        <v/>
      </c>
      <c r="J215" s="15">
        <f>IF($A215="","",IF(INDEX('潜水記録'!$O$5:$O$3004,$M215)="","",INDEX('潜水記録'!$O$5:$O$3004,$M215)))</f>
        <v/>
      </c>
      <c r="K215" s="15">
        <f>IF($A215="","",IF(INDEX('潜水記録'!$P$5:$P$3004,$M215)="","",INDEX('潜水記録'!$P$5:$P$3004,$M215)))</f>
        <v/>
      </c>
      <c r="L215" s="14">
        <f>IF($A215="","",IF(INDEX('潜水記録'!$Q$5:$Q$3004,$M215)="","",INDEX('潜水記録'!$Q$5:$Q$3004,$M215)))</f>
        <v/>
      </c>
      <c r="M215" s="20">
        <f>IF($A215="","",MATCH($A215,'潜水記録'!$AG$5:$AG$3004,0))</f>
        <v/>
      </c>
    </row>
    <row r="216">
      <c r="A216" s="15">
        <f>IF(207&lt;=$C$6,207,"")</f>
        <v/>
      </c>
      <c r="B216" s="16">
        <f>IF($A216="","",IF(INDEX('潜水記録'!$A$5:$A$3004,$M216)="","",INDEX('潜水記録'!$A$5:$A$3004,$M216)))</f>
        <v/>
      </c>
      <c r="C216" s="15">
        <f>IF($A216="","",IF(INDEX('潜水記録'!$D$5:$D$3004,$M216)="","",INDEX('潜水記録'!$D$5:$D$3004,$M216)))</f>
        <v/>
      </c>
      <c r="D216" s="14">
        <f>IF($A216="","",IF(INDEX('潜水記録'!$E$5:$E$3004,$M216)="","",INDEX('潜水記録'!$E$5:$E$3004,$M216)))</f>
        <v/>
      </c>
      <c r="E216" s="14">
        <f>IF($A216="","",IF(INDEX('潜水記録'!$F$5:$F$3004,$M216)="","",INDEX('潜水記録'!$F$5:$F$3004,$M216)))</f>
        <v/>
      </c>
      <c r="F216" s="15">
        <f>IF($A216="","",IF(INDEX('潜水記録'!$G$5:$G$3004,$M216)="","",INDEX('潜水記録'!$G$5:$G$3004,$M216)))</f>
        <v/>
      </c>
      <c r="G216" s="15">
        <f>IF($A216="","",IF(INDEX('潜水記録'!$H$5:$H$3004,$M216)="","",INDEX('潜水記録'!$H$5:$H$3004,$M216)))</f>
        <v/>
      </c>
      <c r="H216" s="15">
        <f>IF($A216="","",IF(INDEX('潜水記録'!$I$5:$I$3004,$M216)="","",INDEX('潜水記録'!$I$5:$I$3004,$M216)))</f>
        <v/>
      </c>
      <c r="I216" s="15">
        <f>IF($A216="","",IF(INDEX('潜水記録'!$X$5:$X$3004,$M216)="","",INDEX('潜水記録'!$X$5:$X$3004,$M216)))</f>
        <v/>
      </c>
      <c r="J216" s="15">
        <f>IF($A216="","",IF(INDEX('潜水記録'!$O$5:$O$3004,$M216)="","",INDEX('潜水記録'!$O$5:$O$3004,$M216)))</f>
        <v/>
      </c>
      <c r="K216" s="15">
        <f>IF($A216="","",IF(INDEX('潜水記録'!$P$5:$P$3004,$M216)="","",INDEX('潜水記録'!$P$5:$P$3004,$M216)))</f>
        <v/>
      </c>
      <c r="L216" s="14">
        <f>IF($A216="","",IF(INDEX('潜水記録'!$Q$5:$Q$3004,$M216)="","",INDEX('潜水記録'!$Q$5:$Q$3004,$M216)))</f>
        <v/>
      </c>
      <c r="M216" s="20">
        <f>IF($A216="","",MATCH($A216,'潜水記録'!$AG$5:$AG$3004,0))</f>
        <v/>
      </c>
    </row>
    <row r="217">
      <c r="A217" s="15">
        <f>IF(208&lt;=$C$6,208,"")</f>
        <v/>
      </c>
      <c r="B217" s="16">
        <f>IF($A217="","",IF(INDEX('潜水記録'!$A$5:$A$3004,$M217)="","",INDEX('潜水記録'!$A$5:$A$3004,$M217)))</f>
        <v/>
      </c>
      <c r="C217" s="15">
        <f>IF($A217="","",IF(INDEX('潜水記録'!$D$5:$D$3004,$M217)="","",INDEX('潜水記録'!$D$5:$D$3004,$M217)))</f>
        <v/>
      </c>
      <c r="D217" s="14">
        <f>IF($A217="","",IF(INDEX('潜水記録'!$E$5:$E$3004,$M217)="","",INDEX('潜水記録'!$E$5:$E$3004,$M217)))</f>
        <v/>
      </c>
      <c r="E217" s="14">
        <f>IF($A217="","",IF(INDEX('潜水記録'!$F$5:$F$3004,$M217)="","",INDEX('潜水記録'!$F$5:$F$3004,$M217)))</f>
        <v/>
      </c>
      <c r="F217" s="15">
        <f>IF($A217="","",IF(INDEX('潜水記録'!$G$5:$G$3004,$M217)="","",INDEX('潜水記録'!$G$5:$G$3004,$M217)))</f>
        <v/>
      </c>
      <c r="G217" s="15">
        <f>IF($A217="","",IF(INDEX('潜水記録'!$H$5:$H$3004,$M217)="","",INDEX('潜水記録'!$H$5:$H$3004,$M217)))</f>
        <v/>
      </c>
      <c r="H217" s="15">
        <f>IF($A217="","",IF(INDEX('潜水記録'!$I$5:$I$3004,$M217)="","",INDEX('潜水記録'!$I$5:$I$3004,$M217)))</f>
        <v/>
      </c>
      <c r="I217" s="15">
        <f>IF($A217="","",IF(INDEX('潜水記録'!$X$5:$X$3004,$M217)="","",INDEX('潜水記録'!$X$5:$X$3004,$M217)))</f>
        <v/>
      </c>
      <c r="J217" s="15">
        <f>IF($A217="","",IF(INDEX('潜水記録'!$O$5:$O$3004,$M217)="","",INDEX('潜水記録'!$O$5:$O$3004,$M217)))</f>
        <v/>
      </c>
      <c r="K217" s="15">
        <f>IF($A217="","",IF(INDEX('潜水記録'!$P$5:$P$3004,$M217)="","",INDEX('潜水記録'!$P$5:$P$3004,$M217)))</f>
        <v/>
      </c>
      <c r="L217" s="14">
        <f>IF($A217="","",IF(INDEX('潜水記録'!$Q$5:$Q$3004,$M217)="","",INDEX('潜水記録'!$Q$5:$Q$3004,$M217)))</f>
        <v/>
      </c>
      <c r="M217" s="20">
        <f>IF($A217="","",MATCH($A217,'潜水記録'!$AG$5:$AG$3004,0))</f>
        <v/>
      </c>
    </row>
    <row r="218">
      <c r="A218" s="15">
        <f>IF(209&lt;=$C$6,209,"")</f>
        <v/>
      </c>
      <c r="B218" s="16">
        <f>IF($A218="","",IF(INDEX('潜水記録'!$A$5:$A$3004,$M218)="","",INDEX('潜水記録'!$A$5:$A$3004,$M218)))</f>
        <v/>
      </c>
      <c r="C218" s="15">
        <f>IF($A218="","",IF(INDEX('潜水記録'!$D$5:$D$3004,$M218)="","",INDEX('潜水記録'!$D$5:$D$3004,$M218)))</f>
        <v/>
      </c>
      <c r="D218" s="14">
        <f>IF($A218="","",IF(INDEX('潜水記録'!$E$5:$E$3004,$M218)="","",INDEX('潜水記録'!$E$5:$E$3004,$M218)))</f>
        <v/>
      </c>
      <c r="E218" s="14">
        <f>IF($A218="","",IF(INDEX('潜水記録'!$F$5:$F$3004,$M218)="","",INDEX('潜水記録'!$F$5:$F$3004,$M218)))</f>
        <v/>
      </c>
      <c r="F218" s="15">
        <f>IF($A218="","",IF(INDEX('潜水記録'!$G$5:$G$3004,$M218)="","",INDEX('潜水記録'!$G$5:$G$3004,$M218)))</f>
        <v/>
      </c>
      <c r="G218" s="15">
        <f>IF($A218="","",IF(INDEX('潜水記録'!$H$5:$H$3004,$M218)="","",INDEX('潜水記録'!$H$5:$H$3004,$M218)))</f>
        <v/>
      </c>
      <c r="H218" s="15">
        <f>IF($A218="","",IF(INDEX('潜水記録'!$I$5:$I$3004,$M218)="","",INDEX('潜水記録'!$I$5:$I$3004,$M218)))</f>
        <v/>
      </c>
      <c r="I218" s="15">
        <f>IF($A218="","",IF(INDEX('潜水記録'!$X$5:$X$3004,$M218)="","",INDEX('潜水記録'!$X$5:$X$3004,$M218)))</f>
        <v/>
      </c>
      <c r="J218" s="15">
        <f>IF($A218="","",IF(INDEX('潜水記録'!$O$5:$O$3004,$M218)="","",INDEX('潜水記録'!$O$5:$O$3004,$M218)))</f>
        <v/>
      </c>
      <c r="K218" s="15">
        <f>IF($A218="","",IF(INDEX('潜水記録'!$P$5:$P$3004,$M218)="","",INDEX('潜水記録'!$P$5:$P$3004,$M218)))</f>
        <v/>
      </c>
      <c r="L218" s="14">
        <f>IF($A218="","",IF(INDEX('潜水記録'!$Q$5:$Q$3004,$M218)="","",INDEX('潜水記録'!$Q$5:$Q$3004,$M218)))</f>
        <v/>
      </c>
      <c r="M218" s="20">
        <f>IF($A218="","",MATCH($A218,'潜水記録'!$AG$5:$AG$3004,0))</f>
        <v/>
      </c>
    </row>
    <row r="219">
      <c r="A219" s="15">
        <f>IF(210&lt;=$C$6,210,"")</f>
        <v/>
      </c>
      <c r="B219" s="16">
        <f>IF($A219="","",IF(INDEX('潜水記録'!$A$5:$A$3004,$M219)="","",INDEX('潜水記録'!$A$5:$A$3004,$M219)))</f>
        <v/>
      </c>
      <c r="C219" s="15">
        <f>IF($A219="","",IF(INDEX('潜水記録'!$D$5:$D$3004,$M219)="","",INDEX('潜水記録'!$D$5:$D$3004,$M219)))</f>
        <v/>
      </c>
      <c r="D219" s="14">
        <f>IF($A219="","",IF(INDEX('潜水記録'!$E$5:$E$3004,$M219)="","",INDEX('潜水記録'!$E$5:$E$3004,$M219)))</f>
        <v/>
      </c>
      <c r="E219" s="14">
        <f>IF($A219="","",IF(INDEX('潜水記録'!$F$5:$F$3004,$M219)="","",INDEX('潜水記録'!$F$5:$F$3004,$M219)))</f>
        <v/>
      </c>
      <c r="F219" s="15">
        <f>IF($A219="","",IF(INDEX('潜水記録'!$G$5:$G$3004,$M219)="","",INDEX('潜水記録'!$G$5:$G$3004,$M219)))</f>
        <v/>
      </c>
      <c r="G219" s="15">
        <f>IF($A219="","",IF(INDEX('潜水記録'!$H$5:$H$3004,$M219)="","",INDEX('潜水記録'!$H$5:$H$3004,$M219)))</f>
        <v/>
      </c>
      <c r="H219" s="15">
        <f>IF($A219="","",IF(INDEX('潜水記録'!$I$5:$I$3004,$M219)="","",INDEX('潜水記録'!$I$5:$I$3004,$M219)))</f>
        <v/>
      </c>
      <c r="I219" s="15">
        <f>IF($A219="","",IF(INDEX('潜水記録'!$X$5:$X$3004,$M219)="","",INDEX('潜水記録'!$X$5:$X$3004,$M219)))</f>
        <v/>
      </c>
      <c r="J219" s="15">
        <f>IF($A219="","",IF(INDEX('潜水記録'!$O$5:$O$3004,$M219)="","",INDEX('潜水記録'!$O$5:$O$3004,$M219)))</f>
        <v/>
      </c>
      <c r="K219" s="15">
        <f>IF($A219="","",IF(INDEX('潜水記録'!$P$5:$P$3004,$M219)="","",INDEX('潜水記録'!$P$5:$P$3004,$M219)))</f>
        <v/>
      </c>
      <c r="L219" s="14">
        <f>IF($A219="","",IF(INDEX('潜水記録'!$Q$5:$Q$3004,$M219)="","",INDEX('潜水記録'!$Q$5:$Q$3004,$M219)))</f>
        <v/>
      </c>
      <c r="M219" s="20">
        <f>IF($A219="","",MATCH($A219,'潜水記録'!$AG$5:$AG$3004,0))</f>
        <v/>
      </c>
    </row>
    <row r="220">
      <c r="A220" s="15">
        <f>IF(211&lt;=$C$6,211,"")</f>
        <v/>
      </c>
      <c r="B220" s="16">
        <f>IF($A220="","",IF(INDEX('潜水記録'!$A$5:$A$3004,$M220)="","",INDEX('潜水記録'!$A$5:$A$3004,$M220)))</f>
        <v/>
      </c>
      <c r="C220" s="15">
        <f>IF($A220="","",IF(INDEX('潜水記録'!$D$5:$D$3004,$M220)="","",INDEX('潜水記録'!$D$5:$D$3004,$M220)))</f>
        <v/>
      </c>
      <c r="D220" s="14">
        <f>IF($A220="","",IF(INDEX('潜水記録'!$E$5:$E$3004,$M220)="","",INDEX('潜水記録'!$E$5:$E$3004,$M220)))</f>
        <v/>
      </c>
      <c r="E220" s="14">
        <f>IF($A220="","",IF(INDEX('潜水記録'!$F$5:$F$3004,$M220)="","",INDEX('潜水記録'!$F$5:$F$3004,$M220)))</f>
        <v/>
      </c>
      <c r="F220" s="15">
        <f>IF($A220="","",IF(INDEX('潜水記録'!$G$5:$G$3004,$M220)="","",INDEX('潜水記録'!$G$5:$G$3004,$M220)))</f>
        <v/>
      </c>
      <c r="G220" s="15">
        <f>IF($A220="","",IF(INDEX('潜水記録'!$H$5:$H$3004,$M220)="","",INDEX('潜水記録'!$H$5:$H$3004,$M220)))</f>
        <v/>
      </c>
      <c r="H220" s="15">
        <f>IF($A220="","",IF(INDEX('潜水記録'!$I$5:$I$3004,$M220)="","",INDEX('潜水記録'!$I$5:$I$3004,$M220)))</f>
        <v/>
      </c>
      <c r="I220" s="15">
        <f>IF($A220="","",IF(INDEX('潜水記録'!$X$5:$X$3004,$M220)="","",INDEX('潜水記録'!$X$5:$X$3004,$M220)))</f>
        <v/>
      </c>
      <c r="J220" s="15">
        <f>IF($A220="","",IF(INDEX('潜水記録'!$O$5:$O$3004,$M220)="","",INDEX('潜水記録'!$O$5:$O$3004,$M220)))</f>
        <v/>
      </c>
      <c r="K220" s="15">
        <f>IF($A220="","",IF(INDEX('潜水記録'!$P$5:$P$3004,$M220)="","",INDEX('潜水記録'!$P$5:$P$3004,$M220)))</f>
        <v/>
      </c>
      <c r="L220" s="14">
        <f>IF($A220="","",IF(INDEX('潜水記録'!$Q$5:$Q$3004,$M220)="","",INDEX('潜水記録'!$Q$5:$Q$3004,$M220)))</f>
        <v/>
      </c>
      <c r="M220" s="20">
        <f>IF($A220="","",MATCH($A220,'潜水記録'!$AG$5:$AG$3004,0))</f>
        <v/>
      </c>
    </row>
    <row r="221">
      <c r="A221" s="15">
        <f>IF(212&lt;=$C$6,212,"")</f>
        <v/>
      </c>
      <c r="B221" s="16">
        <f>IF($A221="","",IF(INDEX('潜水記録'!$A$5:$A$3004,$M221)="","",INDEX('潜水記録'!$A$5:$A$3004,$M221)))</f>
        <v/>
      </c>
      <c r="C221" s="15">
        <f>IF($A221="","",IF(INDEX('潜水記録'!$D$5:$D$3004,$M221)="","",INDEX('潜水記録'!$D$5:$D$3004,$M221)))</f>
        <v/>
      </c>
      <c r="D221" s="14">
        <f>IF($A221="","",IF(INDEX('潜水記録'!$E$5:$E$3004,$M221)="","",INDEX('潜水記録'!$E$5:$E$3004,$M221)))</f>
        <v/>
      </c>
      <c r="E221" s="14">
        <f>IF($A221="","",IF(INDEX('潜水記録'!$F$5:$F$3004,$M221)="","",INDEX('潜水記録'!$F$5:$F$3004,$M221)))</f>
        <v/>
      </c>
      <c r="F221" s="15">
        <f>IF($A221="","",IF(INDEX('潜水記録'!$G$5:$G$3004,$M221)="","",INDEX('潜水記録'!$G$5:$G$3004,$M221)))</f>
        <v/>
      </c>
      <c r="G221" s="15">
        <f>IF($A221="","",IF(INDEX('潜水記録'!$H$5:$H$3004,$M221)="","",INDEX('潜水記録'!$H$5:$H$3004,$M221)))</f>
        <v/>
      </c>
      <c r="H221" s="15">
        <f>IF($A221="","",IF(INDEX('潜水記録'!$I$5:$I$3004,$M221)="","",INDEX('潜水記録'!$I$5:$I$3004,$M221)))</f>
        <v/>
      </c>
      <c r="I221" s="15">
        <f>IF($A221="","",IF(INDEX('潜水記録'!$X$5:$X$3004,$M221)="","",INDEX('潜水記録'!$X$5:$X$3004,$M221)))</f>
        <v/>
      </c>
      <c r="J221" s="15">
        <f>IF($A221="","",IF(INDEX('潜水記録'!$O$5:$O$3004,$M221)="","",INDEX('潜水記録'!$O$5:$O$3004,$M221)))</f>
        <v/>
      </c>
      <c r="K221" s="15">
        <f>IF($A221="","",IF(INDEX('潜水記録'!$P$5:$P$3004,$M221)="","",INDEX('潜水記録'!$P$5:$P$3004,$M221)))</f>
        <v/>
      </c>
      <c r="L221" s="14">
        <f>IF($A221="","",IF(INDEX('潜水記録'!$Q$5:$Q$3004,$M221)="","",INDEX('潜水記録'!$Q$5:$Q$3004,$M221)))</f>
        <v/>
      </c>
      <c r="M221" s="20">
        <f>IF($A221="","",MATCH($A221,'潜水記録'!$AG$5:$AG$3004,0))</f>
        <v/>
      </c>
    </row>
    <row r="222">
      <c r="A222" s="15">
        <f>IF(213&lt;=$C$6,213,"")</f>
        <v/>
      </c>
      <c r="B222" s="16">
        <f>IF($A222="","",IF(INDEX('潜水記録'!$A$5:$A$3004,$M222)="","",INDEX('潜水記録'!$A$5:$A$3004,$M222)))</f>
        <v/>
      </c>
      <c r="C222" s="15">
        <f>IF($A222="","",IF(INDEX('潜水記録'!$D$5:$D$3004,$M222)="","",INDEX('潜水記録'!$D$5:$D$3004,$M222)))</f>
        <v/>
      </c>
      <c r="D222" s="14">
        <f>IF($A222="","",IF(INDEX('潜水記録'!$E$5:$E$3004,$M222)="","",INDEX('潜水記録'!$E$5:$E$3004,$M222)))</f>
        <v/>
      </c>
      <c r="E222" s="14">
        <f>IF($A222="","",IF(INDEX('潜水記録'!$F$5:$F$3004,$M222)="","",INDEX('潜水記録'!$F$5:$F$3004,$M222)))</f>
        <v/>
      </c>
      <c r="F222" s="15">
        <f>IF($A222="","",IF(INDEX('潜水記録'!$G$5:$G$3004,$M222)="","",INDEX('潜水記録'!$G$5:$G$3004,$M222)))</f>
        <v/>
      </c>
      <c r="G222" s="15">
        <f>IF($A222="","",IF(INDEX('潜水記録'!$H$5:$H$3004,$M222)="","",INDEX('潜水記録'!$H$5:$H$3004,$M222)))</f>
        <v/>
      </c>
      <c r="H222" s="15">
        <f>IF($A222="","",IF(INDEX('潜水記録'!$I$5:$I$3004,$M222)="","",INDEX('潜水記録'!$I$5:$I$3004,$M222)))</f>
        <v/>
      </c>
      <c r="I222" s="15">
        <f>IF($A222="","",IF(INDEX('潜水記録'!$X$5:$X$3004,$M222)="","",INDEX('潜水記録'!$X$5:$X$3004,$M222)))</f>
        <v/>
      </c>
      <c r="J222" s="15">
        <f>IF($A222="","",IF(INDEX('潜水記録'!$O$5:$O$3004,$M222)="","",INDEX('潜水記録'!$O$5:$O$3004,$M222)))</f>
        <v/>
      </c>
      <c r="K222" s="15">
        <f>IF($A222="","",IF(INDEX('潜水記録'!$P$5:$P$3004,$M222)="","",INDEX('潜水記録'!$P$5:$P$3004,$M222)))</f>
        <v/>
      </c>
      <c r="L222" s="14">
        <f>IF($A222="","",IF(INDEX('潜水記録'!$Q$5:$Q$3004,$M222)="","",INDEX('潜水記録'!$Q$5:$Q$3004,$M222)))</f>
        <v/>
      </c>
      <c r="M222" s="20">
        <f>IF($A222="","",MATCH($A222,'潜水記録'!$AG$5:$AG$3004,0))</f>
        <v/>
      </c>
    </row>
    <row r="223">
      <c r="A223" s="15">
        <f>IF(214&lt;=$C$6,214,"")</f>
        <v/>
      </c>
      <c r="B223" s="16">
        <f>IF($A223="","",IF(INDEX('潜水記録'!$A$5:$A$3004,$M223)="","",INDEX('潜水記録'!$A$5:$A$3004,$M223)))</f>
        <v/>
      </c>
      <c r="C223" s="15">
        <f>IF($A223="","",IF(INDEX('潜水記録'!$D$5:$D$3004,$M223)="","",INDEX('潜水記録'!$D$5:$D$3004,$M223)))</f>
        <v/>
      </c>
      <c r="D223" s="14">
        <f>IF($A223="","",IF(INDEX('潜水記録'!$E$5:$E$3004,$M223)="","",INDEX('潜水記録'!$E$5:$E$3004,$M223)))</f>
        <v/>
      </c>
      <c r="E223" s="14">
        <f>IF($A223="","",IF(INDEX('潜水記録'!$F$5:$F$3004,$M223)="","",INDEX('潜水記録'!$F$5:$F$3004,$M223)))</f>
        <v/>
      </c>
      <c r="F223" s="15">
        <f>IF($A223="","",IF(INDEX('潜水記録'!$G$5:$G$3004,$M223)="","",INDEX('潜水記録'!$G$5:$G$3004,$M223)))</f>
        <v/>
      </c>
      <c r="G223" s="15">
        <f>IF($A223="","",IF(INDEX('潜水記録'!$H$5:$H$3004,$M223)="","",INDEX('潜水記録'!$H$5:$H$3004,$M223)))</f>
        <v/>
      </c>
      <c r="H223" s="15">
        <f>IF($A223="","",IF(INDEX('潜水記録'!$I$5:$I$3004,$M223)="","",INDEX('潜水記録'!$I$5:$I$3004,$M223)))</f>
        <v/>
      </c>
      <c r="I223" s="15">
        <f>IF($A223="","",IF(INDEX('潜水記録'!$X$5:$X$3004,$M223)="","",INDEX('潜水記録'!$X$5:$X$3004,$M223)))</f>
        <v/>
      </c>
      <c r="J223" s="15">
        <f>IF($A223="","",IF(INDEX('潜水記録'!$O$5:$O$3004,$M223)="","",INDEX('潜水記録'!$O$5:$O$3004,$M223)))</f>
        <v/>
      </c>
      <c r="K223" s="15">
        <f>IF($A223="","",IF(INDEX('潜水記録'!$P$5:$P$3004,$M223)="","",INDEX('潜水記録'!$P$5:$P$3004,$M223)))</f>
        <v/>
      </c>
      <c r="L223" s="14">
        <f>IF($A223="","",IF(INDEX('潜水記録'!$Q$5:$Q$3004,$M223)="","",INDEX('潜水記録'!$Q$5:$Q$3004,$M223)))</f>
        <v/>
      </c>
      <c r="M223" s="20">
        <f>IF($A223="","",MATCH($A223,'潜水記録'!$AG$5:$AG$3004,0))</f>
        <v/>
      </c>
    </row>
    <row r="224">
      <c r="A224" s="15">
        <f>IF(215&lt;=$C$6,215,"")</f>
        <v/>
      </c>
      <c r="B224" s="16">
        <f>IF($A224="","",IF(INDEX('潜水記録'!$A$5:$A$3004,$M224)="","",INDEX('潜水記録'!$A$5:$A$3004,$M224)))</f>
        <v/>
      </c>
      <c r="C224" s="15">
        <f>IF($A224="","",IF(INDEX('潜水記録'!$D$5:$D$3004,$M224)="","",INDEX('潜水記録'!$D$5:$D$3004,$M224)))</f>
        <v/>
      </c>
      <c r="D224" s="14">
        <f>IF($A224="","",IF(INDEX('潜水記録'!$E$5:$E$3004,$M224)="","",INDEX('潜水記録'!$E$5:$E$3004,$M224)))</f>
        <v/>
      </c>
      <c r="E224" s="14">
        <f>IF($A224="","",IF(INDEX('潜水記録'!$F$5:$F$3004,$M224)="","",INDEX('潜水記録'!$F$5:$F$3004,$M224)))</f>
        <v/>
      </c>
      <c r="F224" s="15">
        <f>IF($A224="","",IF(INDEX('潜水記録'!$G$5:$G$3004,$M224)="","",INDEX('潜水記録'!$G$5:$G$3004,$M224)))</f>
        <v/>
      </c>
      <c r="G224" s="15">
        <f>IF($A224="","",IF(INDEX('潜水記録'!$H$5:$H$3004,$M224)="","",INDEX('潜水記録'!$H$5:$H$3004,$M224)))</f>
        <v/>
      </c>
      <c r="H224" s="15">
        <f>IF($A224="","",IF(INDEX('潜水記録'!$I$5:$I$3004,$M224)="","",INDEX('潜水記録'!$I$5:$I$3004,$M224)))</f>
        <v/>
      </c>
      <c r="I224" s="15">
        <f>IF($A224="","",IF(INDEX('潜水記録'!$X$5:$X$3004,$M224)="","",INDEX('潜水記録'!$X$5:$X$3004,$M224)))</f>
        <v/>
      </c>
      <c r="J224" s="15">
        <f>IF($A224="","",IF(INDEX('潜水記録'!$O$5:$O$3004,$M224)="","",INDEX('潜水記録'!$O$5:$O$3004,$M224)))</f>
        <v/>
      </c>
      <c r="K224" s="15">
        <f>IF($A224="","",IF(INDEX('潜水記録'!$P$5:$P$3004,$M224)="","",INDEX('潜水記録'!$P$5:$P$3004,$M224)))</f>
        <v/>
      </c>
      <c r="L224" s="14">
        <f>IF($A224="","",IF(INDEX('潜水記録'!$Q$5:$Q$3004,$M224)="","",INDEX('潜水記録'!$Q$5:$Q$3004,$M224)))</f>
        <v/>
      </c>
      <c r="M224" s="20">
        <f>IF($A224="","",MATCH($A224,'潜水記録'!$AG$5:$AG$3004,0))</f>
        <v/>
      </c>
    </row>
    <row r="225">
      <c r="A225" s="15">
        <f>IF(216&lt;=$C$6,216,"")</f>
        <v/>
      </c>
      <c r="B225" s="16">
        <f>IF($A225="","",IF(INDEX('潜水記録'!$A$5:$A$3004,$M225)="","",INDEX('潜水記録'!$A$5:$A$3004,$M225)))</f>
        <v/>
      </c>
      <c r="C225" s="15">
        <f>IF($A225="","",IF(INDEX('潜水記録'!$D$5:$D$3004,$M225)="","",INDEX('潜水記録'!$D$5:$D$3004,$M225)))</f>
        <v/>
      </c>
      <c r="D225" s="14">
        <f>IF($A225="","",IF(INDEX('潜水記録'!$E$5:$E$3004,$M225)="","",INDEX('潜水記録'!$E$5:$E$3004,$M225)))</f>
        <v/>
      </c>
      <c r="E225" s="14">
        <f>IF($A225="","",IF(INDEX('潜水記録'!$F$5:$F$3004,$M225)="","",INDEX('潜水記録'!$F$5:$F$3004,$M225)))</f>
        <v/>
      </c>
      <c r="F225" s="15">
        <f>IF($A225="","",IF(INDEX('潜水記録'!$G$5:$G$3004,$M225)="","",INDEX('潜水記録'!$G$5:$G$3004,$M225)))</f>
        <v/>
      </c>
      <c r="G225" s="15">
        <f>IF($A225="","",IF(INDEX('潜水記録'!$H$5:$H$3004,$M225)="","",INDEX('潜水記録'!$H$5:$H$3004,$M225)))</f>
        <v/>
      </c>
      <c r="H225" s="15">
        <f>IF($A225="","",IF(INDEX('潜水記録'!$I$5:$I$3004,$M225)="","",INDEX('潜水記録'!$I$5:$I$3004,$M225)))</f>
        <v/>
      </c>
      <c r="I225" s="15">
        <f>IF($A225="","",IF(INDEX('潜水記録'!$X$5:$X$3004,$M225)="","",INDEX('潜水記録'!$X$5:$X$3004,$M225)))</f>
        <v/>
      </c>
      <c r="J225" s="15">
        <f>IF($A225="","",IF(INDEX('潜水記録'!$O$5:$O$3004,$M225)="","",INDEX('潜水記録'!$O$5:$O$3004,$M225)))</f>
        <v/>
      </c>
      <c r="K225" s="15">
        <f>IF($A225="","",IF(INDEX('潜水記録'!$P$5:$P$3004,$M225)="","",INDEX('潜水記録'!$P$5:$P$3004,$M225)))</f>
        <v/>
      </c>
      <c r="L225" s="14">
        <f>IF($A225="","",IF(INDEX('潜水記録'!$Q$5:$Q$3004,$M225)="","",INDEX('潜水記録'!$Q$5:$Q$3004,$M225)))</f>
        <v/>
      </c>
      <c r="M225" s="20">
        <f>IF($A225="","",MATCH($A225,'潜水記録'!$AG$5:$AG$3004,0))</f>
        <v/>
      </c>
    </row>
    <row r="226">
      <c r="A226" s="15">
        <f>IF(217&lt;=$C$6,217,"")</f>
        <v/>
      </c>
      <c r="B226" s="16">
        <f>IF($A226="","",IF(INDEX('潜水記録'!$A$5:$A$3004,$M226)="","",INDEX('潜水記録'!$A$5:$A$3004,$M226)))</f>
        <v/>
      </c>
      <c r="C226" s="15">
        <f>IF($A226="","",IF(INDEX('潜水記録'!$D$5:$D$3004,$M226)="","",INDEX('潜水記録'!$D$5:$D$3004,$M226)))</f>
        <v/>
      </c>
      <c r="D226" s="14">
        <f>IF($A226="","",IF(INDEX('潜水記録'!$E$5:$E$3004,$M226)="","",INDEX('潜水記録'!$E$5:$E$3004,$M226)))</f>
        <v/>
      </c>
      <c r="E226" s="14">
        <f>IF($A226="","",IF(INDEX('潜水記録'!$F$5:$F$3004,$M226)="","",INDEX('潜水記録'!$F$5:$F$3004,$M226)))</f>
        <v/>
      </c>
      <c r="F226" s="15">
        <f>IF($A226="","",IF(INDEX('潜水記録'!$G$5:$G$3004,$M226)="","",INDEX('潜水記録'!$G$5:$G$3004,$M226)))</f>
        <v/>
      </c>
      <c r="G226" s="15">
        <f>IF($A226="","",IF(INDEX('潜水記録'!$H$5:$H$3004,$M226)="","",INDEX('潜水記録'!$H$5:$H$3004,$M226)))</f>
        <v/>
      </c>
      <c r="H226" s="15">
        <f>IF($A226="","",IF(INDEX('潜水記録'!$I$5:$I$3004,$M226)="","",INDEX('潜水記録'!$I$5:$I$3004,$M226)))</f>
        <v/>
      </c>
      <c r="I226" s="15">
        <f>IF($A226="","",IF(INDEX('潜水記録'!$X$5:$X$3004,$M226)="","",INDEX('潜水記録'!$X$5:$X$3004,$M226)))</f>
        <v/>
      </c>
      <c r="J226" s="15">
        <f>IF($A226="","",IF(INDEX('潜水記録'!$O$5:$O$3004,$M226)="","",INDEX('潜水記録'!$O$5:$O$3004,$M226)))</f>
        <v/>
      </c>
      <c r="K226" s="15">
        <f>IF($A226="","",IF(INDEX('潜水記録'!$P$5:$P$3004,$M226)="","",INDEX('潜水記録'!$P$5:$P$3004,$M226)))</f>
        <v/>
      </c>
      <c r="L226" s="14">
        <f>IF($A226="","",IF(INDEX('潜水記録'!$Q$5:$Q$3004,$M226)="","",INDEX('潜水記録'!$Q$5:$Q$3004,$M226)))</f>
        <v/>
      </c>
      <c r="M226" s="20">
        <f>IF($A226="","",MATCH($A226,'潜水記録'!$AG$5:$AG$3004,0))</f>
        <v/>
      </c>
    </row>
    <row r="227">
      <c r="A227" s="15">
        <f>IF(218&lt;=$C$6,218,"")</f>
        <v/>
      </c>
      <c r="B227" s="16">
        <f>IF($A227="","",IF(INDEX('潜水記録'!$A$5:$A$3004,$M227)="","",INDEX('潜水記録'!$A$5:$A$3004,$M227)))</f>
        <v/>
      </c>
      <c r="C227" s="15">
        <f>IF($A227="","",IF(INDEX('潜水記録'!$D$5:$D$3004,$M227)="","",INDEX('潜水記録'!$D$5:$D$3004,$M227)))</f>
        <v/>
      </c>
      <c r="D227" s="14">
        <f>IF($A227="","",IF(INDEX('潜水記録'!$E$5:$E$3004,$M227)="","",INDEX('潜水記録'!$E$5:$E$3004,$M227)))</f>
        <v/>
      </c>
      <c r="E227" s="14">
        <f>IF($A227="","",IF(INDEX('潜水記録'!$F$5:$F$3004,$M227)="","",INDEX('潜水記録'!$F$5:$F$3004,$M227)))</f>
        <v/>
      </c>
      <c r="F227" s="15">
        <f>IF($A227="","",IF(INDEX('潜水記録'!$G$5:$G$3004,$M227)="","",INDEX('潜水記録'!$G$5:$G$3004,$M227)))</f>
        <v/>
      </c>
      <c r="G227" s="15">
        <f>IF($A227="","",IF(INDEX('潜水記録'!$H$5:$H$3004,$M227)="","",INDEX('潜水記録'!$H$5:$H$3004,$M227)))</f>
        <v/>
      </c>
      <c r="H227" s="15">
        <f>IF($A227="","",IF(INDEX('潜水記録'!$I$5:$I$3004,$M227)="","",INDEX('潜水記録'!$I$5:$I$3004,$M227)))</f>
        <v/>
      </c>
      <c r="I227" s="15">
        <f>IF($A227="","",IF(INDEX('潜水記録'!$X$5:$X$3004,$M227)="","",INDEX('潜水記録'!$X$5:$X$3004,$M227)))</f>
        <v/>
      </c>
      <c r="J227" s="15">
        <f>IF($A227="","",IF(INDEX('潜水記録'!$O$5:$O$3004,$M227)="","",INDEX('潜水記録'!$O$5:$O$3004,$M227)))</f>
        <v/>
      </c>
      <c r="K227" s="15">
        <f>IF($A227="","",IF(INDEX('潜水記録'!$P$5:$P$3004,$M227)="","",INDEX('潜水記録'!$P$5:$P$3004,$M227)))</f>
        <v/>
      </c>
      <c r="L227" s="14">
        <f>IF($A227="","",IF(INDEX('潜水記録'!$Q$5:$Q$3004,$M227)="","",INDEX('潜水記録'!$Q$5:$Q$3004,$M227)))</f>
        <v/>
      </c>
      <c r="M227" s="20">
        <f>IF($A227="","",MATCH($A227,'潜水記録'!$AG$5:$AG$3004,0))</f>
        <v/>
      </c>
    </row>
    <row r="228">
      <c r="A228" s="15">
        <f>IF(219&lt;=$C$6,219,"")</f>
        <v/>
      </c>
      <c r="B228" s="16">
        <f>IF($A228="","",IF(INDEX('潜水記録'!$A$5:$A$3004,$M228)="","",INDEX('潜水記録'!$A$5:$A$3004,$M228)))</f>
        <v/>
      </c>
      <c r="C228" s="15">
        <f>IF($A228="","",IF(INDEX('潜水記録'!$D$5:$D$3004,$M228)="","",INDEX('潜水記録'!$D$5:$D$3004,$M228)))</f>
        <v/>
      </c>
      <c r="D228" s="14">
        <f>IF($A228="","",IF(INDEX('潜水記録'!$E$5:$E$3004,$M228)="","",INDEX('潜水記録'!$E$5:$E$3004,$M228)))</f>
        <v/>
      </c>
      <c r="E228" s="14">
        <f>IF($A228="","",IF(INDEX('潜水記録'!$F$5:$F$3004,$M228)="","",INDEX('潜水記録'!$F$5:$F$3004,$M228)))</f>
        <v/>
      </c>
      <c r="F228" s="15">
        <f>IF($A228="","",IF(INDEX('潜水記録'!$G$5:$G$3004,$M228)="","",INDEX('潜水記録'!$G$5:$G$3004,$M228)))</f>
        <v/>
      </c>
      <c r="G228" s="15">
        <f>IF($A228="","",IF(INDEX('潜水記録'!$H$5:$H$3004,$M228)="","",INDEX('潜水記録'!$H$5:$H$3004,$M228)))</f>
        <v/>
      </c>
      <c r="H228" s="15">
        <f>IF($A228="","",IF(INDEX('潜水記録'!$I$5:$I$3004,$M228)="","",INDEX('潜水記録'!$I$5:$I$3004,$M228)))</f>
        <v/>
      </c>
      <c r="I228" s="15">
        <f>IF($A228="","",IF(INDEX('潜水記録'!$X$5:$X$3004,$M228)="","",INDEX('潜水記録'!$X$5:$X$3004,$M228)))</f>
        <v/>
      </c>
      <c r="J228" s="15">
        <f>IF($A228="","",IF(INDEX('潜水記録'!$O$5:$O$3004,$M228)="","",INDEX('潜水記録'!$O$5:$O$3004,$M228)))</f>
        <v/>
      </c>
      <c r="K228" s="15">
        <f>IF($A228="","",IF(INDEX('潜水記録'!$P$5:$P$3004,$M228)="","",INDEX('潜水記録'!$P$5:$P$3004,$M228)))</f>
        <v/>
      </c>
      <c r="L228" s="14">
        <f>IF($A228="","",IF(INDEX('潜水記録'!$Q$5:$Q$3004,$M228)="","",INDEX('潜水記録'!$Q$5:$Q$3004,$M228)))</f>
        <v/>
      </c>
      <c r="M228" s="20">
        <f>IF($A228="","",MATCH($A228,'潜水記録'!$AG$5:$AG$3004,0))</f>
        <v/>
      </c>
    </row>
    <row r="229">
      <c r="A229" s="15">
        <f>IF(220&lt;=$C$6,220,"")</f>
        <v/>
      </c>
      <c r="B229" s="16">
        <f>IF($A229="","",IF(INDEX('潜水記録'!$A$5:$A$3004,$M229)="","",INDEX('潜水記録'!$A$5:$A$3004,$M229)))</f>
        <v/>
      </c>
      <c r="C229" s="15">
        <f>IF($A229="","",IF(INDEX('潜水記録'!$D$5:$D$3004,$M229)="","",INDEX('潜水記録'!$D$5:$D$3004,$M229)))</f>
        <v/>
      </c>
      <c r="D229" s="14">
        <f>IF($A229="","",IF(INDEX('潜水記録'!$E$5:$E$3004,$M229)="","",INDEX('潜水記録'!$E$5:$E$3004,$M229)))</f>
        <v/>
      </c>
      <c r="E229" s="14">
        <f>IF($A229="","",IF(INDEX('潜水記録'!$F$5:$F$3004,$M229)="","",INDEX('潜水記録'!$F$5:$F$3004,$M229)))</f>
        <v/>
      </c>
      <c r="F229" s="15">
        <f>IF($A229="","",IF(INDEX('潜水記録'!$G$5:$G$3004,$M229)="","",INDEX('潜水記録'!$G$5:$G$3004,$M229)))</f>
        <v/>
      </c>
      <c r="G229" s="15">
        <f>IF($A229="","",IF(INDEX('潜水記録'!$H$5:$H$3004,$M229)="","",INDEX('潜水記録'!$H$5:$H$3004,$M229)))</f>
        <v/>
      </c>
      <c r="H229" s="15">
        <f>IF($A229="","",IF(INDEX('潜水記録'!$I$5:$I$3004,$M229)="","",INDEX('潜水記録'!$I$5:$I$3004,$M229)))</f>
        <v/>
      </c>
      <c r="I229" s="15">
        <f>IF($A229="","",IF(INDEX('潜水記録'!$X$5:$X$3004,$M229)="","",INDEX('潜水記録'!$X$5:$X$3004,$M229)))</f>
        <v/>
      </c>
      <c r="J229" s="15">
        <f>IF($A229="","",IF(INDEX('潜水記録'!$O$5:$O$3004,$M229)="","",INDEX('潜水記録'!$O$5:$O$3004,$M229)))</f>
        <v/>
      </c>
      <c r="K229" s="15">
        <f>IF($A229="","",IF(INDEX('潜水記録'!$P$5:$P$3004,$M229)="","",INDEX('潜水記録'!$P$5:$P$3004,$M229)))</f>
        <v/>
      </c>
      <c r="L229" s="14">
        <f>IF($A229="","",IF(INDEX('潜水記録'!$Q$5:$Q$3004,$M229)="","",INDEX('潜水記録'!$Q$5:$Q$3004,$M229)))</f>
        <v/>
      </c>
      <c r="M229" s="20">
        <f>IF($A229="","",MATCH($A229,'潜水記録'!$AG$5:$AG$3004,0))</f>
        <v/>
      </c>
    </row>
    <row r="230">
      <c r="A230" s="15">
        <f>IF(221&lt;=$C$6,221,"")</f>
        <v/>
      </c>
      <c r="B230" s="16">
        <f>IF($A230="","",IF(INDEX('潜水記録'!$A$5:$A$3004,$M230)="","",INDEX('潜水記録'!$A$5:$A$3004,$M230)))</f>
        <v/>
      </c>
      <c r="C230" s="15">
        <f>IF($A230="","",IF(INDEX('潜水記録'!$D$5:$D$3004,$M230)="","",INDEX('潜水記録'!$D$5:$D$3004,$M230)))</f>
        <v/>
      </c>
      <c r="D230" s="14">
        <f>IF($A230="","",IF(INDEX('潜水記録'!$E$5:$E$3004,$M230)="","",INDEX('潜水記録'!$E$5:$E$3004,$M230)))</f>
        <v/>
      </c>
      <c r="E230" s="14">
        <f>IF($A230="","",IF(INDEX('潜水記録'!$F$5:$F$3004,$M230)="","",INDEX('潜水記録'!$F$5:$F$3004,$M230)))</f>
        <v/>
      </c>
      <c r="F230" s="15">
        <f>IF($A230="","",IF(INDEX('潜水記録'!$G$5:$G$3004,$M230)="","",INDEX('潜水記録'!$G$5:$G$3004,$M230)))</f>
        <v/>
      </c>
      <c r="G230" s="15">
        <f>IF($A230="","",IF(INDEX('潜水記録'!$H$5:$H$3004,$M230)="","",INDEX('潜水記録'!$H$5:$H$3004,$M230)))</f>
        <v/>
      </c>
      <c r="H230" s="15">
        <f>IF($A230="","",IF(INDEX('潜水記録'!$I$5:$I$3004,$M230)="","",INDEX('潜水記録'!$I$5:$I$3004,$M230)))</f>
        <v/>
      </c>
      <c r="I230" s="15">
        <f>IF($A230="","",IF(INDEX('潜水記録'!$X$5:$X$3004,$M230)="","",INDEX('潜水記録'!$X$5:$X$3004,$M230)))</f>
        <v/>
      </c>
      <c r="J230" s="15">
        <f>IF($A230="","",IF(INDEX('潜水記録'!$O$5:$O$3004,$M230)="","",INDEX('潜水記録'!$O$5:$O$3004,$M230)))</f>
        <v/>
      </c>
      <c r="K230" s="15">
        <f>IF($A230="","",IF(INDEX('潜水記録'!$P$5:$P$3004,$M230)="","",INDEX('潜水記録'!$P$5:$P$3004,$M230)))</f>
        <v/>
      </c>
      <c r="L230" s="14">
        <f>IF($A230="","",IF(INDEX('潜水記録'!$Q$5:$Q$3004,$M230)="","",INDEX('潜水記録'!$Q$5:$Q$3004,$M230)))</f>
        <v/>
      </c>
      <c r="M230" s="20">
        <f>IF($A230="","",MATCH($A230,'潜水記録'!$AG$5:$AG$3004,0))</f>
        <v/>
      </c>
    </row>
    <row r="231">
      <c r="A231" s="15">
        <f>IF(222&lt;=$C$6,222,"")</f>
        <v/>
      </c>
      <c r="B231" s="16">
        <f>IF($A231="","",IF(INDEX('潜水記録'!$A$5:$A$3004,$M231)="","",INDEX('潜水記録'!$A$5:$A$3004,$M231)))</f>
        <v/>
      </c>
      <c r="C231" s="15">
        <f>IF($A231="","",IF(INDEX('潜水記録'!$D$5:$D$3004,$M231)="","",INDEX('潜水記録'!$D$5:$D$3004,$M231)))</f>
        <v/>
      </c>
      <c r="D231" s="14">
        <f>IF($A231="","",IF(INDEX('潜水記録'!$E$5:$E$3004,$M231)="","",INDEX('潜水記録'!$E$5:$E$3004,$M231)))</f>
        <v/>
      </c>
      <c r="E231" s="14">
        <f>IF($A231="","",IF(INDEX('潜水記録'!$F$5:$F$3004,$M231)="","",INDEX('潜水記録'!$F$5:$F$3004,$M231)))</f>
        <v/>
      </c>
      <c r="F231" s="15">
        <f>IF($A231="","",IF(INDEX('潜水記録'!$G$5:$G$3004,$M231)="","",INDEX('潜水記録'!$G$5:$G$3004,$M231)))</f>
        <v/>
      </c>
      <c r="G231" s="15">
        <f>IF($A231="","",IF(INDEX('潜水記録'!$H$5:$H$3004,$M231)="","",INDEX('潜水記録'!$H$5:$H$3004,$M231)))</f>
        <v/>
      </c>
      <c r="H231" s="15">
        <f>IF($A231="","",IF(INDEX('潜水記録'!$I$5:$I$3004,$M231)="","",INDEX('潜水記録'!$I$5:$I$3004,$M231)))</f>
        <v/>
      </c>
      <c r="I231" s="15">
        <f>IF($A231="","",IF(INDEX('潜水記録'!$X$5:$X$3004,$M231)="","",INDEX('潜水記録'!$X$5:$X$3004,$M231)))</f>
        <v/>
      </c>
      <c r="J231" s="15">
        <f>IF($A231="","",IF(INDEX('潜水記録'!$O$5:$O$3004,$M231)="","",INDEX('潜水記録'!$O$5:$O$3004,$M231)))</f>
        <v/>
      </c>
      <c r="K231" s="15">
        <f>IF($A231="","",IF(INDEX('潜水記録'!$P$5:$P$3004,$M231)="","",INDEX('潜水記録'!$P$5:$P$3004,$M231)))</f>
        <v/>
      </c>
      <c r="L231" s="14">
        <f>IF($A231="","",IF(INDEX('潜水記録'!$Q$5:$Q$3004,$M231)="","",INDEX('潜水記録'!$Q$5:$Q$3004,$M231)))</f>
        <v/>
      </c>
      <c r="M231" s="20">
        <f>IF($A231="","",MATCH($A231,'潜水記録'!$AG$5:$AG$3004,0))</f>
        <v/>
      </c>
    </row>
    <row r="232">
      <c r="A232" s="15">
        <f>IF(223&lt;=$C$6,223,"")</f>
        <v/>
      </c>
      <c r="B232" s="16">
        <f>IF($A232="","",IF(INDEX('潜水記録'!$A$5:$A$3004,$M232)="","",INDEX('潜水記録'!$A$5:$A$3004,$M232)))</f>
        <v/>
      </c>
      <c r="C232" s="15">
        <f>IF($A232="","",IF(INDEX('潜水記録'!$D$5:$D$3004,$M232)="","",INDEX('潜水記録'!$D$5:$D$3004,$M232)))</f>
        <v/>
      </c>
      <c r="D232" s="14">
        <f>IF($A232="","",IF(INDEX('潜水記録'!$E$5:$E$3004,$M232)="","",INDEX('潜水記録'!$E$5:$E$3004,$M232)))</f>
        <v/>
      </c>
      <c r="E232" s="14">
        <f>IF($A232="","",IF(INDEX('潜水記録'!$F$5:$F$3004,$M232)="","",INDEX('潜水記録'!$F$5:$F$3004,$M232)))</f>
        <v/>
      </c>
      <c r="F232" s="15">
        <f>IF($A232="","",IF(INDEX('潜水記録'!$G$5:$G$3004,$M232)="","",INDEX('潜水記録'!$G$5:$G$3004,$M232)))</f>
        <v/>
      </c>
      <c r="G232" s="15">
        <f>IF($A232="","",IF(INDEX('潜水記録'!$H$5:$H$3004,$M232)="","",INDEX('潜水記録'!$H$5:$H$3004,$M232)))</f>
        <v/>
      </c>
      <c r="H232" s="15">
        <f>IF($A232="","",IF(INDEX('潜水記録'!$I$5:$I$3004,$M232)="","",INDEX('潜水記録'!$I$5:$I$3004,$M232)))</f>
        <v/>
      </c>
      <c r="I232" s="15">
        <f>IF($A232="","",IF(INDEX('潜水記録'!$X$5:$X$3004,$M232)="","",INDEX('潜水記録'!$X$5:$X$3004,$M232)))</f>
        <v/>
      </c>
      <c r="J232" s="15">
        <f>IF($A232="","",IF(INDEX('潜水記録'!$O$5:$O$3004,$M232)="","",INDEX('潜水記録'!$O$5:$O$3004,$M232)))</f>
        <v/>
      </c>
      <c r="K232" s="15">
        <f>IF($A232="","",IF(INDEX('潜水記録'!$P$5:$P$3004,$M232)="","",INDEX('潜水記録'!$P$5:$P$3004,$M232)))</f>
        <v/>
      </c>
      <c r="L232" s="14">
        <f>IF($A232="","",IF(INDEX('潜水記録'!$Q$5:$Q$3004,$M232)="","",INDEX('潜水記録'!$Q$5:$Q$3004,$M232)))</f>
        <v/>
      </c>
      <c r="M232" s="20">
        <f>IF($A232="","",MATCH($A232,'潜水記録'!$AG$5:$AG$3004,0))</f>
        <v/>
      </c>
    </row>
    <row r="233">
      <c r="A233" s="15">
        <f>IF(224&lt;=$C$6,224,"")</f>
        <v/>
      </c>
      <c r="B233" s="16">
        <f>IF($A233="","",IF(INDEX('潜水記録'!$A$5:$A$3004,$M233)="","",INDEX('潜水記録'!$A$5:$A$3004,$M233)))</f>
        <v/>
      </c>
      <c r="C233" s="15">
        <f>IF($A233="","",IF(INDEX('潜水記録'!$D$5:$D$3004,$M233)="","",INDEX('潜水記録'!$D$5:$D$3004,$M233)))</f>
        <v/>
      </c>
      <c r="D233" s="14">
        <f>IF($A233="","",IF(INDEX('潜水記録'!$E$5:$E$3004,$M233)="","",INDEX('潜水記録'!$E$5:$E$3004,$M233)))</f>
        <v/>
      </c>
      <c r="E233" s="14">
        <f>IF($A233="","",IF(INDEX('潜水記録'!$F$5:$F$3004,$M233)="","",INDEX('潜水記録'!$F$5:$F$3004,$M233)))</f>
        <v/>
      </c>
      <c r="F233" s="15">
        <f>IF($A233="","",IF(INDEX('潜水記録'!$G$5:$G$3004,$M233)="","",INDEX('潜水記録'!$G$5:$G$3004,$M233)))</f>
        <v/>
      </c>
      <c r="G233" s="15">
        <f>IF($A233="","",IF(INDEX('潜水記録'!$H$5:$H$3004,$M233)="","",INDEX('潜水記録'!$H$5:$H$3004,$M233)))</f>
        <v/>
      </c>
      <c r="H233" s="15">
        <f>IF($A233="","",IF(INDEX('潜水記録'!$I$5:$I$3004,$M233)="","",INDEX('潜水記録'!$I$5:$I$3004,$M233)))</f>
        <v/>
      </c>
      <c r="I233" s="15">
        <f>IF($A233="","",IF(INDEX('潜水記録'!$X$5:$X$3004,$M233)="","",INDEX('潜水記録'!$X$5:$X$3004,$M233)))</f>
        <v/>
      </c>
      <c r="J233" s="15">
        <f>IF($A233="","",IF(INDEX('潜水記録'!$O$5:$O$3004,$M233)="","",INDEX('潜水記録'!$O$5:$O$3004,$M233)))</f>
        <v/>
      </c>
      <c r="K233" s="15">
        <f>IF($A233="","",IF(INDEX('潜水記録'!$P$5:$P$3004,$M233)="","",INDEX('潜水記録'!$P$5:$P$3004,$M233)))</f>
        <v/>
      </c>
      <c r="L233" s="14">
        <f>IF($A233="","",IF(INDEX('潜水記録'!$Q$5:$Q$3004,$M233)="","",INDEX('潜水記録'!$Q$5:$Q$3004,$M233)))</f>
        <v/>
      </c>
      <c r="M233" s="20">
        <f>IF($A233="","",MATCH($A233,'潜水記録'!$AG$5:$AG$3004,0))</f>
        <v/>
      </c>
    </row>
    <row r="234">
      <c r="A234" s="15">
        <f>IF(225&lt;=$C$6,225,"")</f>
        <v/>
      </c>
      <c r="B234" s="16">
        <f>IF($A234="","",IF(INDEX('潜水記録'!$A$5:$A$3004,$M234)="","",INDEX('潜水記録'!$A$5:$A$3004,$M234)))</f>
        <v/>
      </c>
      <c r="C234" s="15">
        <f>IF($A234="","",IF(INDEX('潜水記録'!$D$5:$D$3004,$M234)="","",INDEX('潜水記録'!$D$5:$D$3004,$M234)))</f>
        <v/>
      </c>
      <c r="D234" s="14">
        <f>IF($A234="","",IF(INDEX('潜水記録'!$E$5:$E$3004,$M234)="","",INDEX('潜水記録'!$E$5:$E$3004,$M234)))</f>
        <v/>
      </c>
      <c r="E234" s="14">
        <f>IF($A234="","",IF(INDEX('潜水記録'!$F$5:$F$3004,$M234)="","",INDEX('潜水記録'!$F$5:$F$3004,$M234)))</f>
        <v/>
      </c>
      <c r="F234" s="15">
        <f>IF($A234="","",IF(INDEX('潜水記録'!$G$5:$G$3004,$M234)="","",INDEX('潜水記録'!$G$5:$G$3004,$M234)))</f>
        <v/>
      </c>
      <c r="G234" s="15">
        <f>IF($A234="","",IF(INDEX('潜水記録'!$H$5:$H$3004,$M234)="","",INDEX('潜水記録'!$H$5:$H$3004,$M234)))</f>
        <v/>
      </c>
      <c r="H234" s="15">
        <f>IF($A234="","",IF(INDEX('潜水記録'!$I$5:$I$3004,$M234)="","",INDEX('潜水記録'!$I$5:$I$3004,$M234)))</f>
        <v/>
      </c>
      <c r="I234" s="15">
        <f>IF($A234="","",IF(INDEX('潜水記録'!$X$5:$X$3004,$M234)="","",INDEX('潜水記録'!$X$5:$X$3004,$M234)))</f>
        <v/>
      </c>
      <c r="J234" s="15">
        <f>IF($A234="","",IF(INDEX('潜水記録'!$O$5:$O$3004,$M234)="","",INDEX('潜水記録'!$O$5:$O$3004,$M234)))</f>
        <v/>
      </c>
      <c r="K234" s="15">
        <f>IF($A234="","",IF(INDEX('潜水記録'!$P$5:$P$3004,$M234)="","",INDEX('潜水記録'!$P$5:$P$3004,$M234)))</f>
        <v/>
      </c>
      <c r="L234" s="14">
        <f>IF($A234="","",IF(INDEX('潜水記録'!$Q$5:$Q$3004,$M234)="","",INDEX('潜水記録'!$Q$5:$Q$3004,$M234)))</f>
        <v/>
      </c>
      <c r="M234" s="20">
        <f>IF($A234="","",MATCH($A234,'潜水記録'!$AG$5:$AG$3004,0))</f>
        <v/>
      </c>
    </row>
    <row r="235">
      <c r="A235" s="15">
        <f>IF(226&lt;=$C$6,226,"")</f>
        <v/>
      </c>
      <c r="B235" s="16">
        <f>IF($A235="","",IF(INDEX('潜水記録'!$A$5:$A$3004,$M235)="","",INDEX('潜水記録'!$A$5:$A$3004,$M235)))</f>
        <v/>
      </c>
      <c r="C235" s="15">
        <f>IF($A235="","",IF(INDEX('潜水記録'!$D$5:$D$3004,$M235)="","",INDEX('潜水記録'!$D$5:$D$3004,$M235)))</f>
        <v/>
      </c>
      <c r="D235" s="14">
        <f>IF($A235="","",IF(INDEX('潜水記録'!$E$5:$E$3004,$M235)="","",INDEX('潜水記録'!$E$5:$E$3004,$M235)))</f>
        <v/>
      </c>
      <c r="E235" s="14">
        <f>IF($A235="","",IF(INDEX('潜水記録'!$F$5:$F$3004,$M235)="","",INDEX('潜水記録'!$F$5:$F$3004,$M235)))</f>
        <v/>
      </c>
      <c r="F235" s="15">
        <f>IF($A235="","",IF(INDEX('潜水記録'!$G$5:$G$3004,$M235)="","",INDEX('潜水記録'!$G$5:$G$3004,$M235)))</f>
        <v/>
      </c>
      <c r="G235" s="15">
        <f>IF($A235="","",IF(INDEX('潜水記録'!$H$5:$H$3004,$M235)="","",INDEX('潜水記録'!$H$5:$H$3004,$M235)))</f>
        <v/>
      </c>
      <c r="H235" s="15">
        <f>IF($A235="","",IF(INDEX('潜水記録'!$I$5:$I$3004,$M235)="","",INDEX('潜水記録'!$I$5:$I$3004,$M235)))</f>
        <v/>
      </c>
      <c r="I235" s="15">
        <f>IF($A235="","",IF(INDEX('潜水記録'!$X$5:$X$3004,$M235)="","",INDEX('潜水記録'!$X$5:$X$3004,$M235)))</f>
        <v/>
      </c>
      <c r="J235" s="15">
        <f>IF($A235="","",IF(INDEX('潜水記録'!$O$5:$O$3004,$M235)="","",INDEX('潜水記録'!$O$5:$O$3004,$M235)))</f>
        <v/>
      </c>
      <c r="K235" s="15">
        <f>IF($A235="","",IF(INDEX('潜水記録'!$P$5:$P$3004,$M235)="","",INDEX('潜水記録'!$P$5:$P$3004,$M235)))</f>
        <v/>
      </c>
      <c r="L235" s="14">
        <f>IF($A235="","",IF(INDEX('潜水記録'!$Q$5:$Q$3004,$M235)="","",INDEX('潜水記録'!$Q$5:$Q$3004,$M235)))</f>
        <v/>
      </c>
      <c r="M235" s="20">
        <f>IF($A235="","",MATCH($A235,'潜水記録'!$AG$5:$AG$3004,0))</f>
        <v/>
      </c>
    </row>
    <row r="236">
      <c r="A236" s="15">
        <f>IF(227&lt;=$C$6,227,"")</f>
        <v/>
      </c>
      <c r="B236" s="16">
        <f>IF($A236="","",IF(INDEX('潜水記録'!$A$5:$A$3004,$M236)="","",INDEX('潜水記録'!$A$5:$A$3004,$M236)))</f>
        <v/>
      </c>
      <c r="C236" s="15">
        <f>IF($A236="","",IF(INDEX('潜水記録'!$D$5:$D$3004,$M236)="","",INDEX('潜水記録'!$D$5:$D$3004,$M236)))</f>
        <v/>
      </c>
      <c r="D236" s="14">
        <f>IF($A236="","",IF(INDEX('潜水記録'!$E$5:$E$3004,$M236)="","",INDEX('潜水記録'!$E$5:$E$3004,$M236)))</f>
        <v/>
      </c>
      <c r="E236" s="14">
        <f>IF($A236="","",IF(INDEX('潜水記録'!$F$5:$F$3004,$M236)="","",INDEX('潜水記録'!$F$5:$F$3004,$M236)))</f>
        <v/>
      </c>
      <c r="F236" s="15">
        <f>IF($A236="","",IF(INDEX('潜水記録'!$G$5:$G$3004,$M236)="","",INDEX('潜水記録'!$G$5:$G$3004,$M236)))</f>
        <v/>
      </c>
      <c r="G236" s="15">
        <f>IF($A236="","",IF(INDEX('潜水記録'!$H$5:$H$3004,$M236)="","",INDEX('潜水記録'!$H$5:$H$3004,$M236)))</f>
        <v/>
      </c>
      <c r="H236" s="15">
        <f>IF($A236="","",IF(INDEX('潜水記録'!$I$5:$I$3004,$M236)="","",INDEX('潜水記録'!$I$5:$I$3004,$M236)))</f>
        <v/>
      </c>
      <c r="I236" s="15">
        <f>IF($A236="","",IF(INDEX('潜水記録'!$X$5:$X$3004,$M236)="","",INDEX('潜水記録'!$X$5:$X$3004,$M236)))</f>
        <v/>
      </c>
      <c r="J236" s="15">
        <f>IF($A236="","",IF(INDEX('潜水記録'!$O$5:$O$3004,$M236)="","",INDEX('潜水記録'!$O$5:$O$3004,$M236)))</f>
        <v/>
      </c>
      <c r="K236" s="15">
        <f>IF($A236="","",IF(INDEX('潜水記録'!$P$5:$P$3004,$M236)="","",INDEX('潜水記録'!$P$5:$P$3004,$M236)))</f>
        <v/>
      </c>
      <c r="L236" s="14">
        <f>IF($A236="","",IF(INDEX('潜水記録'!$Q$5:$Q$3004,$M236)="","",INDEX('潜水記録'!$Q$5:$Q$3004,$M236)))</f>
        <v/>
      </c>
      <c r="M236" s="20">
        <f>IF($A236="","",MATCH($A236,'潜水記録'!$AG$5:$AG$3004,0))</f>
        <v/>
      </c>
    </row>
    <row r="237">
      <c r="A237" s="15">
        <f>IF(228&lt;=$C$6,228,"")</f>
        <v/>
      </c>
      <c r="B237" s="16">
        <f>IF($A237="","",IF(INDEX('潜水記録'!$A$5:$A$3004,$M237)="","",INDEX('潜水記録'!$A$5:$A$3004,$M237)))</f>
        <v/>
      </c>
      <c r="C237" s="15">
        <f>IF($A237="","",IF(INDEX('潜水記録'!$D$5:$D$3004,$M237)="","",INDEX('潜水記録'!$D$5:$D$3004,$M237)))</f>
        <v/>
      </c>
      <c r="D237" s="14">
        <f>IF($A237="","",IF(INDEX('潜水記録'!$E$5:$E$3004,$M237)="","",INDEX('潜水記録'!$E$5:$E$3004,$M237)))</f>
        <v/>
      </c>
      <c r="E237" s="14">
        <f>IF($A237="","",IF(INDEX('潜水記録'!$F$5:$F$3004,$M237)="","",INDEX('潜水記録'!$F$5:$F$3004,$M237)))</f>
        <v/>
      </c>
      <c r="F237" s="15">
        <f>IF($A237="","",IF(INDEX('潜水記録'!$G$5:$G$3004,$M237)="","",INDEX('潜水記録'!$G$5:$G$3004,$M237)))</f>
        <v/>
      </c>
      <c r="G237" s="15">
        <f>IF($A237="","",IF(INDEX('潜水記録'!$H$5:$H$3004,$M237)="","",INDEX('潜水記録'!$H$5:$H$3004,$M237)))</f>
        <v/>
      </c>
      <c r="H237" s="15">
        <f>IF($A237="","",IF(INDEX('潜水記録'!$I$5:$I$3004,$M237)="","",INDEX('潜水記録'!$I$5:$I$3004,$M237)))</f>
        <v/>
      </c>
      <c r="I237" s="15">
        <f>IF($A237="","",IF(INDEX('潜水記録'!$X$5:$X$3004,$M237)="","",INDEX('潜水記録'!$X$5:$X$3004,$M237)))</f>
        <v/>
      </c>
      <c r="J237" s="15">
        <f>IF($A237="","",IF(INDEX('潜水記録'!$O$5:$O$3004,$M237)="","",INDEX('潜水記録'!$O$5:$O$3004,$M237)))</f>
        <v/>
      </c>
      <c r="K237" s="15">
        <f>IF($A237="","",IF(INDEX('潜水記録'!$P$5:$P$3004,$M237)="","",INDEX('潜水記録'!$P$5:$P$3004,$M237)))</f>
        <v/>
      </c>
      <c r="L237" s="14">
        <f>IF($A237="","",IF(INDEX('潜水記録'!$Q$5:$Q$3004,$M237)="","",INDEX('潜水記録'!$Q$5:$Q$3004,$M237)))</f>
        <v/>
      </c>
      <c r="M237" s="20">
        <f>IF($A237="","",MATCH($A237,'潜水記録'!$AG$5:$AG$3004,0))</f>
        <v/>
      </c>
    </row>
    <row r="238">
      <c r="A238" s="15">
        <f>IF(229&lt;=$C$6,229,"")</f>
        <v/>
      </c>
      <c r="B238" s="16">
        <f>IF($A238="","",IF(INDEX('潜水記録'!$A$5:$A$3004,$M238)="","",INDEX('潜水記録'!$A$5:$A$3004,$M238)))</f>
        <v/>
      </c>
      <c r="C238" s="15">
        <f>IF($A238="","",IF(INDEX('潜水記録'!$D$5:$D$3004,$M238)="","",INDEX('潜水記録'!$D$5:$D$3004,$M238)))</f>
        <v/>
      </c>
      <c r="D238" s="14">
        <f>IF($A238="","",IF(INDEX('潜水記録'!$E$5:$E$3004,$M238)="","",INDEX('潜水記録'!$E$5:$E$3004,$M238)))</f>
        <v/>
      </c>
      <c r="E238" s="14">
        <f>IF($A238="","",IF(INDEX('潜水記録'!$F$5:$F$3004,$M238)="","",INDEX('潜水記録'!$F$5:$F$3004,$M238)))</f>
        <v/>
      </c>
      <c r="F238" s="15">
        <f>IF($A238="","",IF(INDEX('潜水記録'!$G$5:$G$3004,$M238)="","",INDEX('潜水記録'!$G$5:$G$3004,$M238)))</f>
        <v/>
      </c>
      <c r="G238" s="15">
        <f>IF($A238="","",IF(INDEX('潜水記録'!$H$5:$H$3004,$M238)="","",INDEX('潜水記録'!$H$5:$H$3004,$M238)))</f>
        <v/>
      </c>
      <c r="H238" s="15">
        <f>IF($A238="","",IF(INDEX('潜水記録'!$I$5:$I$3004,$M238)="","",INDEX('潜水記録'!$I$5:$I$3004,$M238)))</f>
        <v/>
      </c>
      <c r="I238" s="15">
        <f>IF($A238="","",IF(INDEX('潜水記録'!$X$5:$X$3004,$M238)="","",INDEX('潜水記録'!$X$5:$X$3004,$M238)))</f>
        <v/>
      </c>
      <c r="J238" s="15">
        <f>IF($A238="","",IF(INDEX('潜水記録'!$O$5:$O$3004,$M238)="","",INDEX('潜水記録'!$O$5:$O$3004,$M238)))</f>
        <v/>
      </c>
      <c r="K238" s="15">
        <f>IF($A238="","",IF(INDEX('潜水記録'!$P$5:$P$3004,$M238)="","",INDEX('潜水記録'!$P$5:$P$3004,$M238)))</f>
        <v/>
      </c>
      <c r="L238" s="14">
        <f>IF($A238="","",IF(INDEX('潜水記録'!$Q$5:$Q$3004,$M238)="","",INDEX('潜水記録'!$Q$5:$Q$3004,$M238)))</f>
        <v/>
      </c>
      <c r="M238" s="20">
        <f>IF($A238="","",MATCH($A238,'潜水記録'!$AG$5:$AG$3004,0))</f>
        <v/>
      </c>
    </row>
    <row r="239">
      <c r="A239" s="15">
        <f>IF(230&lt;=$C$6,230,"")</f>
        <v/>
      </c>
      <c r="B239" s="16">
        <f>IF($A239="","",IF(INDEX('潜水記録'!$A$5:$A$3004,$M239)="","",INDEX('潜水記録'!$A$5:$A$3004,$M239)))</f>
        <v/>
      </c>
      <c r="C239" s="15">
        <f>IF($A239="","",IF(INDEX('潜水記録'!$D$5:$D$3004,$M239)="","",INDEX('潜水記録'!$D$5:$D$3004,$M239)))</f>
        <v/>
      </c>
      <c r="D239" s="14">
        <f>IF($A239="","",IF(INDEX('潜水記録'!$E$5:$E$3004,$M239)="","",INDEX('潜水記録'!$E$5:$E$3004,$M239)))</f>
        <v/>
      </c>
      <c r="E239" s="14">
        <f>IF($A239="","",IF(INDEX('潜水記録'!$F$5:$F$3004,$M239)="","",INDEX('潜水記録'!$F$5:$F$3004,$M239)))</f>
        <v/>
      </c>
      <c r="F239" s="15">
        <f>IF($A239="","",IF(INDEX('潜水記録'!$G$5:$G$3004,$M239)="","",INDEX('潜水記録'!$G$5:$G$3004,$M239)))</f>
        <v/>
      </c>
      <c r="G239" s="15">
        <f>IF($A239="","",IF(INDEX('潜水記録'!$H$5:$H$3004,$M239)="","",INDEX('潜水記録'!$H$5:$H$3004,$M239)))</f>
        <v/>
      </c>
      <c r="H239" s="15">
        <f>IF($A239="","",IF(INDEX('潜水記録'!$I$5:$I$3004,$M239)="","",INDEX('潜水記録'!$I$5:$I$3004,$M239)))</f>
        <v/>
      </c>
      <c r="I239" s="15">
        <f>IF($A239="","",IF(INDEX('潜水記録'!$X$5:$X$3004,$M239)="","",INDEX('潜水記録'!$X$5:$X$3004,$M239)))</f>
        <v/>
      </c>
      <c r="J239" s="15">
        <f>IF($A239="","",IF(INDEX('潜水記録'!$O$5:$O$3004,$M239)="","",INDEX('潜水記録'!$O$5:$O$3004,$M239)))</f>
        <v/>
      </c>
      <c r="K239" s="15">
        <f>IF($A239="","",IF(INDEX('潜水記録'!$P$5:$P$3004,$M239)="","",INDEX('潜水記録'!$P$5:$P$3004,$M239)))</f>
        <v/>
      </c>
      <c r="L239" s="14">
        <f>IF($A239="","",IF(INDEX('潜水記録'!$Q$5:$Q$3004,$M239)="","",INDEX('潜水記録'!$Q$5:$Q$3004,$M239)))</f>
        <v/>
      </c>
      <c r="M239" s="20">
        <f>IF($A239="","",MATCH($A239,'潜水記録'!$AG$5:$AG$3004,0))</f>
        <v/>
      </c>
    </row>
    <row r="240">
      <c r="A240" s="15">
        <f>IF(231&lt;=$C$6,231,"")</f>
        <v/>
      </c>
      <c r="B240" s="16">
        <f>IF($A240="","",IF(INDEX('潜水記録'!$A$5:$A$3004,$M240)="","",INDEX('潜水記録'!$A$5:$A$3004,$M240)))</f>
        <v/>
      </c>
      <c r="C240" s="15">
        <f>IF($A240="","",IF(INDEX('潜水記録'!$D$5:$D$3004,$M240)="","",INDEX('潜水記録'!$D$5:$D$3004,$M240)))</f>
        <v/>
      </c>
      <c r="D240" s="14">
        <f>IF($A240="","",IF(INDEX('潜水記録'!$E$5:$E$3004,$M240)="","",INDEX('潜水記録'!$E$5:$E$3004,$M240)))</f>
        <v/>
      </c>
      <c r="E240" s="14">
        <f>IF($A240="","",IF(INDEX('潜水記録'!$F$5:$F$3004,$M240)="","",INDEX('潜水記録'!$F$5:$F$3004,$M240)))</f>
        <v/>
      </c>
      <c r="F240" s="15">
        <f>IF($A240="","",IF(INDEX('潜水記録'!$G$5:$G$3004,$M240)="","",INDEX('潜水記録'!$G$5:$G$3004,$M240)))</f>
        <v/>
      </c>
      <c r="G240" s="15">
        <f>IF($A240="","",IF(INDEX('潜水記録'!$H$5:$H$3004,$M240)="","",INDEX('潜水記録'!$H$5:$H$3004,$M240)))</f>
        <v/>
      </c>
      <c r="H240" s="15">
        <f>IF($A240="","",IF(INDEX('潜水記録'!$I$5:$I$3004,$M240)="","",INDEX('潜水記録'!$I$5:$I$3004,$M240)))</f>
        <v/>
      </c>
      <c r="I240" s="15">
        <f>IF($A240="","",IF(INDEX('潜水記録'!$X$5:$X$3004,$M240)="","",INDEX('潜水記録'!$X$5:$X$3004,$M240)))</f>
        <v/>
      </c>
      <c r="J240" s="15">
        <f>IF($A240="","",IF(INDEX('潜水記録'!$O$5:$O$3004,$M240)="","",INDEX('潜水記録'!$O$5:$O$3004,$M240)))</f>
        <v/>
      </c>
      <c r="K240" s="15">
        <f>IF($A240="","",IF(INDEX('潜水記録'!$P$5:$P$3004,$M240)="","",INDEX('潜水記録'!$P$5:$P$3004,$M240)))</f>
        <v/>
      </c>
      <c r="L240" s="14">
        <f>IF($A240="","",IF(INDEX('潜水記録'!$Q$5:$Q$3004,$M240)="","",INDEX('潜水記録'!$Q$5:$Q$3004,$M240)))</f>
        <v/>
      </c>
      <c r="M240" s="20">
        <f>IF($A240="","",MATCH($A240,'潜水記録'!$AG$5:$AG$3004,0))</f>
        <v/>
      </c>
    </row>
    <row r="241">
      <c r="A241" s="15">
        <f>IF(232&lt;=$C$6,232,"")</f>
        <v/>
      </c>
      <c r="B241" s="16">
        <f>IF($A241="","",IF(INDEX('潜水記録'!$A$5:$A$3004,$M241)="","",INDEX('潜水記録'!$A$5:$A$3004,$M241)))</f>
        <v/>
      </c>
      <c r="C241" s="15">
        <f>IF($A241="","",IF(INDEX('潜水記録'!$D$5:$D$3004,$M241)="","",INDEX('潜水記録'!$D$5:$D$3004,$M241)))</f>
        <v/>
      </c>
      <c r="D241" s="14">
        <f>IF($A241="","",IF(INDEX('潜水記録'!$E$5:$E$3004,$M241)="","",INDEX('潜水記録'!$E$5:$E$3004,$M241)))</f>
        <v/>
      </c>
      <c r="E241" s="14">
        <f>IF($A241="","",IF(INDEX('潜水記録'!$F$5:$F$3004,$M241)="","",INDEX('潜水記録'!$F$5:$F$3004,$M241)))</f>
        <v/>
      </c>
      <c r="F241" s="15">
        <f>IF($A241="","",IF(INDEX('潜水記録'!$G$5:$G$3004,$M241)="","",INDEX('潜水記録'!$G$5:$G$3004,$M241)))</f>
        <v/>
      </c>
      <c r="G241" s="15">
        <f>IF($A241="","",IF(INDEX('潜水記録'!$H$5:$H$3004,$M241)="","",INDEX('潜水記録'!$H$5:$H$3004,$M241)))</f>
        <v/>
      </c>
      <c r="H241" s="15">
        <f>IF($A241="","",IF(INDEX('潜水記録'!$I$5:$I$3004,$M241)="","",INDEX('潜水記録'!$I$5:$I$3004,$M241)))</f>
        <v/>
      </c>
      <c r="I241" s="15">
        <f>IF($A241="","",IF(INDEX('潜水記録'!$X$5:$X$3004,$M241)="","",INDEX('潜水記録'!$X$5:$X$3004,$M241)))</f>
        <v/>
      </c>
      <c r="J241" s="15">
        <f>IF($A241="","",IF(INDEX('潜水記録'!$O$5:$O$3004,$M241)="","",INDEX('潜水記録'!$O$5:$O$3004,$M241)))</f>
        <v/>
      </c>
      <c r="K241" s="15">
        <f>IF($A241="","",IF(INDEX('潜水記録'!$P$5:$P$3004,$M241)="","",INDEX('潜水記録'!$P$5:$P$3004,$M241)))</f>
        <v/>
      </c>
      <c r="L241" s="14">
        <f>IF($A241="","",IF(INDEX('潜水記録'!$Q$5:$Q$3004,$M241)="","",INDEX('潜水記録'!$Q$5:$Q$3004,$M241)))</f>
        <v/>
      </c>
      <c r="M241" s="20">
        <f>IF($A241="","",MATCH($A241,'潜水記録'!$AG$5:$AG$3004,0))</f>
        <v/>
      </c>
    </row>
    <row r="242">
      <c r="A242" s="15">
        <f>IF(233&lt;=$C$6,233,"")</f>
        <v/>
      </c>
      <c r="B242" s="16">
        <f>IF($A242="","",IF(INDEX('潜水記録'!$A$5:$A$3004,$M242)="","",INDEX('潜水記録'!$A$5:$A$3004,$M242)))</f>
        <v/>
      </c>
      <c r="C242" s="15">
        <f>IF($A242="","",IF(INDEX('潜水記録'!$D$5:$D$3004,$M242)="","",INDEX('潜水記録'!$D$5:$D$3004,$M242)))</f>
        <v/>
      </c>
      <c r="D242" s="14">
        <f>IF($A242="","",IF(INDEX('潜水記録'!$E$5:$E$3004,$M242)="","",INDEX('潜水記録'!$E$5:$E$3004,$M242)))</f>
        <v/>
      </c>
      <c r="E242" s="14">
        <f>IF($A242="","",IF(INDEX('潜水記録'!$F$5:$F$3004,$M242)="","",INDEX('潜水記録'!$F$5:$F$3004,$M242)))</f>
        <v/>
      </c>
      <c r="F242" s="15">
        <f>IF($A242="","",IF(INDEX('潜水記録'!$G$5:$G$3004,$M242)="","",INDEX('潜水記録'!$G$5:$G$3004,$M242)))</f>
        <v/>
      </c>
      <c r="G242" s="15">
        <f>IF($A242="","",IF(INDEX('潜水記録'!$H$5:$H$3004,$M242)="","",INDEX('潜水記録'!$H$5:$H$3004,$M242)))</f>
        <v/>
      </c>
      <c r="H242" s="15">
        <f>IF($A242="","",IF(INDEX('潜水記録'!$I$5:$I$3004,$M242)="","",INDEX('潜水記録'!$I$5:$I$3004,$M242)))</f>
        <v/>
      </c>
      <c r="I242" s="15">
        <f>IF($A242="","",IF(INDEX('潜水記録'!$X$5:$X$3004,$M242)="","",INDEX('潜水記録'!$X$5:$X$3004,$M242)))</f>
        <v/>
      </c>
      <c r="J242" s="15">
        <f>IF($A242="","",IF(INDEX('潜水記録'!$O$5:$O$3004,$M242)="","",INDEX('潜水記録'!$O$5:$O$3004,$M242)))</f>
        <v/>
      </c>
      <c r="K242" s="15">
        <f>IF($A242="","",IF(INDEX('潜水記録'!$P$5:$P$3004,$M242)="","",INDEX('潜水記録'!$P$5:$P$3004,$M242)))</f>
        <v/>
      </c>
      <c r="L242" s="14">
        <f>IF($A242="","",IF(INDEX('潜水記録'!$Q$5:$Q$3004,$M242)="","",INDEX('潜水記録'!$Q$5:$Q$3004,$M242)))</f>
        <v/>
      </c>
      <c r="M242" s="20">
        <f>IF($A242="","",MATCH($A242,'潜水記録'!$AG$5:$AG$3004,0))</f>
        <v/>
      </c>
    </row>
    <row r="243">
      <c r="A243" s="15">
        <f>IF(234&lt;=$C$6,234,"")</f>
        <v/>
      </c>
      <c r="B243" s="16">
        <f>IF($A243="","",IF(INDEX('潜水記録'!$A$5:$A$3004,$M243)="","",INDEX('潜水記録'!$A$5:$A$3004,$M243)))</f>
        <v/>
      </c>
      <c r="C243" s="15">
        <f>IF($A243="","",IF(INDEX('潜水記録'!$D$5:$D$3004,$M243)="","",INDEX('潜水記録'!$D$5:$D$3004,$M243)))</f>
        <v/>
      </c>
      <c r="D243" s="14">
        <f>IF($A243="","",IF(INDEX('潜水記録'!$E$5:$E$3004,$M243)="","",INDEX('潜水記録'!$E$5:$E$3004,$M243)))</f>
        <v/>
      </c>
      <c r="E243" s="14">
        <f>IF($A243="","",IF(INDEX('潜水記録'!$F$5:$F$3004,$M243)="","",INDEX('潜水記録'!$F$5:$F$3004,$M243)))</f>
        <v/>
      </c>
      <c r="F243" s="15">
        <f>IF($A243="","",IF(INDEX('潜水記録'!$G$5:$G$3004,$M243)="","",INDEX('潜水記録'!$G$5:$G$3004,$M243)))</f>
        <v/>
      </c>
      <c r="G243" s="15">
        <f>IF($A243="","",IF(INDEX('潜水記録'!$H$5:$H$3004,$M243)="","",INDEX('潜水記録'!$H$5:$H$3004,$M243)))</f>
        <v/>
      </c>
      <c r="H243" s="15">
        <f>IF($A243="","",IF(INDEX('潜水記録'!$I$5:$I$3004,$M243)="","",INDEX('潜水記録'!$I$5:$I$3004,$M243)))</f>
        <v/>
      </c>
      <c r="I243" s="15">
        <f>IF($A243="","",IF(INDEX('潜水記録'!$X$5:$X$3004,$M243)="","",INDEX('潜水記録'!$X$5:$X$3004,$M243)))</f>
        <v/>
      </c>
      <c r="J243" s="15">
        <f>IF($A243="","",IF(INDEX('潜水記録'!$O$5:$O$3004,$M243)="","",INDEX('潜水記録'!$O$5:$O$3004,$M243)))</f>
        <v/>
      </c>
      <c r="K243" s="15">
        <f>IF($A243="","",IF(INDEX('潜水記録'!$P$5:$P$3004,$M243)="","",INDEX('潜水記録'!$P$5:$P$3004,$M243)))</f>
        <v/>
      </c>
      <c r="L243" s="14">
        <f>IF($A243="","",IF(INDEX('潜水記録'!$Q$5:$Q$3004,$M243)="","",INDEX('潜水記録'!$Q$5:$Q$3004,$M243)))</f>
        <v/>
      </c>
      <c r="M243" s="20">
        <f>IF($A243="","",MATCH($A243,'潜水記録'!$AG$5:$AG$3004,0))</f>
        <v/>
      </c>
    </row>
    <row r="244">
      <c r="A244" s="15">
        <f>IF(235&lt;=$C$6,235,"")</f>
        <v/>
      </c>
      <c r="B244" s="16">
        <f>IF($A244="","",IF(INDEX('潜水記録'!$A$5:$A$3004,$M244)="","",INDEX('潜水記録'!$A$5:$A$3004,$M244)))</f>
        <v/>
      </c>
      <c r="C244" s="15">
        <f>IF($A244="","",IF(INDEX('潜水記録'!$D$5:$D$3004,$M244)="","",INDEX('潜水記録'!$D$5:$D$3004,$M244)))</f>
        <v/>
      </c>
      <c r="D244" s="14">
        <f>IF($A244="","",IF(INDEX('潜水記録'!$E$5:$E$3004,$M244)="","",INDEX('潜水記録'!$E$5:$E$3004,$M244)))</f>
        <v/>
      </c>
      <c r="E244" s="14">
        <f>IF($A244="","",IF(INDEX('潜水記録'!$F$5:$F$3004,$M244)="","",INDEX('潜水記録'!$F$5:$F$3004,$M244)))</f>
        <v/>
      </c>
      <c r="F244" s="15">
        <f>IF($A244="","",IF(INDEX('潜水記録'!$G$5:$G$3004,$M244)="","",INDEX('潜水記録'!$G$5:$G$3004,$M244)))</f>
        <v/>
      </c>
      <c r="G244" s="15">
        <f>IF($A244="","",IF(INDEX('潜水記録'!$H$5:$H$3004,$M244)="","",INDEX('潜水記録'!$H$5:$H$3004,$M244)))</f>
        <v/>
      </c>
      <c r="H244" s="15">
        <f>IF($A244="","",IF(INDEX('潜水記録'!$I$5:$I$3004,$M244)="","",INDEX('潜水記録'!$I$5:$I$3004,$M244)))</f>
        <v/>
      </c>
      <c r="I244" s="15">
        <f>IF($A244="","",IF(INDEX('潜水記録'!$X$5:$X$3004,$M244)="","",INDEX('潜水記録'!$X$5:$X$3004,$M244)))</f>
        <v/>
      </c>
      <c r="J244" s="15">
        <f>IF($A244="","",IF(INDEX('潜水記録'!$O$5:$O$3004,$M244)="","",INDEX('潜水記録'!$O$5:$O$3004,$M244)))</f>
        <v/>
      </c>
      <c r="K244" s="15">
        <f>IF($A244="","",IF(INDEX('潜水記録'!$P$5:$P$3004,$M244)="","",INDEX('潜水記録'!$P$5:$P$3004,$M244)))</f>
        <v/>
      </c>
      <c r="L244" s="14">
        <f>IF($A244="","",IF(INDEX('潜水記録'!$Q$5:$Q$3004,$M244)="","",INDEX('潜水記録'!$Q$5:$Q$3004,$M244)))</f>
        <v/>
      </c>
      <c r="M244" s="20">
        <f>IF($A244="","",MATCH($A244,'潜水記録'!$AG$5:$AG$3004,0))</f>
        <v/>
      </c>
    </row>
    <row r="245">
      <c r="A245" s="15">
        <f>IF(236&lt;=$C$6,236,"")</f>
        <v/>
      </c>
      <c r="B245" s="16">
        <f>IF($A245="","",IF(INDEX('潜水記録'!$A$5:$A$3004,$M245)="","",INDEX('潜水記録'!$A$5:$A$3004,$M245)))</f>
        <v/>
      </c>
      <c r="C245" s="15">
        <f>IF($A245="","",IF(INDEX('潜水記録'!$D$5:$D$3004,$M245)="","",INDEX('潜水記録'!$D$5:$D$3004,$M245)))</f>
        <v/>
      </c>
      <c r="D245" s="14">
        <f>IF($A245="","",IF(INDEX('潜水記録'!$E$5:$E$3004,$M245)="","",INDEX('潜水記録'!$E$5:$E$3004,$M245)))</f>
        <v/>
      </c>
      <c r="E245" s="14">
        <f>IF($A245="","",IF(INDEX('潜水記録'!$F$5:$F$3004,$M245)="","",INDEX('潜水記録'!$F$5:$F$3004,$M245)))</f>
        <v/>
      </c>
      <c r="F245" s="15">
        <f>IF($A245="","",IF(INDEX('潜水記録'!$G$5:$G$3004,$M245)="","",INDEX('潜水記録'!$G$5:$G$3004,$M245)))</f>
        <v/>
      </c>
      <c r="G245" s="15">
        <f>IF($A245="","",IF(INDEX('潜水記録'!$H$5:$H$3004,$M245)="","",INDEX('潜水記録'!$H$5:$H$3004,$M245)))</f>
        <v/>
      </c>
      <c r="H245" s="15">
        <f>IF($A245="","",IF(INDEX('潜水記録'!$I$5:$I$3004,$M245)="","",INDEX('潜水記録'!$I$5:$I$3004,$M245)))</f>
        <v/>
      </c>
      <c r="I245" s="15">
        <f>IF($A245="","",IF(INDEX('潜水記録'!$X$5:$X$3004,$M245)="","",INDEX('潜水記録'!$X$5:$X$3004,$M245)))</f>
        <v/>
      </c>
      <c r="J245" s="15">
        <f>IF($A245="","",IF(INDEX('潜水記録'!$O$5:$O$3004,$M245)="","",INDEX('潜水記録'!$O$5:$O$3004,$M245)))</f>
        <v/>
      </c>
      <c r="K245" s="15">
        <f>IF($A245="","",IF(INDEX('潜水記録'!$P$5:$P$3004,$M245)="","",INDEX('潜水記録'!$P$5:$P$3004,$M245)))</f>
        <v/>
      </c>
      <c r="L245" s="14">
        <f>IF($A245="","",IF(INDEX('潜水記録'!$Q$5:$Q$3004,$M245)="","",INDEX('潜水記録'!$Q$5:$Q$3004,$M245)))</f>
        <v/>
      </c>
      <c r="M245" s="20">
        <f>IF($A245="","",MATCH($A245,'潜水記録'!$AG$5:$AG$3004,0))</f>
        <v/>
      </c>
    </row>
    <row r="246">
      <c r="A246" s="15">
        <f>IF(237&lt;=$C$6,237,"")</f>
        <v/>
      </c>
      <c r="B246" s="16">
        <f>IF($A246="","",IF(INDEX('潜水記録'!$A$5:$A$3004,$M246)="","",INDEX('潜水記録'!$A$5:$A$3004,$M246)))</f>
        <v/>
      </c>
      <c r="C246" s="15">
        <f>IF($A246="","",IF(INDEX('潜水記録'!$D$5:$D$3004,$M246)="","",INDEX('潜水記録'!$D$5:$D$3004,$M246)))</f>
        <v/>
      </c>
      <c r="D246" s="14">
        <f>IF($A246="","",IF(INDEX('潜水記録'!$E$5:$E$3004,$M246)="","",INDEX('潜水記録'!$E$5:$E$3004,$M246)))</f>
        <v/>
      </c>
      <c r="E246" s="14">
        <f>IF($A246="","",IF(INDEX('潜水記録'!$F$5:$F$3004,$M246)="","",INDEX('潜水記録'!$F$5:$F$3004,$M246)))</f>
        <v/>
      </c>
      <c r="F246" s="15">
        <f>IF($A246="","",IF(INDEX('潜水記録'!$G$5:$G$3004,$M246)="","",INDEX('潜水記録'!$G$5:$G$3004,$M246)))</f>
        <v/>
      </c>
      <c r="G246" s="15">
        <f>IF($A246="","",IF(INDEX('潜水記録'!$H$5:$H$3004,$M246)="","",INDEX('潜水記録'!$H$5:$H$3004,$M246)))</f>
        <v/>
      </c>
      <c r="H246" s="15">
        <f>IF($A246="","",IF(INDEX('潜水記録'!$I$5:$I$3004,$M246)="","",INDEX('潜水記録'!$I$5:$I$3004,$M246)))</f>
        <v/>
      </c>
      <c r="I246" s="15">
        <f>IF($A246="","",IF(INDEX('潜水記録'!$X$5:$X$3004,$M246)="","",INDEX('潜水記録'!$X$5:$X$3004,$M246)))</f>
        <v/>
      </c>
      <c r="J246" s="15">
        <f>IF($A246="","",IF(INDEX('潜水記録'!$O$5:$O$3004,$M246)="","",INDEX('潜水記録'!$O$5:$O$3004,$M246)))</f>
        <v/>
      </c>
      <c r="K246" s="15">
        <f>IF($A246="","",IF(INDEX('潜水記録'!$P$5:$P$3004,$M246)="","",INDEX('潜水記録'!$P$5:$P$3004,$M246)))</f>
        <v/>
      </c>
      <c r="L246" s="14">
        <f>IF($A246="","",IF(INDEX('潜水記録'!$Q$5:$Q$3004,$M246)="","",INDEX('潜水記録'!$Q$5:$Q$3004,$M246)))</f>
        <v/>
      </c>
      <c r="M246" s="20">
        <f>IF($A246="","",MATCH($A246,'潜水記録'!$AG$5:$AG$3004,0))</f>
        <v/>
      </c>
    </row>
    <row r="247">
      <c r="A247" s="15">
        <f>IF(238&lt;=$C$6,238,"")</f>
        <v/>
      </c>
      <c r="B247" s="16">
        <f>IF($A247="","",IF(INDEX('潜水記録'!$A$5:$A$3004,$M247)="","",INDEX('潜水記録'!$A$5:$A$3004,$M247)))</f>
        <v/>
      </c>
      <c r="C247" s="15">
        <f>IF($A247="","",IF(INDEX('潜水記録'!$D$5:$D$3004,$M247)="","",INDEX('潜水記録'!$D$5:$D$3004,$M247)))</f>
        <v/>
      </c>
      <c r="D247" s="14">
        <f>IF($A247="","",IF(INDEX('潜水記録'!$E$5:$E$3004,$M247)="","",INDEX('潜水記録'!$E$5:$E$3004,$M247)))</f>
        <v/>
      </c>
      <c r="E247" s="14">
        <f>IF($A247="","",IF(INDEX('潜水記録'!$F$5:$F$3004,$M247)="","",INDEX('潜水記録'!$F$5:$F$3004,$M247)))</f>
        <v/>
      </c>
      <c r="F247" s="15">
        <f>IF($A247="","",IF(INDEX('潜水記録'!$G$5:$G$3004,$M247)="","",INDEX('潜水記録'!$G$5:$G$3004,$M247)))</f>
        <v/>
      </c>
      <c r="G247" s="15">
        <f>IF($A247="","",IF(INDEX('潜水記録'!$H$5:$H$3004,$M247)="","",INDEX('潜水記録'!$H$5:$H$3004,$M247)))</f>
        <v/>
      </c>
      <c r="H247" s="15">
        <f>IF($A247="","",IF(INDEX('潜水記録'!$I$5:$I$3004,$M247)="","",INDEX('潜水記録'!$I$5:$I$3004,$M247)))</f>
        <v/>
      </c>
      <c r="I247" s="15">
        <f>IF($A247="","",IF(INDEX('潜水記録'!$X$5:$X$3004,$M247)="","",INDEX('潜水記録'!$X$5:$X$3004,$M247)))</f>
        <v/>
      </c>
      <c r="J247" s="15">
        <f>IF($A247="","",IF(INDEX('潜水記録'!$O$5:$O$3004,$M247)="","",INDEX('潜水記録'!$O$5:$O$3004,$M247)))</f>
        <v/>
      </c>
      <c r="K247" s="15">
        <f>IF($A247="","",IF(INDEX('潜水記録'!$P$5:$P$3004,$M247)="","",INDEX('潜水記録'!$P$5:$P$3004,$M247)))</f>
        <v/>
      </c>
      <c r="L247" s="14">
        <f>IF($A247="","",IF(INDEX('潜水記録'!$Q$5:$Q$3004,$M247)="","",INDEX('潜水記録'!$Q$5:$Q$3004,$M247)))</f>
        <v/>
      </c>
      <c r="M247" s="20">
        <f>IF($A247="","",MATCH($A247,'潜水記録'!$AG$5:$AG$3004,0))</f>
        <v/>
      </c>
    </row>
    <row r="248">
      <c r="A248" s="15">
        <f>IF(239&lt;=$C$6,239,"")</f>
        <v/>
      </c>
      <c r="B248" s="16">
        <f>IF($A248="","",IF(INDEX('潜水記録'!$A$5:$A$3004,$M248)="","",INDEX('潜水記録'!$A$5:$A$3004,$M248)))</f>
        <v/>
      </c>
      <c r="C248" s="15">
        <f>IF($A248="","",IF(INDEX('潜水記録'!$D$5:$D$3004,$M248)="","",INDEX('潜水記録'!$D$5:$D$3004,$M248)))</f>
        <v/>
      </c>
      <c r="D248" s="14">
        <f>IF($A248="","",IF(INDEX('潜水記録'!$E$5:$E$3004,$M248)="","",INDEX('潜水記録'!$E$5:$E$3004,$M248)))</f>
        <v/>
      </c>
      <c r="E248" s="14">
        <f>IF($A248="","",IF(INDEX('潜水記録'!$F$5:$F$3004,$M248)="","",INDEX('潜水記録'!$F$5:$F$3004,$M248)))</f>
        <v/>
      </c>
      <c r="F248" s="15">
        <f>IF($A248="","",IF(INDEX('潜水記録'!$G$5:$G$3004,$M248)="","",INDEX('潜水記録'!$G$5:$G$3004,$M248)))</f>
        <v/>
      </c>
      <c r="G248" s="15">
        <f>IF($A248="","",IF(INDEX('潜水記録'!$H$5:$H$3004,$M248)="","",INDEX('潜水記録'!$H$5:$H$3004,$M248)))</f>
        <v/>
      </c>
      <c r="H248" s="15">
        <f>IF($A248="","",IF(INDEX('潜水記録'!$I$5:$I$3004,$M248)="","",INDEX('潜水記録'!$I$5:$I$3004,$M248)))</f>
        <v/>
      </c>
      <c r="I248" s="15">
        <f>IF($A248="","",IF(INDEX('潜水記録'!$X$5:$X$3004,$M248)="","",INDEX('潜水記録'!$X$5:$X$3004,$M248)))</f>
        <v/>
      </c>
      <c r="J248" s="15">
        <f>IF($A248="","",IF(INDEX('潜水記録'!$O$5:$O$3004,$M248)="","",INDEX('潜水記録'!$O$5:$O$3004,$M248)))</f>
        <v/>
      </c>
      <c r="K248" s="15">
        <f>IF($A248="","",IF(INDEX('潜水記録'!$P$5:$P$3004,$M248)="","",INDEX('潜水記録'!$P$5:$P$3004,$M248)))</f>
        <v/>
      </c>
      <c r="L248" s="14">
        <f>IF($A248="","",IF(INDEX('潜水記録'!$Q$5:$Q$3004,$M248)="","",INDEX('潜水記録'!$Q$5:$Q$3004,$M248)))</f>
        <v/>
      </c>
      <c r="M248" s="20">
        <f>IF($A248="","",MATCH($A248,'潜水記録'!$AG$5:$AG$3004,0))</f>
        <v/>
      </c>
    </row>
    <row r="249">
      <c r="A249" s="15">
        <f>IF(240&lt;=$C$6,240,"")</f>
        <v/>
      </c>
      <c r="B249" s="16">
        <f>IF($A249="","",IF(INDEX('潜水記録'!$A$5:$A$3004,$M249)="","",INDEX('潜水記録'!$A$5:$A$3004,$M249)))</f>
        <v/>
      </c>
      <c r="C249" s="15">
        <f>IF($A249="","",IF(INDEX('潜水記録'!$D$5:$D$3004,$M249)="","",INDEX('潜水記録'!$D$5:$D$3004,$M249)))</f>
        <v/>
      </c>
      <c r="D249" s="14">
        <f>IF($A249="","",IF(INDEX('潜水記録'!$E$5:$E$3004,$M249)="","",INDEX('潜水記録'!$E$5:$E$3004,$M249)))</f>
        <v/>
      </c>
      <c r="E249" s="14">
        <f>IF($A249="","",IF(INDEX('潜水記録'!$F$5:$F$3004,$M249)="","",INDEX('潜水記録'!$F$5:$F$3004,$M249)))</f>
        <v/>
      </c>
      <c r="F249" s="15">
        <f>IF($A249="","",IF(INDEX('潜水記録'!$G$5:$G$3004,$M249)="","",INDEX('潜水記録'!$G$5:$G$3004,$M249)))</f>
        <v/>
      </c>
      <c r="G249" s="15">
        <f>IF($A249="","",IF(INDEX('潜水記録'!$H$5:$H$3004,$M249)="","",INDEX('潜水記録'!$H$5:$H$3004,$M249)))</f>
        <v/>
      </c>
      <c r="H249" s="15">
        <f>IF($A249="","",IF(INDEX('潜水記録'!$I$5:$I$3004,$M249)="","",INDEX('潜水記録'!$I$5:$I$3004,$M249)))</f>
        <v/>
      </c>
      <c r="I249" s="15">
        <f>IF($A249="","",IF(INDEX('潜水記録'!$X$5:$X$3004,$M249)="","",INDEX('潜水記録'!$X$5:$X$3004,$M249)))</f>
        <v/>
      </c>
      <c r="J249" s="15">
        <f>IF($A249="","",IF(INDEX('潜水記録'!$O$5:$O$3004,$M249)="","",INDEX('潜水記録'!$O$5:$O$3004,$M249)))</f>
        <v/>
      </c>
      <c r="K249" s="15">
        <f>IF($A249="","",IF(INDEX('潜水記録'!$P$5:$P$3004,$M249)="","",INDEX('潜水記録'!$P$5:$P$3004,$M249)))</f>
        <v/>
      </c>
      <c r="L249" s="14">
        <f>IF($A249="","",IF(INDEX('潜水記録'!$Q$5:$Q$3004,$M249)="","",INDEX('潜水記録'!$Q$5:$Q$3004,$M249)))</f>
        <v/>
      </c>
      <c r="M249" s="20">
        <f>IF($A249="","",MATCH($A249,'潜水記録'!$AG$5:$AG$3004,0))</f>
        <v/>
      </c>
    </row>
    <row r="250">
      <c r="A250" s="15">
        <f>IF(241&lt;=$C$6,241,"")</f>
        <v/>
      </c>
      <c r="B250" s="16">
        <f>IF($A250="","",IF(INDEX('潜水記録'!$A$5:$A$3004,$M250)="","",INDEX('潜水記録'!$A$5:$A$3004,$M250)))</f>
        <v/>
      </c>
      <c r="C250" s="15">
        <f>IF($A250="","",IF(INDEX('潜水記録'!$D$5:$D$3004,$M250)="","",INDEX('潜水記録'!$D$5:$D$3004,$M250)))</f>
        <v/>
      </c>
      <c r="D250" s="14">
        <f>IF($A250="","",IF(INDEX('潜水記録'!$E$5:$E$3004,$M250)="","",INDEX('潜水記録'!$E$5:$E$3004,$M250)))</f>
        <v/>
      </c>
      <c r="E250" s="14">
        <f>IF($A250="","",IF(INDEX('潜水記録'!$F$5:$F$3004,$M250)="","",INDEX('潜水記録'!$F$5:$F$3004,$M250)))</f>
        <v/>
      </c>
      <c r="F250" s="15">
        <f>IF($A250="","",IF(INDEX('潜水記録'!$G$5:$G$3004,$M250)="","",INDEX('潜水記録'!$G$5:$G$3004,$M250)))</f>
        <v/>
      </c>
      <c r="G250" s="15">
        <f>IF($A250="","",IF(INDEX('潜水記録'!$H$5:$H$3004,$M250)="","",INDEX('潜水記録'!$H$5:$H$3004,$M250)))</f>
        <v/>
      </c>
      <c r="H250" s="15">
        <f>IF($A250="","",IF(INDEX('潜水記録'!$I$5:$I$3004,$M250)="","",INDEX('潜水記録'!$I$5:$I$3004,$M250)))</f>
        <v/>
      </c>
      <c r="I250" s="15">
        <f>IF($A250="","",IF(INDEX('潜水記録'!$X$5:$X$3004,$M250)="","",INDEX('潜水記録'!$X$5:$X$3004,$M250)))</f>
        <v/>
      </c>
      <c r="J250" s="15">
        <f>IF($A250="","",IF(INDEX('潜水記録'!$O$5:$O$3004,$M250)="","",INDEX('潜水記録'!$O$5:$O$3004,$M250)))</f>
        <v/>
      </c>
      <c r="K250" s="15">
        <f>IF($A250="","",IF(INDEX('潜水記録'!$P$5:$P$3004,$M250)="","",INDEX('潜水記録'!$P$5:$P$3004,$M250)))</f>
        <v/>
      </c>
      <c r="L250" s="14">
        <f>IF($A250="","",IF(INDEX('潜水記録'!$Q$5:$Q$3004,$M250)="","",INDEX('潜水記録'!$Q$5:$Q$3004,$M250)))</f>
        <v/>
      </c>
      <c r="M250" s="20">
        <f>IF($A250="","",MATCH($A250,'潜水記録'!$AG$5:$AG$3004,0))</f>
        <v/>
      </c>
    </row>
    <row r="251">
      <c r="A251" s="15">
        <f>IF(242&lt;=$C$6,242,"")</f>
        <v/>
      </c>
      <c r="B251" s="16">
        <f>IF($A251="","",IF(INDEX('潜水記録'!$A$5:$A$3004,$M251)="","",INDEX('潜水記録'!$A$5:$A$3004,$M251)))</f>
        <v/>
      </c>
      <c r="C251" s="15">
        <f>IF($A251="","",IF(INDEX('潜水記録'!$D$5:$D$3004,$M251)="","",INDEX('潜水記録'!$D$5:$D$3004,$M251)))</f>
        <v/>
      </c>
      <c r="D251" s="14">
        <f>IF($A251="","",IF(INDEX('潜水記録'!$E$5:$E$3004,$M251)="","",INDEX('潜水記録'!$E$5:$E$3004,$M251)))</f>
        <v/>
      </c>
      <c r="E251" s="14">
        <f>IF($A251="","",IF(INDEX('潜水記録'!$F$5:$F$3004,$M251)="","",INDEX('潜水記録'!$F$5:$F$3004,$M251)))</f>
        <v/>
      </c>
      <c r="F251" s="15">
        <f>IF($A251="","",IF(INDEX('潜水記録'!$G$5:$G$3004,$M251)="","",INDEX('潜水記録'!$G$5:$G$3004,$M251)))</f>
        <v/>
      </c>
      <c r="G251" s="15">
        <f>IF($A251="","",IF(INDEX('潜水記録'!$H$5:$H$3004,$M251)="","",INDEX('潜水記録'!$H$5:$H$3004,$M251)))</f>
        <v/>
      </c>
      <c r="H251" s="15">
        <f>IF($A251="","",IF(INDEX('潜水記録'!$I$5:$I$3004,$M251)="","",INDEX('潜水記録'!$I$5:$I$3004,$M251)))</f>
        <v/>
      </c>
      <c r="I251" s="15">
        <f>IF($A251="","",IF(INDEX('潜水記録'!$X$5:$X$3004,$M251)="","",INDEX('潜水記録'!$X$5:$X$3004,$M251)))</f>
        <v/>
      </c>
      <c r="J251" s="15">
        <f>IF($A251="","",IF(INDEX('潜水記録'!$O$5:$O$3004,$M251)="","",INDEX('潜水記録'!$O$5:$O$3004,$M251)))</f>
        <v/>
      </c>
      <c r="K251" s="15">
        <f>IF($A251="","",IF(INDEX('潜水記録'!$P$5:$P$3004,$M251)="","",INDEX('潜水記録'!$P$5:$P$3004,$M251)))</f>
        <v/>
      </c>
      <c r="L251" s="14">
        <f>IF($A251="","",IF(INDEX('潜水記録'!$Q$5:$Q$3004,$M251)="","",INDEX('潜水記録'!$Q$5:$Q$3004,$M251)))</f>
        <v/>
      </c>
      <c r="M251" s="20">
        <f>IF($A251="","",MATCH($A251,'潜水記録'!$AG$5:$AG$3004,0))</f>
        <v/>
      </c>
    </row>
    <row r="252">
      <c r="A252" s="15">
        <f>IF(243&lt;=$C$6,243,"")</f>
        <v/>
      </c>
      <c r="B252" s="16">
        <f>IF($A252="","",IF(INDEX('潜水記録'!$A$5:$A$3004,$M252)="","",INDEX('潜水記録'!$A$5:$A$3004,$M252)))</f>
        <v/>
      </c>
      <c r="C252" s="15">
        <f>IF($A252="","",IF(INDEX('潜水記録'!$D$5:$D$3004,$M252)="","",INDEX('潜水記録'!$D$5:$D$3004,$M252)))</f>
        <v/>
      </c>
      <c r="D252" s="14">
        <f>IF($A252="","",IF(INDEX('潜水記録'!$E$5:$E$3004,$M252)="","",INDEX('潜水記録'!$E$5:$E$3004,$M252)))</f>
        <v/>
      </c>
      <c r="E252" s="14">
        <f>IF($A252="","",IF(INDEX('潜水記録'!$F$5:$F$3004,$M252)="","",INDEX('潜水記録'!$F$5:$F$3004,$M252)))</f>
        <v/>
      </c>
      <c r="F252" s="15">
        <f>IF($A252="","",IF(INDEX('潜水記録'!$G$5:$G$3004,$M252)="","",INDEX('潜水記録'!$G$5:$G$3004,$M252)))</f>
        <v/>
      </c>
      <c r="G252" s="15">
        <f>IF($A252="","",IF(INDEX('潜水記録'!$H$5:$H$3004,$M252)="","",INDEX('潜水記録'!$H$5:$H$3004,$M252)))</f>
        <v/>
      </c>
      <c r="H252" s="15">
        <f>IF($A252="","",IF(INDEX('潜水記録'!$I$5:$I$3004,$M252)="","",INDEX('潜水記録'!$I$5:$I$3004,$M252)))</f>
        <v/>
      </c>
      <c r="I252" s="15">
        <f>IF($A252="","",IF(INDEX('潜水記録'!$X$5:$X$3004,$M252)="","",INDEX('潜水記録'!$X$5:$X$3004,$M252)))</f>
        <v/>
      </c>
      <c r="J252" s="15">
        <f>IF($A252="","",IF(INDEX('潜水記録'!$O$5:$O$3004,$M252)="","",INDEX('潜水記録'!$O$5:$O$3004,$M252)))</f>
        <v/>
      </c>
      <c r="K252" s="15">
        <f>IF($A252="","",IF(INDEX('潜水記録'!$P$5:$P$3004,$M252)="","",INDEX('潜水記録'!$P$5:$P$3004,$M252)))</f>
        <v/>
      </c>
      <c r="L252" s="14">
        <f>IF($A252="","",IF(INDEX('潜水記録'!$Q$5:$Q$3004,$M252)="","",INDEX('潜水記録'!$Q$5:$Q$3004,$M252)))</f>
        <v/>
      </c>
      <c r="M252" s="20">
        <f>IF($A252="","",MATCH($A252,'潜水記録'!$AG$5:$AG$3004,0))</f>
        <v/>
      </c>
    </row>
    <row r="253">
      <c r="A253" s="15">
        <f>IF(244&lt;=$C$6,244,"")</f>
        <v/>
      </c>
      <c r="B253" s="16">
        <f>IF($A253="","",IF(INDEX('潜水記録'!$A$5:$A$3004,$M253)="","",INDEX('潜水記録'!$A$5:$A$3004,$M253)))</f>
        <v/>
      </c>
      <c r="C253" s="15">
        <f>IF($A253="","",IF(INDEX('潜水記録'!$D$5:$D$3004,$M253)="","",INDEX('潜水記録'!$D$5:$D$3004,$M253)))</f>
        <v/>
      </c>
      <c r="D253" s="14">
        <f>IF($A253="","",IF(INDEX('潜水記録'!$E$5:$E$3004,$M253)="","",INDEX('潜水記録'!$E$5:$E$3004,$M253)))</f>
        <v/>
      </c>
      <c r="E253" s="14">
        <f>IF($A253="","",IF(INDEX('潜水記録'!$F$5:$F$3004,$M253)="","",INDEX('潜水記録'!$F$5:$F$3004,$M253)))</f>
        <v/>
      </c>
      <c r="F253" s="15">
        <f>IF($A253="","",IF(INDEX('潜水記録'!$G$5:$G$3004,$M253)="","",INDEX('潜水記録'!$G$5:$G$3004,$M253)))</f>
        <v/>
      </c>
      <c r="G253" s="15">
        <f>IF($A253="","",IF(INDEX('潜水記録'!$H$5:$H$3004,$M253)="","",INDEX('潜水記録'!$H$5:$H$3004,$M253)))</f>
        <v/>
      </c>
      <c r="H253" s="15">
        <f>IF($A253="","",IF(INDEX('潜水記録'!$I$5:$I$3004,$M253)="","",INDEX('潜水記録'!$I$5:$I$3004,$M253)))</f>
        <v/>
      </c>
      <c r="I253" s="15">
        <f>IF($A253="","",IF(INDEX('潜水記録'!$X$5:$X$3004,$M253)="","",INDEX('潜水記録'!$X$5:$X$3004,$M253)))</f>
        <v/>
      </c>
      <c r="J253" s="15">
        <f>IF($A253="","",IF(INDEX('潜水記録'!$O$5:$O$3004,$M253)="","",INDEX('潜水記録'!$O$5:$O$3004,$M253)))</f>
        <v/>
      </c>
      <c r="K253" s="15">
        <f>IF($A253="","",IF(INDEX('潜水記録'!$P$5:$P$3004,$M253)="","",INDEX('潜水記録'!$P$5:$P$3004,$M253)))</f>
        <v/>
      </c>
      <c r="L253" s="14">
        <f>IF($A253="","",IF(INDEX('潜水記録'!$Q$5:$Q$3004,$M253)="","",INDEX('潜水記録'!$Q$5:$Q$3004,$M253)))</f>
        <v/>
      </c>
      <c r="M253" s="20">
        <f>IF($A253="","",MATCH($A253,'潜水記録'!$AG$5:$AG$3004,0))</f>
        <v/>
      </c>
    </row>
    <row r="254">
      <c r="A254" s="15">
        <f>IF(245&lt;=$C$6,245,"")</f>
        <v/>
      </c>
      <c r="B254" s="16">
        <f>IF($A254="","",IF(INDEX('潜水記録'!$A$5:$A$3004,$M254)="","",INDEX('潜水記録'!$A$5:$A$3004,$M254)))</f>
        <v/>
      </c>
      <c r="C254" s="15">
        <f>IF($A254="","",IF(INDEX('潜水記録'!$D$5:$D$3004,$M254)="","",INDEX('潜水記録'!$D$5:$D$3004,$M254)))</f>
        <v/>
      </c>
      <c r="D254" s="14">
        <f>IF($A254="","",IF(INDEX('潜水記録'!$E$5:$E$3004,$M254)="","",INDEX('潜水記録'!$E$5:$E$3004,$M254)))</f>
        <v/>
      </c>
      <c r="E254" s="14">
        <f>IF($A254="","",IF(INDEX('潜水記録'!$F$5:$F$3004,$M254)="","",INDEX('潜水記録'!$F$5:$F$3004,$M254)))</f>
        <v/>
      </c>
      <c r="F254" s="15">
        <f>IF($A254="","",IF(INDEX('潜水記録'!$G$5:$G$3004,$M254)="","",INDEX('潜水記録'!$G$5:$G$3004,$M254)))</f>
        <v/>
      </c>
      <c r="G254" s="15">
        <f>IF($A254="","",IF(INDEX('潜水記録'!$H$5:$H$3004,$M254)="","",INDEX('潜水記録'!$H$5:$H$3004,$M254)))</f>
        <v/>
      </c>
      <c r="H254" s="15">
        <f>IF($A254="","",IF(INDEX('潜水記録'!$I$5:$I$3004,$M254)="","",INDEX('潜水記録'!$I$5:$I$3004,$M254)))</f>
        <v/>
      </c>
      <c r="I254" s="15">
        <f>IF($A254="","",IF(INDEX('潜水記録'!$X$5:$X$3004,$M254)="","",INDEX('潜水記録'!$X$5:$X$3004,$M254)))</f>
        <v/>
      </c>
      <c r="J254" s="15">
        <f>IF($A254="","",IF(INDEX('潜水記録'!$O$5:$O$3004,$M254)="","",INDEX('潜水記録'!$O$5:$O$3004,$M254)))</f>
        <v/>
      </c>
      <c r="K254" s="15">
        <f>IF($A254="","",IF(INDEX('潜水記録'!$P$5:$P$3004,$M254)="","",INDEX('潜水記録'!$P$5:$P$3004,$M254)))</f>
        <v/>
      </c>
      <c r="L254" s="14">
        <f>IF($A254="","",IF(INDEX('潜水記録'!$Q$5:$Q$3004,$M254)="","",INDEX('潜水記録'!$Q$5:$Q$3004,$M254)))</f>
        <v/>
      </c>
      <c r="M254" s="20">
        <f>IF($A254="","",MATCH($A254,'潜水記録'!$AG$5:$AG$3004,0))</f>
        <v/>
      </c>
    </row>
    <row r="255">
      <c r="A255" s="15">
        <f>IF(246&lt;=$C$6,246,"")</f>
        <v/>
      </c>
      <c r="B255" s="16">
        <f>IF($A255="","",IF(INDEX('潜水記録'!$A$5:$A$3004,$M255)="","",INDEX('潜水記録'!$A$5:$A$3004,$M255)))</f>
        <v/>
      </c>
      <c r="C255" s="15">
        <f>IF($A255="","",IF(INDEX('潜水記録'!$D$5:$D$3004,$M255)="","",INDEX('潜水記録'!$D$5:$D$3004,$M255)))</f>
        <v/>
      </c>
      <c r="D255" s="14">
        <f>IF($A255="","",IF(INDEX('潜水記録'!$E$5:$E$3004,$M255)="","",INDEX('潜水記録'!$E$5:$E$3004,$M255)))</f>
        <v/>
      </c>
      <c r="E255" s="14">
        <f>IF($A255="","",IF(INDEX('潜水記録'!$F$5:$F$3004,$M255)="","",INDEX('潜水記録'!$F$5:$F$3004,$M255)))</f>
        <v/>
      </c>
      <c r="F255" s="15">
        <f>IF($A255="","",IF(INDEX('潜水記録'!$G$5:$G$3004,$M255)="","",INDEX('潜水記録'!$G$5:$G$3004,$M255)))</f>
        <v/>
      </c>
      <c r="G255" s="15">
        <f>IF($A255="","",IF(INDEX('潜水記録'!$H$5:$H$3004,$M255)="","",INDEX('潜水記録'!$H$5:$H$3004,$M255)))</f>
        <v/>
      </c>
      <c r="H255" s="15">
        <f>IF($A255="","",IF(INDEX('潜水記録'!$I$5:$I$3004,$M255)="","",INDEX('潜水記録'!$I$5:$I$3004,$M255)))</f>
        <v/>
      </c>
      <c r="I255" s="15">
        <f>IF($A255="","",IF(INDEX('潜水記録'!$X$5:$X$3004,$M255)="","",INDEX('潜水記録'!$X$5:$X$3004,$M255)))</f>
        <v/>
      </c>
      <c r="J255" s="15">
        <f>IF($A255="","",IF(INDEX('潜水記録'!$O$5:$O$3004,$M255)="","",INDEX('潜水記録'!$O$5:$O$3004,$M255)))</f>
        <v/>
      </c>
      <c r="K255" s="15">
        <f>IF($A255="","",IF(INDEX('潜水記録'!$P$5:$P$3004,$M255)="","",INDEX('潜水記録'!$P$5:$P$3004,$M255)))</f>
        <v/>
      </c>
      <c r="L255" s="14">
        <f>IF($A255="","",IF(INDEX('潜水記録'!$Q$5:$Q$3004,$M255)="","",INDEX('潜水記録'!$Q$5:$Q$3004,$M255)))</f>
        <v/>
      </c>
      <c r="M255" s="20">
        <f>IF($A255="","",MATCH($A255,'潜水記録'!$AG$5:$AG$3004,0))</f>
        <v/>
      </c>
    </row>
    <row r="256">
      <c r="A256" s="15">
        <f>IF(247&lt;=$C$6,247,"")</f>
        <v/>
      </c>
      <c r="B256" s="16">
        <f>IF($A256="","",IF(INDEX('潜水記録'!$A$5:$A$3004,$M256)="","",INDEX('潜水記録'!$A$5:$A$3004,$M256)))</f>
        <v/>
      </c>
      <c r="C256" s="15">
        <f>IF($A256="","",IF(INDEX('潜水記録'!$D$5:$D$3004,$M256)="","",INDEX('潜水記録'!$D$5:$D$3004,$M256)))</f>
        <v/>
      </c>
      <c r="D256" s="14">
        <f>IF($A256="","",IF(INDEX('潜水記録'!$E$5:$E$3004,$M256)="","",INDEX('潜水記録'!$E$5:$E$3004,$M256)))</f>
        <v/>
      </c>
      <c r="E256" s="14">
        <f>IF($A256="","",IF(INDEX('潜水記録'!$F$5:$F$3004,$M256)="","",INDEX('潜水記録'!$F$5:$F$3004,$M256)))</f>
        <v/>
      </c>
      <c r="F256" s="15">
        <f>IF($A256="","",IF(INDEX('潜水記録'!$G$5:$G$3004,$M256)="","",INDEX('潜水記録'!$G$5:$G$3004,$M256)))</f>
        <v/>
      </c>
      <c r="G256" s="15">
        <f>IF($A256="","",IF(INDEX('潜水記録'!$H$5:$H$3004,$M256)="","",INDEX('潜水記録'!$H$5:$H$3004,$M256)))</f>
        <v/>
      </c>
      <c r="H256" s="15">
        <f>IF($A256="","",IF(INDEX('潜水記録'!$I$5:$I$3004,$M256)="","",INDEX('潜水記録'!$I$5:$I$3004,$M256)))</f>
        <v/>
      </c>
      <c r="I256" s="15">
        <f>IF($A256="","",IF(INDEX('潜水記録'!$X$5:$X$3004,$M256)="","",INDEX('潜水記録'!$X$5:$X$3004,$M256)))</f>
        <v/>
      </c>
      <c r="J256" s="15">
        <f>IF($A256="","",IF(INDEX('潜水記録'!$O$5:$O$3004,$M256)="","",INDEX('潜水記録'!$O$5:$O$3004,$M256)))</f>
        <v/>
      </c>
      <c r="K256" s="15">
        <f>IF($A256="","",IF(INDEX('潜水記録'!$P$5:$P$3004,$M256)="","",INDEX('潜水記録'!$P$5:$P$3004,$M256)))</f>
        <v/>
      </c>
      <c r="L256" s="14">
        <f>IF($A256="","",IF(INDEX('潜水記録'!$Q$5:$Q$3004,$M256)="","",INDEX('潜水記録'!$Q$5:$Q$3004,$M256)))</f>
        <v/>
      </c>
      <c r="M256" s="20">
        <f>IF($A256="","",MATCH($A256,'潜水記録'!$AG$5:$AG$3004,0))</f>
        <v/>
      </c>
    </row>
    <row r="257">
      <c r="A257" s="15">
        <f>IF(248&lt;=$C$6,248,"")</f>
        <v/>
      </c>
      <c r="B257" s="16">
        <f>IF($A257="","",IF(INDEX('潜水記録'!$A$5:$A$3004,$M257)="","",INDEX('潜水記録'!$A$5:$A$3004,$M257)))</f>
        <v/>
      </c>
      <c r="C257" s="15">
        <f>IF($A257="","",IF(INDEX('潜水記録'!$D$5:$D$3004,$M257)="","",INDEX('潜水記録'!$D$5:$D$3004,$M257)))</f>
        <v/>
      </c>
      <c r="D257" s="14">
        <f>IF($A257="","",IF(INDEX('潜水記録'!$E$5:$E$3004,$M257)="","",INDEX('潜水記録'!$E$5:$E$3004,$M257)))</f>
        <v/>
      </c>
      <c r="E257" s="14">
        <f>IF($A257="","",IF(INDEX('潜水記録'!$F$5:$F$3004,$M257)="","",INDEX('潜水記録'!$F$5:$F$3004,$M257)))</f>
        <v/>
      </c>
      <c r="F257" s="15">
        <f>IF($A257="","",IF(INDEX('潜水記録'!$G$5:$G$3004,$M257)="","",INDEX('潜水記録'!$G$5:$G$3004,$M257)))</f>
        <v/>
      </c>
      <c r="G257" s="15">
        <f>IF($A257="","",IF(INDEX('潜水記録'!$H$5:$H$3004,$M257)="","",INDEX('潜水記録'!$H$5:$H$3004,$M257)))</f>
        <v/>
      </c>
      <c r="H257" s="15">
        <f>IF($A257="","",IF(INDEX('潜水記録'!$I$5:$I$3004,$M257)="","",INDEX('潜水記録'!$I$5:$I$3004,$M257)))</f>
        <v/>
      </c>
      <c r="I257" s="15">
        <f>IF($A257="","",IF(INDEX('潜水記録'!$X$5:$X$3004,$M257)="","",INDEX('潜水記録'!$X$5:$X$3004,$M257)))</f>
        <v/>
      </c>
      <c r="J257" s="15">
        <f>IF($A257="","",IF(INDEX('潜水記録'!$O$5:$O$3004,$M257)="","",INDEX('潜水記録'!$O$5:$O$3004,$M257)))</f>
        <v/>
      </c>
      <c r="K257" s="15">
        <f>IF($A257="","",IF(INDEX('潜水記録'!$P$5:$P$3004,$M257)="","",INDEX('潜水記録'!$P$5:$P$3004,$M257)))</f>
        <v/>
      </c>
      <c r="L257" s="14">
        <f>IF($A257="","",IF(INDEX('潜水記録'!$Q$5:$Q$3004,$M257)="","",INDEX('潜水記録'!$Q$5:$Q$3004,$M257)))</f>
        <v/>
      </c>
      <c r="M257" s="20">
        <f>IF($A257="","",MATCH($A257,'潜水記録'!$AG$5:$AG$3004,0))</f>
        <v/>
      </c>
    </row>
    <row r="258">
      <c r="A258" s="15">
        <f>IF(249&lt;=$C$6,249,"")</f>
        <v/>
      </c>
      <c r="B258" s="16">
        <f>IF($A258="","",IF(INDEX('潜水記録'!$A$5:$A$3004,$M258)="","",INDEX('潜水記録'!$A$5:$A$3004,$M258)))</f>
        <v/>
      </c>
      <c r="C258" s="15">
        <f>IF($A258="","",IF(INDEX('潜水記録'!$D$5:$D$3004,$M258)="","",INDEX('潜水記録'!$D$5:$D$3004,$M258)))</f>
        <v/>
      </c>
      <c r="D258" s="14">
        <f>IF($A258="","",IF(INDEX('潜水記録'!$E$5:$E$3004,$M258)="","",INDEX('潜水記録'!$E$5:$E$3004,$M258)))</f>
        <v/>
      </c>
      <c r="E258" s="14">
        <f>IF($A258="","",IF(INDEX('潜水記録'!$F$5:$F$3004,$M258)="","",INDEX('潜水記録'!$F$5:$F$3004,$M258)))</f>
        <v/>
      </c>
      <c r="F258" s="15">
        <f>IF($A258="","",IF(INDEX('潜水記録'!$G$5:$G$3004,$M258)="","",INDEX('潜水記録'!$G$5:$G$3004,$M258)))</f>
        <v/>
      </c>
      <c r="G258" s="15">
        <f>IF($A258="","",IF(INDEX('潜水記録'!$H$5:$H$3004,$M258)="","",INDEX('潜水記録'!$H$5:$H$3004,$M258)))</f>
        <v/>
      </c>
      <c r="H258" s="15">
        <f>IF($A258="","",IF(INDEX('潜水記録'!$I$5:$I$3004,$M258)="","",INDEX('潜水記録'!$I$5:$I$3004,$M258)))</f>
        <v/>
      </c>
      <c r="I258" s="15">
        <f>IF($A258="","",IF(INDEX('潜水記録'!$X$5:$X$3004,$M258)="","",INDEX('潜水記録'!$X$5:$X$3004,$M258)))</f>
        <v/>
      </c>
      <c r="J258" s="15">
        <f>IF($A258="","",IF(INDEX('潜水記録'!$O$5:$O$3004,$M258)="","",INDEX('潜水記録'!$O$5:$O$3004,$M258)))</f>
        <v/>
      </c>
      <c r="K258" s="15">
        <f>IF($A258="","",IF(INDEX('潜水記録'!$P$5:$P$3004,$M258)="","",INDEX('潜水記録'!$P$5:$P$3004,$M258)))</f>
        <v/>
      </c>
      <c r="L258" s="14">
        <f>IF($A258="","",IF(INDEX('潜水記録'!$Q$5:$Q$3004,$M258)="","",INDEX('潜水記録'!$Q$5:$Q$3004,$M258)))</f>
        <v/>
      </c>
      <c r="M258" s="20">
        <f>IF($A258="","",MATCH($A258,'潜水記録'!$AG$5:$AG$3004,0))</f>
        <v/>
      </c>
    </row>
    <row r="259">
      <c r="A259" s="15">
        <f>IF(250&lt;=$C$6,250,"")</f>
        <v/>
      </c>
      <c r="B259" s="16">
        <f>IF($A259="","",IF(INDEX('潜水記録'!$A$5:$A$3004,$M259)="","",INDEX('潜水記録'!$A$5:$A$3004,$M259)))</f>
        <v/>
      </c>
      <c r="C259" s="15">
        <f>IF($A259="","",IF(INDEX('潜水記録'!$D$5:$D$3004,$M259)="","",INDEX('潜水記録'!$D$5:$D$3004,$M259)))</f>
        <v/>
      </c>
      <c r="D259" s="14">
        <f>IF($A259="","",IF(INDEX('潜水記録'!$E$5:$E$3004,$M259)="","",INDEX('潜水記録'!$E$5:$E$3004,$M259)))</f>
        <v/>
      </c>
      <c r="E259" s="14">
        <f>IF($A259="","",IF(INDEX('潜水記録'!$F$5:$F$3004,$M259)="","",INDEX('潜水記録'!$F$5:$F$3004,$M259)))</f>
        <v/>
      </c>
      <c r="F259" s="15">
        <f>IF($A259="","",IF(INDEX('潜水記録'!$G$5:$G$3004,$M259)="","",INDEX('潜水記録'!$G$5:$G$3004,$M259)))</f>
        <v/>
      </c>
      <c r="G259" s="15">
        <f>IF($A259="","",IF(INDEX('潜水記録'!$H$5:$H$3004,$M259)="","",INDEX('潜水記録'!$H$5:$H$3004,$M259)))</f>
        <v/>
      </c>
      <c r="H259" s="15">
        <f>IF($A259="","",IF(INDEX('潜水記録'!$I$5:$I$3004,$M259)="","",INDEX('潜水記録'!$I$5:$I$3004,$M259)))</f>
        <v/>
      </c>
      <c r="I259" s="15">
        <f>IF($A259="","",IF(INDEX('潜水記録'!$X$5:$X$3004,$M259)="","",INDEX('潜水記録'!$X$5:$X$3004,$M259)))</f>
        <v/>
      </c>
      <c r="J259" s="15">
        <f>IF($A259="","",IF(INDEX('潜水記録'!$O$5:$O$3004,$M259)="","",INDEX('潜水記録'!$O$5:$O$3004,$M259)))</f>
        <v/>
      </c>
      <c r="K259" s="15">
        <f>IF($A259="","",IF(INDEX('潜水記録'!$P$5:$P$3004,$M259)="","",INDEX('潜水記録'!$P$5:$P$3004,$M259)))</f>
        <v/>
      </c>
      <c r="L259" s="14">
        <f>IF($A259="","",IF(INDEX('潜水記録'!$Q$5:$Q$3004,$M259)="","",INDEX('潜水記録'!$Q$5:$Q$3004,$M259)))</f>
        <v/>
      </c>
      <c r="M259" s="20">
        <f>IF($A259="","",MATCH($A259,'潜水記録'!$AG$5:$AG$3004,0))</f>
        <v/>
      </c>
    </row>
    <row r="260">
      <c r="A260" s="15">
        <f>IF(251&lt;=$C$6,251,"")</f>
        <v/>
      </c>
      <c r="B260" s="16">
        <f>IF($A260="","",IF(INDEX('潜水記録'!$A$5:$A$3004,$M260)="","",INDEX('潜水記録'!$A$5:$A$3004,$M260)))</f>
        <v/>
      </c>
      <c r="C260" s="15">
        <f>IF($A260="","",IF(INDEX('潜水記録'!$D$5:$D$3004,$M260)="","",INDEX('潜水記録'!$D$5:$D$3004,$M260)))</f>
        <v/>
      </c>
      <c r="D260" s="14">
        <f>IF($A260="","",IF(INDEX('潜水記録'!$E$5:$E$3004,$M260)="","",INDEX('潜水記録'!$E$5:$E$3004,$M260)))</f>
        <v/>
      </c>
      <c r="E260" s="14">
        <f>IF($A260="","",IF(INDEX('潜水記録'!$F$5:$F$3004,$M260)="","",INDEX('潜水記録'!$F$5:$F$3004,$M260)))</f>
        <v/>
      </c>
      <c r="F260" s="15">
        <f>IF($A260="","",IF(INDEX('潜水記録'!$G$5:$G$3004,$M260)="","",INDEX('潜水記録'!$G$5:$G$3004,$M260)))</f>
        <v/>
      </c>
      <c r="G260" s="15">
        <f>IF($A260="","",IF(INDEX('潜水記録'!$H$5:$H$3004,$M260)="","",INDEX('潜水記録'!$H$5:$H$3004,$M260)))</f>
        <v/>
      </c>
      <c r="H260" s="15">
        <f>IF($A260="","",IF(INDEX('潜水記録'!$I$5:$I$3004,$M260)="","",INDEX('潜水記録'!$I$5:$I$3004,$M260)))</f>
        <v/>
      </c>
      <c r="I260" s="15">
        <f>IF($A260="","",IF(INDEX('潜水記録'!$X$5:$X$3004,$M260)="","",INDEX('潜水記録'!$X$5:$X$3004,$M260)))</f>
        <v/>
      </c>
      <c r="J260" s="15">
        <f>IF($A260="","",IF(INDEX('潜水記録'!$O$5:$O$3004,$M260)="","",INDEX('潜水記録'!$O$5:$O$3004,$M260)))</f>
        <v/>
      </c>
      <c r="K260" s="15">
        <f>IF($A260="","",IF(INDEX('潜水記録'!$P$5:$P$3004,$M260)="","",INDEX('潜水記録'!$P$5:$P$3004,$M260)))</f>
        <v/>
      </c>
      <c r="L260" s="14">
        <f>IF($A260="","",IF(INDEX('潜水記録'!$Q$5:$Q$3004,$M260)="","",INDEX('潜水記録'!$Q$5:$Q$3004,$M260)))</f>
        <v/>
      </c>
      <c r="M260" s="20">
        <f>IF($A260="","",MATCH($A260,'潜水記録'!$AG$5:$AG$3004,0))</f>
        <v/>
      </c>
    </row>
    <row r="261">
      <c r="A261" s="15">
        <f>IF(252&lt;=$C$6,252,"")</f>
        <v/>
      </c>
      <c r="B261" s="16">
        <f>IF($A261="","",IF(INDEX('潜水記録'!$A$5:$A$3004,$M261)="","",INDEX('潜水記録'!$A$5:$A$3004,$M261)))</f>
        <v/>
      </c>
      <c r="C261" s="15">
        <f>IF($A261="","",IF(INDEX('潜水記録'!$D$5:$D$3004,$M261)="","",INDEX('潜水記録'!$D$5:$D$3004,$M261)))</f>
        <v/>
      </c>
      <c r="D261" s="14">
        <f>IF($A261="","",IF(INDEX('潜水記録'!$E$5:$E$3004,$M261)="","",INDEX('潜水記録'!$E$5:$E$3004,$M261)))</f>
        <v/>
      </c>
      <c r="E261" s="14">
        <f>IF($A261="","",IF(INDEX('潜水記録'!$F$5:$F$3004,$M261)="","",INDEX('潜水記録'!$F$5:$F$3004,$M261)))</f>
        <v/>
      </c>
      <c r="F261" s="15">
        <f>IF($A261="","",IF(INDEX('潜水記録'!$G$5:$G$3004,$M261)="","",INDEX('潜水記録'!$G$5:$G$3004,$M261)))</f>
        <v/>
      </c>
      <c r="G261" s="15">
        <f>IF($A261="","",IF(INDEX('潜水記録'!$H$5:$H$3004,$M261)="","",INDEX('潜水記録'!$H$5:$H$3004,$M261)))</f>
        <v/>
      </c>
      <c r="H261" s="15">
        <f>IF($A261="","",IF(INDEX('潜水記録'!$I$5:$I$3004,$M261)="","",INDEX('潜水記録'!$I$5:$I$3004,$M261)))</f>
        <v/>
      </c>
      <c r="I261" s="15">
        <f>IF($A261="","",IF(INDEX('潜水記録'!$X$5:$X$3004,$M261)="","",INDEX('潜水記録'!$X$5:$X$3004,$M261)))</f>
        <v/>
      </c>
      <c r="J261" s="15">
        <f>IF($A261="","",IF(INDEX('潜水記録'!$O$5:$O$3004,$M261)="","",INDEX('潜水記録'!$O$5:$O$3004,$M261)))</f>
        <v/>
      </c>
      <c r="K261" s="15">
        <f>IF($A261="","",IF(INDEX('潜水記録'!$P$5:$P$3004,$M261)="","",INDEX('潜水記録'!$P$5:$P$3004,$M261)))</f>
        <v/>
      </c>
      <c r="L261" s="14">
        <f>IF($A261="","",IF(INDEX('潜水記録'!$Q$5:$Q$3004,$M261)="","",INDEX('潜水記録'!$Q$5:$Q$3004,$M261)))</f>
        <v/>
      </c>
      <c r="M261" s="20">
        <f>IF($A261="","",MATCH($A261,'潜水記録'!$AG$5:$AG$3004,0))</f>
        <v/>
      </c>
    </row>
    <row r="262">
      <c r="A262" s="15">
        <f>IF(253&lt;=$C$6,253,"")</f>
        <v/>
      </c>
      <c r="B262" s="16">
        <f>IF($A262="","",IF(INDEX('潜水記録'!$A$5:$A$3004,$M262)="","",INDEX('潜水記録'!$A$5:$A$3004,$M262)))</f>
        <v/>
      </c>
      <c r="C262" s="15">
        <f>IF($A262="","",IF(INDEX('潜水記録'!$D$5:$D$3004,$M262)="","",INDEX('潜水記録'!$D$5:$D$3004,$M262)))</f>
        <v/>
      </c>
      <c r="D262" s="14">
        <f>IF($A262="","",IF(INDEX('潜水記録'!$E$5:$E$3004,$M262)="","",INDEX('潜水記録'!$E$5:$E$3004,$M262)))</f>
        <v/>
      </c>
      <c r="E262" s="14">
        <f>IF($A262="","",IF(INDEX('潜水記録'!$F$5:$F$3004,$M262)="","",INDEX('潜水記録'!$F$5:$F$3004,$M262)))</f>
        <v/>
      </c>
      <c r="F262" s="15">
        <f>IF($A262="","",IF(INDEX('潜水記録'!$G$5:$G$3004,$M262)="","",INDEX('潜水記録'!$G$5:$G$3004,$M262)))</f>
        <v/>
      </c>
      <c r="G262" s="15">
        <f>IF($A262="","",IF(INDEX('潜水記録'!$H$5:$H$3004,$M262)="","",INDEX('潜水記録'!$H$5:$H$3004,$M262)))</f>
        <v/>
      </c>
      <c r="H262" s="15">
        <f>IF($A262="","",IF(INDEX('潜水記録'!$I$5:$I$3004,$M262)="","",INDEX('潜水記録'!$I$5:$I$3004,$M262)))</f>
        <v/>
      </c>
      <c r="I262" s="15">
        <f>IF($A262="","",IF(INDEX('潜水記録'!$X$5:$X$3004,$M262)="","",INDEX('潜水記録'!$X$5:$X$3004,$M262)))</f>
        <v/>
      </c>
      <c r="J262" s="15">
        <f>IF($A262="","",IF(INDEX('潜水記録'!$O$5:$O$3004,$M262)="","",INDEX('潜水記録'!$O$5:$O$3004,$M262)))</f>
        <v/>
      </c>
      <c r="K262" s="15">
        <f>IF($A262="","",IF(INDEX('潜水記録'!$P$5:$P$3004,$M262)="","",INDEX('潜水記録'!$P$5:$P$3004,$M262)))</f>
        <v/>
      </c>
      <c r="L262" s="14">
        <f>IF($A262="","",IF(INDEX('潜水記録'!$Q$5:$Q$3004,$M262)="","",INDEX('潜水記録'!$Q$5:$Q$3004,$M262)))</f>
        <v/>
      </c>
      <c r="M262" s="20">
        <f>IF($A262="","",MATCH($A262,'潜水記録'!$AG$5:$AG$3004,0))</f>
        <v/>
      </c>
    </row>
    <row r="263">
      <c r="A263" s="15">
        <f>IF(254&lt;=$C$6,254,"")</f>
        <v/>
      </c>
      <c r="B263" s="16">
        <f>IF($A263="","",IF(INDEX('潜水記録'!$A$5:$A$3004,$M263)="","",INDEX('潜水記録'!$A$5:$A$3004,$M263)))</f>
        <v/>
      </c>
      <c r="C263" s="15">
        <f>IF($A263="","",IF(INDEX('潜水記録'!$D$5:$D$3004,$M263)="","",INDEX('潜水記録'!$D$5:$D$3004,$M263)))</f>
        <v/>
      </c>
      <c r="D263" s="14">
        <f>IF($A263="","",IF(INDEX('潜水記録'!$E$5:$E$3004,$M263)="","",INDEX('潜水記録'!$E$5:$E$3004,$M263)))</f>
        <v/>
      </c>
      <c r="E263" s="14">
        <f>IF($A263="","",IF(INDEX('潜水記録'!$F$5:$F$3004,$M263)="","",INDEX('潜水記録'!$F$5:$F$3004,$M263)))</f>
        <v/>
      </c>
      <c r="F263" s="15">
        <f>IF($A263="","",IF(INDEX('潜水記録'!$G$5:$G$3004,$M263)="","",INDEX('潜水記録'!$G$5:$G$3004,$M263)))</f>
        <v/>
      </c>
      <c r="G263" s="15">
        <f>IF($A263="","",IF(INDEX('潜水記録'!$H$5:$H$3004,$M263)="","",INDEX('潜水記録'!$H$5:$H$3004,$M263)))</f>
        <v/>
      </c>
      <c r="H263" s="15">
        <f>IF($A263="","",IF(INDEX('潜水記録'!$I$5:$I$3004,$M263)="","",INDEX('潜水記録'!$I$5:$I$3004,$M263)))</f>
        <v/>
      </c>
      <c r="I263" s="15">
        <f>IF($A263="","",IF(INDEX('潜水記録'!$X$5:$X$3004,$M263)="","",INDEX('潜水記録'!$X$5:$X$3004,$M263)))</f>
        <v/>
      </c>
      <c r="J263" s="15">
        <f>IF($A263="","",IF(INDEX('潜水記録'!$O$5:$O$3004,$M263)="","",INDEX('潜水記録'!$O$5:$O$3004,$M263)))</f>
        <v/>
      </c>
      <c r="K263" s="15">
        <f>IF($A263="","",IF(INDEX('潜水記録'!$P$5:$P$3004,$M263)="","",INDEX('潜水記録'!$P$5:$P$3004,$M263)))</f>
        <v/>
      </c>
      <c r="L263" s="14">
        <f>IF($A263="","",IF(INDEX('潜水記録'!$Q$5:$Q$3004,$M263)="","",INDEX('潜水記録'!$Q$5:$Q$3004,$M263)))</f>
        <v/>
      </c>
      <c r="M263" s="20">
        <f>IF($A263="","",MATCH($A263,'潜水記録'!$AG$5:$AG$3004,0))</f>
        <v/>
      </c>
    </row>
    <row r="264">
      <c r="A264" s="15">
        <f>IF(255&lt;=$C$6,255,"")</f>
        <v/>
      </c>
      <c r="B264" s="16">
        <f>IF($A264="","",IF(INDEX('潜水記録'!$A$5:$A$3004,$M264)="","",INDEX('潜水記録'!$A$5:$A$3004,$M264)))</f>
        <v/>
      </c>
      <c r="C264" s="15">
        <f>IF($A264="","",IF(INDEX('潜水記録'!$D$5:$D$3004,$M264)="","",INDEX('潜水記録'!$D$5:$D$3004,$M264)))</f>
        <v/>
      </c>
      <c r="D264" s="14">
        <f>IF($A264="","",IF(INDEX('潜水記録'!$E$5:$E$3004,$M264)="","",INDEX('潜水記録'!$E$5:$E$3004,$M264)))</f>
        <v/>
      </c>
      <c r="E264" s="14">
        <f>IF($A264="","",IF(INDEX('潜水記録'!$F$5:$F$3004,$M264)="","",INDEX('潜水記録'!$F$5:$F$3004,$M264)))</f>
        <v/>
      </c>
      <c r="F264" s="15">
        <f>IF($A264="","",IF(INDEX('潜水記録'!$G$5:$G$3004,$M264)="","",INDEX('潜水記録'!$G$5:$G$3004,$M264)))</f>
        <v/>
      </c>
      <c r="G264" s="15">
        <f>IF($A264="","",IF(INDEX('潜水記録'!$H$5:$H$3004,$M264)="","",INDEX('潜水記録'!$H$5:$H$3004,$M264)))</f>
        <v/>
      </c>
      <c r="H264" s="15">
        <f>IF($A264="","",IF(INDEX('潜水記録'!$I$5:$I$3004,$M264)="","",INDEX('潜水記録'!$I$5:$I$3004,$M264)))</f>
        <v/>
      </c>
      <c r="I264" s="15">
        <f>IF($A264="","",IF(INDEX('潜水記録'!$X$5:$X$3004,$M264)="","",INDEX('潜水記録'!$X$5:$X$3004,$M264)))</f>
        <v/>
      </c>
      <c r="J264" s="15">
        <f>IF($A264="","",IF(INDEX('潜水記録'!$O$5:$O$3004,$M264)="","",INDEX('潜水記録'!$O$5:$O$3004,$M264)))</f>
        <v/>
      </c>
      <c r="K264" s="15">
        <f>IF($A264="","",IF(INDEX('潜水記録'!$P$5:$P$3004,$M264)="","",INDEX('潜水記録'!$P$5:$P$3004,$M264)))</f>
        <v/>
      </c>
      <c r="L264" s="14">
        <f>IF($A264="","",IF(INDEX('潜水記録'!$Q$5:$Q$3004,$M264)="","",INDEX('潜水記録'!$Q$5:$Q$3004,$M264)))</f>
        <v/>
      </c>
      <c r="M264" s="20">
        <f>IF($A264="","",MATCH($A264,'潜水記録'!$AG$5:$AG$3004,0))</f>
        <v/>
      </c>
    </row>
    <row r="265">
      <c r="A265" s="15">
        <f>IF(256&lt;=$C$6,256,"")</f>
        <v/>
      </c>
      <c r="B265" s="16">
        <f>IF($A265="","",IF(INDEX('潜水記録'!$A$5:$A$3004,$M265)="","",INDEX('潜水記録'!$A$5:$A$3004,$M265)))</f>
        <v/>
      </c>
      <c r="C265" s="15">
        <f>IF($A265="","",IF(INDEX('潜水記録'!$D$5:$D$3004,$M265)="","",INDEX('潜水記録'!$D$5:$D$3004,$M265)))</f>
        <v/>
      </c>
      <c r="D265" s="14">
        <f>IF($A265="","",IF(INDEX('潜水記録'!$E$5:$E$3004,$M265)="","",INDEX('潜水記録'!$E$5:$E$3004,$M265)))</f>
        <v/>
      </c>
      <c r="E265" s="14">
        <f>IF($A265="","",IF(INDEX('潜水記録'!$F$5:$F$3004,$M265)="","",INDEX('潜水記録'!$F$5:$F$3004,$M265)))</f>
        <v/>
      </c>
      <c r="F265" s="15">
        <f>IF($A265="","",IF(INDEX('潜水記録'!$G$5:$G$3004,$M265)="","",INDEX('潜水記録'!$G$5:$G$3004,$M265)))</f>
        <v/>
      </c>
      <c r="G265" s="15">
        <f>IF($A265="","",IF(INDEX('潜水記録'!$H$5:$H$3004,$M265)="","",INDEX('潜水記録'!$H$5:$H$3004,$M265)))</f>
        <v/>
      </c>
      <c r="H265" s="15">
        <f>IF($A265="","",IF(INDEX('潜水記録'!$I$5:$I$3004,$M265)="","",INDEX('潜水記録'!$I$5:$I$3004,$M265)))</f>
        <v/>
      </c>
      <c r="I265" s="15">
        <f>IF($A265="","",IF(INDEX('潜水記録'!$X$5:$X$3004,$M265)="","",INDEX('潜水記録'!$X$5:$X$3004,$M265)))</f>
        <v/>
      </c>
      <c r="J265" s="15">
        <f>IF($A265="","",IF(INDEX('潜水記録'!$O$5:$O$3004,$M265)="","",INDEX('潜水記録'!$O$5:$O$3004,$M265)))</f>
        <v/>
      </c>
      <c r="K265" s="15">
        <f>IF($A265="","",IF(INDEX('潜水記録'!$P$5:$P$3004,$M265)="","",INDEX('潜水記録'!$P$5:$P$3004,$M265)))</f>
        <v/>
      </c>
      <c r="L265" s="14">
        <f>IF($A265="","",IF(INDEX('潜水記録'!$Q$5:$Q$3004,$M265)="","",INDEX('潜水記録'!$Q$5:$Q$3004,$M265)))</f>
        <v/>
      </c>
      <c r="M265" s="20">
        <f>IF($A265="","",MATCH($A265,'潜水記録'!$AG$5:$AG$3004,0))</f>
        <v/>
      </c>
    </row>
    <row r="266">
      <c r="A266" s="15">
        <f>IF(257&lt;=$C$6,257,"")</f>
        <v/>
      </c>
      <c r="B266" s="16">
        <f>IF($A266="","",IF(INDEX('潜水記録'!$A$5:$A$3004,$M266)="","",INDEX('潜水記録'!$A$5:$A$3004,$M266)))</f>
        <v/>
      </c>
      <c r="C266" s="15">
        <f>IF($A266="","",IF(INDEX('潜水記録'!$D$5:$D$3004,$M266)="","",INDEX('潜水記録'!$D$5:$D$3004,$M266)))</f>
        <v/>
      </c>
      <c r="D266" s="14">
        <f>IF($A266="","",IF(INDEX('潜水記録'!$E$5:$E$3004,$M266)="","",INDEX('潜水記録'!$E$5:$E$3004,$M266)))</f>
        <v/>
      </c>
      <c r="E266" s="14">
        <f>IF($A266="","",IF(INDEX('潜水記録'!$F$5:$F$3004,$M266)="","",INDEX('潜水記録'!$F$5:$F$3004,$M266)))</f>
        <v/>
      </c>
      <c r="F266" s="15">
        <f>IF($A266="","",IF(INDEX('潜水記録'!$G$5:$G$3004,$M266)="","",INDEX('潜水記録'!$G$5:$G$3004,$M266)))</f>
        <v/>
      </c>
      <c r="G266" s="15">
        <f>IF($A266="","",IF(INDEX('潜水記録'!$H$5:$H$3004,$M266)="","",INDEX('潜水記録'!$H$5:$H$3004,$M266)))</f>
        <v/>
      </c>
      <c r="H266" s="15">
        <f>IF($A266="","",IF(INDEX('潜水記録'!$I$5:$I$3004,$M266)="","",INDEX('潜水記録'!$I$5:$I$3004,$M266)))</f>
        <v/>
      </c>
      <c r="I266" s="15">
        <f>IF($A266="","",IF(INDEX('潜水記録'!$X$5:$X$3004,$M266)="","",INDEX('潜水記録'!$X$5:$X$3004,$M266)))</f>
        <v/>
      </c>
      <c r="J266" s="15">
        <f>IF($A266="","",IF(INDEX('潜水記録'!$O$5:$O$3004,$M266)="","",INDEX('潜水記録'!$O$5:$O$3004,$M266)))</f>
        <v/>
      </c>
      <c r="K266" s="15">
        <f>IF($A266="","",IF(INDEX('潜水記録'!$P$5:$P$3004,$M266)="","",INDEX('潜水記録'!$P$5:$P$3004,$M266)))</f>
        <v/>
      </c>
      <c r="L266" s="14">
        <f>IF($A266="","",IF(INDEX('潜水記録'!$Q$5:$Q$3004,$M266)="","",INDEX('潜水記録'!$Q$5:$Q$3004,$M266)))</f>
        <v/>
      </c>
      <c r="M266" s="20">
        <f>IF($A266="","",MATCH($A266,'潜水記録'!$AG$5:$AG$3004,0))</f>
        <v/>
      </c>
    </row>
    <row r="267">
      <c r="A267" s="15">
        <f>IF(258&lt;=$C$6,258,"")</f>
        <v/>
      </c>
      <c r="B267" s="16">
        <f>IF($A267="","",IF(INDEX('潜水記録'!$A$5:$A$3004,$M267)="","",INDEX('潜水記録'!$A$5:$A$3004,$M267)))</f>
        <v/>
      </c>
      <c r="C267" s="15">
        <f>IF($A267="","",IF(INDEX('潜水記録'!$D$5:$D$3004,$M267)="","",INDEX('潜水記録'!$D$5:$D$3004,$M267)))</f>
        <v/>
      </c>
      <c r="D267" s="14">
        <f>IF($A267="","",IF(INDEX('潜水記録'!$E$5:$E$3004,$M267)="","",INDEX('潜水記録'!$E$5:$E$3004,$M267)))</f>
        <v/>
      </c>
      <c r="E267" s="14">
        <f>IF($A267="","",IF(INDEX('潜水記録'!$F$5:$F$3004,$M267)="","",INDEX('潜水記録'!$F$5:$F$3004,$M267)))</f>
        <v/>
      </c>
      <c r="F267" s="15">
        <f>IF($A267="","",IF(INDEX('潜水記録'!$G$5:$G$3004,$M267)="","",INDEX('潜水記録'!$G$5:$G$3004,$M267)))</f>
        <v/>
      </c>
      <c r="G267" s="15">
        <f>IF($A267="","",IF(INDEX('潜水記録'!$H$5:$H$3004,$M267)="","",INDEX('潜水記録'!$H$5:$H$3004,$M267)))</f>
        <v/>
      </c>
      <c r="H267" s="15">
        <f>IF($A267="","",IF(INDEX('潜水記録'!$I$5:$I$3004,$M267)="","",INDEX('潜水記録'!$I$5:$I$3004,$M267)))</f>
        <v/>
      </c>
      <c r="I267" s="15">
        <f>IF($A267="","",IF(INDEX('潜水記録'!$X$5:$X$3004,$M267)="","",INDEX('潜水記録'!$X$5:$X$3004,$M267)))</f>
        <v/>
      </c>
      <c r="J267" s="15">
        <f>IF($A267="","",IF(INDEX('潜水記録'!$O$5:$O$3004,$M267)="","",INDEX('潜水記録'!$O$5:$O$3004,$M267)))</f>
        <v/>
      </c>
      <c r="K267" s="15">
        <f>IF($A267="","",IF(INDEX('潜水記録'!$P$5:$P$3004,$M267)="","",INDEX('潜水記録'!$P$5:$P$3004,$M267)))</f>
        <v/>
      </c>
      <c r="L267" s="14">
        <f>IF($A267="","",IF(INDEX('潜水記録'!$Q$5:$Q$3004,$M267)="","",INDEX('潜水記録'!$Q$5:$Q$3004,$M267)))</f>
        <v/>
      </c>
      <c r="M267" s="20">
        <f>IF($A267="","",MATCH($A267,'潜水記録'!$AG$5:$AG$3004,0))</f>
        <v/>
      </c>
    </row>
    <row r="268">
      <c r="A268" s="15">
        <f>IF(259&lt;=$C$6,259,"")</f>
        <v/>
      </c>
      <c r="B268" s="16">
        <f>IF($A268="","",IF(INDEX('潜水記録'!$A$5:$A$3004,$M268)="","",INDEX('潜水記録'!$A$5:$A$3004,$M268)))</f>
        <v/>
      </c>
      <c r="C268" s="15">
        <f>IF($A268="","",IF(INDEX('潜水記録'!$D$5:$D$3004,$M268)="","",INDEX('潜水記録'!$D$5:$D$3004,$M268)))</f>
        <v/>
      </c>
      <c r="D268" s="14">
        <f>IF($A268="","",IF(INDEX('潜水記録'!$E$5:$E$3004,$M268)="","",INDEX('潜水記録'!$E$5:$E$3004,$M268)))</f>
        <v/>
      </c>
      <c r="E268" s="14">
        <f>IF($A268="","",IF(INDEX('潜水記録'!$F$5:$F$3004,$M268)="","",INDEX('潜水記録'!$F$5:$F$3004,$M268)))</f>
        <v/>
      </c>
      <c r="F268" s="15">
        <f>IF($A268="","",IF(INDEX('潜水記録'!$G$5:$G$3004,$M268)="","",INDEX('潜水記録'!$G$5:$G$3004,$M268)))</f>
        <v/>
      </c>
      <c r="G268" s="15">
        <f>IF($A268="","",IF(INDEX('潜水記録'!$H$5:$H$3004,$M268)="","",INDEX('潜水記録'!$H$5:$H$3004,$M268)))</f>
        <v/>
      </c>
      <c r="H268" s="15">
        <f>IF($A268="","",IF(INDEX('潜水記録'!$I$5:$I$3004,$M268)="","",INDEX('潜水記録'!$I$5:$I$3004,$M268)))</f>
        <v/>
      </c>
      <c r="I268" s="15">
        <f>IF($A268="","",IF(INDEX('潜水記録'!$X$5:$X$3004,$M268)="","",INDEX('潜水記録'!$X$5:$X$3004,$M268)))</f>
        <v/>
      </c>
      <c r="J268" s="15">
        <f>IF($A268="","",IF(INDEX('潜水記録'!$O$5:$O$3004,$M268)="","",INDEX('潜水記録'!$O$5:$O$3004,$M268)))</f>
        <v/>
      </c>
      <c r="K268" s="15">
        <f>IF($A268="","",IF(INDEX('潜水記録'!$P$5:$P$3004,$M268)="","",INDEX('潜水記録'!$P$5:$P$3004,$M268)))</f>
        <v/>
      </c>
      <c r="L268" s="14">
        <f>IF($A268="","",IF(INDEX('潜水記録'!$Q$5:$Q$3004,$M268)="","",INDEX('潜水記録'!$Q$5:$Q$3004,$M268)))</f>
        <v/>
      </c>
      <c r="M268" s="20">
        <f>IF($A268="","",MATCH($A268,'潜水記録'!$AG$5:$AG$3004,0))</f>
        <v/>
      </c>
    </row>
    <row r="269">
      <c r="A269" s="15">
        <f>IF(260&lt;=$C$6,260,"")</f>
        <v/>
      </c>
      <c r="B269" s="16">
        <f>IF($A269="","",IF(INDEX('潜水記録'!$A$5:$A$3004,$M269)="","",INDEX('潜水記録'!$A$5:$A$3004,$M269)))</f>
        <v/>
      </c>
      <c r="C269" s="15">
        <f>IF($A269="","",IF(INDEX('潜水記録'!$D$5:$D$3004,$M269)="","",INDEX('潜水記録'!$D$5:$D$3004,$M269)))</f>
        <v/>
      </c>
      <c r="D269" s="14">
        <f>IF($A269="","",IF(INDEX('潜水記録'!$E$5:$E$3004,$M269)="","",INDEX('潜水記録'!$E$5:$E$3004,$M269)))</f>
        <v/>
      </c>
      <c r="E269" s="14">
        <f>IF($A269="","",IF(INDEX('潜水記録'!$F$5:$F$3004,$M269)="","",INDEX('潜水記録'!$F$5:$F$3004,$M269)))</f>
        <v/>
      </c>
      <c r="F269" s="15">
        <f>IF($A269="","",IF(INDEX('潜水記録'!$G$5:$G$3004,$M269)="","",INDEX('潜水記録'!$G$5:$G$3004,$M269)))</f>
        <v/>
      </c>
      <c r="G269" s="15">
        <f>IF($A269="","",IF(INDEX('潜水記録'!$H$5:$H$3004,$M269)="","",INDEX('潜水記録'!$H$5:$H$3004,$M269)))</f>
        <v/>
      </c>
      <c r="H269" s="15">
        <f>IF($A269="","",IF(INDEX('潜水記録'!$I$5:$I$3004,$M269)="","",INDEX('潜水記録'!$I$5:$I$3004,$M269)))</f>
        <v/>
      </c>
      <c r="I269" s="15">
        <f>IF($A269="","",IF(INDEX('潜水記録'!$X$5:$X$3004,$M269)="","",INDEX('潜水記録'!$X$5:$X$3004,$M269)))</f>
        <v/>
      </c>
      <c r="J269" s="15">
        <f>IF($A269="","",IF(INDEX('潜水記録'!$O$5:$O$3004,$M269)="","",INDEX('潜水記録'!$O$5:$O$3004,$M269)))</f>
        <v/>
      </c>
      <c r="K269" s="15">
        <f>IF($A269="","",IF(INDEX('潜水記録'!$P$5:$P$3004,$M269)="","",INDEX('潜水記録'!$P$5:$P$3004,$M269)))</f>
        <v/>
      </c>
      <c r="L269" s="14">
        <f>IF($A269="","",IF(INDEX('潜水記録'!$Q$5:$Q$3004,$M269)="","",INDEX('潜水記録'!$Q$5:$Q$3004,$M269)))</f>
        <v/>
      </c>
      <c r="M269" s="20">
        <f>IF($A269="","",MATCH($A269,'潜水記録'!$AG$5:$AG$3004,0))</f>
        <v/>
      </c>
    </row>
    <row r="270">
      <c r="A270" s="15">
        <f>IF(261&lt;=$C$6,261,"")</f>
        <v/>
      </c>
      <c r="B270" s="16">
        <f>IF($A270="","",IF(INDEX('潜水記録'!$A$5:$A$3004,$M270)="","",INDEX('潜水記録'!$A$5:$A$3004,$M270)))</f>
        <v/>
      </c>
      <c r="C270" s="15">
        <f>IF($A270="","",IF(INDEX('潜水記録'!$D$5:$D$3004,$M270)="","",INDEX('潜水記録'!$D$5:$D$3004,$M270)))</f>
        <v/>
      </c>
      <c r="D270" s="14">
        <f>IF($A270="","",IF(INDEX('潜水記録'!$E$5:$E$3004,$M270)="","",INDEX('潜水記録'!$E$5:$E$3004,$M270)))</f>
        <v/>
      </c>
      <c r="E270" s="14">
        <f>IF($A270="","",IF(INDEX('潜水記録'!$F$5:$F$3004,$M270)="","",INDEX('潜水記録'!$F$5:$F$3004,$M270)))</f>
        <v/>
      </c>
      <c r="F270" s="15">
        <f>IF($A270="","",IF(INDEX('潜水記録'!$G$5:$G$3004,$M270)="","",INDEX('潜水記録'!$G$5:$G$3004,$M270)))</f>
        <v/>
      </c>
      <c r="G270" s="15">
        <f>IF($A270="","",IF(INDEX('潜水記録'!$H$5:$H$3004,$M270)="","",INDEX('潜水記録'!$H$5:$H$3004,$M270)))</f>
        <v/>
      </c>
      <c r="H270" s="15">
        <f>IF($A270="","",IF(INDEX('潜水記録'!$I$5:$I$3004,$M270)="","",INDEX('潜水記録'!$I$5:$I$3004,$M270)))</f>
        <v/>
      </c>
      <c r="I270" s="15">
        <f>IF($A270="","",IF(INDEX('潜水記録'!$X$5:$X$3004,$M270)="","",INDEX('潜水記録'!$X$5:$X$3004,$M270)))</f>
        <v/>
      </c>
      <c r="J270" s="15">
        <f>IF($A270="","",IF(INDEX('潜水記録'!$O$5:$O$3004,$M270)="","",INDEX('潜水記録'!$O$5:$O$3004,$M270)))</f>
        <v/>
      </c>
      <c r="K270" s="15">
        <f>IF($A270="","",IF(INDEX('潜水記録'!$P$5:$P$3004,$M270)="","",INDEX('潜水記録'!$P$5:$P$3004,$M270)))</f>
        <v/>
      </c>
      <c r="L270" s="14">
        <f>IF($A270="","",IF(INDEX('潜水記録'!$Q$5:$Q$3004,$M270)="","",INDEX('潜水記録'!$Q$5:$Q$3004,$M270)))</f>
        <v/>
      </c>
      <c r="M270" s="20">
        <f>IF($A270="","",MATCH($A270,'潜水記録'!$AG$5:$AG$3004,0))</f>
        <v/>
      </c>
    </row>
    <row r="271">
      <c r="A271" s="15">
        <f>IF(262&lt;=$C$6,262,"")</f>
        <v/>
      </c>
      <c r="B271" s="16">
        <f>IF($A271="","",IF(INDEX('潜水記録'!$A$5:$A$3004,$M271)="","",INDEX('潜水記録'!$A$5:$A$3004,$M271)))</f>
        <v/>
      </c>
      <c r="C271" s="15">
        <f>IF($A271="","",IF(INDEX('潜水記録'!$D$5:$D$3004,$M271)="","",INDEX('潜水記録'!$D$5:$D$3004,$M271)))</f>
        <v/>
      </c>
      <c r="D271" s="14">
        <f>IF($A271="","",IF(INDEX('潜水記録'!$E$5:$E$3004,$M271)="","",INDEX('潜水記録'!$E$5:$E$3004,$M271)))</f>
        <v/>
      </c>
      <c r="E271" s="14">
        <f>IF($A271="","",IF(INDEX('潜水記録'!$F$5:$F$3004,$M271)="","",INDEX('潜水記録'!$F$5:$F$3004,$M271)))</f>
        <v/>
      </c>
      <c r="F271" s="15">
        <f>IF($A271="","",IF(INDEX('潜水記録'!$G$5:$G$3004,$M271)="","",INDEX('潜水記録'!$G$5:$G$3004,$M271)))</f>
        <v/>
      </c>
      <c r="G271" s="15">
        <f>IF($A271="","",IF(INDEX('潜水記録'!$H$5:$H$3004,$M271)="","",INDEX('潜水記録'!$H$5:$H$3004,$M271)))</f>
        <v/>
      </c>
      <c r="H271" s="15">
        <f>IF($A271="","",IF(INDEX('潜水記録'!$I$5:$I$3004,$M271)="","",INDEX('潜水記録'!$I$5:$I$3004,$M271)))</f>
        <v/>
      </c>
      <c r="I271" s="15">
        <f>IF($A271="","",IF(INDEX('潜水記録'!$X$5:$X$3004,$M271)="","",INDEX('潜水記録'!$X$5:$X$3004,$M271)))</f>
        <v/>
      </c>
      <c r="J271" s="15">
        <f>IF($A271="","",IF(INDEX('潜水記録'!$O$5:$O$3004,$M271)="","",INDEX('潜水記録'!$O$5:$O$3004,$M271)))</f>
        <v/>
      </c>
      <c r="K271" s="15">
        <f>IF($A271="","",IF(INDEX('潜水記録'!$P$5:$P$3004,$M271)="","",INDEX('潜水記録'!$P$5:$P$3004,$M271)))</f>
        <v/>
      </c>
      <c r="L271" s="14">
        <f>IF($A271="","",IF(INDEX('潜水記録'!$Q$5:$Q$3004,$M271)="","",INDEX('潜水記録'!$Q$5:$Q$3004,$M271)))</f>
        <v/>
      </c>
      <c r="M271" s="20">
        <f>IF($A271="","",MATCH($A271,'潜水記録'!$AG$5:$AG$3004,0))</f>
        <v/>
      </c>
    </row>
    <row r="272">
      <c r="A272" s="15">
        <f>IF(263&lt;=$C$6,263,"")</f>
        <v/>
      </c>
      <c r="B272" s="16">
        <f>IF($A272="","",IF(INDEX('潜水記録'!$A$5:$A$3004,$M272)="","",INDEX('潜水記録'!$A$5:$A$3004,$M272)))</f>
        <v/>
      </c>
      <c r="C272" s="15">
        <f>IF($A272="","",IF(INDEX('潜水記録'!$D$5:$D$3004,$M272)="","",INDEX('潜水記録'!$D$5:$D$3004,$M272)))</f>
        <v/>
      </c>
      <c r="D272" s="14">
        <f>IF($A272="","",IF(INDEX('潜水記録'!$E$5:$E$3004,$M272)="","",INDEX('潜水記録'!$E$5:$E$3004,$M272)))</f>
        <v/>
      </c>
      <c r="E272" s="14">
        <f>IF($A272="","",IF(INDEX('潜水記録'!$F$5:$F$3004,$M272)="","",INDEX('潜水記録'!$F$5:$F$3004,$M272)))</f>
        <v/>
      </c>
      <c r="F272" s="15">
        <f>IF($A272="","",IF(INDEX('潜水記録'!$G$5:$G$3004,$M272)="","",INDEX('潜水記録'!$G$5:$G$3004,$M272)))</f>
        <v/>
      </c>
      <c r="G272" s="15">
        <f>IF($A272="","",IF(INDEX('潜水記録'!$H$5:$H$3004,$M272)="","",INDEX('潜水記録'!$H$5:$H$3004,$M272)))</f>
        <v/>
      </c>
      <c r="H272" s="15">
        <f>IF($A272="","",IF(INDEX('潜水記録'!$I$5:$I$3004,$M272)="","",INDEX('潜水記録'!$I$5:$I$3004,$M272)))</f>
        <v/>
      </c>
      <c r="I272" s="15">
        <f>IF($A272="","",IF(INDEX('潜水記録'!$X$5:$X$3004,$M272)="","",INDEX('潜水記録'!$X$5:$X$3004,$M272)))</f>
        <v/>
      </c>
      <c r="J272" s="15">
        <f>IF($A272="","",IF(INDEX('潜水記録'!$O$5:$O$3004,$M272)="","",INDEX('潜水記録'!$O$5:$O$3004,$M272)))</f>
        <v/>
      </c>
      <c r="K272" s="15">
        <f>IF($A272="","",IF(INDEX('潜水記録'!$P$5:$P$3004,$M272)="","",INDEX('潜水記録'!$P$5:$P$3004,$M272)))</f>
        <v/>
      </c>
      <c r="L272" s="14">
        <f>IF($A272="","",IF(INDEX('潜水記録'!$Q$5:$Q$3004,$M272)="","",INDEX('潜水記録'!$Q$5:$Q$3004,$M272)))</f>
        <v/>
      </c>
      <c r="M272" s="20">
        <f>IF($A272="","",MATCH($A272,'潜水記録'!$AG$5:$AG$3004,0))</f>
        <v/>
      </c>
    </row>
    <row r="273">
      <c r="A273" s="15">
        <f>IF(264&lt;=$C$6,264,"")</f>
        <v/>
      </c>
      <c r="B273" s="16">
        <f>IF($A273="","",IF(INDEX('潜水記録'!$A$5:$A$3004,$M273)="","",INDEX('潜水記録'!$A$5:$A$3004,$M273)))</f>
        <v/>
      </c>
      <c r="C273" s="15">
        <f>IF($A273="","",IF(INDEX('潜水記録'!$D$5:$D$3004,$M273)="","",INDEX('潜水記録'!$D$5:$D$3004,$M273)))</f>
        <v/>
      </c>
      <c r="D273" s="14">
        <f>IF($A273="","",IF(INDEX('潜水記録'!$E$5:$E$3004,$M273)="","",INDEX('潜水記録'!$E$5:$E$3004,$M273)))</f>
        <v/>
      </c>
      <c r="E273" s="14">
        <f>IF($A273="","",IF(INDEX('潜水記録'!$F$5:$F$3004,$M273)="","",INDEX('潜水記録'!$F$5:$F$3004,$M273)))</f>
        <v/>
      </c>
      <c r="F273" s="15">
        <f>IF($A273="","",IF(INDEX('潜水記録'!$G$5:$G$3004,$M273)="","",INDEX('潜水記録'!$G$5:$G$3004,$M273)))</f>
        <v/>
      </c>
      <c r="G273" s="15">
        <f>IF($A273="","",IF(INDEX('潜水記録'!$H$5:$H$3004,$M273)="","",INDEX('潜水記録'!$H$5:$H$3004,$M273)))</f>
        <v/>
      </c>
      <c r="H273" s="15">
        <f>IF($A273="","",IF(INDEX('潜水記録'!$I$5:$I$3004,$M273)="","",INDEX('潜水記録'!$I$5:$I$3004,$M273)))</f>
        <v/>
      </c>
      <c r="I273" s="15">
        <f>IF($A273="","",IF(INDEX('潜水記録'!$X$5:$X$3004,$M273)="","",INDEX('潜水記録'!$X$5:$X$3004,$M273)))</f>
        <v/>
      </c>
      <c r="J273" s="15">
        <f>IF($A273="","",IF(INDEX('潜水記録'!$O$5:$O$3004,$M273)="","",INDEX('潜水記録'!$O$5:$O$3004,$M273)))</f>
        <v/>
      </c>
      <c r="K273" s="15">
        <f>IF($A273="","",IF(INDEX('潜水記録'!$P$5:$P$3004,$M273)="","",INDEX('潜水記録'!$P$5:$P$3004,$M273)))</f>
        <v/>
      </c>
      <c r="L273" s="14">
        <f>IF($A273="","",IF(INDEX('潜水記録'!$Q$5:$Q$3004,$M273)="","",INDEX('潜水記録'!$Q$5:$Q$3004,$M273)))</f>
        <v/>
      </c>
      <c r="M273" s="20">
        <f>IF($A273="","",MATCH($A273,'潜水記録'!$AG$5:$AG$3004,0))</f>
        <v/>
      </c>
    </row>
    <row r="274">
      <c r="A274" s="15">
        <f>IF(265&lt;=$C$6,265,"")</f>
        <v/>
      </c>
      <c r="B274" s="16">
        <f>IF($A274="","",IF(INDEX('潜水記録'!$A$5:$A$3004,$M274)="","",INDEX('潜水記録'!$A$5:$A$3004,$M274)))</f>
        <v/>
      </c>
      <c r="C274" s="15">
        <f>IF($A274="","",IF(INDEX('潜水記録'!$D$5:$D$3004,$M274)="","",INDEX('潜水記録'!$D$5:$D$3004,$M274)))</f>
        <v/>
      </c>
      <c r="D274" s="14">
        <f>IF($A274="","",IF(INDEX('潜水記録'!$E$5:$E$3004,$M274)="","",INDEX('潜水記録'!$E$5:$E$3004,$M274)))</f>
        <v/>
      </c>
      <c r="E274" s="14">
        <f>IF($A274="","",IF(INDEX('潜水記録'!$F$5:$F$3004,$M274)="","",INDEX('潜水記録'!$F$5:$F$3004,$M274)))</f>
        <v/>
      </c>
      <c r="F274" s="15">
        <f>IF($A274="","",IF(INDEX('潜水記録'!$G$5:$G$3004,$M274)="","",INDEX('潜水記録'!$G$5:$G$3004,$M274)))</f>
        <v/>
      </c>
      <c r="G274" s="15">
        <f>IF($A274="","",IF(INDEX('潜水記録'!$H$5:$H$3004,$M274)="","",INDEX('潜水記録'!$H$5:$H$3004,$M274)))</f>
        <v/>
      </c>
      <c r="H274" s="15">
        <f>IF($A274="","",IF(INDEX('潜水記録'!$I$5:$I$3004,$M274)="","",INDEX('潜水記録'!$I$5:$I$3004,$M274)))</f>
        <v/>
      </c>
      <c r="I274" s="15">
        <f>IF($A274="","",IF(INDEX('潜水記録'!$X$5:$X$3004,$M274)="","",INDEX('潜水記録'!$X$5:$X$3004,$M274)))</f>
        <v/>
      </c>
      <c r="J274" s="15">
        <f>IF($A274="","",IF(INDEX('潜水記録'!$O$5:$O$3004,$M274)="","",INDEX('潜水記録'!$O$5:$O$3004,$M274)))</f>
        <v/>
      </c>
      <c r="K274" s="15">
        <f>IF($A274="","",IF(INDEX('潜水記録'!$P$5:$P$3004,$M274)="","",INDEX('潜水記録'!$P$5:$P$3004,$M274)))</f>
        <v/>
      </c>
      <c r="L274" s="14">
        <f>IF($A274="","",IF(INDEX('潜水記録'!$Q$5:$Q$3004,$M274)="","",INDEX('潜水記録'!$Q$5:$Q$3004,$M274)))</f>
        <v/>
      </c>
      <c r="M274" s="20">
        <f>IF($A274="","",MATCH($A274,'潜水記録'!$AG$5:$AG$3004,0))</f>
        <v/>
      </c>
    </row>
    <row r="275">
      <c r="A275" s="15">
        <f>IF(266&lt;=$C$6,266,"")</f>
        <v/>
      </c>
      <c r="B275" s="16">
        <f>IF($A275="","",IF(INDEX('潜水記録'!$A$5:$A$3004,$M275)="","",INDEX('潜水記録'!$A$5:$A$3004,$M275)))</f>
        <v/>
      </c>
      <c r="C275" s="15">
        <f>IF($A275="","",IF(INDEX('潜水記録'!$D$5:$D$3004,$M275)="","",INDEX('潜水記録'!$D$5:$D$3004,$M275)))</f>
        <v/>
      </c>
      <c r="D275" s="14">
        <f>IF($A275="","",IF(INDEX('潜水記録'!$E$5:$E$3004,$M275)="","",INDEX('潜水記録'!$E$5:$E$3004,$M275)))</f>
        <v/>
      </c>
      <c r="E275" s="14">
        <f>IF($A275="","",IF(INDEX('潜水記録'!$F$5:$F$3004,$M275)="","",INDEX('潜水記録'!$F$5:$F$3004,$M275)))</f>
        <v/>
      </c>
      <c r="F275" s="15">
        <f>IF($A275="","",IF(INDEX('潜水記録'!$G$5:$G$3004,$M275)="","",INDEX('潜水記録'!$G$5:$G$3004,$M275)))</f>
        <v/>
      </c>
      <c r="G275" s="15">
        <f>IF($A275="","",IF(INDEX('潜水記録'!$H$5:$H$3004,$M275)="","",INDEX('潜水記録'!$H$5:$H$3004,$M275)))</f>
        <v/>
      </c>
      <c r="H275" s="15">
        <f>IF($A275="","",IF(INDEX('潜水記録'!$I$5:$I$3004,$M275)="","",INDEX('潜水記録'!$I$5:$I$3004,$M275)))</f>
        <v/>
      </c>
      <c r="I275" s="15">
        <f>IF($A275="","",IF(INDEX('潜水記録'!$X$5:$X$3004,$M275)="","",INDEX('潜水記録'!$X$5:$X$3004,$M275)))</f>
        <v/>
      </c>
      <c r="J275" s="15">
        <f>IF($A275="","",IF(INDEX('潜水記録'!$O$5:$O$3004,$M275)="","",INDEX('潜水記録'!$O$5:$O$3004,$M275)))</f>
        <v/>
      </c>
      <c r="K275" s="15">
        <f>IF($A275="","",IF(INDEX('潜水記録'!$P$5:$P$3004,$M275)="","",INDEX('潜水記録'!$P$5:$P$3004,$M275)))</f>
        <v/>
      </c>
      <c r="L275" s="14">
        <f>IF($A275="","",IF(INDEX('潜水記録'!$Q$5:$Q$3004,$M275)="","",INDEX('潜水記録'!$Q$5:$Q$3004,$M275)))</f>
        <v/>
      </c>
      <c r="M275" s="20">
        <f>IF($A275="","",MATCH($A275,'潜水記録'!$AG$5:$AG$3004,0))</f>
        <v/>
      </c>
    </row>
    <row r="276">
      <c r="A276" s="15">
        <f>IF(267&lt;=$C$6,267,"")</f>
        <v/>
      </c>
      <c r="B276" s="16">
        <f>IF($A276="","",IF(INDEX('潜水記録'!$A$5:$A$3004,$M276)="","",INDEX('潜水記録'!$A$5:$A$3004,$M276)))</f>
        <v/>
      </c>
      <c r="C276" s="15">
        <f>IF($A276="","",IF(INDEX('潜水記録'!$D$5:$D$3004,$M276)="","",INDEX('潜水記録'!$D$5:$D$3004,$M276)))</f>
        <v/>
      </c>
      <c r="D276" s="14">
        <f>IF($A276="","",IF(INDEX('潜水記録'!$E$5:$E$3004,$M276)="","",INDEX('潜水記録'!$E$5:$E$3004,$M276)))</f>
        <v/>
      </c>
      <c r="E276" s="14">
        <f>IF($A276="","",IF(INDEX('潜水記録'!$F$5:$F$3004,$M276)="","",INDEX('潜水記録'!$F$5:$F$3004,$M276)))</f>
        <v/>
      </c>
      <c r="F276" s="15">
        <f>IF($A276="","",IF(INDEX('潜水記録'!$G$5:$G$3004,$M276)="","",INDEX('潜水記録'!$G$5:$G$3004,$M276)))</f>
        <v/>
      </c>
      <c r="G276" s="15">
        <f>IF($A276="","",IF(INDEX('潜水記録'!$H$5:$H$3004,$M276)="","",INDEX('潜水記録'!$H$5:$H$3004,$M276)))</f>
        <v/>
      </c>
      <c r="H276" s="15">
        <f>IF($A276="","",IF(INDEX('潜水記録'!$I$5:$I$3004,$M276)="","",INDEX('潜水記録'!$I$5:$I$3004,$M276)))</f>
        <v/>
      </c>
      <c r="I276" s="15">
        <f>IF($A276="","",IF(INDEX('潜水記録'!$X$5:$X$3004,$M276)="","",INDEX('潜水記録'!$X$5:$X$3004,$M276)))</f>
        <v/>
      </c>
      <c r="J276" s="15">
        <f>IF($A276="","",IF(INDEX('潜水記録'!$O$5:$O$3004,$M276)="","",INDEX('潜水記録'!$O$5:$O$3004,$M276)))</f>
        <v/>
      </c>
      <c r="K276" s="15">
        <f>IF($A276="","",IF(INDEX('潜水記録'!$P$5:$P$3004,$M276)="","",INDEX('潜水記録'!$P$5:$P$3004,$M276)))</f>
        <v/>
      </c>
      <c r="L276" s="14">
        <f>IF($A276="","",IF(INDEX('潜水記録'!$Q$5:$Q$3004,$M276)="","",INDEX('潜水記録'!$Q$5:$Q$3004,$M276)))</f>
        <v/>
      </c>
      <c r="M276" s="20">
        <f>IF($A276="","",MATCH($A276,'潜水記録'!$AG$5:$AG$3004,0))</f>
        <v/>
      </c>
    </row>
    <row r="277">
      <c r="A277" s="15">
        <f>IF(268&lt;=$C$6,268,"")</f>
        <v/>
      </c>
      <c r="B277" s="16">
        <f>IF($A277="","",IF(INDEX('潜水記録'!$A$5:$A$3004,$M277)="","",INDEX('潜水記録'!$A$5:$A$3004,$M277)))</f>
        <v/>
      </c>
      <c r="C277" s="15">
        <f>IF($A277="","",IF(INDEX('潜水記録'!$D$5:$D$3004,$M277)="","",INDEX('潜水記録'!$D$5:$D$3004,$M277)))</f>
        <v/>
      </c>
      <c r="D277" s="14">
        <f>IF($A277="","",IF(INDEX('潜水記録'!$E$5:$E$3004,$M277)="","",INDEX('潜水記録'!$E$5:$E$3004,$M277)))</f>
        <v/>
      </c>
      <c r="E277" s="14">
        <f>IF($A277="","",IF(INDEX('潜水記録'!$F$5:$F$3004,$M277)="","",INDEX('潜水記録'!$F$5:$F$3004,$M277)))</f>
        <v/>
      </c>
      <c r="F277" s="15">
        <f>IF($A277="","",IF(INDEX('潜水記録'!$G$5:$G$3004,$M277)="","",INDEX('潜水記録'!$G$5:$G$3004,$M277)))</f>
        <v/>
      </c>
      <c r="G277" s="15">
        <f>IF($A277="","",IF(INDEX('潜水記録'!$H$5:$H$3004,$M277)="","",INDEX('潜水記録'!$H$5:$H$3004,$M277)))</f>
        <v/>
      </c>
      <c r="H277" s="15">
        <f>IF($A277="","",IF(INDEX('潜水記録'!$I$5:$I$3004,$M277)="","",INDEX('潜水記録'!$I$5:$I$3004,$M277)))</f>
        <v/>
      </c>
      <c r="I277" s="15">
        <f>IF($A277="","",IF(INDEX('潜水記録'!$X$5:$X$3004,$M277)="","",INDEX('潜水記録'!$X$5:$X$3004,$M277)))</f>
        <v/>
      </c>
      <c r="J277" s="15">
        <f>IF($A277="","",IF(INDEX('潜水記録'!$O$5:$O$3004,$M277)="","",INDEX('潜水記録'!$O$5:$O$3004,$M277)))</f>
        <v/>
      </c>
      <c r="K277" s="15">
        <f>IF($A277="","",IF(INDEX('潜水記録'!$P$5:$P$3004,$M277)="","",INDEX('潜水記録'!$P$5:$P$3004,$M277)))</f>
        <v/>
      </c>
      <c r="L277" s="14">
        <f>IF($A277="","",IF(INDEX('潜水記録'!$Q$5:$Q$3004,$M277)="","",INDEX('潜水記録'!$Q$5:$Q$3004,$M277)))</f>
        <v/>
      </c>
      <c r="M277" s="20">
        <f>IF($A277="","",MATCH($A277,'潜水記録'!$AG$5:$AG$3004,0))</f>
        <v/>
      </c>
    </row>
    <row r="278">
      <c r="A278" s="15">
        <f>IF(269&lt;=$C$6,269,"")</f>
        <v/>
      </c>
      <c r="B278" s="16">
        <f>IF($A278="","",IF(INDEX('潜水記録'!$A$5:$A$3004,$M278)="","",INDEX('潜水記録'!$A$5:$A$3004,$M278)))</f>
        <v/>
      </c>
      <c r="C278" s="15">
        <f>IF($A278="","",IF(INDEX('潜水記録'!$D$5:$D$3004,$M278)="","",INDEX('潜水記録'!$D$5:$D$3004,$M278)))</f>
        <v/>
      </c>
      <c r="D278" s="14">
        <f>IF($A278="","",IF(INDEX('潜水記録'!$E$5:$E$3004,$M278)="","",INDEX('潜水記録'!$E$5:$E$3004,$M278)))</f>
        <v/>
      </c>
      <c r="E278" s="14">
        <f>IF($A278="","",IF(INDEX('潜水記録'!$F$5:$F$3004,$M278)="","",INDEX('潜水記録'!$F$5:$F$3004,$M278)))</f>
        <v/>
      </c>
      <c r="F278" s="15">
        <f>IF($A278="","",IF(INDEX('潜水記録'!$G$5:$G$3004,$M278)="","",INDEX('潜水記録'!$G$5:$G$3004,$M278)))</f>
        <v/>
      </c>
      <c r="G278" s="15">
        <f>IF($A278="","",IF(INDEX('潜水記録'!$H$5:$H$3004,$M278)="","",INDEX('潜水記録'!$H$5:$H$3004,$M278)))</f>
        <v/>
      </c>
      <c r="H278" s="15">
        <f>IF($A278="","",IF(INDEX('潜水記録'!$I$5:$I$3004,$M278)="","",INDEX('潜水記録'!$I$5:$I$3004,$M278)))</f>
        <v/>
      </c>
      <c r="I278" s="15">
        <f>IF($A278="","",IF(INDEX('潜水記録'!$X$5:$X$3004,$M278)="","",INDEX('潜水記録'!$X$5:$X$3004,$M278)))</f>
        <v/>
      </c>
      <c r="J278" s="15">
        <f>IF($A278="","",IF(INDEX('潜水記録'!$O$5:$O$3004,$M278)="","",INDEX('潜水記録'!$O$5:$O$3004,$M278)))</f>
        <v/>
      </c>
      <c r="K278" s="15">
        <f>IF($A278="","",IF(INDEX('潜水記録'!$P$5:$P$3004,$M278)="","",INDEX('潜水記録'!$P$5:$P$3004,$M278)))</f>
        <v/>
      </c>
      <c r="L278" s="14">
        <f>IF($A278="","",IF(INDEX('潜水記録'!$Q$5:$Q$3004,$M278)="","",INDEX('潜水記録'!$Q$5:$Q$3004,$M278)))</f>
        <v/>
      </c>
      <c r="M278" s="20">
        <f>IF($A278="","",MATCH($A278,'潜水記録'!$AG$5:$AG$3004,0))</f>
        <v/>
      </c>
    </row>
    <row r="279">
      <c r="A279" s="15">
        <f>IF(270&lt;=$C$6,270,"")</f>
        <v/>
      </c>
      <c r="B279" s="16">
        <f>IF($A279="","",IF(INDEX('潜水記録'!$A$5:$A$3004,$M279)="","",INDEX('潜水記録'!$A$5:$A$3004,$M279)))</f>
        <v/>
      </c>
      <c r="C279" s="15">
        <f>IF($A279="","",IF(INDEX('潜水記録'!$D$5:$D$3004,$M279)="","",INDEX('潜水記録'!$D$5:$D$3004,$M279)))</f>
        <v/>
      </c>
      <c r="D279" s="14">
        <f>IF($A279="","",IF(INDEX('潜水記録'!$E$5:$E$3004,$M279)="","",INDEX('潜水記録'!$E$5:$E$3004,$M279)))</f>
        <v/>
      </c>
      <c r="E279" s="14">
        <f>IF($A279="","",IF(INDEX('潜水記録'!$F$5:$F$3004,$M279)="","",INDEX('潜水記録'!$F$5:$F$3004,$M279)))</f>
        <v/>
      </c>
      <c r="F279" s="15">
        <f>IF($A279="","",IF(INDEX('潜水記録'!$G$5:$G$3004,$M279)="","",INDEX('潜水記録'!$G$5:$G$3004,$M279)))</f>
        <v/>
      </c>
      <c r="G279" s="15">
        <f>IF($A279="","",IF(INDEX('潜水記録'!$H$5:$H$3004,$M279)="","",INDEX('潜水記録'!$H$5:$H$3004,$M279)))</f>
        <v/>
      </c>
      <c r="H279" s="15">
        <f>IF($A279="","",IF(INDEX('潜水記録'!$I$5:$I$3004,$M279)="","",INDEX('潜水記録'!$I$5:$I$3004,$M279)))</f>
        <v/>
      </c>
      <c r="I279" s="15">
        <f>IF($A279="","",IF(INDEX('潜水記録'!$X$5:$X$3004,$M279)="","",INDEX('潜水記録'!$X$5:$X$3004,$M279)))</f>
        <v/>
      </c>
      <c r="J279" s="15">
        <f>IF($A279="","",IF(INDEX('潜水記録'!$O$5:$O$3004,$M279)="","",INDEX('潜水記録'!$O$5:$O$3004,$M279)))</f>
        <v/>
      </c>
      <c r="K279" s="15">
        <f>IF($A279="","",IF(INDEX('潜水記録'!$P$5:$P$3004,$M279)="","",INDEX('潜水記録'!$P$5:$P$3004,$M279)))</f>
        <v/>
      </c>
      <c r="L279" s="14">
        <f>IF($A279="","",IF(INDEX('潜水記録'!$Q$5:$Q$3004,$M279)="","",INDEX('潜水記録'!$Q$5:$Q$3004,$M279)))</f>
        <v/>
      </c>
      <c r="M279" s="20">
        <f>IF($A279="","",MATCH($A279,'潜水記録'!$AG$5:$AG$3004,0))</f>
        <v/>
      </c>
    </row>
    <row r="280">
      <c r="A280" s="15">
        <f>IF(271&lt;=$C$6,271,"")</f>
        <v/>
      </c>
      <c r="B280" s="16">
        <f>IF($A280="","",IF(INDEX('潜水記録'!$A$5:$A$3004,$M280)="","",INDEX('潜水記録'!$A$5:$A$3004,$M280)))</f>
        <v/>
      </c>
      <c r="C280" s="15">
        <f>IF($A280="","",IF(INDEX('潜水記録'!$D$5:$D$3004,$M280)="","",INDEX('潜水記録'!$D$5:$D$3004,$M280)))</f>
        <v/>
      </c>
      <c r="D280" s="14">
        <f>IF($A280="","",IF(INDEX('潜水記録'!$E$5:$E$3004,$M280)="","",INDEX('潜水記録'!$E$5:$E$3004,$M280)))</f>
        <v/>
      </c>
      <c r="E280" s="14">
        <f>IF($A280="","",IF(INDEX('潜水記録'!$F$5:$F$3004,$M280)="","",INDEX('潜水記録'!$F$5:$F$3004,$M280)))</f>
        <v/>
      </c>
      <c r="F280" s="15">
        <f>IF($A280="","",IF(INDEX('潜水記録'!$G$5:$G$3004,$M280)="","",INDEX('潜水記録'!$G$5:$G$3004,$M280)))</f>
        <v/>
      </c>
      <c r="G280" s="15">
        <f>IF($A280="","",IF(INDEX('潜水記録'!$H$5:$H$3004,$M280)="","",INDEX('潜水記録'!$H$5:$H$3004,$M280)))</f>
        <v/>
      </c>
      <c r="H280" s="15">
        <f>IF($A280="","",IF(INDEX('潜水記録'!$I$5:$I$3004,$M280)="","",INDEX('潜水記録'!$I$5:$I$3004,$M280)))</f>
        <v/>
      </c>
      <c r="I280" s="15">
        <f>IF($A280="","",IF(INDEX('潜水記録'!$X$5:$X$3004,$M280)="","",INDEX('潜水記録'!$X$5:$X$3004,$M280)))</f>
        <v/>
      </c>
      <c r="J280" s="15">
        <f>IF($A280="","",IF(INDEX('潜水記録'!$O$5:$O$3004,$M280)="","",INDEX('潜水記録'!$O$5:$O$3004,$M280)))</f>
        <v/>
      </c>
      <c r="K280" s="15">
        <f>IF($A280="","",IF(INDEX('潜水記録'!$P$5:$P$3004,$M280)="","",INDEX('潜水記録'!$P$5:$P$3004,$M280)))</f>
        <v/>
      </c>
      <c r="L280" s="14">
        <f>IF($A280="","",IF(INDEX('潜水記録'!$Q$5:$Q$3004,$M280)="","",INDEX('潜水記録'!$Q$5:$Q$3004,$M280)))</f>
        <v/>
      </c>
      <c r="M280" s="20">
        <f>IF($A280="","",MATCH($A280,'潜水記録'!$AG$5:$AG$3004,0))</f>
        <v/>
      </c>
    </row>
    <row r="281">
      <c r="A281" s="15">
        <f>IF(272&lt;=$C$6,272,"")</f>
        <v/>
      </c>
      <c r="B281" s="16">
        <f>IF($A281="","",IF(INDEX('潜水記録'!$A$5:$A$3004,$M281)="","",INDEX('潜水記録'!$A$5:$A$3004,$M281)))</f>
        <v/>
      </c>
      <c r="C281" s="15">
        <f>IF($A281="","",IF(INDEX('潜水記録'!$D$5:$D$3004,$M281)="","",INDEX('潜水記録'!$D$5:$D$3004,$M281)))</f>
        <v/>
      </c>
      <c r="D281" s="14">
        <f>IF($A281="","",IF(INDEX('潜水記録'!$E$5:$E$3004,$M281)="","",INDEX('潜水記録'!$E$5:$E$3004,$M281)))</f>
        <v/>
      </c>
      <c r="E281" s="14">
        <f>IF($A281="","",IF(INDEX('潜水記録'!$F$5:$F$3004,$M281)="","",INDEX('潜水記録'!$F$5:$F$3004,$M281)))</f>
        <v/>
      </c>
      <c r="F281" s="15">
        <f>IF($A281="","",IF(INDEX('潜水記録'!$G$5:$G$3004,$M281)="","",INDEX('潜水記録'!$G$5:$G$3004,$M281)))</f>
        <v/>
      </c>
      <c r="G281" s="15">
        <f>IF($A281="","",IF(INDEX('潜水記録'!$H$5:$H$3004,$M281)="","",INDEX('潜水記録'!$H$5:$H$3004,$M281)))</f>
        <v/>
      </c>
      <c r="H281" s="15">
        <f>IF($A281="","",IF(INDEX('潜水記録'!$I$5:$I$3004,$M281)="","",INDEX('潜水記録'!$I$5:$I$3004,$M281)))</f>
        <v/>
      </c>
      <c r="I281" s="15">
        <f>IF($A281="","",IF(INDEX('潜水記録'!$X$5:$X$3004,$M281)="","",INDEX('潜水記録'!$X$5:$X$3004,$M281)))</f>
        <v/>
      </c>
      <c r="J281" s="15">
        <f>IF($A281="","",IF(INDEX('潜水記録'!$O$5:$O$3004,$M281)="","",INDEX('潜水記録'!$O$5:$O$3004,$M281)))</f>
        <v/>
      </c>
      <c r="K281" s="15">
        <f>IF($A281="","",IF(INDEX('潜水記録'!$P$5:$P$3004,$M281)="","",INDEX('潜水記録'!$P$5:$P$3004,$M281)))</f>
        <v/>
      </c>
      <c r="L281" s="14">
        <f>IF($A281="","",IF(INDEX('潜水記録'!$Q$5:$Q$3004,$M281)="","",INDEX('潜水記録'!$Q$5:$Q$3004,$M281)))</f>
        <v/>
      </c>
      <c r="M281" s="20">
        <f>IF($A281="","",MATCH($A281,'潜水記録'!$AG$5:$AG$3004,0))</f>
        <v/>
      </c>
    </row>
    <row r="282">
      <c r="A282" s="15">
        <f>IF(273&lt;=$C$6,273,"")</f>
        <v/>
      </c>
      <c r="B282" s="16">
        <f>IF($A282="","",IF(INDEX('潜水記録'!$A$5:$A$3004,$M282)="","",INDEX('潜水記録'!$A$5:$A$3004,$M282)))</f>
        <v/>
      </c>
      <c r="C282" s="15">
        <f>IF($A282="","",IF(INDEX('潜水記録'!$D$5:$D$3004,$M282)="","",INDEX('潜水記録'!$D$5:$D$3004,$M282)))</f>
        <v/>
      </c>
      <c r="D282" s="14">
        <f>IF($A282="","",IF(INDEX('潜水記録'!$E$5:$E$3004,$M282)="","",INDEX('潜水記録'!$E$5:$E$3004,$M282)))</f>
        <v/>
      </c>
      <c r="E282" s="14">
        <f>IF($A282="","",IF(INDEX('潜水記録'!$F$5:$F$3004,$M282)="","",INDEX('潜水記録'!$F$5:$F$3004,$M282)))</f>
        <v/>
      </c>
      <c r="F282" s="15">
        <f>IF($A282="","",IF(INDEX('潜水記録'!$G$5:$G$3004,$M282)="","",INDEX('潜水記録'!$G$5:$G$3004,$M282)))</f>
        <v/>
      </c>
      <c r="G282" s="15">
        <f>IF($A282="","",IF(INDEX('潜水記録'!$H$5:$H$3004,$M282)="","",INDEX('潜水記録'!$H$5:$H$3004,$M282)))</f>
        <v/>
      </c>
      <c r="H282" s="15">
        <f>IF($A282="","",IF(INDEX('潜水記録'!$I$5:$I$3004,$M282)="","",INDEX('潜水記録'!$I$5:$I$3004,$M282)))</f>
        <v/>
      </c>
      <c r="I282" s="15">
        <f>IF($A282="","",IF(INDEX('潜水記録'!$X$5:$X$3004,$M282)="","",INDEX('潜水記録'!$X$5:$X$3004,$M282)))</f>
        <v/>
      </c>
      <c r="J282" s="15">
        <f>IF($A282="","",IF(INDEX('潜水記録'!$O$5:$O$3004,$M282)="","",INDEX('潜水記録'!$O$5:$O$3004,$M282)))</f>
        <v/>
      </c>
      <c r="K282" s="15">
        <f>IF($A282="","",IF(INDEX('潜水記録'!$P$5:$P$3004,$M282)="","",INDEX('潜水記録'!$P$5:$P$3004,$M282)))</f>
        <v/>
      </c>
      <c r="L282" s="14">
        <f>IF($A282="","",IF(INDEX('潜水記録'!$Q$5:$Q$3004,$M282)="","",INDEX('潜水記録'!$Q$5:$Q$3004,$M282)))</f>
        <v/>
      </c>
      <c r="M282" s="20">
        <f>IF($A282="","",MATCH($A282,'潜水記録'!$AG$5:$AG$3004,0))</f>
        <v/>
      </c>
    </row>
    <row r="283">
      <c r="A283" s="15">
        <f>IF(274&lt;=$C$6,274,"")</f>
        <v/>
      </c>
      <c r="B283" s="16">
        <f>IF($A283="","",IF(INDEX('潜水記録'!$A$5:$A$3004,$M283)="","",INDEX('潜水記録'!$A$5:$A$3004,$M283)))</f>
        <v/>
      </c>
      <c r="C283" s="15">
        <f>IF($A283="","",IF(INDEX('潜水記録'!$D$5:$D$3004,$M283)="","",INDEX('潜水記録'!$D$5:$D$3004,$M283)))</f>
        <v/>
      </c>
      <c r="D283" s="14">
        <f>IF($A283="","",IF(INDEX('潜水記録'!$E$5:$E$3004,$M283)="","",INDEX('潜水記録'!$E$5:$E$3004,$M283)))</f>
        <v/>
      </c>
      <c r="E283" s="14">
        <f>IF($A283="","",IF(INDEX('潜水記録'!$F$5:$F$3004,$M283)="","",INDEX('潜水記録'!$F$5:$F$3004,$M283)))</f>
        <v/>
      </c>
      <c r="F283" s="15">
        <f>IF($A283="","",IF(INDEX('潜水記録'!$G$5:$G$3004,$M283)="","",INDEX('潜水記録'!$G$5:$G$3004,$M283)))</f>
        <v/>
      </c>
      <c r="G283" s="15">
        <f>IF($A283="","",IF(INDEX('潜水記録'!$H$5:$H$3004,$M283)="","",INDEX('潜水記録'!$H$5:$H$3004,$M283)))</f>
        <v/>
      </c>
      <c r="H283" s="15">
        <f>IF($A283="","",IF(INDEX('潜水記録'!$I$5:$I$3004,$M283)="","",INDEX('潜水記録'!$I$5:$I$3004,$M283)))</f>
        <v/>
      </c>
      <c r="I283" s="15">
        <f>IF($A283="","",IF(INDEX('潜水記録'!$X$5:$X$3004,$M283)="","",INDEX('潜水記録'!$X$5:$X$3004,$M283)))</f>
        <v/>
      </c>
      <c r="J283" s="15">
        <f>IF($A283="","",IF(INDEX('潜水記録'!$O$5:$O$3004,$M283)="","",INDEX('潜水記録'!$O$5:$O$3004,$M283)))</f>
        <v/>
      </c>
      <c r="K283" s="15">
        <f>IF($A283="","",IF(INDEX('潜水記録'!$P$5:$P$3004,$M283)="","",INDEX('潜水記録'!$P$5:$P$3004,$M283)))</f>
        <v/>
      </c>
      <c r="L283" s="14">
        <f>IF($A283="","",IF(INDEX('潜水記録'!$Q$5:$Q$3004,$M283)="","",INDEX('潜水記録'!$Q$5:$Q$3004,$M283)))</f>
        <v/>
      </c>
      <c r="M283" s="20">
        <f>IF($A283="","",MATCH($A283,'潜水記録'!$AG$5:$AG$3004,0))</f>
        <v/>
      </c>
    </row>
    <row r="284">
      <c r="A284" s="15">
        <f>IF(275&lt;=$C$6,275,"")</f>
        <v/>
      </c>
      <c r="B284" s="16">
        <f>IF($A284="","",IF(INDEX('潜水記録'!$A$5:$A$3004,$M284)="","",INDEX('潜水記録'!$A$5:$A$3004,$M284)))</f>
        <v/>
      </c>
      <c r="C284" s="15">
        <f>IF($A284="","",IF(INDEX('潜水記録'!$D$5:$D$3004,$M284)="","",INDEX('潜水記録'!$D$5:$D$3004,$M284)))</f>
        <v/>
      </c>
      <c r="D284" s="14">
        <f>IF($A284="","",IF(INDEX('潜水記録'!$E$5:$E$3004,$M284)="","",INDEX('潜水記録'!$E$5:$E$3004,$M284)))</f>
        <v/>
      </c>
      <c r="E284" s="14">
        <f>IF($A284="","",IF(INDEX('潜水記録'!$F$5:$F$3004,$M284)="","",INDEX('潜水記録'!$F$5:$F$3004,$M284)))</f>
        <v/>
      </c>
      <c r="F284" s="15">
        <f>IF($A284="","",IF(INDEX('潜水記録'!$G$5:$G$3004,$M284)="","",INDEX('潜水記録'!$G$5:$G$3004,$M284)))</f>
        <v/>
      </c>
      <c r="G284" s="15">
        <f>IF($A284="","",IF(INDEX('潜水記録'!$H$5:$H$3004,$M284)="","",INDEX('潜水記録'!$H$5:$H$3004,$M284)))</f>
        <v/>
      </c>
      <c r="H284" s="15">
        <f>IF($A284="","",IF(INDEX('潜水記録'!$I$5:$I$3004,$M284)="","",INDEX('潜水記録'!$I$5:$I$3004,$M284)))</f>
        <v/>
      </c>
      <c r="I284" s="15">
        <f>IF($A284="","",IF(INDEX('潜水記録'!$X$5:$X$3004,$M284)="","",INDEX('潜水記録'!$X$5:$X$3004,$M284)))</f>
        <v/>
      </c>
      <c r="J284" s="15">
        <f>IF($A284="","",IF(INDEX('潜水記録'!$O$5:$O$3004,$M284)="","",INDEX('潜水記録'!$O$5:$O$3004,$M284)))</f>
        <v/>
      </c>
      <c r="K284" s="15">
        <f>IF($A284="","",IF(INDEX('潜水記録'!$P$5:$P$3004,$M284)="","",INDEX('潜水記録'!$P$5:$P$3004,$M284)))</f>
        <v/>
      </c>
      <c r="L284" s="14">
        <f>IF($A284="","",IF(INDEX('潜水記録'!$Q$5:$Q$3004,$M284)="","",INDEX('潜水記録'!$Q$5:$Q$3004,$M284)))</f>
        <v/>
      </c>
      <c r="M284" s="20">
        <f>IF($A284="","",MATCH($A284,'潜水記録'!$AG$5:$AG$3004,0))</f>
        <v/>
      </c>
    </row>
    <row r="285">
      <c r="A285" s="15">
        <f>IF(276&lt;=$C$6,276,"")</f>
        <v/>
      </c>
      <c r="B285" s="16">
        <f>IF($A285="","",IF(INDEX('潜水記録'!$A$5:$A$3004,$M285)="","",INDEX('潜水記録'!$A$5:$A$3004,$M285)))</f>
        <v/>
      </c>
      <c r="C285" s="15">
        <f>IF($A285="","",IF(INDEX('潜水記録'!$D$5:$D$3004,$M285)="","",INDEX('潜水記録'!$D$5:$D$3004,$M285)))</f>
        <v/>
      </c>
      <c r="D285" s="14">
        <f>IF($A285="","",IF(INDEX('潜水記録'!$E$5:$E$3004,$M285)="","",INDEX('潜水記録'!$E$5:$E$3004,$M285)))</f>
        <v/>
      </c>
      <c r="E285" s="14">
        <f>IF($A285="","",IF(INDEX('潜水記録'!$F$5:$F$3004,$M285)="","",INDEX('潜水記録'!$F$5:$F$3004,$M285)))</f>
        <v/>
      </c>
      <c r="F285" s="15">
        <f>IF($A285="","",IF(INDEX('潜水記録'!$G$5:$G$3004,$M285)="","",INDEX('潜水記録'!$G$5:$G$3004,$M285)))</f>
        <v/>
      </c>
      <c r="G285" s="15">
        <f>IF($A285="","",IF(INDEX('潜水記録'!$H$5:$H$3004,$M285)="","",INDEX('潜水記録'!$H$5:$H$3004,$M285)))</f>
        <v/>
      </c>
      <c r="H285" s="15">
        <f>IF($A285="","",IF(INDEX('潜水記録'!$I$5:$I$3004,$M285)="","",INDEX('潜水記録'!$I$5:$I$3004,$M285)))</f>
        <v/>
      </c>
      <c r="I285" s="15">
        <f>IF($A285="","",IF(INDEX('潜水記録'!$X$5:$X$3004,$M285)="","",INDEX('潜水記録'!$X$5:$X$3004,$M285)))</f>
        <v/>
      </c>
      <c r="J285" s="15">
        <f>IF($A285="","",IF(INDEX('潜水記録'!$O$5:$O$3004,$M285)="","",INDEX('潜水記録'!$O$5:$O$3004,$M285)))</f>
        <v/>
      </c>
      <c r="K285" s="15">
        <f>IF($A285="","",IF(INDEX('潜水記録'!$P$5:$P$3004,$M285)="","",INDEX('潜水記録'!$P$5:$P$3004,$M285)))</f>
        <v/>
      </c>
      <c r="L285" s="14">
        <f>IF($A285="","",IF(INDEX('潜水記録'!$Q$5:$Q$3004,$M285)="","",INDEX('潜水記録'!$Q$5:$Q$3004,$M285)))</f>
        <v/>
      </c>
      <c r="M285" s="20">
        <f>IF($A285="","",MATCH($A285,'潜水記録'!$AG$5:$AG$3004,0))</f>
        <v/>
      </c>
    </row>
    <row r="286">
      <c r="A286" s="15">
        <f>IF(277&lt;=$C$6,277,"")</f>
        <v/>
      </c>
      <c r="B286" s="16">
        <f>IF($A286="","",IF(INDEX('潜水記録'!$A$5:$A$3004,$M286)="","",INDEX('潜水記録'!$A$5:$A$3004,$M286)))</f>
        <v/>
      </c>
      <c r="C286" s="15">
        <f>IF($A286="","",IF(INDEX('潜水記録'!$D$5:$D$3004,$M286)="","",INDEX('潜水記録'!$D$5:$D$3004,$M286)))</f>
        <v/>
      </c>
      <c r="D286" s="14">
        <f>IF($A286="","",IF(INDEX('潜水記録'!$E$5:$E$3004,$M286)="","",INDEX('潜水記録'!$E$5:$E$3004,$M286)))</f>
        <v/>
      </c>
      <c r="E286" s="14">
        <f>IF($A286="","",IF(INDEX('潜水記録'!$F$5:$F$3004,$M286)="","",INDEX('潜水記録'!$F$5:$F$3004,$M286)))</f>
        <v/>
      </c>
      <c r="F286" s="15">
        <f>IF($A286="","",IF(INDEX('潜水記録'!$G$5:$G$3004,$M286)="","",INDEX('潜水記録'!$G$5:$G$3004,$M286)))</f>
        <v/>
      </c>
      <c r="G286" s="15">
        <f>IF($A286="","",IF(INDEX('潜水記録'!$H$5:$H$3004,$M286)="","",INDEX('潜水記録'!$H$5:$H$3004,$M286)))</f>
        <v/>
      </c>
      <c r="H286" s="15">
        <f>IF($A286="","",IF(INDEX('潜水記録'!$I$5:$I$3004,$M286)="","",INDEX('潜水記録'!$I$5:$I$3004,$M286)))</f>
        <v/>
      </c>
      <c r="I286" s="15">
        <f>IF($A286="","",IF(INDEX('潜水記録'!$X$5:$X$3004,$M286)="","",INDEX('潜水記録'!$X$5:$X$3004,$M286)))</f>
        <v/>
      </c>
      <c r="J286" s="15">
        <f>IF($A286="","",IF(INDEX('潜水記録'!$O$5:$O$3004,$M286)="","",INDEX('潜水記録'!$O$5:$O$3004,$M286)))</f>
        <v/>
      </c>
      <c r="K286" s="15">
        <f>IF($A286="","",IF(INDEX('潜水記録'!$P$5:$P$3004,$M286)="","",INDEX('潜水記録'!$P$5:$P$3004,$M286)))</f>
        <v/>
      </c>
      <c r="L286" s="14">
        <f>IF($A286="","",IF(INDEX('潜水記録'!$Q$5:$Q$3004,$M286)="","",INDEX('潜水記録'!$Q$5:$Q$3004,$M286)))</f>
        <v/>
      </c>
      <c r="M286" s="20">
        <f>IF($A286="","",MATCH($A286,'潜水記録'!$AG$5:$AG$3004,0))</f>
        <v/>
      </c>
    </row>
    <row r="287">
      <c r="A287" s="15">
        <f>IF(278&lt;=$C$6,278,"")</f>
        <v/>
      </c>
      <c r="B287" s="16">
        <f>IF($A287="","",IF(INDEX('潜水記録'!$A$5:$A$3004,$M287)="","",INDEX('潜水記録'!$A$5:$A$3004,$M287)))</f>
        <v/>
      </c>
      <c r="C287" s="15">
        <f>IF($A287="","",IF(INDEX('潜水記録'!$D$5:$D$3004,$M287)="","",INDEX('潜水記録'!$D$5:$D$3004,$M287)))</f>
        <v/>
      </c>
      <c r="D287" s="14">
        <f>IF($A287="","",IF(INDEX('潜水記録'!$E$5:$E$3004,$M287)="","",INDEX('潜水記録'!$E$5:$E$3004,$M287)))</f>
        <v/>
      </c>
      <c r="E287" s="14">
        <f>IF($A287="","",IF(INDEX('潜水記録'!$F$5:$F$3004,$M287)="","",INDEX('潜水記録'!$F$5:$F$3004,$M287)))</f>
        <v/>
      </c>
      <c r="F287" s="15">
        <f>IF($A287="","",IF(INDEX('潜水記録'!$G$5:$G$3004,$M287)="","",INDEX('潜水記録'!$G$5:$G$3004,$M287)))</f>
        <v/>
      </c>
      <c r="G287" s="15">
        <f>IF($A287="","",IF(INDEX('潜水記録'!$H$5:$H$3004,$M287)="","",INDEX('潜水記録'!$H$5:$H$3004,$M287)))</f>
        <v/>
      </c>
      <c r="H287" s="15">
        <f>IF($A287="","",IF(INDEX('潜水記録'!$I$5:$I$3004,$M287)="","",INDEX('潜水記録'!$I$5:$I$3004,$M287)))</f>
        <v/>
      </c>
      <c r="I287" s="15">
        <f>IF($A287="","",IF(INDEX('潜水記録'!$X$5:$X$3004,$M287)="","",INDEX('潜水記録'!$X$5:$X$3004,$M287)))</f>
        <v/>
      </c>
      <c r="J287" s="15">
        <f>IF($A287="","",IF(INDEX('潜水記録'!$O$5:$O$3004,$M287)="","",INDEX('潜水記録'!$O$5:$O$3004,$M287)))</f>
        <v/>
      </c>
      <c r="K287" s="15">
        <f>IF($A287="","",IF(INDEX('潜水記録'!$P$5:$P$3004,$M287)="","",INDEX('潜水記録'!$P$5:$P$3004,$M287)))</f>
        <v/>
      </c>
      <c r="L287" s="14">
        <f>IF($A287="","",IF(INDEX('潜水記録'!$Q$5:$Q$3004,$M287)="","",INDEX('潜水記録'!$Q$5:$Q$3004,$M287)))</f>
        <v/>
      </c>
      <c r="M287" s="20">
        <f>IF($A287="","",MATCH($A287,'潜水記録'!$AG$5:$AG$3004,0))</f>
        <v/>
      </c>
    </row>
    <row r="288">
      <c r="A288" s="15">
        <f>IF(279&lt;=$C$6,279,"")</f>
        <v/>
      </c>
      <c r="B288" s="16">
        <f>IF($A288="","",IF(INDEX('潜水記録'!$A$5:$A$3004,$M288)="","",INDEX('潜水記録'!$A$5:$A$3004,$M288)))</f>
        <v/>
      </c>
      <c r="C288" s="15">
        <f>IF($A288="","",IF(INDEX('潜水記録'!$D$5:$D$3004,$M288)="","",INDEX('潜水記録'!$D$5:$D$3004,$M288)))</f>
        <v/>
      </c>
      <c r="D288" s="14">
        <f>IF($A288="","",IF(INDEX('潜水記録'!$E$5:$E$3004,$M288)="","",INDEX('潜水記録'!$E$5:$E$3004,$M288)))</f>
        <v/>
      </c>
      <c r="E288" s="14">
        <f>IF($A288="","",IF(INDEX('潜水記録'!$F$5:$F$3004,$M288)="","",INDEX('潜水記録'!$F$5:$F$3004,$M288)))</f>
        <v/>
      </c>
      <c r="F288" s="15">
        <f>IF($A288="","",IF(INDEX('潜水記録'!$G$5:$G$3004,$M288)="","",INDEX('潜水記録'!$G$5:$G$3004,$M288)))</f>
        <v/>
      </c>
      <c r="G288" s="15">
        <f>IF($A288="","",IF(INDEX('潜水記録'!$H$5:$H$3004,$M288)="","",INDEX('潜水記録'!$H$5:$H$3004,$M288)))</f>
        <v/>
      </c>
      <c r="H288" s="15">
        <f>IF($A288="","",IF(INDEX('潜水記録'!$I$5:$I$3004,$M288)="","",INDEX('潜水記録'!$I$5:$I$3004,$M288)))</f>
        <v/>
      </c>
      <c r="I288" s="15">
        <f>IF($A288="","",IF(INDEX('潜水記録'!$X$5:$X$3004,$M288)="","",INDEX('潜水記録'!$X$5:$X$3004,$M288)))</f>
        <v/>
      </c>
      <c r="J288" s="15">
        <f>IF($A288="","",IF(INDEX('潜水記録'!$O$5:$O$3004,$M288)="","",INDEX('潜水記録'!$O$5:$O$3004,$M288)))</f>
        <v/>
      </c>
      <c r="K288" s="15">
        <f>IF($A288="","",IF(INDEX('潜水記録'!$P$5:$P$3004,$M288)="","",INDEX('潜水記録'!$P$5:$P$3004,$M288)))</f>
        <v/>
      </c>
      <c r="L288" s="14">
        <f>IF($A288="","",IF(INDEX('潜水記録'!$Q$5:$Q$3004,$M288)="","",INDEX('潜水記録'!$Q$5:$Q$3004,$M288)))</f>
        <v/>
      </c>
      <c r="M288" s="20">
        <f>IF($A288="","",MATCH($A288,'潜水記録'!$AG$5:$AG$3004,0))</f>
        <v/>
      </c>
    </row>
    <row r="289">
      <c r="A289" s="15">
        <f>IF(280&lt;=$C$6,280,"")</f>
        <v/>
      </c>
      <c r="B289" s="16">
        <f>IF($A289="","",IF(INDEX('潜水記録'!$A$5:$A$3004,$M289)="","",INDEX('潜水記録'!$A$5:$A$3004,$M289)))</f>
        <v/>
      </c>
      <c r="C289" s="15">
        <f>IF($A289="","",IF(INDEX('潜水記録'!$D$5:$D$3004,$M289)="","",INDEX('潜水記録'!$D$5:$D$3004,$M289)))</f>
        <v/>
      </c>
      <c r="D289" s="14">
        <f>IF($A289="","",IF(INDEX('潜水記録'!$E$5:$E$3004,$M289)="","",INDEX('潜水記録'!$E$5:$E$3004,$M289)))</f>
        <v/>
      </c>
      <c r="E289" s="14">
        <f>IF($A289="","",IF(INDEX('潜水記録'!$F$5:$F$3004,$M289)="","",INDEX('潜水記録'!$F$5:$F$3004,$M289)))</f>
        <v/>
      </c>
      <c r="F289" s="15">
        <f>IF($A289="","",IF(INDEX('潜水記録'!$G$5:$G$3004,$M289)="","",INDEX('潜水記録'!$G$5:$G$3004,$M289)))</f>
        <v/>
      </c>
      <c r="G289" s="15">
        <f>IF($A289="","",IF(INDEX('潜水記録'!$H$5:$H$3004,$M289)="","",INDEX('潜水記録'!$H$5:$H$3004,$M289)))</f>
        <v/>
      </c>
      <c r="H289" s="15">
        <f>IF($A289="","",IF(INDEX('潜水記録'!$I$5:$I$3004,$M289)="","",INDEX('潜水記録'!$I$5:$I$3004,$M289)))</f>
        <v/>
      </c>
      <c r="I289" s="15">
        <f>IF($A289="","",IF(INDEX('潜水記録'!$X$5:$X$3004,$M289)="","",INDEX('潜水記録'!$X$5:$X$3004,$M289)))</f>
        <v/>
      </c>
      <c r="J289" s="15">
        <f>IF($A289="","",IF(INDEX('潜水記録'!$O$5:$O$3004,$M289)="","",INDEX('潜水記録'!$O$5:$O$3004,$M289)))</f>
        <v/>
      </c>
      <c r="K289" s="15">
        <f>IF($A289="","",IF(INDEX('潜水記録'!$P$5:$P$3004,$M289)="","",INDEX('潜水記録'!$P$5:$P$3004,$M289)))</f>
        <v/>
      </c>
      <c r="L289" s="14">
        <f>IF($A289="","",IF(INDEX('潜水記録'!$Q$5:$Q$3004,$M289)="","",INDEX('潜水記録'!$Q$5:$Q$3004,$M289)))</f>
        <v/>
      </c>
      <c r="M289" s="20">
        <f>IF($A289="","",MATCH($A289,'潜水記録'!$AG$5:$AG$3004,0))</f>
        <v/>
      </c>
    </row>
    <row r="290">
      <c r="A290" s="15">
        <f>IF(281&lt;=$C$6,281,"")</f>
        <v/>
      </c>
      <c r="B290" s="16">
        <f>IF($A290="","",IF(INDEX('潜水記録'!$A$5:$A$3004,$M290)="","",INDEX('潜水記録'!$A$5:$A$3004,$M290)))</f>
        <v/>
      </c>
      <c r="C290" s="15">
        <f>IF($A290="","",IF(INDEX('潜水記録'!$D$5:$D$3004,$M290)="","",INDEX('潜水記録'!$D$5:$D$3004,$M290)))</f>
        <v/>
      </c>
      <c r="D290" s="14">
        <f>IF($A290="","",IF(INDEX('潜水記録'!$E$5:$E$3004,$M290)="","",INDEX('潜水記録'!$E$5:$E$3004,$M290)))</f>
        <v/>
      </c>
      <c r="E290" s="14">
        <f>IF($A290="","",IF(INDEX('潜水記録'!$F$5:$F$3004,$M290)="","",INDEX('潜水記録'!$F$5:$F$3004,$M290)))</f>
        <v/>
      </c>
      <c r="F290" s="15">
        <f>IF($A290="","",IF(INDEX('潜水記録'!$G$5:$G$3004,$M290)="","",INDEX('潜水記録'!$G$5:$G$3004,$M290)))</f>
        <v/>
      </c>
      <c r="G290" s="15">
        <f>IF($A290="","",IF(INDEX('潜水記録'!$H$5:$H$3004,$M290)="","",INDEX('潜水記録'!$H$5:$H$3004,$M290)))</f>
        <v/>
      </c>
      <c r="H290" s="15">
        <f>IF($A290="","",IF(INDEX('潜水記録'!$I$5:$I$3004,$M290)="","",INDEX('潜水記録'!$I$5:$I$3004,$M290)))</f>
        <v/>
      </c>
      <c r="I290" s="15">
        <f>IF($A290="","",IF(INDEX('潜水記録'!$X$5:$X$3004,$M290)="","",INDEX('潜水記録'!$X$5:$X$3004,$M290)))</f>
        <v/>
      </c>
      <c r="J290" s="15">
        <f>IF($A290="","",IF(INDEX('潜水記録'!$O$5:$O$3004,$M290)="","",INDEX('潜水記録'!$O$5:$O$3004,$M290)))</f>
        <v/>
      </c>
      <c r="K290" s="15">
        <f>IF($A290="","",IF(INDEX('潜水記録'!$P$5:$P$3004,$M290)="","",INDEX('潜水記録'!$P$5:$P$3004,$M290)))</f>
        <v/>
      </c>
      <c r="L290" s="14">
        <f>IF($A290="","",IF(INDEX('潜水記録'!$Q$5:$Q$3004,$M290)="","",INDEX('潜水記録'!$Q$5:$Q$3004,$M290)))</f>
        <v/>
      </c>
      <c r="M290" s="20">
        <f>IF($A290="","",MATCH($A290,'潜水記録'!$AG$5:$AG$3004,0))</f>
        <v/>
      </c>
    </row>
    <row r="291">
      <c r="A291" s="15">
        <f>IF(282&lt;=$C$6,282,"")</f>
        <v/>
      </c>
      <c r="B291" s="16">
        <f>IF($A291="","",IF(INDEX('潜水記録'!$A$5:$A$3004,$M291)="","",INDEX('潜水記録'!$A$5:$A$3004,$M291)))</f>
        <v/>
      </c>
      <c r="C291" s="15">
        <f>IF($A291="","",IF(INDEX('潜水記録'!$D$5:$D$3004,$M291)="","",INDEX('潜水記録'!$D$5:$D$3004,$M291)))</f>
        <v/>
      </c>
      <c r="D291" s="14">
        <f>IF($A291="","",IF(INDEX('潜水記録'!$E$5:$E$3004,$M291)="","",INDEX('潜水記録'!$E$5:$E$3004,$M291)))</f>
        <v/>
      </c>
      <c r="E291" s="14">
        <f>IF($A291="","",IF(INDEX('潜水記録'!$F$5:$F$3004,$M291)="","",INDEX('潜水記録'!$F$5:$F$3004,$M291)))</f>
        <v/>
      </c>
      <c r="F291" s="15">
        <f>IF($A291="","",IF(INDEX('潜水記録'!$G$5:$G$3004,$M291)="","",INDEX('潜水記録'!$G$5:$G$3004,$M291)))</f>
        <v/>
      </c>
      <c r="G291" s="15">
        <f>IF($A291="","",IF(INDEX('潜水記録'!$H$5:$H$3004,$M291)="","",INDEX('潜水記録'!$H$5:$H$3004,$M291)))</f>
        <v/>
      </c>
      <c r="H291" s="15">
        <f>IF($A291="","",IF(INDEX('潜水記録'!$I$5:$I$3004,$M291)="","",INDEX('潜水記録'!$I$5:$I$3004,$M291)))</f>
        <v/>
      </c>
      <c r="I291" s="15">
        <f>IF($A291="","",IF(INDEX('潜水記録'!$X$5:$X$3004,$M291)="","",INDEX('潜水記録'!$X$5:$X$3004,$M291)))</f>
        <v/>
      </c>
      <c r="J291" s="15">
        <f>IF($A291="","",IF(INDEX('潜水記録'!$O$5:$O$3004,$M291)="","",INDEX('潜水記録'!$O$5:$O$3004,$M291)))</f>
        <v/>
      </c>
      <c r="K291" s="15">
        <f>IF($A291="","",IF(INDEX('潜水記録'!$P$5:$P$3004,$M291)="","",INDEX('潜水記録'!$P$5:$P$3004,$M291)))</f>
        <v/>
      </c>
      <c r="L291" s="14">
        <f>IF($A291="","",IF(INDEX('潜水記録'!$Q$5:$Q$3004,$M291)="","",INDEX('潜水記録'!$Q$5:$Q$3004,$M291)))</f>
        <v/>
      </c>
      <c r="M291" s="20">
        <f>IF($A291="","",MATCH($A291,'潜水記録'!$AG$5:$AG$3004,0))</f>
        <v/>
      </c>
    </row>
    <row r="292">
      <c r="A292" s="15">
        <f>IF(283&lt;=$C$6,283,"")</f>
        <v/>
      </c>
      <c r="B292" s="16">
        <f>IF($A292="","",IF(INDEX('潜水記録'!$A$5:$A$3004,$M292)="","",INDEX('潜水記録'!$A$5:$A$3004,$M292)))</f>
        <v/>
      </c>
      <c r="C292" s="15">
        <f>IF($A292="","",IF(INDEX('潜水記録'!$D$5:$D$3004,$M292)="","",INDEX('潜水記録'!$D$5:$D$3004,$M292)))</f>
        <v/>
      </c>
      <c r="D292" s="14">
        <f>IF($A292="","",IF(INDEX('潜水記録'!$E$5:$E$3004,$M292)="","",INDEX('潜水記録'!$E$5:$E$3004,$M292)))</f>
        <v/>
      </c>
      <c r="E292" s="14">
        <f>IF($A292="","",IF(INDEX('潜水記録'!$F$5:$F$3004,$M292)="","",INDEX('潜水記録'!$F$5:$F$3004,$M292)))</f>
        <v/>
      </c>
      <c r="F292" s="15">
        <f>IF($A292="","",IF(INDEX('潜水記録'!$G$5:$G$3004,$M292)="","",INDEX('潜水記録'!$G$5:$G$3004,$M292)))</f>
        <v/>
      </c>
      <c r="G292" s="15">
        <f>IF($A292="","",IF(INDEX('潜水記録'!$H$5:$H$3004,$M292)="","",INDEX('潜水記録'!$H$5:$H$3004,$M292)))</f>
        <v/>
      </c>
      <c r="H292" s="15">
        <f>IF($A292="","",IF(INDEX('潜水記録'!$I$5:$I$3004,$M292)="","",INDEX('潜水記録'!$I$5:$I$3004,$M292)))</f>
        <v/>
      </c>
      <c r="I292" s="15">
        <f>IF($A292="","",IF(INDEX('潜水記録'!$X$5:$X$3004,$M292)="","",INDEX('潜水記録'!$X$5:$X$3004,$M292)))</f>
        <v/>
      </c>
      <c r="J292" s="15">
        <f>IF($A292="","",IF(INDEX('潜水記録'!$O$5:$O$3004,$M292)="","",INDEX('潜水記録'!$O$5:$O$3004,$M292)))</f>
        <v/>
      </c>
      <c r="K292" s="15">
        <f>IF($A292="","",IF(INDEX('潜水記録'!$P$5:$P$3004,$M292)="","",INDEX('潜水記録'!$P$5:$P$3004,$M292)))</f>
        <v/>
      </c>
      <c r="L292" s="14">
        <f>IF($A292="","",IF(INDEX('潜水記録'!$Q$5:$Q$3004,$M292)="","",INDEX('潜水記録'!$Q$5:$Q$3004,$M292)))</f>
        <v/>
      </c>
      <c r="M292" s="20">
        <f>IF($A292="","",MATCH($A292,'潜水記録'!$AG$5:$AG$3004,0))</f>
        <v/>
      </c>
    </row>
    <row r="293">
      <c r="A293" s="15">
        <f>IF(284&lt;=$C$6,284,"")</f>
        <v/>
      </c>
      <c r="B293" s="16">
        <f>IF($A293="","",IF(INDEX('潜水記録'!$A$5:$A$3004,$M293)="","",INDEX('潜水記録'!$A$5:$A$3004,$M293)))</f>
        <v/>
      </c>
      <c r="C293" s="15">
        <f>IF($A293="","",IF(INDEX('潜水記録'!$D$5:$D$3004,$M293)="","",INDEX('潜水記録'!$D$5:$D$3004,$M293)))</f>
        <v/>
      </c>
      <c r="D293" s="14">
        <f>IF($A293="","",IF(INDEX('潜水記録'!$E$5:$E$3004,$M293)="","",INDEX('潜水記録'!$E$5:$E$3004,$M293)))</f>
        <v/>
      </c>
      <c r="E293" s="14">
        <f>IF($A293="","",IF(INDEX('潜水記録'!$F$5:$F$3004,$M293)="","",INDEX('潜水記録'!$F$5:$F$3004,$M293)))</f>
        <v/>
      </c>
      <c r="F293" s="15">
        <f>IF($A293="","",IF(INDEX('潜水記録'!$G$5:$G$3004,$M293)="","",INDEX('潜水記録'!$G$5:$G$3004,$M293)))</f>
        <v/>
      </c>
      <c r="G293" s="15">
        <f>IF($A293="","",IF(INDEX('潜水記録'!$H$5:$H$3004,$M293)="","",INDEX('潜水記録'!$H$5:$H$3004,$M293)))</f>
        <v/>
      </c>
      <c r="H293" s="15">
        <f>IF($A293="","",IF(INDEX('潜水記録'!$I$5:$I$3004,$M293)="","",INDEX('潜水記録'!$I$5:$I$3004,$M293)))</f>
        <v/>
      </c>
      <c r="I293" s="15">
        <f>IF($A293="","",IF(INDEX('潜水記録'!$X$5:$X$3004,$M293)="","",INDEX('潜水記録'!$X$5:$X$3004,$M293)))</f>
        <v/>
      </c>
      <c r="J293" s="15">
        <f>IF($A293="","",IF(INDEX('潜水記録'!$O$5:$O$3004,$M293)="","",INDEX('潜水記録'!$O$5:$O$3004,$M293)))</f>
        <v/>
      </c>
      <c r="K293" s="15">
        <f>IF($A293="","",IF(INDEX('潜水記録'!$P$5:$P$3004,$M293)="","",INDEX('潜水記録'!$P$5:$P$3004,$M293)))</f>
        <v/>
      </c>
      <c r="L293" s="14">
        <f>IF($A293="","",IF(INDEX('潜水記録'!$Q$5:$Q$3004,$M293)="","",INDEX('潜水記録'!$Q$5:$Q$3004,$M293)))</f>
        <v/>
      </c>
      <c r="M293" s="20">
        <f>IF($A293="","",MATCH($A293,'潜水記録'!$AG$5:$AG$3004,0))</f>
        <v/>
      </c>
    </row>
    <row r="294">
      <c r="A294" s="15">
        <f>IF(285&lt;=$C$6,285,"")</f>
        <v/>
      </c>
      <c r="B294" s="16">
        <f>IF($A294="","",IF(INDEX('潜水記録'!$A$5:$A$3004,$M294)="","",INDEX('潜水記録'!$A$5:$A$3004,$M294)))</f>
        <v/>
      </c>
      <c r="C294" s="15">
        <f>IF($A294="","",IF(INDEX('潜水記録'!$D$5:$D$3004,$M294)="","",INDEX('潜水記録'!$D$5:$D$3004,$M294)))</f>
        <v/>
      </c>
      <c r="D294" s="14">
        <f>IF($A294="","",IF(INDEX('潜水記録'!$E$5:$E$3004,$M294)="","",INDEX('潜水記録'!$E$5:$E$3004,$M294)))</f>
        <v/>
      </c>
      <c r="E294" s="14">
        <f>IF($A294="","",IF(INDEX('潜水記録'!$F$5:$F$3004,$M294)="","",INDEX('潜水記録'!$F$5:$F$3004,$M294)))</f>
        <v/>
      </c>
      <c r="F294" s="15">
        <f>IF($A294="","",IF(INDEX('潜水記録'!$G$5:$G$3004,$M294)="","",INDEX('潜水記録'!$G$5:$G$3004,$M294)))</f>
        <v/>
      </c>
      <c r="G294" s="15">
        <f>IF($A294="","",IF(INDEX('潜水記録'!$H$5:$H$3004,$M294)="","",INDEX('潜水記録'!$H$5:$H$3004,$M294)))</f>
        <v/>
      </c>
      <c r="H294" s="15">
        <f>IF($A294="","",IF(INDEX('潜水記録'!$I$5:$I$3004,$M294)="","",INDEX('潜水記録'!$I$5:$I$3004,$M294)))</f>
        <v/>
      </c>
      <c r="I294" s="15">
        <f>IF($A294="","",IF(INDEX('潜水記録'!$X$5:$X$3004,$M294)="","",INDEX('潜水記録'!$X$5:$X$3004,$M294)))</f>
        <v/>
      </c>
      <c r="J294" s="15">
        <f>IF($A294="","",IF(INDEX('潜水記録'!$O$5:$O$3004,$M294)="","",INDEX('潜水記録'!$O$5:$O$3004,$M294)))</f>
        <v/>
      </c>
      <c r="K294" s="15">
        <f>IF($A294="","",IF(INDEX('潜水記録'!$P$5:$P$3004,$M294)="","",INDEX('潜水記録'!$P$5:$P$3004,$M294)))</f>
        <v/>
      </c>
      <c r="L294" s="14">
        <f>IF($A294="","",IF(INDEX('潜水記録'!$Q$5:$Q$3004,$M294)="","",INDEX('潜水記録'!$Q$5:$Q$3004,$M294)))</f>
        <v/>
      </c>
      <c r="M294" s="20">
        <f>IF($A294="","",MATCH($A294,'潜水記録'!$AG$5:$AG$3004,0))</f>
        <v/>
      </c>
    </row>
    <row r="295">
      <c r="A295" s="15">
        <f>IF(286&lt;=$C$6,286,"")</f>
        <v/>
      </c>
      <c r="B295" s="16">
        <f>IF($A295="","",IF(INDEX('潜水記録'!$A$5:$A$3004,$M295)="","",INDEX('潜水記録'!$A$5:$A$3004,$M295)))</f>
        <v/>
      </c>
      <c r="C295" s="15">
        <f>IF($A295="","",IF(INDEX('潜水記録'!$D$5:$D$3004,$M295)="","",INDEX('潜水記録'!$D$5:$D$3004,$M295)))</f>
        <v/>
      </c>
      <c r="D295" s="14">
        <f>IF($A295="","",IF(INDEX('潜水記録'!$E$5:$E$3004,$M295)="","",INDEX('潜水記録'!$E$5:$E$3004,$M295)))</f>
        <v/>
      </c>
      <c r="E295" s="14">
        <f>IF($A295="","",IF(INDEX('潜水記録'!$F$5:$F$3004,$M295)="","",INDEX('潜水記録'!$F$5:$F$3004,$M295)))</f>
        <v/>
      </c>
      <c r="F295" s="15">
        <f>IF($A295="","",IF(INDEX('潜水記録'!$G$5:$G$3004,$M295)="","",INDEX('潜水記録'!$G$5:$G$3004,$M295)))</f>
        <v/>
      </c>
      <c r="G295" s="15">
        <f>IF($A295="","",IF(INDEX('潜水記録'!$H$5:$H$3004,$M295)="","",INDEX('潜水記録'!$H$5:$H$3004,$M295)))</f>
        <v/>
      </c>
      <c r="H295" s="15">
        <f>IF($A295="","",IF(INDEX('潜水記録'!$I$5:$I$3004,$M295)="","",INDEX('潜水記録'!$I$5:$I$3004,$M295)))</f>
        <v/>
      </c>
      <c r="I295" s="15">
        <f>IF($A295="","",IF(INDEX('潜水記録'!$X$5:$X$3004,$M295)="","",INDEX('潜水記録'!$X$5:$X$3004,$M295)))</f>
        <v/>
      </c>
      <c r="J295" s="15">
        <f>IF($A295="","",IF(INDEX('潜水記録'!$O$5:$O$3004,$M295)="","",INDEX('潜水記録'!$O$5:$O$3004,$M295)))</f>
        <v/>
      </c>
      <c r="K295" s="15">
        <f>IF($A295="","",IF(INDEX('潜水記録'!$P$5:$P$3004,$M295)="","",INDEX('潜水記録'!$P$5:$P$3004,$M295)))</f>
        <v/>
      </c>
      <c r="L295" s="14">
        <f>IF($A295="","",IF(INDEX('潜水記録'!$Q$5:$Q$3004,$M295)="","",INDEX('潜水記録'!$Q$5:$Q$3004,$M295)))</f>
        <v/>
      </c>
      <c r="M295" s="20">
        <f>IF($A295="","",MATCH($A295,'潜水記録'!$AG$5:$AG$3004,0))</f>
        <v/>
      </c>
    </row>
    <row r="296">
      <c r="A296" s="15">
        <f>IF(287&lt;=$C$6,287,"")</f>
        <v/>
      </c>
      <c r="B296" s="16">
        <f>IF($A296="","",IF(INDEX('潜水記録'!$A$5:$A$3004,$M296)="","",INDEX('潜水記録'!$A$5:$A$3004,$M296)))</f>
        <v/>
      </c>
      <c r="C296" s="15">
        <f>IF($A296="","",IF(INDEX('潜水記録'!$D$5:$D$3004,$M296)="","",INDEX('潜水記録'!$D$5:$D$3004,$M296)))</f>
        <v/>
      </c>
      <c r="D296" s="14">
        <f>IF($A296="","",IF(INDEX('潜水記録'!$E$5:$E$3004,$M296)="","",INDEX('潜水記録'!$E$5:$E$3004,$M296)))</f>
        <v/>
      </c>
      <c r="E296" s="14">
        <f>IF($A296="","",IF(INDEX('潜水記録'!$F$5:$F$3004,$M296)="","",INDEX('潜水記録'!$F$5:$F$3004,$M296)))</f>
        <v/>
      </c>
      <c r="F296" s="15">
        <f>IF($A296="","",IF(INDEX('潜水記録'!$G$5:$G$3004,$M296)="","",INDEX('潜水記録'!$G$5:$G$3004,$M296)))</f>
        <v/>
      </c>
      <c r="G296" s="15">
        <f>IF($A296="","",IF(INDEX('潜水記録'!$H$5:$H$3004,$M296)="","",INDEX('潜水記録'!$H$5:$H$3004,$M296)))</f>
        <v/>
      </c>
      <c r="H296" s="15">
        <f>IF($A296="","",IF(INDEX('潜水記録'!$I$5:$I$3004,$M296)="","",INDEX('潜水記録'!$I$5:$I$3004,$M296)))</f>
        <v/>
      </c>
      <c r="I296" s="15">
        <f>IF($A296="","",IF(INDEX('潜水記録'!$X$5:$X$3004,$M296)="","",INDEX('潜水記録'!$X$5:$X$3004,$M296)))</f>
        <v/>
      </c>
      <c r="J296" s="15">
        <f>IF($A296="","",IF(INDEX('潜水記録'!$O$5:$O$3004,$M296)="","",INDEX('潜水記録'!$O$5:$O$3004,$M296)))</f>
        <v/>
      </c>
      <c r="K296" s="15">
        <f>IF($A296="","",IF(INDEX('潜水記録'!$P$5:$P$3004,$M296)="","",INDEX('潜水記録'!$P$5:$P$3004,$M296)))</f>
        <v/>
      </c>
      <c r="L296" s="14">
        <f>IF($A296="","",IF(INDEX('潜水記録'!$Q$5:$Q$3004,$M296)="","",INDEX('潜水記録'!$Q$5:$Q$3004,$M296)))</f>
        <v/>
      </c>
      <c r="M296" s="20">
        <f>IF($A296="","",MATCH($A296,'潜水記録'!$AG$5:$AG$3004,0))</f>
        <v/>
      </c>
    </row>
    <row r="297">
      <c r="A297" s="15">
        <f>IF(288&lt;=$C$6,288,"")</f>
        <v/>
      </c>
      <c r="B297" s="16">
        <f>IF($A297="","",IF(INDEX('潜水記録'!$A$5:$A$3004,$M297)="","",INDEX('潜水記録'!$A$5:$A$3004,$M297)))</f>
        <v/>
      </c>
      <c r="C297" s="15">
        <f>IF($A297="","",IF(INDEX('潜水記録'!$D$5:$D$3004,$M297)="","",INDEX('潜水記録'!$D$5:$D$3004,$M297)))</f>
        <v/>
      </c>
      <c r="D297" s="14">
        <f>IF($A297="","",IF(INDEX('潜水記録'!$E$5:$E$3004,$M297)="","",INDEX('潜水記録'!$E$5:$E$3004,$M297)))</f>
        <v/>
      </c>
      <c r="E297" s="14">
        <f>IF($A297="","",IF(INDEX('潜水記録'!$F$5:$F$3004,$M297)="","",INDEX('潜水記録'!$F$5:$F$3004,$M297)))</f>
        <v/>
      </c>
      <c r="F297" s="15">
        <f>IF($A297="","",IF(INDEX('潜水記録'!$G$5:$G$3004,$M297)="","",INDEX('潜水記録'!$G$5:$G$3004,$M297)))</f>
        <v/>
      </c>
      <c r="G297" s="15">
        <f>IF($A297="","",IF(INDEX('潜水記録'!$H$5:$H$3004,$M297)="","",INDEX('潜水記録'!$H$5:$H$3004,$M297)))</f>
        <v/>
      </c>
      <c r="H297" s="15">
        <f>IF($A297="","",IF(INDEX('潜水記録'!$I$5:$I$3004,$M297)="","",INDEX('潜水記録'!$I$5:$I$3004,$M297)))</f>
        <v/>
      </c>
      <c r="I297" s="15">
        <f>IF($A297="","",IF(INDEX('潜水記録'!$X$5:$X$3004,$M297)="","",INDEX('潜水記録'!$X$5:$X$3004,$M297)))</f>
        <v/>
      </c>
      <c r="J297" s="15">
        <f>IF($A297="","",IF(INDEX('潜水記録'!$O$5:$O$3004,$M297)="","",INDEX('潜水記録'!$O$5:$O$3004,$M297)))</f>
        <v/>
      </c>
      <c r="K297" s="15">
        <f>IF($A297="","",IF(INDEX('潜水記録'!$P$5:$P$3004,$M297)="","",INDEX('潜水記録'!$P$5:$P$3004,$M297)))</f>
        <v/>
      </c>
      <c r="L297" s="14">
        <f>IF($A297="","",IF(INDEX('潜水記録'!$Q$5:$Q$3004,$M297)="","",INDEX('潜水記録'!$Q$5:$Q$3004,$M297)))</f>
        <v/>
      </c>
      <c r="M297" s="20">
        <f>IF($A297="","",MATCH($A297,'潜水記録'!$AG$5:$AG$3004,0))</f>
        <v/>
      </c>
    </row>
    <row r="298">
      <c r="A298" s="15">
        <f>IF(289&lt;=$C$6,289,"")</f>
        <v/>
      </c>
      <c r="B298" s="16">
        <f>IF($A298="","",IF(INDEX('潜水記録'!$A$5:$A$3004,$M298)="","",INDEX('潜水記録'!$A$5:$A$3004,$M298)))</f>
        <v/>
      </c>
      <c r="C298" s="15">
        <f>IF($A298="","",IF(INDEX('潜水記録'!$D$5:$D$3004,$M298)="","",INDEX('潜水記録'!$D$5:$D$3004,$M298)))</f>
        <v/>
      </c>
      <c r="D298" s="14">
        <f>IF($A298="","",IF(INDEX('潜水記録'!$E$5:$E$3004,$M298)="","",INDEX('潜水記録'!$E$5:$E$3004,$M298)))</f>
        <v/>
      </c>
      <c r="E298" s="14">
        <f>IF($A298="","",IF(INDEX('潜水記録'!$F$5:$F$3004,$M298)="","",INDEX('潜水記録'!$F$5:$F$3004,$M298)))</f>
        <v/>
      </c>
      <c r="F298" s="15">
        <f>IF($A298="","",IF(INDEX('潜水記録'!$G$5:$G$3004,$M298)="","",INDEX('潜水記録'!$G$5:$G$3004,$M298)))</f>
        <v/>
      </c>
      <c r="G298" s="15">
        <f>IF($A298="","",IF(INDEX('潜水記録'!$H$5:$H$3004,$M298)="","",INDEX('潜水記録'!$H$5:$H$3004,$M298)))</f>
        <v/>
      </c>
      <c r="H298" s="15">
        <f>IF($A298="","",IF(INDEX('潜水記録'!$I$5:$I$3004,$M298)="","",INDEX('潜水記録'!$I$5:$I$3004,$M298)))</f>
        <v/>
      </c>
      <c r="I298" s="15">
        <f>IF($A298="","",IF(INDEX('潜水記録'!$X$5:$X$3004,$M298)="","",INDEX('潜水記録'!$X$5:$X$3004,$M298)))</f>
        <v/>
      </c>
      <c r="J298" s="15">
        <f>IF($A298="","",IF(INDEX('潜水記録'!$O$5:$O$3004,$M298)="","",INDEX('潜水記録'!$O$5:$O$3004,$M298)))</f>
        <v/>
      </c>
      <c r="K298" s="15">
        <f>IF($A298="","",IF(INDEX('潜水記録'!$P$5:$P$3004,$M298)="","",INDEX('潜水記録'!$P$5:$P$3004,$M298)))</f>
        <v/>
      </c>
      <c r="L298" s="14">
        <f>IF($A298="","",IF(INDEX('潜水記録'!$Q$5:$Q$3004,$M298)="","",INDEX('潜水記録'!$Q$5:$Q$3004,$M298)))</f>
        <v/>
      </c>
      <c r="M298" s="20">
        <f>IF($A298="","",MATCH($A298,'潜水記録'!$AG$5:$AG$3004,0))</f>
        <v/>
      </c>
    </row>
    <row r="299">
      <c r="A299" s="15">
        <f>IF(290&lt;=$C$6,290,"")</f>
        <v/>
      </c>
      <c r="B299" s="16">
        <f>IF($A299="","",IF(INDEX('潜水記録'!$A$5:$A$3004,$M299)="","",INDEX('潜水記録'!$A$5:$A$3004,$M299)))</f>
        <v/>
      </c>
      <c r="C299" s="15">
        <f>IF($A299="","",IF(INDEX('潜水記録'!$D$5:$D$3004,$M299)="","",INDEX('潜水記録'!$D$5:$D$3004,$M299)))</f>
        <v/>
      </c>
      <c r="D299" s="14">
        <f>IF($A299="","",IF(INDEX('潜水記録'!$E$5:$E$3004,$M299)="","",INDEX('潜水記録'!$E$5:$E$3004,$M299)))</f>
        <v/>
      </c>
      <c r="E299" s="14">
        <f>IF($A299="","",IF(INDEX('潜水記録'!$F$5:$F$3004,$M299)="","",INDEX('潜水記録'!$F$5:$F$3004,$M299)))</f>
        <v/>
      </c>
      <c r="F299" s="15">
        <f>IF($A299="","",IF(INDEX('潜水記録'!$G$5:$G$3004,$M299)="","",INDEX('潜水記録'!$G$5:$G$3004,$M299)))</f>
        <v/>
      </c>
      <c r="G299" s="15">
        <f>IF($A299="","",IF(INDEX('潜水記録'!$H$5:$H$3004,$M299)="","",INDEX('潜水記録'!$H$5:$H$3004,$M299)))</f>
        <v/>
      </c>
      <c r="H299" s="15">
        <f>IF($A299="","",IF(INDEX('潜水記録'!$I$5:$I$3004,$M299)="","",INDEX('潜水記録'!$I$5:$I$3004,$M299)))</f>
        <v/>
      </c>
      <c r="I299" s="15">
        <f>IF($A299="","",IF(INDEX('潜水記録'!$X$5:$X$3004,$M299)="","",INDEX('潜水記録'!$X$5:$X$3004,$M299)))</f>
        <v/>
      </c>
      <c r="J299" s="15">
        <f>IF($A299="","",IF(INDEX('潜水記録'!$O$5:$O$3004,$M299)="","",INDEX('潜水記録'!$O$5:$O$3004,$M299)))</f>
        <v/>
      </c>
      <c r="K299" s="15">
        <f>IF($A299="","",IF(INDEX('潜水記録'!$P$5:$P$3004,$M299)="","",INDEX('潜水記録'!$P$5:$P$3004,$M299)))</f>
        <v/>
      </c>
      <c r="L299" s="14">
        <f>IF($A299="","",IF(INDEX('潜水記録'!$Q$5:$Q$3004,$M299)="","",INDEX('潜水記録'!$Q$5:$Q$3004,$M299)))</f>
        <v/>
      </c>
      <c r="M299" s="20">
        <f>IF($A299="","",MATCH($A299,'潜水記録'!$AG$5:$AG$3004,0))</f>
        <v/>
      </c>
    </row>
    <row r="300">
      <c r="A300" s="15">
        <f>IF(291&lt;=$C$6,291,"")</f>
        <v/>
      </c>
      <c r="B300" s="16">
        <f>IF($A300="","",IF(INDEX('潜水記録'!$A$5:$A$3004,$M300)="","",INDEX('潜水記録'!$A$5:$A$3004,$M300)))</f>
        <v/>
      </c>
      <c r="C300" s="15">
        <f>IF($A300="","",IF(INDEX('潜水記録'!$D$5:$D$3004,$M300)="","",INDEX('潜水記録'!$D$5:$D$3004,$M300)))</f>
        <v/>
      </c>
      <c r="D300" s="14">
        <f>IF($A300="","",IF(INDEX('潜水記録'!$E$5:$E$3004,$M300)="","",INDEX('潜水記録'!$E$5:$E$3004,$M300)))</f>
        <v/>
      </c>
      <c r="E300" s="14">
        <f>IF($A300="","",IF(INDEX('潜水記録'!$F$5:$F$3004,$M300)="","",INDEX('潜水記録'!$F$5:$F$3004,$M300)))</f>
        <v/>
      </c>
      <c r="F300" s="15">
        <f>IF($A300="","",IF(INDEX('潜水記録'!$G$5:$G$3004,$M300)="","",INDEX('潜水記録'!$G$5:$G$3004,$M300)))</f>
        <v/>
      </c>
      <c r="G300" s="15">
        <f>IF($A300="","",IF(INDEX('潜水記録'!$H$5:$H$3004,$M300)="","",INDEX('潜水記録'!$H$5:$H$3004,$M300)))</f>
        <v/>
      </c>
      <c r="H300" s="15">
        <f>IF($A300="","",IF(INDEX('潜水記録'!$I$5:$I$3004,$M300)="","",INDEX('潜水記録'!$I$5:$I$3004,$M300)))</f>
        <v/>
      </c>
      <c r="I300" s="15">
        <f>IF($A300="","",IF(INDEX('潜水記録'!$X$5:$X$3004,$M300)="","",INDEX('潜水記録'!$X$5:$X$3004,$M300)))</f>
        <v/>
      </c>
      <c r="J300" s="15">
        <f>IF($A300="","",IF(INDEX('潜水記録'!$O$5:$O$3004,$M300)="","",INDEX('潜水記録'!$O$5:$O$3004,$M300)))</f>
        <v/>
      </c>
      <c r="K300" s="15">
        <f>IF($A300="","",IF(INDEX('潜水記録'!$P$5:$P$3004,$M300)="","",INDEX('潜水記録'!$P$5:$P$3004,$M300)))</f>
        <v/>
      </c>
      <c r="L300" s="14">
        <f>IF($A300="","",IF(INDEX('潜水記録'!$Q$5:$Q$3004,$M300)="","",INDEX('潜水記録'!$Q$5:$Q$3004,$M300)))</f>
        <v/>
      </c>
      <c r="M300" s="20">
        <f>IF($A300="","",MATCH($A300,'潜水記録'!$AG$5:$AG$3004,0))</f>
        <v/>
      </c>
    </row>
    <row r="301">
      <c r="A301" s="15">
        <f>IF(292&lt;=$C$6,292,"")</f>
        <v/>
      </c>
      <c r="B301" s="16">
        <f>IF($A301="","",IF(INDEX('潜水記録'!$A$5:$A$3004,$M301)="","",INDEX('潜水記録'!$A$5:$A$3004,$M301)))</f>
        <v/>
      </c>
      <c r="C301" s="15">
        <f>IF($A301="","",IF(INDEX('潜水記録'!$D$5:$D$3004,$M301)="","",INDEX('潜水記録'!$D$5:$D$3004,$M301)))</f>
        <v/>
      </c>
      <c r="D301" s="14">
        <f>IF($A301="","",IF(INDEX('潜水記録'!$E$5:$E$3004,$M301)="","",INDEX('潜水記録'!$E$5:$E$3004,$M301)))</f>
        <v/>
      </c>
      <c r="E301" s="14">
        <f>IF($A301="","",IF(INDEX('潜水記録'!$F$5:$F$3004,$M301)="","",INDEX('潜水記録'!$F$5:$F$3004,$M301)))</f>
        <v/>
      </c>
      <c r="F301" s="15">
        <f>IF($A301="","",IF(INDEX('潜水記録'!$G$5:$G$3004,$M301)="","",INDEX('潜水記録'!$G$5:$G$3004,$M301)))</f>
        <v/>
      </c>
      <c r="G301" s="15">
        <f>IF($A301="","",IF(INDEX('潜水記録'!$H$5:$H$3004,$M301)="","",INDEX('潜水記録'!$H$5:$H$3004,$M301)))</f>
        <v/>
      </c>
      <c r="H301" s="15">
        <f>IF($A301="","",IF(INDEX('潜水記録'!$I$5:$I$3004,$M301)="","",INDEX('潜水記録'!$I$5:$I$3004,$M301)))</f>
        <v/>
      </c>
      <c r="I301" s="15">
        <f>IF($A301="","",IF(INDEX('潜水記録'!$X$5:$X$3004,$M301)="","",INDEX('潜水記録'!$X$5:$X$3004,$M301)))</f>
        <v/>
      </c>
      <c r="J301" s="15">
        <f>IF($A301="","",IF(INDEX('潜水記録'!$O$5:$O$3004,$M301)="","",INDEX('潜水記録'!$O$5:$O$3004,$M301)))</f>
        <v/>
      </c>
      <c r="K301" s="15">
        <f>IF($A301="","",IF(INDEX('潜水記録'!$P$5:$P$3004,$M301)="","",INDEX('潜水記録'!$P$5:$P$3004,$M301)))</f>
        <v/>
      </c>
      <c r="L301" s="14">
        <f>IF($A301="","",IF(INDEX('潜水記録'!$Q$5:$Q$3004,$M301)="","",INDEX('潜水記録'!$Q$5:$Q$3004,$M301)))</f>
        <v/>
      </c>
      <c r="M301" s="20">
        <f>IF($A301="","",MATCH($A301,'潜水記録'!$AG$5:$AG$3004,0))</f>
        <v/>
      </c>
    </row>
    <row r="302">
      <c r="A302" s="15">
        <f>IF(293&lt;=$C$6,293,"")</f>
        <v/>
      </c>
      <c r="B302" s="16">
        <f>IF($A302="","",IF(INDEX('潜水記録'!$A$5:$A$3004,$M302)="","",INDEX('潜水記録'!$A$5:$A$3004,$M302)))</f>
        <v/>
      </c>
      <c r="C302" s="15">
        <f>IF($A302="","",IF(INDEX('潜水記録'!$D$5:$D$3004,$M302)="","",INDEX('潜水記録'!$D$5:$D$3004,$M302)))</f>
        <v/>
      </c>
      <c r="D302" s="14">
        <f>IF($A302="","",IF(INDEX('潜水記録'!$E$5:$E$3004,$M302)="","",INDEX('潜水記録'!$E$5:$E$3004,$M302)))</f>
        <v/>
      </c>
      <c r="E302" s="14">
        <f>IF($A302="","",IF(INDEX('潜水記録'!$F$5:$F$3004,$M302)="","",INDEX('潜水記録'!$F$5:$F$3004,$M302)))</f>
        <v/>
      </c>
      <c r="F302" s="15">
        <f>IF($A302="","",IF(INDEX('潜水記録'!$G$5:$G$3004,$M302)="","",INDEX('潜水記録'!$G$5:$G$3004,$M302)))</f>
        <v/>
      </c>
      <c r="G302" s="15">
        <f>IF($A302="","",IF(INDEX('潜水記録'!$H$5:$H$3004,$M302)="","",INDEX('潜水記録'!$H$5:$H$3004,$M302)))</f>
        <v/>
      </c>
      <c r="H302" s="15">
        <f>IF($A302="","",IF(INDEX('潜水記録'!$I$5:$I$3004,$M302)="","",INDEX('潜水記録'!$I$5:$I$3004,$M302)))</f>
        <v/>
      </c>
      <c r="I302" s="15">
        <f>IF($A302="","",IF(INDEX('潜水記録'!$X$5:$X$3004,$M302)="","",INDEX('潜水記録'!$X$5:$X$3004,$M302)))</f>
        <v/>
      </c>
      <c r="J302" s="15">
        <f>IF($A302="","",IF(INDEX('潜水記録'!$O$5:$O$3004,$M302)="","",INDEX('潜水記録'!$O$5:$O$3004,$M302)))</f>
        <v/>
      </c>
      <c r="K302" s="15">
        <f>IF($A302="","",IF(INDEX('潜水記録'!$P$5:$P$3004,$M302)="","",INDEX('潜水記録'!$P$5:$P$3004,$M302)))</f>
        <v/>
      </c>
      <c r="L302" s="14">
        <f>IF($A302="","",IF(INDEX('潜水記録'!$Q$5:$Q$3004,$M302)="","",INDEX('潜水記録'!$Q$5:$Q$3004,$M302)))</f>
        <v/>
      </c>
      <c r="M302" s="20">
        <f>IF($A302="","",MATCH($A302,'潜水記録'!$AG$5:$AG$3004,0))</f>
        <v/>
      </c>
    </row>
    <row r="303">
      <c r="A303" s="15">
        <f>IF(294&lt;=$C$6,294,"")</f>
        <v/>
      </c>
      <c r="B303" s="16">
        <f>IF($A303="","",IF(INDEX('潜水記録'!$A$5:$A$3004,$M303)="","",INDEX('潜水記録'!$A$5:$A$3004,$M303)))</f>
        <v/>
      </c>
      <c r="C303" s="15">
        <f>IF($A303="","",IF(INDEX('潜水記録'!$D$5:$D$3004,$M303)="","",INDEX('潜水記録'!$D$5:$D$3004,$M303)))</f>
        <v/>
      </c>
      <c r="D303" s="14">
        <f>IF($A303="","",IF(INDEX('潜水記録'!$E$5:$E$3004,$M303)="","",INDEX('潜水記録'!$E$5:$E$3004,$M303)))</f>
        <v/>
      </c>
      <c r="E303" s="14">
        <f>IF($A303="","",IF(INDEX('潜水記録'!$F$5:$F$3004,$M303)="","",INDEX('潜水記録'!$F$5:$F$3004,$M303)))</f>
        <v/>
      </c>
      <c r="F303" s="15">
        <f>IF($A303="","",IF(INDEX('潜水記録'!$G$5:$G$3004,$M303)="","",INDEX('潜水記録'!$G$5:$G$3004,$M303)))</f>
        <v/>
      </c>
      <c r="G303" s="15">
        <f>IF($A303="","",IF(INDEX('潜水記録'!$H$5:$H$3004,$M303)="","",INDEX('潜水記録'!$H$5:$H$3004,$M303)))</f>
        <v/>
      </c>
      <c r="H303" s="15">
        <f>IF($A303="","",IF(INDEX('潜水記録'!$I$5:$I$3004,$M303)="","",INDEX('潜水記録'!$I$5:$I$3004,$M303)))</f>
        <v/>
      </c>
      <c r="I303" s="15">
        <f>IF($A303="","",IF(INDEX('潜水記録'!$X$5:$X$3004,$M303)="","",INDEX('潜水記録'!$X$5:$X$3004,$M303)))</f>
        <v/>
      </c>
      <c r="J303" s="15">
        <f>IF($A303="","",IF(INDEX('潜水記録'!$O$5:$O$3004,$M303)="","",INDEX('潜水記録'!$O$5:$O$3004,$M303)))</f>
        <v/>
      </c>
      <c r="K303" s="15">
        <f>IF($A303="","",IF(INDEX('潜水記録'!$P$5:$P$3004,$M303)="","",INDEX('潜水記録'!$P$5:$P$3004,$M303)))</f>
        <v/>
      </c>
      <c r="L303" s="14">
        <f>IF($A303="","",IF(INDEX('潜水記録'!$Q$5:$Q$3004,$M303)="","",INDEX('潜水記録'!$Q$5:$Q$3004,$M303)))</f>
        <v/>
      </c>
      <c r="M303" s="20">
        <f>IF($A303="","",MATCH($A303,'潜水記録'!$AG$5:$AG$3004,0))</f>
        <v/>
      </c>
    </row>
    <row r="304">
      <c r="A304" s="15">
        <f>IF(295&lt;=$C$6,295,"")</f>
        <v/>
      </c>
      <c r="B304" s="16">
        <f>IF($A304="","",IF(INDEX('潜水記録'!$A$5:$A$3004,$M304)="","",INDEX('潜水記録'!$A$5:$A$3004,$M304)))</f>
        <v/>
      </c>
      <c r="C304" s="15">
        <f>IF($A304="","",IF(INDEX('潜水記録'!$D$5:$D$3004,$M304)="","",INDEX('潜水記録'!$D$5:$D$3004,$M304)))</f>
        <v/>
      </c>
      <c r="D304" s="14">
        <f>IF($A304="","",IF(INDEX('潜水記録'!$E$5:$E$3004,$M304)="","",INDEX('潜水記録'!$E$5:$E$3004,$M304)))</f>
        <v/>
      </c>
      <c r="E304" s="14">
        <f>IF($A304="","",IF(INDEX('潜水記録'!$F$5:$F$3004,$M304)="","",INDEX('潜水記録'!$F$5:$F$3004,$M304)))</f>
        <v/>
      </c>
      <c r="F304" s="15">
        <f>IF($A304="","",IF(INDEX('潜水記録'!$G$5:$G$3004,$M304)="","",INDEX('潜水記録'!$G$5:$G$3004,$M304)))</f>
        <v/>
      </c>
      <c r="G304" s="15">
        <f>IF($A304="","",IF(INDEX('潜水記録'!$H$5:$H$3004,$M304)="","",INDEX('潜水記録'!$H$5:$H$3004,$M304)))</f>
        <v/>
      </c>
      <c r="H304" s="15">
        <f>IF($A304="","",IF(INDEX('潜水記録'!$I$5:$I$3004,$M304)="","",INDEX('潜水記録'!$I$5:$I$3004,$M304)))</f>
        <v/>
      </c>
      <c r="I304" s="15">
        <f>IF($A304="","",IF(INDEX('潜水記録'!$X$5:$X$3004,$M304)="","",INDEX('潜水記録'!$X$5:$X$3004,$M304)))</f>
        <v/>
      </c>
      <c r="J304" s="15">
        <f>IF($A304="","",IF(INDEX('潜水記録'!$O$5:$O$3004,$M304)="","",INDEX('潜水記録'!$O$5:$O$3004,$M304)))</f>
        <v/>
      </c>
      <c r="K304" s="15">
        <f>IF($A304="","",IF(INDEX('潜水記録'!$P$5:$P$3004,$M304)="","",INDEX('潜水記録'!$P$5:$P$3004,$M304)))</f>
        <v/>
      </c>
      <c r="L304" s="14">
        <f>IF($A304="","",IF(INDEX('潜水記録'!$Q$5:$Q$3004,$M304)="","",INDEX('潜水記録'!$Q$5:$Q$3004,$M304)))</f>
        <v/>
      </c>
      <c r="M304" s="20">
        <f>IF($A304="","",MATCH($A304,'潜水記録'!$AG$5:$AG$3004,0))</f>
        <v/>
      </c>
    </row>
    <row r="305">
      <c r="A305" s="15">
        <f>IF(296&lt;=$C$6,296,"")</f>
        <v/>
      </c>
      <c r="B305" s="16">
        <f>IF($A305="","",IF(INDEX('潜水記録'!$A$5:$A$3004,$M305)="","",INDEX('潜水記録'!$A$5:$A$3004,$M305)))</f>
        <v/>
      </c>
      <c r="C305" s="15">
        <f>IF($A305="","",IF(INDEX('潜水記録'!$D$5:$D$3004,$M305)="","",INDEX('潜水記録'!$D$5:$D$3004,$M305)))</f>
        <v/>
      </c>
      <c r="D305" s="14">
        <f>IF($A305="","",IF(INDEX('潜水記録'!$E$5:$E$3004,$M305)="","",INDEX('潜水記録'!$E$5:$E$3004,$M305)))</f>
        <v/>
      </c>
      <c r="E305" s="14">
        <f>IF($A305="","",IF(INDEX('潜水記録'!$F$5:$F$3004,$M305)="","",INDEX('潜水記録'!$F$5:$F$3004,$M305)))</f>
        <v/>
      </c>
      <c r="F305" s="15">
        <f>IF($A305="","",IF(INDEX('潜水記録'!$G$5:$G$3004,$M305)="","",INDEX('潜水記録'!$G$5:$G$3004,$M305)))</f>
        <v/>
      </c>
      <c r="G305" s="15">
        <f>IF($A305="","",IF(INDEX('潜水記録'!$H$5:$H$3004,$M305)="","",INDEX('潜水記録'!$H$5:$H$3004,$M305)))</f>
        <v/>
      </c>
      <c r="H305" s="15">
        <f>IF($A305="","",IF(INDEX('潜水記録'!$I$5:$I$3004,$M305)="","",INDEX('潜水記録'!$I$5:$I$3004,$M305)))</f>
        <v/>
      </c>
      <c r="I305" s="15">
        <f>IF($A305="","",IF(INDEX('潜水記録'!$X$5:$X$3004,$M305)="","",INDEX('潜水記録'!$X$5:$X$3004,$M305)))</f>
        <v/>
      </c>
      <c r="J305" s="15">
        <f>IF($A305="","",IF(INDEX('潜水記録'!$O$5:$O$3004,$M305)="","",INDEX('潜水記録'!$O$5:$O$3004,$M305)))</f>
        <v/>
      </c>
      <c r="K305" s="15">
        <f>IF($A305="","",IF(INDEX('潜水記録'!$P$5:$P$3004,$M305)="","",INDEX('潜水記録'!$P$5:$P$3004,$M305)))</f>
        <v/>
      </c>
      <c r="L305" s="14">
        <f>IF($A305="","",IF(INDEX('潜水記録'!$Q$5:$Q$3004,$M305)="","",INDEX('潜水記録'!$Q$5:$Q$3004,$M305)))</f>
        <v/>
      </c>
      <c r="M305" s="20">
        <f>IF($A305="","",MATCH($A305,'潜水記録'!$AG$5:$AG$3004,0))</f>
        <v/>
      </c>
    </row>
    <row r="306">
      <c r="A306" s="15">
        <f>IF(297&lt;=$C$6,297,"")</f>
        <v/>
      </c>
      <c r="B306" s="16">
        <f>IF($A306="","",IF(INDEX('潜水記録'!$A$5:$A$3004,$M306)="","",INDEX('潜水記録'!$A$5:$A$3004,$M306)))</f>
        <v/>
      </c>
      <c r="C306" s="15">
        <f>IF($A306="","",IF(INDEX('潜水記録'!$D$5:$D$3004,$M306)="","",INDEX('潜水記録'!$D$5:$D$3004,$M306)))</f>
        <v/>
      </c>
      <c r="D306" s="14">
        <f>IF($A306="","",IF(INDEX('潜水記録'!$E$5:$E$3004,$M306)="","",INDEX('潜水記録'!$E$5:$E$3004,$M306)))</f>
        <v/>
      </c>
      <c r="E306" s="14">
        <f>IF($A306="","",IF(INDEX('潜水記録'!$F$5:$F$3004,$M306)="","",INDEX('潜水記録'!$F$5:$F$3004,$M306)))</f>
        <v/>
      </c>
      <c r="F306" s="15">
        <f>IF($A306="","",IF(INDEX('潜水記録'!$G$5:$G$3004,$M306)="","",INDEX('潜水記録'!$G$5:$G$3004,$M306)))</f>
        <v/>
      </c>
      <c r="G306" s="15">
        <f>IF($A306="","",IF(INDEX('潜水記録'!$H$5:$H$3004,$M306)="","",INDEX('潜水記録'!$H$5:$H$3004,$M306)))</f>
        <v/>
      </c>
      <c r="H306" s="15">
        <f>IF($A306="","",IF(INDEX('潜水記録'!$I$5:$I$3004,$M306)="","",INDEX('潜水記録'!$I$5:$I$3004,$M306)))</f>
        <v/>
      </c>
      <c r="I306" s="15">
        <f>IF($A306="","",IF(INDEX('潜水記録'!$X$5:$X$3004,$M306)="","",INDEX('潜水記録'!$X$5:$X$3004,$M306)))</f>
        <v/>
      </c>
      <c r="J306" s="15">
        <f>IF($A306="","",IF(INDEX('潜水記録'!$O$5:$O$3004,$M306)="","",INDEX('潜水記録'!$O$5:$O$3004,$M306)))</f>
        <v/>
      </c>
      <c r="K306" s="15">
        <f>IF($A306="","",IF(INDEX('潜水記録'!$P$5:$P$3004,$M306)="","",INDEX('潜水記録'!$P$5:$P$3004,$M306)))</f>
        <v/>
      </c>
      <c r="L306" s="14">
        <f>IF($A306="","",IF(INDEX('潜水記録'!$Q$5:$Q$3004,$M306)="","",INDEX('潜水記録'!$Q$5:$Q$3004,$M306)))</f>
        <v/>
      </c>
      <c r="M306" s="20">
        <f>IF($A306="","",MATCH($A306,'潜水記録'!$AG$5:$AG$3004,0))</f>
        <v/>
      </c>
    </row>
    <row r="307">
      <c r="A307" s="15">
        <f>IF(298&lt;=$C$6,298,"")</f>
        <v/>
      </c>
      <c r="B307" s="16">
        <f>IF($A307="","",IF(INDEX('潜水記録'!$A$5:$A$3004,$M307)="","",INDEX('潜水記録'!$A$5:$A$3004,$M307)))</f>
        <v/>
      </c>
      <c r="C307" s="15">
        <f>IF($A307="","",IF(INDEX('潜水記録'!$D$5:$D$3004,$M307)="","",INDEX('潜水記録'!$D$5:$D$3004,$M307)))</f>
        <v/>
      </c>
      <c r="D307" s="14">
        <f>IF($A307="","",IF(INDEX('潜水記録'!$E$5:$E$3004,$M307)="","",INDEX('潜水記録'!$E$5:$E$3004,$M307)))</f>
        <v/>
      </c>
      <c r="E307" s="14">
        <f>IF($A307="","",IF(INDEX('潜水記録'!$F$5:$F$3004,$M307)="","",INDEX('潜水記録'!$F$5:$F$3004,$M307)))</f>
        <v/>
      </c>
      <c r="F307" s="15">
        <f>IF($A307="","",IF(INDEX('潜水記録'!$G$5:$G$3004,$M307)="","",INDEX('潜水記録'!$G$5:$G$3004,$M307)))</f>
        <v/>
      </c>
      <c r="G307" s="15">
        <f>IF($A307="","",IF(INDEX('潜水記録'!$H$5:$H$3004,$M307)="","",INDEX('潜水記録'!$H$5:$H$3004,$M307)))</f>
        <v/>
      </c>
      <c r="H307" s="15">
        <f>IF($A307="","",IF(INDEX('潜水記録'!$I$5:$I$3004,$M307)="","",INDEX('潜水記録'!$I$5:$I$3004,$M307)))</f>
        <v/>
      </c>
      <c r="I307" s="15">
        <f>IF($A307="","",IF(INDEX('潜水記録'!$X$5:$X$3004,$M307)="","",INDEX('潜水記録'!$X$5:$X$3004,$M307)))</f>
        <v/>
      </c>
      <c r="J307" s="15">
        <f>IF($A307="","",IF(INDEX('潜水記録'!$O$5:$O$3004,$M307)="","",INDEX('潜水記録'!$O$5:$O$3004,$M307)))</f>
        <v/>
      </c>
      <c r="K307" s="15">
        <f>IF($A307="","",IF(INDEX('潜水記録'!$P$5:$P$3004,$M307)="","",INDEX('潜水記録'!$P$5:$P$3004,$M307)))</f>
        <v/>
      </c>
      <c r="L307" s="14">
        <f>IF($A307="","",IF(INDEX('潜水記録'!$Q$5:$Q$3004,$M307)="","",INDEX('潜水記録'!$Q$5:$Q$3004,$M307)))</f>
        <v/>
      </c>
      <c r="M307" s="20">
        <f>IF($A307="","",MATCH($A307,'潜水記録'!$AG$5:$AG$3004,0))</f>
        <v/>
      </c>
    </row>
    <row r="308">
      <c r="A308" s="15">
        <f>IF(299&lt;=$C$6,299,"")</f>
        <v/>
      </c>
      <c r="B308" s="16">
        <f>IF($A308="","",IF(INDEX('潜水記録'!$A$5:$A$3004,$M308)="","",INDEX('潜水記録'!$A$5:$A$3004,$M308)))</f>
        <v/>
      </c>
      <c r="C308" s="15">
        <f>IF($A308="","",IF(INDEX('潜水記録'!$D$5:$D$3004,$M308)="","",INDEX('潜水記録'!$D$5:$D$3004,$M308)))</f>
        <v/>
      </c>
      <c r="D308" s="14">
        <f>IF($A308="","",IF(INDEX('潜水記録'!$E$5:$E$3004,$M308)="","",INDEX('潜水記録'!$E$5:$E$3004,$M308)))</f>
        <v/>
      </c>
      <c r="E308" s="14">
        <f>IF($A308="","",IF(INDEX('潜水記録'!$F$5:$F$3004,$M308)="","",INDEX('潜水記録'!$F$5:$F$3004,$M308)))</f>
        <v/>
      </c>
      <c r="F308" s="15">
        <f>IF($A308="","",IF(INDEX('潜水記録'!$G$5:$G$3004,$M308)="","",INDEX('潜水記録'!$G$5:$G$3004,$M308)))</f>
        <v/>
      </c>
      <c r="G308" s="15">
        <f>IF($A308="","",IF(INDEX('潜水記録'!$H$5:$H$3004,$M308)="","",INDEX('潜水記録'!$H$5:$H$3004,$M308)))</f>
        <v/>
      </c>
      <c r="H308" s="15">
        <f>IF($A308="","",IF(INDEX('潜水記録'!$I$5:$I$3004,$M308)="","",INDEX('潜水記録'!$I$5:$I$3004,$M308)))</f>
        <v/>
      </c>
      <c r="I308" s="15">
        <f>IF($A308="","",IF(INDEX('潜水記録'!$X$5:$X$3004,$M308)="","",INDEX('潜水記録'!$X$5:$X$3004,$M308)))</f>
        <v/>
      </c>
      <c r="J308" s="15">
        <f>IF($A308="","",IF(INDEX('潜水記録'!$O$5:$O$3004,$M308)="","",INDEX('潜水記録'!$O$5:$O$3004,$M308)))</f>
        <v/>
      </c>
      <c r="K308" s="15">
        <f>IF($A308="","",IF(INDEX('潜水記録'!$P$5:$P$3004,$M308)="","",INDEX('潜水記録'!$P$5:$P$3004,$M308)))</f>
        <v/>
      </c>
      <c r="L308" s="14">
        <f>IF($A308="","",IF(INDEX('潜水記録'!$Q$5:$Q$3004,$M308)="","",INDEX('潜水記録'!$Q$5:$Q$3004,$M308)))</f>
        <v/>
      </c>
      <c r="M308" s="20">
        <f>IF($A308="","",MATCH($A308,'潜水記録'!$AG$5:$AG$3004,0))</f>
        <v/>
      </c>
    </row>
    <row r="309">
      <c r="A309" s="15">
        <f>IF(300&lt;=$C$6,300,"")</f>
        <v/>
      </c>
      <c r="B309" s="16">
        <f>IF($A309="","",IF(INDEX('潜水記録'!$A$5:$A$3004,$M309)="","",INDEX('潜水記録'!$A$5:$A$3004,$M309)))</f>
        <v/>
      </c>
      <c r="C309" s="15">
        <f>IF($A309="","",IF(INDEX('潜水記録'!$D$5:$D$3004,$M309)="","",INDEX('潜水記録'!$D$5:$D$3004,$M309)))</f>
        <v/>
      </c>
      <c r="D309" s="14">
        <f>IF($A309="","",IF(INDEX('潜水記録'!$E$5:$E$3004,$M309)="","",INDEX('潜水記録'!$E$5:$E$3004,$M309)))</f>
        <v/>
      </c>
      <c r="E309" s="14">
        <f>IF($A309="","",IF(INDEX('潜水記録'!$F$5:$F$3004,$M309)="","",INDEX('潜水記録'!$F$5:$F$3004,$M309)))</f>
        <v/>
      </c>
      <c r="F309" s="15">
        <f>IF($A309="","",IF(INDEX('潜水記録'!$G$5:$G$3004,$M309)="","",INDEX('潜水記録'!$G$5:$G$3004,$M309)))</f>
        <v/>
      </c>
      <c r="G309" s="15">
        <f>IF($A309="","",IF(INDEX('潜水記録'!$H$5:$H$3004,$M309)="","",INDEX('潜水記録'!$H$5:$H$3004,$M309)))</f>
        <v/>
      </c>
      <c r="H309" s="15">
        <f>IF($A309="","",IF(INDEX('潜水記録'!$I$5:$I$3004,$M309)="","",INDEX('潜水記録'!$I$5:$I$3004,$M309)))</f>
        <v/>
      </c>
      <c r="I309" s="15">
        <f>IF($A309="","",IF(INDEX('潜水記録'!$X$5:$X$3004,$M309)="","",INDEX('潜水記録'!$X$5:$X$3004,$M309)))</f>
        <v/>
      </c>
      <c r="J309" s="15">
        <f>IF($A309="","",IF(INDEX('潜水記録'!$O$5:$O$3004,$M309)="","",INDEX('潜水記録'!$O$5:$O$3004,$M309)))</f>
        <v/>
      </c>
      <c r="K309" s="15">
        <f>IF($A309="","",IF(INDEX('潜水記録'!$P$5:$P$3004,$M309)="","",INDEX('潜水記録'!$P$5:$P$3004,$M309)))</f>
        <v/>
      </c>
      <c r="L309" s="14">
        <f>IF($A309="","",IF(INDEX('潜水記録'!$Q$5:$Q$3004,$M309)="","",INDEX('潜水記録'!$Q$5:$Q$3004,$M309)))</f>
        <v/>
      </c>
      <c r="M309" s="20">
        <f>IF($A309="","",MATCH($A309,'潜水記録'!$AG$5:$AG$3004,0))</f>
        <v/>
      </c>
    </row>
  </sheetData>
  <mergeCells count="1">
    <mergeCell ref="A1:D1"/>
  </mergeCells>
  <conditionalFormatting sqref="K10:K309">
    <cfRule type="expression" priority="1" dxfId="0">
      <formula>K10="有"</formula>
    </cfRule>
  </conditionalFormatting>
  <dataValidations count="1">
    <dataValidation sqref="C4" showDropDown="0" showInputMessage="0" showErrorMessage="0" allowBlank="1" errorTitle="入力できない値です" error="プルダウンから選んでください（選択肢シートで追加できます）" type="list">
      <formula1>=L_職員番号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5" customWidth="1" min="3" max="3"/>
    <col width="6" customWidth="1" min="4" max="4"/>
    <col width="6" customWidth="1" min="5" max="5"/>
    <col width="7" customWidth="1" min="6" max="6"/>
    <col width="7" customWidth="1" min="7" max="7"/>
    <col width="7" customWidth="1" min="8" max="8"/>
    <col width="10" customWidth="1" min="9" max="9"/>
    <col width="9" customWidth="1" min="10" max="10"/>
    <col width="10" customWidth="1" min="11" max="11"/>
    <col width="6" customWidth="1" min="12" max="12"/>
    <col width="18" customWidth="1" min="13" max="13"/>
    <col hidden="1" width="13" customWidth="1" min="14" max="14"/>
  </cols>
  <sheetData>
    <row r="1" ht="34" customHeight="1">
      <c r="A1" s="1" t="inlineStr">
        <is>
          <t>潜水活動報告書</t>
        </is>
      </c>
      <c r="B1" s="2" t="n"/>
      <c r="C1" s="2" t="n"/>
      <c r="D1" s="2" t="n"/>
      <c r="E1" s="2" t="n"/>
      <c r="F1" s="2" t="n"/>
    </row>
    <row r="2">
      <c r="J2" s="26" t="inlineStr">
        <is>
          <t>出力日</t>
        </is>
      </c>
      <c r="K2" s="27">
        <f>TODAY()</f>
        <v/>
      </c>
    </row>
    <row r="4">
      <c r="B4" s="26" t="inlineStr">
        <is>
          <t>事案ID</t>
        </is>
      </c>
      <c r="C4" s="28" t="inlineStr">
        <is>
          <t>S-20260916</t>
        </is>
      </c>
      <c r="D4" s="29" t="n"/>
      <c r="E4" s="30" t="n"/>
      <c r="F4" s="26" t="inlineStr">
        <is>
          <t>← プルダウンで選ぶ</t>
        </is>
      </c>
    </row>
    <row r="5">
      <c r="B5" s="26" t="inlineStr">
        <is>
          <t>日付</t>
        </is>
      </c>
      <c r="C5" s="27">
        <f>IF($C$4="","",IFERROR(INDEX('事案'!$B$5:$B$1004,MATCH($C$4,'事案'!$A$5:$A$1004,0)),""))</f>
        <v/>
      </c>
      <c r="F5" s="26" t="inlineStr">
        <is>
          <t>区分</t>
        </is>
      </c>
      <c r="G5" s="31">
        <f>IF($C$4="","",IFERROR(INDEX('事案'!$C$5:$C$1004,MATCH($C$4,'事案'!$A$5:$A$1004,0))&amp;"",""))</f>
        <v/>
      </c>
      <c r="J5" s="26" t="inlineStr">
        <is>
          <t>時間</t>
        </is>
      </c>
      <c r="K5" s="31">
        <f>IF($C$4="","",RIGHT(IFERROR(INDEX('事案'!$G$5:$G$1004,MATCH($C$4,'事案'!$A$5:$A$1004,0))&amp;"",""),5)&amp;"〜"&amp;RIGHT(IFERROR(INDEX('事案'!$H$5:$H$1004,MATCH($C$4,'事案'!$A$5:$A$1004,0))&amp;"",""),5))</f>
        <v/>
      </c>
    </row>
    <row r="6">
      <c r="B6" s="26" t="inlineStr">
        <is>
          <t>事案名</t>
        </is>
      </c>
      <c r="C6" s="31">
        <f>IF($C$4="","",IFERROR(INDEX('事案'!$D$5:$D$1004,MATCH($C$4,'事案'!$A$5:$A$1004,0))&amp;"",""))</f>
        <v/>
      </c>
      <c r="J6" s="26" t="inlineStr">
        <is>
          <t>指揮者</t>
        </is>
      </c>
      <c r="K6" s="31">
        <f>IF($C$4="","",IFERROR(INDEX('事案'!$F$5:$F$1004,MATCH($C$4,'事案'!$A$5:$A$1004,0))&amp;"",""))</f>
        <v/>
      </c>
    </row>
    <row r="7">
      <c r="B7" s="26" t="inlineStr">
        <is>
          <t>地点</t>
        </is>
      </c>
      <c r="C7" s="31">
        <f>IF($C$4="","",IFERROR(INDEX('事案'!$E$5:$E$1004,MATCH($C$4,'事案'!$A$5:$A$1004,0))&amp;"",""))</f>
        <v/>
      </c>
      <c r="J7" s="26" t="inlineStr">
        <is>
          <t>海況</t>
        </is>
      </c>
      <c r="K7" s="31">
        <f>IF($C$4="","",IFERROR(INDEX('事案'!$K$5:$K$1004,MATCH($C$4,'事案'!$A$5:$A$1004,0))&amp;"",""))</f>
        <v/>
      </c>
    </row>
    <row r="8">
      <c r="B8" s="26" t="inlineStr">
        <is>
          <t>水温</t>
        </is>
      </c>
      <c r="C8" s="31">
        <f>IF($C$4="","",IF(IFERROR(INDEX('事案'!$I$5:$I$1004,MATCH($C$4,'事案'!$A$5:$A$1004,0))&amp;"","")="","—",IFERROR(INDEX('事案'!$I$5:$I$1004,MATCH($C$4,'事案'!$A$5:$A$1004,0))&amp;"","")&amp;"℃"))</f>
        <v/>
      </c>
      <c r="F8" s="26" t="inlineStr">
        <is>
          <t>透視度</t>
        </is>
      </c>
      <c r="G8" s="31">
        <f>IF($C$4="","",IF(IFERROR(INDEX('事案'!$J$5:$J$1004,MATCH($C$4,'事案'!$A$5:$A$1004,0))&amp;"","")="","—",IFERROR(INDEX('事案'!$J$5:$J$1004,MATCH($C$4,'事案'!$A$5:$A$1004,0))&amp;"","")&amp;"m"))</f>
        <v/>
      </c>
      <c r="J8" s="26" t="inlineStr">
        <is>
          <t>潜水表</t>
        </is>
      </c>
      <c r="K8" s="32">
        <f>IF($C$4="","",IFERROR(INDEX('事案'!$M$5:$M$1004,MATCH($C$4,'事案'!$A$5:$A$1004,0))&amp;"",""))</f>
        <v/>
      </c>
    </row>
    <row r="9" ht="30" customHeight="1">
      <c r="B9" s="26" t="inlineStr">
        <is>
          <t>備考</t>
        </is>
      </c>
      <c r="C9" s="31">
        <f>IF($C$4="","",IFERROR(INDEX('事案'!$L$5:$L$1004,MATCH($C$4,'事案'!$A$5:$A$1004,0))&amp;"",""))</f>
        <v/>
      </c>
    </row>
    <row r="10"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26" t="inlineStr">
        <is>
          <t>潜水員</t>
        </is>
      </c>
      <c r="C11" s="33">
        <f>IF($C$4="","",COUNTIFS('潜水記録'!$S$5:$S$3004,$C$4,'潜水記録'!$T$5:$T$3004,1))</f>
        <v/>
      </c>
      <c r="F11" s="26" t="inlineStr">
        <is>
          <t>総本数</t>
        </is>
      </c>
      <c r="G11" s="34">
        <f>IF($C$4="",0,COUNTIF('潜水記録'!$S$5:$S$3004,$C$4))</f>
        <v/>
      </c>
      <c r="J11" s="26" t="inlineStr">
        <is>
          <t>最大水深</t>
        </is>
      </c>
      <c r="K11" s="35">
        <f>IF(OR($C$4="",$G$11=0),"",_xlfn.MAXIFS('潜水記録'!$G$5:$G$3004,'潜水記録'!$S$5:$S$3004,$C$4))</f>
        <v/>
      </c>
    </row>
    <row r="12" ht="28" customHeight="1">
      <c r="B12" s="26" t="inlineStr">
        <is>
          <t>減圧停止(表の判定)</t>
        </is>
      </c>
      <c r="C12" s="34">
        <f>IF($C$4="","",COUNTIFS('潜水記録'!$S$5:$S$3004,$C$4,'潜水記録'!$O$5:$O$3004,"有"))</f>
        <v/>
      </c>
      <c r="F12" s="26" t="inlineStr">
        <is>
          <t>体調異常</t>
        </is>
      </c>
      <c r="G12" s="34">
        <f>IF($C$4="","",COUNTIFS('潜水記録'!$S$5:$S$3004,$C$4,'潜水記録'!$P$5:$P$3004,"有"))</f>
        <v/>
      </c>
      <c r="J12" s="26" t="inlineStr">
        <is>
          <t>表の範囲外</t>
        </is>
      </c>
      <c r="K12" s="34">
        <f>IF($C$4="","",COUNTIFS('潜水記録'!$S$5:$S$3004,$C$4,'潜水記録'!$AC$5:$AC$3004,"範囲外"))</f>
        <v/>
      </c>
    </row>
    <row r="14" ht="32" customHeight="1">
      <c r="A14" s="13" t="inlineStr">
        <is>
          <t>No</t>
        </is>
      </c>
      <c r="B14" s="13" t="inlineStr">
        <is>
          <t>潜水員</t>
        </is>
      </c>
      <c r="C14" s="13" t="inlineStr">
        <is>
          <t>本数</t>
        </is>
      </c>
      <c r="D14" s="13" t="inlineStr">
        <is>
          <t>潜降</t>
        </is>
      </c>
      <c r="E14" s="13" t="inlineStr">
        <is>
          <t>浮上</t>
        </is>
      </c>
      <c r="F14" s="13" t="inlineStr">
        <is>
          <t>最大水深(m)</t>
        </is>
      </c>
      <c r="G14" s="13" t="inlineStr">
        <is>
          <t>潜水時間(分)</t>
        </is>
      </c>
      <c r="H14" s="13" t="inlineStr">
        <is>
          <t>水面休息(分)</t>
        </is>
      </c>
      <c r="I14" s="13" t="inlineStr">
        <is>
          <t>空気圧(気圧) 開始→終了</t>
        </is>
      </c>
      <c r="J14" s="13" t="inlineStr">
        <is>
          <t>浮上停止 水深・分</t>
        </is>
      </c>
      <c r="K14" s="13" t="inlineStr">
        <is>
          <t>表の判定</t>
        </is>
      </c>
      <c r="L14" s="13" t="inlineStr">
        <is>
          <t>体調異常</t>
        </is>
      </c>
      <c r="M14" s="13" t="inlineStr">
        <is>
          <t>備考</t>
        </is>
      </c>
      <c r="N14" s="20" t="inlineStr">
        <is>
          <t>行（自動）</t>
        </is>
      </c>
    </row>
    <row r="15">
      <c r="A15" s="15">
        <f>IF(1&lt;=$G$11,1,"")</f>
        <v/>
      </c>
      <c r="B15" s="14">
        <f>IF($A15="","",IF(INDEX('潜水記録'!$C$5:$C$3004,$N15)="","",INDEX('潜水記録'!$C$5:$C$3004,$N15)))</f>
        <v/>
      </c>
      <c r="C15" s="15">
        <f>IF($A15="","",IF(INDEX('潜水記録'!$T$5:$T$3004,$N15)="","",INDEX('潜水記録'!$T$5:$T$3004,$N15)))</f>
        <v/>
      </c>
      <c r="D15" s="36">
        <f>IF($A15="","",IF(INDEX('潜水記録'!$U$5:$U$3004,$N15)="","",INDEX('潜水記録'!$U$5:$U$3004,$N15)))</f>
        <v/>
      </c>
      <c r="E15" s="36">
        <f>IF($A15="","",IF(INDEX('潜水記録'!$V$5:$V$3004,$N15)="","",INDEX('潜水記録'!$V$5:$V$3004,$N15)))</f>
        <v/>
      </c>
      <c r="F15" s="15">
        <f>IF($A15="","",IF(INDEX('潜水記録'!$G$5:$G$3004,$N15)="","",INDEX('潜水記録'!$G$5:$G$3004,$N15)))</f>
        <v/>
      </c>
      <c r="G15" s="15">
        <f>IF($A15="","",IF(INDEX('潜水記録'!$H$5:$H$3004,$N15)="","",INDEX('潜水記録'!$H$5:$H$3004,$N15)))</f>
        <v/>
      </c>
      <c r="H15" s="15">
        <f>IF($A15="","",IF(INDEX('潜水記録'!$I$5:$I$3004,$N15)="","",INDEX('潜水記録'!$I$5:$I$3004,$N15)))</f>
        <v/>
      </c>
      <c r="I15" s="15">
        <f>IF($A15="","",IF(AND(INDEX('潜水記録'!$K$5:$K$3004,$N15)="",INDEX('潜水記録'!$L$5:$L$3004,$N15)=""),"",INDEX('潜水記録'!$K$5:$K$3004,$N15)&amp;"→"&amp;INDEX('潜水記録'!$L$5:$L$3004,$N15)))</f>
        <v/>
      </c>
      <c r="J15" s="15">
        <f>IF($A15="","",IF(INDEX('潜水記録'!$AQ$5:$AQ$3004,$N15)="",IF(INDEX('潜水記録'!$AO$5:$AO$3004,$N15)="無","なし",""),IF(INDEX('潜水記録'!$AP$5:$AP$3004,$N15)="","",INDEX('潜水記録'!$AP$5:$AP$3004,$N15)&amp;"m ")&amp;INDEX('潜水記録'!$AQ$5:$AQ$3004,$N15)&amp;"分"))</f>
        <v/>
      </c>
      <c r="K15" s="14">
        <f>IF($A15="","",IF(INDEX('潜水記録'!$AC$5:$AC$3004,$N15)="","",INDEX('潜水記録'!$AC$5:$AC$3004,$N15)))</f>
        <v/>
      </c>
      <c r="L15" s="15">
        <f>IF($A15="","",IF(INDEX('潜水記録'!$P$5:$P$3004,$N15)="","",INDEX('潜水記録'!$P$5:$P$3004,$N15)))</f>
        <v/>
      </c>
      <c r="M15" s="37">
        <f>IF($A15="","",IF(INDEX('潜水記録'!$R$5:$R$3004,$N15)="","",INDEX('潜水記録'!$R$5:$R$3004,$N15)))</f>
        <v/>
      </c>
      <c r="N15" s="20">
        <f>IF($A15="","",MATCH($A15,'潜水記録'!$AJ$5:$AJ$3004,0))</f>
        <v/>
      </c>
    </row>
    <row r="16">
      <c r="A16" s="15">
        <f>IF(2&lt;=$G$11,2,"")</f>
        <v/>
      </c>
      <c r="B16" s="14">
        <f>IF($A16="","",IF(INDEX('潜水記録'!$C$5:$C$3004,$N16)="","",INDEX('潜水記録'!$C$5:$C$3004,$N16)))</f>
        <v/>
      </c>
      <c r="C16" s="15">
        <f>IF($A16="","",IF(INDEX('潜水記録'!$T$5:$T$3004,$N16)="","",INDEX('潜水記録'!$T$5:$T$3004,$N16)))</f>
        <v/>
      </c>
      <c r="D16" s="36">
        <f>IF($A16="","",IF(INDEX('潜水記録'!$U$5:$U$3004,$N16)="","",INDEX('潜水記録'!$U$5:$U$3004,$N16)))</f>
        <v/>
      </c>
      <c r="E16" s="36">
        <f>IF($A16="","",IF(INDEX('潜水記録'!$V$5:$V$3004,$N16)="","",INDEX('潜水記録'!$V$5:$V$3004,$N16)))</f>
        <v/>
      </c>
      <c r="F16" s="15">
        <f>IF($A16="","",IF(INDEX('潜水記録'!$G$5:$G$3004,$N16)="","",INDEX('潜水記録'!$G$5:$G$3004,$N16)))</f>
        <v/>
      </c>
      <c r="G16" s="15">
        <f>IF($A16="","",IF(INDEX('潜水記録'!$H$5:$H$3004,$N16)="","",INDEX('潜水記録'!$H$5:$H$3004,$N16)))</f>
        <v/>
      </c>
      <c r="H16" s="15">
        <f>IF($A16="","",IF(INDEX('潜水記録'!$I$5:$I$3004,$N16)="","",INDEX('潜水記録'!$I$5:$I$3004,$N16)))</f>
        <v/>
      </c>
      <c r="I16" s="15">
        <f>IF($A16="","",IF(AND(INDEX('潜水記録'!$K$5:$K$3004,$N16)="",INDEX('潜水記録'!$L$5:$L$3004,$N16)=""),"",INDEX('潜水記録'!$K$5:$K$3004,$N16)&amp;"→"&amp;INDEX('潜水記録'!$L$5:$L$3004,$N16)))</f>
        <v/>
      </c>
      <c r="J16" s="15">
        <f>IF($A16="","",IF(INDEX('潜水記録'!$AQ$5:$AQ$3004,$N16)="",IF(INDEX('潜水記録'!$AO$5:$AO$3004,$N16)="無","なし",""),IF(INDEX('潜水記録'!$AP$5:$AP$3004,$N16)="","",INDEX('潜水記録'!$AP$5:$AP$3004,$N16)&amp;"m ")&amp;INDEX('潜水記録'!$AQ$5:$AQ$3004,$N16)&amp;"分"))</f>
        <v/>
      </c>
      <c r="K16" s="14">
        <f>IF($A16="","",IF(INDEX('潜水記録'!$AC$5:$AC$3004,$N16)="","",INDEX('潜水記録'!$AC$5:$AC$3004,$N16)))</f>
        <v/>
      </c>
      <c r="L16" s="15">
        <f>IF($A16="","",IF(INDEX('潜水記録'!$P$5:$P$3004,$N16)="","",INDEX('潜水記録'!$P$5:$P$3004,$N16)))</f>
        <v/>
      </c>
      <c r="M16" s="37">
        <f>IF($A16="","",IF(INDEX('潜水記録'!$R$5:$R$3004,$N16)="","",INDEX('潜水記録'!$R$5:$R$3004,$N16)))</f>
        <v/>
      </c>
      <c r="N16" s="20">
        <f>IF($A16="","",MATCH($A16,'潜水記録'!$AJ$5:$AJ$3004,0))</f>
        <v/>
      </c>
    </row>
    <row r="17">
      <c r="A17" s="15">
        <f>IF(3&lt;=$G$11,3,"")</f>
        <v/>
      </c>
      <c r="B17" s="14">
        <f>IF($A17="","",IF(INDEX('潜水記録'!$C$5:$C$3004,$N17)="","",INDEX('潜水記録'!$C$5:$C$3004,$N17)))</f>
        <v/>
      </c>
      <c r="C17" s="15">
        <f>IF($A17="","",IF(INDEX('潜水記録'!$T$5:$T$3004,$N17)="","",INDEX('潜水記録'!$T$5:$T$3004,$N17)))</f>
        <v/>
      </c>
      <c r="D17" s="36">
        <f>IF($A17="","",IF(INDEX('潜水記録'!$U$5:$U$3004,$N17)="","",INDEX('潜水記録'!$U$5:$U$3004,$N17)))</f>
        <v/>
      </c>
      <c r="E17" s="36">
        <f>IF($A17="","",IF(INDEX('潜水記録'!$V$5:$V$3004,$N17)="","",INDEX('潜水記録'!$V$5:$V$3004,$N17)))</f>
        <v/>
      </c>
      <c r="F17" s="15">
        <f>IF($A17="","",IF(INDEX('潜水記録'!$G$5:$G$3004,$N17)="","",INDEX('潜水記録'!$G$5:$G$3004,$N17)))</f>
        <v/>
      </c>
      <c r="G17" s="15">
        <f>IF($A17="","",IF(INDEX('潜水記録'!$H$5:$H$3004,$N17)="","",INDEX('潜水記録'!$H$5:$H$3004,$N17)))</f>
        <v/>
      </c>
      <c r="H17" s="15">
        <f>IF($A17="","",IF(INDEX('潜水記録'!$I$5:$I$3004,$N17)="","",INDEX('潜水記録'!$I$5:$I$3004,$N17)))</f>
        <v/>
      </c>
      <c r="I17" s="15">
        <f>IF($A17="","",IF(AND(INDEX('潜水記録'!$K$5:$K$3004,$N17)="",INDEX('潜水記録'!$L$5:$L$3004,$N17)=""),"",INDEX('潜水記録'!$K$5:$K$3004,$N17)&amp;"→"&amp;INDEX('潜水記録'!$L$5:$L$3004,$N17)))</f>
        <v/>
      </c>
      <c r="J17" s="15">
        <f>IF($A17="","",IF(INDEX('潜水記録'!$AQ$5:$AQ$3004,$N17)="",IF(INDEX('潜水記録'!$AO$5:$AO$3004,$N17)="無","なし",""),IF(INDEX('潜水記録'!$AP$5:$AP$3004,$N17)="","",INDEX('潜水記録'!$AP$5:$AP$3004,$N17)&amp;"m ")&amp;INDEX('潜水記録'!$AQ$5:$AQ$3004,$N17)&amp;"分"))</f>
        <v/>
      </c>
      <c r="K17" s="14">
        <f>IF($A17="","",IF(INDEX('潜水記録'!$AC$5:$AC$3004,$N17)="","",INDEX('潜水記録'!$AC$5:$AC$3004,$N17)))</f>
        <v/>
      </c>
      <c r="L17" s="15">
        <f>IF($A17="","",IF(INDEX('潜水記録'!$P$5:$P$3004,$N17)="","",INDEX('潜水記録'!$P$5:$P$3004,$N17)))</f>
        <v/>
      </c>
      <c r="M17" s="37">
        <f>IF($A17="","",IF(INDEX('潜水記録'!$R$5:$R$3004,$N17)="","",INDEX('潜水記録'!$R$5:$R$3004,$N17)))</f>
        <v/>
      </c>
      <c r="N17" s="20">
        <f>IF($A17="","",MATCH($A17,'潜水記録'!$AJ$5:$AJ$3004,0))</f>
        <v/>
      </c>
    </row>
    <row r="18">
      <c r="A18" s="15">
        <f>IF(4&lt;=$G$11,4,"")</f>
        <v/>
      </c>
      <c r="B18" s="14">
        <f>IF($A18="","",IF(INDEX('潜水記録'!$C$5:$C$3004,$N18)="","",INDEX('潜水記録'!$C$5:$C$3004,$N18)))</f>
        <v/>
      </c>
      <c r="C18" s="15">
        <f>IF($A18="","",IF(INDEX('潜水記録'!$T$5:$T$3004,$N18)="","",INDEX('潜水記録'!$T$5:$T$3004,$N18)))</f>
        <v/>
      </c>
      <c r="D18" s="36">
        <f>IF($A18="","",IF(INDEX('潜水記録'!$U$5:$U$3004,$N18)="","",INDEX('潜水記録'!$U$5:$U$3004,$N18)))</f>
        <v/>
      </c>
      <c r="E18" s="36">
        <f>IF($A18="","",IF(INDEX('潜水記録'!$V$5:$V$3004,$N18)="","",INDEX('潜水記録'!$V$5:$V$3004,$N18)))</f>
        <v/>
      </c>
      <c r="F18" s="15">
        <f>IF($A18="","",IF(INDEX('潜水記録'!$G$5:$G$3004,$N18)="","",INDEX('潜水記録'!$G$5:$G$3004,$N18)))</f>
        <v/>
      </c>
      <c r="G18" s="15">
        <f>IF($A18="","",IF(INDEX('潜水記録'!$H$5:$H$3004,$N18)="","",INDEX('潜水記録'!$H$5:$H$3004,$N18)))</f>
        <v/>
      </c>
      <c r="H18" s="15">
        <f>IF($A18="","",IF(INDEX('潜水記録'!$I$5:$I$3004,$N18)="","",INDEX('潜水記録'!$I$5:$I$3004,$N18)))</f>
        <v/>
      </c>
      <c r="I18" s="15">
        <f>IF($A18="","",IF(AND(INDEX('潜水記録'!$K$5:$K$3004,$N18)="",INDEX('潜水記録'!$L$5:$L$3004,$N18)=""),"",INDEX('潜水記録'!$K$5:$K$3004,$N18)&amp;"→"&amp;INDEX('潜水記録'!$L$5:$L$3004,$N18)))</f>
        <v/>
      </c>
      <c r="J18" s="15">
        <f>IF($A18="","",IF(INDEX('潜水記録'!$AQ$5:$AQ$3004,$N18)="",IF(INDEX('潜水記録'!$AO$5:$AO$3004,$N18)="無","なし",""),IF(INDEX('潜水記録'!$AP$5:$AP$3004,$N18)="","",INDEX('潜水記録'!$AP$5:$AP$3004,$N18)&amp;"m ")&amp;INDEX('潜水記録'!$AQ$5:$AQ$3004,$N18)&amp;"分"))</f>
        <v/>
      </c>
      <c r="K18" s="14">
        <f>IF($A18="","",IF(INDEX('潜水記録'!$AC$5:$AC$3004,$N18)="","",INDEX('潜水記録'!$AC$5:$AC$3004,$N18)))</f>
        <v/>
      </c>
      <c r="L18" s="15">
        <f>IF($A18="","",IF(INDEX('潜水記録'!$P$5:$P$3004,$N18)="","",INDEX('潜水記録'!$P$5:$P$3004,$N18)))</f>
        <v/>
      </c>
      <c r="M18" s="37">
        <f>IF($A18="","",IF(INDEX('潜水記録'!$R$5:$R$3004,$N18)="","",INDEX('潜水記録'!$R$5:$R$3004,$N18)))</f>
        <v/>
      </c>
      <c r="N18" s="20">
        <f>IF($A18="","",MATCH($A18,'潜水記録'!$AJ$5:$AJ$3004,0))</f>
        <v/>
      </c>
    </row>
    <row r="19">
      <c r="A19" s="15">
        <f>IF(5&lt;=$G$11,5,"")</f>
        <v/>
      </c>
      <c r="B19" s="14">
        <f>IF($A19="","",IF(INDEX('潜水記録'!$C$5:$C$3004,$N19)="","",INDEX('潜水記録'!$C$5:$C$3004,$N19)))</f>
        <v/>
      </c>
      <c r="C19" s="15">
        <f>IF($A19="","",IF(INDEX('潜水記録'!$T$5:$T$3004,$N19)="","",INDEX('潜水記録'!$T$5:$T$3004,$N19)))</f>
        <v/>
      </c>
      <c r="D19" s="36">
        <f>IF($A19="","",IF(INDEX('潜水記録'!$U$5:$U$3004,$N19)="","",INDEX('潜水記録'!$U$5:$U$3004,$N19)))</f>
        <v/>
      </c>
      <c r="E19" s="36">
        <f>IF($A19="","",IF(INDEX('潜水記録'!$V$5:$V$3004,$N19)="","",INDEX('潜水記録'!$V$5:$V$3004,$N19)))</f>
        <v/>
      </c>
      <c r="F19" s="15">
        <f>IF($A19="","",IF(INDEX('潜水記録'!$G$5:$G$3004,$N19)="","",INDEX('潜水記録'!$G$5:$G$3004,$N19)))</f>
        <v/>
      </c>
      <c r="G19" s="15">
        <f>IF($A19="","",IF(INDEX('潜水記録'!$H$5:$H$3004,$N19)="","",INDEX('潜水記録'!$H$5:$H$3004,$N19)))</f>
        <v/>
      </c>
      <c r="H19" s="15">
        <f>IF($A19="","",IF(INDEX('潜水記録'!$I$5:$I$3004,$N19)="","",INDEX('潜水記録'!$I$5:$I$3004,$N19)))</f>
        <v/>
      </c>
      <c r="I19" s="15">
        <f>IF($A19="","",IF(AND(INDEX('潜水記録'!$K$5:$K$3004,$N19)="",INDEX('潜水記録'!$L$5:$L$3004,$N19)=""),"",INDEX('潜水記録'!$K$5:$K$3004,$N19)&amp;"→"&amp;INDEX('潜水記録'!$L$5:$L$3004,$N19)))</f>
        <v/>
      </c>
      <c r="J19" s="15">
        <f>IF($A19="","",IF(INDEX('潜水記録'!$AQ$5:$AQ$3004,$N19)="",IF(INDEX('潜水記録'!$AO$5:$AO$3004,$N19)="無","なし",""),IF(INDEX('潜水記録'!$AP$5:$AP$3004,$N19)="","",INDEX('潜水記録'!$AP$5:$AP$3004,$N19)&amp;"m ")&amp;INDEX('潜水記録'!$AQ$5:$AQ$3004,$N19)&amp;"分"))</f>
        <v/>
      </c>
      <c r="K19" s="14">
        <f>IF($A19="","",IF(INDEX('潜水記録'!$AC$5:$AC$3004,$N19)="","",INDEX('潜水記録'!$AC$5:$AC$3004,$N19)))</f>
        <v/>
      </c>
      <c r="L19" s="15">
        <f>IF($A19="","",IF(INDEX('潜水記録'!$P$5:$P$3004,$N19)="","",INDEX('潜水記録'!$P$5:$P$3004,$N19)))</f>
        <v/>
      </c>
      <c r="M19" s="37">
        <f>IF($A19="","",IF(INDEX('潜水記録'!$R$5:$R$3004,$N19)="","",INDEX('潜水記録'!$R$5:$R$3004,$N19)))</f>
        <v/>
      </c>
      <c r="N19" s="20">
        <f>IF($A19="","",MATCH($A19,'潜水記録'!$AJ$5:$AJ$3004,0))</f>
        <v/>
      </c>
    </row>
    <row r="20">
      <c r="A20" s="15">
        <f>IF(6&lt;=$G$11,6,"")</f>
        <v/>
      </c>
      <c r="B20" s="14">
        <f>IF($A20="","",IF(INDEX('潜水記録'!$C$5:$C$3004,$N20)="","",INDEX('潜水記録'!$C$5:$C$3004,$N20)))</f>
        <v/>
      </c>
      <c r="C20" s="15">
        <f>IF($A20="","",IF(INDEX('潜水記録'!$T$5:$T$3004,$N20)="","",INDEX('潜水記録'!$T$5:$T$3004,$N20)))</f>
        <v/>
      </c>
      <c r="D20" s="36">
        <f>IF($A20="","",IF(INDEX('潜水記録'!$U$5:$U$3004,$N20)="","",INDEX('潜水記録'!$U$5:$U$3004,$N20)))</f>
        <v/>
      </c>
      <c r="E20" s="36">
        <f>IF($A20="","",IF(INDEX('潜水記録'!$V$5:$V$3004,$N20)="","",INDEX('潜水記録'!$V$5:$V$3004,$N20)))</f>
        <v/>
      </c>
      <c r="F20" s="15">
        <f>IF($A20="","",IF(INDEX('潜水記録'!$G$5:$G$3004,$N20)="","",INDEX('潜水記録'!$G$5:$G$3004,$N20)))</f>
        <v/>
      </c>
      <c r="G20" s="15">
        <f>IF($A20="","",IF(INDEX('潜水記録'!$H$5:$H$3004,$N20)="","",INDEX('潜水記録'!$H$5:$H$3004,$N20)))</f>
        <v/>
      </c>
      <c r="H20" s="15">
        <f>IF($A20="","",IF(INDEX('潜水記録'!$I$5:$I$3004,$N20)="","",INDEX('潜水記録'!$I$5:$I$3004,$N20)))</f>
        <v/>
      </c>
      <c r="I20" s="15">
        <f>IF($A20="","",IF(AND(INDEX('潜水記録'!$K$5:$K$3004,$N20)="",INDEX('潜水記録'!$L$5:$L$3004,$N20)=""),"",INDEX('潜水記録'!$K$5:$K$3004,$N20)&amp;"→"&amp;INDEX('潜水記録'!$L$5:$L$3004,$N20)))</f>
        <v/>
      </c>
      <c r="J20" s="15">
        <f>IF($A20="","",IF(INDEX('潜水記録'!$AQ$5:$AQ$3004,$N20)="",IF(INDEX('潜水記録'!$AO$5:$AO$3004,$N20)="無","なし",""),IF(INDEX('潜水記録'!$AP$5:$AP$3004,$N20)="","",INDEX('潜水記録'!$AP$5:$AP$3004,$N20)&amp;"m ")&amp;INDEX('潜水記録'!$AQ$5:$AQ$3004,$N20)&amp;"分"))</f>
        <v/>
      </c>
      <c r="K20" s="14">
        <f>IF($A20="","",IF(INDEX('潜水記録'!$AC$5:$AC$3004,$N20)="","",INDEX('潜水記録'!$AC$5:$AC$3004,$N20)))</f>
        <v/>
      </c>
      <c r="L20" s="15">
        <f>IF($A20="","",IF(INDEX('潜水記録'!$P$5:$P$3004,$N20)="","",INDEX('潜水記録'!$P$5:$P$3004,$N20)))</f>
        <v/>
      </c>
      <c r="M20" s="37">
        <f>IF($A20="","",IF(INDEX('潜水記録'!$R$5:$R$3004,$N20)="","",INDEX('潜水記録'!$R$5:$R$3004,$N20)))</f>
        <v/>
      </c>
      <c r="N20" s="20">
        <f>IF($A20="","",MATCH($A20,'潜水記録'!$AJ$5:$AJ$3004,0))</f>
        <v/>
      </c>
    </row>
    <row r="21">
      <c r="A21" s="15">
        <f>IF(7&lt;=$G$11,7,"")</f>
        <v/>
      </c>
      <c r="B21" s="14">
        <f>IF($A21="","",IF(INDEX('潜水記録'!$C$5:$C$3004,$N21)="","",INDEX('潜水記録'!$C$5:$C$3004,$N21)))</f>
        <v/>
      </c>
      <c r="C21" s="15">
        <f>IF($A21="","",IF(INDEX('潜水記録'!$T$5:$T$3004,$N21)="","",INDEX('潜水記録'!$T$5:$T$3004,$N21)))</f>
        <v/>
      </c>
      <c r="D21" s="36">
        <f>IF($A21="","",IF(INDEX('潜水記録'!$U$5:$U$3004,$N21)="","",INDEX('潜水記録'!$U$5:$U$3004,$N21)))</f>
        <v/>
      </c>
      <c r="E21" s="36">
        <f>IF($A21="","",IF(INDEX('潜水記録'!$V$5:$V$3004,$N21)="","",INDEX('潜水記録'!$V$5:$V$3004,$N21)))</f>
        <v/>
      </c>
      <c r="F21" s="15">
        <f>IF($A21="","",IF(INDEX('潜水記録'!$G$5:$G$3004,$N21)="","",INDEX('潜水記録'!$G$5:$G$3004,$N21)))</f>
        <v/>
      </c>
      <c r="G21" s="15">
        <f>IF($A21="","",IF(INDEX('潜水記録'!$H$5:$H$3004,$N21)="","",INDEX('潜水記録'!$H$5:$H$3004,$N21)))</f>
        <v/>
      </c>
      <c r="H21" s="15">
        <f>IF($A21="","",IF(INDEX('潜水記録'!$I$5:$I$3004,$N21)="","",INDEX('潜水記録'!$I$5:$I$3004,$N21)))</f>
        <v/>
      </c>
      <c r="I21" s="15">
        <f>IF($A21="","",IF(AND(INDEX('潜水記録'!$K$5:$K$3004,$N21)="",INDEX('潜水記録'!$L$5:$L$3004,$N21)=""),"",INDEX('潜水記録'!$K$5:$K$3004,$N21)&amp;"→"&amp;INDEX('潜水記録'!$L$5:$L$3004,$N21)))</f>
        <v/>
      </c>
      <c r="J21" s="15">
        <f>IF($A21="","",IF(INDEX('潜水記録'!$AQ$5:$AQ$3004,$N21)="",IF(INDEX('潜水記録'!$AO$5:$AO$3004,$N21)="無","なし",""),IF(INDEX('潜水記録'!$AP$5:$AP$3004,$N21)="","",INDEX('潜水記録'!$AP$5:$AP$3004,$N21)&amp;"m ")&amp;INDEX('潜水記録'!$AQ$5:$AQ$3004,$N21)&amp;"分"))</f>
        <v/>
      </c>
      <c r="K21" s="14">
        <f>IF($A21="","",IF(INDEX('潜水記録'!$AC$5:$AC$3004,$N21)="","",INDEX('潜水記録'!$AC$5:$AC$3004,$N21)))</f>
        <v/>
      </c>
      <c r="L21" s="15">
        <f>IF($A21="","",IF(INDEX('潜水記録'!$P$5:$P$3004,$N21)="","",INDEX('潜水記録'!$P$5:$P$3004,$N21)))</f>
        <v/>
      </c>
      <c r="M21" s="37">
        <f>IF($A21="","",IF(INDEX('潜水記録'!$R$5:$R$3004,$N21)="","",INDEX('潜水記録'!$R$5:$R$3004,$N21)))</f>
        <v/>
      </c>
      <c r="N21" s="20">
        <f>IF($A21="","",MATCH($A21,'潜水記録'!$AJ$5:$AJ$3004,0))</f>
        <v/>
      </c>
    </row>
    <row r="22">
      <c r="A22" s="15">
        <f>IF(8&lt;=$G$11,8,"")</f>
        <v/>
      </c>
      <c r="B22" s="14">
        <f>IF($A22="","",IF(INDEX('潜水記録'!$C$5:$C$3004,$N22)="","",INDEX('潜水記録'!$C$5:$C$3004,$N22)))</f>
        <v/>
      </c>
      <c r="C22" s="15">
        <f>IF($A22="","",IF(INDEX('潜水記録'!$T$5:$T$3004,$N22)="","",INDEX('潜水記録'!$T$5:$T$3004,$N22)))</f>
        <v/>
      </c>
      <c r="D22" s="36">
        <f>IF($A22="","",IF(INDEX('潜水記録'!$U$5:$U$3004,$N22)="","",INDEX('潜水記録'!$U$5:$U$3004,$N22)))</f>
        <v/>
      </c>
      <c r="E22" s="36">
        <f>IF($A22="","",IF(INDEX('潜水記録'!$V$5:$V$3004,$N22)="","",INDEX('潜水記録'!$V$5:$V$3004,$N22)))</f>
        <v/>
      </c>
      <c r="F22" s="15">
        <f>IF($A22="","",IF(INDEX('潜水記録'!$G$5:$G$3004,$N22)="","",INDEX('潜水記録'!$G$5:$G$3004,$N22)))</f>
        <v/>
      </c>
      <c r="G22" s="15">
        <f>IF($A22="","",IF(INDEX('潜水記録'!$H$5:$H$3004,$N22)="","",INDEX('潜水記録'!$H$5:$H$3004,$N22)))</f>
        <v/>
      </c>
      <c r="H22" s="15">
        <f>IF($A22="","",IF(INDEX('潜水記録'!$I$5:$I$3004,$N22)="","",INDEX('潜水記録'!$I$5:$I$3004,$N22)))</f>
        <v/>
      </c>
      <c r="I22" s="15">
        <f>IF($A22="","",IF(AND(INDEX('潜水記録'!$K$5:$K$3004,$N22)="",INDEX('潜水記録'!$L$5:$L$3004,$N22)=""),"",INDEX('潜水記録'!$K$5:$K$3004,$N22)&amp;"→"&amp;INDEX('潜水記録'!$L$5:$L$3004,$N22)))</f>
        <v/>
      </c>
      <c r="J22" s="15">
        <f>IF($A22="","",IF(INDEX('潜水記録'!$AQ$5:$AQ$3004,$N22)="",IF(INDEX('潜水記録'!$AO$5:$AO$3004,$N22)="無","なし",""),IF(INDEX('潜水記録'!$AP$5:$AP$3004,$N22)="","",INDEX('潜水記録'!$AP$5:$AP$3004,$N22)&amp;"m ")&amp;INDEX('潜水記録'!$AQ$5:$AQ$3004,$N22)&amp;"分"))</f>
        <v/>
      </c>
      <c r="K22" s="14">
        <f>IF($A22="","",IF(INDEX('潜水記録'!$AC$5:$AC$3004,$N22)="","",INDEX('潜水記録'!$AC$5:$AC$3004,$N22)))</f>
        <v/>
      </c>
      <c r="L22" s="15">
        <f>IF($A22="","",IF(INDEX('潜水記録'!$P$5:$P$3004,$N22)="","",INDEX('潜水記録'!$P$5:$P$3004,$N22)))</f>
        <v/>
      </c>
      <c r="M22" s="37">
        <f>IF($A22="","",IF(INDEX('潜水記録'!$R$5:$R$3004,$N22)="","",INDEX('潜水記録'!$R$5:$R$3004,$N22)))</f>
        <v/>
      </c>
      <c r="N22" s="20">
        <f>IF($A22="","",MATCH($A22,'潜水記録'!$AJ$5:$AJ$3004,0))</f>
        <v/>
      </c>
    </row>
    <row r="23">
      <c r="A23" s="15">
        <f>IF(9&lt;=$G$11,9,"")</f>
        <v/>
      </c>
      <c r="B23" s="14">
        <f>IF($A23="","",IF(INDEX('潜水記録'!$C$5:$C$3004,$N23)="","",INDEX('潜水記録'!$C$5:$C$3004,$N23)))</f>
        <v/>
      </c>
      <c r="C23" s="15">
        <f>IF($A23="","",IF(INDEX('潜水記録'!$T$5:$T$3004,$N23)="","",INDEX('潜水記録'!$T$5:$T$3004,$N23)))</f>
        <v/>
      </c>
      <c r="D23" s="36">
        <f>IF($A23="","",IF(INDEX('潜水記録'!$U$5:$U$3004,$N23)="","",INDEX('潜水記録'!$U$5:$U$3004,$N23)))</f>
        <v/>
      </c>
      <c r="E23" s="36">
        <f>IF($A23="","",IF(INDEX('潜水記録'!$V$5:$V$3004,$N23)="","",INDEX('潜水記録'!$V$5:$V$3004,$N23)))</f>
        <v/>
      </c>
      <c r="F23" s="15">
        <f>IF($A23="","",IF(INDEX('潜水記録'!$G$5:$G$3004,$N23)="","",INDEX('潜水記録'!$G$5:$G$3004,$N23)))</f>
        <v/>
      </c>
      <c r="G23" s="15">
        <f>IF($A23="","",IF(INDEX('潜水記録'!$H$5:$H$3004,$N23)="","",INDEX('潜水記録'!$H$5:$H$3004,$N23)))</f>
        <v/>
      </c>
      <c r="H23" s="15">
        <f>IF($A23="","",IF(INDEX('潜水記録'!$I$5:$I$3004,$N23)="","",INDEX('潜水記録'!$I$5:$I$3004,$N23)))</f>
        <v/>
      </c>
      <c r="I23" s="15">
        <f>IF($A23="","",IF(AND(INDEX('潜水記録'!$K$5:$K$3004,$N23)="",INDEX('潜水記録'!$L$5:$L$3004,$N23)=""),"",INDEX('潜水記録'!$K$5:$K$3004,$N23)&amp;"→"&amp;INDEX('潜水記録'!$L$5:$L$3004,$N23)))</f>
        <v/>
      </c>
      <c r="J23" s="15">
        <f>IF($A23="","",IF(INDEX('潜水記録'!$AQ$5:$AQ$3004,$N23)="",IF(INDEX('潜水記録'!$AO$5:$AO$3004,$N23)="無","なし",""),IF(INDEX('潜水記録'!$AP$5:$AP$3004,$N23)="","",INDEX('潜水記録'!$AP$5:$AP$3004,$N23)&amp;"m ")&amp;INDEX('潜水記録'!$AQ$5:$AQ$3004,$N23)&amp;"分"))</f>
        <v/>
      </c>
      <c r="K23" s="14">
        <f>IF($A23="","",IF(INDEX('潜水記録'!$AC$5:$AC$3004,$N23)="","",INDEX('潜水記録'!$AC$5:$AC$3004,$N23)))</f>
        <v/>
      </c>
      <c r="L23" s="15">
        <f>IF($A23="","",IF(INDEX('潜水記録'!$P$5:$P$3004,$N23)="","",INDEX('潜水記録'!$P$5:$P$3004,$N23)))</f>
        <v/>
      </c>
      <c r="M23" s="37">
        <f>IF($A23="","",IF(INDEX('潜水記録'!$R$5:$R$3004,$N23)="","",INDEX('潜水記録'!$R$5:$R$3004,$N23)))</f>
        <v/>
      </c>
      <c r="N23" s="20">
        <f>IF($A23="","",MATCH($A23,'潜水記録'!$AJ$5:$AJ$3004,0))</f>
        <v/>
      </c>
    </row>
    <row r="24">
      <c r="A24" s="15">
        <f>IF(10&lt;=$G$11,10,"")</f>
        <v/>
      </c>
      <c r="B24" s="14">
        <f>IF($A24="","",IF(INDEX('潜水記録'!$C$5:$C$3004,$N24)="","",INDEX('潜水記録'!$C$5:$C$3004,$N24)))</f>
        <v/>
      </c>
      <c r="C24" s="15">
        <f>IF($A24="","",IF(INDEX('潜水記録'!$T$5:$T$3004,$N24)="","",INDEX('潜水記録'!$T$5:$T$3004,$N24)))</f>
        <v/>
      </c>
      <c r="D24" s="36">
        <f>IF($A24="","",IF(INDEX('潜水記録'!$U$5:$U$3004,$N24)="","",INDEX('潜水記録'!$U$5:$U$3004,$N24)))</f>
        <v/>
      </c>
      <c r="E24" s="36">
        <f>IF($A24="","",IF(INDEX('潜水記録'!$V$5:$V$3004,$N24)="","",INDEX('潜水記録'!$V$5:$V$3004,$N24)))</f>
        <v/>
      </c>
      <c r="F24" s="15">
        <f>IF($A24="","",IF(INDEX('潜水記録'!$G$5:$G$3004,$N24)="","",INDEX('潜水記録'!$G$5:$G$3004,$N24)))</f>
        <v/>
      </c>
      <c r="G24" s="15">
        <f>IF($A24="","",IF(INDEX('潜水記録'!$H$5:$H$3004,$N24)="","",INDEX('潜水記録'!$H$5:$H$3004,$N24)))</f>
        <v/>
      </c>
      <c r="H24" s="15">
        <f>IF($A24="","",IF(INDEX('潜水記録'!$I$5:$I$3004,$N24)="","",INDEX('潜水記録'!$I$5:$I$3004,$N24)))</f>
        <v/>
      </c>
      <c r="I24" s="15">
        <f>IF($A24="","",IF(AND(INDEX('潜水記録'!$K$5:$K$3004,$N24)="",INDEX('潜水記録'!$L$5:$L$3004,$N24)=""),"",INDEX('潜水記録'!$K$5:$K$3004,$N24)&amp;"→"&amp;INDEX('潜水記録'!$L$5:$L$3004,$N24)))</f>
        <v/>
      </c>
      <c r="J24" s="15">
        <f>IF($A24="","",IF(INDEX('潜水記録'!$AQ$5:$AQ$3004,$N24)="",IF(INDEX('潜水記録'!$AO$5:$AO$3004,$N24)="無","なし",""),IF(INDEX('潜水記録'!$AP$5:$AP$3004,$N24)="","",INDEX('潜水記録'!$AP$5:$AP$3004,$N24)&amp;"m ")&amp;INDEX('潜水記録'!$AQ$5:$AQ$3004,$N24)&amp;"分"))</f>
        <v/>
      </c>
      <c r="K24" s="14">
        <f>IF($A24="","",IF(INDEX('潜水記録'!$AC$5:$AC$3004,$N24)="","",INDEX('潜水記録'!$AC$5:$AC$3004,$N24)))</f>
        <v/>
      </c>
      <c r="L24" s="15">
        <f>IF($A24="","",IF(INDEX('潜水記録'!$P$5:$P$3004,$N24)="","",INDEX('潜水記録'!$P$5:$P$3004,$N24)))</f>
        <v/>
      </c>
      <c r="M24" s="37">
        <f>IF($A24="","",IF(INDEX('潜水記録'!$R$5:$R$3004,$N24)="","",INDEX('潜水記録'!$R$5:$R$3004,$N24)))</f>
        <v/>
      </c>
      <c r="N24" s="20">
        <f>IF($A24="","",MATCH($A24,'潜水記録'!$AJ$5:$AJ$3004,0))</f>
        <v/>
      </c>
    </row>
    <row r="25">
      <c r="A25" s="15">
        <f>IF(11&lt;=$G$11,11,"")</f>
        <v/>
      </c>
      <c r="B25" s="14">
        <f>IF($A25="","",IF(INDEX('潜水記録'!$C$5:$C$3004,$N25)="","",INDEX('潜水記録'!$C$5:$C$3004,$N25)))</f>
        <v/>
      </c>
      <c r="C25" s="15">
        <f>IF($A25="","",IF(INDEX('潜水記録'!$T$5:$T$3004,$N25)="","",INDEX('潜水記録'!$T$5:$T$3004,$N25)))</f>
        <v/>
      </c>
      <c r="D25" s="36">
        <f>IF($A25="","",IF(INDEX('潜水記録'!$U$5:$U$3004,$N25)="","",INDEX('潜水記録'!$U$5:$U$3004,$N25)))</f>
        <v/>
      </c>
      <c r="E25" s="36">
        <f>IF($A25="","",IF(INDEX('潜水記録'!$V$5:$V$3004,$N25)="","",INDEX('潜水記録'!$V$5:$V$3004,$N25)))</f>
        <v/>
      </c>
      <c r="F25" s="15">
        <f>IF($A25="","",IF(INDEX('潜水記録'!$G$5:$G$3004,$N25)="","",INDEX('潜水記録'!$G$5:$G$3004,$N25)))</f>
        <v/>
      </c>
      <c r="G25" s="15">
        <f>IF($A25="","",IF(INDEX('潜水記録'!$H$5:$H$3004,$N25)="","",INDEX('潜水記録'!$H$5:$H$3004,$N25)))</f>
        <v/>
      </c>
      <c r="H25" s="15">
        <f>IF($A25="","",IF(INDEX('潜水記録'!$I$5:$I$3004,$N25)="","",INDEX('潜水記録'!$I$5:$I$3004,$N25)))</f>
        <v/>
      </c>
      <c r="I25" s="15">
        <f>IF($A25="","",IF(AND(INDEX('潜水記録'!$K$5:$K$3004,$N25)="",INDEX('潜水記録'!$L$5:$L$3004,$N25)=""),"",INDEX('潜水記録'!$K$5:$K$3004,$N25)&amp;"→"&amp;INDEX('潜水記録'!$L$5:$L$3004,$N25)))</f>
        <v/>
      </c>
      <c r="J25" s="15">
        <f>IF($A25="","",IF(INDEX('潜水記録'!$AQ$5:$AQ$3004,$N25)="",IF(INDEX('潜水記録'!$AO$5:$AO$3004,$N25)="無","なし",""),IF(INDEX('潜水記録'!$AP$5:$AP$3004,$N25)="","",INDEX('潜水記録'!$AP$5:$AP$3004,$N25)&amp;"m ")&amp;INDEX('潜水記録'!$AQ$5:$AQ$3004,$N25)&amp;"分"))</f>
        <v/>
      </c>
      <c r="K25" s="14">
        <f>IF($A25="","",IF(INDEX('潜水記録'!$AC$5:$AC$3004,$N25)="","",INDEX('潜水記録'!$AC$5:$AC$3004,$N25)))</f>
        <v/>
      </c>
      <c r="L25" s="15">
        <f>IF($A25="","",IF(INDEX('潜水記録'!$P$5:$P$3004,$N25)="","",INDEX('潜水記録'!$P$5:$P$3004,$N25)))</f>
        <v/>
      </c>
      <c r="M25" s="37">
        <f>IF($A25="","",IF(INDEX('潜水記録'!$R$5:$R$3004,$N25)="","",INDEX('潜水記録'!$R$5:$R$3004,$N25)))</f>
        <v/>
      </c>
      <c r="N25" s="20">
        <f>IF($A25="","",MATCH($A25,'潜水記録'!$AJ$5:$AJ$3004,0))</f>
        <v/>
      </c>
    </row>
    <row r="26">
      <c r="A26" s="15">
        <f>IF(12&lt;=$G$11,12,"")</f>
        <v/>
      </c>
      <c r="B26" s="14">
        <f>IF($A26="","",IF(INDEX('潜水記録'!$C$5:$C$3004,$N26)="","",INDEX('潜水記録'!$C$5:$C$3004,$N26)))</f>
        <v/>
      </c>
      <c r="C26" s="15">
        <f>IF($A26="","",IF(INDEX('潜水記録'!$T$5:$T$3004,$N26)="","",INDEX('潜水記録'!$T$5:$T$3004,$N26)))</f>
        <v/>
      </c>
      <c r="D26" s="36">
        <f>IF($A26="","",IF(INDEX('潜水記録'!$U$5:$U$3004,$N26)="","",INDEX('潜水記録'!$U$5:$U$3004,$N26)))</f>
        <v/>
      </c>
      <c r="E26" s="36">
        <f>IF($A26="","",IF(INDEX('潜水記録'!$V$5:$V$3004,$N26)="","",INDEX('潜水記録'!$V$5:$V$3004,$N26)))</f>
        <v/>
      </c>
      <c r="F26" s="15">
        <f>IF($A26="","",IF(INDEX('潜水記録'!$G$5:$G$3004,$N26)="","",INDEX('潜水記録'!$G$5:$G$3004,$N26)))</f>
        <v/>
      </c>
      <c r="G26" s="15">
        <f>IF($A26="","",IF(INDEX('潜水記録'!$H$5:$H$3004,$N26)="","",INDEX('潜水記録'!$H$5:$H$3004,$N26)))</f>
        <v/>
      </c>
      <c r="H26" s="15">
        <f>IF($A26="","",IF(INDEX('潜水記録'!$I$5:$I$3004,$N26)="","",INDEX('潜水記録'!$I$5:$I$3004,$N26)))</f>
        <v/>
      </c>
      <c r="I26" s="15">
        <f>IF($A26="","",IF(AND(INDEX('潜水記録'!$K$5:$K$3004,$N26)="",INDEX('潜水記録'!$L$5:$L$3004,$N26)=""),"",INDEX('潜水記録'!$K$5:$K$3004,$N26)&amp;"→"&amp;INDEX('潜水記録'!$L$5:$L$3004,$N26)))</f>
        <v/>
      </c>
      <c r="J26" s="15">
        <f>IF($A26="","",IF(INDEX('潜水記録'!$AQ$5:$AQ$3004,$N26)="",IF(INDEX('潜水記録'!$AO$5:$AO$3004,$N26)="無","なし",""),IF(INDEX('潜水記録'!$AP$5:$AP$3004,$N26)="","",INDEX('潜水記録'!$AP$5:$AP$3004,$N26)&amp;"m ")&amp;INDEX('潜水記録'!$AQ$5:$AQ$3004,$N26)&amp;"分"))</f>
        <v/>
      </c>
      <c r="K26" s="14">
        <f>IF($A26="","",IF(INDEX('潜水記録'!$AC$5:$AC$3004,$N26)="","",INDEX('潜水記録'!$AC$5:$AC$3004,$N26)))</f>
        <v/>
      </c>
      <c r="L26" s="15">
        <f>IF($A26="","",IF(INDEX('潜水記録'!$P$5:$P$3004,$N26)="","",INDEX('潜水記録'!$P$5:$P$3004,$N26)))</f>
        <v/>
      </c>
      <c r="M26" s="37">
        <f>IF($A26="","",IF(INDEX('潜水記録'!$R$5:$R$3004,$N26)="","",INDEX('潜水記録'!$R$5:$R$3004,$N26)))</f>
        <v/>
      </c>
      <c r="N26" s="20">
        <f>IF($A26="","",MATCH($A26,'潜水記録'!$AJ$5:$AJ$3004,0))</f>
        <v/>
      </c>
    </row>
    <row r="27">
      <c r="A27" s="15">
        <f>IF(13&lt;=$G$11,13,"")</f>
        <v/>
      </c>
      <c r="B27" s="14">
        <f>IF($A27="","",IF(INDEX('潜水記録'!$C$5:$C$3004,$N27)="","",INDEX('潜水記録'!$C$5:$C$3004,$N27)))</f>
        <v/>
      </c>
      <c r="C27" s="15">
        <f>IF($A27="","",IF(INDEX('潜水記録'!$T$5:$T$3004,$N27)="","",INDEX('潜水記録'!$T$5:$T$3004,$N27)))</f>
        <v/>
      </c>
      <c r="D27" s="36">
        <f>IF($A27="","",IF(INDEX('潜水記録'!$U$5:$U$3004,$N27)="","",INDEX('潜水記録'!$U$5:$U$3004,$N27)))</f>
        <v/>
      </c>
      <c r="E27" s="36">
        <f>IF($A27="","",IF(INDEX('潜水記録'!$V$5:$V$3004,$N27)="","",INDEX('潜水記録'!$V$5:$V$3004,$N27)))</f>
        <v/>
      </c>
      <c r="F27" s="15">
        <f>IF($A27="","",IF(INDEX('潜水記録'!$G$5:$G$3004,$N27)="","",INDEX('潜水記録'!$G$5:$G$3004,$N27)))</f>
        <v/>
      </c>
      <c r="G27" s="15">
        <f>IF($A27="","",IF(INDEX('潜水記録'!$H$5:$H$3004,$N27)="","",INDEX('潜水記録'!$H$5:$H$3004,$N27)))</f>
        <v/>
      </c>
      <c r="H27" s="15">
        <f>IF($A27="","",IF(INDEX('潜水記録'!$I$5:$I$3004,$N27)="","",INDEX('潜水記録'!$I$5:$I$3004,$N27)))</f>
        <v/>
      </c>
      <c r="I27" s="15">
        <f>IF($A27="","",IF(AND(INDEX('潜水記録'!$K$5:$K$3004,$N27)="",INDEX('潜水記録'!$L$5:$L$3004,$N27)=""),"",INDEX('潜水記録'!$K$5:$K$3004,$N27)&amp;"→"&amp;INDEX('潜水記録'!$L$5:$L$3004,$N27)))</f>
        <v/>
      </c>
      <c r="J27" s="15">
        <f>IF($A27="","",IF(INDEX('潜水記録'!$AQ$5:$AQ$3004,$N27)="",IF(INDEX('潜水記録'!$AO$5:$AO$3004,$N27)="無","なし",""),IF(INDEX('潜水記録'!$AP$5:$AP$3004,$N27)="","",INDEX('潜水記録'!$AP$5:$AP$3004,$N27)&amp;"m ")&amp;INDEX('潜水記録'!$AQ$5:$AQ$3004,$N27)&amp;"分"))</f>
        <v/>
      </c>
      <c r="K27" s="14">
        <f>IF($A27="","",IF(INDEX('潜水記録'!$AC$5:$AC$3004,$N27)="","",INDEX('潜水記録'!$AC$5:$AC$3004,$N27)))</f>
        <v/>
      </c>
      <c r="L27" s="15">
        <f>IF($A27="","",IF(INDEX('潜水記録'!$P$5:$P$3004,$N27)="","",INDEX('潜水記録'!$P$5:$P$3004,$N27)))</f>
        <v/>
      </c>
      <c r="M27" s="37">
        <f>IF($A27="","",IF(INDEX('潜水記録'!$R$5:$R$3004,$N27)="","",INDEX('潜水記録'!$R$5:$R$3004,$N27)))</f>
        <v/>
      </c>
      <c r="N27" s="20">
        <f>IF($A27="","",MATCH($A27,'潜水記録'!$AJ$5:$AJ$3004,0))</f>
        <v/>
      </c>
    </row>
    <row r="28">
      <c r="A28" s="15">
        <f>IF(14&lt;=$G$11,14,"")</f>
        <v/>
      </c>
      <c r="B28" s="14">
        <f>IF($A28="","",IF(INDEX('潜水記録'!$C$5:$C$3004,$N28)="","",INDEX('潜水記録'!$C$5:$C$3004,$N28)))</f>
        <v/>
      </c>
      <c r="C28" s="15">
        <f>IF($A28="","",IF(INDEX('潜水記録'!$T$5:$T$3004,$N28)="","",INDEX('潜水記録'!$T$5:$T$3004,$N28)))</f>
        <v/>
      </c>
      <c r="D28" s="36">
        <f>IF($A28="","",IF(INDEX('潜水記録'!$U$5:$U$3004,$N28)="","",INDEX('潜水記録'!$U$5:$U$3004,$N28)))</f>
        <v/>
      </c>
      <c r="E28" s="36">
        <f>IF($A28="","",IF(INDEX('潜水記録'!$V$5:$V$3004,$N28)="","",INDEX('潜水記録'!$V$5:$V$3004,$N28)))</f>
        <v/>
      </c>
      <c r="F28" s="15">
        <f>IF($A28="","",IF(INDEX('潜水記録'!$G$5:$G$3004,$N28)="","",INDEX('潜水記録'!$G$5:$G$3004,$N28)))</f>
        <v/>
      </c>
      <c r="G28" s="15">
        <f>IF($A28="","",IF(INDEX('潜水記録'!$H$5:$H$3004,$N28)="","",INDEX('潜水記録'!$H$5:$H$3004,$N28)))</f>
        <v/>
      </c>
      <c r="H28" s="15">
        <f>IF($A28="","",IF(INDEX('潜水記録'!$I$5:$I$3004,$N28)="","",INDEX('潜水記録'!$I$5:$I$3004,$N28)))</f>
        <v/>
      </c>
      <c r="I28" s="15">
        <f>IF($A28="","",IF(AND(INDEX('潜水記録'!$K$5:$K$3004,$N28)="",INDEX('潜水記録'!$L$5:$L$3004,$N28)=""),"",INDEX('潜水記録'!$K$5:$K$3004,$N28)&amp;"→"&amp;INDEX('潜水記録'!$L$5:$L$3004,$N28)))</f>
        <v/>
      </c>
      <c r="J28" s="15">
        <f>IF($A28="","",IF(INDEX('潜水記録'!$AQ$5:$AQ$3004,$N28)="",IF(INDEX('潜水記録'!$AO$5:$AO$3004,$N28)="無","なし",""),IF(INDEX('潜水記録'!$AP$5:$AP$3004,$N28)="","",INDEX('潜水記録'!$AP$5:$AP$3004,$N28)&amp;"m ")&amp;INDEX('潜水記録'!$AQ$5:$AQ$3004,$N28)&amp;"分"))</f>
        <v/>
      </c>
      <c r="K28" s="14">
        <f>IF($A28="","",IF(INDEX('潜水記録'!$AC$5:$AC$3004,$N28)="","",INDEX('潜水記録'!$AC$5:$AC$3004,$N28)))</f>
        <v/>
      </c>
      <c r="L28" s="15">
        <f>IF($A28="","",IF(INDEX('潜水記録'!$P$5:$P$3004,$N28)="","",INDEX('潜水記録'!$P$5:$P$3004,$N28)))</f>
        <v/>
      </c>
      <c r="M28" s="37">
        <f>IF($A28="","",IF(INDEX('潜水記録'!$R$5:$R$3004,$N28)="","",INDEX('潜水記録'!$R$5:$R$3004,$N28)))</f>
        <v/>
      </c>
      <c r="N28" s="20">
        <f>IF($A28="","",MATCH($A28,'潜水記録'!$AJ$5:$AJ$3004,0))</f>
        <v/>
      </c>
    </row>
    <row r="29">
      <c r="A29" s="15">
        <f>IF(15&lt;=$G$11,15,"")</f>
        <v/>
      </c>
      <c r="B29" s="14">
        <f>IF($A29="","",IF(INDEX('潜水記録'!$C$5:$C$3004,$N29)="","",INDEX('潜水記録'!$C$5:$C$3004,$N29)))</f>
        <v/>
      </c>
      <c r="C29" s="15">
        <f>IF($A29="","",IF(INDEX('潜水記録'!$T$5:$T$3004,$N29)="","",INDEX('潜水記録'!$T$5:$T$3004,$N29)))</f>
        <v/>
      </c>
      <c r="D29" s="36">
        <f>IF($A29="","",IF(INDEX('潜水記録'!$U$5:$U$3004,$N29)="","",INDEX('潜水記録'!$U$5:$U$3004,$N29)))</f>
        <v/>
      </c>
      <c r="E29" s="36">
        <f>IF($A29="","",IF(INDEX('潜水記録'!$V$5:$V$3004,$N29)="","",INDEX('潜水記録'!$V$5:$V$3004,$N29)))</f>
        <v/>
      </c>
      <c r="F29" s="15">
        <f>IF($A29="","",IF(INDEX('潜水記録'!$G$5:$G$3004,$N29)="","",INDEX('潜水記録'!$G$5:$G$3004,$N29)))</f>
        <v/>
      </c>
      <c r="G29" s="15">
        <f>IF($A29="","",IF(INDEX('潜水記録'!$H$5:$H$3004,$N29)="","",INDEX('潜水記録'!$H$5:$H$3004,$N29)))</f>
        <v/>
      </c>
      <c r="H29" s="15">
        <f>IF($A29="","",IF(INDEX('潜水記録'!$I$5:$I$3004,$N29)="","",INDEX('潜水記録'!$I$5:$I$3004,$N29)))</f>
        <v/>
      </c>
      <c r="I29" s="15">
        <f>IF($A29="","",IF(AND(INDEX('潜水記録'!$K$5:$K$3004,$N29)="",INDEX('潜水記録'!$L$5:$L$3004,$N29)=""),"",INDEX('潜水記録'!$K$5:$K$3004,$N29)&amp;"→"&amp;INDEX('潜水記録'!$L$5:$L$3004,$N29)))</f>
        <v/>
      </c>
      <c r="J29" s="15">
        <f>IF($A29="","",IF(INDEX('潜水記録'!$AQ$5:$AQ$3004,$N29)="",IF(INDEX('潜水記録'!$AO$5:$AO$3004,$N29)="無","なし",""),IF(INDEX('潜水記録'!$AP$5:$AP$3004,$N29)="","",INDEX('潜水記録'!$AP$5:$AP$3004,$N29)&amp;"m ")&amp;INDEX('潜水記録'!$AQ$5:$AQ$3004,$N29)&amp;"分"))</f>
        <v/>
      </c>
      <c r="K29" s="14">
        <f>IF($A29="","",IF(INDEX('潜水記録'!$AC$5:$AC$3004,$N29)="","",INDEX('潜水記録'!$AC$5:$AC$3004,$N29)))</f>
        <v/>
      </c>
      <c r="L29" s="15">
        <f>IF($A29="","",IF(INDEX('潜水記録'!$P$5:$P$3004,$N29)="","",INDEX('潜水記録'!$P$5:$P$3004,$N29)))</f>
        <v/>
      </c>
      <c r="M29" s="37">
        <f>IF($A29="","",IF(INDEX('潜水記録'!$R$5:$R$3004,$N29)="","",INDEX('潜水記録'!$R$5:$R$3004,$N29)))</f>
        <v/>
      </c>
      <c r="N29" s="20">
        <f>IF($A29="","",MATCH($A29,'潜水記録'!$AJ$5:$AJ$3004,0))</f>
        <v/>
      </c>
    </row>
    <row r="30">
      <c r="A30" s="15">
        <f>IF(16&lt;=$G$11,16,"")</f>
        <v/>
      </c>
      <c r="B30" s="14">
        <f>IF($A30="","",IF(INDEX('潜水記録'!$C$5:$C$3004,$N30)="","",INDEX('潜水記録'!$C$5:$C$3004,$N30)))</f>
        <v/>
      </c>
      <c r="C30" s="15">
        <f>IF($A30="","",IF(INDEX('潜水記録'!$T$5:$T$3004,$N30)="","",INDEX('潜水記録'!$T$5:$T$3004,$N30)))</f>
        <v/>
      </c>
      <c r="D30" s="36">
        <f>IF($A30="","",IF(INDEX('潜水記録'!$U$5:$U$3004,$N30)="","",INDEX('潜水記録'!$U$5:$U$3004,$N30)))</f>
        <v/>
      </c>
      <c r="E30" s="36">
        <f>IF($A30="","",IF(INDEX('潜水記録'!$V$5:$V$3004,$N30)="","",INDEX('潜水記録'!$V$5:$V$3004,$N30)))</f>
        <v/>
      </c>
      <c r="F30" s="15">
        <f>IF($A30="","",IF(INDEX('潜水記録'!$G$5:$G$3004,$N30)="","",INDEX('潜水記録'!$G$5:$G$3004,$N30)))</f>
        <v/>
      </c>
      <c r="G30" s="15">
        <f>IF($A30="","",IF(INDEX('潜水記録'!$H$5:$H$3004,$N30)="","",INDEX('潜水記録'!$H$5:$H$3004,$N30)))</f>
        <v/>
      </c>
      <c r="H30" s="15">
        <f>IF($A30="","",IF(INDEX('潜水記録'!$I$5:$I$3004,$N30)="","",INDEX('潜水記録'!$I$5:$I$3004,$N30)))</f>
        <v/>
      </c>
      <c r="I30" s="15">
        <f>IF($A30="","",IF(AND(INDEX('潜水記録'!$K$5:$K$3004,$N30)="",INDEX('潜水記録'!$L$5:$L$3004,$N30)=""),"",INDEX('潜水記録'!$K$5:$K$3004,$N30)&amp;"→"&amp;INDEX('潜水記録'!$L$5:$L$3004,$N30)))</f>
        <v/>
      </c>
      <c r="J30" s="15">
        <f>IF($A30="","",IF(INDEX('潜水記録'!$AQ$5:$AQ$3004,$N30)="",IF(INDEX('潜水記録'!$AO$5:$AO$3004,$N30)="無","なし",""),IF(INDEX('潜水記録'!$AP$5:$AP$3004,$N30)="","",INDEX('潜水記録'!$AP$5:$AP$3004,$N30)&amp;"m ")&amp;INDEX('潜水記録'!$AQ$5:$AQ$3004,$N30)&amp;"分"))</f>
        <v/>
      </c>
      <c r="K30" s="14">
        <f>IF($A30="","",IF(INDEX('潜水記録'!$AC$5:$AC$3004,$N30)="","",INDEX('潜水記録'!$AC$5:$AC$3004,$N30)))</f>
        <v/>
      </c>
      <c r="L30" s="15">
        <f>IF($A30="","",IF(INDEX('潜水記録'!$P$5:$P$3004,$N30)="","",INDEX('潜水記録'!$P$5:$P$3004,$N30)))</f>
        <v/>
      </c>
      <c r="M30" s="37">
        <f>IF($A30="","",IF(INDEX('潜水記録'!$R$5:$R$3004,$N30)="","",INDEX('潜水記録'!$R$5:$R$3004,$N30)))</f>
        <v/>
      </c>
      <c r="N30" s="20">
        <f>IF($A30="","",MATCH($A30,'潜水記録'!$AJ$5:$AJ$3004,0))</f>
        <v/>
      </c>
    </row>
    <row r="31">
      <c r="A31" s="15">
        <f>IF(17&lt;=$G$11,17,"")</f>
        <v/>
      </c>
      <c r="B31" s="14">
        <f>IF($A31="","",IF(INDEX('潜水記録'!$C$5:$C$3004,$N31)="","",INDEX('潜水記録'!$C$5:$C$3004,$N31)))</f>
        <v/>
      </c>
      <c r="C31" s="15">
        <f>IF($A31="","",IF(INDEX('潜水記録'!$T$5:$T$3004,$N31)="","",INDEX('潜水記録'!$T$5:$T$3004,$N31)))</f>
        <v/>
      </c>
      <c r="D31" s="36">
        <f>IF($A31="","",IF(INDEX('潜水記録'!$U$5:$U$3004,$N31)="","",INDEX('潜水記録'!$U$5:$U$3004,$N31)))</f>
        <v/>
      </c>
      <c r="E31" s="36">
        <f>IF($A31="","",IF(INDEX('潜水記録'!$V$5:$V$3004,$N31)="","",INDEX('潜水記録'!$V$5:$V$3004,$N31)))</f>
        <v/>
      </c>
      <c r="F31" s="15">
        <f>IF($A31="","",IF(INDEX('潜水記録'!$G$5:$G$3004,$N31)="","",INDEX('潜水記録'!$G$5:$G$3004,$N31)))</f>
        <v/>
      </c>
      <c r="G31" s="15">
        <f>IF($A31="","",IF(INDEX('潜水記録'!$H$5:$H$3004,$N31)="","",INDEX('潜水記録'!$H$5:$H$3004,$N31)))</f>
        <v/>
      </c>
      <c r="H31" s="15">
        <f>IF($A31="","",IF(INDEX('潜水記録'!$I$5:$I$3004,$N31)="","",INDEX('潜水記録'!$I$5:$I$3004,$N31)))</f>
        <v/>
      </c>
      <c r="I31" s="15">
        <f>IF($A31="","",IF(AND(INDEX('潜水記録'!$K$5:$K$3004,$N31)="",INDEX('潜水記録'!$L$5:$L$3004,$N31)=""),"",INDEX('潜水記録'!$K$5:$K$3004,$N31)&amp;"→"&amp;INDEX('潜水記録'!$L$5:$L$3004,$N31)))</f>
        <v/>
      </c>
      <c r="J31" s="15">
        <f>IF($A31="","",IF(INDEX('潜水記録'!$AQ$5:$AQ$3004,$N31)="",IF(INDEX('潜水記録'!$AO$5:$AO$3004,$N31)="無","なし",""),IF(INDEX('潜水記録'!$AP$5:$AP$3004,$N31)="","",INDEX('潜水記録'!$AP$5:$AP$3004,$N31)&amp;"m ")&amp;INDEX('潜水記録'!$AQ$5:$AQ$3004,$N31)&amp;"分"))</f>
        <v/>
      </c>
      <c r="K31" s="14">
        <f>IF($A31="","",IF(INDEX('潜水記録'!$AC$5:$AC$3004,$N31)="","",INDEX('潜水記録'!$AC$5:$AC$3004,$N31)))</f>
        <v/>
      </c>
      <c r="L31" s="15">
        <f>IF($A31="","",IF(INDEX('潜水記録'!$P$5:$P$3004,$N31)="","",INDEX('潜水記録'!$P$5:$P$3004,$N31)))</f>
        <v/>
      </c>
      <c r="M31" s="37">
        <f>IF($A31="","",IF(INDEX('潜水記録'!$R$5:$R$3004,$N31)="","",INDEX('潜水記録'!$R$5:$R$3004,$N31)))</f>
        <v/>
      </c>
      <c r="N31" s="20">
        <f>IF($A31="","",MATCH($A31,'潜水記録'!$AJ$5:$AJ$3004,0))</f>
        <v/>
      </c>
    </row>
    <row r="32">
      <c r="A32" s="15">
        <f>IF(18&lt;=$G$11,18,"")</f>
        <v/>
      </c>
      <c r="B32" s="14">
        <f>IF($A32="","",IF(INDEX('潜水記録'!$C$5:$C$3004,$N32)="","",INDEX('潜水記録'!$C$5:$C$3004,$N32)))</f>
        <v/>
      </c>
      <c r="C32" s="15">
        <f>IF($A32="","",IF(INDEX('潜水記録'!$T$5:$T$3004,$N32)="","",INDEX('潜水記録'!$T$5:$T$3004,$N32)))</f>
        <v/>
      </c>
      <c r="D32" s="36">
        <f>IF($A32="","",IF(INDEX('潜水記録'!$U$5:$U$3004,$N32)="","",INDEX('潜水記録'!$U$5:$U$3004,$N32)))</f>
        <v/>
      </c>
      <c r="E32" s="36">
        <f>IF($A32="","",IF(INDEX('潜水記録'!$V$5:$V$3004,$N32)="","",INDEX('潜水記録'!$V$5:$V$3004,$N32)))</f>
        <v/>
      </c>
      <c r="F32" s="15">
        <f>IF($A32="","",IF(INDEX('潜水記録'!$G$5:$G$3004,$N32)="","",INDEX('潜水記録'!$G$5:$G$3004,$N32)))</f>
        <v/>
      </c>
      <c r="G32" s="15">
        <f>IF($A32="","",IF(INDEX('潜水記録'!$H$5:$H$3004,$N32)="","",INDEX('潜水記録'!$H$5:$H$3004,$N32)))</f>
        <v/>
      </c>
      <c r="H32" s="15">
        <f>IF($A32="","",IF(INDEX('潜水記録'!$I$5:$I$3004,$N32)="","",INDEX('潜水記録'!$I$5:$I$3004,$N32)))</f>
        <v/>
      </c>
      <c r="I32" s="15">
        <f>IF($A32="","",IF(AND(INDEX('潜水記録'!$K$5:$K$3004,$N32)="",INDEX('潜水記録'!$L$5:$L$3004,$N32)=""),"",INDEX('潜水記録'!$K$5:$K$3004,$N32)&amp;"→"&amp;INDEX('潜水記録'!$L$5:$L$3004,$N32)))</f>
        <v/>
      </c>
      <c r="J32" s="15">
        <f>IF($A32="","",IF(INDEX('潜水記録'!$AQ$5:$AQ$3004,$N32)="",IF(INDEX('潜水記録'!$AO$5:$AO$3004,$N32)="無","なし",""),IF(INDEX('潜水記録'!$AP$5:$AP$3004,$N32)="","",INDEX('潜水記録'!$AP$5:$AP$3004,$N32)&amp;"m ")&amp;INDEX('潜水記録'!$AQ$5:$AQ$3004,$N32)&amp;"分"))</f>
        <v/>
      </c>
      <c r="K32" s="14">
        <f>IF($A32="","",IF(INDEX('潜水記録'!$AC$5:$AC$3004,$N32)="","",INDEX('潜水記録'!$AC$5:$AC$3004,$N32)))</f>
        <v/>
      </c>
      <c r="L32" s="15">
        <f>IF($A32="","",IF(INDEX('潜水記録'!$P$5:$P$3004,$N32)="","",INDEX('潜水記録'!$P$5:$P$3004,$N32)))</f>
        <v/>
      </c>
      <c r="M32" s="37">
        <f>IF($A32="","",IF(INDEX('潜水記録'!$R$5:$R$3004,$N32)="","",INDEX('潜水記録'!$R$5:$R$3004,$N32)))</f>
        <v/>
      </c>
      <c r="N32" s="20">
        <f>IF($A32="","",MATCH($A32,'潜水記録'!$AJ$5:$AJ$3004,0))</f>
        <v/>
      </c>
    </row>
    <row r="33">
      <c r="A33" s="15">
        <f>IF(19&lt;=$G$11,19,"")</f>
        <v/>
      </c>
      <c r="B33" s="14">
        <f>IF($A33="","",IF(INDEX('潜水記録'!$C$5:$C$3004,$N33)="","",INDEX('潜水記録'!$C$5:$C$3004,$N33)))</f>
        <v/>
      </c>
      <c r="C33" s="15">
        <f>IF($A33="","",IF(INDEX('潜水記録'!$T$5:$T$3004,$N33)="","",INDEX('潜水記録'!$T$5:$T$3004,$N33)))</f>
        <v/>
      </c>
      <c r="D33" s="36">
        <f>IF($A33="","",IF(INDEX('潜水記録'!$U$5:$U$3004,$N33)="","",INDEX('潜水記録'!$U$5:$U$3004,$N33)))</f>
        <v/>
      </c>
      <c r="E33" s="36">
        <f>IF($A33="","",IF(INDEX('潜水記録'!$V$5:$V$3004,$N33)="","",INDEX('潜水記録'!$V$5:$V$3004,$N33)))</f>
        <v/>
      </c>
      <c r="F33" s="15">
        <f>IF($A33="","",IF(INDEX('潜水記録'!$G$5:$G$3004,$N33)="","",INDEX('潜水記録'!$G$5:$G$3004,$N33)))</f>
        <v/>
      </c>
      <c r="G33" s="15">
        <f>IF($A33="","",IF(INDEX('潜水記録'!$H$5:$H$3004,$N33)="","",INDEX('潜水記録'!$H$5:$H$3004,$N33)))</f>
        <v/>
      </c>
      <c r="H33" s="15">
        <f>IF($A33="","",IF(INDEX('潜水記録'!$I$5:$I$3004,$N33)="","",INDEX('潜水記録'!$I$5:$I$3004,$N33)))</f>
        <v/>
      </c>
      <c r="I33" s="15">
        <f>IF($A33="","",IF(AND(INDEX('潜水記録'!$K$5:$K$3004,$N33)="",INDEX('潜水記録'!$L$5:$L$3004,$N33)=""),"",INDEX('潜水記録'!$K$5:$K$3004,$N33)&amp;"→"&amp;INDEX('潜水記録'!$L$5:$L$3004,$N33)))</f>
        <v/>
      </c>
      <c r="J33" s="15">
        <f>IF($A33="","",IF(INDEX('潜水記録'!$AQ$5:$AQ$3004,$N33)="",IF(INDEX('潜水記録'!$AO$5:$AO$3004,$N33)="無","なし",""),IF(INDEX('潜水記録'!$AP$5:$AP$3004,$N33)="","",INDEX('潜水記録'!$AP$5:$AP$3004,$N33)&amp;"m ")&amp;INDEX('潜水記録'!$AQ$5:$AQ$3004,$N33)&amp;"分"))</f>
        <v/>
      </c>
      <c r="K33" s="14">
        <f>IF($A33="","",IF(INDEX('潜水記録'!$AC$5:$AC$3004,$N33)="","",INDEX('潜水記録'!$AC$5:$AC$3004,$N33)))</f>
        <v/>
      </c>
      <c r="L33" s="15">
        <f>IF($A33="","",IF(INDEX('潜水記録'!$P$5:$P$3004,$N33)="","",INDEX('潜水記録'!$P$5:$P$3004,$N33)))</f>
        <v/>
      </c>
      <c r="M33" s="37">
        <f>IF($A33="","",IF(INDEX('潜水記録'!$R$5:$R$3004,$N33)="","",INDEX('潜水記録'!$R$5:$R$3004,$N33)))</f>
        <v/>
      </c>
      <c r="N33" s="20">
        <f>IF($A33="","",MATCH($A33,'潜水記録'!$AJ$5:$AJ$3004,0))</f>
        <v/>
      </c>
    </row>
    <row r="34">
      <c r="A34" s="15">
        <f>IF(20&lt;=$G$11,20,"")</f>
        <v/>
      </c>
      <c r="B34" s="14">
        <f>IF($A34="","",IF(INDEX('潜水記録'!$C$5:$C$3004,$N34)="","",INDEX('潜水記録'!$C$5:$C$3004,$N34)))</f>
        <v/>
      </c>
      <c r="C34" s="15">
        <f>IF($A34="","",IF(INDEX('潜水記録'!$T$5:$T$3004,$N34)="","",INDEX('潜水記録'!$T$5:$T$3004,$N34)))</f>
        <v/>
      </c>
      <c r="D34" s="36">
        <f>IF($A34="","",IF(INDEX('潜水記録'!$U$5:$U$3004,$N34)="","",INDEX('潜水記録'!$U$5:$U$3004,$N34)))</f>
        <v/>
      </c>
      <c r="E34" s="36">
        <f>IF($A34="","",IF(INDEX('潜水記録'!$V$5:$V$3004,$N34)="","",INDEX('潜水記録'!$V$5:$V$3004,$N34)))</f>
        <v/>
      </c>
      <c r="F34" s="15">
        <f>IF($A34="","",IF(INDEX('潜水記録'!$G$5:$G$3004,$N34)="","",INDEX('潜水記録'!$G$5:$G$3004,$N34)))</f>
        <v/>
      </c>
      <c r="G34" s="15">
        <f>IF($A34="","",IF(INDEX('潜水記録'!$H$5:$H$3004,$N34)="","",INDEX('潜水記録'!$H$5:$H$3004,$N34)))</f>
        <v/>
      </c>
      <c r="H34" s="15">
        <f>IF($A34="","",IF(INDEX('潜水記録'!$I$5:$I$3004,$N34)="","",INDEX('潜水記録'!$I$5:$I$3004,$N34)))</f>
        <v/>
      </c>
      <c r="I34" s="15">
        <f>IF($A34="","",IF(AND(INDEX('潜水記録'!$K$5:$K$3004,$N34)="",INDEX('潜水記録'!$L$5:$L$3004,$N34)=""),"",INDEX('潜水記録'!$K$5:$K$3004,$N34)&amp;"→"&amp;INDEX('潜水記録'!$L$5:$L$3004,$N34)))</f>
        <v/>
      </c>
      <c r="J34" s="15">
        <f>IF($A34="","",IF(INDEX('潜水記録'!$AQ$5:$AQ$3004,$N34)="",IF(INDEX('潜水記録'!$AO$5:$AO$3004,$N34)="無","なし",""),IF(INDEX('潜水記録'!$AP$5:$AP$3004,$N34)="","",INDEX('潜水記録'!$AP$5:$AP$3004,$N34)&amp;"m ")&amp;INDEX('潜水記録'!$AQ$5:$AQ$3004,$N34)&amp;"分"))</f>
        <v/>
      </c>
      <c r="K34" s="14">
        <f>IF($A34="","",IF(INDEX('潜水記録'!$AC$5:$AC$3004,$N34)="","",INDEX('潜水記録'!$AC$5:$AC$3004,$N34)))</f>
        <v/>
      </c>
      <c r="L34" s="15">
        <f>IF($A34="","",IF(INDEX('潜水記録'!$P$5:$P$3004,$N34)="","",INDEX('潜水記録'!$P$5:$P$3004,$N34)))</f>
        <v/>
      </c>
      <c r="M34" s="37">
        <f>IF($A34="","",IF(INDEX('潜水記録'!$R$5:$R$3004,$N34)="","",INDEX('潜水記録'!$R$5:$R$3004,$N34)))</f>
        <v/>
      </c>
      <c r="N34" s="20">
        <f>IF($A34="","",MATCH($A34,'潜水記録'!$AJ$5:$AJ$3004,0))</f>
        <v/>
      </c>
    </row>
    <row r="35">
      <c r="A35" s="15">
        <f>IF(21&lt;=$G$11,21,"")</f>
        <v/>
      </c>
      <c r="B35" s="14">
        <f>IF($A35="","",IF(INDEX('潜水記録'!$C$5:$C$3004,$N35)="","",INDEX('潜水記録'!$C$5:$C$3004,$N35)))</f>
        <v/>
      </c>
      <c r="C35" s="15">
        <f>IF($A35="","",IF(INDEX('潜水記録'!$T$5:$T$3004,$N35)="","",INDEX('潜水記録'!$T$5:$T$3004,$N35)))</f>
        <v/>
      </c>
      <c r="D35" s="36">
        <f>IF($A35="","",IF(INDEX('潜水記録'!$U$5:$U$3004,$N35)="","",INDEX('潜水記録'!$U$5:$U$3004,$N35)))</f>
        <v/>
      </c>
      <c r="E35" s="36">
        <f>IF($A35="","",IF(INDEX('潜水記録'!$V$5:$V$3004,$N35)="","",INDEX('潜水記録'!$V$5:$V$3004,$N35)))</f>
        <v/>
      </c>
      <c r="F35" s="15">
        <f>IF($A35="","",IF(INDEX('潜水記録'!$G$5:$G$3004,$N35)="","",INDEX('潜水記録'!$G$5:$G$3004,$N35)))</f>
        <v/>
      </c>
      <c r="G35" s="15">
        <f>IF($A35="","",IF(INDEX('潜水記録'!$H$5:$H$3004,$N35)="","",INDEX('潜水記録'!$H$5:$H$3004,$N35)))</f>
        <v/>
      </c>
      <c r="H35" s="15">
        <f>IF($A35="","",IF(INDEX('潜水記録'!$I$5:$I$3004,$N35)="","",INDEX('潜水記録'!$I$5:$I$3004,$N35)))</f>
        <v/>
      </c>
      <c r="I35" s="15">
        <f>IF($A35="","",IF(AND(INDEX('潜水記録'!$K$5:$K$3004,$N35)="",INDEX('潜水記録'!$L$5:$L$3004,$N35)=""),"",INDEX('潜水記録'!$K$5:$K$3004,$N35)&amp;"→"&amp;INDEX('潜水記録'!$L$5:$L$3004,$N35)))</f>
        <v/>
      </c>
      <c r="J35" s="15">
        <f>IF($A35="","",IF(INDEX('潜水記録'!$AQ$5:$AQ$3004,$N35)="",IF(INDEX('潜水記録'!$AO$5:$AO$3004,$N35)="無","なし",""),IF(INDEX('潜水記録'!$AP$5:$AP$3004,$N35)="","",INDEX('潜水記録'!$AP$5:$AP$3004,$N35)&amp;"m ")&amp;INDEX('潜水記録'!$AQ$5:$AQ$3004,$N35)&amp;"分"))</f>
        <v/>
      </c>
      <c r="K35" s="14">
        <f>IF($A35="","",IF(INDEX('潜水記録'!$AC$5:$AC$3004,$N35)="","",INDEX('潜水記録'!$AC$5:$AC$3004,$N35)))</f>
        <v/>
      </c>
      <c r="L35" s="15">
        <f>IF($A35="","",IF(INDEX('潜水記録'!$P$5:$P$3004,$N35)="","",INDEX('潜水記録'!$P$5:$P$3004,$N35)))</f>
        <v/>
      </c>
      <c r="M35" s="37">
        <f>IF($A35="","",IF(INDEX('潜水記録'!$R$5:$R$3004,$N35)="","",INDEX('潜水記録'!$R$5:$R$3004,$N35)))</f>
        <v/>
      </c>
      <c r="N35" s="20">
        <f>IF($A35="","",MATCH($A35,'潜水記録'!$AJ$5:$AJ$3004,0))</f>
        <v/>
      </c>
    </row>
    <row r="36">
      <c r="A36" s="15">
        <f>IF(22&lt;=$G$11,22,"")</f>
        <v/>
      </c>
      <c r="B36" s="14">
        <f>IF($A36="","",IF(INDEX('潜水記録'!$C$5:$C$3004,$N36)="","",INDEX('潜水記録'!$C$5:$C$3004,$N36)))</f>
        <v/>
      </c>
      <c r="C36" s="15">
        <f>IF($A36="","",IF(INDEX('潜水記録'!$T$5:$T$3004,$N36)="","",INDEX('潜水記録'!$T$5:$T$3004,$N36)))</f>
        <v/>
      </c>
      <c r="D36" s="36">
        <f>IF($A36="","",IF(INDEX('潜水記録'!$U$5:$U$3004,$N36)="","",INDEX('潜水記録'!$U$5:$U$3004,$N36)))</f>
        <v/>
      </c>
      <c r="E36" s="36">
        <f>IF($A36="","",IF(INDEX('潜水記録'!$V$5:$V$3004,$N36)="","",INDEX('潜水記録'!$V$5:$V$3004,$N36)))</f>
        <v/>
      </c>
      <c r="F36" s="15">
        <f>IF($A36="","",IF(INDEX('潜水記録'!$G$5:$G$3004,$N36)="","",INDEX('潜水記録'!$G$5:$G$3004,$N36)))</f>
        <v/>
      </c>
      <c r="G36" s="15">
        <f>IF($A36="","",IF(INDEX('潜水記録'!$H$5:$H$3004,$N36)="","",INDEX('潜水記録'!$H$5:$H$3004,$N36)))</f>
        <v/>
      </c>
      <c r="H36" s="15">
        <f>IF($A36="","",IF(INDEX('潜水記録'!$I$5:$I$3004,$N36)="","",INDEX('潜水記録'!$I$5:$I$3004,$N36)))</f>
        <v/>
      </c>
      <c r="I36" s="15">
        <f>IF($A36="","",IF(AND(INDEX('潜水記録'!$K$5:$K$3004,$N36)="",INDEX('潜水記録'!$L$5:$L$3004,$N36)=""),"",INDEX('潜水記録'!$K$5:$K$3004,$N36)&amp;"→"&amp;INDEX('潜水記録'!$L$5:$L$3004,$N36)))</f>
        <v/>
      </c>
      <c r="J36" s="15">
        <f>IF($A36="","",IF(INDEX('潜水記録'!$AQ$5:$AQ$3004,$N36)="",IF(INDEX('潜水記録'!$AO$5:$AO$3004,$N36)="無","なし",""),IF(INDEX('潜水記録'!$AP$5:$AP$3004,$N36)="","",INDEX('潜水記録'!$AP$5:$AP$3004,$N36)&amp;"m ")&amp;INDEX('潜水記録'!$AQ$5:$AQ$3004,$N36)&amp;"分"))</f>
        <v/>
      </c>
      <c r="K36" s="14">
        <f>IF($A36="","",IF(INDEX('潜水記録'!$AC$5:$AC$3004,$N36)="","",INDEX('潜水記録'!$AC$5:$AC$3004,$N36)))</f>
        <v/>
      </c>
      <c r="L36" s="15">
        <f>IF($A36="","",IF(INDEX('潜水記録'!$P$5:$P$3004,$N36)="","",INDEX('潜水記録'!$P$5:$P$3004,$N36)))</f>
        <v/>
      </c>
      <c r="M36" s="37">
        <f>IF($A36="","",IF(INDEX('潜水記録'!$R$5:$R$3004,$N36)="","",INDEX('潜水記録'!$R$5:$R$3004,$N36)))</f>
        <v/>
      </c>
      <c r="N36" s="20">
        <f>IF($A36="","",MATCH($A36,'潜水記録'!$AJ$5:$AJ$3004,0))</f>
        <v/>
      </c>
    </row>
    <row r="37">
      <c r="A37" s="15">
        <f>IF(23&lt;=$G$11,23,"")</f>
        <v/>
      </c>
      <c r="B37" s="14">
        <f>IF($A37="","",IF(INDEX('潜水記録'!$C$5:$C$3004,$N37)="","",INDEX('潜水記録'!$C$5:$C$3004,$N37)))</f>
        <v/>
      </c>
      <c r="C37" s="15">
        <f>IF($A37="","",IF(INDEX('潜水記録'!$T$5:$T$3004,$N37)="","",INDEX('潜水記録'!$T$5:$T$3004,$N37)))</f>
        <v/>
      </c>
      <c r="D37" s="36">
        <f>IF($A37="","",IF(INDEX('潜水記録'!$U$5:$U$3004,$N37)="","",INDEX('潜水記録'!$U$5:$U$3004,$N37)))</f>
        <v/>
      </c>
      <c r="E37" s="36">
        <f>IF($A37="","",IF(INDEX('潜水記録'!$V$5:$V$3004,$N37)="","",INDEX('潜水記録'!$V$5:$V$3004,$N37)))</f>
        <v/>
      </c>
      <c r="F37" s="15">
        <f>IF($A37="","",IF(INDEX('潜水記録'!$G$5:$G$3004,$N37)="","",INDEX('潜水記録'!$G$5:$G$3004,$N37)))</f>
        <v/>
      </c>
      <c r="G37" s="15">
        <f>IF($A37="","",IF(INDEX('潜水記録'!$H$5:$H$3004,$N37)="","",INDEX('潜水記録'!$H$5:$H$3004,$N37)))</f>
        <v/>
      </c>
      <c r="H37" s="15">
        <f>IF($A37="","",IF(INDEX('潜水記録'!$I$5:$I$3004,$N37)="","",INDEX('潜水記録'!$I$5:$I$3004,$N37)))</f>
        <v/>
      </c>
      <c r="I37" s="15">
        <f>IF($A37="","",IF(AND(INDEX('潜水記録'!$K$5:$K$3004,$N37)="",INDEX('潜水記録'!$L$5:$L$3004,$N37)=""),"",INDEX('潜水記録'!$K$5:$K$3004,$N37)&amp;"→"&amp;INDEX('潜水記録'!$L$5:$L$3004,$N37)))</f>
        <v/>
      </c>
      <c r="J37" s="15">
        <f>IF($A37="","",IF(INDEX('潜水記録'!$AQ$5:$AQ$3004,$N37)="",IF(INDEX('潜水記録'!$AO$5:$AO$3004,$N37)="無","なし",""),IF(INDEX('潜水記録'!$AP$5:$AP$3004,$N37)="","",INDEX('潜水記録'!$AP$5:$AP$3004,$N37)&amp;"m ")&amp;INDEX('潜水記録'!$AQ$5:$AQ$3004,$N37)&amp;"分"))</f>
        <v/>
      </c>
      <c r="K37" s="14">
        <f>IF($A37="","",IF(INDEX('潜水記録'!$AC$5:$AC$3004,$N37)="","",INDEX('潜水記録'!$AC$5:$AC$3004,$N37)))</f>
        <v/>
      </c>
      <c r="L37" s="15">
        <f>IF($A37="","",IF(INDEX('潜水記録'!$P$5:$P$3004,$N37)="","",INDEX('潜水記録'!$P$5:$P$3004,$N37)))</f>
        <v/>
      </c>
      <c r="M37" s="37">
        <f>IF($A37="","",IF(INDEX('潜水記録'!$R$5:$R$3004,$N37)="","",INDEX('潜水記録'!$R$5:$R$3004,$N37)))</f>
        <v/>
      </c>
      <c r="N37" s="20">
        <f>IF($A37="","",MATCH($A37,'潜水記録'!$AJ$5:$AJ$3004,0))</f>
        <v/>
      </c>
    </row>
    <row r="38">
      <c r="A38" s="15">
        <f>IF(24&lt;=$G$11,24,"")</f>
        <v/>
      </c>
      <c r="B38" s="14">
        <f>IF($A38="","",IF(INDEX('潜水記録'!$C$5:$C$3004,$N38)="","",INDEX('潜水記録'!$C$5:$C$3004,$N38)))</f>
        <v/>
      </c>
      <c r="C38" s="15">
        <f>IF($A38="","",IF(INDEX('潜水記録'!$T$5:$T$3004,$N38)="","",INDEX('潜水記録'!$T$5:$T$3004,$N38)))</f>
        <v/>
      </c>
      <c r="D38" s="36">
        <f>IF($A38="","",IF(INDEX('潜水記録'!$U$5:$U$3004,$N38)="","",INDEX('潜水記録'!$U$5:$U$3004,$N38)))</f>
        <v/>
      </c>
      <c r="E38" s="36">
        <f>IF($A38="","",IF(INDEX('潜水記録'!$V$5:$V$3004,$N38)="","",INDEX('潜水記録'!$V$5:$V$3004,$N38)))</f>
        <v/>
      </c>
      <c r="F38" s="15">
        <f>IF($A38="","",IF(INDEX('潜水記録'!$G$5:$G$3004,$N38)="","",INDEX('潜水記録'!$G$5:$G$3004,$N38)))</f>
        <v/>
      </c>
      <c r="G38" s="15">
        <f>IF($A38="","",IF(INDEX('潜水記録'!$H$5:$H$3004,$N38)="","",INDEX('潜水記録'!$H$5:$H$3004,$N38)))</f>
        <v/>
      </c>
      <c r="H38" s="15">
        <f>IF($A38="","",IF(INDEX('潜水記録'!$I$5:$I$3004,$N38)="","",INDEX('潜水記録'!$I$5:$I$3004,$N38)))</f>
        <v/>
      </c>
      <c r="I38" s="15">
        <f>IF($A38="","",IF(AND(INDEX('潜水記録'!$K$5:$K$3004,$N38)="",INDEX('潜水記録'!$L$5:$L$3004,$N38)=""),"",INDEX('潜水記録'!$K$5:$K$3004,$N38)&amp;"→"&amp;INDEX('潜水記録'!$L$5:$L$3004,$N38)))</f>
        <v/>
      </c>
      <c r="J38" s="15">
        <f>IF($A38="","",IF(INDEX('潜水記録'!$AQ$5:$AQ$3004,$N38)="",IF(INDEX('潜水記録'!$AO$5:$AO$3004,$N38)="無","なし",""),IF(INDEX('潜水記録'!$AP$5:$AP$3004,$N38)="","",INDEX('潜水記録'!$AP$5:$AP$3004,$N38)&amp;"m ")&amp;INDEX('潜水記録'!$AQ$5:$AQ$3004,$N38)&amp;"分"))</f>
        <v/>
      </c>
      <c r="K38" s="14">
        <f>IF($A38="","",IF(INDEX('潜水記録'!$AC$5:$AC$3004,$N38)="","",INDEX('潜水記録'!$AC$5:$AC$3004,$N38)))</f>
        <v/>
      </c>
      <c r="L38" s="15">
        <f>IF($A38="","",IF(INDEX('潜水記録'!$P$5:$P$3004,$N38)="","",INDEX('潜水記録'!$P$5:$P$3004,$N38)))</f>
        <v/>
      </c>
      <c r="M38" s="37">
        <f>IF($A38="","",IF(INDEX('潜水記録'!$R$5:$R$3004,$N38)="","",INDEX('潜水記録'!$R$5:$R$3004,$N38)))</f>
        <v/>
      </c>
      <c r="N38" s="20">
        <f>IF($A38="","",MATCH($A38,'潜水記録'!$AJ$5:$AJ$3004,0))</f>
        <v/>
      </c>
    </row>
    <row r="39">
      <c r="A39" s="15">
        <f>IF(25&lt;=$G$11,25,"")</f>
        <v/>
      </c>
      <c r="B39" s="14">
        <f>IF($A39="","",IF(INDEX('潜水記録'!$C$5:$C$3004,$N39)="","",INDEX('潜水記録'!$C$5:$C$3004,$N39)))</f>
        <v/>
      </c>
      <c r="C39" s="15">
        <f>IF($A39="","",IF(INDEX('潜水記録'!$T$5:$T$3004,$N39)="","",INDEX('潜水記録'!$T$5:$T$3004,$N39)))</f>
        <v/>
      </c>
      <c r="D39" s="36">
        <f>IF($A39="","",IF(INDEX('潜水記録'!$U$5:$U$3004,$N39)="","",INDEX('潜水記録'!$U$5:$U$3004,$N39)))</f>
        <v/>
      </c>
      <c r="E39" s="36">
        <f>IF($A39="","",IF(INDEX('潜水記録'!$V$5:$V$3004,$N39)="","",INDEX('潜水記録'!$V$5:$V$3004,$N39)))</f>
        <v/>
      </c>
      <c r="F39" s="15">
        <f>IF($A39="","",IF(INDEX('潜水記録'!$G$5:$G$3004,$N39)="","",INDEX('潜水記録'!$G$5:$G$3004,$N39)))</f>
        <v/>
      </c>
      <c r="G39" s="15">
        <f>IF($A39="","",IF(INDEX('潜水記録'!$H$5:$H$3004,$N39)="","",INDEX('潜水記録'!$H$5:$H$3004,$N39)))</f>
        <v/>
      </c>
      <c r="H39" s="15">
        <f>IF($A39="","",IF(INDEX('潜水記録'!$I$5:$I$3004,$N39)="","",INDEX('潜水記録'!$I$5:$I$3004,$N39)))</f>
        <v/>
      </c>
      <c r="I39" s="15">
        <f>IF($A39="","",IF(AND(INDEX('潜水記録'!$K$5:$K$3004,$N39)="",INDEX('潜水記録'!$L$5:$L$3004,$N39)=""),"",INDEX('潜水記録'!$K$5:$K$3004,$N39)&amp;"→"&amp;INDEX('潜水記録'!$L$5:$L$3004,$N39)))</f>
        <v/>
      </c>
      <c r="J39" s="15">
        <f>IF($A39="","",IF(INDEX('潜水記録'!$AQ$5:$AQ$3004,$N39)="",IF(INDEX('潜水記録'!$AO$5:$AO$3004,$N39)="無","なし",""),IF(INDEX('潜水記録'!$AP$5:$AP$3004,$N39)="","",INDEX('潜水記録'!$AP$5:$AP$3004,$N39)&amp;"m ")&amp;INDEX('潜水記録'!$AQ$5:$AQ$3004,$N39)&amp;"分"))</f>
        <v/>
      </c>
      <c r="K39" s="14">
        <f>IF($A39="","",IF(INDEX('潜水記録'!$AC$5:$AC$3004,$N39)="","",INDEX('潜水記録'!$AC$5:$AC$3004,$N39)))</f>
        <v/>
      </c>
      <c r="L39" s="15">
        <f>IF($A39="","",IF(INDEX('潜水記録'!$P$5:$P$3004,$N39)="","",INDEX('潜水記録'!$P$5:$P$3004,$N39)))</f>
        <v/>
      </c>
      <c r="M39" s="37">
        <f>IF($A39="","",IF(INDEX('潜水記録'!$R$5:$R$3004,$N39)="","",INDEX('潜水記録'!$R$5:$R$3004,$N39)))</f>
        <v/>
      </c>
      <c r="N39" s="20">
        <f>IF($A39="","",MATCH($A39,'潜水記録'!$AJ$5:$AJ$3004,0))</f>
        <v/>
      </c>
    </row>
    <row r="40">
      <c r="A40" s="15">
        <f>IF(26&lt;=$G$11,26,"")</f>
        <v/>
      </c>
      <c r="B40" s="14">
        <f>IF($A40="","",IF(INDEX('潜水記録'!$C$5:$C$3004,$N40)="","",INDEX('潜水記録'!$C$5:$C$3004,$N40)))</f>
        <v/>
      </c>
      <c r="C40" s="15">
        <f>IF($A40="","",IF(INDEX('潜水記録'!$T$5:$T$3004,$N40)="","",INDEX('潜水記録'!$T$5:$T$3004,$N40)))</f>
        <v/>
      </c>
      <c r="D40" s="36">
        <f>IF($A40="","",IF(INDEX('潜水記録'!$U$5:$U$3004,$N40)="","",INDEX('潜水記録'!$U$5:$U$3004,$N40)))</f>
        <v/>
      </c>
      <c r="E40" s="36">
        <f>IF($A40="","",IF(INDEX('潜水記録'!$V$5:$V$3004,$N40)="","",INDEX('潜水記録'!$V$5:$V$3004,$N40)))</f>
        <v/>
      </c>
      <c r="F40" s="15">
        <f>IF($A40="","",IF(INDEX('潜水記録'!$G$5:$G$3004,$N40)="","",INDEX('潜水記録'!$G$5:$G$3004,$N40)))</f>
        <v/>
      </c>
      <c r="G40" s="15">
        <f>IF($A40="","",IF(INDEX('潜水記録'!$H$5:$H$3004,$N40)="","",INDEX('潜水記録'!$H$5:$H$3004,$N40)))</f>
        <v/>
      </c>
      <c r="H40" s="15">
        <f>IF($A40="","",IF(INDEX('潜水記録'!$I$5:$I$3004,$N40)="","",INDEX('潜水記録'!$I$5:$I$3004,$N40)))</f>
        <v/>
      </c>
      <c r="I40" s="15">
        <f>IF($A40="","",IF(AND(INDEX('潜水記録'!$K$5:$K$3004,$N40)="",INDEX('潜水記録'!$L$5:$L$3004,$N40)=""),"",INDEX('潜水記録'!$K$5:$K$3004,$N40)&amp;"→"&amp;INDEX('潜水記録'!$L$5:$L$3004,$N40)))</f>
        <v/>
      </c>
      <c r="J40" s="15">
        <f>IF($A40="","",IF(INDEX('潜水記録'!$AQ$5:$AQ$3004,$N40)="",IF(INDEX('潜水記録'!$AO$5:$AO$3004,$N40)="無","なし",""),IF(INDEX('潜水記録'!$AP$5:$AP$3004,$N40)="","",INDEX('潜水記録'!$AP$5:$AP$3004,$N40)&amp;"m ")&amp;INDEX('潜水記録'!$AQ$5:$AQ$3004,$N40)&amp;"分"))</f>
        <v/>
      </c>
      <c r="K40" s="14">
        <f>IF($A40="","",IF(INDEX('潜水記録'!$AC$5:$AC$3004,$N40)="","",INDEX('潜水記録'!$AC$5:$AC$3004,$N40)))</f>
        <v/>
      </c>
      <c r="L40" s="15">
        <f>IF($A40="","",IF(INDEX('潜水記録'!$P$5:$P$3004,$N40)="","",INDEX('潜水記録'!$P$5:$P$3004,$N40)))</f>
        <v/>
      </c>
      <c r="M40" s="37">
        <f>IF($A40="","",IF(INDEX('潜水記録'!$R$5:$R$3004,$N40)="","",INDEX('潜水記録'!$R$5:$R$3004,$N40)))</f>
        <v/>
      </c>
      <c r="N40" s="20">
        <f>IF($A40="","",MATCH($A40,'潜水記録'!$AJ$5:$AJ$3004,0))</f>
        <v/>
      </c>
    </row>
    <row r="41">
      <c r="A41" s="15">
        <f>IF(27&lt;=$G$11,27,"")</f>
        <v/>
      </c>
      <c r="B41" s="14">
        <f>IF($A41="","",IF(INDEX('潜水記録'!$C$5:$C$3004,$N41)="","",INDEX('潜水記録'!$C$5:$C$3004,$N41)))</f>
        <v/>
      </c>
      <c r="C41" s="15">
        <f>IF($A41="","",IF(INDEX('潜水記録'!$T$5:$T$3004,$N41)="","",INDEX('潜水記録'!$T$5:$T$3004,$N41)))</f>
        <v/>
      </c>
      <c r="D41" s="36">
        <f>IF($A41="","",IF(INDEX('潜水記録'!$U$5:$U$3004,$N41)="","",INDEX('潜水記録'!$U$5:$U$3004,$N41)))</f>
        <v/>
      </c>
      <c r="E41" s="36">
        <f>IF($A41="","",IF(INDEX('潜水記録'!$V$5:$V$3004,$N41)="","",INDEX('潜水記録'!$V$5:$V$3004,$N41)))</f>
        <v/>
      </c>
      <c r="F41" s="15">
        <f>IF($A41="","",IF(INDEX('潜水記録'!$G$5:$G$3004,$N41)="","",INDEX('潜水記録'!$G$5:$G$3004,$N41)))</f>
        <v/>
      </c>
      <c r="G41" s="15">
        <f>IF($A41="","",IF(INDEX('潜水記録'!$H$5:$H$3004,$N41)="","",INDEX('潜水記録'!$H$5:$H$3004,$N41)))</f>
        <v/>
      </c>
      <c r="H41" s="15">
        <f>IF($A41="","",IF(INDEX('潜水記録'!$I$5:$I$3004,$N41)="","",INDEX('潜水記録'!$I$5:$I$3004,$N41)))</f>
        <v/>
      </c>
      <c r="I41" s="15">
        <f>IF($A41="","",IF(AND(INDEX('潜水記録'!$K$5:$K$3004,$N41)="",INDEX('潜水記録'!$L$5:$L$3004,$N41)=""),"",INDEX('潜水記録'!$K$5:$K$3004,$N41)&amp;"→"&amp;INDEX('潜水記録'!$L$5:$L$3004,$N41)))</f>
        <v/>
      </c>
      <c r="J41" s="15">
        <f>IF($A41="","",IF(INDEX('潜水記録'!$AQ$5:$AQ$3004,$N41)="",IF(INDEX('潜水記録'!$AO$5:$AO$3004,$N41)="無","なし",""),IF(INDEX('潜水記録'!$AP$5:$AP$3004,$N41)="","",INDEX('潜水記録'!$AP$5:$AP$3004,$N41)&amp;"m ")&amp;INDEX('潜水記録'!$AQ$5:$AQ$3004,$N41)&amp;"分"))</f>
        <v/>
      </c>
      <c r="K41" s="14">
        <f>IF($A41="","",IF(INDEX('潜水記録'!$AC$5:$AC$3004,$N41)="","",INDEX('潜水記録'!$AC$5:$AC$3004,$N41)))</f>
        <v/>
      </c>
      <c r="L41" s="15">
        <f>IF($A41="","",IF(INDEX('潜水記録'!$P$5:$P$3004,$N41)="","",INDEX('潜水記録'!$P$5:$P$3004,$N41)))</f>
        <v/>
      </c>
      <c r="M41" s="37">
        <f>IF($A41="","",IF(INDEX('潜水記録'!$R$5:$R$3004,$N41)="","",INDEX('潜水記録'!$R$5:$R$3004,$N41)))</f>
        <v/>
      </c>
      <c r="N41" s="20">
        <f>IF($A41="","",MATCH($A41,'潜水記録'!$AJ$5:$AJ$3004,0))</f>
        <v/>
      </c>
    </row>
    <row r="42">
      <c r="A42" s="15">
        <f>IF(28&lt;=$G$11,28,"")</f>
        <v/>
      </c>
      <c r="B42" s="14">
        <f>IF($A42="","",IF(INDEX('潜水記録'!$C$5:$C$3004,$N42)="","",INDEX('潜水記録'!$C$5:$C$3004,$N42)))</f>
        <v/>
      </c>
      <c r="C42" s="15">
        <f>IF($A42="","",IF(INDEX('潜水記録'!$T$5:$T$3004,$N42)="","",INDEX('潜水記録'!$T$5:$T$3004,$N42)))</f>
        <v/>
      </c>
      <c r="D42" s="36">
        <f>IF($A42="","",IF(INDEX('潜水記録'!$U$5:$U$3004,$N42)="","",INDEX('潜水記録'!$U$5:$U$3004,$N42)))</f>
        <v/>
      </c>
      <c r="E42" s="36">
        <f>IF($A42="","",IF(INDEX('潜水記録'!$V$5:$V$3004,$N42)="","",INDEX('潜水記録'!$V$5:$V$3004,$N42)))</f>
        <v/>
      </c>
      <c r="F42" s="15">
        <f>IF($A42="","",IF(INDEX('潜水記録'!$G$5:$G$3004,$N42)="","",INDEX('潜水記録'!$G$5:$G$3004,$N42)))</f>
        <v/>
      </c>
      <c r="G42" s="15">
        <f>IF($A42="","",IF(INDEX('潜水記録'!$H$5:$H$3004,$N42)="","",INDEX('潜水記録'!$H$5:$H$3004,$N42)))</f>
        <v/>
      </c>
      <c r="H42" s="15">
        <f>IF($A42="","",IF(INDEX('潜水記録'!$I$5:$I$3004,$N42)="","",INDEX('潜水記録'!$I$5:$I$3004,$N42)))</f>
        <v/>
      </c>
      <c r="I42" s="15">
        <f>IF($A42="","",IF(AND(INDEX('潜水記録'!$K$5:$K$3004,$N42)="",INDEX('潜水記録'!$L$5:$L$3004,$N42)=""),"",INDEX('潜水記録'!$K$5:$K$3004,$N42)&amp;"→"&amp;INDEX('潜水記録'!$L$5:$L$3004,$N42)))</f>
        <v/>
      </c>
      <c r="J42" s="15">
        <f>IF($A42="","",IF(INDEX('潜水記録'!$AQ$5:$AQ$3004,$N42)="",IF(INDEX('潜水記録'!$AO$5:$AO$3004,$N42)="無","なし",""),IF(INDEX('潜水記録'!$AP$5:$AP$3004,$N42)="","",INDEX('潜水記録'!$AP$5:$AP$3004,$N42)&amp;"m ")&amp;INDEX('潜水記録'!$AQ$5:$AQ$3004,$N42)&amp;"分"))</f>
        <v/>
      </c>
      <c r="K42" s="14">
        <f>IF($A42="","",IF(INDEX('潜水記録'!$AC$5:$AC$3004,$N42)="","",INDEX('潜水記録'!$AC$5:$AC$3004,$N42)))</f>
        <v/>
      </c>
      <c r="L42" s="15">
        <f>IF($A42="","",IF(INDEX('潜水記録'!$P$5:$P$3004,$N42)="","",INDEX('潜水記録'!$P$5:$P$3004,$N42)))</f>
        <v/>
      </c>
      <c r="M42" s="37">
        <f>IF($A42="","",IF(INDEX('潜水記録'!$R$5:$R$3004,$N42)="","",INDEX('潜水記録'!$R$5:$R$3004,$N42)))</f>
        <v/>
      </c>
      <c r="N42" s="20">
        <f>IF($A42="","",MATCH($A42,'潜水記録'!$AJ$5:$AJ$3004,0))</f>
        <v/>
      </c>
    </row>
    <row r="43">
      <c r="A43" s="15">
        <f>IF(29&lt;=$G$11,29,"")</f>
        <v/>
      </c>
      <c r="B43" s="14">
        <f>IF($A43="","",IF(INDEX('潜水記録'!$C$5:$C$3004,$N43)="","",INDEX('潜水記録'!$C$5:$C$3004,$N43)))</f>
        <v/>
      </c>
      <c r="C43" s="15">
        <f>IF($A43="","",IF(INDEX('潜水記録'!$T$5:$T$3004,$N43)="","",INDEX('潜水記録'!$T$5:$T$3004,$N43)))</f>
        <v/>
      </c>
      <c r="D43" s="36">
        <f>IF($A43="","",IF(INDEX('潜水記録'!$U$5:$U$3004,$N43)="","",INDEX('潜水記録'!$U$5:$U$3004,$N43)))</f>
        <v/>
      </c>
      <c r="E43" s="36">
        <f>IF($A43="","",IF(INDEX('潜水記録'!$V$5:$V$3004,$N43)="","",INDEX('潜水記録'!$V$5:$V$3004,$N43)))</f>
        <v/>
      </c>
      <c r="F43" s="15">
        <f>IF($A43="","",IF(INDEX('潜水記録'!$G$5:$G$3004,$N43)="","",INDEX('潜水記録'!$G$5:$G$3004,$N43)))</f>
        <v/>
      </c>
      <c r="G43" s="15">
        <f>IF($A43="","",IF(INDEX('潜水記録'!$H$5:$H$3004,$N43)="","",INDEX('潜水記録'!$H$5:$H$3004,$N43)))</f>
        <v/>
      </c>
      <c r="H43" s="15">
        <f>IF($A43="","",IF(INDEX('潜水記録'!$I$5:$I$3004,$N43)="","",INDEX('潜水記録'!$I$5:$I$3004,$N43)))</f>
        <v/>
      </c>
      <c r="I43" s="15">
        <f>IF($A43="","",IF(AND(INDEX('潜水記録'!$K$5:$K$3004,$N43)="",INDEX('潜水記録'!$L$5:$L$3004,$N43)=""),"",INDEX('潜水記録'!$K$5:$K$3004,$N43)&amp;"→"&amp;INDEX('潜水記録'!$L$5:$L$3004,$N43)))</f>
        <v/>
      </c>
      <c r="J43" s="15">
        <f>IF($A43="","",IF(INDEX('潜水記録'!$AQ$5:$AQ$3004,$N43)="",IF(INDEX('潜水記録'!$AO$5:$AO$3004,$N43)="無","なし",""),IF(INDEX('潜水記録'!$AP$5:$AP$3004,$N43)="","",INDEX('潜水記録'!$AP$5:$AP$3004,$N43)&amp;"m ")&amp;INDEX('潜水記録'!$AQ$5:$AQ$3004,$N43)&amp;"分"))</f>
        <v/>
      </c>
      <c r="K43" s="14">
        <f>IF($A43="","",IF(INDEX('潜水記録'!$AC$5:$AC$3004,$N43)="","",INDEX('潜水記録'!$AC$5:$AC$3004,$N43)))</f>
        <v/>
      </c>
      <c r="L43" s="15">
        <f>IF($A43="","",IF(INDEX('潜水記録'!$P$5:$P$3004,$N43)="","",INDEX('潜水記録'!$P$5:$P$3004,$N43)))</f>
        <v/>
      </c>
      <c r="M43" s="37">
        <f>IF($A43="","",IF(INDEX('潜水記録'!$R$5:$R$3004,$N43)="","",INDEX('潜水記録'!$R$5:$R$3004,$N43)))</f>
        <v/>
      </c>
      <c r="N43" s="20">
        <f>IF($A43="","",MATCH($A43,'潜水記録'!$AJ$5:$AJ$3004,0))</f>
        <v/>
      </c>
    </row>
    <row r="44">
      <c r="A44" s="15">
        <f>IF(30&lt;=$G$11,30,"")</f>
        <v/>
      </c>
      <c r="B44" s="14">
        <f>IF($A44="","",IF(INDEX('潜水記録'!$C$5:$C$3004,$N44)="","",INDEX('潜水記録'!$C$5:$C$3004,$N44)))</f>
        <v/>
      </c>
      <c r="C44" s="15">
        <f>IF($A44="","",IF(INDEX('潜水記録'!$T$5:$T$3004,$N44)="","",INDEX('潜水記録'!$T$5:$T$3004,$N44)))</f>
        <v/>
      </c>
      <c r="D44" s="36">
        <f>IF($A44="","",IF(INDEX('潜水記録'!$U$5:$U$3004,$N44)="","",INDEX('潜水記録'!$U$5:$U$3004,$N44)))</f>
        <v/>
      </c>
      <c r="E44" s="36">
        <f>IF($A44="","",IF(INDEX('潜水記録'!$V$5:$V$3004,$N44)="","",INDEX('潜水記録'!$V$5:$V$3004,$N44)))</f>
        <v/>
      </c>
      <c r="F44" s="15">
        <f>IF($A44="","",IF(INDEX('潜水記録'!$G$5:$G$3004,$N44)="","",INDEX('潜水記録'!$G$5:$G$3004,$N44)))</f>
        <v/>
      </c>
      <c r="G44" s="15">
        <f>IF($A44="","",IF(INDEX('潜水記録'!$H$5:$H$3004,$N44)="","",INDEX('潜水記録'!$H$5:$H$3004,$N44)))</f>
        <v/>
      </c>
      <c r="H44" s="15">
        <f>IF($A44="","",IF(INDEX('潜水記録'!$I$5:$I$3004,$N44)="","",INDEX('潜水記録'!$I$5:$I$3004,$N44)))</f>
        <v/>
      </c>
      <c r="I44" s="15">
        <f>IF($A44="","",IF(AND(INDEX('潜水記録'!$K$5:$K$3004,$N44)="",INDEX('潜水記録'!$L$5:$L$3004,$N44)=""),"",INDEX('潜水記録'!$K$5:$K$3004,$N44)&amp;"→"&amp;INDEX('潜水記録'!$L$5:$L$3004,$N44)))</f>
        <v/>
      </c>
      <c r="J44" s="15">
        <f>IF($A44="","",IF(INDEX('潜水記録'!$AQ$5:$AQ$3004,$N44)="",IF(INDEX('潜水記録'!$AO$5:$AO$3004,$N44)="無","なし",""),IF(INDEX('潜水記録'!$AP$5:$AP$3004,$N44)="","",INDEX('潜水記録'!$AP$5:$AP$3004,$N44)&amp;"m ")&amp;INDEX('潜水記録'!$AQ$5:$AQ$3004,$N44)&amp;"分"))</f>
        <v/>
      </c>
      <c r="K44" s="14">
        <f>IF($A44="","",IF(INDEX('潜水記録'!$AC$5:$AC$3004,$N44)="","",INDEX('潜水記録'!$AC$5:$AC$3004,$N44)))</f>
        <v/>
      </c>
      <c r="L44" s="15">
        <f>IF($A44="","",IF(INDEX('潜水記録'!$P$5:$P$3004,$N44)="","",INDEX('潜水記録'!$P$5:$P$3004,$N44)))</f>
        <v/>
      </c>
      <c r="M44" s="37">
        <f>IF($A44="","",IF(INDEX('潜水記録'!$R$5:$R$3004,$N44)="","",INDEX('潜水記録'!$R$5:$R$3004,$N44)))</f>
        <v/>
      </c>
      <c r="N44" s="20">
        <f>IF($A44="","",MATCH($A44,'潜水記録'!$AJ$5:$AJ$3004,0))</f>
        <v/>
      </c>
    </row>
    <row r="46" ht="30" customHeight="1">
      <c r="B46" s="26" t="inlineStr">
        <is>
          <t>報告者</t>
        </is>
      </c>
      <c r="C46" s="38" t="n"/>
      <c r="D46" s="38" t="n"/>
      <c r="E46" s="38" t="n"/>
      <c r="F46" s="26" t="inlineStr">
        <is>
          <t>確認者（隊長）</t>
        </is>
      </c>
      <c r="G46" s="38" t="n"/>
      <c r="H46" s="38" t="n"/>
      <c r="I46" s="38" t="n"/>
      <c r="J46" s="26" t="inlineStr">
        <is>
          <t>決裁</t>
        </is>
      </c>
      <c r="K46" s="38" t="n"/>
      <c r="L46" s="38" t="n"/>
      <c r="M46" s="38" t="n"/>
    </row>
    <row r="47" ht="30" customHeight="1">
      <c r="B47" s="39" t="inlineStr">
        <is>
          <t>指揮者確認：＿＿＿＿＿＿＿＿＿＿　日付：＿＿＿＿＿＿＿＿</t>
        </is>
      </c>
    </row>
    <row r="48">
      <c r="B48" s="40" t="inlineStr">
        <is>
          <t>「表の判定」「グループ」などはNAUI潜水表による計算の目安です。潜水の可否と減圧の判断は指揮者が行い、上の欄に署名します。</t>
        </is>
      </c>
    </row>
    <row r="49">
      <c r="B49" s="41" t="inlineStr">
        <is>
          <t>作業の記録は5年間保存（高圧則 第20条の2）</t>
        </is>
      </c>
    </row>
  </sheetData>
  <mergeCells count="23">
    <mergeCell ref="B48:M48"/>
    <mergeCell ref="C7:I7"/>
    <mergeCell ref="K12:M12"/>
    <mergeCell ref="C12:E12"/>
    <mergeCell ref="K8:M8"/>
    <mergeCell ref="K2:M2"/>
    <mergeCell ref="C11:E11"/>
    <mergeCell ref="G5:I5"/>
    <mergeCell ref="C8:E8"/>
    <mergeCell ref="C6:I6"/>
    <mergeCell ref="B49:M49"/>
    <mergeCell ref="C9:M9"/>
    <mergeCell ref="K7:M7"/>
    <mergeCell ref="K6:M6"/>
    <mergeCell ref="G12:I12"/>
    <mergeCell ref="G11:I11"/>
    <mergeCell ref="B47:M47"/>
    <mergeCell ref="C5:E5"/>
    <mergeCell ref="K5:M5"/>
    <mergeCell ref="A1:F1"/>
    <mergeCell ref="C4:E4"/>
    <mergeCell ref="G8:I8"/>
    <mergeCell ref="K11:M11"/>
  </mergeCells>
  <conditionalFormatting sqref="K15:L44">
    <cfRule type="expression" priority="1" dxfId="0">
      <formula>OR(LEFT($K15,2)="減圧",$K15="範囲外",$L15="有")</formula>
    </cfRule>
  </conditionalFormatting>
  <dataValidations count="1">
    <dataValidation sqref="C4" showDropDown="0" showInputMessage="0" showErrorMessage="0" allowBlank="1" errorTitle="入力できない値です" error="プルダウンから選んでください（選択肢シートで追加できます）" type="list">
      <formula1>=L_事案ID</formula1>
    </dataValidation>
  </dataValidations>
  <pageMargins left="0.75" right="0.75" top="1" bottom="1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51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9" customWidth="1" min="3" max="3"/>
    <col width="12" customWidth="1" min="4" max="4"/>
    <col width="7" customWidth="1" min="5" max="5"/>
    <col width="20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8" customWidth="1" min="13" max="13"/>
    <col width="7" customWidth="1" min="14" max="14"/>
    <col width="7" customWidth="1" min="15" max="15"/>
    <col width="9" customWidth="1" min="16" max="16"/>
    <col width="7" customWidth="1" min="17" max="17"/>
    <col width="11" customWidth="1" min="18" max="18"/>
    <col width="22" customWidth="1" min="19" max="19"/>
    <col width="13" customWidth="1" min="20" max="20"/>
    <col width="6" customWidth="1" min="21" max="21"/>
    <col width="7" customWidth="1" min="22" max="22"/>
    <col width="7" customWidth="1" min="23" max="23"/>
    <col width="8" customWidth="1" min="24" max="24"/>
    <col width="7" customWidth="1" min="25" max="25"/>
    <col width="9" customWidth="1" min="26" max="26"/>
    <col width="9" customWidth="1" min="27" max="27"/>
    <col width="9" customWidth="1" min="28" max="28"/>
    <col width="10" customWidth="1" min="29" max="29"/>
    <col width="10" customWidth="1" min="30" max="30"/>
    <col width="8" customWidth="1" min="31" max="31"/>
    <col width="22" customWidth="1" min="32" max="32"/>
    <col width="22" customWidth="1" min="33" max="33"/>
    <col width="8" customWidth="1" min="34" max="34"/>
    <col width="8" customWidth="1" min="35" max="35"/>
    <col width="7" customWidth="1" min="36" max="36"/>
    <col width="8" customWidth="1" min="37" max="37"/>
    <col width="8" customWidth="1" min="38" max="38"/>
    <col width="9" customWidth="1" min="39" max="39"/>
    <col width="8" customWidth="1" min="40" max="40"/>
    <col width="11" customWidth="1" min="41" max="41"/>
    <col width="10" customWidth="1" min="42" max="42"/>
    <col width="22" customWidth="1" min="43" max="43"/>
    <col width="17" customWidth="1" min="44" max="44"/>
    <col hidden="1" width="13" customWidth="1" min="45" max="45"/>
  </cols>
  <sheetData>
    <row r="1" ht="34" customHeight="1">
      <c r="A1" s="1" t="inlineStr">
        <is>
          <t>CSV抽出</t>
        </is>
      </c>
      <c r="B1" s="2" t="n"/>
      <c r="C1" s="2" t="n"/>
      <c r="D1" s="2" t="n"/>
    </row>
    <row r="2">
      <c r="A2" s="3" t="inlineStr">
        <is>
          <t>条件を入れると下の表に該当する潜水記録が並びます。空欄の条件は「指定なし」。［CSVで保存］で書き出せます（見出しはアプリのCSVと同じ名前なので、別の台帳に取り込めます）。</t>
        </is>
      </c>
    </row>
    <row r="4">
      <c r="B4" s="10" t="inlineStr">
        <is>
          <t>開始日</t>
        </is>
      </c>
      <c r="C4" s="42" t="n">
        <v>46113</v>
      </c>
    </row>
    <row r="5">
      <c r="B5" s="10" t="inlineStr">
        <is>
          <t>終了日</t>
        </is>
      </c>
      <c r="C5" s="42" t="n">
        <v>46477</v>
      </c>
    </row>
    <row r="6">
      <c r="B6" s="10" t="inlineStr">
        <is>
          <t>区分</t>
        </is>
      </c>
      <c r="C6" s="43" t="inlineStr">
        <is>
          <t>すべて</t>
        </is>
      </c>
    </row>
    <row r="7">
      <c r="B7" s="10" t="inlineStr">
        <is>
          <t>職員番号</t>
        </is>
      </c>
      <c r="C7" s="44" t="n"/>
    </row>
    <row r="8">
      <c r="B8" s="10" t="inlineStr">
        <is>
          <t>該当件数</t>
        </is>
      </c>
      <c r="C8" s="45">
        <f>COUNTIF('潜水記録'!$AH$5:$AH$3004,1)</f>
        <v/>
      </c>
      <c r="E8" s="20" t="inlineStr">
        <is>
          <t>500件を超える場合は期間を分けて抽出してください。</t>
        </is>
      </c>
    </row>
    <row r="10" ht="32" customHeight="1">
      <c r="A10" s="13" t="inlineStr">
        <is>
          <t>No</t>
        </is>
      </c>
      <c r="B10" s="13" t="inlineStr">
        <is>
          <t>日付</t>
        </is>
      </c>
      <c r="C10" s="13" t="inlineStr">
        <is>
          <t>職員番号</t>
        </is>
      </c>
      <c r="D10" s="13" t="inlineStr">
        <is>
          <t>氏名</t>
        </is>
      </c>
      <c r="E10" s="13" t="inlineStr">
        <is>
          <t>区分</t>
        </is>
      </c>
      <c r="F10" s="13" t="inlineStr">
        <is>
          <t>事案・訓練名</t>
        </is>
      </c>
      <c r="G10" s="13" t="inlineStr">
        <is>
          <t>地点</t>
        </is>
      </c>
      <c r="H10" s="13" t="inlineStr">
        <is>
          <t>最大水深(m)</t>
        </is>
      </c>
      <c r="I10" s="13" t="inlineStr">
        <is>
          <t>潜水時間(分)</t>
        </is>
      </c>
      <c r="J10" s="13" t="inlineStr">
        <is>
          <t>前の潜水からの水面休息(分)</t>
        </is>
      </c>
      <c r="K10" s="13" t="inlineStr">
        <is>
          <t>タンク容量(L)</t>
        </is>
      </c>
      <c r="L10" s="13" t="inlineStr">
        <is>
          <t>開始圧(気圧)</t>
        </is>
      </c>
      <c r="M10" s="13" t="inlineStr">
        <is>
          <t>終了圧(気圧)</t>
        </is>
      </c>
      <c r="N10" s="13" t="inlineStr">
        <is>
          <t>水温(℃)</t>
        </is>
      </c>
      <c r="O10" s="13" t="inlineStr">
        <is>
          <t>透視度(m)</t>
        </is>
      </c>
      <c r="P10" s="13" t="inlineStr">
        <is>
          <t>減圧停止(表の判定)</t>
        </is>
      </c>
      <c r="Q10" s="13" t="inlineStr">
        <is>
          <t>体調異常</t>
        </is>
      </c>
      <c r="R10" s="13" t="inlineStr">
        <is>
          <t>指揮者</t>
        </is>
      </c>
      <c r="S10" s="13" t="inlineStr">
        <is>
          <t>備考</t>
        </is>
      </c>
      <c r="T10" s="13" t="inlineStr">
        <is>
          <t>事案ID</t>
        </is>
      </c>
      <c r="U10" s="13" t="inlineStr">
        <is>
          <t>本数</t>
        </is>
      </c>
      <c r="V10" s="13" t="inlineStr">
        <is>
          <t>潜降時刻</t>
        </is>
      </c>
      <c r="W10" s="13" t="inlineStr">
        <is>
          <t>浮上時刻</t>
        </is>
      </c>
      <c r="X10" s="13" t="inlineStr">
        <is>
          <t>表の水深(m)</t>
        </is>
      </c>
      <c r="Y10" s="13" t="inlineStr">
        <is>
          <t>グループ</t>
        </is>
      </c>
      <c r="Z10" s="13" t="inlineStr">
        <is>
          <t>残留窒素時間(分)</t>
        </is>
      </c>
      <c r="AA10" s="13" t="inlineStr">
        <is>
          <t>合計窒素時間(分)</t>
        </is>
      </c>
      <c r="AB10" s="13" t="inlineStr">
        <is>
          <t>最大潜水時間(分)</t>
        </is>
      </c>
      <c r="AC10" s="13" t="inlineStr">
        <is>
          <t>修正最大潜水時間(分)</t>
        </is>
      </c>
      <c r="AD10" s="13" t="inlineStr">
        <is>
          <t>判定</t>
        </is>
      </c>
      <c r="AE10" s="13" t="inlineStr">
        <is>
          <t>5m減圧停止(分)</t>
        </is>
      </c>
      <c r="AF10" s="13" t="inlineStr">
        <is>
          <t>潜水表</t>
        </is>
      </c>
      <c r="AG10" s="13" t="inlineStr">
        <is>
          <t>記録ID</t>
        </is>
      </c>
      <c r="AH10" s="13" t="inlineStr">
        <is>
          <t>予定水深(m)</t>
        </is>
      </c>
      <c r="AI10" s="13" t="inlineStr">
        <is>
          <t>浮上開始時刻</t>
        </is>
      </c>
      <c r="AJ10" s="13" t="inlineStr">
        <is>
          <t>安全停止</t>
        </is>
      </c>
      <c r="AK10" s="13" t="inlineStr">
        <is>
          <t>浮上停止の水深(m)</t>
        </is>
      </c>
      <c r="AL10" s="13" t="inlineStr">
        <is>
          <t>浮上停止の時間(分)</t>
        </is>
      </c>
      <c r="AM10" s="13" t="inlineStr">
        <is>
          <t>平均浮上速度(m/分)</t>
        </is>
      </c>
      <c r="AN10" s="13" t="inlineStr">
        <is>
          <t>呼吸ガス</t>
        </is>
      </c>
      <c r="AO10" s="13" t="inlineStr">
        <is>
          <t>監視員</t>
        </is>
      </c>
      <c r="AP10" s="13" t="inlineStr">
        <is>
          <t>1本目扱い</t>
        </is>
      </c>
      <c r="AQ10" s="13" t="inlineStr">
        <is>
          <t>修正記録</t>
        </is>
      </c>
      <c r="AR10" s="13" t="inlineStr">
        <is>
          <t>記録更新日時</t>
        </is>
      </c>
      <c r="AS10" s="20" t="inlineStr">
        <is>
          <t>行（自動）</t>
        </is>
      </c>
    </row>
    <row r="11">
      <c r="A11" s="14">
        <f>IF(1&lt;=$C$8,1,"")</f>
        <v/>
      </c>
      <c r="B11" s="16">
        <f>IF($A11="","",IF(INDEX('潜水記録'!$A$5:$A$3004,$AS11)="","",INDEX('潜水記録'!$A$5:$A$3004,$AS11)))</f>
        <v/>
      </c>
      <c r="C11" s="14">
        <f>IF($A11="","",IF(INDEX('潜水記録'!$B$5:$B$3004,$AS11)="","",INDEX('潜水記録'!$B$5:$B$3004,$AS11)))</f>
        <v/>
      </c>
      <c r="D11" s="14">
        <f>IF($A11="","",IF(INDEX('潜水記録'!$C$5:$C$3004,$AS11)="","",INDEX('潜水記録'!$C$5:$C$3004,$AS11)))</f>
        <v/>
      </c>
      <c r="E11" s="14">
        <f>IF($A11="","",IF(INDEX('潜水記録'!$D$5:$D$3004,$AS11)="","",INDEX('潜水記録'!$D$5:$D$3004,$AS11)))</f>
        <v/>
      </c>
      <c r="F11" s="14">
        <f>IF($A11="","",IF(INDEX('潜水記録'!$E$5:$E$3004,$AS11)="","",INDEX('潜水記録'!$E$5:$E$3004,$AS11)))</f>
        <v/>
      </c>
      <c r="G11" s="14">
        <f>IF($A11="","",IF(INDEX('潜水記録'!$F$5:$F$3004,$AS11)="","",INDEX('潜水記録'!$F$5:$F$3004,$AS11)))</f>
        <v/>
      </c>
      <c r="H11" s="14">
        <f>IF($A11="","",IF(INDEX('潜水記録'!$G$5:$G$3004,$AS11)="","",INDEX('潜水記録'!$G$5:$G$3004,$AS11)))</f>
        <v/>
      </c>
      <c r="I11" s="14">
        <f>IF($A11="","",IF(INDEX('潜水記録'!$H$5:$H$3004,$AS11)="","",INDEX('潜水記録'!$H$5:$H$3004,$AS11)))</f>
        <v/>
      </c>
      <c r="J11" s="14">
        <f>IF($A11="","",IF(INDEX('潜水記録'!$I$5:$I$3004,$AS11)="","",INDEX('潜水記録'!$I$5:$I$3004,$AS11)))</f>
        <v/>
      </c>
      <c r="K11" s="14">
        <f>IF($A11="","",IF(INDEX('潜水記録'!$J$5:$J$3004,$AS11)="","",INDEX('潜水記録'!$J$5:$J$3004,$AS11)))</f>
        <v/>
      </c>
      <c r="L11" s="14">
        <f>IF($A11="","",IF(INDEX('潜水記録'!$K$5:$K$3004,$AS11)="","",INDEX('潜水記録'!$K$5:$K$3004,$AS11)))</f>
        <v/>
      </c>
      <c r="M11" s="14">
        <f>IF($A11="","",IF(INDEX('潜水記録'!$L$5:$L$3004,$AS11)="","",INDEX('潜水記録'!$L$5:$L$3004,$AS11)))</f>
        <v/>
      </c>
      <c r="N11" s="14">
        <f>IF($A11="","",IF(INDEX('潜水記録'!$M$5:$M$3004,$AS11)="","",INDEX('潜水記録'!$M$5:$M$3004,$AS11)))</f>
        <v/>
      </c>
      <c r="O11" s="14">
        <f>IF($A11="","",IF(INDEX('潜水記録'!$N$5:$N$3004,$AS11)="","",INDEX('潜水記録'!$N$5:$N$3004,$AS11)))</f>
        <v/>
      </c>
      <c r="P11" s="14">
        <f>IF($A11="","",IF(INDEX('潜水記録'!$O$5:$O$3004,$AS11)="","",INDEX('潜水記録'!$O$5:$O$3004,$AS11)))</f>
        <v/>
      </c>
      <c r="Q11" s="14">
        <f>IF($A11="","",IF(INDEX('潜水記録'!$P$5:$P$3004,$AS11)="","",INDEX('潜水記録'!$P$5:$P$3004,$AS11)))</f>
        <v/>
      </c>
      <c r="R11" s="14">
        <f>IF($A11="","",IF(INDEX('潜水記録'!$Q$5:$Q$3004,$AS11)="","",INDEX('潜水記録'!$Q$5:$Q$3004,$AS11)))</f>
        <v/>
      </c>
      <c r="S11" s="14">
        <f>IF($A11="","",IF(INDEX('潜水記録'!$R$5:$R$3004,$AS11)="","",INDEX('潜水記録'!$R$5:$R$3004,$AS11)))</f>
        <v/>
      </c>
      <c r="T11" s="14">
        <f>IF($A11="","",IF(INDEX('潜水記録'!$S$5:$S$3004,$AS11)="","",INDEX('潜水記録'!$S$5:$S$3004,$AS11)))</f>
        <v/>
      </c>
      <c r="U11" s="14">
        <f>IF($A11="","",IF(INDEX('潜水記録'!$T$5:$T$3004,$AS11)="","",INDEX('潜水記録'!$T$5:$T$3004,$AS11)))</f>
        <v/>
      </c>
      <c r="V11" s="46">
        <f>IF($A11="","",IF(INDEX('潜水記録'!$U$5:$U$3004,$AS11)="","",INDEX('潜水記録'!$U$5:$U$3004,$AS11)))</f>
        <v/>
      </c>
      <c r="W11" s="46">
        <f>IF($A11="","",IF(INDEX('潜水記録'!$V$5:$V$3004,$AS11)="","",INDEX('潜水記録'!$V$5:$V$3004,$AS11)))</f>
        <v/>
      </c>
      <c r="X11" s="14">
        <f>IF($A11="","",IF(INDEX('潜水記録'!$W$5:$W$3004,$AS11)="","",INDEX('潜水記録'!$W$5:$W$3004,$AS11)))</f>
        <v/>
      </c>
      <c r="Y11" s="14">
        <f>IF($A11="","",IF(INDEX('潜水記録'!$X$5:$X$3004,$AS11)="","",INDEX('潜水記録'!$X$5:$X$3004,$AS11)))</f>
        <v/>
      </c>
      <c r="Z11" s="14">
        <f>IF($A11="","",IF(INDEX('潜水記録'!$Y$5:$Y$3004,$AS11)="","",INDEX('潜水記録'!$Y$5:$Y$3004,$AS11)))</f>
        <v/>
      </c>
      <c r="AA11" s="14">
        <f>IF($A11="","",IF(INDEX('潜水記録'!$Z$5:$Z$3004,$AS11)="","",INDEX('潜水記録'!$Z$5:$Z$3004,$AS11)))</f>
        <v/>
      </c>
      <c r="AB11" s="14">
        <f>IF($A11="","",IF(INDEX('潜水記録'!$AA$5:$AA$3004,$AS11)="","",INDEX('潜水記録'!$AA$5:$AA$3004,$AS11)))</f>
        <v/>
      </c>
      <c r="AC11" s="14">
        <f>IF($A11="","",IF(INDEX('潜水記録'!$AB$5:$AB$3004,$AS11)="","",INDEX('潜水記録'!$AB$5:$AB$3004,$AS11)))</f>
        <v/>
      </c>
      <c r="AD11" s="14">
        <f>IF($A11="","",IF(INDEX('潜水記録'!$AC$5:$AC$3004,$AS11)="","",INDEX('潜水記録'!$AC$5:$AC$3004,$AS11)))</f>
        <v/>
      </c>
      <c r="AE11" s="14">
        <f>IF($A11="","",IF(INDEX('潜水記録'!$AD$5:$AD$3004,$AS11)="","",INDEX('潜水記録'!$AD$5:$AD$3004,$AS11)))</f>
        <v/>
      </c>
      <c r="AF11" s="14">
        <f>IF($A11="","",IF(INDEX('潜水記録'!$AE$5:$AE$3004,$AS11)="","",INDEX('潜水記録'!$AE$5:$AE$3004,$AS11)))</f>
        <v/>
      </c>
      <c r="AG11" s="14">
        <f>IF($A11="","",IF(INDEX('潜水記録'!$AL$5:$AL$3004,$AS11)="","",INDEX('潜水記録'!$AL$5:$AL$3004,$AS11)))</f>
        <v/>
      </c>
      <c r="AH11" s="14">
        <f>IF($A11="","",IF(INDEX('潜水記録'!$AM$5:$AM$3004,$AS11)="","",INDEX('潜水記録'!$AM$5:$AM$3004,$AS11)))</f>
        <v/>
      </c>
      <c r="AI11" s="46">
        <f>IF($A11="","",IF(INDEX('潜水記録'!$AN$5:$AN$3004,$AS11)="","",INDEX('潜水記録'!$AN$5:$AN$3004,$AS11)))</f>
        <v/>
      </c>
      <c r="AJ11" s="14">
        <f>IF($A11="","",IF(INDEX('潜水記録'!$AO$5:$AO$3004,$AS11)="","",INDEX('潜水記録'!$AO$5:$AO$3004,$AS11)))</f>
        <v/>
      </c>
      <c r="AK11" s="14">
        <f>IF($A11="","",IF(INDEX('潜水記録'!$AP$5:$AP$3004,$AS11)="","",INDEX('潜水記録'!$AP$5:$AP$3004,$AS11)))</f>
        <v/>
      </c>
      <c r="AL11" s="14">
        <f>IF($A11="","",IF(INDEX('潜水記録'!$AQ$5:$AQ$3004,$AS11)="","",INDEX('潜水記録'!$AQ$5:$AQ$3004,$AS11)))</f>
        <v/>
      </c>
      <c r="AM11" s="14">
        <f>IF($A11="","",IF(INDEX('潜水記録'!$AR$5:$AR$3004,$AS11)="","",INDEX('潜水記録'!$AR$5:$AR$3004,$AS11)))</f>
        <v/>
      </c>
      <c r="AN11" s="14">
        <f>IF($A11="","",IF(INDEX('潜水記録'!$AS$5:$AS$3004,$AS11)="","",INDEX('潜水記録'!$AS$5:$AS$3004,$AS11)))</f>
        <v/>
      </c>
      <c r="AO11" s="14">
        <f>IF($A11="","",IF(INDEX('潜水記録'!$AT$5:$AT$3004,$AS11)="","",INDEX('潜水記録'!$AT$5:$AT$3004,$AS11)))</f>
        <v/>
      </c>
      <c r="AP11" s="14">
        <f>IF($A11="","",IF(INDEX('潜水記録'!$AU$5:$AU$3004,$AS11)="","",INDEX('潜水記録'!$AU$5:$AU$3004,$AS11)))</f>
        <v/>
      </c>
      <c r="AQ11" s="14">
        <f>IF($A11="","",IF(INDEX('潜水記録'!$AV$5:$AV$3004,$AS11)="","",INDEX('潜水記録'!$AV$5:$AV$3004,$AS11)))</f>
        <v/>
      </c>
      <c r="AR11" s="14">
        <f>IF($A11="","",IF(INDEX('潜水記録'!$AW$5:$AW$3004,$AS11)="","",INDEX('潜水記録'!$AW$5:$AW$3004,$AS11)))</f>
        <v/>
      </c>
      <c r="AS11" s="20">
        <f>IF($A11="","",MATCH($A11,'潜水記録'!$AI$5:$AI$3004,0))</f>
        <v/>
      </c>
    </row>
    <row r="12">
      <c r="A12" s="14">
        <f>IF(2&lt;=$C$8,2,"")</f>
        <v/>
      </c>
      <c r="B12" s="16">
        <f>IF($A12="","",IF(INDEX('潜水記録'!$A$5:$A$3004,$AS12)="","",INDEX('潜水記録'!$A$5:$A$3004,$AS12)))</f>
        <v/>
      </c>
      <c r="C12" s="14">
        <f>IF($A12="","",IF(INDEX('潜水記録'!$B$5:$B$3004,$AS12)="","",INDEX('潜水記録'!$B$5:$B$3004,$AS12)))</f>
        <v/>
      </c>
      <c r="D12" s="14">
        <f>IF($A12="","",IF(INDEX('潜水記録'!$C$5:$C$3004,$AS12)="","",INDEX('潜水記録'!$C$5:$C$3004,$AS12)))</f>
        <v/>
      </c>
      <c r="E12" s="14">
        <f>IF($A12="","",IF(INDEX('潜水記録'!$D$5:$D$3004,$AS12)="","",INDEX('潜水記録'!$D$5:$D$3004,$AS12)))</f>
        <v/>
      </c>
      <c r="F12" s="14">
        <f>IF($A12="","",IF(INDEX('潜水記録'!$E$5:$E$3004,$AS12)="","",INDEX('潜水記録'!$E$5:$E$3004,$AS12)))</f>
        <v/>
      </c>
      <c r="G12" s="14">
        <f>IF($A12="","",IF(INDEX('潜水記録'!$F$5:$F$3004,$AS12)="","",INDEX('潜水記録'!$F$5:$F$3004,$AS12)))</f>
        <v/>
      </c>
      <c r="H12" s="14">
        <f>IF($A12="","",IF(INDEX('潜水記録'!$G$5:$G$3004,$AS12)="","",INDEX('潜水記録'!$G$5:$G$3004,$AS12)))</f>
        <v/>
      </c>
      <c r="I12" s="14">
        <f>IF($A12="","",IF(INDEX('潜水記録'!$H$5:$H$3004,$AS12)="","",INDEX('潜水記録'!$H$5:$H$3004,$AS12)))</f>
        <v/>
      </c>
      <c r="J12" s="14">
        <f>IF($A12="","",IF(INDEX('潜水記録'!$I$5:$I$3004,$AS12)="","",INDEX('潜水記録'!$I$5:$I$3004,$AS12)))</f>
        <v/>
      </c>
      <c r="K12" s="14">
        <f>IF($A12="","",IF(INDEX('潜水記録'!$J$5:$J$3004,$AS12)="","",INDEX('潜水記録'!$J$5:$J$3004,$AS12)))</f>
        <v/>
      </c>
      <c r="L12" s="14">
        <f>IF($A12="","",IF(INDEX('潜水記録'!$K$5:$K$3004,$AS12)="","",INDEX('潜水記録'!$K$5:$K$3004,$AS12)))</f>
        <v/>
      </c>
      <c r="M12" s="14">
        <f>IF($A12="","",IF(INDEX('潜水記録'!$L$5:$L$3004,$AS12)="","",INDEX('潜水記録'!$L$5:$L$3004,$AS12)))</f>
        <v/>
      </c>
      <c r="N12" s="14">
        <f>IF($A12="","",IF(INDEX('潜水記録'!$M$5:$M$3004,$AS12)="","",INDEX('潜水記録'!$M$5:$M$3004,$AS12)))</f>
        <v/>
      </c>
      <c r="O12" s="14">
        <f>IF($A12="","",IF(INDEX('潜水記録'!$N$5:$N$3004,$AS12)="","",INDEX('潜水記録'!$N$5:$N$3004,$AS12)))</f>
        <v/>
      </c>
      <c r="P12" s="14">
        <f>IF($A12="","",IF(INDEX('潜水記録'!$O$5:$O$3004,$AS12)="","",INDEX('潜水記録'!$O$5:$O$3004,$AS12)))</f>
        <v/>
      </c>
      <c r="Q12" s="14">
        <f>IF($A12="","",IF(INDEX('潜水記録'!$P$5:$P$3004,$AS12)="","",INDEX('潜水記録'!$P$5:$P$3004,$AS12)))</f>
        <v/>
      </c>
      <c r="R12" s="14">
        <f>IF($A12="","",IF(INDEX('潜水記録'!$Q$5:$Q$3004,$AS12)="","",INDEX('潜水記録'!$Q$5:$Q$3004,$AS12)))</f>
        <v/>
      </c>
      <c r="S12" s="14">
        <f>IF($A12="","",IF(INDEX('潜水記録'!$R$5:$R$3004,$AS12)="","",INDEX('潜水記録'!$R$5:$R$3004,$AS12)))</f>
        <v/>
      </c>
      <c r="T12" s="14">
        <f>IF($A12="","",IF(INDEX('潜水記録'!$S$5:$S$3004,$AS12)="","",INDEX('潜水記録'!$S$5:$S$3004,$AS12)))</f>
        <v/>
      </c>
      <c r="U12" s="14">
        <f>IF($A12="","",IF(INDEX('潜水記録'!$T$5:$T$3004,$AS12)="","",INDEX('潜水記録'!$T$5:$T$3004,$AS12)))</f>
        <v/>
      </c>
      <c r="V12" s="46">
        <f>IF($A12="","",IF(INDEX('潜水記録'!$U$5:$U$3004,$AS12)="","",INDEX('潜水記録'!$U$5:$U$3004,$AS12)))</f>
        <v/>
      </c>
      <c r="W12" s="46">
        <f>IF($A12="","",IF(INDEX('潜水記録'!$V$5:$V$3004,$AS12)="","",INDEX('潜水記録'!$V$5:$V$3004,$AS12)))</f>
        <v/>
      </c>
      <c r="X12" s="14">
        <f>IF($A12="","",IF(INDEX('潜水記録'!$W$5:$W$3004,$AS12)="","",INDEX('潜水記録'!$W$5:$W$3004,$AS12)))</f>
        <v/>
      </c>
      <c r="Y12" s="14">
        <f>IF($A12="","",IF(INDEX('潜水記録'!$X$5:$X$3004,$AS12)="","",INDEX('潜水記録'!$X$5:$X$3004,$AS12)))</f>
        <v/>
      </c>
      <c r="Z12" s="14">
        <f>IF($A12="","",IF(INDEX('潜水記録'!$Y$5:$Y$3004,$AS12)="","",INDEX('潜水記録'!$Y$5:$Y$3004,$AS12)))</f>
        <v/>
      </c>
      <c r="AA12" s="14">
        <f>IF($A12="","",IF(INDEX('潜水記録'!$Z$5:$Z$3004,$AS12)="","",INDEX('潜水記録'!$Z$5:$Z$3004,$AS12)))</f>
        <v/>
      </c>
      <c r="AB12" s="14">
        <f>IF($A12="","",IF(INDEX('潜水記録'!$AA$5:$AA$3004,$AS12)="","",INDEX('潜水記録'!$AA$5:$AA$3004,$AS12)))</f>
        <v/>
      </c>
      <c r="AC12" s="14">
        <f>IF($A12="","",IF(INDEX('潜水記録'!$AB$5:$AB$3004,$AS12)="","",INDEX('潜水記録'!$AB$5:$AB$3004,$AS12)))</f>
        <v/>
      </c>
      <c r="AD12" s="14">
        <f>IF($A12="","",IF(INDEX('潜水記録'!$AC$5:$AC$3004,$AS12)="","",INDEX('潜水記録'!$AC$5:$AC$3004,$AS12)))</f>
        <v/>
      </c>
      <c r="AE12" s="14">
        <f>IF($A12="","",IF(INDEX('潜水記録'!$AD$5:$AD$3004,$AS12)="","",INDEX('潜水記録'!$AD$5:$AD$3004,$AS12)))</f>
        <v/>
      </c>
      <c r="AF12" s="14">
        <f>IF($A12="","",IF(INDEX('潜水記録'!$AE$5:$AE$3004,$AS12)="","",INDEX('潜水記録'!$AE$5:$AE$3004,$AS12)))</f>
        <v/>
      </c>
      <c r="AG12" s="14">
        <f>IF($A12="","",IF(INDEX('潜水記録'!$AL$5:$AL$3004,$AS12)="","",INDEX('潜水記録'!$AL$5:$AL$3004,$AS12)))</f>
        <v/>
      </c>
      <c r="AH12" s="14">
        <f>IF($A12="","",IF(INDEX('潜水記録'!$AM$5:$AM$3004,$AS12)="","",INDEX('潜水記録'!$AM$5:$AM$3004,$AS12)))</f>
        <v/>
      </c>
      <c r="AI12" s="46">
        <f>IF($A12="","",IF(INDEX('潜水記録'!$AN$5:$AN$3004,$AS12)="","",INDEX('潜水記録'!$AN$5:$AN$3004,$AS12)))</f>
        <v/>
      </c>
      <c r="AJ12" s="14">
        <f>IF($A12="","",IF(INDEX('潜水記録'!$AO$5:$AO$3004,$AS12)="","",INDEX('潜水記録'!$AO$5:$AO$3004,$AS12)))</f>
        <v/>
      </c>
      <c r="AK12" s="14">
        <f>IF($A12="","",IF(INDEX('潜水記録'!$AP$5:$AP$3004,$AS12)="","",INDEX('潜水記録'!$AP$5:$AP$3004,$AS12)))</f>
        <v/>
      </c>
      <c r="AL12" s="14">
        <f>IF($A12="","",IF(INDEX('潜水記録'!$AQ$5:$AQ$3004,$AS12)="","",INDEX('潜水記録'!$AQ$5:$AQ$3004,$AS12)))</f>
        <v/>
      </c>
      <c r="AM12" s="14">
        <f>IF($A12="","",IF(INDEX('潜水記録'!$AR$5:$AR$3004,$AS12)="","",INDEX('潜水記録'!$AR$5:$AR$3004,$AS12)))</f>
        <v/>
      </c>
      <c r="AN12" s="14">
        <f>IF($A12="","",IF(INDEX('潜水記録'!$AS$5:$AS$3004,$AS12)="","",INDEX('潜水記録'!$AS$5:$AS$3004,$AS12)))</f>
        <v/>
      </c>
      <c r="AO12" s="14">
        <f>IF($A12="","",IF(INDEX('潜水記録'!$AT$5:$AT$3004,$AS12)="","",INDEX('潜水記録'!$AT$5:$AT$3004,$AS12)))</f>
        <v/>
      </c>
      <c r="AP12" s="14">
        <f>IF($A12="","",IF(INDEX('潜水記録'!$AU$5:$AU$3004,$AS12)="","",INDEX('潜水記録'!$AU$5:$AU$3004,$AS12)))</f>
        <v/>
      </c>
      <c r="AQ12" s="14">
        <f>IF($A12="","",IF(INDEX('潜水記録'!$AV$5:$AV$3004,$AS12)="","",INDEX('潜水記録'!$AV$5:$AV$3004,$AS12)))</f>
        <v/>
      </c>
      <c r="AR12" s="14">
        <f>IF($A12="","",IF(INDEX('潜水記録'!$AW$5:$AW$3004,$AS12)="","",INDEX('潜水記録'!$AW$5:$AW$3004,$AS12)))</f>
        <v/>
      </c>
      <c r="AS12" s="20">
        <f>IF($A12="","",MATCH($A12,'潜水記録'!$AI$5:$AI$3004,0))</f>
        <v/>
      </c>
    </row>
    <row r="13">
      <c r="A13" s="14">
        <f>IF(3&lt;=$C$8,3,"")</f>
        <v/>
      </c>
      <c r="B13" s="16">
        <f>IF($A13="","",IF(INDEX('潜水記録'!$A$5:$A$3004,$AS13)="","",INDEX('潜水記録'!$A$5:$A$3004,$AS13)))</f>
        <v/>
      </c>
      <c r="C13" s="14">
        <f>IF($A13="","",IF(INDEX('潜水記録'!$B$5:$B$3004,$AS13)="","",INDEX('潜水記録'!$B$5:$B$3004,$AS13)))</f>
        <v/>
      </c>
      <c r="D13" s="14">
        <f>IF($A13="","",IF(INDEX('潜水記録'!$C$5:$C$3004,$AS13)="","",INDEX('潜水記録'!$C$5:$C$3004,$AS13)))</f>
        <v/>
      </c>
      <c r="E13" s="14">
        <f>IF($A13="","",IF(INDEX('潜水記録'!$D$5:$D$3004,$AS13)="","",INDEX('潜水記録'!$D$5:$D$3004,$AS13)))</f>
        <v/>
      </c>
      <c r="F13" s="14">
        <f>IF($A13="","",IF(INDEX('潜水記録'!$E$5:$E$3004,$AS13)="","",INDEX('潜水記録'!$E$5:$E$3004,$AS13)))</f>
        <v/>
      </c>
      <c r="G13" s="14">
        <f>IF($A13="","",IF(INDEX('潜水記録'!$F$5:$F$3004,$AS13)="","",INDEX('潜水記録'!$F$5:$F$3004,$AS13)))</f>
        <v/>
      </c>
      <c r="H13" s="14">
        <f>IF($A13="","",IF(INDEX('潜水記録'!$G$5:$G$3004,$AS13)="","",INDEX('潜水記録'!$G$5:$G$3004,$AS13)))</f>
        <v/>
      </c>
      <c r="I13" s="14">
        <f>IF($A13="","",IF(INDEX('潜水記録'!$H$5:$H$3004,$AS13)="","",INDEX('潜水記録'!$H$5:$H$3004,$AS13)))</f>
        <v/>
      </c>
      <c r="J13" s="14">
        <f>IF($A13="","",IF(INDEX('潜水記録'!$I$5:$I$3004,$AS13)="","",INDEX('潜水記録'!$I$5:$I$3004,$AS13)))</f>
        <v/>
      </c>
      <c r="K13" s="14">
        <f>IF($A13="","",IF(INDEX('潜水記録'!$J$5:$J$3004,$AS13)="","",INDEX('潜水記録'!$J$5:$J$3004,$AS13)))</f>
        <v/>
      </c>
      <c r="L13" s="14">
        <f>IF($A13="","",IF(INDEX('潜水記録'!$K$5:$K$3004,$AS13)="","",INDEX('潜水記録'!$K$5:$K$3004,$AS13)))</f>
        <v/>
      </c>
      <c r="M13" s="14">
        <f>IF($A13="","",IF(INDEX('潜水記録'!$L$5:$L$3004,$AS13)="","",INDEX('潜水記録'!$L$5:$L$3004,$AS13)))</f>
        <v/>
      </c>
      <c r="N13" s="14">
        <f>IF($A13="","",IF(INDEX('潜水記録'!$M$5:$M$3004,$AS13)="","",INDEX('潜水記録'!$M$5:$M$3004,$AS13)))</f>
        <v/>
      </c>
      <c r="O13" s="14">
        <f>IF($A13="","",IF(INDEX('潜水記録'!$N$5:$N$3004,$AS13)="","",INDEX('潜水記録'!$N$5:$N$3004,$AS13)))</f>
        <v/>
      </c>
      <c r="P13" s="14">
        <f>IF($A13="","",IF(INDEX('潜水記録'!$O$5:$O$3004,$AS13)="","",INDEX('潜水記録'!$O$5:$O$3004,$AS13)))</f>
        <v/>
      </c>
      <c r="Q13" s="14">
        <f>IF($A13="","",IF(INDEX('潜水記録'!$P$5:$P$3004,$AS13)="","",INDEX('潜水記録'!$P$5:$P$3004,$AS13)))</f>
        <v/>
      </c>
      <c r="R13" s="14">
        <f>IF($A13="","",IF(INDEX('潜水記録'!$Q$5:$Q$3004,$AS13)="","",INDEX('潜水記録'!$Q$5:$Q$3004,$AS13)))</f>
        <v/>
      </c>
      <c r="S13" s="14">
        <f>IF($A13="","",IF(INDEX('潜水記録'!$R$5:$R$3004,$AS13)="","",INDEX('潜水記録'!$R$5:$R$3004,$AS13)))</f>
        <v/>
      </c>
      <c r="T13" s="14">
        <f>IF($A13="","",IF(INDEX('潜水記録'!$S$5:$S$3004,$AS13)="","",INDEX('潜水記録'!$S$5:$S$3004,$AS13)))</f>
        <v/>
      </c>
      <c r="U13" s="14">
        <f>IF($A13="","",IF(INDEX('潜水記録'!$T$5:$T$3004,$AS13)="","",INDEX('潜水記録'!$T$5:$T$3004,$AS13)))</f>
        <v/>
      </c>
      <c r="V13" s="46">
        <f>IF($A13="","",IF(INDEX('潜水記録'!$U$5:$U$3004,$AS13)="","",INDEX('潜水記録'!$U$5:$U$3004,$AS13)))</f>
        <v/>
      </c>
      <c r="W13" s="46">
        <f>IF($A13="","",IF(INDEX('潜水記録'!$V$5:$V$3004,$AS13)="","",INDEX('潜水記録'!$V$5:$V$3004,$AS13)))</f>
        <v/>
      </c>
      <c r="X13" s="14">
        <f>IF($A13="","",IF(INDEX('潜水記録'!$W$5:$W$3004,$AS13)="","",INDEX('潜水記録'!$W$5:$W$3004,$AS13)))</f>
        <v/>
      </c>
      <c r="Y13" s="14">
        <f>IF($A13="","",IF(INDEX('潜水記録'!$X$5:$X$3004,$AS13)="","",INDEX('潜水記録'!$X$5:$X$3004,$AS13)))</f>
        <v/>
      </c>
      <c r="Z13" s="14">
        <f>IF($A13="","",IF(INDEX('潜水記録'!$Y$5:$Y$3004,$AS13)="","",INDEX('潜水記録'!$Y$5:$Y$3004,$AS13)))</f>
        <v/>
      </c>
      <c r="AA13" s="14">
        <f>IF($A13="","",IF(INDEX('潜水記録'!$Z$5:$Z$3004,$AS13)="","",INDEX('潜水記録'!$Z$5:$Z$3004,$AS13)))</f>
        <v/>
      </c>
      <c r="AB13" s="14">
        <f>IF($A13="","",IF(INDEX('潜水記録'!$AA$5:$AA$3004,$AS13)="","",INDEX('潜水記録'!$AA$5:$AA$3004,$AS13)))</f>
        <v/>
      </c>
      <c r="AC13" s="14">
        <f>IF($A13="","",IF(INDEX('潜水記録'!$AB$5:$AB$3004,$AS13)="","",INDEX('潜水記録'!$AB$5:$AB$3004,$AS13)))</f>
        <v/>
      </c>
      <c r="AD13" s="14">
        <f>IF($A13="","",IF(INDEX('潜水記録'!$AC$5:$AC$3004,$AS13)="","",INDEX('潜水記録'!$AC$5:$AC$3004,$AS13)))</f>
        <v/>
      </c>
      <c r="AE13" s="14">
        <f>IF($A13="","",IF(INDEX('潜水記録'!$AD$5:$AD$3004,$AS13)="","",INDEX('潜水記録'!$AD$5:$AD$3004,$AS13)))</f>
        <v/>
      </c>
      <c r="AF13" s="14">
        <f>IF($A13="","",IF(INDEX('潜水記録'!$AE$5:$AE$3004,$AS13)="","",INDEX('潜水記録'!$AE$5:$AE$3004,$AS13)))</f>
        <v/>
      </c>
      <c r="AG13" s="14">
        <f>IF($A13="","",IF(INDEX('潜水記録'!$AL$5:$AL$3004,$AS13)="","",INDEX('潜水記録'!$AL$5:$AL$3004,$AS13)))</f>
        <v/>
      </c>
      <c r="AH13" s="14">
        <f>IF($A13="","",IF(INDEX('潜水記録'!$AM$5:$AM$3004,$AS13)="","",INDEX('潜水記録'!$AM$5:$AM$3004,$AS13)))</f>
        <v/>
      </c>
      <c r="AI13" s="46">
        <f>IF($A13="","",IF(INDEX('潜水記録'!$AN$5:$AN$3004,$AS13)="","",INDEX('潜水記録'!$AN$5:$AN$3004,$AS13)))</f>
        <v/>
      </c>
      <c r="AJ13" s="14">
        <f>IF($A13="","",IF(INDEX('潜水記録'!$AO$5:$AO$3004,$AS13)="","",INDEX('潜水記録'!$AO$5:$AO$3004,$AS13)))</f>
        <v/>
      </c>
      <c r="AK13" s="14">
        <f>IF($A13="","",IF(INDEX('潜水記録'!$AP$5:$AP$3004,$AS13)="","",INDEX('潜水記録'!$AP$5:$AP$3004,$AS13)))</f>
        <v/>
      </c>
      <c r="AL13" s="14">
        <f>IF($A13="","",IF(INDEX('潜水記録'!$AQ$5:$AQ$3004,$AS13)="","",INDEX('潜水記録'!$AQ$5:$AQ$3004,$AS13)))</f>
        <v/>
      </c>
      <c r="AM13" s="14">
        <f>IF($A13="","",IF(INDEX('潜水記録'!$AR$5:$AR$3004,$AS13)="","",INDEX('潜水記録'!$AR$5:$AR$3004,$AS13)))</f>
        <v/>
      </c>
      <c r="AN13" s="14">
        <f>IF($A13="","",IF(INDEX('潜水記録'!$AS$5:$AS$3004,$AS13)="","",INDEX('潜水記録'!$AS$5:$AS$3004,$AS13)))</f>
        <v/>
      </c>
      <c r="AO13" s="14">
        <f>IF($A13="","",IF(INDEX('潜水記録'!$AT$5:$AT$3004,$AS13)="","",INDEX('潜水記録'!$AT$5:$AT$3004,$AS13)))</f>
        <v/>
      </c>
      <c r="AP13" s="14">
        <f>IF($A13="","",IF(INDEX('潜水記録'!$AU$5:$AU$3004,$AS13)="","",INDEX('潜水記録'!$AU$5:$AU$3004,$AS13)))</f>
        <v/>
      </c>
      <c r="AQ13" s="14">
        <f>IF($A13="","",IF(INDEX('潜水記録'!$AV$5:$AV$3004,$AS13)="","",INDEX('潜水記録'!$AV$5:$AV$3004,$AS13)))</f>
        <v/>
      </c>
      <c r="AR13" s="14">
        <f>IF($A13="","",IF(INDEX('潜水記録'!$AW$5:$AW$3004,$AS13)="","",INDEX('潜水記録'!$AW$5:$AW$3004,$AS13)))</f>
        <v/>
      </c>
      <c r="AS13" s="20">
        <f>IF($A13="","",MATCH($A13,'潜水記録'!$AI$5:$AI$3004,0))</f>
        <v/>
      </c>
    </row>
    <row r="14">
      <c r="A14" s="14">
        <f>IF(4&lt;=$C$8,4,"")</f>
        <v/>
      </c>
      <c r="B14" s="16">
        <f>IF($A14="","",IF(INDEX('潜水記録'!$A$5:$A$3004,$AS14)="","",INDEX('潜水記録'!$A$5:$A$3004,$AS14)))</f>
        <v/>
      </c>
      <c r="C14" s="14">
        <f>IF($A14="","",IF(INDEX('潜水記録'!$B$5:$B$3004,$AS14)="","",INDEX('潜水記録'!$B$5:$B$3004,$AS14)))</f>
        <v/>
      </c>
      <c r="D14" s="14">
        <f>IF($A14="","",IF(INDEX('潜水記録'!$C$5:$C$3004,$AS14)="","",INDEX('潜水記録'!$C$5:$C$3004,$AS14)))</f>
        <v/>
      </c>
      <c r="E14" s="14">
        <f>IF($A14="","",IF(INDEX('潜水記録'!$D$5:$D$3004,$AS14)="","",INDEX('潜水記録'!$D$5:$D$3004,$AS14)))</f>
        <v/>
      </c>
      <c r="F14" s="14">
        <f>IF($A14="","",IF(INDEX('潜水記録'!$E$5:$E$3004,$AS14)="","",INDEX('潜水記録'!$E$5:$E$3004,$AS14)))</f>
        <v/>
      </c>
      <c r="G14" s="14">
        <f>IF($A14="","",IF(INDEX('潜水記録'!$F$5:$F$3004,$AS14)="","",INDEX('潜水記録'!$F$5:$F$3004,$AS14)))</f>
        <v/>
      </c>
      <c r="H14" s="14">
        <f>IF($A14="","",IF(INDEX('潜水記録'!$G$5:$G$3004,$AS14)="","",INDEX('潜水記録'!$G$5:$G$3004,$AS14)))</f>
        <v/>
      </c>
      <c r="I14" s="14">
        <f>IF($A14="","",IF(INDEX('潜水記録'!$H$5:$H$3004,$AS14)="","",INDEX('潜水記録'!$H$5:$H$3004,$AS14)))</f>
        <v/>
      </c>
      <c r="J14" s="14">
        <f>IF($A14="","",IF(INDEX('潜水記録'!$I$5:$I$3004,$AS14)="","",INDEX('潜水記録'!$I$5:$I$3004,$AS14)))</f>
        <v/>
      </c>
      <c r="K14" s="14">
        <f>IF($A14="","",IF(INDEX('潜水記録'!$J$5:$J$3004,$AS14)="","",INDEX('潜水記録'!$J$5:$J$3004,$AS14)))</f>
        <v/>
      </c>
      <c r="L14" s="14">
        <f>IF($A14="","",IF(INDEX('潜水記録'!$K$5:$K$3004,$AS14)="","",INDEX('潜水記録'!$K$5:$K$3004,$AS14)))</f>
        <v/>
      </c>
      <c r="M14" s="14">
        <f>IF($A14="","",IF(INDEX('潜水記録'!$L$5:$L$3004,$AS14)="","",INDEX('潜水記録'!$L$5:$L$3004,$AS14)))</f>
        <v/>
      </c>
      <c r="N14" s="14">
        <f>IF($A14="","",IF(INDEX('潜水記録'!$M$5:$M$3004,$AS14)="","",INDEX('潜水記録'!$M$5:$M$3004,$AS14)))</f>
        <v/>
      </c>
      <c r="O14" s="14">
        <f>IF($A14="","",IF(INDEX('潜水記録'!$N$5:$N$3004,$AS14)="","",INDEX('潜水記録'!$N$5:$N$3004,$AS14)))</f>
        <v/>
      </c>
      <c r="P14" s="14">
        <f>IF($A14="","",IF(INDEX('潜水記録'!$O$5:$O$3004,$AS14)="","",INDEX('潜水記録'!$O$5:$O$3004,$AS14)))</f>
        <v/>
      </c>
      <c r="Q14" s="14">
        <f>IF($A14="","",IF(INDEX('潜水記録'!$P$5:$P$3004,$AS14)="","",INDEX('潜水記録'!$P$5:$P$3004,$AS14)))</f>
        <v/>
      </c>
      <c r="R14" s="14">
        <f>IF($A14="","",IF(INDEX('潜水記録'!$Q$5:$Q$3004,$AS14)="","",INDEX('潜水記録'!$Q$5:$Q$3004,$AS14)))</f>
        <v/>
      </c>
      <c r="S14" s="14">
        <f>IF($A14="","",IF(INDEX('潜水記録'!$R$5:$R$3004,$AS14)="","",INDEX('潜水記録'!$R$5:$R$3004,$AS14)))</f>
        <v/>
      </c>
      <c r="T14" s="14">
        <f>IF($A14="","",IF(INDEX('潜水記録'!$S$5:$S$3004,$AS14)="","",INDEX('潜水記録'!$S$5:$S$3004,$AS14)))</f>
        <v/>
      </c>
      <c r="U14" s="14">
        <f>IF($A14="","",IF(INDEX('潜水記録'!$T$5:$T$3004,$AS14)="","",INDEX('潜水記録'!$T$5:$T$3004,$AS14)))</f>
        <v/>
      </c>
      <c r="V14" s="46">
        <f>IF($A14="","",IF(INDEX('潜水記録'!$U$5:$U$3004,$AS14)="","",INDEX('潜水記録'!$U$5:$U$3004,$AS14)))</f>
        <v/>
      </c>
      <c r="W14" s="46">
        <f>IF($A14="","",IF(INDEX('潜水記録'!$V$5:$V$3004,$AS14)="","",INDEX('潜水記録'!$V$5:$V$3004,$AS14)))</f>
        <v/>
      </c>
      <c r="X14" s="14">
        <f>IF($A14="","",IF(INDEX('潜水記録'!$W$5:$W$3004,$AS14)="","",INDEX('潜水記録'!$W$5:$W$3004,$AS14)))</f>
        <v/>
      </c>
      <c r="Y14" s="14">
        <f>IF($A14="","",IF(INDEX('潜水記録'!$X$5:$X$3004,$AS14)="","",INDEX('潜水記録'!$X$5:$X$3004,$AS14)))</f>
        <v/>
      </c>
      <c r="Z14" s="14">
        <f>IF($A14="","",IF(INDEX('潜水記録'!$Y$5:$Y$3004,$AS14)="","",INDEX('潜水記録'!$Y$5:$Y$3004,$AS14)))</f>
        <v/>
      </c>
      <c r="AA14" s="14">
        <f>IF($A14="","",IF(INDEX('潜水記録'!$Z$5:$Z$3004,$AS14)="","",INDEX('潜水記録'!$Z$5:$Z$3004,$AS14)))</f>
        <v/>
      </c>
      <c r="AB14" s="14">
        <f>IF($A14="","",IF(INDEX('潜水記録'!$AA$5:$AA$3004,$AS14)="","",INDEX('潜水記録'!$AA$5:$AA$3004,$AS14)))</f>
        <v/>
      </c>
      <c r="AC14" s="14">
        <f>IF($A14="","",IF(INDEX('潜水記録'!$AB$5:$AB$3004,$AS14)="","",INDEX('潜水記録'!$AB$5:$AB$3004,$AS14)))</f>
        <v/>
      </c>
      <c r="AD14" s="14">
        <f>IF($A14="","",IF(INDEX('潜水記録'!$AC$5:$AC$3004,$AS14)="","",INDEX('潜水記録'!$AC$5:$AC$3004,$AS14)))</f>
        <v/>
      </c>
      <c r="AE14" s="14">
        <f>IF($A14="","",IF(INDEX('潜水記録'!$AD$5:$AD$3004,$AS14)="","",INDEX('潜水記録'!$AD$5:$AD$3004,$AS14)))</f>
        <v/>
      </c>
      <c r="AF14" s="14">
        <f>IF($A14="","",IF(INDEX('潜水記録'!$AE$5:$AE$3004,$AS14)="","",INDEX('潜水記録'!$AE$5:$AE$3004,$AS14)))</f>
        <v/>
      </c>
      <c r="AG14" s="14">
        <f>IF($A14="","",IF(INDEX('潜水記録'!$AL$5:$AL$3004,$AS14)="","",INDEX('潜水記録'!$AL$5:$AL$3004,$AS14)))</f>
        <v/>
      </c>
      <c r="AH14" s="14">
        <f>IF($A14="","",IF(INDEX('潜水記録'!$AM$5:$AM$3004,$AS14)="","",INDEX('潜水記録'!$AM$5:$AM$3004,$AS14)))</f>
        <v/>
      </c>
      <c r="AI14" s="46">
        <f>IF($A14="","",IF(INDEX('潜水記録'!$AN$5:$AN$3004,$AS14)="","",INDEX('潜水記録'!$AN$5:$AN$3004,$AS14)))</f>
        <v/>
      </c>
      <c r="AJ14" s="14">
        <f>IF($A14="","",IF(INDEX('潜水記録'!$AO$5:$AO$3004,$AS14)="","",INDEX('潜水記録'!$AO$5:$AO$3004,$AS14)))</f>
        <v/>
      </c>
      <c r="AK14" s="14">
        <f>IF($A14="","",IF(INDEX('潜水記録'!$AP$5:$AP$3004,$AS14)="","",INDEX('潜水記録'!$AP$5:$AP$3004,$AS14)))</f>
        <v/>
      </c>
      <c r="AL14" s="14">
        <f>IF($A14="","",IF(INDEX('潜水記録'!$AQ$5:$AQ$3004,$AS14)="","",INDEX('潜水記録'!$AQ$5:$AQ$3004,$AS14)))</f>
        <v/>
      </c>
      <c r="AM14" s="14">
        <f>IF($A14="","",IF(INDEX('潜水記録'!$AR$5:$AR$3004,$AS14)="","",INDEX('潜水記録'!$AR$5:$AR$3004,$AS14)))</f>
        <v/>
      </c>
      <c r="AN14" s="14">
        <f>IF($A14="","",IF(INDEX('潜水記録'!$AS$5:$AS$3004,$AS14)="","",INDEX('潜水記録'!$AS$5:$AS$3004,$AS14)))</f>
        <v/>
      </c>
      <c r="AO14" s="14">
        <f>IF($A14="","",IF(INDEX('潜水記録'!$AT$5:$AT$3004,$AS14)="","",INDEX('潜水記録'!$AT$5:$AT$3004,$AS14)))</f>
        <v/>
      </c>
      <c r="AP14" s="14">
        <f>IF($A14="","",IF(INDEX('潜水記録'!$AU$5:$AU$3004,$AS14)="","",INDEX('潜水記録'!$AU$5:$AU$3004,$AS14)))</f>
        <v/>
      </c>
      <c r="AQ14" s="14">
        <f>IF($A14="","",IF(INDEX('潜水記録'!$AV$5:$AV$3004,$AS14)="","",INDEX('潜水記録'!$AV$5:$AV$3004,$AS14)))</f>
        <v/>
      </c>
      <c r="AR14" s="14">
        <f>IF($A14="","",IF(INDEX('潜水記録'!$AW$5:$AW$3004,$AS14)="","",INDEX('潜水記録'!$AW$5:$AW$3004,$AS14)))</f>
        <v/>
      </c>
      <c r="AS14" s="20">
        <f>IF($A14="","",MATCH($A14,'潜水記録'!$AI$5:$AI$3004,0))</f>
        <v/>
      </c>
    </row>
    <row r="15">
      <c r="A15" s="14">
        <f>IF(5&lt;=$C$8,5,"")</f>
        <v/>
      </c>
      <c r="B15" s="16">
        <f>IF($A15="","",IF(INDEX('潜水記録'!$A$5:$A$3004,$AS15)="","",INDEX('潜水記録'!$A$5:$A$3004,$AS15)))</f>
        <v/>
      </c>
      <c r="C15" s="14">
        <f>IF($A15="","",IF(INDEX('潜水記録'!$B$5:$B$3004,$AS15)="","",INDEX('潜水記録'!$B$5:$B$3004,$AS15)))</f>
        <v/>
      </c>
      <c r="D15" s="14">
        <f>IF($A15="","",IF(INDEX('潜水記録'!$C$5:$C$3004,$AS15)="","",INDEX('潜水記録'!$C$5:$C$3004,$AS15)))</f>
        <v/>
      </c>
      <c r="E15" s="14">
        <f>IF($A15="","",IF(INDEX('潜水記録'!$D$5:$D$3004,$AS15)="","",INDEX('潜水記録'!$D$5:$D$3004,$AS15)))</f>
        <v/>
      </c>
      <c r="F15" s="14">
        <f>IF($A15="","",IF(INDEX('潜水記録'!$E$5:$E$3004,$AS15)="","",INDEX('潜水記録'!$E$5:$E$3004,$AS15)))</f>
        <v/>
      </c>
      <c r="G15" s="14">
        <f>IF($A15="","",IF(INDEX('潜水記録'!$F$5:$F$3004,$AS15)="","",INDEX('潜水記録'!$F$5:$F$3004,$AS15)))</f>
        <v/>
      </c>
      <c r="H15" s="14">
        <f>IF($A15="","",IF(INDEX('潜水記録'!$G$5:$G$3004,$AS15)="","",INDEX('潜水記録'!$G$5:$G$3004,$AS15)))</f>
        <v/>
      </c>
      <c r="I15" s="14">
        <f>IF($A15="","",IF(INDEX('潜水記録'!$H$5:$H$3004,$AS15)="","",INDEX('潜水記録'!$H$5:$H$3004,$AS15)))</f>
        <v/>
      </c>
      <c r="J15" s="14">
        <f>IF($A15="","",IF(INDEX('潜水記録'!$I$5:$I$3004,$AS15)="","",INDEX('潜水記録'!$I$5:$I$3004,$AS15)))</f>
        <v/>
      </c>
      <c r="K15" s="14">
        <f>IF($A15="","",IF(INDEX('潜水記録'!$J$5:$J$3004,$AS15)="","",INDEX('潜水記録'!$J$5:$J$3004,$AS15)))</f>
        <v/>
      </c>
      <c r="L15" s="14">
        <f>IF($A15="","",IF(INDEX('潜水記録'!$K$5:$K$3004,$AS15)="","",INDEX('潜水記録'!$K$5:$K$3004,$AS15)))</f>
        <v/>
      </c>
      <c r="M15" s="14">
        <f>IF($A15="","",IF(INDEX('潜水記録'!$L$5:$L$3004,$AS15)="","",INDEX('潜水記録'!$L$5:$L$3004,$AS15)))</f>
        <v/>
      </c>
      <c r="N15" s="14">
        <f>IF($A15="","",IF(INDEX('潜水記録'!$M$5:$M$3004,$AS15)="","",INDEX('潜水記録'!$M$5:$M$3004,$AS15)))</f>
        <v/>
      </c>
      <c r="O15" s="14">
        <f>IF($A15="","",IF(INDEX('潜水記録'!$N$5:$N$3004,$AS15)="","",INDEX('潜水記録'!$N$5:$N$3004,$AS15)))</f>
        <v/>
      </c>
      <c r="P15" s="14">
        <f>IF($A15="","",IF(INDEX('潜水記録'!$O$5:$O$3004,$AS15)="","",INDEX('潜水記録'!$O$5:$O$3004,$AS15)))</f>
        <v/>
      </c>
      <c r="Q15" s="14">
        <f>IF($A15="","",IF(INDEX('潜水記録'!$P$5:$P$3004,$AS15)="","",INDEX('潜水記録'!$P$5:$P$3004,$AS15)))</f>
        <v/>
      </c>
      <c r="R15" s="14">
        <f>IF($A15="","",IF(INDEX('潜水記録'!$Q$5:$Q$3004,$AS15)="","",INDEX('潜水記録'!$Q$5:$Q$3004,$AS15)))</f>
        <v/>
      </c>
      <c r="S15" s="14">
        <f>IF($A15="","",IF(INDEX('潜水記録'!$R$5:$R$3004,$AS15)="","",INDEX('潜水記録'!$R$5:$R$3004,$AS15)))</f>
        <v/>
      </c>
      <c r="T15" s="14">
        <f>IF($A15="","",IF(INDEX('潜水記録'!$S$5:$S$3004,$AS15)="","",INDEX('潜水記録'!$S$5:$S$3004,$AS15)))</f>
        <v/>
      </c>
      <c r="U15" s="14">
        <f>IF($A15="","",IF(INDEX('潜水記録'!$T$5:$T$3004,$AS15)="","",INDEX('潜水記録'!$T$5:$T$3004,$AS15)))</f>
        <v/>
      </c>
      <c r="V15" s="46">
        <f>IF($A15="","",IF(INDEX('潜水記録'!$U$5:$U$3004,$AS15)="","",INDEX('潜水記録'!$U$5:$U$3004,$AS15)))</f>
        <v/>
      </c>
      <c r="W15" s="46">
        <f>IF($A15="","",IF(INDEX('潜水記録'!$V$5:$V$3004,$AS15)="","",INDEX('潜水記録'!$V$5:$V$3004,$AS15)))</f>
        <v/>
      </c>
      <c r="X15" s="14">
        <f>IF($A15="","",IF(INDEX('潜水記録'!$W$5:$W$3004,$AS15)="","",INDEX('潜水記録'!$W$5:$W$3004,$AS15)))</f>
        <v/>
      </c>
      <c r="Y15" s="14">
        <f>IF($A15="","",IF(INDEX('潜水記録'!$X$5:$X$3004,$AS15)="","",INDEX('潜水記録'!$X$5:$X$3004,$AS15)))</f>
        <v/>
      </c>
      <c r="Z15" s="14">
        <f>IF($A15="","",IF(INDEX('潜水記録'!$Y$5:$Y$3004,$AS15)="","",INDEX('潜水記録'!$Y$5:$Y$3004,$AS15)))</f>
        <v/>
      </c>
      <c r="AA15" s="14">
        <f>IF($A15="","",IF(INDEX('潜水記録'!$Z$5:$Z$3004,$AS15)="","",INDEX('潜水記録'!$Z$5:$Z$3004,$AS15)))</f>
        <v/>
      </c>
      <c r="AB15" s="14">
        <f>IF($A15="","",IF(INDEX('潜水記録'!$AA$5:$AA$3004,$AS15)="","",INDEX('潜水記録'!$AA$5:$AA$3004,$AS15)))</f>
        <v/>
      </c>
      <c r="AC15" s="14">
        <f>IF($A15="","",IF(INDEX('潜水記録'!$AB$5:$AB$3004,$AS15)="","",INDEX('潜水記録'!$AB$5:$AB$3004,$AS15)))</f>
        <v/>
      </c>
      <c r="AD15" s="14">
        <f>IF($A15="","",IF(INDEX('潜水記録'!$AC$5:$AC$3004,$AS15)="","",INDEX('潜水記録'!$AC$5:$AC$3004,$AS15)))</f>
        <v/>
      </c>
      <c r="AE15" s="14">
        <f>IF($A15="","",IF(INDEX('潜水記録'!$AD$5:$AD$3004,$AS15)="","",INDEX('潜水記録'!$AD$5:$AD$3004,$AS15)))</f>
        <v/>
      </c>
      <c r="AF15" s="14">
        <f>IF($A15="","",IF(INDEX('潜水記録'!$AE$5:$AE$3004,$AS15)="","",INDEX('潜水記録'!$AE$5:$AE$3004,$AS15)))</f>
        <v/>
      </c>
      <c r="AG15" s="14">
        <f>IF($A15="","",IF(INDEX('潜水記録'!$AL$5:$AL$3004,$AS15)="","",INDEX('潜水記録'!$AL$5:$AL$3004,$AS15)))</f>
        <v/>
      </c>
      <c r="AH15" s="14">
        <f>IF($A15="","",IF(INDEX('潜水記録'!$AM$5:$AM$3004,$AS15)="","",INDEX('潜水記録'!$AM$5:$AM$3004,$AS15)))</f>
        <v/>
      </c>
      <c r="AI15" s="46">
        <f>IF($A15="","",IF(INDEX('潜水記録'!$AN$5:$AN$3004,$AS15)="","",INDEX('潜水記録'!$AN$5:$AN$3004,$AS15)))</f>
        <v/>
      </c>
      <c r="AJ15" s="14">
        <f>IF($A15="","",IF(INDEX('潜水記録'!$AO$5:$AO$3004,$AS15)="","",INDEX('潜水記録'!$AO$5:$AO$3004,$AS15)))</f>
        <v/>
      </c>
      <c r="AK15" s="14">
        <f>IF($A15="","",IF(INDEX('潜水記録'!$AP$5:$AP$3004,$AS15)="","",INDEX('潜水記録'!$AP$5:$AP$3004,$AS15)))</f>
        <v/>
      </c>
      <c r="AL15" s="14">
        <f>IF($A15="","",IF(INDEX('潜水記録'!$AQ$5:$AQ$3004,$AS15)="","",INDEX('潜水記録'!$AQ$5:$AQ$3004,$AS15)))</f>
        <v/>
      </c>
      <c r="AM15" s="14">
        <f>IF($A15="","",IF(INDEX('潜水記録'!$AR$5:$AR$3004,$AS15)="","",INDEX('潜水記録'!$AR$5:$AR$3004,$AS15)))</f>
        <v/>
      </c>
      <c r="AN15" s="14">
        <f>IF($A15="","",IF(INDEX('潜水記録'!$AS$5:$AS$3004,$AS15)="","",INDEX('潜水記録'!$AS$5:$AS$3004,$AS15)))</f>
        <v/>
      </c>
      <c r="AO15" s="14">
        <f>IF($A15="","",IF(INDEX('潜水記録'!$AT$5:$AT$3004,$AS15)="","",INDEX('潜水記録'!$AT$5:$AT$3004,$AS15)))</f>
        <v/>
      </c>
      <c r="AP15" s="14">
        <f>IF($A15="","",IF(INDEX('潜水記録'!$AU$5:$AU$3004,$AS15)="","",INDEX('潜水記録'!$AU$5:$AU$3004,$AS15)))</f>
        <v/>
      </c>
      <c r="AQ15" s="14">
        <f>IF($A15="","",IF(INDEX('潜水記録'!$AV$5:$AV$3004,$AS15)="","",INDEX('潜水記録'!$AV$5:$AV$3004,$AS15)))</f>
        <v/>
      </c>
      <c r="AR15" s="14">
        <f>IF($A15="","",IF(INDEX('潜水記録'!$AW$5:$AW$3004,$AS15)="","",INDEX('潜水記録'!$AW$5:$AW$3004,$AS15)))</f>
        <v/>
      </c>
      <c r="AS15" s="20">
        <f>IF($A15="","",MATCH($A15,'潜水記録'!$AI$5:$AI$3004,0))</f>
        <v/>
      </c>
    </row>
    <row r="16">
      <c r="A16" s="14">
        <f>IF(6&lt;=$C$8,6,"")</f>
        <v/>
      </c>
      <c r="B16" s="16">
        <f>IF($A16="","",IF(INDEX('潜水記録'!$A$5:$A$3004,$AS16)="","",INDEX('潜水記録'!$A$5:$A$3004,$AS16)))</f>
        <v/>
      </c>
      <c r="C16" s="14">
        <f>IF($A16="","",IF(INDEX('潜水記録'!$B$5:$B$3004,$AS16)="","",INDEX('潜水記録'!$B$5:$B$3004,$AS16)))</f>
        <v/>
      </c>
      <c r="D16" s="14">
        <f>IF($A16="","",IF(INDEX('潜水記録'!$C$5:$C$3004,$AS16)="","",INDEX('潜水記録'!$C$5:$C$3004,$AS16)))</f>
        <v/>
      </c>
      <c r="E16" s="14">
        <f>IF($A16="","",IF(INDEX('潜水記録'!$D$5:$D$3004,$AS16)="","",INDEX('潜水記録'!$D$5:$D$3004,$AS16)))</f>
        <v/>
      </c>
      <c r="F16" s="14">
        <f>IF($A16="","",IF(INDEX('潜水記録'!$E$5:$E$3004,$AS16)="","",INDEX('潜水記録'!$E$5:$E$3004,$AS16)))</f>
        <v/>
      </c>
      <c r="G16" s="14">
        <f>IF($A16="","",IF(INDEX('潜水記録'!$F$5:$F$3004,$AS16)="","",INDEX('潜水記録'!$F$5:$F$3004,$AS16)))</f>
        <v/>
      </c>
      <c r="H16" s="14">
        <f>IF($A16="","",IF(INDEX('潜水記録'!$G$5:$G$3004,$AS16)="","",INDEX('潜水記録'!$G$5:$G$3004,$AS16)))</f>
        <v/>
      </c>
      <c r="I16" s="14">
        <f>IF($A16="","",IF(INDEX('潜水記録'!$H$5:$H$3004,$AS16)="","",INDEX('潜水記録'!$H$5:$H$3004,$AS16)))</f>
        <v/>
      </c>
      <c r="J16" s="14">
        <f>IF($A16="","",IF(INDEX('潜水記録'!$I$5:$I$3004,$AS16)="","",INDEX('潜水記録'!$I$5:$I$3004,$AS16)))</f>
        <v/>
      </c>
      <c r="K16" s="14">
        <f>IF($A16="","",IF(INDEX('潜水記録'!$J$5:$J$3004,$AS16)="","",INDEX('潜水記録'!$J$5:$J$3004,$AS16)))</f>
        <v/>
      </c>
      <c r="L16" s="14">
        <f>IF($A16="","",IF(INDEX('潜水記録'!$K$5:$K$3004,$AS16)="","",INDEX('潜水記録'!$K$5:$K$3004,$AS16)))</f>
        <v/>
      </c>
      <c r="M16" s="14">
        <f>IF($A16="","",IF(INDEX('潜水記録'!$L$5:$L$3004,$AS16)="","",INDEX('潜水記録'!$L$5:$L$3004,$AS16)))</f>
        <v/>
      </c>
      <c r="N16" s="14">
        <f>IF($A16="","",IF(INDEX('潜水記録'!$M$5:$M$3004,$AS16)="","",INDEX('潜水記録'!$M$5:$M$3004,$AS16)))</f>
        <v/>
      </c>
      <c r="O16" s="14">
        <f>IF($A16="","",IF(INDEX('潜水記録'!$N$5:$N$3004,$AS16)="","",INDEX('潜水記録'!$N$5:$N$3004,$AS16)))</f>
        <v/>
      </c>
      <c r="P16" s="14">
        <f>IF($A16="","",IF(INDEX('潜水記録'!$O$5:$O$3004,$AS16)="","",INDEX('潜水記録'!$O$5:$O$3004,$AS16)))</f>
        <v/>
      </c>
      <c r="Q16" s="14">
        <f>IF($A16="","",IF(INDEX('潜水記録'!$P$5:$P$3004,$AS16)="","",INDEX('潜水記録'!$P$5:$P$3004,$AS16)))</f>
        <v/>
      </c>
      <c r="R16" s="14">
        <f>IF($A16="","",IF(INDEX('潜水記録'!$Q$5:$Q$3004,$AS16)="","",INDEX('潜水記録'!$Q$5:$Q$3004,$AS16)))</f>
        <v/>
      </c>
      <c r="S16" s="14">
        <f>IF($A16="","",IF(INDEX('潜水記録'!$R$5:$R$3004,$AS16)="","",INDEX('潜水記録'!$R$5:$R$3004,$AS16)))</f>
        <v/>
      </c>
      <c r="T16" s="14">
        <f>IF($A16="","",IF(INDEX('潜水記録'!$S$5:$S$3004,$AS16)="","",INDEX('潜水記録'!$S$5:$S$3004,$AS16)))</f>
        <v/>
      </c>
      <c r="U16" s="14">
        <f>IF($A16="","",IF(INDEX('潜水記録'!$T$5:$T$3004,$AS16)="","",INDEX('潜水記録'!$T$5:$T$3004,$AS16)))</f>
        <v/>
      </c>
      <c r="V16" s="46">
        <f>IF($A16="","",IF(INDEX('潜水記録'!$U$5:$U$3004,$AS16)="","",INDEX('潜水記録'!$U$5:$U$3004,$AS16)))</f>
        <v/>
      </c>
      <c r="W16" s="46">
        <f>IF($A16="","",IF(INDEX('潜水記録'!$V$5:$V$3004,$AS16)="","",INDEX('潜水記録'!$V$5:$V$3004,$AS16)))</f>
        <v/>
      </c>
      <c r="X16" s="14">
        <f>IF($A16="","",IF(INDEX('潜水記録'!$W$5:$W$3004,$AS16)="","",INDEX('潜水記録'!$W$5:$W$3004,$AS16)))</f>
        <v/>
      </c>
      <c r="Y16" s="14">
        <f>IF($A16="","",IF(INDEX('潜水記録'!$X$5:$X$3004,$AS16)="","",INDEX('潜水記録'!$X$5:$X$3004,$AS16)))</f>
        <v/>
      </c>
      <c r="Z16" s="14">
        <f>IF($A16="","",IF(INDEX('潜水記録'!$Y$5:$Y$3004,$AS16)="","",INDEX('潜水記録'!$Y$5:$Y$3004,$AS16)))</f>
        <v/>
      </c>
      <c r="AA16" s="14">
        <f>IF($A16="","",IF(INDEX('潜水記録'!$Z$5:$Z$3004,$AS16)="","",INDEX('潜水記録'!$Z$5:$Z$3004,$AS16)))</f>
        <v/>
      </c>
      <c r="AB16" s="14">
        <f>IF($A16="","",IF(INDEX('潜水記録'!$AA$5:$AA$3004,$AS16)="","",INDEX('潜水記録'!$AA$5:$AA$3004,$AS16)))</f>
        <v/>
      </c>
      <c r="AC16" s="14">
        <f>IF($A16="","",IF(INDEX('潜水記録'!$AB$5:$AB$3004,$AS16)="","",INDEX('潜水記録'!$AB$5:$AB$3004,$AS16)))</f>
        <v/>
      </c>
      <c r="AD16" s="14">
        <f>IF($A16="","",IF(INDEX('潜水記録'!$AC$5:$AC$3004,$AS16)="","",INDEX('潜水記録'!$AC$5:$AC$3004,$AS16)))</f>
        <v/>
      </c>
      <c r="AE16" s="14">
        <f>IF($A16="","",IF(INDEX('潜水記録'!$AD$5:$AD$3004,$AS16)="","",INDEX('潜水記録'!$AD$5:$AD$3004,$AS16)))</f>
        <v/>
      </c>
      <c r="AF16" s="14">
        <f>IF($A16="","",IF(INDEX('潜水記録'!$AE$5:$AE$3004,$AS16)="","",INDEX('潜水記録'!$AE$5:$AE$3004,$AS16)))</f>
        <v/>
      </c>
      <c r="AG16" s="14">
        <f>IF($A16="","",IF(INDEX('潜水記録'!$AL$5:$AL$3004,$AS16)="","",INDEX('潜水記録'!$AL$5:$AL$3004,$AS16)))</f>
        <v/>
      </c>
      <c r="AH16" s="14">
        <f>IF($A16="","",IF(INDEX('潜水記録'!$AM$5:$AM$3004,$AS16)="","",INDEX('潜水記録'!$AM$5:$AM$3004,$AS16)))</f>
        <v/>
      </c>
      <c r="AI16" s="46">
        <f>IF($A16="","",IF(INDEX('潜水記録'!$AN$5:$AN$3004,$AS16)="","",INDEX('潜水記録'!$AN$5:$AN$3004,$AS16)))</f>
        <v/>
      </c>
      <c r="AJ16" s="14">
        <f>IF($A16="","",IF(INDEX('潜水記録'!$AO$5:$AO$3004,$AS16)="","",INDEX('潜水記録'!$AO$5:$AO$3004,$AS16)))</f>
        <v/>
      </c>
      <c r="AK16" s="14">
        <f>IF($A16="","",IF(INDEX('潜水記録'!$AP$5:$AP$3004,$AS16)="","",INDEX('潜水記録'!$AP$5:$AP$3004,$AS16)))</f>
        <v/>
      </c>
      <c r="AL16" s="14">
        <f>IF($A16="","",IF(INDEX('潜水記録'!$AQ$5:$AQ$3004,$AS16)="","",INDEX('潜水記録'!$AQ$5:$AQ$3004,$AS16)))</f>
        <v/>
      </c>
      <c r="AM16" s="14">
        <f>IF($A16="","",IF(INDEX('潜水記録'!$AR$5:$AR$3004,$AS16)="","",INDEX('潜水記録'!$AR$5:$AR$3004,$AS16)))</f>
        <v/>
      </c>
      <c r="AN16" s="14">
        <f>IF($A16="","",IF(INDEX('潜水記録'!$AS$5:$AS$3004,$AS16)="","",INDEX('潜水記録'!$AS$5:$AS$3004,$AS16)))</f>
        <v/>
      </c>
      <c r="AO16" s="14">
        <f>IF($A16="","",IF(INDEX('潜水記録'!$AT$5:$AT$3004,$AS16)="","",INDEX('潜水記録'!$AT$5:$AT$3004,$AS16)))</f>
        <v/>
      </c>
      <c r="AP16" s="14">
        <f>IF($A16="","",IF(INDEX('潜水記録'!$AU$5:$AU$3004,$AS16)="","",INDEX('潜水記録'!$AU$5:$AU$3004,$AS16)))</f>
        <v/>
      </c>
      <c r="AQ16" s="14">
        <f>IF($A16="","",IF(INDEX('潜水記録'!$AV$5:$AV$3004,$AS16)="","",INDEX('潜水記録'!$AV$5:$AV$3004,$AS16)))</f>
        <v/>
      </c>
      <c r="AR16" s="14">
        <f>IF($A16="","",IF(INDEX('潜水記録'!$AW$5:$AW$3004,$AS16)="","",INDEX('潜水記録'!$AW$5:$AW$3004,$AS16)))</f>
        <v/>
      </c>
      <c r="AS16" s="20">
        <f>IF($A16="","",MATCH($A16,'潜水記録'!$AI$5:$AI$3004,0))</f>
        <v/>
      </c>
    </row>
    <row r="17">
      <c r="A17" s="14">
        <f>IF(7&lt;=$C$8,7,"")</f>
        <v/>
      </c>
      <c r="B17" s="16">
        <f>IF($A17="","",IF(INDEX('潜水記録'!$A$5:$A$3004,$AS17)="","",INDEX('潜水記録'!$A$5:$A$3004,$AS17)))</f>
        <v/>
      </c>
      <c r="C17" s="14">
        <f>IF($A17="","",IF(INDEX('潜水記録'!$B$5:$B$3004,$AS17)="","",INDEX('潜水記録'!$B$5:$B$3004,$AS17)))</f>
        <v/>
      </c>
      <c r="D17" s="14">
        <f>IF($A17="","",IF(INDEX('潜水記録'!$C$5:$C$3004,$AS17)="","",INDEX('潜水記録'!$C$5:$C$3004,$AS17)))</f>
        <v/>
      </c>
      <c r="E17" s="14">
        <f>IF($A17="","",IF(INDEX('潜水記録'!$D$5:$D$3004,$AS17)="","",INDEX('潜水記録'!$D$5:$D$3004,$AS17)))</f>
        <v/>
      </c>
      <c r="F17" s="14">
        <f>IF($A17="","",IF(INDEX('潜水記録'!$E$5:$E$3004,$AS17)="","",INDEX('潜水記録'!$E$5:$E$3004,$AS17)))</f>
        <v/>
      </c>
      <c r="G17" s="14">
        <f>IF($A17="","",IF(INDEX('潜水記録'!$F$5:$F$3004,$AS17)="","",INDEX('潜水記録'!$F$5:$F$3004,$AS17)))</f>
        <v/>
      </c>
      <c r="H17" s="14">
        <f>IF($A17="","",IF(INDEX('潜水記録'!$G$5:$G$3004,$AS17)="","",INDEX('潜水記録'!$G$5:$G$3004,$AS17)))</f>
        <v/>
      </c>
      <c r="I17" s="14">
        <f>IF($A17="","",IF(INDEX('潜水記録'!$H$5:$H$3004,$AS17)="","",INDEX('潜水記録'!$H$5:$H$3004,$AS17)))</f>
        <v/>
      </c>
      <c r="J17" s="14">
        <f>IF($A17="","",IF(INDEX('潜水記録'!$I$5:$I$3004,$AS17)="","",INDEX('潜水記録'!$I$5:$I$3004,$AS17)))</f>
        <v/>
      </c>
      <c r="K17" s="14">
        <f>IF($A17="","",IF(INDEX('潜水記録'!$J$5:$J$3004,$AS17)="","",INDEX('潜水記録'!$J$5:$J$3004,$AS17)))</f>
        <v/>
      </c>
      <c r="L17" s="14">
        <f>IF($A17="","",IF(INDEX('潜水記録'!$K$5:$K$3004,$AS17)="","",INDEX('潜水記録'!$K$5:$K$3004,$AS17)))</f>
        <v/>
      </c>
      <c r="M17" s="14">
        <f>IF($A17="","",IF(INDEX('潜水記録'!$L$5:$L$3004,$AS17)="","",INDEX('潜水記録'!$L$5:$L$3004,$AS17)))</f>
        <v/>
      </c>
      <c r="N17" s="14">
        <f>IF($A17="","",IF(INDEX('潜水記録'!$M$5:$M$3004,$AS17)="","",INDEX('潜水記録'!$M$5:$M$3004,$AS17)))</f>
        <v/>
      </c>
      <c r="O17" s="14">
        <f>IF($A17="","",IF(INDEX('潜水記録'!$N$5:$N$3004,$AS17)="","",INDEX('潜水記録'!$N$5:$N$3004,$AS17)))</f>
        <v/>
      </c>
      <c r="P17" s="14">
        <f>IF($A17="","",IF(INDEX('潜水記録'!$O$5:$O$3004,$AS17)="","",INDEX('潜水記録'!$O$5:$O$3004,$AS17)))</f>
        <v/>
      </c>
      <c r="Q17" s="14">
        <f>IF($A17="","",IF(INDEX('潜水記録'!$P$5:$P$3004,$AS17)="","",INDEX('潜水記録'!$P$5:$P$3004,$AS17)))</f>
        <v/>
      </c>
      <c r="R17" s="14">
        <f>IF($A17="","",IF(INDEX('潜水記録'!$Q$5:$Q$3004,$AS17)="","",INDEX('潜水記録'!$Q$5:$Q$3004,$AS17)))</f>
        <v/>
      </c>
      <c r="S17" s="14">
        <f>IF($A17="","",IF(INDEX('潜水記録'!$R$5:$R$3004,$AS17)="","",INDEX('潜水記録'!$R$5:$R$3004,$AS17)))</f>
        <v/>
      </c>
      <c r="T17" s="14">
        <f>IF($A17="","",IF(INDEX('潜水記録'!$S$5:$S$3004,$AS17)="","",INDEX('潜水記録'!$S$5:$S$3004,$AS17)))</f>
        <v/>
      </c>
      <c r="U17" s="14">
        <f>IF($A17="","",IF(INDEX('潜水記録'!$T$5:$T$3004,$AS17)="","",INDEX('潜水記録'!$T$5:$T$3004,$AS17)))</f>
        <v/>
      </c>
      <c r="V17" s="46">
        <f>IF($A17="","",IF(INDEX('潜水記録'!$U$5:$U$3004,$AS17)="","",INDEX('潜水記録'!$U$5:$U$3004,$AS17)))</f>
        <v/>
      </c>
      <c r="W17" s="46">
        <f>IF($A17="","",IF(INDEX('潜水記録'!$V$5:$V$3004,$AS17)="","",INDEX('潜水記録'!$V$5:$V$3004,$AS17)))</f>
        <v/>
      </c>
      <c r="X17" s="14">
        <f>IF($A17="","",IF(INDEX('潜水記録'!$W$5:$W$3004,$AS17)="","",INDEX('潜水記録'!$W$5:$W$3004,$AS17)))</f>
        <v/>
      </c>
      <c r="Y17" s="14">
        <f>IF($A17="","",IF(INDEX('潜水記録'!$X$5:$X$3004,$AS17)="","",INDEX('潜水記録'!$X$5:$X$3004,$AS17)))</f>
        <v/>
      </c>
      <c r="Z17" s="14">
        <f>IF($A17="","",IF(INDEX('潜水記録'!$Y$5:$Y$3004,$AS17)="","",INDEX('潜水記録'!$Y$5:$Y$3004,$AS17)))</f>
        <v/>
      </c>
      <c r="AA17" s="14">
        <f>IF($A17="","",IF(INDEX('潜水記録'!$Z$5:$Z$3004,$AS17)="","",INDEX('潜水記録'!$Z$5:$Z$3004,$AS17)))</f>
        <v/>
      </c>
      <c r="AB17" s="14">
        <f>IF($A17="","",IF(INDEX('潜水記録'!$AA$5:$AA$3004,$AS17)="","",INDEX('潜水記録'!$AA$5:$AA$3004,$AS17)))</f>
        <v/>
      </c>
      <c r="AC17" s="14">
        <f>IF($A17="","",IF(INDEX('潜水記録'!$AB$5:$AB$3004,$AS17)="","",INDEX('潜水記録'!$AB$5:$AB$3004,$AS17)))</f>
        <v/>
      </c>
      <c r="AD17" s="14">
        <f>IF($A17="","",IF(INDEX('潜水記録'!$AC$5:$AC$3004,$AS17)="","",INDEX('潜水記録'!$AC$5:$AC$3004,$AS17)))</f>
        <v/>
      </c>
      <c r="AE17" s="14">
        <f>IF($A17="","",IF(INDEX('潜水記録'!$AD$5:$AD$3004,$AS17)="","",INDEX('潜水記録'!$AD$5:$AD$3004,$AS17)))</f>
        <v/>
      </c>
      <c r="AF17" s="14">
        <f>IF($A17="","",IF(INDEX('潜水記録'!$AE$5:$AE$3004,$AS17)="","",INDEX('潜水記録'!$AE$5:$AE$3004,$AS17)))</f>
        <v/>
      </c>
      <c r="AG17" s="14">
        <f>IF($A17="","",IF(INDEX('潜水記録'!$AL$5:$AL$3004,$AS17)="","",INDEX('潜水記録'!$AL$5:$AL$3004,$AS17)))</f>
        <v/>
      </c>
      <c r="AH17" s="14">
        <f>IF($A17="","",IF(INDEX('潜水記録'!$AM$5:$AM$3004,$AS17)="","",INDEX('潜水記録'!$AM$5:$AM$3004,$AS17)))</f>
        <v/>
      </c>
      <c r="AI17" s="46">
        <f>IF($A17="","",IF(INDEX('潜水記録'!$AN$5:$AN$3004,$AS17)="","",INDEX('潜水記録'!$AN$5:$AN$3004,$AS17)))</f>
        <v/>
      </c>
      <c r="AJ17" s="14">
        <f>IF($A17="","",IF(INDEX('潜水記録'!$AO$5:$AO$3004,$AS17)="","",INDEX('潜水記録'!$AO$5:$AO$3004,$AS17)))</f>
        <v/>
      </c>
      <c r="AK17" s="14">
        <f>IF($A17="","",IF(INDEX('潜水記録'!$AP$5:$AP$3004,$AS17)="","",INDEX('潜水記録'!$AP$5:$AP$3004,$AS17)))</f>
        <v/>
      </c>
      <c r="AL17" s="14">
        <f>IF($A17="","",IF(INDEX('潜水記録'!$AQ$5:$AQ$3004,$AS17)="","",INDEX('潜水記録'!$AQ$5:$AQ$3004,$AS17)))</f>
        <v/>
      </c>
      <c r="AM17" s="14">
        <f>IF($A17="","",IF(INDEX('潜水記録'!$AR$5:$AR$3004,$AS17)="","",INDEX('潜水記録'!$AR$5:$AR$3004,$AS17)))</f>
        <v/>
      </c>
      <c r="AN17" s="14">
        <f>IF($A17="","",IF(INDEX('潜水記録'!$AS$5:$AS$3004,$AS17)="","",INDEX('潜水記録'!$AS$5:$AS$3004,$AS17)))</f>
        <v/>
      </c>
      <c r="AO17" s="14">
        <f>IF($A17="","",IF(INDEX('潜水記録'!$AT$5:$AT$3004,$AS17)="","",INDEX('潜水記録'!$AT$5:$AT$3004,$AS17)))</f>
        <v/>
      </c>
      <c r="AP17" s="14">
        <f>IF($A17="","",IF(INDEX('潜水記録'!$AU$5:$AU$3004,$AS17)="","",INDEX('潜水記録'!$AU$5:$AU$3004,$AS17)))</f>
        <v/>
      </c>
      <c r="AQ17" s="14">
        <f>IF($A17="","",IF(INDEX('潜水記録'!$AV$5:$AV$3004,$AS17)="","",INDEX('潜水記録'!$AV$5:$AV$3004,$AS17)))</f>
        <v/>
      </c>
      <c r="AR17" s="14">
        <f>IF($A17="","",IF(INDEX('潜水記録'!$AW$5:$AW$3004,$AS17)="","",INDEX('潜水記録'!$AW$5:$AW$3004,$AS17)))</f>
        <v/>
      </c>
      <c r="AS17" s="20">
        <f>IF($A17="","",MATCH($A17,'潜水記録'!$AI$5:$AI$3004,0))</f>
        <v/>
      </c>
    </row>
    <row r="18">
      <c r="A18" s="14">
        <f>IF(8&lt;=$C$8,8,"")</f>
        <v/>
      </c>
      <c r="B18" s="16">
        <f>IF($A18="","",IF(INDEX('潜水記録'!$A$5:$A$3004,$AS18)="","",INDEX('潜水記録'!$A$5:$A$3004,$AS18)))</f>
        <v/>
      </c>
      <c r="C18" s="14">
        <f>IF($A18="","",IF(INDEX('潜水記録'!$B$5:$B$3004,$AS18)="","",INDEX('潜水記録'!$B$5:$B$3004,$AS18)))</f>
        <v/>
      </c>
      <c r="D18" s="14">
        <f>IF($A18="","",IF(INDEX('潜水記録'!$C$5:$C$3004,$AS18)="","",INDEX('潜水記録'!$C$5:$C$3004,$AS18)))</f>
        <v/>
      </c>
      <c r="E18" s="14">
        <f>IF($A18="","",IF(INDEX('潜水記録'!$D$5:$D$3004,$AS18)="","",INDEX('潜水記録'!$D$5:$D$3004,$AS18)))</f>
        <v/>
      </c>
      <c r="F18" s="14">
        <f>IF($A18="","",IF(INDEX('潜水記録'!$E$5:$E$3004,$AS18)="","",INDEX('潜水記録'!$E$5:$E$3004,$AS18)))</f>
        <v/>
      </c>
      <c r="G18" s="14">
        <f>IF($A18="","",IF(INDEX('潜水記録'!$F$5:$F$3004,$AS18)="","",INDEX('潜水記録'!$F$5:$F$3004,$AS18)))</f>
        <v/>
      </c>
      <c r="H18" s="14">
        <f>IF($A18="","",IF(INDEX('潜水記録'!$G$5:$G$3004,$AS18)="","",INDEX('潜水記録'!$G$5:$G$3004,$AS18)))</f>
        <v/>
      </c>
      <c r="I18" s="14">
        <f>IF($A18="","",IF(INDEX('潜水記録'!$H$5:$H$3004,$AS18)="","",INDEX('潜水記録'!$H$5:$H$3004,$AS18)))</f>
        <v/>
      </c>
      <c r="J18" s="14">
        <f>IF($A18="","",IF(INDEX('潜水記録'!$I$5:$I$3004,$AS18)="","",INDEX('潜水記録'!$I$5:$I$3004,$AS18)))</f>
        <v/>
      </c>
      <c r="K18" s="14">
        <f>IF($A18="","",IF(INDEX('潜水記録'!$J$5:$J$3004,$AS18)="","",INDEX('潜水記録'!$J$5:$J$3004,$AS18)))</f>
        <v/>
      </c>
      <c r="L18" s="14">
        <f>IF($A18="","",IF(INDEX('潜水記録'!$K$5:$K$3004,$AS18)="","",INDEX('潜水記録'!$K$5:$K$3004,$AS18)))</f>
        <v/>
      </c>
      <c r="M18" s="14">
        <f>IF($A18="","",IF(INDEX('潜水記録'!$L$5:$L$3004,$AS18)="","",INDEX('潜水記録'!$L$5:$L$3004,$AS18)))</f>
        <v/>
      </c>
      <c r="N18" s="14">
        <f>IF($A18="","",IF(INDEX('潜水記録'!$M$5:$M$3004,$AS18)="","",INDEX('潜水記録'!$M$5:$M$3004,$AS18)))</f>
        <v/>
      </c>
      <c r="O18" s="14">
        <f>IF($A18="","",IF(INDEX('潜水記録'!$N$5:$N$3004,$AS18)="","",INDEX('潜水記録'!$N$5:$N$3004,$AS18)))</f>
        <v/>
      </c>
      <c r="P18" s="14">
        <f>IF($A18="","",IF(INDEX('潜水記録'!$O$5:$O$3004,$AS18)="","",INDEX('潜水記録'!$O$5:$O$3004,$AS18)))</f>
        <v/>
      </c>
      <c r="Q18" s="14">
        <f>IF($A18="","",IF(INDEX('潜水記録'!$P$5:$P$3004,$AS18)="","",INDEX('潜水記録'!$P$5:$P$3004,$AS18)))</f>
        <v/>
      </c>
      <c r="R18" s="14">
        <f>IF($A18="","",IF(INDEX('潜水記録'!$Q$5:$Q$3004,$AS18)="","",INDEX('潜水記録'!$Q$5:$Q$3004,$AS18)))</f>
        <v/>
      </c>
      <c r="S18" s="14">
        <f>IF($A18="","",IF(INDEX('潜水記録'!$R$5:$R$3004,$AS18)="","",INDEX('潜水記録'!$R$5:$R$3004,$AS18)))</f>
        <v/>
      </c>
      <c r="T18" s="14">
        <f>IF($A18="","",IF(INDEX('潜水記録'!$S$5:$S$3004,$AS18)="","",INDEX('潜水記録'!$S$5:$S$3004,$AS18)))</f>
        <v/>
      </c>
      <c r="U18" s="14">
        <f>IF($A18="","",IF(INDEX('潜水記録'!$T$5:$T$3004,$AS18)="","",INDEX('潜水記録'!$T$5:$T$3004,$AS18)))</f>
        <v/>
      </c>
      <c r="V18" s="46">
        <f>IF($A18="","",IF(INDEX('潜水記録'!$U$5:$U$3004,$AS18)="","",INDEX('潜水記録'!$U$5:$U$3004,$AS18)))</f>
        <v/>
      </c>
      <c r="W18" s="46">
        <f>IF($A18="","",IF(INDEX('潜水記録'!$V$5:$V$3004,$AS18)="","",INDEX('潜水記録'!$V$5:$V$3004,$AS18)))</f>
        <v/>
      </c>
      <c r="X18" s="14">
        <f>IF($A18="","",IF(INDEX('潜水記録'!$W$5:$W$3004,$AS18)="","",INDEX('潜水記録'!$W$5:$W$3004,$AS18)))</f>
        <v/>
      </c>
      <c r="Y18" s="14">
        <f>IF($A18="","",IF(INDEX('潜水記録'!$X$5:$X$3004,$AS18)="","",INDEX('潜水記録'!$X$5:$X$3004,$AS18)))</f>
        <v/>
      </c>
      <c r="Z18" s="14">
        <f>IF($A18="","",IF(INDEX('潜水記録'!$Y$5:$Y$3004,$AS18)="","",INDEX('潜水記録'!$Y$5:$Y$3004,$AS18)))</f>
        <v/>
      </c>
      <c r="AA18" s="14">
        <f>IF($A18="","",IF(INDEX('潜水記録'!$Z$5:$Z$3004,$AS18)="","",INDEX('潜水記録'!$Z$5:$Z$3004,$AS18)))</f>
        <v/>
      </c>
      <c r="AB18" s="14">
        <f>IF($A18="","",IF(INDEX('潜水記録'!$AA$5:$AA$3004,$AS18)="","",INDEX('潜水記録'!$AA$5:$AA$3004,$AS18)))</f>
        <v/>
      </c>
      <c r="AC18" s="14">
        <f>IF($A18="","",IF(INDEX('潜水記録'!$AB$5:$AB$3004,$AS18)="","",INDEX('潜水記録'!$AB$5:$AB$3004,$AS18)))</f>
        <v/>
      </c>
      <c r="AD18" s="14">
        <f>IF($A18="","",IF(INDEX('潜水記録'!$AC$5:$AC$3004,$AS18)="","",INDEX('潜水記録'!$AC$5:$AC$3004,$AS18)))</f>
        <v/>
      </c>
      <c r="AE18" s="14">
        <f>IF($A18="","",IF(INDEX('潜水記録'!$AD$5:$AD$3004,$AS18)="","",INDEX('潜水記録'!$AD$5:$AD$3004,$AS18)))</f>
        <v/>
      </c>
      <c r="AF18" s="14">
        <f>IF($A18="","",IF(INDEX('潜水記録'!$AE$5:$AE$3004,$AS18)="","",INDEX('潜水記録'!$AE$5:$AE$3004,$AS18)))</f>
        <v/>
      </c>
      <c r="AG18" s="14">
        <f>IF($A18="","",IF(INDEX('潜水記録'!$AL$5:$AL$3004,$AS18)="","",INDEX('潜水記録'!$AL$5:$AL$3004,$AS18)))</f>
        <v/>
      </c>
      <c r="AH18" s="14">
        <f>IF($A18="","",IF(INDEX('潜水記録'!$AM$5:$AM$3004,$AS18)="","",INDEX('潜水記録'!$AM$5:$AM$3004,$AS18)))</f>
        <v/>
      </c>
      <c r="AI18" s="46">
        <f>IF($A18="","",IF(INDEX('潜水記録'!$AN$5:$AN$3004,$AS18)="","",INDEX('潜水記録'!$AN$5:$AN$3004,$AS18)))</f>
        <v/>
      </c>
      <c r="AJ18" s="14">
        <f>IF($A18="","",IF(INDEX('潜水記録'!$AO$5:$AO$3004,$AS18)="","",INDEX('潜水記録'!$AO$5:$AO$3004,$AS18)))</f>
        <v/>
      </c>
      <c r="AK18" s="14">
        <f>IF($A18="","",IF(INDEX('潜水記録'!$AP$5:$AP$3004,$AS18)="","",INDEX('潜水記録'!$AP$5:$AP$3004,$AS18)))</f>
        <v/>
      </c>
      <c r="AL18" s="14">
        <f>IF($A18="","",IF(INDEX('潜水記録'!$AQ$5:$AQ$3004,$AS18)="","",INDEX('潜水記録'!$AQ$5:$AQ$3004,$AS18)))</f>
        <v/>
      </c>
      <c r="AM18" s="14">
        <f>IF($A18="","",IF(INDEX('潜水記録'!$AR$5:$AR$3004,$AS18)="","",INDEX('潜水記録'!$AR$5:$AR$3004,$AS18)))</f>
        <v/>
      </c>
      <c r="AN18" s="14">
        <f>IF($A18="","",IF(INDEX('潜水記録'!$AS$5:$AS$3004,$AS18)="","",INDEX('潜水記録'!$AS$5:$AS$3004,$AS18)))</f>
        <v/>
      </c>
      <c r="AO18" s="14">
        <f>IF($A18="","",IF(INDEX('潜水記録'!$AT$5:$AT$3004,$AS18)="","",INDEX('潜水記録'!$AT$5:$AT$3004,$AS18)))</f>
        <v/>
      </c>
      <c r="AP18" s="14">
        <f>IF($A18="","",IF(INDEX('潜水記録'!$AU$5:$AU$3004,$AS18)="","",INDEX('潜水記録'!$AU$5:$AU$3004,$AS18)))</f>
        <v/>
      </c>
      <c r="AQ18" s="14">
        <f>IF($A18="","",IF(INDEX('潜水記録'!$AV$5:$AV$3004,$AS18)="","",INDEX('潜水記録'!$AV$5:$AV$3004,$AS18)))</f>
        <v/>
      </c>
      <c r="AR18" s="14">
        <f>IF($A18="","",IF(INDEX('潜水記録'!$AW$5:$AW$3004,$AS18)="","",INDEX('潜水記録'!$AW$5:$AW$3004,$AS18)))</f>
        <v/>
      </c>
      <c r="AS18" s="20">
        <f>IF($A18="","",MATCH($A18,'潜水記録'!$AI$5:$AI$3004,0))</f>
        <v/>
      </c>
    </row>
    <row r="19">
      <c r="A19" s="14">
        <f>IF(9&lt;=$C$8,9,"")</f>
        <v/>
      </c>
      <c r="B19" s="16">
        <f>IF($A19="","",IF(INDEX('潜水記録'!$A$5:$A$3004,$AS19)="","",INDEX('潜水記録'!$A$5:$A$3004,$AS19)))</f>
        <v/>
      </c>
      <c r="C19" s="14">
        <f>IF($A19="","",IF(INDEX('潜水記録'!$B$5:$B$3004,$AS19)="","",INDEX('潜水記録'!$B$5:$B$3004,$AS19)))</f>
        <v/>
      </c>
      <c r="D19" s="14">
        <f>IF($A19="","",IF(INDEX('潜水記録'!$C$5:$C$3004,$AS19)="","",INDEX('潜水記録'!$C$5:$C$3004,$AS19)))</f>
        <v/>
      </c>
      <c r="E19" s="14">
        <f>IF($A19="","",IF(INDEX('潜水記録'!$D$5:$D$3004,$AS19)="","",INDEX('潜水記録'!$D$5:$D$3004,$AS19)))</f>
        <v/>
      </c>
      <c r="F19" s="14">
        <f>IF($A19="","",IF(INDEX('潜水記録'!$E$5:$E$3004,$AS19)="","",INDEX('潜水記録'!$E$5:$E$3004,$AS19)))</f>
        <v/>
      </c>
      <c r="G19" s="14">
        <f>IF($A19="","",IF(INDEX('潜水記録'!$F$5:$F$3004,$AS19)="","",INDEX('潜水記録'!$F$5:$F$3004,$AS19)))</f>
        <v/>
      </c>
      <c r="H19" s="14">
        <f>IF($A19="","",IF(INDEX('潜水記録'!$G$5:$G$3004,$AS19)="","",INDEX('潜水記録'!$G$5:$G$3004,$AS19)))</f>
        <v/>
      </c>
      <c r="I19" s="14">
        <f>IF($A19="","",IF(INDEX('潜水記録'!$H$5:$H$3004,$AS19)="","",INDEX('潜水記録'!$H$5:$H$3004,$AS19)))</f>
        <v/>
      </c>
      <c r="J19" s="14">
        <f>IF($A19="","",IF(INDEX('潜水記録'!$I$5:$I$3004,$AS19)="","",INDEX('潜水記録'!$I$5:$I$3004,$AS19)))</f>
        <v/>
      </c>
      <c r="K19" s="14">
        <f>IF($A19="","",IF(INDEX('潜水記録'!$J$5:$J$3004,$AS19)="","",INDEX('潜水記録'!$J$5:$J$3004,$AS19)))</f>
        <v/>
      </c>
      <c r="L19" s="14">
        <f>IF($A19="","",IF(INDEX('潜水記録'!$K$5:$K$3004,$AS19)="","",INDEX('潜水記録'!$K$5:$K$3004,$AS19)))</f>
        <v/>
      </c>
      <c r="M19" s="14">
        <f>IF($A19="","",IF(INDEX('潜水記録'!$L$5:$L$3004,$AS19)="","",INDEX('潜水記録'!$L$5:$L$3004,$AS19)))</f>
        <v/>
      </c>
      <c r="N19" s="14">
        <f>IF($A19="","",IF(INDEX('潜水記録'!$M$5:$M$3004,$AS19)="","",INDEX('潜水記録'!$M$5:$M$3004,$AS19)))</f>
        <v/>
      </c>
      <c r="O19" s="14">
        <f>IF($A19="","",IF(INDEX('潜水記録'!$N$5:$N$3004,$AS19)="","",INDEX('潜水記録'!$N$5:$N$3004,$AS19)))</f>
        <v/>
      </c>
      <c r="P19" s="14">
        <f>IF($A19="","",IF(INDEX('潜水記録'!$O$5:$O$3004,$AS19)="","",INDEX('潜水記録'!$O$5:$O$3004,$AS19)))</f>
        <v/>
      </c>
      <c r="Q19" s="14">
        <f>IF($A19="","",IF(INDEX('潜水記録'!$P$5:$P$3004,$AS19)="","",INDEX('潜水記録'!$P$5:$P$3004,$AS19)))</f>
        <v/>
      </c>
      <c r="R19" s="14">
        <f>IF($A19="","",IF(INDEX('潜水記録'!$Q$5:$Q$3004,$AS19)="","",INDEX('潜水記録'!$Q$5:$Q$3004,$AS19)))</f>
        <v/>
      </c>
      <c r="S19" s="14">
        <f>IF($A19="","",IF(INDEX('潜水記録'!$R$5:$R$3004,$AS19)="","",INDEX('潜水記録'!$R$5:$R$3004,$AS19)))</f>
        <v/>
      </c>
      <c r="T19" s="14">
        <f>IF($A19="","",IF(INDEX('潜水記録'!$S$5:$S$3004,$AS19)="","",INDEX('潜水記録'!$S$5:$S$3004,$AS19)))</f>
        <v/>
      </c>
      <c r="U19" s="14">
        <f>IF($A19="","",IF(INDEX('潜水記録'!$T$5:$T$3004,$AS19)="","",INDEX('潜水記録'!$T$5:$T$3004,$AS19)))</f>
        <v/>
      </c>
      <c r="V19" s="46">
        <f>IF($A19="","",IF(INDEX('潜水記録'!$U$5:$U$3004,$AS19)="","",INDEX('潜水記録'!$U$5:$U$3004,$AS19)))</f>
        <v/>
      </c>
      <c r="W19" s="46">
        <f>IF($A19="","",IF(INDEX('潜水記録'!$V$5:$V$3004,$AS19)="","",INDEX('潜水記録'!$V$5:$V$3004,$AS19)))</f>
        <v/>
      </c>
      <c r="X19" s="14">
        <f>IF($A19="","",IF(INDEX('潜水記録'!$W$5:$W$3004,$AS19)="","",INDEX('潜水記録'!$W$5:$W$3004,$AS19)))</f>
        <v/>
      </c>
      <c r="Y19" s="14">
        <f>IF($A19="","",IF(INDEX('潜水記録'!$X$5:$X$3004,$AS19)="","",INDEX('潜水記録'!$X$5:$X$3004,$AS19)))</f>
        <v/>
      </c>
      <c r="Z19" s="14">
        <f>IF($A19="","",IF(INDEX('潜水記録'!$Y$5:$Y$3004,$AS19)="","",INDEX('潜水記録'!$Y$5:$Y$3004,$AS19)))</f>
        <v/>
      </c>
      <c r="AA19" s="14">
        <f>IF($A19="","",IF(INDEX('潜水記録'!$Z$5:$Z$3004,$AS19)="","",INDEX('潜水記録'!$Z$5:$Z$3004,$AS19)))</f>
        <v/>
      </c>
      <c r="AB19" s="14">
        <f>IF($A19="","",IF(INDEX('潜水記録'!$AA$5:$AA$3004,$AS19)="","",INDEX('潜水記録'!$AA$5:$AA$3004,$AS19)))</f>
        <v/>
      </c>
      <c r="AC19" s="14">
        <f>IF($A19="","",IF(INDEX('潜水記録'!$AB$5:$AB$3004,$AS19)="","",INDEX('潜水記録'!$AB$5:$AB$3004,$AS19)))</f>
        <v/>
      </c>
      <c r="AD19" s="14">
        <f>IF($A19="","",IF(INDEX('潜水記録'!$AC$5:$AC$3004,$AS19)="","",INDEX('潜水記録'!$AC$5:$AC$3004,$AS19)))</f>
        <v/>
      </c>
      <c r="AE19" s="14">
        <f>IF($A19="","",IF(INDEX('潜水記録'!$AD$5:$AD$3004,$AS19)="","",INDEX('潜水記録'!$AD$5:$AD$3004,$AS19)))</f>
        <v/>
      </c>
      <c r="AF19" s="14">
        <f>IF($A19="","",IF(INDEX('潜水記録'!$AE$5:$AE$3004,$AS19)="","",INDEX('潜水記録'!$AE$5:$AE$3004,$AS19)))</f>
        <v/>
      </c>
      <c r="AG19" s="14">
        <f>IF($A19="","",IF(INDEX('潜水記録'!$AL$5:$AL$3004,$AS19)="","",INDEX('潜水記録'!$AL$5:$AL$3004,$AS19)))</f>
        <v/>
      </c>
      <c r="AH19" s="14">
        <f>IF($A19="","",IF(INDEX('潜水記録'!$AM$5:$AM$3004,$AS19)="","",INDEX('潜水記録'!$AM$5:$AM$3004,$AS19)))</f>
        <v/>
      </c>
      <c r="AI19" s="46">
        <f>IF($A19="","",IF(INDEX('潜水記録'!$AN$5:$AN$3004,$AS19)="","",INDEX('潜水記録'!$AN$5:$AN$3004,$AS19)))</f>
        <v/>
      </c>
      <c r="AJ19" s="14">
        <f>IF($A19="","",IF(INDEX('潜水記録'!$AO$5:$AO$3004,$AS19)="","",INDEX('潜水記録'!$AO$5:$AO$3004,$AS19)))</f>
        <v/>
      </c>
      <c r="AK19" s="14">
        <f>IF($A19="","",IF(INDEX('潜水記録'!$AP$5:$AP$3004,$AS19)="","",INDEX('潜水記録'!$AP$5:$AP$3004,$AS19)))</f>
        <v/>
      </c>
      <c r="AL19" s="14">
        <f>IF($A19="","",IF(INDEX('潜水記録'!$AQ$5:$AQ$3004,$AS19)="","",INDEX('潜水記録'!$AQ$5:$AQ$3004,$AS19)))</f>
        <v/>
      </c>
      <c r="AM19" s="14">
        <f>IF($A19="","",IF(INDEX('潜水記録'!$AR$5:$AR$3004,$AS19)="","",INDEX('潜水記録'!$AR$5:$AR$3004,$AS19)))</f>
        <v/>
      </c>
      <c r="AN19" s="14">
        <f>IF($A19="","",IF(INDEX('潜水記録'!$AS$5:$AS$3004,$AS19)="","",INDEX('潜水記録'!$AS$5:$AS$3004,$AS19)))</f>
        <v/>
      </c>
      <c r="AO19" s="14">
        <f>IF($A19="","",IF(INDEX('潜水記録'!$AT$5:$AT$3004,$AS19)="","",INDEX('潜水記録'!$AT$5:$AT$3004,$AS19)))</f>
        <v/>
      </c>
      <c r="AP19" s="14">
        <f>IF($A19="","",IF(INDEX('潜水記録'!$AU$5:$AU$3004,$AS19)="","",INDEX('潜水記録'!$AU$5:$AU$3004,$AS19)))</f>
        <v/>
      </c>
      <c r="AQ19" s="14">
        <f>IF($A19="","",IF(INDEX('潜水記録'!$AV$5:$AV$3004,$AS19)="","",INDEX('潜水記録'!$AV$5:$AV$3004,$AS19)))</f>
        <v/>
      </c>
      <c r="AR19" s="14">
        <f>IF($A19="","",IF(INDEX('潜水記録'!$AW$5:$AW$3004,$AS19)="","",INDEX('潜水記録'!$AW$5:$AW$3004,$AS19)))</f>
        <v/>
      </c>
      <c r="AS19" s="20">
        <f>IF($A19="","",MATCH($A19,'潜水記録'!$AI$5:$AI$3004,0))</f>
        <v/>
      </c>
    </row>
    <row r="20">
      <c r="A20" s="14">
        <f>IF(10&lt;=$C$8,10,"")</f>
        <v/>
      </c>
      <c r="B20" s="16">
        <f>IF($A20="","",IF(INDEX('潜水記録'!$A$5:$A$3004,$AS20)="","",INDEX('潜水記録'!$A$5:$A$3004,$AS20)))</f>
        <v/>
      </c>
      <c r="C20" s="14">
        <f>IF($A20="","",IF(INDEX('潜水記録'!$B$5:$B$3004,$AS20)="","",INDEX('潜水記録'!$B$5:$B$3004,$AS20)))</f>
        <v/>
      </c>
      <c r="D20" s="14">
        <f>IF($A20="","",IF(INDEX('潜水記録'!$C$5:$C$3004,$AS20)="","",INDEX('潜水記録'!$C$5:$C$3004,$AS20)))</f>
        <v/>
      </c>
      <c r="E20" s="14">
        <f>IF($A20="","",IF(INDEX('潜水記録'!$D$5:$D$3004,$AS20)="","",INDEX('潜水記録'!$D$5:$D$3004,$AS20)))</f>
        <v/>
      </c>
      <c r="F20" s="14">
        <f>IF($A20="","",IF(INDEX('潜水記録'!$E$5:$E$3004,$AS20)="","",INDEX('潜水記録'!$E$5:$E$3004,$AS20)))</f>
        <v/>
      </c>
      <c r="G20" s="14">
        <f>IF($A20="","",IF(INDEX('潜水記録'!$F$5:$F$3004,$AS20)="","",INDEX('潜水記録'!$F$5:$F$3004,$AS20)))</f>
        <v/>
      </c>
      <c r="H20" s="14">
        <f>IF($A20="","",IF(INDEX('潜水記録'!$G$5:$G$3004,$AS20)="","",INDEX('潜水記録'!$G$5:$G$3004,$AS20)))</f>
        <v/>
      </c>
      <c r="I20" s="14">
        <f>IF($A20="","",IF(INDEX('潜水記録'!$H$5:$H$3004,$AS20)="","",INDEX('潜水記録'!$H$5:$H$3004,$AS20)))</f>
        <v/>
      </c>
      <c r="J20" s="14">
        <f>IF($A20="","",IF(INDEX('潜水記録'!$I$5:$I$3004,$AS20)="","",INDEX('潜水記録'!$I$5:$I$3004,$AS20)))</f>
        <v/>
      </c>
      <c r="K20" s="14">
        <f>IF($A20="","",IF(INDEX('潜水記録'!$J$5:$J$3004,$AS20)="","",INDEX('潜水記録'!$J$5:$J$3004,$AS20)))</f>
        <v/>
      </c>
      <c r="L20" s="14">
        <f>IF($A20="","",IF(INDEX('潜水記録'!$K$5:$K$3004,$AS20)="","",INDEX('潜水記録'!$K$5:$K$3004,$AS20)))</f>
        <v/>
      </c>
      <c r="M20" s="14">
        <f>IF($A20="","",IF(INDEX('潜水記録'!$L$5:$L$3004,$AS20)="","",INDEX('潜水記録'!$L$5:$L$3004,$AS20)))</f>
        <v/>
      </c>
      <c r="N20" s="14">
        <f>IF($A20="","",IF(INDEX('潜水記録'!$M$5:$M$3004,$AS20)="","",INDEX('潜水記録'!$M$5:$M$3004,$AS20)))</f>
        <v/>
      </c>
      <c r="O20" s="14">
        <f>IF($A20="","",IF(INDEX('潜水記録'!$N$5:$N$3004,$AS20)="","",INDEX('潜水記録'!$N$5:$N$3004,$AS20)))</f>
        <v/>
      </c>
      <c r="P20" s="14">
        <f>IF($A20="","",IF(INDEX('潜水記録'!$O$5:$O$3004,$AS20)="","",INDEX('潜水記録'!$O$5:$O$3004,$AS20)))</f>
        <v/>
      </c>
      <c r="Q20" s="14">
        <f>IF($A20="","",IF(INDEX('潜水記録'!$P$5:$P$3004,$AS20)="","",INDEX('潜水記録'!$P$5:$P$3004,$AS20)))</f>
        <v/>
      </c>
      <c r="R20" s="14">
        <f>IF($A20="","",IF(INDEX('潜水記録'!$Q$5:$Q$3004,$AS20)="","",INDEX('潜水記録'!$Q$5:$Q$3004,$AS20)))</f>
        <v/>
      </c>
      <c r="S20" s="14">
        <f>IF($A20="","",IF(INDEX('潜水記録'!$R$5:$R$3004,$AS20)="","",INDEX('潜水記録'!$R$5:$R$3004,$AS20)))</f>
        <v/>
      </c>
      <c r="T20" s="14">
        <f>IF($A20="","",IF(INDEX('潜水記録'!$S$5:$S$3004,$AS20)="","",INDEX('潜水記録'!$S$5:$S$3004,$AS20)))</f>
        <v/>
      </c>
      <c r="U20" s="14">
        <f>IF($A20="","",IF(INDEX('潜水記録'!$T$5:$T$3004,$AS20)="","",INDEX('潜水記録'!$T$5:$T$3004,$AS20)))</f>
        <v/>
      </c>
      <c r="V20" s="46">
        <f>IF($A20="","",IF(INDEX('潜水記録'!$U$5:$U$3004,$AS20)="","",INDEX('潜水記録'!$U$5:$U$3004,$AS20)))</f>
        <v/>
      </c>
      <c r="W20" s="46">
        <f>IF($A20="","",IF(INDEX('潜水記録'!$V$5:$V$3004,$AS20)="","",INDEX('潜水記録'!$V$5:$V$3004,$AS20)))</f>
        <v/>
      </c>
      <c r="X20" s="14">
        <f>IF($A20="","",IF(INDEX('潜水記録'!$W$5:$W$3004,$AS20)="","",INDEX('潜水記録'!$W$5:$W$3004,$AS20)))</f>
        <v/>
      </c>
      <c r="Y20" s="14">
        <f>IF($A20="","",IF(INDEX('潜水記録'!$X$5:$X$3004,$AS20)="","",INDEX('潜水記録'!$X$5:$X$3004,$AS20)))</f>
        <v/>
      </c>
      <c r="Z20" s="14">
        <f>IF($A20="","",IF(INDEX('潜水記録'!$Y$5:$Y$3004,$AS20)="","",INDEX('潜水記録'!$Y$5:$Y$3004,$AS20)))</f>
        <v/>
      </c>
      <c r="AA20" s="14">
        <f>IF($A20="","",IF(INDEX('潜水記録'!$Z$5:$Z$3004,$AS20)="","",INDEX('潜水記録'!$Z$5:$Z$3004,$AS20)))</f>
        <v/>
      </c>
      <c r="AB20" s="14">
        <f>IF($A20="","",IF(INDEX('潜水記録'!$AA$5:$AA$3004,$AS20)="","",INDEX('潜水記録'!$AA$5:$AA$3004,$AS20)))</f>
        <v/>
      </c>
      <c r="AC20" s="14">
        <f>IF($A20="","",IF(INDEX('潜水記録'!$AB$5:$AB$3004,$AS20)="","",INDEX('潜水記録'!$AB$5:$AB$3004,$AS20)))</f>
        <v/>
      </c>
      <c r="AD20" s="14">
        <f>IF($A20="","",IF(INDEX('潜水記録'!$AC$5:$AC$3004,$AS20)="","",INDEX('潜水記録'!$AC$5:$AC$3004,$AS20)))</f>
        <v/>
      </c>
      <c r="AE20" s="14">
        <f>IF($A20="","",IF(INDEX('潜水記録'!$AD$5:$AD$3004,$AS20)="","",INDEX('潜水記録'!$AD$5:$AD$3004,$AS20)))</f>
        <v/>
      </c>
      <c r="AF20" s="14">
        <f>IF($A20="","",IF(INDEX('潜水記録'!$AE$5:$AE$3004,$AS20)="","",INDEX('潜水記録'!$AE$5:$AE$3004,$AS20)))</f>
        <v/>
      </c>
      <c r="AG20" s="14">
        <f>IF($A20="","",IF(INDEX('潜水記録'!$AL$5:$AL$3004,$AS20)="","",INDEX('潜水記録'!$AL$5:$AL$3004,$AS20)))</f>
        <v/>
      </c>
      <c r="AH20" s="14">
        <f>IF($A20="","",IF(INDEX('潜水記録'!$AM$5:$AM$3004,$AS20)="","",INDEX('潜水記録'!$AM$5:$AM$3004,$AS20)))</f>
        <v/>
      </c>
      <c r="AI20" s="46">
        <f>IF($A20="","",IF(INDEX('潜水記録'!$AN$5:$AN$3004,$AS20)="","",INDEX('潜水記録'!$AN$5:$AN$3004,$AS20)))</f>
        <v/>
      </c>
      <c r="AJ20" s="14">
        <f>IF($A20="","",IF(INDEX('潜水記録'!$AO$5:$AO$3004,$AS20)="","",INDEX('潜水記録'!$AO$5:$AO$3004,$AS20)))</f>
        <v/>
      </c>
      <c r="AK20" s="14">
        <f>IF($A20="","",IF(INDEX('潜水記録'!$AP$5:$AP$3004,$AS20)="","",INDEX('潜水記録'!$AP$5:$AP$3004,$AS20)))</f>
        <v/>
      </c>
      <c r="AL20" s="14">
        <f>IF($A20="","",IF(INDEX('潜水記録'!$AQ$5:$AQ$3004,$AS20)="","",INDEX('潜水記録'!$AQ$5:$AQ$3004,$AS20)))</f>
        <v/>
      </c>
      <c r="AM20" s="14">
        <f>IF($A20="","",IF(INDEX('潜水記録'!$AR$5:$AR$3004,$AS20)="","",INDEX('潜水記録'!$AR$5:$AR$3004,$AS20)))</f>
        <v/>
      </c>
      <c r="AN20" s="14">
        <f>IF($A20="","",IF(INDEX('潜水記録'!$AS$5:$AS$3004,$AS20)="","",INDEX('潜水記録'!$AS$5:$AS$3004,$AS20)))</f>
        <v/>
      </c>
      <c r="AO20" s="14">
        <f>IF($A20="","",IF(INDEX('潜水記録'!$AT$5:$AT$3004,$AS20)="","",INDEX('潜水記録'!$AT$5:$AT$3004,$AS20)))</f>
        <v/>
      </c>
      <c r="AP20" s="14">
        <f>IF($A20="","",IF(INDEX('潜水記録'!$AU$5:$AU$3004,$AS20)="","",INDEX('潜水記録'!$AU$5:$AU$3004,$AS20)))</f>
        <v/>
      </c>
      <c r="AQ20" s="14">
        <f>IF($A20="","",IF(INDEX('潜水記録'!$AV$5:$AV$3004,$AS20)="","",INDEX('潜水記録'!$AV$5:$AV$3004,$AS20)))</f>
        <v/>
      </c>
      <c r="AR20" s="14">
        <f>IF($A20="","",IF(INDEX('潜水記録'!$AW$5:$AW$3004,$AS20)="","",INDEX('潜水記録'!$AW$5:$AW$3004,$AS20)))</f>
        <v/>
      </c>
      <c r="AS20" s="20">
        <f>IF($A20="","",MATCH($A20,'潜水記録'!$AI$5:$AI$3004,0))</f>
        <v/>
      </c>
    </row>
    <row r="21">
      <c r="A21" s="14">
        <f>IF(11&lt;=$C$8,11,"")</f>
        <v/>
      </c>
      <c r="B21" s="16">
        <f>IF($A21="","",IF(INDEX('潜水記録'!$A$5:$A$3004,$AS21)="","",INDEX('潜水記録'!$A$5:$A$3004,$AS21)))</f>
        <v/>
      </c>
      <c r="C21" s="14">
        <f>IF($A21="","",IF(INDEX('潜水記録'!$B$5:$B$3004,$AS21)="","",INDEX('潜水記録'!$B$5:$B$3004,$AS21)))</f>
        <v/>
      </c>
      <c r="D21" s="14">
        <f>IF($A21="","",IF(INDEX('潜水記録'!$C$5:$C$3004,$AS21)="","",INDEX('潜水記録'!$C$5:$C$3004,$AS21)))</f>
        <v/>
      </c>
      <c r="E21" s="14">
        <f>IF($A21="","",IF(INDEX('潜水記録'!$D$5:$D$3004,$AS21)="","",INDEX('潜水記録'!$D$5:$D$3004,$AS21)))</f>
        <v/>
      </c>
      <c r="F21" s="14">
        <f>IF($A21="","",IF(INDEX('潜水記録'!$E$5:$E$3004,$AS21)="","",INDEX('潜水記録'!$E$5:$E$3004,$AS21)))</f>
        <v/>
      </c>
      <c r="G21" s="14">
        <f>IF($A21="","",IF(INDEX('潜水記録'!$F$5:$F$3004,$AS21)="","",INDEX('潜水記録'!$F$5:$F$3004,$AS21)))</f>
        <v/>
      </c>
      <c r="H21" s="14">
        <f>IF($A21="","",IF(INDEX('潜水記録'!$G$5:$G$3004,$AS21)="","",INDEX('潜水記録'!$G$5:$G$3004,$AS21)))</f>
        <v/>
      </c>
      <c r="I21" s="14">
        <f>IF($A21="","",IF(INDEX('潜水記録'!$H$5:$H$3004,$AS21)="","",INDEX('潜水記録'!$H$5:$H$3004,$AS21)))</f>
        <v/>
      </c>
      <c r="J21" s="14">
        <f>IF($A21="","",IF(INDEX('潜水記録'!$I$5:$I$3004,$AS21)="","",INDEX('潜水記録'!$I$5:$I$3004,$AS21)))</f>
        <v/>
      </c>
      <c r="K21" s="14">
        <f>IF($A21="","",IF(INDEX('潜水記録'!$J$5:$J$3004,$AS21)="","",INDEX('潜水記録'!$J$5:$J$3004,$AS21)))</f>
        <v/>
      </c>
      <c r="L21" s="14">
        <f>IF($A21="","",IF(INDEX('潜水記録'!$K$5:$K$3004,$AS21)="","",INDEX('潜水記録'!$K$5:$K$3004,$AS21)))</f>
        <v/>
      </c>
      <c r="M21" s="14">
        <f>IF($A21="","",IF(INDEX('潜水記録'!$L$5:$L$3004,$AS21)="","",INDEX('潜水記録'!$L$5:$L$3004,$AS21)))</f>
        <v/>
      </c>
      <c r="N21" s="14">
        <f>IF($A21="","",IF(INDEX('潜水記録'!$M$5:$M$3004,$AS21)="","",INDEX('潜水記録'!$M$5:$M$3004,$AS21)))</f>
        <v/>
      </c>
      <c r="O21" s="14">
        <f>IF($A21="","",IF(INDEX('潜水記録'!$N$5:$N$3004,$AS21)="","",INDEX('潜水記録'!$N$5:$N$3004,$AS21)))</f>
        <v/>
      </c>
      <c r="P21" s="14">
        <f>IF($A21="","",IF(INDEX('潜水記録'!$O$5:$O$3004,$AS21)="","",INDEX('潜水記録'!$O$5:$O$3004,$AS21)))</f>
        <v/>
      </c>
      <c r="Q21" s="14">
        <f>IF($A21="","",IF(INDEX('潜水記録'!$P$5:$P$3004,$AS21)="","",INDEX('潜水記録'!$P$5:$P$3004,$AS21)))</f>
        <v/>
      </c>
      <c r="R21" s="14">
        <f>IF($A21="","",IF(INDEX('潜水記録'!$Q$5:$Q$3004,$AS21)="","",INDEX('潜水記録'!$Q$5:$Q$3004,$AS21)))</f>
        <v/>
      </c>
      <c r="S21" s="14">
        <f>IF($A21="","",IF(INDEX('潜水記録'!$R$5:$R$3004,$AS21)="","",INDEX('潜水記録'!$R$5:$R$3004,$AS21)))</f>
        <v/>
      </c>
      <c r="T21" s="14">
        <f>IF($A21="","",IF(INDEX('潜水記録'!$S$5:$S$3004,$AS21)="","",INDEX('潜水記録'!$S$5:$S$3004,$AS21)))</f>
        <v/>
      </c>
      <c r="U21" s="14">
        <f>IF($A21="","",IF(INDEX('潜水記録'!$T$5:$T$3004,$AS21)="","",INDEX('潜水記録'!$T$5:$T$3004,$AS21)))</f>
        <v/>
      </c>
      <c r="V21" s="46">
        <f>IF($A21="","",IF(INDEX('潜水記録'!$U$5:$U$3004,$AS21)="","",INDEX('潜水記録'!$U$5:$U$3004,$AS21)))</f>
        <v/>
      </c>
      <c r="W21" s="46">
        <f>IF($A21="","",IF(INDEX('潜水記録'!$V$5:$V$3004,$AS21)="","",INDEX('潜水記録'!$V$5:$V$3004,$AS21)))</f>
        <v/>
      </c>
      <c r="X21" s="14">
        <f>IF($A21="","",IF(INDEX('潜水記録'!$W$5:$W$3004,$AS21)="","",INDEX('潜水記録'!$W$5:$W$3004,$AS21)))</f>
        <v/>
      </c>
      <c r="Y21" s="14">
        <f>IF($A21="","",IF(INDEX('潜水記録'!$X$5:$X$3004,$AS21)="","",INDEX('潜水記録'!$X$5:$X$3004,$AS21)))</f>
        <v/>
      </c>
      <c r="Z21" s="14">
        <f>IF($A21="","",IF(INDEX('潜水記録'!$Y$5:$Y$3004,$AS21)="","",INDEX('潜水記録'!$Y$5:$Y$3004,$AS21)))</f>
        <v/>
      </c>
      <c r="AA21" s="14">
        <f>IF($A21="","",IF(INDEX('潜水記録'!$Z$5:$Z$3004,$AS21)="","",INDEX('潜水記録'!$Z$5:$Z$3004,$AS21)))</f>
        <v/>
      </c>
      <c r="AB21" s="14">
        <f>IF($A21="","",IF(INDEX('潜水記録'!$AA$5:$AA$3004,$AS21)="","",INDEX('潜水記録'!$AA$5:$AA$3004,$AS21)))</f>
        <v/>
      </c>
      <c r="AC21" s="14">
        <f>IF($A21="","",IF(INDEX('潜水記録'!$AB$5:$AB$3004,$AS21)="","",INDEX('潜水記録'!$AB$5:$AB$3004,$AS21)))</f>
        <v/>
      </c>
      <c r="AD21" s="14">
        <f>IF($A21="","",IF(INDEX('潜水記録'!$AC$5:$AC$3004,$AS21)="","",INDEX('潜水記録'!$AC$5:$AC$3004,$AS21)))</f>
        <v/>
      </c>
      <c r="AE21" s="14">
        <f>IF($A21="","",IF(INDEX('潜水記録'!$AD$5:$AD$3004,$AS21)="","",INDEX('潜水記録'!$AD$5:$AD$3004,$AS21)))</f>
        <v/>
      </c>
      <c r="AF21" s="14">
        <f>IF($A21="","",IF(INDEX('潜水記録'!$AE$5:$AE$3004,$AS21)="","",INDEX('潜水記録'!$AE$5:$AE$3004,$AS21)))</f>
        <v/>
      </c>
      <c r="AG21" s="14">
        <f>IF($A21="","",IF(INDEX('潜水記録'!$AL$5:$AL$3004,$AS21)="","",INDEX('潜水記録'!$AL$5:$AL$3004,$AS21)))</f>
        <v/>
      </c>
      <c r="AH21" s="14">
        <f>IF($A21="","",IF(INDEX('潜水記録'!$AM$5:$AM$3004,$AS21)="","",INDEX('潜水記録'!$AM$5:$AM$3004,$AS21)))</f>
        <v/>
      </c>
      <c r="AI21" s="46">
        <f>IF($A21="","",IF(INDEX('潜水記録'!$AN$5:$AN$3004,$AS21)="","",INDEX('潜水記録'!$AN$5:$AN$3004,$AS21)))</f>
        <v/>
      </c>
      <c r="AJ21" s="14">
        <f>IF($A21="","",IF(INDEX('潜水記録'!$AO$5:$AO$3004,$AS21)="","",INDEX('潜水記録'!$AO$5:$AO$3004,$AS21)))</f>
        <v/>
      </c>
      <c r="AK21" s="14">
        <f>IF($A21="","",IF(INDEX('潜水記録'!$AP$5:$AP$3004,$AS21)="","",INDEX('潜水記録'!$AP$5:$AP$3004,$AS21)))</f>
        <v/>
      </c>
      <c r="AL21" s="14">
        <f>IF($A21="","",IF(INDEX('潜水記録'!$AQ$5:$AQ$3004,$AS21)="","",INDEX('潜水記録'!$AQ$5:$AQ$3004,$AS21)))</f>
        <v/>
      </c>
      <c r="AM21" s="14">
        <f>IF($A21="","",IF(INDEX('潜水記録'!$AR$5:$AR$3004,$AS21)="","",INDEX('潜水記録'!$AR$5:$AR$3004,$AS21)))</f>
        <v/>
      </c>
      <c r="AN21" s="14">
        <f>IF($A21="","",IF(INDEX('潜水記録'!$AS$5:$AS$3004,$AS21)="","",INDEX('潜水記録'!$AS$5:$AS$3004,$AS21)))</f>
        <v/>
      </c>
      <c r="AO21" s="14">
        <f>IF($A21="","",IF(INDEX('潜水記録'!$AT$5:$AT$3004,$AS21)="","",INDEX('潜水記録'!$AT$5:$AT$3004,$AS21)))</f>
        <v/>
      </c>
      <c r="AP21" s="14">
        <f>IF($A21="","",IF(INDEX('潜水記録'!$AU$5:$AU$3004,$AS21)="","",INDEX('潜水記録'!$AU$5:$AU$3004,$AS21)))</f>
        <v/>
      </c>
      <c r="AQ21" s="14">
        <f>IF($A21="","",IF(INDEX('潜水記録'!$AV$5:$AV$3004,$AS21)="","",INDEX('潜水記録'!$AV$5:$AV$3004,$AS21)))</f>
        <v/>
      </c>
      <c r="AR21" s="14">
        <f>IF($A21="","",IF(INDEX('潜水記録'!$AW$5:$AW$3004,$AS21)="","",INDEX('潜水記録'!$AW$5:$AW$3004,$AS21)))</f>
        <v/>
      </c>
      <c r="AS21" s="20">
        <f>IF($A21="","",MATCH($A21,'潜水記録'!$AI$5:$AI$3004,0))</f>
        <v/>
      </c>
    </row>
    <row r="22">
      <c r="A22" s="14">
        <f>IF(12&lt;=$C$8,12,"")</f>
        <v/>
      </c>
      <c r="B22" s="16">
        <f>IF($A22="","",IF(INDEX('潜水記録'!$A$5:$A$3004,$AS22)="","",INDEX('潜水記録'!$A$5:$A$3004,$AS22)))</f>
        <v/>
      </c>
      <c r="C22" s="14">
        <f>IF($A22="","",IF(INDEX('潜水記録'!$B$5:$B$3004,$AS22)="","",INDEX('潜水記録'!$B$5:$B$3004,$AS22)))</f>
        <v/>
      </c>
      <c r="D22" s="14">
        <f>IF($A22="","",IF(INDEX('潜水記録'!$C$5:$C$3004,$AS22)="","",INDEX('潜水記録'!$C$5:$C$3004,$AS22)))</f>
        <v/>
      </c>
      <c r="E22" s="14">
        <f>IF($A22="","",IF(INDEX('潜水記録'!$D$5:$D$3004,$AS22)="","",INDEX('潜水記録'!$D$5:$D$3004,$AS22)))</f>
        <v/>
      </c>
      <c r="F22" s="14">
        <f>IF($A22="","",IF(INDEX('潜水記録'!$E$5:$E$3004,$AS22)="","",INDEX('潜水記録'!$E$5:$E$3004,$AS22)))</f>
        <v/>
      </c>
      <c r="G22" s="14">
        <f>IF($A22="","",IF(INDEX('潜水記録'!$F$5:$F$3004,$AS22)="","",INDEX('潜水記録'!$F$5:$F$3004,$AS22)))</f>
        <v/>
      </c>
      <c r="H22" s="14">
        <f>IF($A22="","",IF(INDEX('潜水記録'!$G$5:$G$3004,$AS22)="","",INDEX('潜水記録'!$G$5:$G$3004,$AS22)))</f>
        <v/>
      </c>
      <c r="I22" s="14">
        <f>IF($A22="","",IF(INDEX('潜水記録'!$H$5:$H$3004,$AS22)="","",INDEX('潜水記録'!$H$5:$H$3004,$AS22)))</f>
        <v/>
      </c>
      <c r="J22" s="14">
        <f>IF($A22="","",IF(INDEX('潜水記録'!$I$5:$I$3004,$AS22)="","",INDEX('潜水記録'!$I$5:$I$3004,$AS22)))</f>
        <v/>
      </c>
      <c r="K22" s="14">
        <f>IF($A22="","",IF(INDEX('潜水記録'!$J$5:$J$3004,$AS22)="","",INDEX('潜水記録'!$J$5:$J$3004,$AS22)))</f>
        <v/>
      </c>
      <c r="L22" s="14">
        <f>IF($A22="","",IF(INDEX('潜水記録'!$K$5:$K$3004,$AS22)="","",INDEX('潜水記録'!$K$5:$K$3004,$AS22)))</f>
        <v/>
      </c>
      <c r="M22" s="14">
        <f>IF($A22="","",IF(INDEX('潜水記録'!$L$5:$L$3004,$AS22)="","",INDEX('潜水記録'!$L$5:$L$3004,$AS22)))</f>
        <v/>
      </c>
      <c r="N22" s="14">
        <f>IF($A22="","",IF(INDEX('潜水記録'!$M$5:$M$3004,$AS22)="","",INDEX('潜水記録'!$M$5:$M$3004,$AS22)))</f>
        <v/>
      </c>
      <c r="O22" s="14">
        <f>IF($A22="","",IF(INDEX('潜水記録'!$N$5:$N$3004,$AS22)="","",INDEX('潜水記録'!$N$5:$N$3004,$AS22)))</f>
        <v/>
      </c>
      <c r="P22" s="14">
        <f>IF($A22="","",IF(INDEX('潜水記録'!$O$5:$O$3004,$AS22)="","",INDEX('潜水記録'!$O$5:$O$3004,$AS22)))</f>
        <v/>
      </c>
      <c r="Q22" s="14">
        <f>IF($A22="","",IF(INDEX('潜水記録'!$P$5:$P$3004,$AS22)="","",INDEX('潜水記録'!$P$5:$P$3004,$AS22)))</f>
        <v/>
      </c>
      <c r="R22" s="14">
        <f>IF($A22="","",IF(INDEX('潜水記録'!$Q$5:$Q$3004,$AS22)="","",INDEX('潜水記録'!$Q$5:$Q$3004,$AS22)))</f>
        <v/>
      </c>
      <c r="S22" s="14">
        <f>IF($A22="","",IF(INDEX('潜水記録'!$R$5:$R$3004,$AS22)="","",INDEX('潜水記録'!$R$5:$R$3004,$AS22)))</f>
        <v/>
      </c>
      <c r="T22" s="14">
        <f>IF($A22="","",IF(INDEX('潜水記録'!$S$5:$S$3004,$AS22)="","",INDEX('潜水記録'!$S$5:$S$3004,$AS22)))</f>
        <v/>
      </c>
      <c r="U22" s="14">
        <f>IF($A22="","",IF(INDEX('潜水記録'!$T$5:$T$3004,$AS22)="","",INDEX('潜水記録'!$T$5:$T$3004,$AS22)))</f>
        <v/>
      </c>
      <c r="V22" s="46">
        <f>IF($A22="","",IF(INDEX('潜水記録'!$U$5:$U$3004,$AS22)="","",INDEX('潜水記録'!$U$5:$U$3004,$AS22)))</f>
        <v/>
      </c>
      <c r="W22" s="46">
        <f>IF($A22="","",IF(INDEX('潜水記録'!$V$5:$V$3004,$AS22)="","",INDEX('潜水記録'!$V$5:$V$3004,$AS22)))</f>
        <v/>
      </c>
      <c r="X22" s="14">
        <f>IF($A22="","",IF(INDEX('潜水記録'!$W$5:$W$3004,$AS22)="","",INDEX('潜水記録'!$W$5:$W$3004,$AS22)))</f>
        <v/>
      </c>
      <c r="Y22" s="14">
        <f>IF($A22="","",IF(INDEX('潜水記録'!$X$5:$X$3004,$AS22)="","",INDEX('潜水記録'!$X$5:$X$3004,$AS22)))</f>
        <v/>
      </c>
      <c r="Z22" s="14">
        <f>IF($A22="","",IF(INDEX('潜水記録'!$Y$5:$Y$3004,$AS22)="","",INDEX('潜水記録'!$Y$5:$Y$3004,$AS22)))</f>
        <v/>
      </c>
      <c r="AA22" s="14">
        <f>IF($A22="","",IF(INDEX('潜水記録'!$Z$5:$Z$3004,$AS22)="","",INDEX('潜水記録'!$Z$5:$Z$3004,$AS22)))</f>
        <v/>
      </c>
      <c r="AB22" s="14">
        <f>IF($A22="","",IF(INDEX('潜水記録'!$AA$5:$AA$3004,$AS22)="","",INDEX('潜水記録'!$AA$5:$AA$3004,$AS22)))</f>
        <v/>
      </c>
      <c r="AC22" s="14">
        <f>IF($A22="","",IF(INDEX('潜水記録'!$AB$5:$AB$3004,$AS22)="","",INDEX('潜水記録'!$AB$5:$AB$3004,$AS22)))</f>
        <v/>
      </c>
      <c r="AD22" s="14">
        <f>IF($A22="","",IF(INDEX('潜水記録'!$AC$5:$AC$3004,$AS22)="","",INDEX('潜水記録'!$AC$5:$AC$3004,$AS22)))</f>
        <v/>
      </c>
      <c r="AE22" s="14">
        <f>IF($A22="","",IF(INDEX('潜水記録'!$AD$5:$AD$3004,$AS22)="","",INDEX('潜水記録'!$AD$5:$AD$3004,$AS22)))</f>
        <v/>
      </c>
      <c r="AF22" s="14">
        <f>IF($A22="","",IF(INDEX('潜水記録'!$AE$5:$AE$3004,$AS22)="","",INDEX('潜水記録'!$AE$5:$AE$3004,$AS22)))</f>
        <v/>
      </c>
      <c r="AG22" s="14">
        <f>IF($A22="","",IF(INDEX('潜水記録'!$AL$5:$AL$3004,$AS22)="","",INDEX('潜水記録'!$AL$5:$AL$3004,$AS22)))</f>
        <v/>
      </c>
      <c r="AH22" s="14">
        <f>IF($A22="","",IF(INDEX('潜水記録'!$AM$5:$AM$3004,$AS22)="","",INDEX('潜水記録'!$AM$5:$AM$3004,$AS22)))</f>
        <v/>
      </c>
      <c r="AI22" s="46">
        <f>IF($A22="","",IF(INDEX('潜水記録'!$AN$5:$AN$3004,$AS22)="","",INDEX('潜水記録'!$AN$5:$AN$3004,$AS22)))</f>
        <v/>
      </c>
      <c r="AJ22" s="14">
        <f>IF($A22="","",IF(INDEX('潜水記録'!$AO$5:$AO$3004,$AS22)="","",INDEX('潜水記録'!$AO$5:$AO$3004,$AS22)))</f>
        <v/>
      </c>
      <c r="AK22" s="14">
        <f>IF($A22="","",IF(INDEX('潜水記録'!$AP$5:$AP$3004,$AS22)="","",INDEX('潜水記録'!$AP$5:$AP$3004,$AS22)))</f>
        <v/>
      </c>
      <c r="AL22" s="14">
        <f>IF($A22="","",IF(INDEX('潜水記録'!$AQ$5:$AQ$3004,$AS22)="","",INDEX('潜水記録'!$AQ$5:$AQ$3004,$AS22)))</f>
        <v/>
      </c>
      <c r="AM22" s="14">
        <f>IF($A22="","",IF(INDEX('潜水記録'!$AR$5:$AR$3004,$AS22)="","",INDEX('潜水記録'!$AR$5:$AR$3004,$AS22)))</f>
        <v/>
      </c>
      <c r="AN22" s="14">
        <f>IF($A22="","",IF(INDEX('潜水記録'!$AS$5:$AS$3004,$AS22)="","",INDEX('潜水記録'!$AS$5:$AS$3004,$AS22)))</f>
        <v/>
      </c>
      <c r="AO22" s="14">
        <f>IF($A22="","",IF(INDEX('潜水記録'!$AT$5:$AT$3004,$AS22)="","",INDEX('潜水記録'!$AT$5:$AT$3004,$AS22)))</f>
        <v/>
      </c>
      <c r="AP22" s="14">
        <f>IF($A22="","",IF(INDEX('潜水記録'!$AU$5:$AU$3004,$AS22)="","",INDEX('潜水記録'!$AU$5:$AU$3004,$AS22)))</f>
        <v/>
      </c>
      <c r="AQ22" s="14">
        <f>IF($A22="","",IF(INDEX('潜水記録'!$AV$5:$AV$3004,$AS22)="","",INDEX('潜水記録'!$AV$5:$AV$3004,$AS22)))</f>
        <v/>
      </c>
      <c r="AR22" s="14">
        <f>IF($A22="","",IF(INDEX('潜水記録'!$AW$5:$AW$3004,$AS22)="","",INDEX('潜水記録'!$AW$5:$AW$3004,$AS22)))</f>
        <v/>
      </c>
      <c r="AS22" s="20">
        <f>IF($A22="","",MATCH($A22,'潜水記録'!$AI$5:$AI$3004,0))</f>
        <v/>
      </c>
    </row>
    <row r="23">
      <c r="A23" s="14">
        <f>IF(13&lt;=$C$8,13,"")</f>
        <v/>
      </c>
      <c r="B23" s="16">
        <f>IF($A23="","",IF(INDEX('潜水記録'!$A$5:$A$3004,$AS23)="","",INDEX('潜水記録'!$A$5:$A$3004,$AS23)))</f>
        <v/>
      </c>
      <c r="C23" s="14">
        <f>IF($A23="","",IF(INDEX('潜水記録'!$B$5:$B$3004,$AS23)="","",INDEX('潜水記録'!$B$5:$B$3004,$AS23)))</f>
        <v/>
      </c>
      <c r="D23" s="14">
        <f>IF($A23="","",IF(INDEX('潜水記録'!$C$5:$C$3004,$AS23)="","",INDEX('潜水記録'!$C$5:$C$3004,$AS23)))</f>
        <v/>
      </c>
      <c r="E23" s="14">
        <f>IF($A23="","",IF(INDEX('潜水記録'!$D$5:$D$3004,$AS23)="","",INDEX('潜水記録'!$D$5:$D$3004,$AS23)))</f>
        <v/>
      </c>
      <c r="F23" s="14">
        <f>IF($A23="","",IF(INDEX('潜水記録'!$E$5:$E$3004,$AS23)="","",INDEX('潜水記録'!$E$5:$E$3004,$AS23)))</f>
        <v/>
      </c>
      <c r="G23" s="14">
        <f>IF($A23="","",IF(INDEX('潜水記録'!$F$5:$F$3004,$AS23)="","",INDEX('潜水記録'!$F$5:$F$3004,$AS23)))</f>
        <v/>
      </c>
      <c r="H23" s="14">
        <f>IF($A23="","",IF(INDEX('潜水記録'!$G$5:$G$3004,$AS23)="","",INDEX('潜水記録'!$G$5:$G$3004,$AS23)))</f>
        <v/>
      </c>
      <c r="I23" s="14">
        <f>IF($A23="","",IF(INDEX('潜水記録'!$H$5:$H$3004,$AS23)="","",INDEX('潜水記録'!$H$5:$H$3004,$AS23)))</f>
        <v/>
      </c>
      <c r="J23" s="14">
        <f>IF($A23="","",IF(INDEX('潜水記録'!$I$5:$I$3004,$AS23)="","",INDEX('潜水記録'!$I$5:$I$3004,$AS23)))</f>
        <v/>
      </c>
      <c r="K23" s="14">
        <f>IF($A23="","",IF(INDEX('潜水記録'!$J$5:$J$3004,$AS23)="","",INDEX('潜水記録'!$J$5:$J$3004,$AS23)))</f>
        <v/>
      </c>
      <c r="L23" s="14">
        <f>IF($A23="","",IF(INDEX('潜水記録'!$K$5:$K$3004,$AS23)="","",INDEX('潜水記録'!$K$5:$K$3004,$AS23)))</f>
        <v/>
      </c>
      <c r="M23" s="14">
        <f>IF($A23="","",IF(INDEX('潜水記録'!$L$5:$L$3004,$AS23)="","",INDEX('潜水記録'!$L$5:$L$3004,$AS23)))</f>
        <v/>
      </c>
      <c r="N23" s="14">
        <f>IF($A23="","",IF(INDEX('潜水記録'!$M$5:$M$3004,$AS23)="","",INDEX('潜水記録'!$M$5:$M$3004,$AS23)))</f>
        <v/>
      </c>
      <c r="O23" s="14">
        <f>IF($A23="","",IF(INDEX('潜水記録'!$N$5:$N$3004,$AS23)="","",INDEX('潜水記録'!$N$5:$N$3004,$AS23)))</f>
        <v/>
      </c>
      <c r="P23" s="14">
        <f>IF($A23="","",IF(INDEX('潜水記録'!$O$5:$O$3004,$AS23)="","",INDEX('潜水記録'!$O$5:$O$3004,$AS23)))</f>
        <v/>
      </c>
      <c r="Q23" s="14">
        <f>IF($A23="","",IF(INDEX('潜水記録'!$P$5:$P$3004,$AS23)="","",INDEX('潜水記録'!$P$5:$P$3004,$AS23)))</f>
        <v/>
      </c>
      <c r="R23" s="14">
        <f>IF($A23="","",IF(INDEX('潜水記録'!$Q$5:$Q$3004,$AS23)="","",INDEX('潜水記録'!$Q$5:$Q$3004,$AS23)))</f>
        <v/>
      </c>
      <c r="S23" s="14">
        <f>IF($A23="","",IF(INDEX('潜水記録'!$R$5:$R$3004,$AS23)="","",INDEX('潜水記録'!$R$5:$R$3004,$AS23)))</f>
        <v/>
      </c>
      <c r="T23" s="14">
        <f>IF($A23="","",IF(INDEX('潜水記録'!$S$5:$S$3004,$AS23)="","",INDEX('潜水記録'!$S$5:$S$3004,$AS23)))</f>
        <v/>
      </c>
      <c r="U23" s="14">
        <f>IF($A23="","",IF(INDEX('潜水記録'!$T$5:$T$3004,$AS23)="","",INDEX('潜水記録'!$T$5:$T$3004,$AS23)))</f>
        <v/>
      </c>
      <c r="V23" s="46">
        <f>IF($A23="","",IF(INDEX('潜水記録'!$U$5:$U$3004,$AS23)="","",INDEX('潜水記録'!$U$5:$U$3004,$AS23)))</f>
        <v/>
      </c>
      <c r="W23" s="46">
        <f>IF($A23="","",IF(INDEX('潜水記録'!$V$5:$V$3004,$AS23)="","",INDEX('潜水記録'!$V$5:$V$3004,$AS23)))</f>
        <v/>
      </c>
      <c r="X23" s="14">
        <f>IF($A23="","",IF(INDEX('潜水記録'!$W$5:$W$3004,$AS23)="","",INDEX('潜水記録'!$W$5:$W$3004,$AS23)))</f>
        <v/>
      </c>
      <c r="Y23" s="14">
        <f>IF($A23="","",IF(INDEX('潜水記録'!$X$5:$X$3004,$AS23)="","",INDEX('潜水記録'!$X$5:$X$3004,$AS23)))</f>
        <v/>
      </c>
      <c r="Z23" s="14">
        <f>IF($A23="","",IF(INDEX('潜水記録'!$Y$5:$Y$3004,$AS23)="","",INDEX('潜水記録'!$Y$5:$Y$3004,$AS23)))</f>
        <v/>
      </c>
      <c r="AA23" s="14">
        <f>IF($A23="","",IF(INDEX('潜水記録'!$Z$5:$Z$3004,$AS23)="","",INDEX('潜水記録'!$Z$5:$Z$3004,$AS23)))</f>
        <v/>
      </c>
      <c r="AB23" s="14">
        <f>IF($A23="","",IF(INDEX('潜水記録'!$AA$5:$AA$3004,$AS23)="","",INDEX('潜水記録'!$AA$5:$AA$3004,$AS23)))</f>
        <v/>
      </c>
      <c r="AC23" s="14">
        <f>IF($A23="","",IF(INDEX('潜水記録'!$AB$5:$AB$3004,$AS23)="","",INDEX('潜水記録'!$AB$5:$AB$3004,$AS23)))</f>
        <v/>
      </c>
      <c r="AD23" s="14">
        <f>IF($A23="","",IF(INDEX('潜水記録'!$AC$5:$AC$3004,$AS23)="","",INDEX('潜水記録'!$AC$5:$AC$3004,$AS23)))</f>
        <v/>
      </c>
      <c r="AE23" s="14">
        <f>IF($A23="","",IF(INDEX('潜水記録'!$AD$5:$AD$3004,$AS23)="","",INDEX('潜水記録'!$AD$5:$AD$3004,$AS23)))</f>
        <v/>
      </c>
      <c r="AF23" s="14">
        <f>IF($A23="","",IF(INDEX('潜水記録'!$AE$5:$AE$3004,$AS23)="","",INDEX('潜水記録'!$AE$5:$AE$3004,$AS23)))</f>
        <v/>
      </c>
      <c r="AG23" s="14">
        <f>IF($A23="","",IF(INDEX('潜水記録'!$AL$5:$AL$3004,$AS23)="","",INDEX('潜水記録'!$AL$5:$AL$3004,$AS23)))</f>
        <v/>
      </c>
      <c r="AH23" s="14">
        <f>IF($A23="","",IF(INDEX('潜水記録'!$AM$5:$AM$3004,$AS23)="","",INDEX('潜水記録'!$AM$5:$AM$3004,$AS23)))</f>
        <v/>
      </c>
      <c r="AI23" s="46">
        <f>IF($A23="","",IF(INDEX('潜水記録'!$AN$5:$AN$3004,$AS23)="","",INDEX('潜水記録'!$AN$5:$AN$3004,$AS23)))</f>
        <v/>
      </c>
      <c r="AJ23" s="14">
        <f>IF($A23="","",IF(INDEX('潜水記録'!$AO$5:$AO$3004,$AS23)="","",INDEX('潜水記録'!$AO$5:$AO$3004,$AS23)))</f>
        <v/>
      </c>
      <c r="AK23" s="14">
        <f>IF($A23="","",IF(INDEX('潜水記録'!$AP$5:$AP$3004,$AS23)="","",INDEX('潜水記録'!$AP$5:$AP$3004,$AS23)))</f>
        <v/>
      </c>
      <c r="AL23" s="14">
        <f>IF($A23="","",IF(INDEX('潜水記録'!$AQ$5:$AQ$3004,$AS23)="","",INDEX('潜水記録'!$AQ$5:$AQ$3004,$AS23)))</f>
        <v/>
      </c>
      <c r="AM23" s="14">
        <f>IF($A23="","",IF(INDEX('潜水記録'!$AR$5:$AR$3004,$AS23)="","",INDEX('潜水記録'!$AR$5:$AR$3004,$AS23)))</f>
        <v/>
      </c>
      <c r="AN23" s="14">
        <f>IF($A23="","",IF(INDEX('潜水記録'!$AS$5:$AS$3004,$AS23)="","",INDEX('潜水記録'!$AS$5:$AS$3004,$AS23)))</f>
        <v/>
      </c>
      <c r="AO23" s="14">
        <f>IF($A23="","",IF(INDEX('潜水記録'!$AT$5:$AT$3004,$AS23)="","",INDEX('潜水記録'!$AT$5:$AT$3004,$AS23)))</f>
        <v/>
      </c>
      <c r="AP23" s="14">
        <f>IF($A23="","",IF(INDEX('潜水記録'!$AU$5:$AU$3004,$AS23)="","",INDEX('潜水記録'!$AU$5:$AU$3004,$AS23)))</f>
        <v/>
      </c>
      <c r="AQ23" s="14">
        <f>IF($A23="","",IF(INDEX('潜水記録'!$AV$5:$AV$3004,$AS23)="","",INDEX('潜水記録'!$AV$5:$AV$3004,$AS23)))</f>
        <v/>
      </c>
      <c r="AR23" s="14">
        <f>IF($A23="","",IF(INDEX('潜水記録'!$AW$5:$AW$3004,$AS23)="","",INDEX('潜水記録'!$AW$5:$AW$3004,$AS23)))</f>
        <v/>
      </c>
      <c r="AS23" s="20">
        <f>IF($A23="","",MATCH($A23,'潜水記録'!$AI$5:$AI$3004,0))</f>
        <v/>
      </c>
    </row>
    <row r="24">
      <c r="A24" s="14">
        <f>IF(14&lt;=$C$8,14,"")</f>
        <v/>
      </c>
      <c r="B24" s="16">
        <f>IF($A24="","",IF(INDEX('潜水記録'!$A$5:$A$3004,$AS24)="","",INDEX('潜水記録'!$A$5:$A$3004,$AS24)))</f>
        <v/>
      </c>
      <c r="C24" s="14">
        <f>IF($A24="","",IF(INDEX('潜水記録'!$B$5:$B$3004,$AS24)="","",INDEX('潜水記録'!$B$5:$B$3004,$AS24)))</f>
        <v/>
      </c>
      <c r="D24" s="14">
        <f>IF($A24="","",IF(INDEX('潜水記録'!$C$5:$C$3004,$AS24)="","",INDEX('潜水記録'!$C$5:$C$3004,$AS24)))</f>
        <v/>
      </c>
      <c r="E24" s="14">
        <f>IF($A24="","",IF(INDEX('潜水記録'!$D$5:$D$3004,$AS24)="","",INDEX('潜水記録'!$D$5:$D$3004,$AS24)))</f>
        <v/>
      </c>
      <c r="F24" s="14">
        <f>IF($A24="","",IF(INDEX('潜水記録'!$E$5:$E$3004,$AS24)="","",INDEX('潜水記録'!$E$5:$E$3004,$AS24)))</f>
        <v/>
      </c>
      <c r="G24" s="14">
        <f>IF($A24="","",IF(INDEX('潜水記録'!$F$5:$F$3004,$AS24)="","",INDEX('潜水記録'!$F$5:$F$3004,$AS24)))</f>
        <v/>
      </c>
      <c r="H24" s="14">
        <f>IF($A24="","",IF(INDEX('潜水記録'!$G$5:$G$3004,$AS24)="","",INDEX('潜水記録'!$G$5:$G$3004,$AS24)))</f>
        <v/>
      </c>
      <c r="I24" s="14">
        <f>IF($A24="","",IF(INDEX('潜水記録'!$H$5:$H$3004,$AS24)="","",INDEX('潜水記録'!$H$5:$H$3004,$AS24)))</f>
        <v/>
      </c>
      <c r="J24" s="14">
        <f>IF($A24="","",IF(INDEX('潜水記録'!$I$5:$I$3004,$AS24)="","",INDEX('潜水記録'!$I$5:$I$3004,$AS24)))</f>
        <v/>
      </c>
      <c r="K24" s="14">
        <f>IF($A24="","",IF(INDEX('潜水記録'!$J$5:$J$3004,$AS24)="","",INDEX('潜水記録'!$J$5:$J$3004,$AS24)))</f>
        <v/>
      </c>
      <c r="L24" s="14">
        <f>IF($A24="","",IF(INDEX('潜水記録'!$K$5:$K$3004,$AS24)="","",INDEX('潜水記録'!$K$5:$K$3004,$AS24)))</f>
        <v/>
      </c>
      <c r="M24" s="14">
        <f>IF($A24="","",IF(INDEX('潜水記録'!$L$5:$L$3004,$AS24)="","",INDEX('潜水記録'!$L$5:$L$3004,$AS24)))</f>
        <v/>
      </c>
      <c r="N24" s="14">
        <f>IF($A24="","",IF(INDEX('潜水記録'!$M$5:$M$3004,$AS24)="","",INDEX('潜水記録'!$M$5:$M$3004,$AS24)))</f>
        <v/>
      </c>
      <c r="O24" s="14">
        <f>IF($A24="","",IF(INDEX('潜水記録'!$N$5:$N$3004,$AS24)="","",INDEX('潜水記録'!$N$5:$N$3004,$AS24)))</f>
        <v/>
      </c>
      <c r="P24" s="14">
        <f>IF($A24="","",IF(INDEX('潜水記録'!$O$5:$O$3004,$AS24)="","",INDEX('潜水記録'!$O$5:$O$3004,$AS24)))</f>
        <v/>
      </c>
      <c r="Q24" s="14">
        <f>IF($A24="","",IF(INDEX('潜水記録'!$P$5:$P$3004,$AS24)="","",INDEX('潜水記録'!$P$5:$P$3004,$AS24)))</f>
        <v/>
      </c>
      <c r="R24" s="14">
        <f>IF($A24="","",IF(INDEX('潜水記録'!$Q$5:$Q$3004,$AS24)="","",INDEX('潜水記録'!$Q$5:$Q$3004,$AS24)))</f>
        <v/>
      </c>
      <c r="S24" s="14">
        <f>IF($A24="","",IF(INDEX('潜水記録'!$R$5:$R$3004,$AS24)="","",INDEX('潜水記録'!$R$5:$R$3004,$AS24)))</f>
        <v/>
      </c>
      <c r="T24" s="14">
        <f>IF($A24="","",IF(INDEX('潜水記録'!$S$5:$S$3004,$AS24)="","",INDEX('潜水記録'!$S$5:$S$3004,$AS24)))</f>
        <v/>
      </c>
      <c r="U24" s="14">
        <f>IF($A24="","",IF(INDEX('潜水記録'!$T$5:$T$3004,$AS24)="","",INDEX('潜水記録'!$T$5:$T$3004,$AS24)))</f>
        <v/>
      </c>
      <c r="V24" s="46">
        <f>IF($A24="","",IF(INDEX('潜水記録'!$U$5:$U$3004,$AS24)="","",INDEX('潜水記録'!$U$5:$U$3004,$AS24)))</f>
        <v/>
      </c>
      <c r="W24" s="46">
        <f>IF($A24="","",IF(INDEX('潜水記録'!$V$5:$V$3004,$AS24)="","",INDEX('潜水記録'!$V$5:$V$3004,$AS24)))</f>
        <v/>
      </c>
      <c r="X24" s="14">
        <f>IF($A24="","",IF(INDEX('潜水記録'!$W$5:$W$3004,$AS24)="","",INDEX('潜水記録'!$W$5:$W$3004,$AS24)))</f>
        <v/>
      </c>
      <c r="Y24" s="14">
        <f>IF($A24="","",IF(INDEX('潜水記録'!$X$5:$X$3004,$AS24)="","",INDEX('潜水記録'!$X$5:$X$3004,$AS24)))</f>
        <v/>
      </c>
      <c r="Z24" s="14">
        <f>IF($A24="","",IF(INDEX('潜水記録'!$Y$5:$Y$3004,$AS24)="","",INDEX('潜水記録'!$Y$5:$Y$3004,$AS24)))</f>
        <v/>
      </c>
      <c r="AA24" s="14">
        <f>IF($A24="","",IF(INDEX('潜水記録'!$Z$5:$Z$3004,$AS24)="","",INDEX('潜水記録'!$Z$5:$Z$3004,$AS24)))</f>
        <v/>
      </c>
      <c r="AB24" s="14">
        <f>IF($A24="","",IF(INDEX('潜水記録'!$AA$5:$AA$3004,$AS24)="","",INDEX('潜水記録'!$AA$5:$AA$3004,$AS24)))</f>
        <v/>
      </c>
      <c r="AC24" s="14">
        <f>IF($A24="","",IF(INDEX('潜水記録'!$AB$5:$AB$3004,$AS24)="","",INDEX('潜水記録'!$AB$5:$AB$3004,$AS24)))</f>
        <v/>
      </c>
      <c r="AD24" s="14">
        <f>IF($A24="","",IF(INDEX('潜水記録'!$AC$5:$AC$3004,$AS24)="","",INDEX('潜水記録'!$AC$5:$AC$3004,$AS24)))</f>
        <v/>
      </c>
      <c r="AE24" s="14">
        <f>IF($A24="","",IF(INDEX('潜水記録'!$AD$5:$AD$3004,$AS24)="","",INDEX('潜水記録'!$AD$5:$AD$3004,$AS24)))</f>
        <v/>
      </c>
      <c r="AF24" s="14">
        <f>IF($A24="","",IF(INDEX('潜水記録'!$AE$5:$AE$3004,$AS24)="","",INDEX('潜水記録'!$AE$5:$AE$3004,$AS24)))</f>
        <v/>
      </c>
      <c r="AG24" s="14">
        <f>IF($A24="","",IF(INDEX('潜水記録'!$AL$5:$AL$3004,$AS24)="","",INDEX('潜水記録'!$AL$5:$AL$3004,$AS24)))</f>
        <v/>
      </c>
      <c r="AH24" s="14">
        <f>IF($A24="","",IF(INDEX('潜水記録'!$AM$5:$AM$3004,$AS24)="","",INDEX('潜水記録'!$AM$5:$AM$3004,$AS24)))</f>
        <v/>
      </c>
      <c r="AI24" s="46">
        <f>IF($A24="","",IF(INDEX('潜水記録'!$AN$5:$AN$3004,$AS24)="","",INDEX('潜水記録'!$AN$5:$AN$3004,$AS24)))</f>
        <v/>
      </c>
      <c r="AJ24" s="14">
        <f>IF($A24="","",IF(INDEX('潜水記録'!$AO$5:$AO$3004,$AS24)="","",INDEX('潜水記録'!$AO$5:$AO$3004,$AS24)))</f>
        <v/>
      </c>
      <c r="AK24" s="14">
        <f>IF($A24="","",IF(INDEX('潜水記録'!$AP$5:$AP$3004,$AS24)="","",INDEX('潜水記録'!$AP$5:$AP$3004,$AS24)))</f>
        <v/>
      </c>
      <c r="AL24" s="14">
        <f>IF($A24="","",IF(INDEX('潜水記録'!$AQ$5:$AQ$3004,$AS24)="","",INDEX('潜水記録'!$AQ$5:$AQ$3004,$AS24)))</f>
        <v/>
      </c>
      <c r="AM24" s="14">
        <f>IF($A24="","",IF(INDEX('潜水記録'!$AR$5:$AR$3004,$AS24)="","",INDEX('潜水記録'!$AR$5:$AR$3004,$AS24)))</f>
        <v/>
      </c>
      <c r="AN24" s="14">
        <f>IF($A24="","",IF(INDEX('潜水記録'!$AS$5:$AS$3004,$AS24)="","",INDEX('潜水記録'!$AS$5:$AS$3004,$AS24)))</f>
        <v/>
      </c>
      <c r="AO24" s="14">
        <f>IF($A24="","",IF(INDEX('潜水記録'!$AT$5:$AT$3004,$AS24)="","",INDEX('潜水記録'!$AT$5:$AT$3004,$AS24)))</f>
        <v/>
      </c>
      <c r="AP24" s="14">
        <f>IF($A24="","",IF(INDEX('潜水記録'!$AU$5:$AU$3004,$AS24)="","",INDEX('潜水記録'!$AU$5:$AU$3004,$AS24)))</f>
        <v/>
      </c>
      <c r="AQ24" s="14">
        <f>IF($A24="","",IF(INDEX('潜水記録'!$AV$5:$AV$3004,$AS24)="","",INDEX('潜水記録'!$AV$5:$AV$3004,$AS24)))</f>
        <v/>
      </c>
      <c r="AR24" s="14">
        <f>IF($A24="","",IF(INDEX('潜水記録'!$AW$5:$AW$3004,$AS24)="","",INDEX('潜水記録'!$AW$5:$AW$3004,$AS24)))</f>
        <v/>
      </c>
      <c r="AS24" s="20">
        <f>IF($A24="","",MATCH($A24,'潜水記録'!$AI$5:$AI$3004,0))</f>
        <v/>
      </c>
    </row>
    <row r="25">
      <c r="A25" s="14">
        <f>IF(15&lt;=$C$8,15,"")</f>
        <v/>
      </c>
      <c r="B25" s="16">
        <f>IF($A25="","",IF(INDEX('潜水記録'!$A$5:$A$3004,$AS25)="","",INDEX('潜水記録'!$A$5:$A$3004,$AS25)))</f>
        <v/>
      </c>
      <c r="C25" s="14">
        <f>IF($A25="","",IF(INDEX('潜水記録'!$B$5:$B$3004,$AS25)="","",INDEX('潜水記録'!$B$5:$B$3004,$AS25)))</f>
        <v/>
      </c>
      <c r="D25" s="14">
        <f>IF($A25="","",IF(INDEX('潜水記録'!$C$5:$C$3004,$AS25)="","",INDEX('潜水記録'!$C$5:$C$3004,$AS25)))</f>
        <v/>
      </c>
      <c r="E25" s="14">
        <f>IF($A25="","",IF(INDEX('潜水記録'!$D$5:$D$3004,$AS25)="","",INDEX('潜水記録'!$D$5:$D$3004,$AS25)))</f>
        <v/>
      </c>
      <c r="F25" s="14">
        <f>IF($A25="","",IF(INDEX('潜水記録'!$E$5:$E$3004,$AS25)="","",INDEX('潜水記録'!$E$5:$E$3004,$AS25)))</f>
        <v/>
      </c>
      <c r="G25" s="14">
        <f>IF($A25="","",IF(INDEX('潜水記録'!$F$5:$F$3004,$AS25)="","",INDEX('潜水記録'!$F$5:$F$3004,$AS25)))</f>
        <v/>
      </c>
      <c r="H25" s="14">
        <f>IF($A25="","",IF(INDEX('潜水記録'!$G$5:$G$3004,$AS25)="","",INDEX('潜水記録'!$G$5:$G$3004,$AS25)))</f>
        <v/>
      </c>
      <c r="I25" s="14">
        <f>IF($A25="","",IF(INDEX('潜水記録'!$H$5:$H$3004,$AS25)="","",INDEX('潜水記録'!$H$5:$H$3004,$AS25)))</f>
        <v/>
      </c>
      <c r="J25" s="14">
        <f>IF($A25="","",IF(INDEX('潜水記録'!$I$5:$I$3004,$AS25)="","",INDEX('潜水記録'!$I$5:$I$3004,$AS25)))</f>
        <v/>
      </c>
      <c r="K25" s="14">
        <f>IF($A25="","",IF(INDEX('潜水記録'!$J$5:$J$3004,$AS25)="","",INDEX('潜水記録'!$J$5:$J$3004,$AS25)))</f>
        <v/>
      </c>
      <c r="L25" s="14">
        <f>IF($A25="","",IF(INDEX('潜水記録'!$K$5:$K$3004,$AS25)="","",INDEX('潜水記録'!$K$5:$K$3004,$AS25)))</f>
        <v/>
      </c>
      <c r="M25" s="14">
        <f>IF($A25="","",IF(INDEX('潜水記録'!$L$5:$L$3004,$AS25)="","",INDEX('潜水記録'!$L$5:$L$3004,$AS25)))</f>
        <v/>
      </c>
      <c r="N25" s="14">
        <f>IF($A25="","",IF(INDEX('潜水記録'!$M$5:$M$3004,$AS25)="","",INDEX('潜水記録'!$M$5:$M$3004,$AS25)))</f>
        <v/>
      </c>
      <c r="O25" s="14">
        <f>IF($A25="","",IF(INDEX('潜水記録'!$N$5:$N$3004,$AS25)="","",INDEX('潜水記録'!$N$5:$N$3004,$AS25)))</f>
        <v/>
      </c>
      <c r="P25" s="14">
        <f>IF($A25="","",IF(INDEX('潜水記録'!$O$5:$O$3004,$AS25)="","",INDEX('潜水記録'!$O$5:$O$3004,$AS25)))</f>
        <v/>
      </c>
      <c r="Q25" s="14">
        <f>IF($A25="","",IF(INDEX('潜水記録'!$P$5:$P$3004,$AS25)="","",INDEX('潜水記録'!$P$5:$P$3004,$AS25)))</f>
        <v/>
      </c>
      <c r="R25" s="14">
        <f>IF($A25="","",IF(INDEX('潜水記録'!$Q$5:$Q$3004,$AS25)="","",INDEX('潜水記録'!$Q$5:$Q$3004,$AS25)))</f>
        <v/>
      </c>
      <c r="S25" s="14">
        <f>IF($A25="","",IF(INDEX('潜水記録'!$R$5:$R$3004,$AS25)="","",INDEX('潜水記録'!$R$5:$R$3004,$AS25)))</f>
        <v/>
      </c>
      <c r="T25" s="14">
        <f>IF($A25="","",IF(INDEX('潜水記録'!$S$5:$S$3004,$AS25)="","",INDEX('潜水記録'!$S$5:$S$3004,$AS25)))</f>
        <v/>
      </c>
      <c r="U25" s="14">
        <f>IF($A25="","",IF(INDEX('潜水記録'!$T$5:$T$3004,$AS25)="","",INDEX('潜水記録'!$T$5:$T$3004,$AS25)))</f>
        <v/>
      </c>
      <c r="V25" s="46">
        <f>IF($A25="","",IF(INDEX('潜水記録'!$U$5:$U$3004,$AS25)="","",INDEX('潜水記録'!$U$5:$U$3004,$AS25)))</f>
        <v/>
      </c>
      <c r="W25" s="46">
        <f>IF($A25="","",IF(INDEX('潜水記録'!$V$5:$V$3004,$AS25)="","",INDEX('潜水記録'!$V$5:$V$3004,$AS25)))</f>
        <v/>
      </c>
      <c r="X25" s="14">
        <f>IF($A25="","",IF(INDEX('潜水記録'!$W$5:$W$3004,$AS25)="","",INDEX('潜水記録'!$W$5:$W$3004,$AS25)))</f>
        <v/>
      </c>
      <c r="Y25" s="14">
        <f>IF($A25="","",IF(INDEX('潜水記録'!$X$5:$X$3004,$AS25)="","",INDEX('潜水記録'!$X$5:$X$3004,$AS25)))</f>
        <v/>
      </c>
      <c r="Z25" s="14">
        <f>IF($A25="","",IF(INDEX('潜水記録'!$Y$5:$Y$3004,$AS25)="","",INDEX('潜水記録'!$Y$5:$Y$3004,$AS25)))</f>
        <v/>
      </c>
      <c r="AA25" s="14">
        <f>IF($A25="","",IF(INDEX('潜水記録'!$Z$5:$Z$3004,$AS25)="","",INDEX('潜水記録'!$Z$5:$Z$3004,$AS25)))</f>
        <v/>
      </c>
      <c r="AB25" s="14">
        <f>IF($A25="","",IF(INDEX('潜水記録'!$AA$5:$AA$3004,$AS25)="","",INDEX('潜水記録'!$AA$5:$AA$3004,$AS25)))</f>
        <v/>
      </c>
      <c r="AC25" s="14">
        <f>IF($A25="","",IF(INDEX('潜水記録'!$AB$5:$AB$3004,$AS25)="","",INDEX('潜水記録'!$AB$5:$AB$3004,$AS25)))</f>
        <v/>
      </c>
      <c r="AD25" s="14">
        <f>IF($A25="","",IF(INDEX('潜水記録'!$AC$5:$AC$3004,$AS25)="","",INDEX('潜水記録'!$AC$5:$AC$3004,$AS25)))</f>
        <v/>
      </c>
      <c r="AE25" s="14">
        <f>IF($A25="","",IF(INDEX('潜水記録'!$AD$5:$AD$3004,$AS25)="","",INDEX('潜水記録'!$AD$5:$AD$3004,$AS25)))</f>
        <v/>
      </c>
      <c r="AF25" s="14">
        <f>IF($A25="","",IF(INDEX('潜水記録'!$AE$5:$AE$3004,$AS25)="","",INDEX('潜水記録'!$AE$5:$AE$3004,$AS25)))</f>
        <v/>
      </c>
      <c r="AG25" s="14">
        <f>IF($A25="","",IF(INDEX('潜水記録'!$AL$5:$AL$3004,$AS25)="","",INDEX('潜水記録'!$AL$5:$AL$3004,$AS25)))</f>
        <v/>
      </c>
      <c r="AH25" s="14">
        <f>IF($A25="","",IF(INDEX('潜水記録'!$AM$5:$AM$3004,$AS25)="","",INDEX('潜水記録'!$AM$5:$AM$3004,$AS25)))</f>
        <v/>
      </c>
      <c r="AI25" s="46">
        <f>IF($A25="","",IF(INDEX('潜水記録'!$AN$5:$AN$3004,$AS25)="","",INDEX('潜水記録'!$AN$5:$AN$3004,$AS25)))</f>
        <v/>
      </c>
      <c r="AJ25" s="14">
        <f>IF($A25="","",IF(INDEX('潜水記録'!$AO$5:$AO$3004,$AS25)="","",INDEX('潜水記録'!$AO$5:$AO$3004,$AS25)))</f>
        <v/>
      </c>
      <c r="AK25" s="14">
        <f>IF($A25="","",IF(INDEX('潜水記録'!$AP$5:$AP$3004,$AS25)="","",INDEX('潜水記録'!$AP$5:$AP$3004,$AS25)))</f>
        <v/>
      </c>
      <c r="AL25" s="14">
        <f>IF($A25="","",IF(INDEX('潜水記録'!$AQ$5:$AQ$3004,$AS25)="","",INDEX('潜水記録'!$AQ$5:$AQ$3004,$AS25)))</f>
        <v/>
      </c>
      <c r="AM25" s="14">
        <f>IF($A25="","",IF(INDEX('潜水記録'!$AR$5:$AR$3004,$AS25)="","",INDEX('潜水記録'!$AR$5:$AR$3004,$AS25)))</f>
        <v/>
      </c>
      <c r="AN25" s="14">
        <f>IF($A25="","",IF(INDEX('潜水記録'!$AS$5:$AS$3004,$AS25)="","",INDEX('潜水記録'!$AS$5:$AS$3004,$AS25)))</f>
        <v/>
      </c>
      <c r="AO25" s="14">
        <f>IF($A25="","",IF(INDEX('潜水記録'!$AT$5:$AT$3004,$AS25)="","",INDEX('潜水記録'!$AT$5:$AT$3004,$AS25)))</f>
        <v/>
      </c>
      <c r="AP25" s="14">
        <f>IF($A25="","",IF(INDEX('潜水記録'!$AU$5:$AU$3004,$AS25)="","",INDEX('潜水記録'!$AU$5:$AU$3004,$AS25)))</f>
        <v/>
      </c>
      <c r="AQ25" s="14">
        <f>IF($A25="","",IF(INDEX('潜水記録'!$AV$5:$AV$3004,$AS25)="","",INDEX('潜水記録'!$AV$5:$AV$3004,$AS25)))</f>
        <v/>
      </c>
      <c r="AR25" s="14">
        <f>IF($A25="","",IF(INDEX('潜水記録'!$AW$5:$AW$3004,$AS25)="","",INDEX('潜水記録'!$AW$5:$AW$3004,$AS25)))</f>
        <v/>
      </c>
      <c r="AS25" s="20">
        <f>IF($A25="","",MATCH($A25,'潜水記録'!$AI$5:$AI$3004,0))</f>
        <v/>
      </c>
    </row>
    <row r="26">
      <c r="A26" s="14">
        <f>IF(16&lt;=$C$8,16,"")</f>
        <v/>
      </c>
      <c r="B26" s="16">
        <f>IF($A26="","",IF(INDEX('潜水記録'!$A$5:$A$3004,$AS26)="","",INDEX('潜水記録'!$A$5:$A$3004,$AS26)))</f>
        <v/>
      </c>
      <c r="C26" s="14">
        <f>IF($A26="","",IF(INDEX('潜水記録'!$B$5:$B$3004,$AS26)="","",INDEX('潜水記録'!$B$5:$B$3004,$AS26)))</f>
        <v/>
      </c>
      <c r="D26" s="14">
        <f>IF($A26="","",IF(INDEX('潜水記録'!$C$5:$C$3004,$AS26)="","",INDEX('潜水記録'!$C$5:$C$3004,$AS26)))</f>
        <v/>
      </c>
      <c r="E26" s="14">
        <f>IF($A26="","",IF(INDEX('潜水記録'!$D$5:$D$3004,$AS26)="","",INDEX('潜水記録'!$D$5:$D$3004,$AS26)))</f>
        <v/>
      </c>
      <c r="F26" s="14">
        <f>IF($A26="","",IF(INDEX('潜水記録'!$E$5:$E$3004,$AS26)="","",INDEX('潜水記録'!$E$5:$E$3004,$AS26)))</f>
        <v/>
      </c>
      <c r="G26" s="14">
        <f>IF($A26="","",IF(INDEX('潜水記録'!$F$5:$F$3004,$AS26)="","",INDEX('潜水記録'!$F$5:$F$3004,$AS26)))</f>
        <v/>
      </c>
      <c r="H26" s="14">
        <f>IF($A26="","",IF(INDEX('潜水記録'!$G$5:$G$3004,$AS26)="","",INDEX('潜水記録'!$G$5:$G$3004,$AS26)))</f>
        <v/>
      </c>
      <c r="I26" s="14">
        <f>IF($A26="","",IF(INDEX('潜水記録'!$H$5:$H$3004,$AS26)="","",INDEX('潜水記録'!$H$5:$H$3004,$AS26)))</f>
        <v/>
      </c>
      <c r="J26" s="14">
        <f>IF($A26="","",IF(INDEX('潜水記録'!$I$5:$I$3004,$AS26)="","",INDEX('潜水記録'!$I$5:$I$3004,$AS26)))</f>
        <v/>
      </c>
      <c r="K26" s="14">
        <f>IF($A26="","",IF(INDEX('潜水記録'!$J$5:$J$3004,$AS26)="","",INDEX('潜水記録'!$J$5:$J$3004,$AS26)))</f>
        <v/>
      </c>
      <c r="L26" s="14">
        <f>IF($A26="","",IF(INDEX('潜水記録'!$K$5:$K$3004,$AS26)="","",INDEX('潜水記録'!$K$5:$K$3004,$AS26)))</f>
        <v/>
      </c>
      <c r="M26" s="14">
        <f>IF($A26="","",IF(INDEX('潜水記録'!$L$5:$L$3004,$AS26)="","",INDEX('潜水記録'!$L$5:$L$3004,$AS26)))</f>
        <v/>
      </c>
      <c r="N26" s="14">
        <f>IF($A26="","",IF(INDEX('潜水記録'!$M$5:$M$3004,$AS26)="","",INDEX('潜水記録'!$M$5:$M$3004,$AS26)))</f>
        <v/>
      </c>
      <c r="O26" s="14">
        <f>IF($A26="","",IF(INDEX('潜水記録'!$N$5:$N$3004,$AS26)="","",INDEX('潜水記録'!$N$5:$N$3004,$AS26)))</f>
        <v/>
      </c>
      <c r="P26" s="14">
        <f>IF($A26="","",IF(INDEX('潜水記録'!$O$5:$O$3004,$AS26)="","",INDEX('潜水記録'!$O$5:$O$3004,$AS26)))</f>
        <v/>
      </c>
      <c r="Q26" s="14">
        <f>IF($A26="","",IF(INDEX('潜水記録'!$P$5:$P$3004,$AS26)="","",INDEX('潜水記録'!$P$5:$P$3004,$AS26)))</f>
        <v/>
      </c>
      <c r="R26" s="14">
        <f>IF($A26="","",IF(INDEX('潜水記録'!$Q$5:$Q$3004,$AS26)="","",INDEX('潜水記録'!$Q$5:$Q$3004,$AS26)))</f>
        <v/>
      </c>
      <c r="S26" s="14">
        <f>IF($A26="","",IF(INDEX('潜水記録'!$R$5:$R$3004,$AS26)="","",INDEX('潜水記録'!$R$5:$R$3004,$AS26)))</f>
        <v/>
      </c>
      <c r="T26" s="14">
        <f>IF($A26="","",IF(INDEX('潜水記録'!$S$5:$S$3004,$AS26)="","",INDEX('潜水記録'!$S$5:$S$3004,$AS26)))</f>
        <v/>
      </c>
      <c r="U26" s="14">
        <f>IF($A26="","",IF(INDEX('潜水記録'!$T$5:$T$3004,$AS26)="","",INDEX('潜水記録'!$T$5:$T$3004,$AS26)))</f>
        <v/>
      </c>
      <c r="V26" s="46">
        <f>IF($A26="","",IF(INDEX('潜水記録'!$U$5:$U$3004,$AS26)="","",INDEX('潜水記録'!$U$5:$U$3004,$AS26)))</f>
        <v/>
      </c>
      <c r="W26" s="46">
        <f>IF($A26="","",IF(INDEX('潜水記録'!$V$5:$V$3004,$AS26)="","",INDEX('潜水記録'!$V$5:$V$3004,$AS26)))</f>
        <v/>
      </c>
      <c r="X26" s="14">
        <f>IF($A26="","",IF(INDEX('潜水記録'!$W$5:$W$3004,$AS26)="","",INDEX('潜水記録'!$W$5:$W$3004,$AS26)))</f>
        <v/>
      </c>
      <c r="Y26" s="14">
        <f>IF($A26="","",IF(INDEX('潜水記録'!$X$5:$X$3004,$AS26)="","",INDEX('潜水記録'!$X$5:$X$3004,$AS26)))</f>
        <v/>
      </c>
      <c r="Z26" s="14">
        <f>IF($A26="","",IF(INDEX('潜水記録'!$Y$5:$Y$3004,$AS26)="","",INDEX('潜水記録'!$Y$5:$Y$3004,$AS26)))</f>
        <v/>
      </c>
      <c r="AA26" s="14">
        <f>IF($A26="","",IF(INDEX('潜水記録'!$Z$5:$Z$3004,$AS26)="","",INDEX('潜水記録'!$Z$5:$Z$3004,$AS26)))</f>
        <v/>
      </c>
      <c r="AB26" s="14">
        <f>IF($A26="","",IF(INDEX('潜水記録'!$AA$5:$AA$3004,$AS26)="","",INDEX('潜水記録'!$AA$5:$AA$3004,$AS26)))</f>
        <v/>
      </c>
      <c r="AC26" s="14">
        <f>IF($A26="","",IF(INDEX('潜水記録'!$AB$5:$AB$3004,$AS26)="","",INDEX('潜水記録'!$AB$5:$AB$3004,$AS26)))</f>
        <v/>
      </c>
      <c r="AD26" s="14">
        <f>IF($A26="","",IF(INDEX('潜水記録'!$AC$5:$AC$3004,$AS26)="","",INDEX('潜水記録'!$AC$5:$AC$3004,$AS26)))</f>
        <v/>
      </c>
      <c r="AE26" s="14">
        <f>IF($A26="","",IF(INDEX('潜水記録'!$AD$5:$AD$3004,$AS26)="","",INDEX('潜水記録'!$AD$5:$AD$3004,$AS26)))</f>
        <v/>
      </c>
      <c r="AF26" s="14">
        <f>IF($A26="","",IF(INDEX('潜水記録'!$AE$5:$AE$3004,$AS26)="","",INDEX('潜水記録'!$AE$5:$AE$3004,$AS26)))</f>
        <v/>
      </c>
      <c r="AG26" s="14">
        <f>IF($A26="","",IF(INDEX('潜水記録'!$AL$5:$AL$3004,$AS26)="","",INDEX('潜水記録'!$AL$5:$AL$3004,$AS26)))</f>
        <v/>
      </c>
      <c r="AH26" s="14">
        <f>IF($A26="","",IF(INDEX('潜水記録'!$AM$5:$AM$3004,$AS26)="","",INDEX('潜水記録'!$AM$5:$AM$3004,$AS26)))</f>
        <v/>
      </c>
      <c r="AI26" s="46">
        <f>IF($A26="","",IF(INDEX('潜水記録'!$AN$5:$AN$3004,$AS26)="","",INDEX('潜水記録'!$AN$5:$AN$3004,$AS26)))</f>
        <v/>
      </c>
      <c r="AJ26" s="14">
        <f>IF($A26="","",IF(INDEX('潜水記録'!$AO$5:$AO$3004,$AS26)="","",INDEX('潜水記録'!$AO$5:$AO$3004,$AS26)))</f>
        <v/>
      </c>
      <c r="AK26" s="14">
        <f>IF($A26="","",IF(INDEX('潜水記録'!$AP$5:$AP$3004,$AS26)="","",INDEX('潜水記録'!$AP$5:$AP$3004,$AS26)))</f>
        <v/>
      </c>
      <c r="AL26" s="14">
        <f>IF($A26="","",IF(INDEX('潜水記録'!$AQ$5:$AQ$3004,$AS26)="","",INDEX('潜水記録'!$AQ$5:$AQ$3004,$AS26)))</f>
        <v/>
      </c>
      <c r="AM26" s="14">
        <f>IF($A26="","",IF(INDEX('潜水記録'!$AR$5:$AR$3004,$AS26)="","",INDEX('潜水記録'!$AR$5:$AR$3004,$AS26)))</f>
        <v/>
      </c>
      <c r="AN26" s="14">
        <f>IF($A26="","",IF(INDEX('潜水記録'!$AS$5:$AS$3004,$AS26)="","",INDEX('潜水記録'!$AS$5:$AS$3004,$AS26)))</f>
        <v/>
      </c>
      <c r="AO26" s="14">
        <f>IF($A26="","",IF(INDEX('潜水記録'!$AT$5:$AT$3004,$AS26)="","",INDEX('潜水記録'!$AT$5:$AT$3004,$AS26)))</f>
        <v/>
      </c>
      <c r="AP26" s="14">
        <f>IF($A26="","",IF(INDEX('潜水記録'!$AU$5:$AU$3004,$AS26)="","",INDEX('潜水記録'!$AU$5:$AU$3004,$AS26)))</f>
        <v/>
      </c>
      <c r="AQ26" s="14">
        <f>IF($A26="","",IF(INDEX('潜水記録'!$AV$5:$AV$3004,$AS26)="","",INDEX('潜水記録'!$AV$5:$AV$3004,$AS26)))</f>
        <v/>
      </c>
      <c r="AR26" s="14">
        <f>IF($A26="","",IF(INDEX('潜水記録'!$AW$5:$AW$3004,$AS26)="","",INDEX('潜水記録'!$AW$5:$AW$3004,$AS26)))</f>
        <v/>
      </c>
      <c r="AS26" s="20">
        <f>IF($A26="","",MATCH($A26,'潜水記録'!$AI$5:$AI$3004,0))</f>
        <v/>
      </c>
    </row>
    <row r="27">
      <c r="A27" s="14">
        <f>IF(17&lt;=$C$8,17,"")</f>
        <v/>
      </c>
      <c r="B27" s="16">
        <f>IF($A27="","",IF(INDEX('潜水記録'!$A$5:$A$3004,$AS27)="","",INDEX('潜水記録'!$A$5:$A$3004,$AS27)))</f>
        <v/>
      </c>
      <c r="C27" s="14">
        <f>IF($A27="","",IF(INDEX('潜水記録'!$B$5:$B$3004,$AS27)="","",INDEX('潜水記録'!$B$5:$B$3004,$AS27)))</f>
        <v/>
      </c>
      <c r="D27" s="14">
        <f>IF($A27="","",IF(INDEX('潜水記録'!$C$5:$C$3004,$AS27)="","",INDEX('潜水記録'!$C$5:$C$3004,$AS27)))</f>
        <v/>
      </c>
      <c r="E27" s="14">
        <f>IF($A27="","",IF(INDEX('潜水記録'!$D$5:$D$3004,$AS27)="","",INDEX('潜水記録'!$D$5:$D$3004,$AS27)))</f>
        <v/>
      </c>
      <c r="F27" s="14">
        <f>IF($A27="","",IF(INDEX('潜水記録'!$E$5:$E$3004,$AS27)="","",INDEX('潜水記録'!$E$5:$E$3004,$AS27)))</f>
        <v/>
      </c>
      <c r="G27" s="14">
        <f>IF($A27="","",IF(INDEX('潜水記録'!$F$5:$F$3004,$AS27)="","",INDEX('潜水記録'!$F$5:$F$3004,$AS27)))</f>
        <v/>
      </c>
      <c r="H27" s="14">
        <f>IF($A27="","",IF(INDEX('潜水記録'!$G$5:$G$3004,$AS27)="","",INDEX('潜水記録'!$G$5:$G$3004,$AS27)))</f>
        <v/>
      </c>
      <c r="I27" s="14">
        <f>IF($A27="","",IF(INDEX('潜水記録'!$H$5:$H$3004,$AS27)="","",INDEX('潜水記録'!$H$5:$H$3004,$AS27)))</f>
        <v/>
      </c>
      <c r="J27" s="14">
        <f>IF($A27="","",IF(INDEX('潜水記録'!$I$5:$I$3004,$AS27)="","",INDEX('潜水記録'!$I$5:$I$3004,$AS27)))</f>
        <v/>
      </c>
      <c r="K27" s="14">
        <f>IF($A27="","",IF(INDEX('潜水記録'!$J$5:$J$3004,$AS27)="","",INDEX('潜水記録'!$J$5:$J$3004,$AS27)))</f>
        <v/>
      </c>
      <c r="L27" s="14">
        <f>IF($A27="","",IF(INDEX('潜水記録'!$K$5:$K$3004,$AS27)="","",INDEX('潜水記録'!$K$5:$K$3004,$AS27)))</f>
        <v/>
      </c>
      <c r="M27" s="14">
        <f>IF($A27="","",IF(INDEX('潜水記録'!$L$5:$L$3004,$AS27)="","",INDEX('潜水記録'!$L$5:$L$3004,$AS27)))</f>
        <v/>
      </c>
      <c r="N27" s="14">
        <f>IF($A27="","",IF(INDEX('潜水記録'!$M$5:$M$3004,$AS27)="","",INDEX('潜水記録'!$M$5:$M$3004,$AS27)))</f>
        <v/>
      </c>
      <c r="O27" s="14">
        <f>IF($A27="","",IF(INDEX('潜水記録'!$N$5:$N$3004,$AS27)="","",INDEX('潜水記録'!$N$5:$N$3004,$AS27)))</f>
        <v/>
      </c>
      <c r="P27" s="14">
        <f>IF($A27="","",IF(INDEX('潜水記録'!$O$5:$O$3004,$AS27)="","",INDEX('潜水記録'!$O$5:$O$3004,$AS27)))</f>
        <v/>
      </c>
      <c r="Q27" s="14">
        <f>IF($A27="","",IF(INDEX('潜水記録'!$P$5:$P$3004,$AS27)="","",INDEX('潜水記録'!$P$5:$P$3004,$AS27)))</f>
        <v/>
      </c>
      <c r="R27" s="14">
        <f>IF($A27="","",IF(INDEX('潜水記録'!$Q$5:$Q$3004,$AS27)="","",INDEX('潜水記録'!$Q$5:$Q$3004,$AS27)))</f>
        <v/>
      </c>
      <c r="S27" s="14">
        <f>IF($A27="","",IF(INDEX('潜水記録'!$R$5:$R$3004,$AS27)="","",INDEX('潜水記録'!$R$5:$R$3004,$AS27)))</f>
        <v/>
      </c>
      <c r="T27" s="14">
        <f>IF($A27="","",IF(INDEX('潜水記録'!$S$5:$S$3004,$AS27)="","",INDEX('潜水記録'!$S$5:$S$3004,$AS27)))</f>
        <v/>
      </c>
      <c r="U27" s="14">
        <f>IF($A27="","",IF(INDEX('潜水記録'!$T$5:$T$3004,$AS27)="","",INDEX('潜水記録'!$T$5:$T$3004,$AS27)))</f>
        <v/>
      </c>
      <c r="V27" s="46">
        <f>IF($A27="","",IF(INDEX('潜水記録'!$U$5:$U$3004,$AS27)="","",INDEX('潜水記録'!$U$5:$U$3004,$AS27)))</f>
        <v/>
      </c>
      <c r="W27" s="46">
        <f>IF($A27="","",IF(INDEX('潜水記録'!$V$5:$V$3004,$AS27)="","",INDEX('潜水記録'!$V$5:$V$3004,$AS27)))</f>
        <v/>
      </c>
      <c r="X27" s="14">
        <f>IF($A27="","",IF(INDEX('潜水記録'!$W$5:$W$3004,$AS27)="","",INDEX('潜水記録'!$W$5:$W$3004,$AS27)))</f>
        <v/>
      </c>
      <c r="Y27" s="14">
        <f>IF($A27="","",IF(INDEX('潜水記録'!$X$5:$X$3004,$AS27)="","",INDEX('潜水記録'!$X$5:$X$3004,$AS27)))</f>
        <v/>
      </c>
      <c r="Z27" s="14">
        <f>IF($A27="","",IF(INDEX('潜水記録'!$Y$5:$Y$3004,$AS27)="","",INDEX('潜水記録'!$Y$5:$Y$3004,$AS27)))</f>
        <v/>
      </c>
      <c r="AA27" s="14">
        <f>IF($A27="","",IF(INDEX('潜水記録'!$Z$5:$Z$3004,$AS27)="","",INDEX('潜水記録'!$Z$5:$Z$3004,$AS27)))</f>
        <v/>
      </c>
      <c r="AB27" s="14">
        <f>IF($A27="","",IF(INDEX('潜水記録'!$AA$5:$AA$3004,$AS27)="","",INDEX('潜水記録'!$AA$5:$AA$3004,$AS27)))</f>
        <v/>
      </c>
      <c r="AC27" s="14">
        <f>IF($A27="","",IF(INDEX('潜水記録'!$AB$5:$AB$3004,$AS27)="","",INDEX('潜水記録'!$AB$5:$AB$3004,$AS27)))</f>
        <v/>
      </c>
      <c r="AD27" s="14">
        <f>IF($A27="","",IF(INDEX('潜水記録'!$AC$5:$AC$3004,$AS27)="","",INDEX('潜水記録'!$AC$5:$AC$3004,$AS27)))</f>
        <v/>
      </c>
      <c r="AE27" s="14">
        <f>IF($A27="","",IF(INDEX('潜水記録'!$AD$5:$AD$3004,$AS27)="","",INDEX('潜水記録'!$AD$5:$AD$3004,$AS27)))</f>
        <v/>
      </c>
      <c r="AF27" s="14">
        <f>IF($A27="","",IF(INDEX('潜水記録'!$AE$5:$AE$3004,$AS27)="","",INDEX('潜水記録'!$AE$5:$AE$3004,$AS27)))</f>
        <v/>
      </c>
      <c r="AG27" s="14">
        <f>IF($A27="","",IF(INDEX('潜水記録'!$AL$5:$AL$3004,$AS27)="","",INDEX('潜水記録'!$AL$5:$AL$3004,$AS27)))</f>
        <v/>
      </c>
      <c r="AH27" s="14">
        <f>IF($A27="","",IF(INDEX('潜水記録'!$AM$5:$AM$3004,$AS27)="","",INDEX('潜水記録'!$AM$5:$AM$3004,$AS27)))</f>
        <v/>
      </c>
      <c r="AI27" s="46">
        <f>IF($A27="","",IF(INDEX('潜水記録'!$AN$5:$AN$3004,$AS27)="","",INDEX('潜水記録'!$AN$5:$AN$3004,$AS27)))</f>
        <v/>
      </c>
      <c r="AJ27" s="14">
        <f>IF($A27="","",IF(INDEX('潜水記録'!$AO$5:$AO$3004,$AS27)="","",INDEX('潜水記録'!$AO$5:$AO$3004,$AS27)))</f>
        <v/>
      </c>
      <c r="AK27" s="14">
        <f>IF($A27="","",IF(INDEX('潜水記録'!$AP$5:$AP$3004,$AS27)="","",INDEX('潜水記録'!$AP$5:$AP$3004,$AS27)))</f>
        <v/>
      </c>
      <c r="AL27" s="14">
        <f>IF($A27="","",IF(INDEX('潜水記録'!$AQ$5:$AQ$3004,$AS27)="","",INDEX('潜水記録'!$AQ$5:$AQ$3004,$AS27)))</f>
        <v/>
      </c>
      <c r="AM27" s="14">
        <f>IF($A27="","",IF(INDEX('潜水記録'!$AR$5:$AR$3004,$AS27)="","",INDEX('潜水記録'!$AR$5:$AR$3004,$AS27)))</f>
        <v/>
      </c>
      <c r="AN27" s="14">
        <f>IF($A27="","",IF(INDEX('潜水記録'!$AS$5:$AS$3004,$AS27)="","",INDEX('潜水記録'!$AS$5:$AS$3004,$AS27)))</f>
        <v/>
      </c>
      <c r="AO27" s="14">
        <f>IF($A27="","",IF(INDEX('潜水記録'!$AT$5:$AT$3004,$AS27)="","",INDEX('潜水記録'!$AT$5:$AT$3004,$AS27)))</f>
        <v/>
      </c>
      <c r="AP27" s="14">
        <f>IF($A27="","",IF(INDEX('潜水記録'!$AU$5:$AU$3004,$AS27)="","",INDEX('潜水記録'!$AU$5:$AU$3004,$AS27)))</f>
        <v/>
      </c>
      <c r="AQ27" s="14">
        <f>IF($A27="","",IF(INDEX('潜水記録'!$AV$5:$AV$3004,$AS27)="","",INDEX('潜水記録'!$AV$5:$AV$3004,$AS27)))</f>
        <v/>
      </c>
      <c r="AR27" s="14">
        <f>IF($A27="","",IF(INDEX('潜水記録'!$AW$5:$AW$3004,$AS27)="","",INDEX('潜水記録'!$AW$5:$AW$3004,$AS27)))</f>
        <v/>
      </c>
      <c r="AS27" s="20">
        <f>IF($A27="","",MATCH($A27,'潜水記録'!$AI$5:$AI$3004,0))</f>
        <v/>
      </c>
    </row>
    <row r="28">
      <c r="A28" s="14">
        <f>IF(18&lt;=$C$8,18,"")</f>
        <v/>
      </c>
      <c r="B28" s="16">
        <f>IF($A28="","",IF(INDEX('潜水記録'!$A$5:$A$3004,$AS28)="","",INDEX('潜水記録'!$A$5:$A$3004,$AS28)))</f>
        <v/>
      </c>
      <c r="C28" s="14">
        <f>IF($A28="","",IF(INDEX('潜水記録'!$B$5:$B$3004,$AS28)="","",INDEX('潜水記録'!$B$5:$B$3004,$AS28)))</f>
        <v/>
      </c>
      <c r="D28" s="14">
        <f>IF($A28="","",IF(INDEX('潜水記録'!$C$5:$C$3004,$AS28)="","",INDEX('潜水記録'!$C$5:$C$3004,$AS28)))</f>
        <v/>
      </c>
      <c r="E28" s="14">
        <f>IF($A28="","",IF(INDEX('潜水記録'!$D$5:$D$3004,$AS28)="","",INDEX('潜水記録'!$D$5:$D$3004,$AS28)))</f>
        <v/>
      </c>
      <c r="F28" s="14">
        <f>IF($A28="","",IF(INDEX('潜水記録'!$E$5:$E$3004,$AS28)="","",INDEX('潜水記録'!$E$5:$E$3004,$AS28)))</f>
        <v/>
      </c>
      <c r="G28" s="14">
        <f>IF($A28="","",IF(INDEX('潜水記録'!$F$5:$F$3004,$AS28)="","",INDEX('潜水記録'!$F$5:$F$3004,$AS28)))</f>
        <v/>
      </c>
      <c r="H28" s="14">
        <f>IF($A28="","",IF(INDEX('潜水記録'!$G$5:$G$3004,$AS28)="","",INDEX('潜水記録'!$G$5:$G$3004,$AS28)))</f>
        <v/>
      </c>
      <c r="I28" s="14">
        <f>IF($A28="","",IF(INDEX('潜水記録'!$H$5:$H$3004,$AS28)="","",INDEX('潜水記録'!$H$5:$H$3004,$AS28)))</f>
        <v/>
      </c>
      <c r="J28" s="14">
        <f>IF($A28="","",IF(INDEX('潜水記録'!$I$5:$I$3004,$AS28)="","",INDEX('潜水記録'!$I$5:$I$3004,$AS28)))</f>
        <v/>
      </c>
      <c r="K28" s="14">
        <f>IF($A28="","",IF(INDEX('潜水記録'!$J$5:$J$3004,$AS28)="","",INDEX('潜水記録'!$J$5:$J$3004,$AS28)))</f>
        <v/>
      </c>
      <c r="L28" s="14">
        <f>IF($A28="","",IF(INDEX('潜水記録'!$K$5:$K$3004,$AS28)="","",INDEX('潜水記録'!$K$5:$K$3004,$AS28)))</f>
        <v/>
      </c>
      <c r="M28" s="14">
        <f>IF($A28="","",IF(INDEX('潜水記録'!$L$5:$L$3004,$AS28)="","",INDEX('潜水記録'!$L$5:$L$3004,$AS28)))</f>
        <v/>
      </c>
      <c r="N28" s="14">
        <f>IF($A28="","",IF(INDEX('潜水記録'!$M$5:$M$3004,$AS28)="","",INDEX('潜水記録'!$M$5:$M$3004,$AS28)))</f>
        <v/>
      </c>
      <c r="O28" s="14">
        <f>IF($A28="","",IF(INDEX('潜水記録'!$N$5:$N$3004,$AS28)="","",INDEX('潜水記録'!$N$5:$N$3004,$AS28)))</f>
        <v/>
      </c>
      <c r="P28" s="14">
        <f>IF($A28="","",IF(INDEX('潜水記録'!$O$5:$O$3004,$AS28)="","",INDEX('潜水記録'!$O$5:$O$3004,$AS28)))</f>
        <v/>
      </c>
      <c r="Q28" s="14">
        <f>IF($A28="","",IF(INDEX('潜水記録'!$P$5:$P$3004,$AS28)="","",INDEX('潜水記録'!$P$5:$P$3004,$AS28)))</f>
        <v/>
      </c>
      <c r="R28" s="14">
        <f>IF($A28="","",IF(INDEX('潜水記録'!$Q$5:$Q$3004,$AS28)="","",INDEX('潜水記録'!$Q$5:$Q$3004,$AS28)))</f>
        <v/>
      </c>
      <c r="S28" s="14">
        <f>IF($A28="","",IF(INDEX('潜水記録'!$R$5:$R$3004,$AS28)="","",INDEX('潜水記録'!$R$5:$R$3004,$AS28)))</f>
        <v/>
      </c>
      <c r="T28" s="14">
        <f>IF($A28="","",IF(INDEX('潜水記録'!$S$5:$S$3004,$AS28)="","",INDEX('潜水記録'!$S$5:$S$3004,$AS28)))</f>
        <v/>
      </c>
      <c r="U28" s="14">
        <f>IF($A28="","",IF(INDEX('潜水記録'!$T$5:$T$3004,$AS28)="","",INDEX('潜水記録'!$T$5:$T$3004,$AS28)))</f>
        <v/>
      </c>
      <c r="V28" s="46">
        <f>IF($A28="","",IF(INDEX('潜水記録'!$U$5:$U$3004,$AS28)="","",INDEX('潜水記録'!$U$5:$U$3004,$AS28)))</f>
        <v/>
      </c>
      <c r="W28" s="46">
        <f>IF($A28="","",IF(INDEX('潜水記録'!$V$5:$V$3004,$AS28)="","",INDEX('潜水記録'!$V$5:$V$3004,$AS28)))</f>
        <v/>
      </c>
      <c r="X28" s="14">
        <f>IF($A28="","",IF(INDEX('潜水記録'!$W$5:$W$3004,$AS28)="","",INDEX('潜水記録'!$W$5:$W$3004,$AS28)))</f>
        <v/>
      </c>
      <c r="Y28" s="14">
        <f>IF($A28="","",IF(INDEX('潜水記録'!$X$5:$X$3004,$AS28)="","",INDEX('潜水記録'!$X$5:$X$3004,$AS28)))</f>
        <v/>
      </c>
      <c r="Z28" s="14">
        <f>IF($A28="","",IF(INDEX('潜水記録'!$Y$5:$Y$3004,$AS28)="","",INDEX('潜水記録'!$Y$5:$Y$3004,$AS28)))</f>
        <v/>
      </c>
      <c r="AA28" s="14">
        <f>IF($A28="","",IF(INDEX('潜水記録'!$Z$5:$Z$3004,$AS28)="","",INDEX('潜水記録'!$Z$5:$Z$3004,$AS28)))</f>
        <v/>
      </c>
      <c r="AB28" s="14">
        <f>IF($A28="","",IF(INDEX('潜水記録'!$AA$5:$AA$3004,$AS28)="","",INDEX('潜水記録'!$AA$5:$AA$3004,$AS28)))</f>
        <v/>
      </c>
      <c r="AC28" s="14">
        <f>IF($A28="","",IF(INDEX('潜水記録'!$AB$5:$AB$3004,$AS28)="","",INDEX('潜水記録'!$AB$5:$AB$3004,$AS28)))</f>
        <v/>
      </c>
      <c r="AD28" s="14">
        <f>IF($A28="","",IF(INDEX('潜水記録'!$AC$5:$AC$3004,$AS28)="","",INDEX('潜水記録'!$AC$5:$AC$3004,$AS28)))</f>
        <v/>
      </c>
      <c r="AE28" s="14">
        <f>IF($A28="","",IF(INDEX('潜水記録'!$AD$5:$AD$3004,$AS28)="","",INDEX('潜水記録'!$AD$5:$AD$3004,$AS28)))</f>
        <v/>
      </c>
      <c r="AF28" s="14">
        <f>IF($A28="","",IF(INDEX('潜水記録'!$AE$5:$AE$3004,$AS28)="","",INDEX('潜水記録'!$AE$5:$AE$3004,$AS28)))</f>
        <v/>
      </c>
      <c r="AG28" s="14">
        <f>IF($A28="","",IF(INDEX('潜水記録'!$AL$5:$AL$3004,$AS28)="","",INDEX('潜水記録'!$AL$5:$AL$3004,$AS28)))</f>
        <v/>
      </c>
      <c r="AH28" s="14">
        <f>IF($A28="","",IF(INDEX('潜水記録'!$AM$5:$AM$3004,$AS28)="","",INDEX('潜水記録'!$AM$5:$AM$3004,$AS28)))</f>
        <v/>
      </c>
      <c r="AI28" s="46">
        <f>IF($A28="","",IF(INDEX('潜水記録'!$AN$5:$AN$3004,$AS28)="","",INDEX('潜水記録'!$AN$5:$AN$3004,$AS28)))</f>
        <v/>
      </c>
      <c r="AJ28" s="14">
        <f>IF($A28="","",IF(INDEX('潜水記録'!$AO$5:$AO$3004,$AS28)="","",INDEX('潜水記録'!$AO$5:$AO$3004,$AS28)))</f>
        <v/>
      </c>
      <c r="AK28" s="14">
        <f>IF($A28="","",IF(INDEX('潜水記録'!$AP$5:$AP$3004,$AS28)="","",INDEX('潜水記録'!$AP$5:$AP$3004,$AS28)))</f>
        <v/>
      </c>
      <c r="AL28" s="14">
        <f>IF($A28="","",IF(INDEX('潜水記録'!$AQ$5:$AQ$3004,$AS28)="","",INDEX('潜水記録'!$AQ$5:$AQ$3004,$AS28)))</f>
        <v/>
      </c>
      <c r="AM28" s="14">
        <f>IF($A28="","",IF(INDEX('潜水記録'!$AR$5:$AR$3004,$AS28)="","",INDEX('潜水記録'!$AR$5:$AR$3004,$AS28)))</f>
        <v/>
      </c>
      <c r="AN28" s="14">
        <f>IF($A28="","",IF(INDEX('潜水記録'!$AS$5:$AS$3004,$AS28)="","",INDEX('潜水記録'!$AS$5:$AS$3004,$AS28)))</f>
        <v/>
      </c>
      <c r="AO28" s="14">
        <f>IF($A28="","",IF(INDEX('潜水記録'!$AT$5:$AT$3004,$AS28)="","",INDEX('潜水記録'!$AT$5:$AT$3004,$AS28)))</f>
        <v/>
      </c>
      <c r="AP28" s="14">
        <f>IF($A28="","",IF(INDEX('潜水記録'!$AU$5:$AU$3004,$AS28)="","",INDEX('潜水記録'!$AU$5:$AU$3004,$AS28)))</f>
        <v/>
      </c>
      <c r="AQ28" s="14">
        <f>IF($A28="","",IF(INDEX('潜水記録'!$AV$5:$AV$3004,$AS28)="","",INDEX('潜水記録'!$AV$5:$AV$3004,$AS28)))</f>
        <v/>
      </c>
      <c r="AR28" s="14">
        <f>IF($A28="","",IF(INDEX('潜水記録'!$AW$5:$AW$3004,$AS28)="","",INDEX('潜水記録'!$AW$5:$AW$3004,$AS28)))</f>
        <v/>
      </c>
      <c r="AS28" s="20">
        <f>IF($A28="","",MATCH($A28,'潜水記録'!$AI$5:$AI$3004,0))</f>
        <v/>
      </c>
    </row>
    <row r="29">
      <c r="A29" s="14">
        <f>IF(19&lt;=$C$8,19,"")</f>
        <v/>
      </c>
      <c r="B29" s="16">
        <f>IF($A29="","",IF(INDEX('潜水記録'!$A$5:$A$3004,$AS29)="","",INDEX('潜水記録'!$A$5:$A$3004,$AS29)))</f>
        <v/>
      </c>
      <c r="C29" s="14">
        <f>IF($A29="","",IF(INDEX('潜水記録'!$B$5:$B$3004,$AS29)="","",INDEX('潜水記録'!$B$5:$B$3004,$AS29)))</f>
        <v/>
      </c>
      <c r="D29" s="14">
        <f>IF($A29="","",IF(INDEX('潜水記録'!$C$5:$C$3004,$AS29)="","",INDEX('潜水記録'!$C$5:$C$3004,$AS29)))</f>
        <v/>
      </c>
      <c r="E29" s="14">
        <f>IF($A29="","",IF(INDEX('潜水記録'!$D$5:$D$3004,$AS29)="","",INDEX('潜水記録'!$D$5:$D$3004,$AS29)))</f>
        <v/>
      </c>
      <c r="F29" s="14">
        <f>IF($A29="","",IF(INDEX('潜水記録'!$E$5:$E$3004,$AS29)="","",INDEX('潜水記録'!$E$5:$E$3004,$AS29)))</f>
        <v/>
      </c>
      <c r="G29" s="14">
        <f>IF($A29="","",IF(INDEX('潜水記録'!$F$5:$F$3004,$AS29)="","",INDEX('潜水記録'!$F$5:$F$3004,$AS29)))</f>
        <v/>
      </c>
      <c r="H29" s="14">
        <f>IF($A29="","",IF(INDEX('潜水記録'!$G$5:$G$3004,$AS29)="","",INDEX('潜水記録'!$G$5:$G$3004,$AS29)))</f>
        <v/>
      </c>
      <c r="I29" s="14">
        <f>IF($A29="","",IF(INDEX('潜水記録'!$H$5:$H$3004,$AS29)="","",INDEX('潜水記録'!$H$5:$H$3004,$AS29)))</f>
        <v/>
      </c>
      <c r="J29" s="14">
        <f>IF($A29="","",IF(INDEX('潜水記録'!$I$5:$I$3004,$AS29)="","",INDEX('潜水記録'!$I$5:$I$3004,$AS29)))</f>
        <v/>
      </c>
      <c r="K29" s="14">
        <f>IF($A29="","",IF(INDEX('潜水記録'!$J$5:$J$3004,$AS29)="","",INDEX('潜水記録'!$J$5:$J$3004,$AS29)))</f>
        <v/>
      </c>
      <c r="L29" s="14">
        <f>IF($A29="","",IF(INDEX('潜水記録'!$K$5:$K$3004,$AS29)="","",INDEX('潜水記録'!$K$5:$K$3004,$AS29)))</f>
        <v/>
      </c>
      <c r="M29" s="14">
        <f>IF($A29="","",IF(INDEX('潜水記録'!$L$5:$L$3004,$AS29)="","",INDEX('潜水記録'!$L$5:$L$3004,$AS29)))</f>
        <v/>
      </c>
      <c r="N29" s="14">
        <f>IF($A29="","",IF(INDEX('潜水記録'!$M$5:$M$3004,$AS29)="","",INDEX('潜水記録'!$M$5:$M$3004,$AS29)))</f>
        <v/>
      </c>
      <c r="O29" s="14">
        <f>IF($A29="","",IF(INDEX('潜水記録'!$N$5:$N$3004,$AS29)="","",INDEX('潜水記録'!$N$5:$N$3004,$AS29)))</f>
        <v/>
      </c>
      <c r="P29" s="14">
        <f>IF($A29="","",IF(INDEX('潜水記録'!$O$5:$O$3004,$AS29)="","",INDEX('潜水記録'!$O$5:$O$3004,$AS29)))</f>
        <v/>
      </c>
      <c r="Q29" s="14">
        <f>IF($A29="","",IF(INDEX('潜水記録'!$P$5:$P$3004,$AS29)="","",INDEX('潜水記録'!$P$5:$P$3004,$AS29)))</f>
        <v/>
      </c>
      <c r="R29" s="14">
        <f>IF($A29="","",IF(INDEX('潜水記録'!$Q$5:$Q$3004,$AS29)="","",INDEX('潜水記録'!$Q$5:$Q$3004,$AS29)))</f>
        <v/>
      </c>
      <c r="S29" s="14">
        <f>IF($A29="","",IF(INDEX('潜水記録'!$R$5:$R$3004,$AS29)="","",INDEX('潜水記録'!$R$5:$R$3004,$AS29)))</f>
        <v/>
      </c>
      <c r="T29" s="14">
        <f>IF($A29="","",IF(INDEX('潜水記録'!$S$5:$S$3004,$AS29)="","",INDEX('潜水記録'!$S$5:$S$3004,$AS29)))</f>
        <v/>
      </c>
      <c r="U29" s="14">
        <f>IF($A29="","",IF(INDEX('潜水記録'!$T$5:$T$3004,$AS29)="","",INDEX('潜水記録'!$T$5:$T$3004,$AS29)))</f>
        <v/>
      </c>
      <c r="V29" s="46">
        <f>IF($A29="","",IF(INDEX('潜水記録'!$U$5:$U$3004,$AS29)="","",INDEX('潜水記録'!$U$5:$U$3004,$AS29)))</f>
        <v/>
      </c>
      <c r="W29" s="46">
        <f>IF($A29="","",IF(INDEX('潜水記録'!$V$5:$V$3004,$AS29)="","",INDEX('潜水記録'!$V$5:$V$3004,$AS29)))</f>
        <v/>
      </c>
      <c r="X29" s="14">
        <f>IF($A29="","",IF(INDEX('潜水記録'!$W$5:$W$3004,$AS29)="","",INDEX('潜水記録'!$W$5:$W$3004,$AS29)))</f>
        <v/>
      </c>
      <c r="Y29" s="14">
        <f>IF($A29="","",IF(INDEX('潜水記録'!$X$5:$X$3004,$AS29)="","",INDEX('潜水記録'!$X$5:$X$3004,$AS29)))</f>
        <v/>
      </c>
      <c r="Z29" s="14">
        <f>IF($A29="","",IF(INDEX('潜水記録'!$Y$5:$Y$3004,$AS29)="","",INDEX('潜水記録'!$Y$5:$Y$3004,$AS29)))</f>
        <v/>
      </c>
      <c r="AA29" s="14">
        <f>IF($A29="","",IF(INDEX('潜水記録'!$Z$5:$Z$3004,$AS29)="","",INDEX('潜水記録'!$Z$5:$Z$3004,$AS29)))</f>
        <v/>
      </c>
      <c r="AB29" s="14">
        <f>IF($A29="","",IF(INDEX('潜水記録'!$AA$5:$AA$3004,$AS29)="","",INDEX('潜水記録'!$AA$5:$AA$3004,$AS29)))</f>
        <v/>
      </c>
      <c r="AC29" s="14">
        <f>IF($A29="","",IF(INDEX('潜水記録'!$AB$5:$AB$3004,$AS29)="","",INDEX('潜水記録'!$AB$5:$AB$3004,$AS29)))</f>
        <v/>
      </c>
      <c r="AD29" s="14">
        <f>IF($A29="","",IF(INDEX('潜水記録'!$AC$5:$AC$3004,$AS29)="","",INDEX('潜水記録'!$AC$5:$AC$3004,$AS29)))</f>
        <v/>
      </c>
      <c r="AE29" s="14">
        <f>IF($A29="","",IF(INDEX('潜水記録'!$AD$5:$AD$3004,$AS29)="","",INDEX('潜水記録'!$AD$5:$AD$3004,$AS29)))</f>
        <v/>
      </c>
      <c r="AF29" s="14">
        <f>IF($A29="","",IF(INDEX('潜水記録'!$AE$5:$AE$3004,$AS29)="","",INDEX('潜水記録'!$AE$5:$AE$3004,$AS29)))</f>
        <v/>
      </c>
      <c r="AG29" s="14">
        <f>IF($A29="","",IF(INDEX('潜水記録'!$AL$5:$AL$3004,$AS29)="","",INDEX('潜水記録'!$AL$5:$AL$3004,$AS29)))</f>
        <v/>
      </c>
      <c r="AH29" s="14">
        <f>IF($A29="","",IF(INDEX('潜水記録'!$AM$5:$AM$3004,$AS29)="","",INDEX('潜水記録'!$AM$5:$AM$3004,$AS29)))</f>
        <v/>
      </c>
      <c r="AI29" s="46">
        <f>IF($A29="","",IF(INDEX('潜水記録'!$AN$5:$AN$3004,$AS29)="","",INDEX('潜水記録'!$AN$5:$AN$3004,$AS29)))</f>
        <v/>
      </c>
      <c r="AJ29" s="14">
        <f>IF($A29="","",IF(INDEX('潜水記録'!$AO$5:$AO$3004,$AS29)="","",INDEX('潜水記録'!$AO$5:$AO$3004,$AS29)))</f>
        <v/>
      </c>
      <c r="AK29" s="14">
        <f>IF($A29="","",IF(INDEX('潜水記録'!$AP$5:$AP$3004,$AS29)="","",INDEX('潜水記録'!$AP$5:$AP$3004,$AS29)))</f>
        <v/>
      </c>
      <c r="AL29" s="14">
        <f>IF($A29="","",IF(INDEX('潜水記録'!$AQ$5:$AQ$3004,$AS29)="","",INDEX('潜水記録'!$AQ$5:$AQ$3004,$AS29)))</f>
        <v/>
      </c>
      <c r="AM29" s="14">
        <f>IF($A29="","",IF(INDEX('潜水記録'!$AR$5:$AR$3004,$AS29)="","",INDEX('潜水記録'!$AR$5:$AR$3004,$AS29)))</f>
        <v/>
      </c>
      <c r="AN29" s="14">
        <f>IF($A29="","",IF(INDEX('潜水記録'!$AS$5:$AS$3004,$AS29)="","",INDEX('潜水記録'!$AS$5:$AS$3004,$AS29)))</f>
        <v/>
      </c>
      <c r="AO29" s="14">
        <f>IF($A29="","",IF(INDEX('潜水記録'!$AT$5:$AT$3004,$AS29)="","",INDEX('潜水記録'!$AT$5:$AT$3004,$AS29)))</f>
        <v/>
      </c>
      <c r="AP29" s="14">
        <f>IF($A29="","",IF(INDEX('潜水記録'!$AU$5:$AU$3004,$AS29)="","",INDEX('潜水記録'!$AU$5:$AU$3004,$AS29)))</f>
        <v/>
      </c>
      <c r="AQ29" s="14">
        <f>IF($A29="","",IF(INDEX('潜水記録'!$AV$5:$AV$3004,$AS29)="","",INDEX('潜水記録'!$AV$5:$AV$3004,$AS29)))</f>
        <v/>
      </c>
      <c r="AR29" s="14">
        <f>IF($A29="","",IF(INDEX('潜水記録'!$AW$5:$AW$3004,$AS29)="","",INDEX('潜水記録'!$AW$5:$AW$3004,$AS29)))</f>
        <v/>
      </c>
      <c r="AS29" s="20">
        <f>IF($A29="","",MATCH($A29,'潜水記録'!$AI$5:$AI$3004,0))</f>
        <v/>
      </c>
    </row>
    <row r="30">
      <c r="A30" s="14">
        <f>IF(20&lt;=$C$8,20,"")</f>
        <v/>
      </c>
      <c r="B30" s="16">
        <f>IF($A30="","",IF(INDEX('潜水記録'!$A$5:$A$3004,$AS30)="","",INDEX('潜水記録'!$A$5:$A$3004,$AS30)))</f>
        <v/>
      </c>
      <c r="C30" s="14">
        <f>IF($A30="","",IF(INDEX('潜水記録'!$B$5:$B$3004,$AS30)="","",INDEX('潜水記録'!$B$5:$B$3004,$AS30)))</f>
        <v/>
      </c>
      <c r="D30" s="14">
        <f>IF($A30="","",IF(INDEX('潜水記録'!$C$5:$C$3004,$AS30)="","",INDEX('潜水記録'!$C$5:$C$3004,$AS30)))</f>
        <v/>
      </c>
      <c r="E30" s="14">
        <f>IF($A30="","",IF(INDEX('潜水記録'!$D$5:$D$3004,$AS30)="","",INDEX('潜水記録'!$D$5:$D$3004,$AS30)))</f>
        <v/>
      </c>
      <c r="F30" s="14">
        <f>IF($A30="","",IF(INDEX('潜水記録'!$E$5:$E$3004,$AS30)="","",INDEX('潜水記録'!$E$5:$E$3004,$AS30)))</f>
        <v/>
      </c>
      <c r="G30" s="14">
        <f>IF($A30="","",IF(INDEX('潜水記録'!$F$5:$F$3004,$AS30)="","",INDEX('潜水記録'!$F$5:$F$3004,$AS30)))</f>
        <v/>
      </c>
      <c r="H30" s="14">
        <f>IF($A30="","",IF(INDEX('潜水記録'!$G$5:$G$3004,$AS30)="","",INDEX('潜水記録'!$G$5:$G$3004,$AS30)))</f>
        <v/>
      </c>
      <c r="I30" s="14">
        <f>IF($A30="","",IF(INDEX('潜水記録'!$H$5:$H$3004,$AS30)="","",INDEX('潜水記録'!$H$5:$H$3004,$AS30)))</f>
        <v/>
      </c>
      <c r="J30" s="14">
        <f>IF($A30="","",IF(INDEX('潜水記録'!$I$5:$I$3004,$AS30)="","",INDEX('潜水記録'!$I$5:$I$3004,$AS30)))</f>
        <v/>
      </c>
      <c r="K30" s="14">
        <f>IF($A30="","",IF(INDEX('潜水記録'!$J$5:$J$3004,$AS30)="","",INDEX('潜水記録'!$J$5:$J$3004,$AS30)))</f>
        <v/>
      </c>
      <c r="L30" s="14">
        <f>IF($A30="","",IF(INDEX('潜水記録'!$K$5:$K$3004,$AS30)="","",INDEX('潜水記録'!$K$5:$K$3004,$AS30)))</f>
        <v/>
      </c>
      <c r="M30" s="14">
        <f>IF($A30="","",IF(INDEX('潜水記録'!$L$5:$L$3004,$AS30)="","",INDEX('潜水記録'!$L$5:$L$3004,$AS30)))</f>
        <v/>
      </c>
      <c r="N30" s="14">
        <f>IF($A30="","",IF(INDEX('潜水記録'!$M$5:$M$3004,$AS30)="","",INDEX('潜水記録'!$M$5:$M$3004,$AS30)))</f>
        <v/>
      </c>
      <c r="O30" s="14">
        <f>IF($A30="","",IF(INDEX('潜水記録'!$N$5:$N$3004,$AS30)="","",INDEX('潜水記録'!$N$5:$N$3004,$AS30)))</f>
        <v/>
      </c>
      <c r="P30" s="14">
        <f>IF($A30="","",IF(INDEX('潜水記録'!$O$5:$O$3004,$AS30)="","",INDEX('潜水記録'!$O$5:$O$3004,$AS30)))</f>
        <v/>
      </c>
      <c r="Q30" s="14">
        <f>IF($A30="","",IF(INDEX('潜水記録'!$P$5:$P$3004,$AS30)="","",INDEX('潜水記録'!$P$5:$P$3004,$AS30)))</f>
        <v/>
      </c>
      <c r="R30" s="14">
        <f>IF($A30="","",IF(INDEX('潜水記録'!$Q$5:$Q$3004,$AS30)="","",INDEX('潜水記録'!$Q$5:$Q$3004,$AS30)))</f>
        <v/>
      </c>
      <c r="S30" s="14">
        <f>IF($A30="","",IF(INDEX('潜水記録'!$R$5:$R$3004,$AS30)="","",INDEX('潜水記録'!$R$5:$R$3004,$AS30)))</f>
        <v/>
      </c>
      <c r="T30" s="14">
        <f>IF($A30="","",IF(INDEX('潜水記録'!$S$5:$S$3004,$AS30)="","",INDEX('潜水記録'!$S$5:$S$3004,$AS30)))</f>
        <v/>
      </c>
      <c r="U30" s="14">
        <f>IF($A30="","",IF(INDEX('潜水記録'!$T$5:$T$3004,$AS30)="","",INDEX('潜水記録'!$T$5:$T$3004,$AS30)))</f>
        <v/>
      </c>
      <c r="V30" s="46">
        <f>IF($A30="","",IF(INDEX('潜水記録'!$U$5:$U$3004,$AS30)="","",INDEX('潜水記録'!$U$5:$U$3004,$AS30)))</f>
        <v/>
      </c>
      <c r="W30" s="46">
        <f>IF($A30="","",IF(INDEX('潜水記録'!$V$5:$V$3004,$AS30)="","",INDEX('潜水記録'!$V$5:$V$3004,$AS30)))</f>
        <v/>
      </c>
      <c r="X30" s="14">
        <f>IF($A30="","",IF(INDEX('潜水記録'!$W$5:$W$3004,$AS30)="","",INDEX('潜水記録'!$W$5:$W$3004,$AS30)))</f>
        <v/>
      </c>
      <c r="Y30" s="14">
        <f>IF($A30="","",IF(INDEX('潜水記録'!$X$5:$X$3004,$AS30)="","",INDEX('潜水記録'!$X$5:$X$3004,$AS30)))</f>
        <v/>
      </c>
      <c r="Z30" s="14">
        <f>IF($A30="","",IF(INDEX('潜水記録'!$Y$5:$Y$3004,$AS30)="","",INDEX('潜水記録'!$Y$5:$Y$3004,$AS30)))</f>
        <v/>
      </c>
      <c r="AA30" s="14">
        <f>IF($A30="","",IF(INDEX('潜水記録'!$Z$5:$Z$3004,$AS30)="","",INDEX('潜水記録'!$Z$5:$Z$3004,$AS30)))</f>
        <v/>
      </c>
      <c r="AB30" s="14">
        <f>IF($A30="","",IF(INDEX('潜水記録'!$AA$5:$AA$3004,$AS30)="","",INDEX('潜水記録'!$AA$5:$AA$3004,$AS30)))</f>
        <v/>
      </c>
      <c r="AC30" s="14">
        <f>IF($A30="","",IF(INDEX('潜水記録'!$AB$5:$AB$3004,$AS30)="","",INDEX('潜水記録'!$AB$5:$AB$3004,$AS30)))</f>
        <v/>
      </c>
      <c r="AD30" s="14">
        <f>IF($A30="","",IF(INDEX('潜水記録'!$AC$5:$AC$3004,$AS30)="","",INDEX('潜水記録'!$AC$5:$AC$3004,$AS30)))</f>
        <v/>
      </c>
      <c r="AE30" s="14">
        <f>IF($A30="","",IF(INDEX('潜水記録'!$AD$5:$AD$3004,$AS30)="","",INDEX('潜水記録'!$AD$5:$AD$3004,$AS30)))</f>
        <v/>
      </c>
      <c r="AF30" s="14">
        <f>IF($A30="","",IF(INDEX('潜水記録'!$AE$5:$AE$3004,$AS30)="","",INDEX('潜水記録'!$AE$5:$AE$3004,$AS30)))</f>
        <v/>
      </c>
      <c r="AG30" s="14">
        <f>IF($A30="","",IF(INDEX('潜水記録'!$AL$5:$AL$3004,$AS30)="","",INDEX('潜水記録'!$AL$5:$AL$3004,$AS30)))</f>
        <v/>
      </c>
      <c r="AH30" s="14">
        <f>IF($A30="","",IF(INDEX('潜水記録'!$AM$5:$AM$3004,$AS30)="","",INDEX('潜水記録'!$AM$5:$AM$3004,$AS30)))</f>
        <v/>
      </c>
      <c r="AI30" s="46">
        <f>IF($A30="","",IF(INDEX('潜水記録'!$AN$5:$AN$3004,$AS30)="","",INDEX('潜水記録'!$AN$5:$AN$3004,$AS30)))</f>
        <v/>
      </c>
      <c r="AJ30" s="14">
        <f>IF($A30="","",IF(INDEX('潜水記録'!$AO$5:$AO$3004,$AS30)="","",INDEX('潜水記録'!$AO$5:$AO$3004,$AS30)))</f>
        <v/>
      </c>
      <c r="AK30" s="14">
        <f>IF($A30="","",IF(INDEX('潜水記録'!$AP$5:$AP$3004,$AS30)="","",INDEX('潜水記録'!$AP$5:$AP$3004,$AS30)))</f>
        <v/>
      </c>
      <c r="AL30" s="14">
        <f>IF($A30="","",IF(INDEX('潜水記録'!$AQ$5:$AQ$3004,$AS30)="","",INDEX('潜水記録'!$AQ$5:$AQ$3004,$AS30)))</f>
        <v/>
      </c>
      <c r="AM30" s="14">
        <f>IF($A30="","",IF(INDEX('潜水記録'!$AR$5:$AR$3004,$AS30)="","",INDEX('潜水記録'!$AR$5:$AR$3004,$AS30)))</f>
        <v/>
      </c>
      <c r="AN30" s="14">
        <f>IF($A30="","",IF(INDEX('潜水記録'!$AS$5:$AS$3004,$AS30)="","",INDEX('潜水記録'!$AS$5:$AS$3004,$AS30)))</f>
        <v/>
      </c>
      <c r="AO30" s="14">
        <f>IF($A30="","",IF(INDEX('潜水記録'!$AT$5:$AT$3004,$AS30)="","",INDEX('潜水記録'!$AT$5:$AT$3004,$AS30)))</f>
        <v/>
      </c>
      <c r="AP30" s="14">
        <f>IF($A30="","",IF(INDEX('潜水記録'!$AU$5:$AU$3004,$AS30)="","",INDEX('潜水記録'!$AU$5:$AU$3004,$AS30)))</f>
        <v/>
      </c>
      <c r="AQ30" s="14">
        <f>IF($A30="","",IF(INDEX('潜水記録'!$AV$5:$AV$3004,$AS30)="","",INDEX('潜水記録'!$AV$5:$AV$3004,$AS30)))</f>
        <v/>
      </c>
      <c r="AR30" s="14">
        <f>IF($A30="","",IF(INDEX('潜水記録'!$AW$5:$AW$3004,$AS30)="","",INDEX('潜水記録'!$AW$5:$AW$3004,$AS30)))</f>
        <v/>
      </c>
      <c r="AS30" s="20">
        <f>IF($A30="","",MATCH($A30,'潜水記録'!$AI$5:$AI$3004,0))</f>
        <v/>
      </c>
    </row>
    <row r="31">
      <c r="A31" s="14">
        <f>IF(21&lt;=$C$8,21,"")</f>
        <v/>
      </c>
      <c r="B31" s="16">
        <f>IF($A31="","",IF(INDEX('潜水記録'!$A$5:$A$3004,$AS31)="","",INDEX('潜水記録'!$A$5:$A$3004,$AS31)))</f>
        <v/>
      </c>
      <c r="C31" s="14">
        <f>IF($A31="","",IF(INDEX('潜水記録'!$B$5:$B$3004,$AS31)="","",INDEX('潜水記録'!$B$5:$B$3004,$AS31)))</f>
        <v/>
      </c>
      <c r="D31" s="14">
        <f>IF($A31="","",IF(INDEX('潜水記録'!$C$5:$C$3004,$AS31)="","",INDEX('潜水記録'!$C$5:$C$3004,$AS31)))</f>
        <v/>
      </c>
      <c r="E31" s="14">
        <f>IF($A31="","",IF(INDEX('潜水記録'!$D$5:$D$3004,$AS31)="","",INDEX('潜水記録'!$D$5:$D$3004,$AS31)))</f>
        <v/>
      </c>
      <c r="F31" s="14">
        <f>IF($A31="","",IF(INDEX('潜水記録'!$E$5:$E$3004,$AS31)="","",INDEX('潜水記録'!$E$5:$E$3004,$AS31)))</f>
        <v/>
      </c>
      <c r="G31" s="14">
        <f>IF($A31="","",IF(INDEX('潜水記録'!$F$5:$F$3004,$AS31)="","",INDEX('潜水記録'!$F$5:$F$3004,$AS31)))</f>
        <v/>
      </c>
      <c r="H31" s="14">
        <f>IF($A31="","",IF(INDEX('潜水記録'!$G$5:$G$3004,$AS31)="","",INDEX('潜水記録'!$G$5:$G$3004,$AS31)))</f>
        <v/>
      </c>
      <c r="I31" s="14">
        <f>IF($A31="","",IF(INDEX('潜水記録'!$H$5:$H$3004,$AS31)="","",INDEX('潜水記録'!$H$5:$H$3004,$AS31)))</f>
        <v/>
      </c>
      <c r="J31" s="14">
        <f>IF($A31="","",IF(INDEX('潜水記録'!$I$5:$I$3004,$AS31)="","",INDEX('潜水記録'!$I$5:$I$3004,$AS31)))</f>
        <v/>
      </c>
      <c r="K31" s="14">
        <f>IF($A31="","",IF(INDEX('潜水記録'!$J$5:$J$3004,$AS31)="","",INDEX('潜水記録'!$J$5:$J$3004,$AS31)))</f>
        <v/>
      </c>
      <c r="L31" s="14">
        <f>IF($A31="","",IF(INDEX('潜水記録'!$K$5:$K$3004,$AS31)="","",INDEX('潜水記録'!$K$5:$K$3004,$AS31)))</f>
        <v/>
      </c>
      <c r="M31" s="14">
        <f>IF($A31="","",IF(INDEX('潜水記録'!$L$5:$L$3004,$AS31)="","",INDEX('潜水記録'!$L$5:$L$3004,$AS31)))</f>
        <v/>
      </c>
      <c r="N31" s="14">
        <f>IF($A31="","",IF(INDEX('潜水記録'!$M$5:$M$3004,$AS31)="","",INDEX('潜水記録'!$M$5:$M$3004,$AS31)))</f>
        <v/>
      </c>
      <c r="O31" s="14">
        <f>IF($A31="","",IF(INDEX('潜水記録'!$N$5:$N$3004,$AS31)="","",INDEX('潜水記録'!$N$5:$N$3004,$AS31)))</f>
        <v/>
      </c>
      <c r="P31" s="14">
        <f>IF($A31="","",IF(INDEX('潜水記録'!$O$5:$O$3004,$AS31)="","",INDEX('潜水記録'!$O$5:$O$3004,$AS31)))</f>
        <v/>
      </c>
      <c r="Q31" s="14">
        <f>IF($A31="","",IF(INDEX('潜水記録'!$P$5:$P$3004,$AS31)="","",INDEX('潜水記録'!$P$5:$P$3004,$AS31)))</f>
        <v/>
      </c>
      <c r="R31" s="14">
        <f>IF($A31="","",IF(INDEX('潜水記録'!$Q$5:$Q$3004,$AS31)="","",INDEX('潜水記録'!$Q$5:$Q$3004,$AS31)))</f>
        <v/>
      </c>
      <c r="S31" s="14">
        <f>IF($A31="","",IF(INDEX('潜水記録'!$R$5:$R$3004,$AS31)="","",INDEX('潜水記録'!$R$5:$R$3004,$AS31)))</f>
        <v/>
      </c>
      <c r="T31" s="14">
        <f>IF($A31="","",IF(INDEX('潜水記録'!$S$5:$S$3004,$AS31)="","",INDEX('潜水記録'!$S$5:$S$3004,$AS31)))</f>
        <v/>
      </c>
      <c r="U31" s="14">
        <f>IF($A31="","",IF(INDEX('潜水記録'!$T$5:$T$3004,$AS31)="","",INDEX('潜水記録'!$T$5:$T$3004,$AS31)))</f>
        <v/>
      </c>
      <c r="V31" s="46">
        <f>IF($A31="","",IF(INDEX('潜水記録'!$U$5:$U$3004,$AS31)="","",INDEX('潜水記録'!$U$5:$U$3004,$AS31)))</f>
        <v/>
      </c>
      <c r="W31" s="46">
        <f>IF($A31="","",IF(INDEX('潜水記録'!$V$5:$V$3004,$AS31)="","",INDEX('潜水記録'!$V$5:$V$3004,$AS31)))</f>
        <v/>
      </c>
      <c r="X31" s="14">
        <f>IF($A31="","",IF(INDEX('潜水記録'!$W$5:$W$3004,$AS31)="","",INDEX('潜水記録'!$W$5:$W$3004,$AS31)))</f>
        <v/>
      </c>
      <c r="Y31" s="14">
        <f>IF($A31="","",IF(INDEX('潜水記録'!$X$5:$X$3004,$AS31)="","",INDEX('潜水記録'!$X$5:$X$3004,$AS31)))</f>
        <v/>
      </c>
      <c r="Z31" s="14">
        <f>IF($A31="","",IF(INDEX('潜水記録'!$Y$5:$Y$3004,$AS31)="","",INDEX('潜水記録'!$Y$5:$Y$3004,$AS31)))</f>
        <v/>
      </c>
      <c r="AA31" s="14">
        <f>IF($A31="","",IF(INDEX('潜水記録'!$Z$5:$Z$3004,$AS31)="","",INDEX('潜水記録'!$Z$5:$Z$3004,$AS31)))</f>
        <v/>
      </c>
      <c r="AB31" s="14">
        <f>IF($A31="","",IF(INDEX('潜水記録'!$AA$5:$AA$3004,$AS31)="","",INDEX('潜水記録'!$AA$5:$AA$3004,$AS31)))</f>
        <v/>
      </c>
      <c r="AC31" s="14">
        <f>IF($A31="","",IF(INDEX('潜水記録'!$AB$5:$AB$3004,$AS31)="","",INDEX('潜水記録'!$AB$5:$AB$3004,$AS31)))</f>
        <v/>
      </c>
      <c r="AD31" s="14">
        <f>IF($A31="","",IF(INDEX('潜水記録'!$AC$5:$AC$3004,$AS31)="","",INDEX('潜水記録'!$AC$5:$AC$3004,$AS31)))</f>
        <v/>
      </c>
      <c r="AE31" s="14">
        <f>IF($A31="","",IF(INDEX('潜水記録'!$AD$5:$AD$3004,$AS31)="","",INDEX('潜水記録'!$AD$5:$AD$3004,$AS31)))</f>
        <v/>
      </c>
      <c r="AF31" s="14">
        <f>IF($A31="","",IF(INDEX('潜水記録'!$AE$5:$AE$3004,$AS31)="","",INDEX('潜水記録'!$AE$5:$AE$3004,$AS31)))</f>
        <v/>
      </c>
      <c r="AG31" s="14">
        <f>IF($A31="","",IF(INDEX('潜水記録'!$AL$5:$AL$3004,$AS31)="","",INDEX('潜水記録'!$AL$5:$AL$3004,$AS31)))</f>
        <v/>
      </c>
      <c r="AH31" s="14">
        <f>IF($A31="","",IF(INDEX('潜水記録'!$AM$5:$AM$3004,$AS31)="","",INDEX('潜水記録'!$AM$5:$AM$3004,$AS31)))</f>
        <v/>
      </c>
      <c r="AI31" s="46">
        <f>IF($A31="","",IF(INDEX('潜水記録'!$AN$5:$AN$3004,$AS31)="","",INDEX('潜水記録'!$AN$5:$AN$3004,$AS31)))</f>
        <v/>
      </c>
      <c r="AJ31" s="14">
        <f>IF($A31="","",IF(INDEX('潜水記録'!$AO$5:$AO$3004,$AS31)="","",INDEX('潜水記録'!$AO$5:$AO$3004,$AS31)))</f>
        <v/>
      </c>
      <c r="AK31" s="14">
        <f>IF($A31="","",IF(INDEX('潜水記録'!$AP$5:$AP$3004,$AS31)="","",INDEX('潜水記録'!$AP$5:$AP$3004,$AS31)))</f>
        <v/>
      </c>
      <c r="AL31" s="14">
        <f>IF($A31="","",IF(INDEX('潜水記録'!$AQ$5:$AQ$3004,$AS31)="","",INDEX('潜水記録'!$AQ$5:$AQ$3004,$AS31)))</f>
        <v/>
      </c>
      <c r="AM31" s="14">
        <f>IF($A31="","",IF(INDEX('潜水記録'!$AR$5:$AR$3004,$AS31)="","",INDEX('潜水記録'!$AR$5:$AR$3004,$AS31)))</f>
        <v/>
      </c>
      <c r="AN31" s="14">
        <f>IF($A31="","",IF(INDEX('潜水記録'!$AS$5:$AS$3004,$AS31)="","",INDEX('潜水記録'!$AS$5:$AS$3004,$AS31)))</f>
        <v/>
      </c>
      <c r="AO31" s="14">
        <f>IF($A31="","",IF(INDEX('潜水記録'!$AT$5:$AT$3004,$AS31)="","",INDEX('潜水記録'!$AT$5:$AT$3004,$AS31)))</f>
        <v/>
      </c>
      <c r="AP31" s="14">
        <f>IF($A31="","",IF(INDEX('潜水記録'!$AU$5:$AU$3004,$AS31)="","",INDEX('潜水記録'!$AU$5:$AU$3004,$AS31)))</f>
        <v/>
      </c>
      <c r="AQ31" s="14">
        <f>IF($A31="","",IF(INDEX('潜水記録'!$AV$5:$AV$3004,$AS31)="","",INDEX('潜水記録'!$AV$5:$AV$3004,$AS31)))</f>
        <v/>
      </c>
      <c r="AR31" s="14">
        <f>IF($A31="","",IF(INDEX('潜水記録'!$AW$5:$AW$3004,$AS31)="","",INDEX('潜水記録'!$AW$5:$AW$3004,$AS31)))</f>
        <v/>
      </c>
      <c r="AS31" s="20">
        <f>IF($A31="","",MATCH($A31,'潜水記録'!$AI$5:$AI$3004,0))</f>
        <v/>
      </c>
    </row>
    <row r="32">
      <c r="A32" s="14">
        <f>IF(22&lt;=$C$8,22,"")</f>
        <v/>
      </c>
      <c r="B32" s="16">
        <f>IF($A32="","",IF(INDEX('潜水記録'!$A$5:$A$3004,$AS32)="","",INDEX('潜水記録'!$A$5:$A$3004,$AS32)))</f>
        <v/>
      </c>
      <c r="C32" s="14">
        <f>IF($A32="","",IF(INDEX('潜水記録'!$B$5:$B$3004,$AS32)="","",INDEX('潜水記録'!$B$5:$B$3004,$AS32)))</f>
        <v/>
      </c>
      <c r="D32" s="14">
        <f>IF($A32="","",IF(INDEX('潜水記録'!$C$5:$C$3004,$AS32)="","",INDEX('潜水記録'!$C$5:$C$3004,$AS32)))</f>
        <v/>
      </c>
      <c r="E32" s="14">
        <f>IF($A32="","",IF(INDEX('潜水記録'!$D$5:$D$3004,$AS32)="","",INDEX('潜水記録'!$D$5:$D$3004,$AS32)))</f>
        <v/>
      </c>
      <c r="F32" s="14">
        <f>IF($A32="","",IF(INDEX('潜水記録'!$E$5:$E$3004,$AS32)="","",INDEX('潜水記録'!$E$5:$E$3004,$AS32)))</f>
        <v/>
      </c>
      <c r="G32" s="14">
        <f>IF($A32="","",IF(INDEX('潜水記録'!$F$5:$F$3004,$AS32)="","",INDEX('潜水記録'!$F$5:$F$3004,$AS32)))</f>
        <v/>
      </c>
      <c r="H32" s="14">
        <f>IF($A32="","",IF(INDEX('潜水記録'!$G$5:$G$3004,$AS32)="","",INDEX('潜水記録'!$G$5:$G$3004,$AS32)))</f>
        <v/>
      </c>
      <c r="I32" s="14">
        <f>IF($A32="","",IF(INDEX('潜水記録'!$H$5:$H$3004,$AS32)="","",INDEX('潜水記録'!$H$5:$H$3004,$AS32)))</f>
        <v/>
      </c>
      <c r="J32" s="14">
        <f>IF($A32="","",IF(INDEX('潜水記録'!$I$5:$I$3004,$AS32)="","",INDEX('潜水記録'!$I$5:$I$3004,$AS32)))</f>
        <v/>
      </c>
      <c r="K32" s="14">
        <f>IF($A32="","",IF(INDEX('潜水記録'!$J$5:$J$3004,$AS32)="","",INDEX('潜水記録'!$J$5:$J$3004,$AS32)))</f>
        <v/>
      </c>
      <c r="L32" s="14">
        <f>IF($A32="","",IF(INDEX('潜水記録'!$K$5:$K$3004,$AS32)="","",INDEX('潜水記録'!$K$5:$K$3004,$AS32)))</f>
        <v/>
      </c>
      <c r="M32" s="14">
        <f>IF($A32="","",IF(INDEX('潜水記録'!$L$5:$L$3004,$AS32)="","",INDEX('潜水記録'!$L$5:$L$3004,$AS32)))</f>
        <v/>
      </c>
      <c r="N32" s="14">
        <f>IF($A32="","",IF(INDEX('潜水記録'!$M$5:$M$3004,$AS32)="","",INDEX('潜水記録'!$M$5:$M$3004,$AS32)))</f>
        <v/>
      </c>
      <c r="O32" s="14">
        <f>IF($A32="","",IF(INDEX('潜水記録'!$N$5:$N$3004,$AS32)="","",INDEX('潜水記録'!$N$5:$N$3004,$AS32)))</f>
        <v/>
      </c>
      <c r="P32" s="14">
        <f>IF($A32="","",IF(INDEX('潜水記録'!$O$5:$O$3004,$AS32)="","",INDEX('潜水記録'!$O$5:$O$3004,$AS32)))</f>
        <v/>
      </c>
      <c r="Q32" s="14">
        <f>IF($A32="","",IF(INDEX('潜水記録'!$P$5:$P$3004,$AS32)="","",INDEX('潜水記録'!$P$5:$P$3004,$AS32)))</f>
        <v/>
      </c>
      <c r="R32" s="14">
        <f>IF($A32="","",IF(INDEX('潜水記録'!$Q$5:$Q$3004,$AS32)="","",INDEX('潜水記録'!$Q$5:$Q$3004,$AS32)))</f>
        <v/>
      </c>
      <c r="S32" s="14">
        <f>IF($A32="","",IF(INDEX('潜水記録'!$R$5:$R$3004,$AS32)="","",INDEX('潜水記録'!$R$5:$R$3004,$AS32)))</f>
        <v/>
      </c>
      <c r="T32" s="14">
        <f>IF($A32="","",IF(INDEX('潜水記録'!$S$5:$S$3004,$AS32)="","",INDEX('潜水記録'!$S$5:$S$3004,$AS32)))</f>
        <v/>
      </c>
      <c r="U32" s="14">
        <f>IF($A32="","",IF(INDEX('潜水記録'!$T$5:$T$3004,$AS32)="","",INDEX('潜水記録'!$T$5:$T$3004,$AS32)))</f>
        <v/>
      </c>
      <c r="V32" s="46">
        <f>IF($A32="","",IF(INDEX('潜水記録'!$U$5:$U$3004,$AS32)="","",INDEX('潜水記録'!$U$5:$U$3004,$AS32)))</f>
        <v/>
      </c>
      <c r="W32" s="46">
        <f>IF($A32="","",IF(INDEX('潜水記録'!$V$5:$V$3004,$AS32)="","",INDEX('潜水記録'!$V$5:$V$3004,$AS32)))</f>
        <v/>
      </c>
      <c r="X32" s="14">
        <f>IF($A32="","",IF(INDEX('潜水記録'!$W$5:$W$3004,$AS32)="","",INDEX('潜水記録'!$W$5:$W$3004,$AS32)))</f>
        <v/>
      </c>
      <c r="Y32" s="14">
        <f>IF($A32="","",IF(INDEX('潜水記録'!$X$5:$X$3004,$AS32)="","",INDEX('潜水記録'!$X$5:$X$3004,$AS32)))</f>
        <v/>
      </c>
      <c r="Z32" s="14">
        <f>IF($A32="","",IF(INDEX('潜水記録'!$Y$5:$Y$3004,$AS32)="","",INDEX('潜水記録'!$Y$5:$Y$3004,$AS32)))</f>
        <v/>
      </c>
      <c r="AA32" s="14">
        <f>IF($A32="","",IF(INDEX('潜水記録'!$Z$5:$Z$3004,$AS32)="","",INDEX('潜水記録'!$Z$5:$Z$3004,$AS32)))</f>
        <v/>
      </c>
      <c r="AB32" s="14">
        <f>IF($A32="","",IF(INDEX('潜水記録'!$AA$5:$AA$3004,$AS32)="","",INDEX('潜水記録'!$AA$5:$AA$3004,$AS32)))</f>
        <v/>
      </c>
      <c r="AC32" s="14">
        <f>IF($A32="","",IF(INDEX('潜水記録'!$AB$5:$AB$3004,$AS32)="","",INDEX('潜水記録'!$AB$5:$AB$3004,$AS32)))</f>
        <v/>
      </c>
      <c r="AD32" s="14">
        <f>IF($A32="","",IF(INDEX('潜水記録'!$AC$5:$AC$3004,$AS32)="","",INDEX('潜水記録'!$AC$5:$AC$3004,$AS32)))</f>
        <v/>
      </c>
      <c r="AE32" s="14">
        <f>IF($A32="","",IF(INDEX('潜水記録'!$AD$5:$AD$3004,$AS32)="","",INDEX('潜水記録'!$AD$5:$AD$3004,$AS32)))</f>
        <v/>
      </c>
      <c r="AF32" s="14">
        <f>IF($A32="","",IF(INDEX('潜水記録'!$AE$5:$AE$3004,$AS32)="","",INDEX('潜水記録'!$AE$5:$AE$3004,$AS32)))</f>
        <v/>
      </c>
      <c r="AG32" s="14">
        <f>IF($A32="","",IF(INDEX('潜水記録'!$AL$5:$AL$3004,$AS32)="","",INDEX('潜水記録'!$AL$5:$AL$3004,$AS32)))</f>
        <v/>
      </c>
      <c r="AH32" s="14">
        <f>IF($A32="","",IF(INDEX('潜水記録'!$AM$5:$AM$3004,$AS32)="","",INDEX('潜水記録'!$AM$5:$AM$3004,$AS32)))</f>
        <v/>
      </c>
      <c r="AI32" s="46">
        <f>IF($A32="","",IF(INDEX('潜水記録'!$AN$5:$AN$3004,$AS32)="","",INDEX('潜水記録'!$AN$5:$AN$3004,$AS32)))</f>
        <v/>
      </c>
      <c r="AJ32" s="14">
        <f>IF($A32="","",IF(INDEX('潜水記録'!$AO$5:$AO$3004,$AS32)="","",INDEX('潜水記録'!$AO$5:$AO$3004,$AS32)))</f>
        <v/>
      </c>
      <c r="AK32" s="14">
        <f>IF($A32="","",IF(INDEX('潜水記録'!$AP$5:$AP$3004,$AS32)="","",INDEX('潜水記録'!$AP$5:$AP$3004,$AS32)))</f>
        <v/>
      </c>
      <c r="AL32" s="14">
        <f>IF($A32="","",IF(INDEX('潜水記録'!$AQ$5:$AQ$3004,$AS32)="","",INDEX('潜水記録'!$AQ$5:$AQ$3004,$AS32)))</f>
        <v/>
      </c>
      <c r="AM32" s="14">
        <f>IF($A32="","",IF(INDEX('潜水記録'!$AR$5:$AR$3004,$AS32)="","",INDEX('潜水記録'!$AR$5:$AR$3004,$AS32)))</f>
        <v/>
      </c>
      <c r="AN32" s="14">
        <f>IF($A32="","",IF(INDEX('潜水記録'!$AS$5:$AS$3004,$AS32)="","",INDEX('潜水記録'!$AS$5:$AS$3004,$AS32)))</f>
        <v/>
      </c>
      <c r="AO32" s="14">
        <f>IF($A32="","",IF(INDEX('潜水記録'!$AT$5:$AT$3004,$AS32)="","",INDEX('潜水記録'!$AT$5:$AT$3004,$AS32)))</f>
        <v/>
      </c>
      <c r="AP32" s="14">
        <f>IF($A32="","",IF(INDEX('潜水記録'!$AU$5:$AU$3004,$AS32)="","",INDEX('潜水記録'!$AU$5:$AU$3004,$AS32)))</f>
        <v/>
      </c>
      <c r="AQ32" s="14">
        <f>IF($A32="","",IF(INDEX('潜水記録'!$AV$5:$AV$3004,$AS32)="","",INDEX('潜水記録'!$AV$5:$AV$3004,$AS32)))</f>
        <v/>
      </c>
      <c r="AR32" s="14">
        <f>IF($A32="","",IF(INDEX('潜水記録'!$AW$5:$AW$3004,$AS32)="","",INDEX('潜水記録'!$AW$5:$AW$3004,$AS32)))</f>
        <v/>
      </c>
      <c r="AS32" s="20">
        <f>IF($A32="","",MATCH($A32,'潜水記録'!$AI$5:$AI$3004,0))</f>
        <v/>
      </c>
    </row>
    <row r="33">
      <c r="A33" s="14">
        <f>IF(23&lt;=$C$8,23,"")</f>
        <v/>
      </c>
      <c r="B33" s="16">
        <f>IF($A33="","",IF(INDEX('潜水記録'!$A$5:$A$3004,$AS33)="","",INDEX('潜水記録'!$A$5:$A$3004,$AS33)))</f>
        <v/>
      </c>
      <c r="C33" s="14">
        <f>IF($A33="","",IF(INDEX('潜水記録'!$B$5:$B$3004,$AS33)="","",INDEX('潜水記録'!$B$5:$B$3004,$AS33)))</f>
        <v/>
      </c>
      <c r="D33" s="14">
        <f>IF($A33="","",IF(INDEX('潜水記録'!$C$5:$C$3004,$AS33)="","",INDEX('潜水記録'!$C$5:$C$3004,$AS33)))</f>
        <v/>
      </c>
      <c r="E33" s="14">
        <f>IF($A33="","",IF(INDEX('潜水記録'!$D$5:$D$3004,$AS33)="","",INDEX('潜水記録'!$D$5:$D$3004,$AS33)))</f>
        <v/>
      </c>
      <c r="F33" s="14">
        <f>IF($A33="","",IF(INDEX('潜水記録'!$E$5:$E$3004,$AS33)="","",INDEX('潜水記録'!$E$5:$E$3004,$AS33)))</f>
        <v/>
      </c>
      <c r="G33" s="14">
        <f>IF($A33="","",IF(INDEX('潜水記録'!$F$5:$F$3004,$AS33)="","",INDEX('潜水記録'!$F$5:$F$3004,$AS33)))</f>
        <v/>
      </c>
      <c r="H33" s="14">
        <f>IF($A33="","",IF(INDEX('潜水記録'!$G$5:$G$3004,$AS33)="","",INDEX('潜水記録'!$G$5:$G$3004,$AS33)))</f>
        <v/>
      </c>
      <c r="I33" s="14">
        <f>IF($A33="","",IF(INDEX('潜水記録'!$H$5:$H$3004,$AS33)="","",INDEX('潜水記録'!$H$5:$H$3004,$AS33)))</f>
        <v/>
      </c>
      <c r="J33" s="14">
        <f>IF($A33="","",IF(INDEX('潜水記録'!$I$5:$I$3004,$AS33)="","",INDEX('潜水記録'!$I$5:$I$3004,$AS33)))</f>
        <v/>
      </c>
      <c r="K33" s="14">
        <f>IF($A33="","",IF(INDEX('潜水記録'!$J$5:$J$3004,$AS33)="","",INDEX('潜水記録'!$J$5:$J$3004,$AS33)))</f>
        <v/>
      </c>
      <c r="L33" s="14">
        <f>IF($A33="","",IF(INDEX('潜水記録'!$K$5:$K$3004,$AS33)="","",INDEX('潜水記録'!$K$5:$K$3004,$AS33)))</f>
        <v/>
      </c>
      <c r="M33" s="14">
        <f>IF($A33="","",IF(INDEX('潜水記録'!$L$5:$L$3004,$AS33)="","",INDEX('潜水記録'!$L$5:$L$3004,$AS33)))</f>
        <v/>
      </c>
      <c r="N33" s="14">
        <f>IF($A33="","",IF(INDEX('潜水記録'!$M$5:$M$3004,$AS33)="","",INDEX('潜水記録'!$M$5:$M$3004,$AS33)))</f>
        <v/>
      </c>
      <c r="O33" s="14">
        <f>IF($A33="","",IF(INDEX('潜水記録'!$N$5:$N$3004,$AS33)="","",INDEX('潜水記録'!$N$5:$N$3004,$AS33)))</f>
        <v/>
      </c>
      <c r="P33" s="14">
        <f>IF($A33="","",IF(INDEX('潜水記録'!$O$5:$O$3004,$AS33)="","",INDEX('潜水記録'!$O$5:$O$3004,$AS33)))</f>
        <v/>
      </c>
      <c r="Q33" s="14">
        <f>IF($A33="","",IF(INDEX('潜水記録'!$P$5:$P$3004,$AS33)="","",INDEX('潜水記録'!$P$5:$P$3004,$AS33)))</f>
        <v/>
      </c>
      <c r="R33" s="14">
        <f>IF($A33="","",IF(INDEX('潜水記録'!$Q$5:$Q$3004,$AS33)="","",INDEX('潜水記録'!$Q$5:$Q$3004,$AS33)))</f>
        <v/>
      </c>
      <c r="S33" s="14">
        <f>IF($A33="","",IF(INDEX('潜水記録'!$R$5:$R$3004,$AS33)="","",INDEX('潜水記録'!$R$5:$R$3004,$AS33)))</f>
        <v/>
      </c>
      <c r="T33" s="14">
        <f>IF($A33="","",IF(INDEX('潜水記録'!$S$5:$S$3004,$AS33)="","",INDEX('潜水記録'!$S$5:$S$3004,$AS33)))</f>
        <v/>
      </c>
      <c r="U33" s="14">
        <f>IF($A33="","",IF(INDEX('潜水記録'!$T$5:$T$3004,$AS33)="","",INDEX('潜水記録'!$T$5:$T$3004,$AS33)))</f>
        <v/>
      </c>
      <c r="V33" s="46">
        <f>IF($A33="","",IF(INDEX('潜水記録'!$U$5:$U$3004,$AS33)="","",INDEX('潜水記録'!$U$5:$U$3004,$AS33)))</f>
        <v/>
      </c>
      <c r="W33" s="46">
        <f>IF($A33="","",IF(INDEX('潜水記録'!$V$5:$V$3004,$AS33)="","",INDEX('潜水記録'!$V$5:$V$3004,$AS33)))</f>
        <v/>
      </c>
      <c r="X33" s="14">
        <f>IF($A33="","",IF(INDEX('潜水記録'!$W$5:$W$3004,$AS33)="","",INDEX('潜水記録'!$W$5:$W$3004,$AS33)))</f>
        <v/>
      </c>
      <c r="Y33" s="14">
        <f>IF($A33="","",IF(INDEX('潜水記録'!$X$5:$X$3004,$AS33)="","",INDEX('潜水記録'!$X$5:$X$3004,$AS33)))</f>
        <v/>
      </c>
      <c r="Z33" s="14">
        <f>IF($A33="","",IF(INDEX('潜水記録'!$Y$5:$Y$3004,$AS33)="","",INDEX('潜水記録'!$Y$5:$Y$3004,$AS33)))</f>
        <v/>
      </c>
      <c r="AA33" s="14">
        <f>IF($A33="","",IF(INDEX('潜水記録'!$Z$5:$Z$3004,$AS33)="","",INDEX('潜水記録'!$Z$5:$Z$3004,$AS33)))</f>
        <v/>
      </c>
      <c r="AB33" s="14">
        <f>IF($A33="","",IF(INDEX('潜水記録'!$AA$5:$AA$3004,$AS33)="","",INDEX('潜水記録'!$AA$5:$AA$3004,$AS33)))</f>
        <v/>
      </c>
      <c r="AC33" s="14">
        <f>IF($A33="","",IF(INDEX('潜水記録'!$AB$5:$AB$3004,$AS33)="","",INDEX('潜水記録'!$AB$5:$AB$3004,$AS33)))</f>
        <v/>
      </c>
      <c r="AD33" s="14">
        <f>IF($A33="","",IF(INDEX('潜水記録'!$AC$5:$AC$3004,$AS33)="","",INDEX('潜水記録'!$AC$5:$AC$3004,$AS33)))</f>
        <v/>
      </c>
      <c r="AE33" s="14">
        <f>IF($A33="","",IF(INDEX('潜水記録'!$AD$5:$AD$3004,$AS33)="","",INDEX('潜水記録'!$AD$5:$AD$3004,$AS33)))</f>
        <v/>
      </c>
      <c r="AF33" s="14">
        <f>IF($A33="","",IF(INDEX('潜水記録'!$AE$5:$AE$3004,$AS33)="","",INDEX('潜水記録'!$AE$5:$AE$3004,$AS33)))</f>
        <v/>
      </c>
      <c r="AG33" s="14">
        <f>IF($A33="","",IF(INDEX('潜水記録'!$AL$5:$AL$3004,$AS33)="","",INDEX('潜水記録'!$AL$5:$AL$3004,$AS33)))</f>
        <v/>
      </c>
      <c r="AH33" s="14">
        <f>IF($A33="","",IF(INDEX('潜水記録'!$AM$5:$AM$3004,$AS33)="","",INDEX('潜水記録'!$AM$5:$AM$3004,$AS33)))</f>
        <v/>
      </c>
      <c r="AI33" s="46">
        <f>IF($A33="","",IF(INDEX('潜水記録'!$AN$5:$AN$3004,$AS33)="","",INDEX('潜水記録'!$AN$5:$AN$3004,$AS33)))</f>
        <v/>
      </c>
      <c r="AJ33" s="14">
        <f>IF($A33="","",IF(INDEX('潜水記録'!$AO$5:$AO$3004,$AS33)="","",INDEX('潜水記録'!$AO$5:$AO$3004,$AS33)))</f>
        <v/>
      </c>
      <c r="AK33" s="14">
        <f>IF($A33="","",IF(INDEX('潜水記録'!$AP$5:$AP$3004,$AS33)="","",INDEX('潜水記録'!$AP$5:$AP$3004,$AS33)))</f>
        <v/>
      </c>
      <c r="AL33" s="14">
        <f>IF($A33="","",IF(INDEX('潜水記録'!$AQ$5:$AQ$3004,$AS33)="","",INDEX('潜水記録'!$AQ$5:$AQ$3004,$AS33)))</f>
        <v/>
      </c>
      <c r="AM33" s="14">
        <f>IF($A33="","",IF(INDEX('潜水記録'!$AR$5:$AR$3004,$AS33)="","",INDEX('潜水記録'!$AR$5:$AR$3004,$AS33)))</f>
        <v/>
      </c>
      <c r="AN33" s="14">
        <f>IF($A33="","",IF(INDEX('潜水記録'!$AS$5:$AS$3004,$AS33)="","",INDEX('潜水記録'!$AS$5:$AS$3004,$AS33)))</f>
        <v/>
      </c>
      <c r="AO33" s="14">
        <f>IF($A33="","",IF(INDEX('潜水記録'!$AT$5:$AT$3004,$AS33)="","",INDEX('潜水記録'!$AT$5:$AT$3004,$AS33)))</f>
        <v/>
      </c>
      <c r="AP33" s="14">
        <f>IF($A33="","",IF(INDEX('潜水記録'!$AU$5:$AU$3004,$AS33)="","",INDEX('潜水記録'!$AU$5:$AU$3004,$AS33)))</f>
        <v/>
      </c>
      <c r="AQ33" s="14">
        <f>IF($A33="","",IF(INDEX('潜水記録'!$AV$5:$AV$3004,$AS33)="","",INDEX('潜水記録'!$AV$5:$AV$3004,$AS33)))</f>
        <v/>
      </c>
      <c r="AR33" s="14">
        <f>IF($A33="","",IF(INDEX('潜水記録'!$AW$5:$AW$3004,$AS33)="","",INDEX('潜水記録'!$AW$5:$AW$3004,$AS33)))</f>
        <v/>
      </c>
      <c r="AS33" s="20">
        <f>IF($A33="","",MATCH($A33,'潜水記録'!$AI$5:$AI$3004,0))</f>
        <v/>
      </c>
    </row>
    <row r="34">
      <c r="A34" s="14">
        <f>IF(24&lt;=$C$8,24,"")</f>
        <v/>
      </c>
      <c r="B34" s="16">
        <f>IF($A34="","",IF(INDEX('潜水記録'!$A$5:$A$3004,$AS34)="","",INDEX('潜水記録'!$A$5:$A$3004,$AS34)))</f>
        <v/>
      </c>
      <c r="C34" s="14">
        <f>IF($A34="","",IF(INDEX('潜水記録'!$B$5:$B$3004,$AS34)="","",INDEX('潜水記録'!$B$5:$B$3004,$AS34)))</f>
        <v/>
      </c>
      <c r="D34" s="14">
        <f>IF($A34="","",IF(INDEX('潜水記録'!$C$5:$C$3004,$AS34)="","",INDEX('潜水記録'!$C$5:$C$3004,$AS34)))</f>
        <v/>
      </c>
      <c r="E34" s="14">
        <f>IF($A34="","",IF(INDEX('潜水記録'!$D$5:$D$3004,$AS34)="","",INDEX('潜水記録'!$D$5:$D$3004,$AS34)))</f>
        <v/>
      </c>
      <c r="F34" s="14">
        <f>IF($A34="","",IF(INDEX('潜水記録'!$E$5:$E$3004,$AS34)="","",INDEX('潜水記録'!$E$5:$E$3004,$AS34)))</f>
        <v/>
      </c>
      <c r="G34" s="14">
        <f>IF($A34="","",IF(INDEX('潜水記録'!$F$5:$F$3004,$AS34)="","",INDEX('潜水記録'!$F$5:$F$3004,$AS34)))</f>
        <v/>
      </c>
      <c r="H34" s="14">
        <f>IF($A34="","",IF(INDEX('潜水記録'!$G$5:$G$3004,$AS34)="","",INDEX('潜水記録'!$G$5:$G$3004,$AS34)))</f>
        <v/>
      </c>
      <c r="I34" s="14">
        <f>IF($A34="","",IF(INDEX('潜水記録'!$H$5:$H$3004,$AS34)="","",INDEX('潜水記録'!$H$5:$H$3004,$AS34)))</f>
        <v/>
      </c>
      <c r="J34" s="14">
        <f>IF($A34="","",IF(INDEX('潜水記録'!$I$5:$I$3004,$AS34)="","",INDEX('潜水記録'!$I$5:$I$3004,$AS34)))</f>
        <v/>
      </c>
      <c r="K34" s="14">
        <f>IF($A34="","",IF(INDEX('潜水記録'!$J$5:$J$3004,$AS34)="","",INDEX('潜水記録'!$J$5:$J$3004,$AS34)))</f>
        <v/>
      </c>
      <c r="L34" s="14">
        <f>IF($A34="","",IF(INDEX('潜水記録'!$K$5:$K$3004,$AS34)="","",INDEX('潜水記録'!$K$5:$K$3004,$AS34)))</f>
        <v/>
      </c>
      <c r="M34" s="14">
        <f>IF($A34="","",IF(INDEX('潜水記録'!$L$5:$L$3004,$AS34)="","",INDEX('潜水記録'!$L$5:$L$3004,$AS34)))</f>
        <v/>
      </c>
      <c r="N34" s="14">
        <f>IF($A34="","",IF(INDEX('潜水記録'!$M$5:$M$3004,$AS34)="","",INDEX('潜水記録'!$M$5:$M$3004,$AS34)))</f>
        <v/>
      </c>
      <c r="O34" s="14">
        <f>IF($A34="","",IF(INDEX('潜水記録'!$N$5:$N$3004,$AS34)="","",INDEX('潜水記録'!$N$5:$N$3004,$AS34)))</f>
        <v/>
      </c>
      <c r="P34" s="14">
        <f>IF($A34="","",IF(INDEX('潜水記録'!$O$5:$O$3004,$AS34)="","",INDEX('潜水記録'!$O$5:$O$3004,$AS34)))</f>
        <v/>
      </c>
      <c r="Q34" s="14">
        <f>IF($A34="","",IF(INDEX('潜水記録'!$P$5:$P$3004,$AS34)="","",INDEX('潜水記録'!$P$5:$P$3004,$AS34)))</f>
        <v/>
      </c>
      <c r="R34" s="14">
        <f>IF($A34="","",IF(INDEX('潜水記録'!$Q$5:$Q$3004,$AS34)="","",INDEX('潜水記録'!$Q$5:$Q$3004,$AS34)))</f>
        <v/>
      </c>
      <c r="S34" s="14">
        <f>IF($A34="","",IF(INDEX('潜水記録'!$R$5:$R$3004,$AS34)="","",INDEX('潜水記録'!$R$5:$R$3004,$AS34)))</f>
        <v/>
      </c>
      <c r="T34" s="14">
        <f>IF($A34="","",IF(INDEX('潜水記録'!$S$5:$S$3004,$AS34)="","",INDEX('潜水記録'!$S$5:$S$3004,$AS34)))</f>
        <v/>
      </c>
      <c r="U34" s="14">
        <f>IF($A34="","",IF(INDEX('潜水記録'!$T$5:$T$3004,$AS34)="","",INDEX('潜水記録'!$T$5:$T$3004,$AS34)))</f>
        <v/>
      </c>
      <c r="V34" s="46">
        <f>IF($A34="","",IF(INDEX('潜水記録'!$U$5:$U$3004,$AS34)="","",INDEX('潜水記録'!$U$5:$U$3004,$AS34)))</f>
        <v/>
      </c>
      <c r="W34" s="46">
        <f>IF($A34="","",IF(INDEX('潜水記録'!$V$5:$V$3004,$AS34)="","",INDEX('潜水記録'!$V$5:$V$3004,$AS34)))</f>
        <v/>
      </c>
      <c r="X34" s="14">
        <f>IF($A34="","",IF(INDEX('潜水記録'!$W$5:$W$3004,$AS34)="","",INDEX('潜水記録'!$W$5:$W$3004,$AS34)))</f>
        <v/>
      </c>
      <c r="Y34" s="14">
        <f>IF($A34="","",IF(INDEX('潜水記録'!$X$5:$X$3004,$AS34)="","",INDEX('潜水記録'!$X$5:$X$3004,$AS34)))</f>
        <v/>
      </c>
      <c r="Z34" s="14">
        <f>IF($A34="","",IF(INDEX('潜水記録'!$Y$5:$Y$3004,$AS34)="","",INDEX('潜水記録'!$Y$5:$Y$3004,$AS34)))</f>
        <v/>
      </c>
      <c r="AA34" s="14">
        <f>IF($A34="","",IF(INDEX('潜水記録'!$Z$5:$Z$3004,$AS34)="","",INDEX('潜水記録'!$Z$5:$Z$3004,$AS34)))</f>
        <v/>
      </c>
      <c r="AB34" s="14">
        <f>IF($A34="","",IF(INDEX('潜水記録'!$AA$5:$AA$3004,$AS34)="","",INDEX('潜水記録'!$AA$5:$AA$3004,$AS34)))</f>
        <v/>
      </c>
      <c r="AC34" s="14">
        <f>IF($A34="","",IF(INDEX('潜水記録'!$AB$5:$AB$3004,$AS34)="","",INDEX('潜水記録'!$AB$5:$AB$3004,$AS34)))</f>
        <v/>
      </c>
      <c r="AD34" s="14">
        <f>IF($A34="","",IF(INDEX('潜水記録'!$AC$5:$AC$3004,$AS34)="","",INDEX('潜水記録'!$AC$5:$AC$3004,$AS34)))</f>
        <v/>
      </c>
      <c r="AE34" s="14">
        <f>IF($A34="","",IF(INDEX('潜水記録'!$AD$5:$AD$3004,$AS34)="","",INDEX('潜水記録'!$AD$5:$AD$3004,$AS34)))</f>
        <v/>
      </c>
      <c r="AF34" s="14">
        <f>IF($A34="","",IF(INDEX('潜水記録'!$AE$5:$AE$3004,$AS34)="","",INDEX('潜水記録'!$AE$5:$AE$3004,$AS34)))</f>
        <v/>
      </c>
      <c r="AG34" s="14">
        <f>IF($A34="","",IF(INDEX('潜水記録'!$AL$5:$AL$3004,$AS34)="","",INDEX('潜水記録'!$AL$5:$AL$3004,$AS34)))</f>
        <v/>
      </c>
      <c r="AH34" s="14">
        <f>IF($A34="","",IF(INDEX('潜水記録'!$AM$5:$AM$3004,$AS34)="","",INDEX('潜水記録'!$AM$5:$AM$3004,$AS34)))</f>
        <v/>
      </c>
      <c r="AI34" s="46">
        <f>IF($A34="","",IF(INDEX('潜水記録'!$AN$5:$AN$3004,$AS34)="","",INDEX('潜水記録'!$AN$5:$AN$3004,$AS34)))</f>
        <v/>
      </c>
      <c r="AJ34" s="14">
        <f>IF($A34="","",IF(INDEX('潜水記録'!$AO$5:$AO$3004,$AS34)="","",INDEX('潜水記録'!$AO$5:$AO$3004,$AS34)))</f>
        <v/>
      </c>
      <c r="AK34" s="14">
        <f>IF($A34="","",IF(INDEX('潜水記録'!$AP$5:$AP$3004,$AS34)="","",INDEX('潜水記録'!$AP$5:$AP$3004,$AS34)))</f>
        <v/>
      </c>
      <c r="AL34" s="14">
        <f>IF($A34="","",IF(INDEX('潜水記録'!$AQ$5:$AQ$3004,$AS34)="","",INDEX('潜水記録'!$AQ$5:$AQ$3004,$AS34)))</f>
        <v/>
      </c>
      <c r="AM34" s="14">
        <f>IF($A34="","",IF(INDEX('潜水記録'!$AR$5:$AR$3004,$AS34)="","",INDEX('潜水記録'!$AR$5:$AR$3004,$AS34)))</f>
        <v/>
      </c>
      <c r="AN34" s="14">
        <f>IF($A34="","",IF(INDEX('潜水記録'!$AS$5:$AS$3004,$AS34)="","",INDEX('潜水記録'!$AS$5:$AS$3004,$AS34)))</f>
        <v/>
      </c>
      <c r="AO34" s="14">
        <f>IF($A34="","",IF(INDEX('潜水記録'!$AT$5:$AT$3004,$AS34)="","",INDEX('潜水記録'!$AT$5:$AT$3004,$AS34)))</f>
        <v/>
      </c>
      <c r="AP34" s="14">
        <f>IF($A34="","",IF(INDEX('潜水記録'!$AU$5:$AU$3004,$AS34)="","",INDEX('潜水記録'!$AU$5:$AU$3004,$AS34)))</f>
        <v/>
      </c>
      <c r="AQ34" s="14">
        <f>IF($A34="","",IF(INDEX('潜水記録'!$AV$5:$AV$3004,$AS34)="","",INDEX('潜水記録'!$AV$5:$AV$3004,$AS34)))</f>
        <v/>
      </c>
      <c r="AR34" s="14">
        <f>IF($A34="","",IF(INDEX('潜水記録'!$AW$5:$AW$3004,$AS34)="","",INDEX('潜水記録'!$AW$5:$AW$3004,$AS34)))</f>
        <v/>
      </c>
      <c r="AS34" s="20">
        <f>IF($A34="","",MATCH($A34,'潜水記録'!$AI$5:$AI$3004,0))</f>
        <v/>
      </c>
    </row>
    <row r="35">
      <c r="A35" s="14">
        <f>IF(25&lt;=$C$8,25,"")</f>
        <v/>
      </c>
      <c r="B35" s="16">
        <f>IF($A35="","",IF(INDEX('潜水記録'!$A$5:$A$3004,$AS35)="","",INDEX('潜水記録'!$A$5:$A$3004,$AS35)))</f>
        <v/>
      </c>
      <c r="C35" s="14">
        <f>IF($A35="","",IF(INDEX('潜水記録'!$B$5:$B$3004,$AS35)="","",INDEX('潜水記録'!$B$5:$B$3004,$AS35)))</f>
        <v/>
      </c>
      <c r="D35" s="14">
        <f>IF($A35="","",IF(INDEX('潜水記録'!$C$5:$C$3004,$AS35)="","",INDEX('潜水記録'!$C$5:$C$3004,$AS35)))</f>
        <v/>
      </c>
      <c r="E35" s="14">
        <f>IF($A35="","",IF(INDEX('潜水記録'!$D$5:$D$3004,$AS35)="","",INDEX('潜水記録'!$D$5:$D$3004,$AS35)))</f>
        <v/>
      </c>
      <c r="F35" s="14">
        <f>IF($A35="","",IF(INDEX('潜水記録'!$E$5:$E$3004,$AS35)="","",INDEX('潜水記録'!$E$5:$E$3004,$AS35)))</f>
        <v/>
      </c>
      <c r="G35" s="14">
        <f>IF($A35="","",IF(INDEX('潜水記録'!$F$5:$F$3004,$AS35)="","",INDEX('潜水記録'!$F$5:$F$3004,$AS35)))</f>
        <v/>
      </c>
      <c r="H35" s="14">
        <f>IF($A35="","",IF(INDEX('潜水記録'!$G$5:$G$3004,$AS35)="","",INDEX('潜水記録'!$G$5:$G$3004,$AS35)))</f>
        <v/>
      </c>
      <c r="I35" s="14">
        <f>IF($A35="","",IF(INDEX('潜水記録'!$H$5:$H$3004,$AS35)="","",INDEX('潜水記録'!$H$5:$H$3004,$AS35)))</f>
        <v/>
      </c>
      <c r="J35" s="14">
        <f>IF($A35="","",IF(INDEX('潜水記録'!$I$5:$I$3004,$AS35)="","",INDEX('潜水記録'!$I$5:$I$3004,$AS35)))</f>
        <v/>
      </c>
      <c r="K35" s="14">
        <f>IF($A35="","",IF(INDEX('潜水記録'!$J$5:$J$3004,$AS35)="","",INDEX('潜水記録'!$J$5:$J$3004,$AS35)))</f>
        <v/>
      </c>
      <c r="L35" s="14">
        <f>IF($A35="","",IF(INDEX('潜水記録'!$K$5:$K$3004,$AS35)="","",INDEX('潜水記録'!$K$5:$K$3004,$AS35)))</f>
        <v/>
      </c>
      <c r="M35" s="14">
        <f>IF($A35="","",IF(INDEX('潜水記録'!$L$5:$L$3004,$AS35)="","",INDEX('潜水記録'!$L$5:$L$3004,$AS35)))</f>
        <v/>
      </c>
      <c r="N35" s="14">
        <f>IF($A35="","",IF(INDEX('潜水記録'!$M$5:$M$3004,$AS35)="","",INDEX('潜水記録'!$M$5:$M$3004,$AS35)))</f>
        <v/>
      </c>
      <c r="O35" s="14">
        <f>IF($A35="","",IF(INDEX('潜水記録'!$N$5:$N$3004,$AS35)="","",INDEX('潜水記録'!$N$5:$N$3004,$AS35)))</f>
        <v/>
      </c>
      <c r="P35" s="14">
        <f>IF($A35="","",IF(INDEX('潜水記録'!$O$5:$O$3004,$AS35)="","",INDEX('潜水記録'!$O$5:$O$3004,$AS35)))</f>
        <v/>
      </c>
      <c r="Q35" s="14">
        <f>IF($A35="","",IF(INDEX('潜水記録'!$P$5:$P$3004,$AS35)="","",INDEX('潜水記録'!$P$5:$P$3004,$AS35)))</f>
        <v/>
      </c>
      <c r="R35" s="14">
        <f>IF($A35="","",IF(INDEX('潜水記録'!$Q$5:$Q$3004,$AS35)="","",INDEX('潜水記録'!$Q$5:$Q$3004,$AS35)))</f>
        <v/>
      </c>
      <c r="S35" s="14">
        <f>IF($A35="","",IF(INDEX('潜水記録'!$R$5:$R$3004,$AS35)="","",INDEX('潜水記録'!$R$5:$R$3004,$AS35)))</f>
        <v/>
      </c>
      <c r="T35" s="14">
        <f>IF($A35="","",IF(INDEX('潜水記録'!$S$5:$S$3004,$AS35)="","",INDEX('潜水記録'!$S$5:$S$3004,$AS35)))</f>
        <v/>
      </c>
      <c r="U35" s="14">
        <f>IF($A35="","",IF(INDEX('潜水記録'!$T$5:$T$3004,$AS35)="","",INDEX('潜水記録'!$T$5:$T$3004,$AS35)))</f>
        <v/>
      </c>
      <c r="V35" s="46">
        <f>IF($A35="","",IF(INDEX('潜水記録'!$U$5:$U$3004,$AS35)="","",INDEX('潜水記録'!$U$5:$U$3004,$AS35)))</f>
        <v/>
      </c>
      <c r="W35" s="46">
        <f>IF($A35="","",IF(INDEX('潜水記録'!$V$5:$V$3004,$AS35)="","",INDEX('潜水記録'!$V$5:$V$3004,$AS35)))</f>
        <v/>
      </c>
      <c r="X35" s="14">
        <f>IF($A35="","",IF(INDEX('潜水記録'!$W$5:$W$3004,$AS35)="","",INDEX('潜水記録'!$W$5:$W$3004,$AS35)))</f>
        <v/>
      </c>
      <c r="Y35" s="14">
        <f>IF($A35="","",IF(INDEX('潜水記録'!$X$5:$X$3004,$AS35)="","",INDEX('潜水記録'!$X$5:$X$3004,$AS35)))</f>
        <v/>
      </c>
      <c r="Z35" s="14">
        <f>IF($A35="","",IF(INDEX('潜水記録'!$Y$5:$Y$3004,$AS35)="","",INDEX('潜水記録'!$Y$5:$Y$3004,$AS35)))</f>
        <v/>
      </c>
      <c r="AA35" s="14">
        <f>IF($A35="","",IF(INDEX('潜水記録'!$Z$5:$Z$3004,$AS35)="","",INDEX('潜水記録'!$Z$5:$Z$3004,$AS35)))</f>
        <v/>
      </c>
      <c r="AB35" s="14">
        <f>IF($A35="","",IF(INDEX('潜水記録'!$AA$5:$AA$3004,$AS35)="","",INDEX('潜水記録'!$AA$5:$AA$3004,$AS35)))</f>
        <v/>
      </c>
      <c r="AC35" s="14">
        <f>IF($A35="","",IF(INDEX('潜水記録'!$AB$5:$AB$3004,$AS35)="","",INDEX('潜水記録'!$AB$5:$AB$3004,$AS35)))</f>
        <v/>
      </c>
      <c r="AD35" s="14">
        <f>IF($A35="","",IF(INDEX('潜水記録'!$AC$5:$AC$3004,$AS35)="","",INDEX('潜水記録'!$AC$5:$AC$3004,$AS35)))</f>
        <v/>
      </c>
      <c r="AE35" s="14">
        <f>IF($A35="","",IF(INDEX('潜水記録'!$AD$5:$AD$3004,$AS35)="","",INDEX('潜水記録'!$AD$5:$AD$3004,$AS35)))</f>
        <v/>
      </c>
      <c r="AF35" s="14">
        <f>IF($A35="","",IF(INDEX('潜水記録'!$AE$5:$AE$3004,$AS35)="","",INDEX('潜水記録'!$AE$5:$AE$3004,$AS35)))</f>
        <v/>
      </c>
      <c r="AG35" s="14">
        <f>IF($A35="","",IF(INDEX('潜水記録'!$AL$5:$AL$3004,$AS35)="","",INDEX('潜水記録'!$AL$5:$AL$3004,$AS35)))</f>
        <v/>
      </c>
      <c r="AH35" s="14">
        <f>IF($A35="","",IF(INDEX('潜水記録'!$AM$5:$AM$3004,$AS35)="","",INDEX('潜水記録'!$AM$5:$AM$3004,$AS35)))</f>
        <v/>
      </c>
      <c r="AI35" s="46">
        <f>IF($A35="","",IF(INDEX('潜水記録'!$AN$5:$AN$3004,$AS35)="","",INDEX('潜水記録'!$AN$5:$AN$3004,$AS35)))</f>
        <v/>
      </c>
      <c r="AJ35" s="14">
        <f>IF($A35="","",IF(INDEX('潜水記録'!$AO$5:$AO$3004,$AS35)="","",INDEX('潜水記録'!$AO$5:$AO$3004,$AS35)))</f>
        <v/>
      </c>
      <c r="AK35" s="14">
        <f>IF($A35="","",IF(INDEX('潜水記録'!$AP$5:$AP$3004,$AS35)="","",INDEX('潜水記録'!$AP$5:$AP$3004,$AS35)))</f>
        <v/>
      </c>
      <c r="AL35" s="14">
        <f>IF($A35="","",IF(INDEX('潜水記録'!$AQ$5:$AQ$3004,$AS35)="","",INDEX('潜水記録'!$AQ$5:$AQ$3004,$AS35)))</f>
        <v/>
      </c>
      <c r="AM35" s="14">
        <f>IF($A35="","",IF(INDEX('潜水記録'!$AR$5:$AR$3004,$AS35)="","",INDEX('潜水記録'!$AR$5:$AR$3004,$AS35)))</f>
        <v/>
      </c>
      <c r="AN35" s="14">
        <f>IF($A35="","",IF(INDEX('潜水記録'!$AS$5:$AS$3004,$AS35)="","",INDEX('潜水記録'!$AS$5:$AS$3004,$AS35)))</f>
        <v/>
      </c>
      <c r="AO35" s="14">
        <f>IF($A35="","",IF(INDEX('潜水記録'!$AT$5:$AT$3004,$AS35)="","",INDEX('潜水記録'!$AT$5:$AT$3004,$AS35)))</f>
        <v/>
      </c>
      <c r="AP35" s="14">
        <f>IF($A35="","",IF(INDEX('潜水記録'!$AU$5:$AU$3004,$AS35)="","",INDEX('潜水記録'!$AU$5:$AU$3004,$AS35)))</f>
        <v/>
      </c>
      <c r="AQ35" s="14">
        <f>IF($A35="","",IF(INDEX('潜水記録'!$AV$5:$AV$3004,$AS35)="","",INDEX('潜水記録'!$AV$5:$AV$3004,$AS35)))</f>
        <v/>
      </c>
      <c r="AR35" s="14">
        <f>IF($A35="","",IF(INDEX('潜水記録'!$AW$5:$AW$3004,$AS35)="","",INDEX('潜水記録'!$AW$5:$AW$3004,$AS35)))</f>
        <v/>
      </c>
      <c r="AS35" s="20">
        <f>IF($A35="","",MATCH($A35,'潜水記録'!$AI$5:$AI$3004,0))</f>
        <v/>
      </c>
    </row>
    <row r="36">
      <c r="A36" s="14">
        <f>IF(26&lt;=$C$8,26,"")</f>
        <v/>
      </c>
      <c r="B36" s="16">
        <f>IF($A36="","",IF(INDEX('潜水記録'!$A$5:$A$3004,$AS36)="","",INDEX('潜水記録'!$A$5:$A$3004,$AS36)))</f>
        <v/>
      </c>
      <c r="C36" s="14">
        <f>IF($A36="","",IF(INDEX('潜水記録'!$B$5:$B$3004,$AS36)="","",INDEX('潜水記録'!$B$5:$B$3004,$AS36)))</f>
        <v/>
      </c>
      <c r="D36" s="14">
        <f>IF($A36="","",IF(INDEX('潜水記録'!$C$5:$C$3004,$AS36)="","",INDEX('潜水記録'!$C$5:$C$3004,$AS36)))</f>
        <v/>
      </c>
      <c r="E36" s="14">
        <f>IF($A36="","",IF(INDEX('潜水記録'!$D$5:$D$3004,$AS36)="","",INDEX('潜水記録'!$D$5:$D$3004,$AS36)))</f>
        <v/>
      </c>
      <c r="F36" s="14">
        <f>IF($A36="","",IF(INDEX('潜水記録'!$E$5:$E$3004,$AS36)="","",INDEX('潜水記録'!$E$5:$E$3004,$AS36)))</f>
        <v/>
      </c>
      <c r="G36" s="14">
        <f>IF($A36="","",IF(INDEX('潜水記録'!$F$5:$F$3004,$AS36)="","",INDEX('潜水記録'!$F$5:$F$3004,$AS36)))</f>
        <v/>
      </c>
      <c r="H36" s="14">
        <f>IF($A36="","",IF(INDEX('潜水記録'!$G$5:$G$3004,$AS36)="","",INDEX('潜水記録'!$G$5:$G$3004,$AS36)))</f>
        <v/>
      </c>
      <c r="I36" s="14">
        <f>IF($A36="","",IF(INDEX('潜水記録'!$H$5:$H$3004,$AS36)="","",INDEX('潜水記録'!$H$5:$H$3004,$AS36)))</f>
        <v/>
      </c>
      <c r="J36" s="14">
        <f>IF($A36="","",IF(INDEX('潜水記録'!$I$5:$I$3004,$AS36)="","",INDEX('潜水記録'!$I$5:$I$3004,$AS36)))</f>
        <v/>
      </c>
      <c r="K36" s="14">
        <f>IF($A36="","",IF(INDEX('潜水記録'!$J$5:$J$3004,$AS36)="","",INDEX('潜水記録'!$J$5:$J$3004,$AS36)))</f>
        <v/>
      </c>
      <c r="L36" s="14">
        <f>IF($A36="","",IF(INDEX('潜水記録'!$K$5:$K$3004,$AS36)="","",INDEX('潜水記録'!$K$5:$K$3004,$AS36)))</f>
        <v/>
      </c>
      <c r="M36" s="14">
        <f>IF($A36="","",IF(INDEX('潜水記録'!$L$5:$L$3004,$AS36)="","",INDEX('潜水記録'!$L$5:$L$3004,$AS36)))</f>
        <v/>
      </c>
      <c r="N36" s="14">
        <f>IF($A36="","",IF(INDEX('潜水記録'!$M$5:$M$3004,$AS36)="","",INDEX('潜水記録'!$M$5:$M$3004,$AS36)))</f>
        <v/>
      </c>
      <c r="O36" s="14">
        <f>IF($A36="","",IF(INDEX('潜水記録'!$N$5:$N$3004,$AS36)="","",INDEX('潜水記録'!$N$5:$N$3004,$AS36)))</f>
        <v/>
      </c>
      <c r="P36" s="14">
        <f>IF($A36="","",IF(INDEX('潜水記録'!$O$5:$O$3004,$AS36)="","",INDEX('潜水記録'!$O$5:$O$3004,$AS36)))</f>
        <v/>
      </c>
      <c r="Q36" s="14">
        <f>IF($A36="","",IF(INDEX('潜水記録'!$P$5:$P$3004,$AS36)="","",INDEX('潜水記録'!$P$5:$P$3004,$AS36)))</f>
        <v/>
      </c>
      <c r="R36" s="14">
        <f>IF($A36="","",IF(INDEX('潜水記録'!$Q$5:$Q$3004,$AS36)="","",INDEX('潜水記録'!$Q$5:$Q$3004,$AS36)))</f>
        <v/>
      </c>
      <c r="S36" s="14">
        <f>IF($A36="","",IF(INDEX('潜水記録'!$R$5:$R$3004,$AS36)="","",INDEX('潜水記録'!$R$5:$R$3004,$AS36)))</f>
        <v/>
      </c>
      <c r="T36" s="14">
        <f>IF($A36="","",IF(INDEX('潜水記録'!$S$5:$S$3004,$AS36)="","",INDEX('潜水記録'!$S$5:$S$3004,$AS36)))</f>
        <v/>
      </c>
      <c r="U36" s="14">
        <f>IF($A36="","",IF(INDEX('潜水記録'!$T$5:$T$3004,$AS36)="","",INDEX('潜水記録'!$T$5:$T$3004,$AS36)))</f>
        <v/>
      </c>
      <c r="V36" s="46">
        <f>IF($A36="","",IF(INDEX('潜水記録'!$U$5:$U$3004,$AS36)="","",INDEX('潜水記録'!$U$5:$U$3004,$AS36)))</f>
        <v/>
      </c>
      <c r="W36" s="46">
        <f>IF($A36="","",IF(INDEX('潜水記録'!$V$5:$V$3004,$AS36)="","",INDEX('潜水記録'!$V$5:$V$3004,$AS36)))</f>
        <v/>
      </c>
      <c r="X36" s="14">
        <f>IF($A36="","",IF(INDEX('潜水記録'!$W$5:$W$3004,$AS36)="","",INDEX('潜水記録'!$W$5:$W$3004,$AS36)))</f>
        <v/>
      </c>
      <c r="Y36" s="14">
        <f>IF($A36="","",IF(INDEX('潜水記録'!$X$5:$X$3004,$AS36)="","",INDEX('潜水記録'!$X$5:$X$3004,$AS36)))</f>
        <v/>
      </c>
      <c r="Z36" s="14">
        <f>IF($A36="","",IF(INDEX('潜水記録'!$Y$5:$Y$3004,$AS36)="","",INDEX('潜水記録'!$Y$5:$Y$3004,$AS36)))</f>
        <v/>
      </c>
      <c r="AA36" s="14">
        <f>IF($A36="","",IF(INDEX('潜水記録'!$Z$5:$Z$3004,$AS36)="","",INDEX('潜水記録'!$Z$5:$Z$3004,$AS36)))</f>
        <v/>
      </c>
      <c r="AB36" s="14">
        <f>IF($A36="","",IF(INDEX('潜水記録'!$AA$5:$AA$3004,$AS36)="","",INDEX('潜水記録'!$AA$5:$AA$3004,$AS36)))</f>
        <v/>
      </c>
      <c r="AC36" s="14">
        <f>IF($A36="","",IF(INDEX('潜水記録'!$AB$5:$AB$3004,$AS36)="","",INDEX('潜水記録'!$AB$5:$AB$3004,$AS36)))</f>
        <v/>
      </c>
      <c r="AD36" s="14">
        <f>IF($A36="","",IF(INDEX('潜水記録'!$AC$5:$AC$3004,$AS36)="","",INDEX('潜水記録'!$AC$5:$AC$3004,$AS36)))</f>
        <v/>
      </c>
      <c r="AE36" s="14">
        <f>IF($A36="","",IF(INDEX('潜水記録'!$AD$5:$AD$3004,$AS36)="","",INDEX('潜水記録'!$AD$5:$AD$3004,$AS36)))</f>
        <v/>
      </c>
      <c r="AF36" s="14">
        <f>IF($A36="","",IF(INDEX('潜水記録'!$AE$5:$AE$3004,$AS36)="","",INDEX('潜水記録'!$AE$5:$AE$3004,$AS36)))</f>
        <v/>
      </c>
      <c r="AG36" s="14">
        <f>IF($A36="","",IF(INDEX('潜水記録'!$AL$5:$AL$3004,$AS36)="","",INDEX('潜水記録'!$AL$5:$AL$3004,$AS36)))</f>
        <v/>
      </c>
      <c r="AH36" s="14">
        <f>IF($A36="","",IF(INDEX('潜水記録'!$AM$5:$AM$3004,$AS36)="","",INDEX('潜水記録'!$AM$5:$AM$3004,$AS36)))</f>
        <v/>
      </c>
      <c r="AI36" s="46">
        <f>IF($A36="","",IF(INDEX('潜水記録'!$AN$5:$AN$3004,$AS36)="","",INDEX('潜水記録'!$AN$5:$AN$3004,$AS36)))</f>
        <v/>
      </c>
      <c r="AJ36" s="14">
        <f>IF($A36="","",IF(INDEX('潜水記録'!$AO$5:$AO$3004,$AS36)="","",INDEX('潜水記録'!$AO$5:$AO$3004,$AS36)))</f>
        <v/>
      </c>
      <c r="AK36" s="14">
        <f>IF($A36="","",IF(INDEX('潜水記録'!$AP$5:$AP$3004,$AS36)="","",INDEX('潜水記録'!$AP$5:$AP$3004,$AS36)))</f>
        <v/>
      </c>
      <c r="AL36" s="14">
        <f>IF($A36="","",IF(INDEX('潜水記録'!$AQ$5:$AQ$3004,$AS36)="","",INDEX('潜水記録'!$AQ$5:$AQ$3004,$AS36)))</f>
        <v/>
      </c>
      <c r="AM36" s="14">
        <f>IF($A36="","",IF(INDEX('潜水記録'!$AR$5:$AR$3004,$AS36)="","",INDEX('潜水記録'!$AR$5:$AR$3004,$AS36)))</f>
        <v/>
      </c>
      <c r="AN36" s="14">
        <f>IF($A36="","",IF(INDEX('潜水記録'!$AS$5:$AS$3004,$AS36)="","",INDEX('潜水記録'!$AS$5:$AS$3004,$AS36)))</f>
        <v/>
      </c>
      <c r="AO36" s="14">
        <f>IF($A36="","",IF(INDEX('潜水記録'!$AT$5:$AT$3004,$AS36)="","",INDEX('潜水記録'!$AT$5:$AT$3004,$AS36)))</f>
        <v/>
      </c>
      <c r="AP36" s="14">
        <f>IF($A36="","",IF(INDEX('潜水記録'!$AU$5:$AU$3004,$AS36)="","",INDEX('潜水記録'!$AU$5:$AU$3004,$AS36)))</f>
        <v/>
      </c>
      <c r="AQ36" s="14">
        <f>IF($A36="","",IF(INDEX('潜水記録'!$AV$5:$AV$3004,$AS36)="","",INDEX('潜水記録'!$AV$5:$AV$3004,$AS36)))</f>
        <v/>
      </c>
      <c r="AR36" s="14">
        <f>IF($A36="","",IF(INDEX('潜水記録'!$AW$5:$AW$3004,$AS36)="","",INDEX('潜水記録'!$AW$5:$AW$3004,$AS36)))</f>
        <v/>
      </c>
      <c r="AS36" s="20">
        <f>IF($A36="","",MATCH($A36,'潜水記録'!$AI$5:$AI$3004,0))</f>
        <v/>
      </c>
    </row>
    <row r="37">
      <c r="A37" s="14">
        <f>IF(27&lt;=$C$8,27,"")</f>
        <v/>
      </c>
      <c r="B37" s="16">
        <f>IF($A37="","",IF(INDEX('潜水記録'!$A$5:$A$3004,$AS37)="","",INDEX('潜水記録'!$A$5:$A$3004,$AS37)))</f>
        <v/>
      </c>
      <c r="C37" s="14">
        <f>IF($A37="","",IF(INDEX('潜水記録'!$B$5:$B$3004,$AS37)="","",INDEX('潜水記録'!$B$5:$B$3004,$AS37)))</f>
        <v/>
      </c>
      <c r="D37" s="14">
        <f>IF($A37="","",IF(INDEX('潜水記録'!$C$5:$C$3004,$AS37)="","",INDEX('潜水記録'!$C$5:$C$3004,$AS37)))</f>
        <v/>
      </c>
      <c r="E37" s="14">
        <f>IF($A37="","",IF(INDEX('潜水記録'!$D$5:$D$3004,$AS37)="","",INDEX('潜水記録'!$D$5:$D$3004,$AS37)))</f>
        <v/>
      </c>
      <c r="F37" s="14">
        <f>IF($A37="","",IF(INDEX('潜水記録'!$E$5:$E$3004,$AS37)="","",INDEX('潜水記録'!$E$5:$E$3004,$AS37)))</f>
        <v/>
      </c>
      <c r="G37" s="14">
        <f>IF($A37="","",IF(INDEX('潜水記録'!$F$5:$F$3004,$AS37)="","",INDEX('潜水記録'!$F$5:$F$3004,$AS37)))</f>
        <v/>
      </c>
      <c r="H37" s="14">
        <f>IF($A37="","",IF(INDEX('潜水記録'!$G$5:$G$3004,$AS37)="","",INDEX('潜水記録'!$G$5:$G$3004,$AS37)))</f>
        <v/>
      </c>
      <c r="I37" s="14">
        <f>IF($A37="","",IF(INDEX('潜水記録'!$H$5:$H$3004,$AS37)="","",INDEX('潜水記録'!$H$5:$H$3004,$AS37)))</f>
        <v/>
      </c>
      <c r="J37" s="14">
        <f>IF($A37="","",IF(INDEX('潜水記録'!$I$5:$I$3004,$AS37)="","",INDEX('潜水記録'!$I$5:$I$3004,$AS37)))</f>
        <v/>
      </c>
      <c r="K37" s="14">
        <f>IF($A37="","",IF(INDEX('潜水記録'!$J$5:$J$3004,$AS37)="","",INDEX('潜水記録'!$J$5:$J$3004,$AS37)))</f>
        <v/>
      </c>
      <c r="L37" s="14">
        <f>IF($A37="","",IF(INDEX('潜水記録'!$K$5:$K$3004,$AS37)="","",INDEX('潜水記録'!$K$5:$K$3004,$AS37)))</f>
        <v/>
      </c>
      <c r="M37" s="14">
        <f>IF($A37="","",IF(INDEX('潜水記録'!$L$5:$L$3004,$AS37)="","",INDEX('潜水記録'!$L$5:$L$3004,$AS37)))</f>
        <v/>
      </c>
      <c r="N37" s="14">
        <f>IF($A37="","",IF(INDEX('潜水記録'!$M$5:$M$3004,$AS37)="","",INDEX('潜水記録'!$M$5:$M$3004,$AS37)))</f>
        <v/>
      </c>
      <c r="O37" s="14">
        <f>IF($A37="","",IF(INDEX('潜水記録'!$N$5:$N$3004,$AS37)="","",INDEX('潜水記録'!$N$5:$N$3004,$AS37)))</f>
        <v/>
      </c>
      <c r="P37" s="14">
        <f>IF($A37="","",IF(INDEX('潜水記録'!$O$5:$O$3004,$AS37)="","",INDEX('潜水記録'!$O$5:$O$3004,$AS37)))</f>
        <v/>
      </c>
      <c r="Q37" s="14">
        <f>IF($A37="","",IF(INDEX('潜水記録'!$P$5:$P$3004,$AS37)="","",INDEX('潜水記録'!$P$5:$P$3004,$AS37)))</f>
        <v/>
      </c>
      <c r="R37" s="14">
        <f>IF($A37="","",IF(INDEX('潜水記録'!$Q$5:$Q$3004,$AS37)="","",INDEX('潜水記録'!$Q$5:$Q$3004,$AS37)))</f>
        <v/>
      </c>
      <c r="S37" s="14">
        <f>IF($A37="","",IF(INDEX('潜水記録'!$R$5:$R$3004,$AS37)="","",INDEX('潜水記録'!$R$5:$R$3004,$AS37)))</f>
        <v/>
      </c>
      <c r="T37" s="14">
        <f>IF($A37="","",IF(INDEX('潜水記録'!$S$5:$S$3004,$AS37)="","",INDEX('潜水記録'!$S$5:$S$3004,$AS37)))</f>
        <v/>
      </c>
      <c r="U37" s="14">
        <f>IF($A37="","",IF(INDEX('潜水記録'!$T$5:$T$3004,$AS37)="","",INDEX('潜水記録'!$T$5:$T$3004,$AS37)))</f>
        <v/>
      </c>
      <c r="V37" s="46">
        <f>IF($A37="","",IF(INDEX('潜水記録'!$U$5:$U$3004,$AS37)="","",INDEX('潜水記録'!$U$5:$U$3004,$AS37)))</f>
        <v/>
      </c>
      <c r="W37" s="46">
        <f>IF($A37="","",IF(INDEX('潜水記録'!$V$5:$V$3004,$AS37)="","",INDEX('潜水記録'!$V$5:$V$3004,$AS37)))</f>
        <v/>
      </c>
      <c r="X37" s="14">
        <f>IF($A37="","",IF(INDEX('潜水記録'!$W$5:$W$3004,$AS37)="","",INDEX('潜水記録'!$W$5:$W$3004,$AS37)))</f>
        <v/>
      </c>
      <c r="Y37" s="14">
        <f>IF($A37="","",IF(INDEX('潜水記録'!$X$5:$X$3004,$AS37)="","",INDEX('潜水記録'!$X$5:$X$3004,$AS37)))</f>
        <v/>
      </c>
      <c r="Z37" s="14">
        <f>IF($A37="","",IF(INDEX('潜水記録'!$Y$5:$Y$3004,$AS37)="","",INDEX('潜水記録'!$Y$5:$Y$3004,$AS37)))</f>
        <v/>
      </c>
      <c r="AA37" s="14">
        <f>IF($A37="","",IF(INDEX('潜水記録'!$Z$5:$Z$3004,$AS37)="","",INDEX('潜水記録'!$Z$5:$Z$3004,$AS37)))</f>
        <v/>
      </c>
      <c r="AB37" s="14">
        <f>IF($A37="","",IF(INDEX('潜水記録'!$AA$5:$AA$3004,$AS37)="","",INDEX('潜水記録'!$AA$5:$AA$3004,$AS37)))</f>
        <v/>
      </c>
      <c r="AC37" s="14">
        <f>IF($A37="","",IF(INDEX('潜水記録'!$AB$5:$AB$3004,$AS37)="","",INDEX('潜水記録'!$AB$5:$AB$3004,$AS37)))</f>
        <v/>
      </c>
      <c r="AD37" s="14">
        <f>IF($A37="","",IF(INDEX('潜水記録'!$AC$5:$AC$3004,$AS37)="","",INDEX('潜水記録'!$AC$5:$AC$3004,$AS37)))</f>
        <v/>
      </c>
      <c r="AE37" s="14">
        <f>IF($A37="","",IF(INDEX('潜水記録'!$AD$5:$AD$3004,$AS37)="","",INDEX('潜水記録'!$AD$5:$AD$3004,$AS37)))</f>
        <v/>
      </c>
      <c r="AF37" s="14">
        <f>IF($A37="","",IF(INDEX('潜水記録'!$AE$5:$AE$3004,$AS37)="","",INDEX('潜水記録'!$AE$5:$AE$3004,$AS37)))</f>
        <v/>
      </c>
      <c r="AG37" s="14">
        <f>IF($A37="","",IF(INDEX('潜水記録'!$AL$5:$AL$3004,$AS37)="","",INDEX('潜水記録'!$AL$5:$AL$3004,$AS37)))</f>
        <v/>
      </c>
      <c r="AH37" s="14">
        <f>IF($A37="","",IF(INDEX('潜水記録'!$AM$5:$AM$3004,$AS37)="","",INDEX('潜水記録'!$AM$5:$AM$3004,$AS37)))</f>
        <v/>
      </c>
      <c r="AI37" s="46">
        <f>IF($A37="","",IF(INDEX('潜水記録'!$AN$5:$AN$3004,$AS37)="","",INDEX('潜水記録'!$AN$5:$AN$3004,$AS37)))</f>
        <v/>
      </c>
      <c r="AJ37" s="14">
        <f>IF($A37="","",IF(INDEX('潜水記録'!$AO$5:$AO$3004,$AS37)="","",INDEX('潜水記録'!$AO$5:$AO$3004,$AS37)))</f>
        <v/>
      </c>
      <c r="AK37" s="14">
        <f>IF($A37="","",IF(INDEX('潜水記録'!$AP$5:$AP$3004,$AS37)="","",INDEX('潜水記録'!$AP$5:$AP$3004,$AS37)))</f>
        <v/>
      </c>
      <c r="AL37" s="14">
        <f>IF($A37="","",IF(INDEX('潜水記録'!$AQ$5:$AQ$3004,$AS37)="","",INDEX('潜水記録'!$AQ$5:$AQ$3004,$AS37)))</f>
        <v/>
      </c>
      <c r="AM37" s="14">
        <f>IF($A37="","",IF(INDEX('潜水記録'!$AR$5:$AR$3004,$AS37)="","",INDEX('潜水記録'!$AR$5:$AR$3004,$AS37)))</f>
        <v/>
      </c>
      <c r="AN37" s="14">
        <f>IF($A37="","",IF(INDEX('潜水記録'!$AS$5:$AS$3004,$AS37)="","",INDEX('潜水記録'!$AS$5:$AS$3004,$AS37)))</f>
        <v/>
      </c>
      <c r="AO37" s="14">
        <f>IF($A37="","",IF(INDEX('潜水記録'!$AT$5:$AT$3004,$AS37)="","",INDEX('潜水記録'!$AT$5:$AT$3004,$AS37)))</f>
        <v/>
      </c>
      <c r="AP37" s="14">
        <f>IF($A37="","",IF(INDEX('潜水記録'!$AU$5:$AU$3004,$AS37)="","",INDEX('潜水記録'!$AU$5:$AU$3004,$AS37)))</f>
        <v/>
      </c>
      <c r="AQ37" s="14">
        <f>IF($A37="","",IF(INDEX('潜水記録'!$AV$5:$AV$3004,$AS37)="","",INDEX('潜水記録'!$AV$5:$AV$3004,$AS37)))</f>
        <v/>
      </c>
      <c r="AR37" s="14">
        <f>IF($A37="","",IF(INDEX('潜水記録'!$AW$5:$AW$3004,$AS37)="","",INDEX('潜水記録'!$AW$5:$AW$3004,$AS37)))</f>
        <v/>
      </c>
      <c r="AS37" s="20">
        <f>IF($A37="","",MATCH($A37,'潜水記録'!$AI$5:$AI$3004,0))</f>
        <v/>
      </c>
    </row>
    <row r="38">
      <c r="A38" s="14">
        <f>IF(28&lt;=$C$8,28,"")</f>
        <v/>
      </c>
      <c r="B38" s="16">
        <f>IF($A38="","",IF(INDEX('潜水記録'!$A$5:$A$3004,$AS38)="","",INDEX('潜水記録'!$A$5:$A$3004,$AS38)))</f>
        <v/>
      </c>
      <c r="C38" s="14">
        <f>IF($A38="","",IF(INDEX('潜水記録'!$B$5:$B$3004,$AS38)="","",INDEX('潜水記録'!$B$5:$B$3004,$AS38)))</f>
        <v/>
      </c>
      <c r="D38" s="14">
        <f>IF($A38="","",IF(INDEX('潜水記録'!$C$5:$C$3004,$AS38)="","",INDEX('潜水記録'!$C$5:$C$3004,$AS38)))</f>
        <v/>
      </c>
      <c r="E38" s="14">
        <f>IF($A38="","",IF(INDEX('潜水記録'!$D$5:$D$3004,$AS38)="","",INDEX('潜水記録'!$D$5:$D$3004,$AS38)))</f>
        <v/>
      </c>
      <c r="F38" s="14">
        <f>IF($A38="","",IF(INDEX('潜水記録'!$E$5:$E$3004,$AS38)="","",INDEX('潜水記録'!$E$5:$E$3004,$AS38)))</f>
        <v/>
      </c>
      <c r="G38" s="14">
        <f>IF($A38="","",IF(INDEX('潜水記録'!$F$5:$F$3004,$AS38)="","",INDEX('潜水記録'!$F$5:$F$3004,$AS38)))</f>
        <v/>
      </c>
      <c r="H38" s="14">
        <f>IF($A38="","",IF(INDEX('潜水記録'!$G$5:$G$3004,$AS38)="","",INDEX('潜水記録'!$G$5:$G$3004,$AS38)))</f>
        <v/>
      </c>
      <c r="I38" s="14">
        <f>IF($A38="","",IF(INDEX('潜水記録'!$H$5:$H$3004,$AS38)="","",INDEX('潜水記録'!$H$5:$H$3004,$AS38)))</f>
        <v/>
      </c>
      <c r="J38" s="14">
        <f>IF($A38="","",IF(INDEX('潜水記録'!$I$5:$I$3004,$AS38)="","",INDEX('潜水記録'!$I$5:$I$3004,$AS38)))</f>
        <v/>
      </c>
      <c r="K38" s="14">
        <f>IF($A38="","",IF(INDEX('潜水記録'!$J$5:$J$3004,$AS38)="","",INDEX('潜水記録'!$J$5:$J$3004,$AS38)))</f>
        <v/>
      </c>
      <c r="L38" s="14">
        <f>IF($A38="","",IF(INDEX('潜水記録'!$K$5:$K$3004,$AS38)="","",INDEX('潜水記録'!$K$5:$K$3004,$AS38)))</f>
        <v/>
      </c>
      <c r="M38" s="14">
        <f>IF($A38="","",IF(INDEX('潜水記録'!$L$5:$L$3004,$AS38)="","",INDEX('潜水記録'!$L$5:$L$3004,$AS38)))</f>
        <v/>
      </c>
      <c r="N38" s="14">
        <f>IF($A38="","",IF(INDEX('潜水記録'!$M$5:$M$3004,$AS38)="","",INDEX('潜水記録'!$M$5:$M$3004,$AS38)))</f>
        <v/>
      </c>
      <c r="O38" s="14">
        <f>IF($A38="","",IF(INDEX('潜水記録'!$N$5:$N$3004,$AS38)="","",INDEX('潜水記録'!$N$5:$N$3004,$AS38)))</f>
        <v/>
      </c>
      <c r="P38" s="14">
        <f>IF($A38="","",IF(INDEX('潜水記録'!$O$5:$O$3004,$AS38)="","",INDEX('潜水記録'!$O$5:$O$3004,$AS38)))</f>
        <v/>
      </c>
      <c r="Q38" s="14">
        <f>IF($A38="","",IF(INDEX('潜水記録'!$P$5:$P$3004,$AS38)="","",INDEX('潜水記録'!$P$5:$P$3004,$AS38)))</f>
        <v/>
      </c>
      <c r="R38" s="14">
        <f>IF($A38="","",IF(INDEX('潜水記録'!$Q$5:$Q$3004,$AS38)="","",INDEX('潜水記録'!$Q$5:$Q$3004,$AS38)))</f>
        <v/>
      </c>
      <c r="S38" s="14">
        <f>IF($A38="","",IF(INDEX('潜水記録'!$R$5:$R$3004,$AS38)="","",INDEX('潜水記録'!$R$5:$R$3004,$AS38)))</f>
        <v/>
      </c>
      <c r="T38" s="14">
        <f>IF($A38="","",IF(INDEX('潜水記録'!$S$5:$S$3004,$AS38)="","",INDEX('潜水記録'!$S$5:$S$3004,$AS38)))</f>
        <v/>
      </c>
      <c r="U38" s="14">
        <f>IF($A38="","",IF(INDEX('潜水記録'!$T$5:$T$3004,$AS38)="","",INDEX('潜水記録'!$T$5:$T$3004,$AS38)))</f>
        <v/>
      </c>
      <c r="V38" s="46">
        <f>IF($A38="","",IF(INDEX('潜水記録'!$U$5:$U$3004,$AS38)="","",INDEX('潜水記録'!$U$5:$U$3004,$AS38)))</f>
        <v/>
      </c>
      <c r="W38" s="46">
        <f>IF($A38="","",IF(INDEX('潜水記録'!$V$5:$V$3004,$AS38)="","",INDEX('潜水記録'!$V$5:$V$3004,$AS38)))</f>
        <v/>
      </c>
      <c r="X38" s="14">
        <f>IF($A38="","",IF(INDEX('潜水記録'!$W$5:$W$3004,$AS38)="","",INDEX('潜水記録'!$W$5:$W$3004,$AS38)))</f>
        <v/>
      </c>
      <c r="Y38" s="14">
        <f>IF($A38="","",IF(INDEX('潜水記録'!$X$5:$X$3004,$AS38)="","",INDEX('潜水記録'!$X$5:$X$3004,$AS38)))</f>
        <v/>
      </c>
      <c r="Z38" s="14">
        <f>IF($A38="","",IF(INDEX('潜水記録'!$Y$5:$Y$3004,$AS38)="","",INDEX('潜水記録'!$Y$5:$Y$3004,$AS38)))</f>
        <v/>
      </c>
      <c r="AA38" s="14">
        <f>IF($A38="","",IF(INDEX('潜水記録'!$Z$5:$Z$3004,$AS38)="","",INDEX('潜水記録'!$Z$5:$Z$3004,$AS38)))</f>
        <v/>
      </c>
      <c r="AB38" s="14">
        <f>IF($A38="","",IF(INDEX('潜水記録'!$AA$5:$AA$3004,$AS38)="","",INDEX('潜水記録'!$AA$5:$AA$3004,$AS38)))</f>
        <v/>
      </c>
      <c r="AC38" s="14">
        <f>IF($A38="","",IF(INDEX('潜水記録'!$AB$5:$AB$3004,$AS38)="","",INDEX('潜水記録'!$AB$5:$AB$3004,$AS38)))</f>
        <v/>
      </c>
      <c r="AD38" s="14">
        <f>IF($A38="","",IF(INDEX('潜水記録'!$AC$5:$AC$3004,$AS38)="","",INDEX('潜水記録'!$AC$5:$AC$3004,$AS38)))</f>
        <v/>
      </c>
      <c r="AE38" s="14">
        <f>IF($A38="","",IF(INDEX('潜水記録'!$AD$5:$AD$3004,$AS38)="","",INDEX('潜水記録'!$AD$5:$AD$3004,$AS38)))</f>
        <v/>
      </c>
      <c r="AF38" s="14">
        <f>IF($A38="","",IF(INDEX('潜水記録'!$AE$5:$AE$3004,$AS38)="","",INDEX('潜水記録'!$AE$5:$AE$3004,$AS38)))</f>
        <v/>
      </c>
      <c r="AG38" s="14">
        <f>IF($A38="","",IF(INDEX('潜水記録'!$AL$5:$AL$3004,$AS38)="","",INDEX('潜水記録'!$AL$5:$AL$3004,$AS38)))</f>
        <v/>
      </c>
      <c r="AH38" s="14">
        <f>IF($A38="","",IF(INDEX('潜水記録'!$AM$5:$AM$3004,$AS38)="","",INDEX('潜水記録'!$AM$5:$AM$3004,$AS38)))</f>
        <v/>
      </c>
      <c r="AI38" s="46">
        <f>IF($A38="","",IF(INDEX('潜水記録'!$AN$5:$AN$3004,$AS38)="","",INDEX('潜水記録'!$AN$5:$AN$3004,$AS38)))</f>
        <v/>
      </c>
      <c r="AJ38" s="14">
        <f>IF($A38="","",IF(INDEX('潜水記録'!$AO$5:$AO$3004,$AS38)="","",INDEX('潜水記録'!$AO$5:$AO$3004,$AS38)))</f>
        <v/>
      </c>
      <c r="AK38" s="14">
        <f>IF($A38="","",IF(INDEX('潜水記録'!$AP$5:$AP$3004,$AS38)="","",INDEX('潜水記録'!$AP$5:$AP$3004,$AS38)))</f>
        <v/>
      </c>
      <c r="AL38" s="14">
        <f>IF($A38="","",IF(INDEX('潜水記録'!$AQ$5:$AQ$3004,$AS38)="","",INDEX('潜水記録'!$AQ$5:$AQ$3004,$AS38)))</f>
        <v/>
      </c>
      <c r="AM38" s="14">
        <f>IF($A38="","",IF(INDEX('潜水記録'!$AR$5:$AR$3004,$AS38)="","",INDEX('潜水記録'!$AR$5:$AR$3004,$AS38)))</f>
        <v/>
      </c>
      <c r="AN38" s="14">
        <f>IF($A38="","",IF(INDEX('潜水記録'!$AS$5:$AS$3004,$AS38)="","",INDEX('潜水記録'!$AS$5:$AS$3004,$AS38)))</f>
        <v/>
      </c>
      <c r="AO38" s="14">
        <f>IF($A38="","",IF(INDEX('潜水記録'!$AT$5:$AT$3004,$AS38)="","",INDEX('潜水記録'!$AT$5:$AT$3004,$AS38)))</f>
        <v/>
      </c>
      <c r="AP38" s="14">
        <f>IF($A38="","",IF(INDEX('潜水記録'!$AU$5:$AU$3004,$AS38)="","",INDEX('潜水記録'!$AU$5:$AU$3004,$AS38)))</f>
        <v/>
      </c>
      <c r="AQ38" s="14">
        <f>IF($A38="","",IF(INDEX('潜水記録'!$AV$5:$AV$3004,$AS38)="","",INDEX('潜水記録'!$AV$5:$AV$3004,$AS38)))</f>
        <v/>
      </c>
      <c r="AR38" s="14">
        <f>IF($A38="","",IF(INDEX('潜水記録'!$AW$5:$AW$3004,$AS38)="","",INDEX('潜水記録'!$AW$5:$AW$3004,$AS38)))</f>
        <v/>
      </c>
      <c r="AS38" s="20">
        <f>IF($A38="","",MATCH($A38,'潜水記録'!$AI$5:$AI$3004,0))</f>
        <v/>
      </c>
    </row>
    <row r="39">
      <c r="A39" s="14">
        <f>IF(29&lt;=$C$8,29,"")</f>
        <v/>
      </c>
      <c r="B39" s="16">
        <f>IF($A39="","",IF(INDEX('潜水記録'!$A$5:$A$3004,$AS39)="","",INDEX('潜水記録'!$A$5:$A$3004,$AS39)))</f>
        <v/>
      </c>
      <c r="C39" s="14">
        <f>IF($A39="","",IF(INDEX('潜水記録'!$B$5:$B$3004,$AS39)="","",INDEX('潜水記録'!$B$5:$B$3004,$AS39)))</f>
        <v/>
      </c>
      <c r="D39" s="14">
        <f>IF($A39="","",IF(INDEX('潜水記録'!$C$5:$C$3004,$AS39)="","",INDEX('潜水記録'!$C$5:$C$3004,$AS39)))</f>
        <v/>
      </c>
      <c r="E39" s="14">
        <f>IF($A39="","",IF(INDEX('潜水記録'!$D$5:$D$3004,$AS39)="","",INDEX('潜水記録'!$D$5:$D$3004,$AS39)))</f>
        <v/>
      </c>
      <c r="F39" s="14">
        <f>IF($A39="","",IF(INDEX('潜水記録'!$E$5:$E$3004,$AS39)="","",INDEX('潜水記録'!$E$5:$E$3004,$AS39)))</f>
        <v/>
      </c>
      <c r="G39" s="14">
        <f>IF($A39="","",IF(INDEX('潜水記録'!$F$5:$F$3004,$AS39)="","",INDEX('潜水記録'!$F$5:$F$3004,$AS39)))</f>
        <v/>
      </c>
      <c r="H39" s="14">
        <f>IF($A39="","",IF(INDEX('潜水記録'!$G$5:$G$3004,$AS39)="","",INDEX('潜水記録'!$G$5:$G$3004,$AS39)))</f>
        <v/>
      </c>
      <c r="I39" s="14">
        <f>IF($A39="","",IF(INDEX('潜水記録'!$H$5:$H$3004,$AS39)="","",INDEX('潜水記録'!$H$5:$H$3004,$AS39)))</f>
        <v/>
      </c>
      <c r="J39" s="14">
        <f>IF($A39="","",IF(INDEX('潜水記録'!$I$5:$I$3004,$AS39)="","",INDEX('潜水記録'!$I$5:$I$3004,$AS39)))</f>
        <v/>
      </c>
      <c r="K39" s="14">
        <f>IF($A39="","",IF(INDEX('潜水記録'!$J$5:$J$3004,$AS39)="","",INDEX('潜水記録'!$J$5:$J$3004,$AS39)))</f>
        <v/>
      </c>
      <c r="L39" s="14">
        <f>IF($A39="","",IF(INDEX('潜水記録'!$K$5:$K$3004,$AS39)="","",INDEX('潜水記録'!$K$5:$K$3004,$AS39)))</f>
        <v/>
      </c>
      <c r="M39" s="14">
        <f>IF($A39="","",IF(INDEX('潜水記録'!$L$5:$L$3004,$AS39)="","",INDEX('潜水記録'!$L$5:$L$3004,$AS39)))</f>
        <v/>
      </c>
      <c r="N39" s="14">
        <f>IF($A39="","",IF(INDEX('潜水記録'!$M$5:$M$3004,$AS39)="","",INDEX('潜水記録'!$M$5:$M$3004,$AS39)))</f>
        <v/>
      </c>
      <c r="O39" s="14">
        <f>IF($A39="","",IF(INDEX('潜水記録'!$N$5:$N$3004,$AS39)="","",INDEX('潜水記録'!$N$5:$N$3004,$AS39)))</f>
        <v/>
      </c>
      <c r="P39" s="14">
        <f>IF($A39="","",IF(INDEX('潜水記録'!$O$5:$O$3004,$AS39)="","",INDEX('潜水記録'!$O$5:$O$3004,$AS39)))</f>
        <v/>
      </c>
      <c r="Q39" s="14">
        <f>IF($A39="","",IF(INDEX('潜水記録'!$P$5:$P$3004,$AS39)="","",INDEX('潜水記録'!$P$5:$P$3004,$AS39)))</f>
        <v/>
      </c>
      <c r="R39" s="14">
        <f>IF($A39="","",IF(INDEX('潜水記録'!$Q$5:$Q$3004,$AS39)="","",INDEX('潜水記録'!$Q$5:$Q$3004,$AS39)))</f>
        <v/>
      </c>
      <c r="S39" s="14">
        <f>IF($A39="","",IF(INDEX('潜水記録'!$R$5:$R$3004,$AS39)="","",INDEX('潜水記録'!$R$5:$R$3004,$AS39)))</f>
        <v/>
      </c>
      <c r="T39" s="14">
        <f>IF($A39="","",IF(INDEX('潜水記録'!$S$5:$S$3004,$AS39)="","",INDEX('潜水記録'!$S$5:$S$3004,$AS39)))</f>
        <v/>
      </c>
      <c r="U39" s="14">
        <f>IF($A39="","",IF(INDEX('潜水記録'!$T$5:$T$3004,$AS39)="","",INDEX('潜水記録'!$T$5:$T$3004,$AS39)))</f>
        <v/>
      </c>
      <c r="V39" s="46">
        <f>IF($A39="","",IF(INDEX('潜水記録'!$U$5:$U$3004,$AS39)="","",INDEX('潜水記録'!$U$5:$U$3004,$AS39)))</f>
        <v/>
      </c>
      <c r="W39" s="46">
        <f>IF($A39="","",IF(INDEX('潜水記録'!$V$5:$V$3004,$AS39)="","",INDEX('潜水記録'!$V$5:$V$3004,$AS39)))</f>
        <v/>
      </c>
      <c r="X39" s="14">
        <f>IF($A39="","",IF(INDEX('潜水記録'!$W$5:$W$3004,$AS39)="","",INDEX('潜水記録'!$W$5:$W$3004,$AS39)))</f>
        <v/>
      </c>
      <c r="Y39" s="14">
        <f>IF($A39="","",IF(INDEX('潜水記録'!$X$5:$X$3004,$AS39)="","",INDEX('潜水記録'!$X$5:$X$3004,$AS39)))</f>
        <v/>
      </c>
      <c r="Z39" s="14">
        <f>IF($A39="","",IF(INDEX('潜水記録'!$Y$5:$Y$3004,$AS39)="","",INDEX('潜水記録'!$Y$5:$Y$3004,$AS39)))</f>
        <v/>
      </c>
      <c r="AA39" s="14">
        <f>IF($A39="","",IF(INDEX('潜水記録'!$Z$5:$Z$3004,$AS39)="","",INDEX('潜水記録'!$Z$5:$Z$3004,$AS39)))</f>
        <v/>
      </c>
      <c r="AB39" s="14">
        <f>IF($A39="","",IF(INDEX('潜水記録'!$AA$5:$AA$3004,$AS39)="","",INDEX('潜水記録'!$AA$5:$AA$3004,$AS39)))</f>
        <v/>
      </c>
      <c r="AC39" s="14">
        <f>IF($A39="","",IF(INDEX('潜水記録'!$AB$5:$AB$3004,$AS39)="","",INDEX('潜水記録'!$AB$5:$AB$3004,$AS39)))</f>
        <v/>
      </c>
      <c r="AD39" s="14">
        <f>IF($A39="","",IF(INDEX('潜水記録'!$AC$5:$AC$3004,$AS39)="","",INDEX('潜水記録'!$AC$5:$AC$3004,$AS39)))</f>
        <v/>
      </c>
      <c r="AE39" s="14">
        <f>IF($A39="","",IF(INDEX('潜水記録'!$AD$5:$AD$3004,$AS39)="","",INDEX('潜水記録'!$AD$5:$AD$3004,$AS39)))</f>
        <v/>
      </c>
      <c r="AF39" s="14">
        <f>IF($A39="","",IF(INDEX('潜水記録'!$AE$5:$AE$3004,$AS39)="","",INDEX('潜水記録'!$AE$5:$AE$3004,$AS39)))</f>
        <v/>
      </c>
      <c r="AG39" s="14">
        <f>IF($A39="","",IF(INDEX('潜水記録'!$AL$5:$AL$3004,$AS39)="","",INDEX('潜水記録'!$AL$5:$AL$3004,$AS39)))</f>
        <v/>
      </c>
      <c r="AH39" s="14">
        <f>IF($A39="","",IF(INDEX('潜水記録'!$AM$5:$AM$3004,$AS39)="","",INDEX('潜水記録'!$AM$5:$AM$3004,$AS39)))</f>
        <v/>
      </c>
      <c r="AI39" s="46">
        <f>IF($A39="","",IF(INDEX('潜水記録'!$AN$5:$AN$3004,$AS39)="","",INDEX('潜水記録'!$AN$5:$AN$3004,$AS39)))</f>
        <v/>
      </c>
      <c r="AJ39" s="14">
        <f>IF($A39="","",IF(INDEX('潜水記録'!$AO$5:$AO$3004,$AS39)="","",INDEX('潜水記録'!$AO$5:$AO$3004,$AS39)))</f>
        <v/>
      </c>
      <c r="AK39" s="14">
        <f>IF($A39="","",IF(INDEX('潜水記録'!$AP$5:$AP$3004,$AS39)="","",INDEX('潜水記録'!$AP$5:$AP$3004,$AS39)))</f>
        <v/>
      </c>
      <c r="AL39" s="14">
        <f>IF($A39="","",IF(INDEX('潜水記録'!$AQ$5:$AQ$3004,$AS39)="","",INDEX('潜水記録'!$AQ$5:$AQ$3004,$AS39)))</f>
        <v/>
      </c>
      <c r="AM39" s="14">
        <f>IF($A39="","",IF(INDEX('潜水記録'!$AR$5:$AR$3004,$AS39)="","",INDEX('潜水記録'!$AR$5:$AR$3004,$AS39)))</f>
        <v/>
      </c>
      <c r="AN39" s="14">
        <f>IF($A39="","",IF(INDEX('潜水記録'!$AS$5:$AS$3004,$AS39)="","",INDEX('潜水記録'!$AS$5:$AS$3004,$AS39)))</f>
        <v/>
      </c>
      <c r="AO39" s="14">
        <f>IF($A39="","",IF(INDEX('潜水記録'!$AT$5:$AT$3004,$AS39)="","",INDEX('潜水記録'!$AT$5:$AT$3004,$AS39)))</f>
        <v/>
      </c>
      <c r="AP39" s="14">
        <f>IF($A39="","",IF(INDEX('潜水記録'!$AU$5:$AU$3004,$AS39)="","",INDEX('潜水記録'!$AU$5:$AU$3004,$AS39)))</f>
        <v/>
      </c>
      <c r="AQ39" s="14">
        <f>IF($A39="","",IF(INDEX('潜水記録'!$AV$5:$AV$3004,$AS39)="","",INDEX('潜水記録'!$AV$5:$AV$3004,$AS39)))</f>
        <v/>
      </c>
      <c r="AR39" s="14">
        <f>IF($A39="","",IF(INDEX('潜水記録'!$AW$5:$AW$3004,$AS39)="","",INDEX('潜水記録'!$AW$5:$AW$3004,$AS39)))</f>
        <v/>
      </c>
      <c r="AS39" s="20">
        <f>IF($A39="","",MATCH($A39,'潜水記録'!$AI$5:$AI$3004,0))</f>
        <v/>
      </c>
    </row>
    <row r="40">
      <c r="A40" s="14">
        <f>IF(30&lt;=$C$8,30,"")</f>
        <v/>
      </c>
      <c r="B40" s="16">
        <f>IF($A40="","",IF(INDEX('潜水記録'!$A$5:$A$3004,$AS40)="","",INDEX('潜水記録'!$A$5:$A$3004,$AS40)))</f>
        <v/>
      </c>
      <c r="C40" s="14">
        <f>IF($A40="","",IF(INDEX('潜水記録'!$B$5:$B$3004,$AS40)="","",INDEX('潜水記録'!$B$5:$B$3004,$AS40)))</f>
        <v/>
      </c>
      <c r="D40" s="14">
        <f>IF($A40="","",IF(INDEX('潜水記録'!$C$5:$C$3004,$AS40)="","",INDEX('潜水記録'!$C$5:$C$3004,$AS40)))</f>
        <v/>
      </c>
      <c r="E40" s="14">
        <f>IF($A40="","",IF(INDEX('潜水記録'!$D$5:$D$3004,$AS40)="","",INDEX('潜水記録'!$D$5:$D$3004,$AS40)))</f>
        <v/>
      </c>
      <c r="F40" s="14">
        <f>IF($A40="","",IF(INDEX('潜水記録'!$E$5:$E$3004,$AS40)="","",INDEX('潜水記録'!$E$5:$E$3004,$AS40)))</f>
        <v/>
      </c>
      <c r="G40" s="14">
        <f>IF($A40="","",IF(INDEX('潜水記録'!$F$5:$F$3004,$AS40)="","",INDEX('潜水記録'!$F$5:$F$3004,$AS40)))</f>
        <v/>
      </c>
      <c r="H40" s="14">
        <f>IF($A40="","",IF(INDEX('潜水記録'!$G$5:$G$3004,$AS40)="","",INDEX('潜水記録'!$G$5:$G$3004,$AS40)))</f>
        <v/>
      </c>
      <c r="I40" s="14">
        <f>IF($A40="","",IF(INDEX('潜水記録'!$H$5:$H$3004,$AS40)="","",INDEX('潜水記録'!$H$5:$H$3004,$AS40)))</f>
        <v/>
      </c>
      <c r="J40" s="14">
        <f>IF($A40="","",IF(INDEX('潜水記録'!$I$5:$I$3004,$AS40)="","",INDEX('潜水記録'!$I$5:$I$3004,$AS40)))</f>
        <v/>
      </c>
      <c r="K40" s="14">
        <f>IF($A40="","",IF(INDEX('潜水記録'!$J$5:$J$3004,$AS40)="","",INDEX('潜水記録'!$J$5:$J$3004,$AS40)))</f>
        <v/>
      </c>
      <c r="L40" s="14">
        <f>IF($A40="","",IF(INDEX('潜水記録'!$K$5:$K$3004,$AS40)="","",INDEX('潜水記録'!$K$5:$K$3004,$AS40)))</f>
        <v/>
      </c>
      <c r="M40" s="14">
        <f>IF($A40="","",IF(INDEX('潜水記録'!$L$5:$L$3004,$AS40)="","",INDEX('潜水記録'!$L$5:$L$3004,$AS40)))</f>
        <v/>
      </c>
      <c r="N40" s="14">
        <f>IF($A40="","",IF(INDEX('潜水記録'!$M$5:$M$3004,$AS40)="","",INDEX('潜水記録'!$M$5:$M$3004,$AS40)))</f>
        <v/>
      </c>
      <c r="O40" s="14">
        <f>IF($A40="","",IF(INDEX('潜水記録'!$N$5:$N$3004,$AS40)="","",INDEX('潜水記録'!$N$5:$N$3004,$AS40)))</f>
        <v/>
      </c>
      <c r="P40" s="14">
        <f>IF($A40="","",IF(INDEX('潜水記録'!$O$5:$O$3004,$AS40)="","",INDEX('潜水記録'!$O$5:$O$3004,$AS40)))</f>
        <v/>
      </c>
      <c r="Q40" s="14">
        <f>IF($A40="","",IF(INDEX('潜水記録'!$P$5:$P$3004,$AS40)="","",INDEX('潜水記録'!$P$5:$P$3004,$AS40)))</f>
        <v/>
      </c>
      <c r="R40" s="14">
        <f>IF($A40="","",IF(INDEX('潜水記録'!$Q$5:$Q$3004,$AS40)="","",INDEX('潜水記録'!$Q$5:$Q$3004,$AS40)))</f>
        <v/>
      </c>
      <c r="S40" s="14">
        <f>IF($A40="","",IF(INDEX('潜水記録'!$R$5:$R$3004,$AS40)="","",INDEX('潜水記録'!$R$5:$R$3004,$AS40)))</f>
        <v/>
      </c>
      <c r="T40" s="14">
        <f>IF($A40="","",IF(INDEX('潜水記録'!$S$5:$S$3004,$AS40)="","",INDEX('潜水記録'!$S$5:$S$3004,$AS40)))</f>
        <v/>
      </c>
      <c r="U40" s="14">
        <f>IF($A40="","",IF(INDEX('潜水記録'!$T$5:$T$3004,$AS40)="","",INDEX('潜水記録'!$T$5:$T$3004,$AS40)))</f>
        <v/>
      </c>
      <c r="V40" s="46">
        <f>IF($A40="","",IF(INDEX('潜水記録'!$U$5:$U$3004,$AS40)="","",INDEX('潜水記録'!$U$5:$U$3004,$AS40)))</f>
        <v/>
      </c>
      <c r="W40" s="46">
        <f>IF($A40="","",IF(INDEX('潜水記録'!$V$5:$V$3004,$AS40)="","",INDEX('潜水記録'!$V$5:$V$3004,$AS40)))</f>
        <v/>
      </c>
      <c r="X40" s="14">
        <f>IF($A40="","",IF(INDEX('潜水記録'!$W$5:$W$3004,$AS40)="","",INDEX('潜水記録'!$W$5:$W$3004,$AS40)))</f>
        <v/>
      </c>
      <c r="Y40" s="14">
        <f>IF($A40="","",IF(INDEX('潜水記録'!$X$5:$X$3004,$AS40)="","",INDEX('潜水記録'!$X$5:$X$3004,$AS40)))</f>
        <v/>
      </c>
      <c r="Z40" s="14">
        <f>IF($A40="","",IF(INDEX('潜水記録'!$Y$5:$Y$3004,$AS40)="","",INDEX('潜水記録'!$Y$5:$Y$3004,$AS40)))</f>
        <v/>
      </c>
      <c r="AA40" s="14">
        <f>IF($A40="","",IF(INDEX('潜水記録'!$Z$5:$Z$3004,$AS40)="","",INDEX('潜水記録'!$Z$5:$Z$3004,$AS40)))</f>
        <v/>
      </c>
      <c r="AB40" s="14">
        <f>IF($A40="","",IF(INDEX('潜水記録'!$AA$5:$AA$3004,$AS40)="","",INDEX('潜水記録'!$AA$5:$AA$3004,$AS40)))</f>
        <v/>
      </c>
      <c r="AC40" s="14">
        <f>IF($A40="","",IF(INDEX('潜水記録'!$AB$5:$AB$3004,$AS40)="","",INDEX('潜水記録'!$AB$5:$AB$3004,$AS40)))</f>
        <v/>
      </c>
      <c r="AD40" s="14">
        <f>IF($A40="","",IF(INDEX('潜水記録'!$AC$5:$AC$3004,$AS40)="","",INDEX('潜水記録'!$AC$5:$AC$3004,$AS40)))</f>
        <v/>
      </c>
      <c r="AE40" s="14">
        <f>IF($A40="","",IF(INDEX('潜水記録'!$AD$5:$AD$3004,$AS40)="","",INDEX('潜水記録'!$AD$5:$AD$3004,$AS40)))</f>
        <v/>
      </c>
      <c r="AF40" s="14">
        <f>IF($A40="","",IF(INDEX('潜水記録'!$AE$5:$AE$3004,$AS40)="","",INDEX('潜水記録'!$AE$5:$AE$3004,$AS40)))</f>
        <v/>
      </c>
      <c r="AG40" s="14">
        <f>IF($A40="","",IF(INDEX('潜水記録'!$AL$5:$AL$3004,$AS40)="","",INDEX('潜水記録'!$AL$5:$AL$3004,$AS40)))</f>
        <v/>
      </c>
      <c r="AH40" s="14">
        <f>IF($A40="","",IF(INDEX('潜水記録'!$AM$5:$AM$3004,$AS40)="","",INDEX('潜水記録'!$AM$5:$AM$3004,$AS40)))</f>
        <v/>
      </c>
      <c r="AI40" s="46">
        <f>IF($A40="","",IF(INDEX('潜水記録'!$AN$5:$AN$3004,$AS40)="","",INDEX('潜水記録'!$AN$5:$AN$3004,$AS40)))</f>
        <v/>
      </c>
      <c r="AJ40" s="14">
        <f>IF($A40="","",IF(INDEX('潜水記録'!$AO$5:$AO$3004,$AS40)="","",INDEX('潜水記録'!$AO$5:$AO$3004,$AS40)))</f>
        <v/>
      </c>
      <c r="AK40" s="14">
        <f>IF($A40="","",IF(INDEX('潜水記録'!$AP$5:$AP$3004,$AS40)="","",INDEX('潜水記録'!$AP$5:$AP$3004,$AS40)))</f>
        <v/>
      </c>
      <c r="AL40" s="14">
        <f>IF($A40="","",IF(INDEX('潜水記録'!$AQ$5:$AQ$3004,$AS40)="","",INDEX('潜水記録'!$AQ$5:$AQ$3004,$AS40)))</f>
        <v/>
      </c>
      <c r="AM40" s="14">
        <f>IF($A40="","",IF(INDEX('潜水記録'!$AR$5:$AR$3004,$AS40)="","",INDEX('潜水記録'!$AR$5:$AR$3004,$AS40)))</f>
        <v/>
      </c>
      <c r="AN40" s="14">
        <f>IF($A40="","",IF(INDEX('潜水記録'!$AS$5:$AS$3004,$AS40)="","",INDEX('潜水記録'!$AS$5:$AS$3004,$AS40)))</f>
        <v/>
      </c>
      <c r="AO40" s="14">
        <f>IF($A40="","",IF(INDEX('潜水記録'!$AT$5:$AT$3004,$AS40)="","",INDEX('潜水記録'!$AT$5:$AT$3004,$AS40)))</f>
        <v/>
      </c>
      <c r="AP40" s="14">
        <f>IF($A40="","",IF(INDEX('潜水記録'!$AU$5:$AU$3004,$AS40)="","",INDEX('潜水記録'!$AU$5:$AU$3004,$AS40)))</f>
        <v/>
      </c>
      <c r="AQ40" s="14">
        <f>IF($A40="","",IF(INDEX('潜水記録'!$AV$5:$AV$3004,$AS40)="","",INDEX('潜水記録'!$AV$5:$AV$3004,$AS40)))</f>
        <v/>
      </c>
      <c r="AR40" s="14">
        <f>IF($A40="","",IF(INDEX('潜水記録'!$AW$5:$AW$3004,$AS40)="","",INDEX('潜水記録'!$AW$5:$AW$3004,$AS40)))</f>
        <v/>
      </c>
      <c r="AS40" s="20">
        <f>IF($A40="","",MATCH($A40,'潜水記録'!$AI$5:$AI$3004,0))</f>
        <v/>
      </c>
    </row>
    <row r="41">
      <c r="A41" s="14">
        <f>IF(31&lt;=$C$8,31,"")</f>
        <v/>
      </c>
      <c r="B41" s="16">
        <f>IF($A41="","",IF(INDEX('潜水記録'!$A$5:$A$3004,$AS41)="","",INDEX('潜水記録'!$A$5:$A$3004,$AS41)))</f>
        <v/>
      </c>
      <c r="C41" s="14">
        <f>IF($A41="","",IF(INDEX('潜水記録'!$B$5:$B$3004,$AS41)="","",INDEX('潜水記録'!$B$5:$B$3004,$AS41)))</f>
        <v/>
      </c>
      <c r="D41" s="14">
        <f>IF($A41="","",IF(INDEX('潜水記録'!$C$5:$C$3004,$AS41)="","",INDEX('潜水記録'!$C$5:$C$3004,$AS41)))</f>
        <v/>
      </c>
      <c r="E41" s="14">
        <f>IF($A41="","",IF(INDEX('潜水記録'!$D$5:$D$3004,$AS41)="","",INDEX('潜水記録'!$D$5:$D$3004,$AS41)))</f>
        <v/>
      </c>
      <c r="F41" s="14">
        <f>IF($A41="","",IF(INDEX('潜水記録'!$E$5:$E$3004,$AS41)="","",INDEX('潜水記録'!$E$5:$E$3004,$AS41)))</f>
        <v/>
      </c>
      <c r="G41" s="14">
        <f>IF($A41="","",IF(INDEX('潜水記録'!$F$5:$F$3004,$AS41)="","",INDEX('潜水記録'!$F$5:$F$3004,$AS41)))</f>
        <v/>
      </c>
      <c r="H41" s="14">
        <f>IF($A41="","",IF(INDEX('潜水記録'!$G$5:$G$3004,$AS41)="","",INDEX('潜水記録'!$G$5:$G$3004,$AS41)))</f>
        <v/>
      </c>
      <c r="I41" s="14">
        <f>IF($A41="","",IF(INDEX('潜水記録'!$H$5:$H$3004,$AS41)="","",INDEX('潜水記録'!$H$5:$H$3004,$AS41)))</f>
        <v/>
      </c>
      <c r="J41" s="14">
        <f>IF($A41="","",IF(INDEX('潜水記録'!$I$5:$I$3004,$AS41)="","",INDEX('潜水記録'!$I$5:$I$3004,$AS41)))</f>
        <v/>
      </c>
      <c r="K41" s="14">
        <f>IF($A41="","",IF(INDEX('潜水記録'!$J$5:$J$3004,$AS41)="","",INDEX('潜水記録'!$J$5:$J$3004,$AS41)))</f>
        <v/>
      </c>
      <c r="L41" s="14">
        <f>IF($A41="","",IF(INDEX('潜水記録'!$K$5:$K$3004,$AS41)="","",INDEX('潜水記録'!$K$5:$K$3004,$AS41)))</f>
        <v/>
      </c>
      <c r="M41" s="14">
        <f>IF($A41="","",IF(INDEX('潜水記録'!$L$5:$L$3004,$AS41)="","",INDEX('潜水記録'!$L$5:$L$3004,$AS41)))</f>
        <v/>
      </c>
      <c r="N41" s="14">
        <f>IF($A41="","",IF(INDEX('潜水記録'!$M$5:$M$3004,$AS41)="","",INDEX('潜水記録'!$M$5:$M$3004,$AS41)))</f>
        <v/>
      </c>
      <c r="O41" s="14">
        <f>IF($A41="","",IF(INDEX('潜水記録'!$N$5:$N$3004,$AS41)="","",INDEX('潜水記録'!$N$5:$N$3004,$AS41)))</f>
        <v/>
      </c>
      <c r="P41" s="14">
        <f>IF($A41="","",IF(INDEX('潜水記録'!$O$5:$O$3004,$AS41)="","",INDEX('潜水記録'!$O$5:$O$3004,$AS41)))</f>
        <v/>
      </c>
      <c r="Q41" s="14">
        <f>IF($A41="","",IF(INDEX('潜水記録'!$P$5:$P$3004,$AS41)="","",INDEX('潜水記録'!$P$5:$P$3004,$AS41)))</f>
        <v/>
      </c>
      <c r="R41" s="14">
        <f>IF($A41="","",IF(INDEX('潜水記録'!$Q$5:$Q$3004,$AS41)="","",INDEX('潜水記録'!$Q$5:$Q$3004,$AS41)))</f>
        <v/>
      </c>
      <c r="S41" s="14">
        <f>IF($A41="","",IF(INDEX('潜水記録'!$R$5:$R$3004,$AS41)="","",INDEX('潜水記録'!$R$5:$R$3004,$AS41)))</f>
        <v/>
      </c>
      <c r="T41" s="14">
        <f>IF($A41="","",IF(INDEX('潜水記録'!$S$5:$S$3004,$AS41)="","",INDEX('潜水記録'!$S$5:$S$3004,$AS41)))</f>
        <v/>
      </c>
      <c r="U41" s="14">
        <f>IF($A41="","",IF(INDEX('潜水記録'!$T$5:$T$3004,$AS41)="","",INDEX('潜水記録'!$T$5:$T$3004,$AS41)))</f>
        <v/>
      </c>
      <c r="V41" s="46">
        <f>IF($A41="","",IF(INDEX('潜水記録'!$U$5:$U$3004,$AS41)="","",INDEX('潜水記録'!$U$5:$U$3004,$AS41)))</f>
        <v/>
      </c>
      <c r="W41" s="46">
        <f>IF($A41="","",IF(INDEX('潜水記録'!$V$5:$V$3004,$AS41)="","",INDEX('潜水記録'!$V$5:$V$3004,$AS41)))</f>
        <v/>
      </c>
      <c r="X41" s="14">
        <f>IF($A41="","",IF(INDEX('潜水記録'!$W$5:$W$3004,$AS41)="","",INDEX('潜水記録'!$W$5:$W$3004,$AS41)))</f>
        <v/>
      </c>
      <c r="Y41" s="14">
        <f>IF($A41="","",IF(INDEX('潜水記録'!$X$5:$X$3004,$AS41)="","",INDEX('潜水記録'!$X$5:$X$3004,$AS41)))</f>
        <v/>
      </c>
      <c r="Z41" s="14">
        <f>IF($A41="","",IF(INDEX('潜水記録'!$Y$5:$Y$3004,$AS41)="","",INDEX('潜水記録'!$Y$5:$Y$3004,$AS41)))</f>
        <v/>
      </c>
      <c r="AA41" s="14">
        <f>IF($A41="","",IF(INDEX('潜水記録'!$Z$5:$Z$3004,$AS41)="","",INDEX('潜水記録'!$Z$5:$Z$3004,$AS41)))</f>
        <v/>
      </c>
      <c r="AB41" s="14">
        <f>IF($A41="","",IF(INDEX('潜水記録'!$AA$5:$AA$3004,$AS41)="","",INDEX('潜水記録'!$AA$5:$AA$3004,$AS41)))</f>
        <v/>
      </c>
      <c r="AC41" s="14">
        <f>IF($A41="","",IF(INDEX('潜水記録'!$AB$5:$AB$3004,$AS41)="","",INDEX('潜水記録'!$AB$5:$AB$3004,$AS41)))</f>
        <v/>
      </c>
      <c r="AD41" s="14">
        <f>IF($A41="","",IF(INDEX('潜水記録'!$AC$5:$AC$3004,$AS41)="","",INDEX('潜水記録'!$AC$5:$AC$3004,$AS41)))</f>
        <v/>
      </c>
      <c r="AE41" s="14">
        <f>IF($A41="","",IF(INDEX('潜水記録'!$AD$5:$AD$3004,$AS41)="","",INDEX('潜水記録'!$AD$5:$AD$3004,$AS41)))</f>
        <v/>
      </c>
      <c r="AF41" s="14">
        <f>IF($A41="","",IF(INDEX('潜水記録'!$AE$5:$AE$3004,$AS41)="","",INDEX('潜水記録'!$AE$5:$AE$3004,$AS41)))</f>
        <v/>
      </c>
      <c r="AG41" s="14">
        <f>IF($A41="","",IF(INDEX('潜水記録'!$AL$5:$AL$3004,$AS41)="","",INDEX('潜水記録'!$AL$5:$AL$3004,$AS41)))</f>
        <v/>
      </c>
      <c r="AH41" s="14">
        <f>IF($A41="","",IF(INDEX('潜水記録'!$AM$5:$AM$3004,$AS41)="","",INDEX('潜水記録'!$AM$5:$AM$3004,$AS41)))</f>
        <v/>
      </c>
      <c r="AI41" s="46">
        <f>IF($A41="","",IF(INDEX('潜水記録'!$AN$5:$AN$3004,$AS41)="","",INDEX('潜水記録'!$AN$5:$AN$3004,$AS41)))</f>
        <v/>
      </c>
      <c r="AJ41" s="14">
        <f>IF($A41="","",IF(INDEX('潜水記録'!$AO$5:$AO$3004,$AS41)="","",INDEX('潜水記録'!$AO$5:$AO$3004,$AS41)))</f>
        <v/>
      </c>
      <c r="AK41" s="14">
        <f>IF($A41="","",IF(INDEX('潜水記録'!$AP$5:$AP$3004,$AS41)="","",INDEX('潜水記録'!$AP$5:$AP$3004,$AS41)))</f>
        <v/>
      </c>
      <c r="AL41" s="14">
        <f>IF($A41="","",IF(INDEX('潜水記録'!$AQ$5:$AQ$3004,$AS41)="","",INDEX('潜水記録'!$AQ$5:$AQ$3004,$AS41)))</f>
        <v/>
      </c>
      <c r="AM41" s="14">
        <f>IF($A41="","",IF(INDEX('潜水記録'!$AR$5:$AR$3004,$AS41)="","",INDEX('潜水記録'!$AR$5:$AR$3004,$AS41)))</f>
        <v/>
      </c>
      <c r="AN41" s="14">
        <f>IF($A41="","",IF(INDEX('潜水記録'!$AS$5:$AS$3004,$AS41)="","",INDEX('潜水記録'!$AS$5:$AS$3004,$AS41)))</f>
        <v/>
      </c>
      <c r="AO41" s="14">
        <f>IF($A41="","",IF(INDEX('潜水記録'!$AT$5:$AT$3004,$AS41)="","",INDEX('潜水記録'!$AT$5:$AT$3004,$AS41)))</f>
        <v/>
      </c>
      <c r="AP41" s="14">
        <f>IF($A41="","",IF(INDEX('潜水記録'!$AU$5:$AU$3004,$AS41)="","",INDEX('潜水記録'!$AU$5:$AU$3004,$AS41)))</f>
        <v/>
      </c>
      <c r="AQ41" s="14">
        <f>IF($A41="","",IF(INDEX('潜水記録'!$AV$5:$AV$3004,$AS41)="","",INDEX('潜水記録'!$AV$5:$AV$3004,$AS41)))</f>
        <v/>
      </c>
      <c r="AR41" s="14">
        <f>IF($A41="","",IF(INDEX('潜水記録'!$AW$5:$AW$3004,$AS41)="","",INDEX('潜水記録'!$AW$5:$AW$3004,$AS41)))</f>
        <v/>
      </c>
      <c r="AS41" s="20">
        <f>IF($A41="","",MATCH($A41,'潜水記録'!$AI$5:$AI$3004,0))</f>
        <v/>
      </c>
    </row>
    <row r="42">
      <c r="A42" s="14">
        <f>IF(32&lt;=$C$8,32,"")</f>
        <v/>
      </c>
      <c r="B42" s="16">
        <f>IF($A42="","",IF(INDEX('潜水記録'!$A$5:$A$3004,$AS42)="","",INDEX('潜水記録'!$A$5:$A$3004,$AS42)))</f>
        <v/>
      </c>
      <c r="C42" s="14">
        <f>IF($A42="","",IF(INDEX('潜水記録'!$B$5:$B$3004,$AS42)="","",INDEX('潜水記録'!$B$5:$B$3004,$AS42)))</f>
        <v/>
      </c>
      <c r="D42" s="14">
        <f>IF($A42="","",IF(INDEX('潜水記録'!$C$5:$C$3004,$AS42)="","",INDEX('潜水記録'!$C$5:$C$3004,$AS42)))</f>
        <v/>
      </c>
      <c r="E42" s="14">
        <f>IF($A42="","",IF(INDEX('潜水記録'!$D$5:$D$3004,$AS42)="","",INDEX('潜水記録'!$D$5:$D$3004,$AS42)))</f>
        <v/>
      </c>
      <c r="F42" s="14">
        <f>IF($A42="","",IF(INDEX('潜水記録'!$E$5:$E$3004,$AS42)="","",INDEX('潜水記録'!$E$5:$E$3004,$AS42)))</f>
        <v/>
      </c>
      <c r="G42" s="14">
        <f>IF($A42="","",IF(INDEX('潜水記録'!$F$5:$F$3004,$AS42)="","",INDEX('潜水記録'!$F$5:$F$3004,$AS42)))</f>
        <v/>
      </c>
      <c r="H42" s="14">
        <f>IF($A42="","",IF(INDEX('潜水記録'!$G$5:$G$3004,$AS42)="","",INDEX('潜水記録'!$G$5:$G$3004,$AS42)))</f>
        <v/>
      </c>
      <c r="I42" s="14">
        <f>IF($A42="","",IF(INDEX('潜水記録'!$H$5:$H$3004,$AS42)="","",INDEX('潜水記録'!$H$5:$H$3004,$AS42)))</f>
        <v/>
      </c>
      <c r="J42" s="14">
        <f>IF($A42="","",IF(INDEX('潜水記録'!$I$5:$I$3004,$AS42)="","",INDEX('潜水記録'!$I$5:$I$3004,$AS42)))</f>
        <v/>
      </c>
      <c r="K42" s="14">
        <f>IF($A42="","",IF(INDEX('潜水記録'!$J$5:$J$3004,$AS42)="","",INDEX('潜水記録'!$J$5:$J$3004,$AS42)))</f>
        <v/>
      </c>
      <c r="L42" s="14">
        <f>IF($A42="","",IF(INDEX('潜水記録'!$K$5:$K$3004,$AS42)="","",INDEX('潜水記録'!$K$5:$K$3004,$AS42)))</f>
        <v/>
      </c>
      <c r="M42" s="14">
        <f>IF($A42="","",IF(INDEX('潜水記録'!$L$5:$L$3004,$AS42)="","",INDEX('潜水記録'!$L$5:$L$3004,$AS42)))</f>
        <v/>
      </c>
      <c r="N42" s="14">
        <f>IF($A42="","",IF(INDEX('潜水記録'!$M$5:$M$3004,$AS42)="","",INDEX('潜水記録'!$M$5:$M$3004,$AS42)))</f>
        <v/>
      </c>
      <c r="O42" s="14">
        <f>IF($A42="","",IF(INDEX('潜水記録'!$N$5:$N$3004,$AS42)="","",INDEX('潜水記録'!$N$5:$N$3004,$AS42)))</f>
        <v/>
      </c>
      <c r="P42" s="14">
        <f>IF($A42="","",IF(INDEX('潜水記録'!$O$5:$O$3004,$AS42)="","",INDEX('潜水記録'!$O$5:$O$3004,$AS42)))</f>
        <v/>
      </c>
      <c r="Q42" s="14">
        <f>IF($A42="","",IF(INDEX('潜水記録'!$P$5:$P$3004,$AS42)="","",INDEX('潜水記録'!$P$5:$P$3004,$AS42)))</f>
        <v/>
      </c>
      <c r="R42" s="14">
        <f>IF($A42="","",IF(INDEX('潜水記録'!$Q$5:$Q$3004,$AS42)="","",INDEX('潜水記録'!$Q$5:$Q$3004,$AS42)))</f>
        <v/>
      </c>
      <c r="S42" s="14">
        <f>IF($A42="","",IF(INDEX('潜水記録'!$R$5:$R$3004,$AS42)="","",INDEX('潜水記録'!$R$5:$R$3004,$AS42)))</f>
        <v/>
      </c>
      <c r="T42" s="14">
        <f>IF($A42="","",IF(INDEX('潜水記録'!$S$5:$S$3004,$AS42)="","",INDEX('潜水記録'!$S$5:$S$3004,$AS42)))</f>
        <v/>
      </c>
      <c r="U42" s="14">
        <f>IF($A42="","",IF(INDEX('潜水記録'!$T$5:$T$3004,$AS42)="","",INDEX('潜水記録'!$T$5:$T$3004,$AS42)))</f>
        <v/>
      </c>
      <c r="V42" s="46">
        <f>IF($A42="","",IF(INDEX('潜水記録'!$U$5:$U$3004,$AS42)="","",INDEX('潜水記録'!$U$5:$U$3004,$AS42)))</f>
        <v/>
      </c>
      <c r="W42" s="46">
        <f>IF($A42="","",IF(INDEX('潜水記録'!$V$5:$V$3004,$AS42)="","",INDEX('潜水記録'!$V$5:$V$3004,$AS42)))</f>
        <v/>
      </c>
      <c r="X42" s="14">
        <f>IF($A42="","",IF(INDEX('潜水記録'!$W$5:$W$3004,$AS42)="","",INDEX('潜水記録'!$W$5:$W$3004,$AS42)))</f>
        <v/>
      </c>
      <c r="Y42" s="14">
        <f>IF($A42="","",IF(INDEX('潜水記録'!$X$5:$X$3004,$AS42)="","",INDEX('潜水記録'!$X$5:$X$3004,$AS42)))</f>
        <v/>
      </c>
      <c r="Z42" s="14">
        <f>IF($A42="","",IF(INDEX('潜水記録'!$Y$5:$Y$3004,$AS42)="","",INDEX('潜水記録'!$Y$5:$Y$3004,$AS42)))</f>
        <v/>
      </c>
      <c r="AA42" s="14">
        <f>IF($A42="","",IF(INDEX('潜水記録'!$Z$5:$Z$3004,$AS42)="","",INDEX('潜水記録'!$Z$5:$Z$3004,$AS42)))</f>
        <v/>
      </c>
      <c r="AB42" s="14">
        <f>IF($A42="","",IF(INDEX('潜水記録'!$AA$5:$AA$3004,$AS42)="","",INDEX('潜水記録'!$AA$5:$AA$3004,$AS42)))</f>
        <v/>
      </c>
      <c r="AC42" s="14">
        <f>IF($A42="","",IF(INDEX('潜水記録'!$AB$5:$AB$3004,$AS42)="","",INDEX('潜水記録'!$AB$5:$AB$3004,$AS42)))</f>
        <v/>
      </c>
      <c r="AD42" s="14">
        <f>IF($A42="","",IF(INDEX('潜水記録'!$AC$5:$AC$3004,$AS42)="","",INDEX('潜水記録'!$AC$5:$AC$3004,$AS42)))</f>
        <v/>
      </c>
      <c r="AE42" s="14">
        <f>IF($A42="","",IF(INDEX('潜水記録'!$AD$5:$AD$3004,$AS42)="","",INDEX('潜水記録'!$AD$5:$AD$3004,$AS42)))</f>
        <v/>
      </c>
      <c r="AF42" s="14">
        <f>IF($A42="","",IF(INDEX('潜水記録'!$AE$5:$AE$3004,$AS42)="","",INDEX('潜水記録'!$AE$5:$AE$3004,$AS42)))</f>
        <v/>
      </c>
      <c r="AG42" s="14">
        <f>IF($A42="","",IF(INDEX('潜水記録'!$AL$5:$AL$3004,$AS42)="","",INDEX('潜水記録'!$AL$5:$AL$3004,$AS42)))</f>
        <v/>
      </c>
      <c r="AH42" s="14">
        <f>IF($A42="","",IF(INDEX('潜水記録'!$AM$5:$AM$3004,$AS42)="","",INDEX('潜水記録'!$AM$5:$AM$3004,$AS42)))</f>
        <v/>
      </c>
      <c r="AI42" s="46">
        <f>IF($A42="","",IF(INDEX('潜水記録'!$AN$5:$AN$3004,$AS42)="","",INDEX('潜水記録'!$AN$5:$AN$3004,$AS42)))</f>
        <v/>
      </c>
      <c r="AJ42" s="14">
        <f>IF($A42="","",IF(INDEX('潜水記録'!$AO$5:$AO$3004,$AS42)="","",INDEX('潜水記録'!$AO$5:$AO$3004,$AS42)))</f>
        <v/>
      </c>
      <c r="AK42" s="14">
        <f>IF($A42="","",IF(INDEX('潜水記録'!$AP$5:$AP$3004,$AS42)="","",INDEX('潜水記録'!$AP$5:$AP$3004,$AS42)))</f>
        <v/>
      </c>
      <c r="AL42" s="14">
        <f>IF($A42="","",IF(INDEX('潜水記録'!$AQ$5:$AQ$3004,$AS42)="","",INDEX('潜水記録'!$AQ$5:$AQ$3004,$AS42)))</f>
        <v/>
      </c>
      <c r="AM42" s="14">
        <f>IF($A42="","",IF(INDEX('潜水記録'!$AR$5:$AR$3004,$AS42)="","",INDEX('潜水記録'!$AR$5:$AR$3004,$AS42)))</f>
        <v/>
      </c>
      <c r="AN42" s="14">
        <f>IF($A42="","",IF(INDEX('潜水記録'!$AS$5:$AS$3004,$AS42)="","",INDEX('潜水記録'!$AS$5:$AS$3004,$AS42)))</f>
        <v/>
      </c>
      <c r="AO42" s="14">
        <f>IF($A42="","",IF(INDEX('潜水記録'!$AT$5:$AT$3004,$AS42)="","",INDEX('潜水記録'!$AT$5:$AT$3004,$AS42)))</f>
        <v/>
      </c>
      <c r="AP42" s="14">
        <f>IF($A42="","",IF(INDEX('潜水記録'!$AU$5:$AU$3004,$AS42)="","",INDEX('潜水記録'!$AU$5:$AU$3004,$AS42)))</f>
        <v/>
      </c>
      <c r="AQ42" s="14">
        <f>IF($A42="","",IF(INDEX('潜水記録'!$AV$5:$AV$3004,$AS42)="","",INDEX('潜水記録'!$AV$5:$AV$3004,$AS42)))</f>
        <v/>
      </c>
      <c r="AR42" s="14">
        <f>IF($A42="","",IF(INDEX('潜水記録'!$AW$5:$AW$3004,$AS42)="","",INDEX('潜水記録'!$AW$5:$AW$3004,$AS42)))</f>
        <v/>
      </c>
      <c r="AS42" s="20">
        <f>IF($A42="","",MATCH($A42,'潜水記録'!$AI$5:$AI$3004,0))</f>
        <v/>
      </c>
    </row>
    <row r="43">
      <c r="A43" s="14">
        <f>IF(33&lt;=$C$8,33,"")</f>
        <v/>
      </c>
      <c r="B43" s="16">
        <f>IF($A43="","",IF(INDEX('潜水記録'!$A$5:$A$3004,$AS43)="","",INDEX('潜水記録'!$A$5:$A$3004,$AS43)))</f>
        <v/>
      </c>
      <c r="C43" s="14">
        <f>IF($A43="","",IF(INDEX('潜水記録'!$B$5:$B$3004,$AS43)="","",INDEX('潜水記録'!$B$5:$B$3004,$AS43)))</f>
        <v/>
      </c>
      <c r="D43" s="14">
        <f>IF($A43="","",IF(INDEX('潜水記録'!$C$5:$C$3004,$AS43)="","",INDEX('潜水記録'!$C$5:$C$3004,$AS43)))</f>
        <v/>
      </c>
      <c r="E43" s="14">
        <f>IF($A43="","",IF(INDEX('潜水記録'!$D$5:$D$3004,$AS43)="","",INDEX('潜水記録'!$D$5:$D$3004,$AS43)))</f>
        <v/>
      </c>
      <c r="F43" s="14">
        <f>IF($A43="","",IF(INDEX('潜水記録'!$E$5:$E$3004,$AS43)="","",INDEX('潜水記録'!$E$5:$E$3004,$AS43)))</f>
        <v/>
      </c>
      <c r="G43" s="14">
        <f>IF($A43="","",IF(INDEX('潜水記録'!$F$5:$F$3004,$AS43)="","",INDEX('潜水記録'!$F$5:$F$3004,$AS43)))</f>
        <v/>
      </c>
      <c r="H43" s="14">
        <f>IF($A43="","",IF(INDEX('潜水記録'!$G$5:$G$3004,$AS43)="","",INDEX('潜水記録'!$G$5:$G$3004,$AS43)))</f>
        <v/>
      </c>
      <c r="I43" s="14">
        <f>IF($A43="","",IF(INDEX('潜水記録'!$H$5:$H$3004,$AS43)="","",INDEX('潜水記録'!$H$5:$H$3004,$AS43)))</f>
        <v/>
      </c>
      <c r="J43" s="14">
        <f>IF($A43="","",IF(INDEX('潜水記録'!$I$5:$I$3004,$AS43)="","",INDEX('潜水記録'!$I$5:$I$3004,$AS43)))</f>
        <v/>
      </c>
      <c r="K43" s="14">
        <f>IF($A43="","",IF(INDEX('潜水記録'!$J$5:$J$3004,$AS43)="","",INDEX('潜水記録'!$J$5:$J$3004,$AS43)))</f>
        <v/>
      </c>
      <c r="L43" s="14">
        <f>IF($A43="","",IF(INDEX('潜水記録'!$K$5:$K$3004,$AS43)="","",INDEX('潜水記録'!$K$5:$K$3004,$AS43)))</f>
        <v/>
      </c>
      <c r="M43" s="14">
        <f>IF($A43="","",IF(INDEX('潜水記録'!$L$5:$L$3004,$AS43)="","",INDEX('潜水記録'!$L$5:$L$3004,$AS43)))</f>
        <v/>
      </c>
      <c r="N43" s="14">
        <f>IF($A43="","",IF(INDEX('潜水記録'!$M$5:$M$3004,$AS43)="","",INDEX('潜水記録'!$M$5:$M$3004,$AS43)))</f>
        <v/>
      </c>
      <c r="O43" s="14">
        <f>IF($A43="","",IF(INDEX('潜水記録'!$N$5:$N$3004,$AS43)="","",INDEX('潜水記録'!$N$5:$N$3004,$AS43)))</f>
        <v/>
      </c>
      <c r="P43" s="14">
        <f>IF($A43="","",IF(INDEX('潜水記録'!$O$5:$O$3004,$AS43)="","",INDEX('潜水記録'!$O$5:$O$3004,$AS43)))</f>
        <v/>
      </c>
      <c r="Q43" s="14">
        <f>IF($A43="","",IF(INDEX('潜水記録'!$P$5:$P$3004,$AS43)="","",INDEX('潜水記録'!$P$5:$P$3004,$AS43)))</f>
        <v/>
      </c>
      <c r="R43" s="14">
        <f>IF($A43="","",IF(INDEX('潜水記録'!$Q$5:$Q$3004,$AS43)="","",INDEX('潜水記録'!$Q$5:$Q$3004,$AS43)))</f>
        <v/>
      </c>
      <c r="S43" s="14">
        <f>IF($A43="","",IF(INDEX('潜水記録'!$R$5:$R$3004,$AS43)="","",INDEX('潜水記録'!$R$5:$R$3004,$AS43)))</f>
        <v/>
      </c>
      <c r="T43" s="14">
        <f>IF($A43="","",IF(INDEX('潜水記録'!$S$5:$S$3004,$AS43)="","",INDEX('潜水記録'!$S$5:$S$3004,$AS43)))</f>
        <v/>
      </c>
      <c r="U43" s="14">
        <f>IF($A43="","",IF(INDEX('潜水記録'!$T$5:$T$3004,$AS43)="","",INDEX('潜水記録'!$T$5:$T$3004,$AS43)))</f>
        <v/>
      </c>
      <c r="V43" s="46">
        <f>IF($A43="","",IF(INDEX('潜水記録'!$U$5:$U$3004,$AS43)="","",INDEX('潜水記録'!$U$5:$U$3004,$AS43)))</f>
        <v/>
      </c>
      <c r="W43" s="46">
        <f>IF($A43="","",IF(INDEX('潜水記録'!$V$5:$V$3004,$AS43)="","",INDEX('潜水記録'!$V$5:$V$3004,$AS43)))</f>
        <v/>
      </c>
      <c r="X43" s="14">
        <f>IF($A43="","",IF(INDEX('潜水記録'!$W$5:$W$3004,$AS43)="","",INDEX('潜水記録'!$W$5:$W$3004,$AS43)))</f>
        <v/>
      </c>
      <c r="Y43" s="14">
        <f>IF($A43="","",IF(INDEX('潜水記録'!$X$5:$X$3004,$AS43)="","",INDEX('潜水記録'!$X$5:$X$3004,$AS43)))</f>
        <v/>
      </c>
      <c r="Z43" s="14">
        <f>IF($A43="","",IF(INDEX('潜水記録'!$Y$5:$Y$3004,$AS43)="","",INDEX('潜水記録'!$Y$5:$Y$3004,$AS43)))</f>
        <v/>
      </c>
      <c r="AA43" s="14">
        <f>IF($A43="","",IF(INDEX('潜水記録'!$Z$5:$Z$3004,$AS43)="","",INDEX('潜水記録'!$Z$5:$Z$3004,$AS43)))</f>
        <v/>
      </c>
      <c r="AB43" s="14">
        <f>IF($A43="","",IF(INDEX('潜水記録'!$AA$5:$AA$3004,$AS43)="","",INDEX('潜水記録'!$AA$5:$AA$3004,$AS43)))</f>
        <v/>
      </c>
      <c r="AC43" s="14">
        <f>IF($A43="","",IF(INDEX('潜水記録'!$AB$5:$AB$3004,$AS43)="","",INDEX('潜水記録'!$AB$5:$AB$3004,$AS43)))</f>
        <v/>
      </c>
      <c r="AD43" s="14">
        <f>IF($A43="","",IF(INDEX('潜水記録'!$AC$5:$AC$3004,$AS43)="","",INDEX('潜水記録'!$AC$5:$AC$3004,$AS43)))</f>
        <v/>
      </c>
      <c r="AE43" s="14">
        <f>IF($A43="","",IF(INDEX('潜水記録'!$AD$5:$AD$3004,$AS43)="","",INDEX('潜水記録'!$AD$5:$AD$3004,$AS43)))</f>
        <v/>
      </c>
      <c r="AF43" s="14">
        <f>IF($A43="","",IF(INDEX('潜水記録'!$AE$5:$AE$3004,$AS43)="","",INDEX('潜水記録'!$AE$5:$AE$3004,$AS43)))</f>
        <v/>
      </c>
      <c r="AG43" s="14">
        <f>IF($A43="","",IF(INDEX('潜水記録'!$AL$5:$AL$3004,$AS43)="","",INDEX('潜水記録'!$AL$5:$AL$3004,$AS43)))</f>
        <v/>
      </c>
      <c r="AH43" s="14">
        <f>IF($A43="","",IF(INDEX('潜水記録'!$AM$5:$AM$3004,$AS43)="","",INDEX('潜水記録'!$AM$5:$AM$3004,$AS43)))</f>
        <v/>
      </c>
      <c r="AI43" s="46">
        <f>IF($A43="","",IF(INDEX('潜水記録'!$AN$5:$AN$3004,$AS43)="","",INDEX('潜水記録'!$AN$5:$AN$3004,$AS43)))</f>
        <v/>
      </c>
      <c r="AJ43" s="14">
        <f>IF($A43="","",IF(INDEX('潜水記録'!$AO$5:$AO$3004,$AS43)="","",INDEX('潜水記録'!$AO$5:$AO$3004,$AS43)))</f>
        <v/>
      </c>
      <c r="AK43" s="14">
        <f>IF($A43="","",IF(INDEX('潜水記録'!$AP$5:$AP$3004,$AS43)="","",INDEX('潜水記録'!$AP$5:$AP$3004,$AS43)))</f>
        <v/>
      </c>
      <c r="AL43" s="14">
        <f>IF($A43="","",IF(INDEX('潜水記録'!$AQ$5:$AQ$3004,$AS43)="","",INDEX('潜水記録'!$AQ$5:$AQ$3004,$AS43)))</f>
        <v/>
      </c>
      <c r="AM43" s="14">
        <f>IF($A43="","",IF(INDEX('潜水記録'!$AR$5:$AR$3004,$AS43)="","",INDEX('潜水記録'!$AR$5:$AR$3004,$AS43)))</f>
        <v/>
      </c>
      <c r="AN43" s="14">
        <f>IF($A43="","",IF(INDEX('潜水記録'!$AS$5:$AS$3004,$AS43)="","",INDEX('潜水記録'!$AS$5:$AS$3004,$AS43)))</f>
        <v/>
      </c>
      <c r="AO43" s="14">
        <f>IF($A43="","",IF(INDEX('潜水記録'!$AT$5:$AT$3004,$AS43)="","",INDEX('潜水記録'!$AT$5:$AT$3004,$AS43)))</f>
        <v/>
      </c>
      <c r="AP43" s="14">
        <f>IF($A43="","",IF(INDEX('潜水記録'!$AU$5:$AU$3004,$AS43)="","",INDEX('潜水記録'!$AU$5:$AU$3004,$AS43)))</f>
        <v/>
      </c>
      <c r="AQ43" s="14">
        <f>IF($A43="","",IF(INDEX('潜水記録'!$AV$5:$AV$3004,$AS43)="","",INDEX('潜水記録'!$AV$5:$AV$3004,$AS43)))</f>
        <v/>
      </c>
      <c r="AR43" s="14">
        <f>IF($A43="","",IF(INDEX('潜水記録'!$AW$5:$AW$3004,$AS43)="","",INDEX('潜水記録'!$AW$5:$AW$3004,$AS43)))</f>
        <v/>
      </c>
      <c r="AS43" s="20">
        <f>IF($A43="","",MATCH($A43,'潜水記録'!$AI$5:$AI$3004,0))</f>
        <v/>
      </c>
    </row>
    <row r="44">
      <c r="A44" s="14">
        <f>IF(34&lt;=$C$8,34,"")</f>
        <v/>
      </c>
      <c r="B44" s="16">
        <f>IF($A44="","",IF(INDEX('潜水記録'!$A$5:$A$3004,$AS44)="","",INDEX('潜水記録'!$A$5:$A$3004,$AS44)))</f>
        <v/>
      </c>
      <c r="C44" s="14">
        <f>IF($A44="","",IF(INDEX('潜水記録'!$B$5:$B$3004,$AS44)="","",INDEX('潜水記録'!$B$5:$B$3004,$AS44)))</f>
        <v/>
      </c>
      <c r="D44" s="14">
        <f>IF($A44="","",IF(INDEX('潜水記録'!$C$5:$C$3004,$AS44)="","",INDEX('潜水記録'!$C$5:$C$3004,$AS44)))</f>
        <v/>
      </c>
      <c r="E44" s="14">
        <f>IF($A44="","",IF(INDEX('潜水記録'!$D$5:$D$3004,$AS44)="","",INDEX('潜水記録'!$D$5:$D$3004,$AS44)))</f>
        <v/>
      </c>
      <c r="F44" s="14">
        <f>IF($A44="","",IF(INDEX('潜水記録'!$E$5:$E$3004,$AS44)="","",INDEX('潜水記録'!$E$5:$E$3004,$AS44)))</f>
        <v/>
      </c>
      <c r="G44" s="14">
        <f>IF($A44="","",IF(INDEX('潜水記録'!$F$5:$F$3004,$AS44)="","",INDEX('潜水記録'!$F$5:$F$3004,$AS44)))</f>
        <v/>
      </c>
      <c r="H44" s="14">
        <f>IF($A44="","",IF(INDEX('潜水記録'!$G$5:$G$3004,$AS44)="","",INDEX('潜水記録'!$G$5:$G$3004,$AS44)))</f>
        <v/>
      </c>
      <c r="I44" s="14">
        <f>IF($A44="","",IF(INDEX('潜水記録'!$H$5:$H$3004,$AS44)="","",INDEX('潜水記録'!$H$5:$H$3004,$AS44)))</f>
        <v/>
      </c>
      <c r="J44" s="14">
        <f>IF($A44="","",IF(INDEX('潜水記録'!$I$5:$I$3004,$AS44)="","",INDEX('潜水記録'!$I$5:$I$3004,$AS44)))</f>
        <v/>
      </c>
      <c r="K44" s="14">
        <f>IF($A44="","",IF(INDEX('潜水記録'!$J$5:$J$3004,$AS44)="","",INDEX('潜水記録'!$J$5:$J$3004,$AS44)))</f>
        <v/>
      </c>
      <c r="L44" s="14">
        <f>IF($A44="","",IF(INDEX('潜水記録'!$K$5:$K$3004,$AS44)="","",INDEX('潜水記録'!$K$5:$K$3004,$AS44)))</f>
        <v/>
      </c>
      <c r="M44" s="14">
        <f>IF($A44="","",IF(INDEX('潜水記録'!$L$5:$L$3004,$AS44)="","",INDEX('潜水記録'!$L$5:$L$3004,$AS44)))</f>
        <v/>
      </c>
      <c r="N44" s="14">
        <f>IF($A44="","",IF(INDEX('潜水記録'!$M$5:$M$3004,$AS44)="","",INDEX('潜水記録'!$M$5:$M$3004,$AS44)))</f>
        <v/>
      </c>
      <c r="O44" s="14">
        <f>IF($A44="","",IF(INDEX('潜水記録'!$N$5:$N$3004,$AS44)="","",INDEX('潜水記録'!$N$5:$N$3004,$AS44)))</f>
        <v/>
      </c>
      <c r="P44" s="14">
        <f>IF($A44="","",IF(INDEX('潜水記録'!$O$5:$O$3004,$AS44)="","",INDEX('潜水記録'!$O$5:$O$3004,$AS44)))</f>
        <v/>
      </c>
      <c r="Q44" s="14">
        <f>IF($A44="","",IF(INDEX('潜水記録'!$P$5:$P$3004,$AS44)="","",INDEX('潜水記録'!$P$5:$P$3004,$AS44)))</f>
        <v/>
      </c>
      <c r="R44" s="14">
        <f>IF($A44="","",IF(INDEX('潜水記録'!$Q$5:$Q$3004,$AS44)="","",INDEX('潜水記録'!$Q$5:$Q$3004,$AS44)))</f>
        <v/>
      </c>
      <c r="S44" s="14">
        <f>IF($A44="","",IF(INDEX('潜水記録'!$R$5:$R$3004,$AS44)="","",INDEX('潜水記録'!$R$5:$R$3004,$AS44)))</f>
        <v/>
      </c>
      <c r="T44" s="14">
        <f>IF($A44="","",IF(INDEX('潜水記録'!$S$5:$S$3004,$AS44)="","",INDEX('潜水記録'!$S$5:$S$3004,$AS44)))</f>
        <v/>
      </c>
      <c r="U44" s="14">
        <f>IF($A44="","",IF(INDEX('潜水記録'!$T$5:$T$3004,$AS44)="","",INDEX('潜水記録'!$T$5:$T$3004,$AS44)))</f>
        <v/>
      </c>
      <c r="V44" s="46">
        <f>IF($A44="","",IF(INDEX('潜水記録'!$U$5:$U$3004,$AS44)="","",INDEX('潜水記録'!$U$5:$U$3004,$AS44)))</f>
        <v/>
      </c>
      <c r="W44" s="46">
        <f>IF($A44="","",IF(INDEX('潜水記録'!$V$5:$V$3004,$AS44)="","",INDEX('潜水記録'!$V$5:$V$3004,$AS44)))</f>
        <v/>
      </c>
      <c r="X44" s="14">
        <f>IF($A44="","",IF(INDEX('潜水記録'!$W$5:$W$3004,$AS44)="","",INDEX('潜水記録'!$W$5:$W$3004,$AS44)))</f>
        <v/>
      </c>
      <c r="Y44" s="14">
        <f>IF($A44="","",IF(INDEX('潜水記録'!$X$5:$X$3004,$AS44)="","",INDEX('潜水記録'!$X$5:$X$3004,$AS44)))</f>
        <v/>
      </c>
      <c r="Z44" s="14">
        <f>IF($A44="","",IF(INDEX('潜水記録'!$Y$5:$Y$3004,$AS44)="","",INDEX('潜水記録'!$Y$5:$Y$3004,$AS44)))</f>
        <v/>
      </c>
      <c r="AA44" s="14">
        <f>IF($A44="","",IF(INDEX('潜水記録'!$Z$5:$Z$3004,$AS44)="","",INDEX('潜水記録'!$Z$5:$Z$3004,$AS44)))</f>
        <v/>
      </c>
      <c r="AB44" s="14">
        <f>IF($A44="","",IF(INDEX('潜水記録'!$AA$5:$AA$3004,$AS44)="","",INDEX('潜水記録'!$AA$5:$AA$3004,$AS44)))</f>
        <v/>
      </c>
      <c r="AC44" s="14">
        <f>IF($A44="","",IF(INDEX('潜水記録'!$AB$5:$AB$3004,$AS44)="","",INDEX('潜水記録'!$AB$5:$AB$3004,$AS44)))</f>
        <v/>
      </c>
      <c r="AD44" s="14">
        <f>IF($A44="","",IF(INDEX('潜水記録'!$AC$5:$AC$3004,$AS44)="","",INDEX('潜水記録'!$AC$5:$AC$3004,$AS44)))</f>
        <v/>
      </c>
      <c r="AE44" s="14">
        <f>IF($A44="","",IF(INDEX('潜水記録'!$AD$5:$AD$3004,$AS44)="","",INDEX('潜水記録'!$AD$5:$AD$3004,$AS44)))</f>
        <v/>
      </c>
      <c r="AF44" s="14">
        <f>IF($A44="","",IF(INDEX('潜水記録'!$AE$5:$AE$3004,$AS44)="","",INDEX('潜水記録'!$AE$5:$AE$3004,$AS44)))</f>
        <v/>
      </c>
      <c r="AG44" s="14">
        <f>IF($A44="","",IF(INDEX('潜水記録'!$AL$5:$AL$3004,$AS44)="","",INDEX('潜水記録'!$AL$5:$AL$3004,$AS44)))</f>
        <v/>
      </c>
      <c r="AH44" s="14">
        <f>IF($A44="","",IF(INDEX('潜水記録'!$AM$5:$AM$3004,$AS44)="","",INDEX('潜水記録'!$AM$5:$AM$3004,$AS44)))</f>
        <v/>
      </c>
      <c r="AI44" s="46">
        <f>IF($A44="","",IF(INDEX('潜水記録'!$AN$5:$AN$3004,$AS44)="","",INDEX('潜水記録'!$AN$5:$AN$3004,$AS44)))</f>
        <v/>
      </c>
      <c r="AJ44" s="14">
        <f>IF($A44="","",IF(INDEX('潜水記録'!$AO$5:$AO$3004,$AS44)="","",INDEX('潜水記録'!$AO$5:$AO$3004,$AS44)))</f>
        <v/>
      </c>
      <c r="AK44" s="14">
        <f>IF($A44="","",IF(INDEX('潜水記録'!$AP$5:$AP$3004,$AS44)="","",INDEX('潜水記録'!$AP$5:$AP$3004,$AS44)))</f>
        <v/>
      </c>
      <c r="AL44" s="14">
        <f>IF($A44="","",IF(INDEX('潜水記録'!$AQ$5:$AQ$3004,$AS44)="","",INDEX('潜水記録'!$AQ$5:$AQ$3004,$AS44)))</f>
        <v/>
      </c>
      <c r="AM44" s="14">
        <f>IF($A44="","",IF(INDEX('潜水記録'!$AR$5:$AR$3004,$AS44)="","",INDEX('潜水記録'!$AR$5:$AR$3004,$AS44)))</f>
        <v/>
      </c>
      <c r="AN44" s="14">
        <f>IF($A44="","",IF(INDEX('潜水記録'!$AS$5:$AS$3004,$AS44)="","",INDEX('潜水記録'!$AS$5:$AS$3004,$AS44)))</f>
        <v/>
      </c>
      <c r="AO44" s="14">
        <f>IF($A44="","",IF(INDEX('潜水記録'!$AT$5:$AT$3004,$AS44)="","",INDEX('潜水記録'!$AT$5:$AT$3004,$AS44)))</f>
        <v/>
      </c>
      <c r="AP44" s="14">
        <f>IF($A44="","",IF(INDEX('潜水記録'!$AU$5:$AU$3004,$AS44)="","",INDEX('潜水記録'!$AU$5:$AU$3004,$AS44)))</f>
        <v/>
      </c>
      <c r="AQ44" s="14">
        <f>IF($A44="","",IF(INDEX('潜水記録'!$AV$5:$AV$3004,$AS44)="","",INDEX('潜水記録'!$AV$5:$AV$3004,$AS44)))</f>
        <v/>
      </c>
      <c r="AR44" s="14">
        <f>IF($A44="","",IF(INDEX('潜水記録'!$AW$5:$AW$3004,$AS44)="","",INDEX('潜水記録'!$AW$5:$AW$3004,$AS44)))</f>
        <v/>
      </c>
      <c r="AS44" s="20">
        <f>IF($A44="","",MATCH($A44,'潜水記録'!$AI$5:$AI$3004,0))</f>
        <v/>
      </c>
    </row>
    <row r="45">
      <c r="A45" s="14">
        <f>IF(35&lt;=$C$8,35,"")</f>
        <v/>
      </c>
      <c r="B45" s="16">
        <f>IF($A45="","",IF(INDEX('潜水記録'!$A$5:$A$3004,$AS45)="","",INDEX('潜水記録'!$A$5:$A$3004,$AS45)))</f>
        <v/>
      </c>
      <c r="C45" s="14">
        <f>IF($A45="","",IF(INDEX('潜水記録'!$B$5:$B$3004,$AS45)="","",INDEX('潜水記録'!$B$5:$B$3004,$AS45)))</f>
        <v/>
      </c>
      <c r="D45" s="14">
        <f>IF($A45="","",IF(INDEX('潜水記録'!$C$5:$C$3004,$AS45)="","",INDEX('潜水記録'!$C$5:$C$3004,$AS45)))</f>
        <v/>
      </c>
      <c r="E45" s="14">
        <f>IF($A45="","",IF(INDEX('潜水記録'!$D$5:$D$3004,$AS45)="","",INDEX('潜水記録'!$D$5:$D$3004,$AS45)))</f>
        <v/>
      </c>
      <c r="F45" s="14">
        <f>IF($A45="","",IF(INDEX('潜水記録'!$E$5:$E$3004,$AS45)="","",INDEX('潜水記録'!$E$5:$E$3004,$AS45)))</f>
        <v/>
      </c>
      <c r="G45" s="14">
        <f>IF($A45="","",IF(INDEX('潜水記録'!$F$5:$F$3004,$AS45)="","",INDEX('潜水記録'!$F$5:$F$3004,$AS45)))</f>
        <v/>
      </c>
      <c r="H45" s="14">
        <f>IF($A45="","",IF(INDEX('潜水記録'!$G$5:$G$3004,$AS45)="","",INDEX('潜水記録'!$G$5:$G$3004,$AS45)))</f>
        <v/>
      </c>
      <c r="I45" s="14">
        <f>IF($A45="","",IF(INDEX('潜水記録'!$H$5:$H$3004,$AS45)="","",INDEX('潜水記録'!$H$5:$H$3004,$AS45)))</f>
        <v/>
      </c>
      <c r="J45" s="14">
        <f>IF($A45="","",IF(INDEX('潜水記録'!$I$5:$I$3004,$AS45)="","",INDEX('潜水記録'!$I$5:$I$3004,$AS45)))</f>
        <v/>
      </c>
      <c r="K45" s="14">
        <f>IF($A45="","",IF(INDEX('潜水記録'!$J$5:$J$3004,$AS45)="","",INDEX('潜水記録'!$J$5:$J$3004,$AS45)))</f>
        <v/>
      </c>
      <c r="L45" s="14">
        <f>IF($A45="","",IF(INDEX('潜水記録'!$K$5:$K$3004,$AS45)="","",INDEX('潜水記録'!$K$5:$K$3004,$AS45)))</f>
        <v/>
      </c>
      <c r="M45" s="14">
        <f>IF($A45="","",IF(INDEX('潜水記録'!$L$5:$L$3004,$AS45)="","",INDEX('潜水記録'!$L$5:$L$3004,$AS45)))</f>
        <v/>
      </c>
      <c r="N45" s="14">
        <f>IF($A45="","",IF(INDEX('潜水記録'!$M$5:$M$3004,$AS45)="","",INDEX('潜水記録'!$M$5:$M$3004,$AS45)))</f>
        <v/>
      </c>
      <c r="O45" s="14">
        <f>IF($A45="","",IF(INDEX('潜水記録'!$N$5:$N$3004,$AS45)="","",INDEX('潜水記録'!$N$5:$N$3004,$AS45)))</f>
        <v/>
      </c>
      <c r="P45" s="14">
        <f>IF($A45="","",IF(INDEX('潜水記録'!$O$5:$O$3004,$AS45)="","",INDEX('潜水記録'!$O$5:$O$3004,$AS45)))</f>
        <v/>
      </c>
      <c r="Q45" s="14">
        <f>IF($A45="","",IF(INDEX('潜水記録'!$P$5:$P$3004,$AS45)="","",INDEX('潜水記録'!$P$5:$P$3004,$AS45)))</f>
        <v/>
      </c>
      <c r="R45" s="14">
        <f>IF($A45="","",IF(INDEX('潜水記録'!$Q$5:$Q$3004,$AS45)="","",INDEX('潜水記録'!$Q$5:$Q$3004,$AS45)))</f>
        <v/>
      </c>
      <c r="S45" s="14">
        <f>IF($A45="","",IF(INDEX('潜水記録'!$R$5:$R$3004,$AS45)="","",INDEX('潜水記録'!$R$5:$R$3004,$AS45)))</f>
        <v/>
      </c>
      <c r="T45" s="14">
        <f>IF($A45="","",IF(INDEX('潜水記録'!$S$5:$S$3004,$AS45)="","",INDEX('潜水記録'!$S$5:$S$3004,$AS45)))</f>
        <v/>
      </c>
      <c r="U45" s="14">
        <f>IF($A45="","",IF(INDEX('潜水記録'!$T$5:$T$3004,$AS45)="","",INDEX('潜水記録'!$T$5:$T$3004,$AS45)))</f>
        <v/>
      </c>
      <c r="V45" s="46">
        <f>IF($A45="","",IF(INDEX('潜水記録'!$U$5:$U$3004,$AS45)="","",INDEX('潜水記録'!$U$5:$U$3004,$AS45)))</f>
        <v/>
      </c>
      <c r="W45" s="46">
        <f>IF($A45="","",IF(INDEX('潜水記録'!$V$5:$V$3004,$AS45)="","",INDEX('潜水記録'!$V$5:$V$3004,$AS45)))</f>
        <v/>
      </c>
      <c r="X45" s="14">
        <f>IF($A45="","",IF(INDEX('潜水記録'!$W$5:$W$3004,$AS45)="","",INDEX('潜水記録'!$W$5:$W$3004,$AS45)))</f>
        <v/>
      </c>
      <c r="Y45" s="14">
        <f>IF($A45="","",IF(INDEX('潜水記録'!$X$5:$X$3004,$AS45)="","",INDEX('潜水記録'!$X$5:$X$3004,$AS45)))</f>
        <v/>
      </c>
      <c r="Z45" s="14">
        <f>IF($A45="","",IF(INDEX('潜水記録'!$Y$5:$Y$3004,$AS45)="","",INDEX('潜水記録'!$Y$5:$Y$3004,$AS45)))</f>
        <v/>
      </c>
      <c r="AA45" s="14">
        <f>IF($A45="","",IF(INDEX('潜水記録'!$Z$5:$Z$3004,$AS45)="","",INDEX('潜水記録'!$Z$5:$Z$3004,$AS45)))</f>
        <v/>
      </c>
      <c r="AB45" s="14">
        <f>IF($A45="","",IF(INDEX('潜水記録'!$AA$5:$AA$3004,$AS45)="","",INDEX('潜水記録'!$AA$5:$AA$3004,$AS45)))</f>
        <v/>
      </c>
      <c r="AC45" s="14">
        <f>IF($A45="","",IF(INDEX('潜水記録'!$AB$5:$AB$3004,$AS45)="","",INDEX('潜水記録'!$AB$5:$AB$3004,$AS45)))</f>
        <v/>
      </c>
      <c r="AD45" s="14">
        <f>IF($A45="","",IF(INDEX('潜水記録'!$AC$5:$AC$3004,$AS45)="","",INDEX('潜水記録'!$AC$5:$AC$3004,$AS45)))</f>
        <v/>
      </c>
      <c r="AE45" s="14">
        <f>IF($A45="","",IF(INDEX('潜水記録'!$AD$5:$AD$3004,$AS45)="","",INDEX('潜水記録'!$AD$5:$AD$3004,$AS45)))</f>
        <v/>
      </c>
      <c r="AF45" s="14">
        <f>IF($A45="","",IF(INDEX('潜水記録'!$AE$5:$AE$3004,$AS45)="","",INDEX('潜水記録'!$AE$5:$AE$3004,$AS45)))</f>
        <v/>
      </c>
      <c r="AG45" s="14">
        <f>IF($A45="","",IF(INDEX('潜水記録'!$AL$5:$AL$3004,$AS45)="","",INDEX('潜水記録'!$AL$5:$AL$3004,$AS45)))</f>
        <v/>
      </c>
      <c r="AH45" s="14">
        <f>IF($A45="","",IF(INDEX('潜水記録'!$AM$5:$AM$3004,$AS45)="","",INDEX('潜水記録'!$AM$5:$AM$3004,$AS45)))</f>
        <v/>
      </c>
      <c r="AI45" s="46">
        <f>IF($A45="","",IF(INDEX('潜水記録'!$AN$5:$AN$3004,$AS45)="","",INDEX('潜水記録'!$AN$5:$AN$3004,$AS45)))</f>
        <v/>
      </c>
      <c r="AJ45" s="14">
        <f>IF($A45="","",IF(INDEX('潜水記録'!$AO$5:$AO$3004,$AS45)="","",INDEX('潜水記録'!$AO$5:$AO$3004,$AS45)))</f>
        <v/>
      </c>
      <c r="AK45" s="14">
        <f>IF($A45="","",IF(INDEX('潜水記録'!$AP$5:$AP$3004,$AS45)="","",INDEX('潜水記録'!$AP$5:$AP$3004,$AS45)))</f>
        <v/>
      </c>
      <c r="AL45" s="14">
        <f>IF($A45="","",IF(INDEX('潜水記録'!$AQ$5:$AQ$3004,$AS45)="","",INDEX('潜水記録'!$AQ$5:$AQ$3004,$AS45)))</f>
        <v/>
      </c>
      <c r="AM45" s="14">
        <f>IF($A45="","",IF(INDEX('潜水記録'!$AR$5:$AR$3004,$AS45)="","",INDEX('潜水記録'!$AR$5:$AR$3004,$AS45)))</f>
        <v/>
      </c>
      <c r="AN45" s="14">
        <f>IF($A45="","",IF(INDEX('潜水記録'!$AS$5:$AS$3004,$AS45)="","",INDEX('潜水記録'!$AS$5:$AS$3004,$AS45)))</f>
        <v/>
      </c>
      <c r="AO45" s="14">
        <f>IF($A45="","",IF(INDEX('潜水記録'!$AT$5:$AT$3004,$AS45)="","",INDEX('潜水記録'!$AT$5:$AT$3004,$AS45)))</f>
        <v/>
      </c>
      <c r="AP45" s="14">
        <f>IF($A45="","",IF(INDEX('潜水記録'!$AU$5:$AU$3004,$AS45)="","",INDEX('潜水記録'!$AU$5:$AU$3004,$AS45)))</f>
        <v/>
      </c>
      <c r="AQ45" s="14">
        <f>IF($A45="","",IF(INDEX('潜水記録'!$AV$5:$AV$3004,$AS45)="","",INDEX('潜水記録'!$AV$5:$AV$3004,$AS45)))</f>
        <v/>
      </c>
      <c r="AR45" s="14">
        <f>IF($A45="","",IF(INDEX('潜水記録'!$AW$5:$AW$3004,$AS45)="","",INDEX('潜水記録'!$AW$5:$AW$3004,$AS45)))</f>
        <v/>
      </c>
      <c r="AS45" s="20">
        <f>IF($A45="","",MATCH($A45,'潜水記録'!$AI$5:$AI$3004,0))</f>
        <v/>
      </c>
    </row>
    <row r="46">
      <c r="A46" s="14">
        <f>IF(36&lt;=$C$8,36,"")</f>
        <v/>
      </c>
      <c r="B46" s="16">
        <f>IF($A46="","",IF(INDEX('潜水記録'!$A$5:$A$3004,$AS46)="","",INDEX('潜水記録'!$A$5:$A$3004,$AS46)))</f>
        <v/>
      </c>
      <c r="C46" s="14">
        <f>IF($A46="","",IF(INDEX('潜水記録'!$B$5:$B$3004,$AS46)="","",INDEX('潜水記録'!$B$5:$B$3004,$AS46)))</f>
        <v/>
      </c>
      <c r="D46" s="14">
        <f>IF($A46="","",IF(INDEX('潜水記録'!$C$5:$C$3004,$AS46)="","",INDEX('潜水記録'!$C$5:$C$3004,$AS46)))</f>
        <v/>
      </c>
      <c r="E46" s="14">
        <f>IF($A46="","",IF(INDEX('潜水記録'!$D$5:$D$3004,$AS46)="","",INDEX('潜水記録'!$D$5:$D$3004,$AS46)))</f>
        <v/>
      </c>
      <c r="F46" s="14">
        <f>IF($A46="","",IF(INDEX('潜水記録'!$E$5:$E$3004,$AS46)="","",INDEX('潜水記録'!$E$5:$E$3004,$AS46)))</f>
        <v/>
      </c>
      <c r="G46" s="14">
        <f>IF($A46="","",IF(INDEX('潜水記録'!$F$5:$F$3004,$AS46)="","",INDEX('潜水記録'!$F$5:$F$3004,$AS46)))</f>
        <v/>
      </c>
      <c r="H46" s="14">
        <f>IF($A46="","",IF(INDEX('潜水記録'!$G$5:$G$3004,$AS46)="","",INDEX('潜水記録'!$G$5:$G$3004,$AS46)))</f>
        <v/>
      </c>
      <c r="I46" s="14">
        <f>IF($A46="","",IF(INDEX('潜水記録'!$H$5:$H$3004,$AS46)="","",INDEX('潜水記録'!$H$5:$H$3004,$AS46)))</f>
        <v/>
      </c>
      <c r="J46" s="14">
        <f>IF($A46="","",IF(INDEX('潜水記録'!$I$5:$I$3004,$AS46)="","",INDEX('潜水記録'!$I$5:$I$3004,$AS46)))</f>
        <v/>
      </c>
      <c r="K46" s="14">
        <f>IF($A46="","",IF(INDEX('潜水記録'!$J$5:$J$3004,$AS46)="","",INDEX('潜水記録'!$J$5:$J$3004,$AS46)))</f>
        <v/>
      </c>
      <c r="L46" s="14">
        <f>IF($A46="","",IF(INDEX('潜水記録'!$K$5:$K$3004,$AS46)="","",INDEX('潜水記録'!$K$5:$K$3004,$AS46)))</f>
        <v/>
      </c>
      <c r="M46" s="14">
        <f>IF($A46="","",IF(INDEX('潜水記録'!$L$5:$L$3004,$AS46)="","",INDEX('潜水記録'!$L$5:$L$3004,$AS46)))</f>
        <v/>
      </c>
      <c r="N46" s="14">
        <f>IF($A46="","",IF(INDEX('潜水記録'!$M$5:$M$3004,$AS46)="","",INDEX('潜水記録'!$M$5:$M$3004,$AS46)))</f>
        <v/>
      </c>
      <c r="O46" s="14">
        <f>IF($A46="","",IF(INDEX('潜水記録'!$N$5:$N$3004,$AS46)="","",INDEX('潜水記録'!$N$5:$N$3004,$AS46)))</f>
        <v/>
      </c>
      <c r="P46" s="14">
        <f>IF($A46="","",IF(INDEX('潜水記録'!$O$5:$O$3004,$AS46)="","",INDEX('潜水記録'!$O$5:$O$3004,$AS46)))</f>
        <v/>
      </c>
      <c r="Q46" s="14">
        <f>IF($A46="","",IF(INDEX('潜水記録'!$P$5:$P$3004,$AS46)="","",INDEX('潜水記録'!$P$5:$P$3004,$AS46)))</f>
        <v/>
      </c>
      <c r="R46" s="14">
        <f>IF($A46="","",IF(INDEX('潜水記録'!$Q$5:$Q$3004,$AS46)="","",INDEX('潜水記録'!$Q$5:$Q$3004,$AS46)))</f>
        <v/>
      </c>
      <c r="S46" s="14">
        <f>IF($A46="","",IF(INDEX('潜水記録'!$R$5:$R$3004,$AS46)="","",INDEX('潜水記録'!$R$5:$R$3004,$AS46)))</f>
        <v/>
      </c>
      <c r="T46" s="14">
        <f>IF($A46="","",IF(INDEX('潜水記録'!$S$5:$S$3004,$AS46)="","",INDEX('潜水記録'!$S$5:$S$3004,$AS46)))</f>
        <v/>
      </c>
      <c r="U46" s="14">
        <f>IF($A46="","",IF(INDEX('潜水記録'!$T$5:$T$3004,$AS46)="","",INDEX('潜水記録'!$T$5:$T$3004,$AS46)))</f>
        <v/>
      </c>
      <c r="V46" s="46">
        <f>IF($A46="","",IF(INDEX('潜水記録'!$U$5:$U$3004,$AS46)="","",INDEX('潜水記録'!$U$5:$U$3004,$AS46)))</f>
        <v/>
      </c>
      <c r="W46" s="46">
        <f>IF($A46="","",IF(INDEX('潜水記録'!$V$5:$V$3004,$AS46)="","",INDEX('潜水記録'!$V$5:$V$3004,$AS46)))</f>
        <v/>
      </c>
      <c r="X46" s="14">
        <f>IF($A46="","",IF(INDEX('潜水記録'!$W$5:$W$3004,$AS46)="","",INDEX('潜水記録'!$W$5:$W$3004,$AS46)))</f>
        <v/>
      </c>
      <c r="Y46" s="14">
        <f>IF($A46="","",IF(INDEX('潜水記録'!$X$5:$X$3004,$AS46)="","",INDEX('潜水記録'!$X$5:$X$3004,$AS46)))</f>
        <v/>
      </c>
      <c r="Z46" s="14">
        <f>IF($A46="","",IF(INDEX('潜水記録'!$Y$5:$Y$3004,$AS46)="","",INDEX('潜水記録'!$Y$5:$Y$3004,$AS46)))</f>
        <v/>
      </c>
      <c r="AA46" s="14">
        <f>IF($A46="","",IF(INDEX('潜水記録'!$Z$5:$Z$3004,$AS46)="","",INDEX('潜水記録'!$Z$5:$Z$3004,$AS46)))</f>
        <v/>
      </c>
      <c r="AB46" s="14">
        <f>IF($A46="","",IF(INDEX('潜水記録'!$AA$5:$AA$3004,$AS46)="","",INDEX('潜水記録'!$AA$5:$AA$3004,$AS46)))</f>
        <v/>
      </c>
      <c r="AC46" s="14">
        <f>IF($A46="","",IF(INDEX('潜水記録'!$AB$5:$AB$3004,$AS46)="","",INDEX('潜水記録'!$AB$5:$AB$3004,$AS46)))</f>
        <v/>
      </c>
      <c r="AD46" s="14">
        <f>IF($A46="","",IF(INDEX('潜水記録'!$AC$5:$AC$3004,$AS46)="","",INDEX('潜水記録'!$AC$5:$AC$3004,$AS46)))</f>
        <v/>
      </c>
      <c r="AE46" s="14">
        <f>IF($A46="","",IF(INDEX('潜水記録'!$AD$5:$AD$3004,$AS46)="","",INDEX('潜水記録'!$AD$5:$AD$3004,$AS46)))</f>
        <v/>
      </c>
      <c r="AF46" s="14">
        <f>IF($A46="","",IF(INDEX('潜水記録'!$AE$5:$AE$3004,$AS46)="","",INDEX('潜水記録'!$AE$5:$AE$3004,$AS46)))</f>
        <v/>
      </c>
      <c r="AG46" s="14">
        <f>IF($A46="","",IF(INDEX('潜水記録'!$AL$5:$AL$3004,$AS46)="","",INDEX('潜水記録'!$AL$5:$AL$3004,$AS46)))</f>
        <v/>
      </c>
      <c r="AH46" s="14">
        <f>IF($A46="","",IF(INDEX('潜水記録'!$AM$5:$AM$3004,$AS46)="","",INDEX('潜水記録'!$AM$5:$AM$3004,$AS46)))</f>
        <v/>
      </c>
      <c r="AI46" s="46">
        <f>IF($A46="","",IF(INDEX('潜水記録'!$AN$5:$AN$3004,$AS46)="","",INDEX('潜水記録'!$AN$5:$AN$3004,$AS46)))</f>
        <v/>
      </c>
      <c r="AJ46" s="14">
        <f>IF($A46="","",IF(INDEX('潜水記録'!$AO$5:$AO$3004,$AS46)="","",INDEX('潜水記録'!$AO$5:$AO$3004,$AS46)))</f>
        <v/>
      </c>
      <c r="AK46" s="14">
        <f>IF($A46="","",IF(INDEX('潜水記録'!$AP$5:$AP$3004,$AS46)="","",INDEX('潜水記録'!$AP$5:$AP$3004,$AS46)))</f>
        <v/>
      </c>
      <c r="AL46" s="14">
        <f>IF($A46="","",IF(INDEX('潜水記録'!$AQ$5:$AQ$3004,$AS46)="","",INDEX('潜水記録'!$AQ$5:$AQ$3004,$AS46)))</f>
        <v/>
      </c>
      <c r="AM46" s="14">
        <f>IF($A46="","",IF(INDEX('潜水記録'!$AR$5:$AR$3004,$AS46)="","",INDEX('潜水記録'!$AR$5:$AR$3004,$AS46)))</f>
        <v/>
      </c>
      <c r="AN46" s="14">
        <f>IF($A46="","",IF(INDEX('潜水記録'!$AS$5:$AS$3004,$AS46)="","",INDEX('潜水記録'!$AS$5:$AS$3004,$AS46)))</f>
        <v/>
      </c>
      <c r="AO46" s="14">
        <f>IF($A46="","",IF(INDEX('潜水記録'!$AT$5:$AT$3004,$AS46)="","",INDEX('潜水記録'!$AT$5:$AT$3004,$AS46)))</f>
        <v/>
      </c>
      <c r="AP46" s="14">
        <f>IF($A46="","",IF(INDEX('潜水記録'!$AU$5:$AU$3004,$AS46)="","",INDEX('潜水記録'!$AU$5:$AU$3004,$AS46)))</f>
        <v/>
      </c>
      <c r="AQ46" s="14">
        <f>IF($A46="","",IF(INDEX('潜水記録'!$AV$5:$AV$3004,$AS46)="","",INDEX('潜水記録'!$AV$5:$AV$3004,$AS46)))</f>
        <v/>
      </c>
      <c r="AR46" s="14">
        <f>IF($A46="","",IF(INDEX('潜水記録'!$AW$5:$AW$3004,$AS46)="","",INDEX('潜水記録'!$AW$5:$AW$3004,$AS46)))</f>
        <v/>
      </c>
      <c r="AS46" s="20">
        <f>IF($A46="","",MATCH($A46,'潜水記録'!$AI$5:$AI$3004,0))</f>
        <v/>
      </c>
    </row>
    <row r="47">
      <c r="A47" s="14">
        <f>IF(37&lt;=$C$8,37,"")</f>
        <v/>
      </c>
      <c r="B47" s="16">
        <f>IF($A47="","",IF(INDEX('潜水記録'!$A$5:$A$3004,$AS47)="","",INDEX('潜水記録'!$A$5:$A$3004,$AS47)))</f>
        <v/>
      </c>
      <c r="C47" s="14">
        <f>IF($A47="","",IF(INDEX('潜水記録'!$B$5:$B$3004,$AS47)="","",INDEX('潜水記録'!$B$5:$B$3004,$AS47)))</f>
        <v/>
      </c>
      <c r="D47" s="14">
        <f>IF($A47="","",IF(INDEX('潜水記録'!$C$5:$C$3004,$AS47)="","",INDEX('潜水記録'!$C$5:$C$3004,$AS47)))</f>
        <v/>
      </c>
      <c r="E47" s="14">
        <f>IF($A47="","",IF(INDEX('潜水記録'!$D$5:$D$3004,$AS47)="","",INDEX('潜水記録'!$D$5:$D$3004,$AS47)))</f>
        <v/>
      </c>
      <c r="F47" s="14">
        <f>IF($A47="","",IF(INDEX('潜水記録'!$E$5:$E$3004,$AS47)="","",INDEX('潜水記録'!$E$5:$E$3004,$AS47)))</f>
        <v/>
      </c>
      <c r="G47" s="14">
        <f>IF($A47="","",IF(INDEX('潜水記録'!$F$5:$F$3004,$AS47)="","",INDEX('潜水記録'!$F$5:$F$3004,$AS47)))</f>
        <v/>
      </c>
      <c r="H47" s="14">
        <f>IF($A47="","",IF(INDEX('潜水記録'!$G$5:$G$3004,$AS47)="","",INDEX('潜水記録'!$G$5:$G$3004,$AS47)))</f>
        <v/>
      </c>
      <c r="I47" s="14">
        <f>IF($A47="","",IF(INDEX('潜水記録'!$H$5:$H$3004,$AS47)="","",INDEX('潜水記録'!$H$5:$H$3004,$AS47)))</f>
        <v/>
      </c>
      <c r="J47" s="14">
        <f>IF($A47="","",IF(INDEX('潜水記録'!$I$5:$I$3004,$AS47)="","",INDEX('潜水記録'!$I$5:$I$3004,$AS47)))</f>
        <v/>
      </c>
      <c r="K47" s="14">
        <f>IF($A47="","",IF(INDEX('潜水記録'!$J$5:$J$3004,$AS47)="","",INDEX('潜水記録'!$J$5:$J$3004,$AS47)))</f>
        <v/>
      </c>
      <c r="L47" s="14">
        <f>IF($A47="","",IF(INDEX('潜水記録'!$K$5:$K$3004,$AS47)="","",INDEX('潜水記録'!$K$5:$K$3004,$AS47)))</f>
        <v/>
      </c>
      <c r="M47" s="14">
        <f>IF($A47="","",IF(INDEX('潜水記録'!$L$5:$L$3004,$AS47)="","",INDEX('潜水記録'!$L$5:$L$3004,$AS47)))</f>
        <v/>
      </c>
      <c r="N47" s="14">
        <f>IF($A47="","",IF(INDEX('潜水記録'!$M$5:$M$3004,$AS47)="","",INDEX('潜水記録'!$M$5:$M$3004,$AS47)))</f>
        <v/>
      </c>
      <c r="O47" s="14">
        <f>IF($A47="","",IF(INDEX('潜水記録'!$N$5:$N$3004,$AS47)="","",INDEX('潜水記録'!$N$5:$N$3004,$AS47)))</f>
        <v/>
      </c>
      <c r="P47" s="14">
        <f>IF($A47="","",IF(INDEX('潜水記録'!$O$5:$O$3004,$AS47)="","",INDEX('潜水記録'!$O$5:$O$3004,$AS47)))</f>
        <v/>
      </c>
      <c r="Q47" s="14">
        <f>IF($A47="","",IF(INDEX('潜水記録'!$P$5:$P$3004,$AS47)="","",INDEX('潜水記録'!$P$5:$P$3004,$AS47)))</f>
        <v/>
      </c>
      <c r="R47" s="14">
        <f>IF($A47="","",IF(INDEX('潜水記録'!$Q$5:$Q$3004,$AS47)="","",INDEX('潜水記録'!$Q$5:$Q$3004,$AS47)))</f>
        <v/>
      </c>
      <c r="S47" s="14">
        <f>IF($A47="","",IF(INDEX('潜水記録'!$R$5:$R$3004,$AS47)="","",INDEX('潜水記録'!$R$5:$R$3004,$AS47)))</f>
        <v/>
      </c>
      <c r="T47" s="14">
        <f>IF($A47="","",IF(INDEX('潜水記録'!$S$5:$S$3004,$AS47)="","",INDEX('潜水記録'!$S$5:$S$3004,$AS47)))</f>
        <v/>
      </c>
      <c r="U47" s="14">
        <f>IF($A47="","",IF(INDEX('潜水記録'!$T$5:$T$3004,$AS47)="","",INDEX('潜水記録'!$T$5:$T$3004,$AS47)))</f>
        <v/>
      </c>
      <c r="V47" s="46">
        <f>IF($A47="","",IF(INDEX('潜水記録'!$U$5:$U$3004,$AS47)="","",INDEX('潜水記録'!$U$5:$U$3004,$AS47)))</f>
        <v/>
      </c>
      <c r="W47" s="46">
        <f>IF($A47="","",IF(INDEX('潜水記録'!$V$5:$V$3004,$AS47)="","",INDEX('潜水記録'!$V$5:$V$3004,$AS47)))</f>
        <v/>
      </c>
      <c r="X47" s="14">
        <f>IF($A47="","",IF(INDEX('潜水記録'!$W$5:$W$3004,$AS47)="","",INDEX('潜水記録'!$W$5:$W$3004,$AS47)))</f>
        <v/>
      </c>
      <c r="Y47" s="14">
        <f>IF($A47="","",IF(INDEX('潜水記録'!$X$5:$X$3004,$AS47)="","",INDEX('潜水記録'!$X$5:$X$3004,$AS47)))</f>
        <v/>
      </c>
      <c r="Z47" s="14">
        <f>IF($A47="","",IF(INDEX('潜水記録'!$Y$5:$Y$3004,$AS47)="","",INDEX('潜水記録'!$Y$5:$Y$3004,$AS47)))</f>
        <v/>
      </c>
      <c r="AA47" s="14">
        <f>IF($A47="","",IF(INDEX('潜水記録'!$Z$5:$Z$3004,$AS47)="","",INDEX('潜水記録'!$Z$5:$Z$3004,$AS47)))</f>
        <v/>
      </c>
      <c r="AB47" s="14">
        <f>IF($A47="","",IF(INDEX('潜水記録'!$AA$5:$AA$3004,$AS47)="","",INDEX('潜水記録'!$AA$5:$AA$3004,$AS47)))</f>
        <v/>
      </c>
      <c r="AC47" s="14">
        <f>IF($A47="","",IF(INDEX('潜水記録'!$AB$5:$AB$3004,$AS47)="","",INDEX('潜水記録'!$AB$5:$AB$3004,$AS47)))</f>
        <v/>
      </c>
      <c r="AD47" s="14">
        <f>IF($A47="","",IF(INDEX('潜水記録'!$AC$5:$AC$3004,$AS47)="","",INDEX('潜水記録'!$AC$5:$AC$3004,$AS47)))</f>
        <v/>
      </c>
      <c r="AE47" s="14">
        <f>IF($A47="","",IF(INDEX('潜水記録'!$AD$5:$AD$3004,$AS47)="","",INDEX('潜水記録'!$AD$5:$AD$3004,$AS47)))</f>
        <v/>
      </c>
      <c r="AF47" s="14">
        <f>IF($A47="","",IF(INDEX('潜水記録'!$AE$5:$AE$3004,$AS47)="","",INDEX('潜水記録'!$AE$5:$AE$3004,$AS47)))</f>
        <v/>
      </c>
      <c r="AG47" s="14">
        <f>IF($A47="","",IF(INDEX('潜水記録'!$AL$5:$AL$3004,$AS47)="","",INDEX('潜水記録'!$AL$5:$AL$3004,$AS47)))</f>
        <v/>
      </c>
      <c r="AH47" s="14">
        <f>IF($A47="","",IF(INDEX('潜水記録'!$AM$5:$AM$3004,$AS47)="","",INDEX('潜水記録'!$AM$5:$AM$3004,$AS47)))</f>
        <v/>
      </c>
      <c r="AI47" s="46">
        <f>IF($A47="","",IF(INDEX('潜水記録'!$AN$5:$AN$3004,$AS47)="","",INDEX('潜水記録'!$AN$5:$AN$3004,$AS47)))</f>
        <v/>
      </c>
      <c r="AJ47" s="14">
        <f>IF($A47="","",IF(INDEX('潜水記録'!$AO$5:$AO$3004,$AS47)="","",INDEX('潜水記録'!$AO$5:$AO$3004,$AS47)))</f>
        <v/>
      </c>
      <c r="AK47" s="14">
        <f>IF($A47="","",IF(INDEX('潜水記録'!$AP$5:$AP$3004,$AS47)="","",INDEX('潜水記録'!$AP$5:$AP$3004,$AS47)))</f>
        <v/>
      </c>
      <c r="AL47" s="14">
        <f>IF($A47="","",IF(INDEX('潜水記録'!$AQ$5:$AQ$3004,$AS47)="","",INDEX('潜水記録'!$AQ$5:$AQ$3004,$AS47)))</f>
        <v/>
      </c>
      <c r="AM47" s="14">
        <f>IF($A47="","",IF(INDEX('潜水記録'!$AR$5:$AR$3004,$AS47)="","",INDEX('潜水記録'!$AR$5:$AR$3004,$AS47)))</f>
        <v/>
      </c>
      <c r="AN47" s="14">
        <f>IF($A47="","",IF(INDEX('潜水記録'!$AS$5:$AS$3004,$AS47)="","",INDEX('潜水記録'!$AS$5:$AS$3004,$AS47)))</f>
        <v/>
      </c>
      <c r="AO47" s="14">
        <f>IF($A47="","",IF(INDEX('潜水記録'!$AT$5:$AT$3004,$AS47)="","",INDEX('潜水記録'!$AT$5:$AT$3004,$AS47)))</f>
        <v/>
      </c>
      <c r="AP47" s="14">
        <f>IF($A47="","",IF(INDEX('潜水記録'!$AU$5:$AU$3004,$AS47)="","",INDEX('潜水記録'!$AU$5:$AU$3004,$AS47)))</f>
        <v/>
      </c>
      <c r="AQ47" s="14">
        <f>IF($A47="","",IF(INDEX('潜水記録'!$AV$5:$AV$3004,$AS47)="","",INDEX('潜水記録'!$AV$5:$AV$3004,$AS47)))</f>
        <v/>
      </c>
      <c r="AR47" s="14">
        <f>IF($A47="","",IF(INDEX('潜水記録'!$AW$5:$AW$3004,$AS47)="","",INDEX('潜水記録'!$AW$5:$AW$3004,$AS47)))</f>
        <v/>
      </c>
      <c r="AS47" s="20">
        <f>IF($A47="","",MATCH($A47,'潜水記録'!$AI$5:$AI$3004,0))</f>
        <v/>
      </c>
    </row>
    <row r="48">
      <c r="A48" s="14">
        <f>IF(38&lt;=$C$8,38,"")</f>
        <v/>
      </c>
      <c r="B48" s="16">
        <f>IF($A48="","",IF(INDEX('潜水記録'!$A$5:$A$3004,$AS48)="","",INDEX('潜水記録'!$A$5:$A$3004,$AS48)))</f>
        <v/>
      </c>
      <c r="C48" s="14">
        <f>IF($A48="","",IF(INDEX('潜水記録'!$B$5:$B$3004,$AS48)="","",INDEX('潜水記録'!$B$5:$B$3004,$AS48)))</f>
        <v/>
      </c>
      <c r="D48" s="14">
        <f>IF($A48="","",IF(INDEX('潜水記録'!$C$5:$C$3004,$AS48)="","",INDEX('潜水記録'!$C$5:$C$3004,$AS48)))</f>
        <v/>
      </c>
      <c r="E48" s="14">
        <f>IF($A48="","",IF(INDEX('潜水記録'!$D$5:$D$3004,$AS48)="","",INDEX('潜水記録'!$D$5:$D$3004,$AS48)))</f>
        <v/>
      </c>
      <c r="F48" s="14">
        <f>IF($A48="","",IF(INDEX('潜水記録'!$E$5:$E$3004,$AS48)="","",INDEX('潜水記録'!$E$5:$E$3004,$AS48)))</f>
        <v/>
      </c>
      <c r="G48" s="14">
        <f>IF($A48="","",IF(INDEX('潜水記録'!$F$5:$F$3004,$AS48)="","",INDEX('潜水記録'!$F$5:$F$3004,$AS48)))</f>
        <v/>
      </c>
      <c r="H48" s="14">
        <f>IF($A48="","",IF(INDEX('潜水記録'!$G$5:$G$3004,$AS48)="","",INDEX('潜水記録'!$G$5:$G$3004,$AS48)))</f>
        <v/>
      </c>
      <c r="I48" s="14">
        <f>IF($A48="","",IF(INDEX('潜水記録'!$H$5:$H$3004,$AS48)="","",INDEX('潜水記録'!$H$5:$H$3004,$AS48)))</f>
        <v/>
      </c>
      <c r="J48" s="14">
        <f>IF($A48="","",IF(INDEX('潜水記録'!$I$5:$I$3004,$AS48)="","",INDEX('潜水記録'!$I$5:$I$3004,$AS48)))</f>
        <v/>
      </c>
      <c r="K48" s="14">
        <f>IF($A48="","",IF(INDEX('潜水記録'!$J$5:$J$3004,$AS48)="","",INDEX('潜水記録'!$J$5:$J$3004,$AS48)))</f>
        <v/>
      </c>
      <c r="L48" s="14">
        <f>IF($A48="","",IF(INDEX('潜水記録'!$K$5:$K$3004,$AS48)="","",INDEX('潜水記録'!$K$5:$K$3004,$AS48)))</f>
        <v/>
      </c>
      <c r="M48" s="14">
        <f>IF($A48="","",IF(INDEX('潜水記録'!$L$5:$L$3004,$AS48)="","",INDEX('潜水記録'!$L$5:$L$3004,$AS48)))</f>
        <v/>
      </c>
      <c r="N48" s="14">
        <f>IF($A48="","",IF(INDEX('潜水記録'!$M$5:$M$3004,$AS48)="","",INDEX('潜水記録'!$M$5:$M$3004,$AS48)))</f>
        <v/>
      </c>
      <c r="O48" s="14">
        <f>IF($A48="","",IF(INDEX('潜水記録'!$N$5:$N$3004,$AS48)="","",INDEX('潜水記録'!$N$5:$N$3004,$AS48)))</f>
        <v/>
      </c>
      <c r="P48" s="14">
        <f>IF($A48="","",IF(INDEX('潜水記録'!$O$5:$O$3004,$AS48)="","",INDEX('潜水記録'!$O$5:$O$3004,$AS48)))</f>
        <v/>
      </c>
      <c r="Q48" s="14">
        <f>IF($A48="","",IF(INDEX('潜水記録'!$P$5:$P$3004,$AS48)="","",INDEX('潜水記録'!$P$5:$P$3004,$AS48)))</f>
        <v/>
      </c>
      <c r="R48" s="14">
        <f>IF($A48="","",IF(INDEX('潜水記録'!$Q$5:$Q$3004,$AS48)="","",INDEX('潜水記録'!$Q$5:$Q$3004,$AS48)))</f>
        <v/>
      </c>
      <c r="S48" s="14">
        <f>IF($A48="","",IF(INDEX('潜水記録'!$R$5:$R$3004,$AS48)="","",INDEX('潜水記録'!$R$5:$R$3004,$AS48)))</f>
        <v/>
      </c>
      <c r="T48" s="14">
        <f>IF($A48="","",IF(INDEX('潜水記録'!$S$5:$S$3004,$AS48)="","",INDEX('潜水記録'!$S$5:$S$3004,$AS48)))</f>
        <v/>
      </c>
      <c r="U48" s="14">
        <f>IF($A48="","",IF(INDEX('潜水記録'!$T$5:$T$3004,$AS48)="","",INDEX('潜水記録'!$T$5:$T$3004,$AS48)))</f>
        <v/>
      </c>
      <c r="V48" s="46">
        <f>IF($A48="","",IF(INDEX('潜水記録'!$U$5:$U$3004,$AS48)="","",INDEX('潜水記録'!$U$5:$U$3004,$AS48)))</f>
        <v/>
      </c>
      <c r="W48" s="46">
        <f>IF($A48="","",IF(INDEX('潜水記録'!$V$5:$V$3004,$AS48)="","",INDEX('潜水記録'!$V$5:$V$3004,$AS48)))</f>
        <v/>
      </c>
      <c r="X48" s="14">
        <f>IF($A48="","",IF(INDEX('潜水記録'!$W$5:$W$3004,$AS48)="","",INDEX('潜水記録'!$W$5:$W$3004,$AS48)))</f>
        <v/>
      </c>
      <c r="Y48" s="14">
        <f>IF($A48="","",IF(INDEX('潜水記録'!$X$5:$X$3004,$AS48)="","",INDEX('潜水記録'!$X$5:$X$3004,$AS48)))</f>
        <v/>
      </c>
      <c r="Z48" s="14">
        <f>IF($A48="","",IF(INDEX('潜水記録'!$Y$5:$Y$3004,$AS48)="","",INDEX('潜水記録'!$Y$5:$Y$3004,$AS48)))</f>
        <v/>
      </c>
      <c r="AA48" s="14">
        <f>IF($A48="","",IF(INDEX('潜水記録'!$Z$5:$Z$3004,$AS48)="","",INDEX('潜水記録'!$Z$5:$Z$3004,$AS48)))</f>
        <v/>
      </c>
      <c r="AB48" s="14">
        <f>IF($A48="","",IF(INDEX('潜水記録'!$AA$5:$AA$3004,$AS48)="","",INDEX('潜水記録'!$AA$5:$AA$3004,$AS48)))</f>
        <v/>
      </c>
      <c r="AC48" s="14">
        <f>IF($A48="","",IF(INDEX('潜水記録'!$AB$5:$AB$3004,$AS48)="","",INDEX('潜水記録'!$AB$5:$AB$3004,$AS48)))</f>
        <v/>
      </c>
      <c r="AD48" s="14">
        <f>IF($A48="","",IF(INDEX('潜水記録'!$AC$5:$AC$3004,$AS48)="","",INDEX('潜水記録'!$AC$5:$AC$3004,$AS48)))</f>
        <v/>
      </c>
      <c r="AE48" s="14">
        <f>IF($A48="","",IF(INDEX('潜水記録'!$AD$5:$AD$3004,$AS48)="","",INDEX('潜水記録'!$AD$5:$AD$3004,$AS48)))</f>
        <v/>
      </c>
      <c r="AF48" s="14">
        <f>IF($A48="","",IF(INDEX('潜水記録'!$AE$5:$AE$3004,$AS48)="","",INDEX('潜水記録'!$AE$5:$AE$3004,$AS48)))</f>
        <v/>
      </c>
      <c r="AG48" s="14">
        <f>IF($A48="","",IF(INDEX('潜水記録'!$AL$5:$AL$3004,$AS48)="","",INDEX('潜水記録'!$AL$5:$AL$3004,$AS48)))</f>
        <v/>
      </c>
      <c r="AH48" s="14">
        <f>IF($A48="","",IF(INDEX('潜水記録'!$AM$5:$AM$3004,$AS48)="","",INDEX('潜水記録'!$AM$5:$AM$3004,$AS48)))</f>
        <v/>
      </c>
      <c r="AI48" s="46">
        <f>IF($A48="","",IF(INDEX('潜水記録'!$AN$5:$AN$3004,$AS48)="","",INDEX('潜水記録'!$AN$5:$AN$3004,$AS48)))</f>
        <v/>
      </c>
      <c r="AJ48" s="14">
        <f>IF($A48="","",IF(INDEX('潜水記録'!$AO$5:$AO$3004,$AS48)="","",INDEX('潜水記録'!$AO$5:$AO$3004,$AS48)))</f>
        <v/>
      </c>
      <c r="AK48" s="14">
        <f>IF($A48="","",IF(INDEX('潜水記録'!$AP$5:$AP$3004,$AS48)="","",INDEX('潜水記録'!$AP$5:$AP$3004,$AS48)))</f>
        <v/>
      </c>
      <c r="AL48" s="14">
        <f>IF($A48="","",IF(INDEX('潜水記録'!$AQ$5:$AQ$3004,$AS48)="","",INDEX('潜水記録'!$AQ$5:$AQ$3004,$AS48)))</f>
        <v/>
      </c>
      <c r="AM48" s="14">
        <f>IF($A48="","",IF(INDEX('潜水記録'!$AR$5:$AR$3004,$AS48)="","",INDEX('潜水記録'!$AR$5:$AR$3004,$AS48)))</f>
        <v/>
      </c>
      <c r="AN48" s="14">
        <f>IF($A48="","",IF(INDEX('潜水記録'!$AS$5:$AS$3004,$AS48)="","",INDEX('潜水記録'!$AS$5:$AS$3004,$AS48)))</f>
        <v/>
      </c>
      <c r="AO48" s="14">
        <f>IF($A48="","",IF(INDEX('潜水記録'!$AT$5:$AT$3004,$AS48)="","",INDEX('潜水記録'!$AT$5:$AT$3004,$AS48)))</f>
        <v/>
      </c>
      <c r="AP48" s="14">
        <f>IF($A48="","",IF(INDEX('潜水記録'!$AU$5:$AU$3004,$AS48)="","",INDEX('潜水記録'!$AU$5:$AU$3004,$AS48)))</f>
        <v/>
      </c>
      <c r="AQ48" s="14">
        <f>IF($A48="","",IF(INDEX('潜水記録'!$AV$5:$AV$3004,$AS48)="","",INDEX('潜水記録'!$AV$5:$AV$3004,$AS48)))</f>
        <v/>
      </c>
      <c r="AR48" s="14">
        <f>IF($A48="","",IF(INDEX('潜水記録'!$AW$5:$AW$3004,$AS48)="","",INDEX('潜水記録'!$AW$5:$AW$3004,$AS48)))</f>
        <v/>
      </c>
      <c r="AS48" s="20">
        <f>IF($A48="","",MATCH($A48,'潜水記録'!$AI$5:$AI$3004,0))</f>
        <v/>
      </c>
    </row>
    <row r="49">
      <c r="A49" s="14">
        <f>IF(39&lt;=$C$8,39,"")</f>
        <v/>
      </c>
      <c r="B49" s="16">
        <f>IF($A49="","",IF(INDEX('潜水記録'!$A$5:$A$3004,$AS49)="","",INDEX('潜水記録'!$A$5:$A$3004,$AS49)))</f>
        <v/>
      </c>
      <c r="C49" s="14">
        <f>IF($A49="","",IF(INDEX('潜水記録'!$B$5:$B$3004,$AS49)="","",INDEX('潜水記録'!$B$5:$B$3004,$AS49)))</f>
        <v/>
      </c>
      <c r="D49" s="14">
        <f>IF($A49="","",IF(INDEX('潜水記録'!$C$5:$C$3004,$AS49)="","",INDEX('潜水記録'!$C$5:$C$3004,$AS49)))</f>
        <v/>
      </c>
      <c r="E49" s="14">
        <f>IF($A49="","",IF(INDEX('潜水記録'!$D$5:$D$3004,$AS49)="","",INDEX('潜水記録'!$D$5:$D$3004,$AS49)))</f>
        <v/>
      </c>
      <c r="F49" s="14">
        <f>IF($A49="","",IF(INDEX('潜水記録'!$E$5:$E$3004,$AS49)="","",INDEX('潜水記録'!$E$5:$E$3004,$AS49)))</f>
        <v/>
      </c>
      <c r="G49" s="14">
        <f>IF($A49="","",IF(INDEX('潜水記録'!$F$5:$F$3004,$AS49)="","",INDEX('潜水記録'!$F$5:$F$3004,$AS49)))</f>
        <v/>
      </c>
      <c r="H49" s="14">
        <f>IF($A49="","",IF(INDEX('潜水記録'!$G$5:$G$3004,$AS49)="","",INDEX('潜水記録'!$G$5:$G$3004,$AS49)))</f>
        <v/>
      </c>
      <c r="I49" s="14">
        <f>IF($A49="","",IF(INDEX('潜水記録'!$H$5:$H$3004,$AS49)="","",INDEX('潜水記録'!$H$5:$H$3004,$AS49)))</f>
        <v/>
      </c>
      <c r="J49" s="14">
        <f>IF($A49="","",IF(INDEX('潜水記録'!$I$5:$I$3004,$AS49)="","",INDEX('潜水記録'!$I$5:$I$3004,$AS49)))</f>
        <v/>
      </c>
      <c r="K49" s="14">
        <f>IF($A49="","",IF(INDEX('潜水記録'!$J$5:$J$3004,$AS49)="","",INDEX('潜水記録'!$J$5:$J$3004,$AS49)))</f>
        <v/>
      </c>
      <c r="L49" s="14">
        <f>IF($A49="","",IF(INDEX('潜水記録'!$K$5:$K$3004,$AS49)="","",INDEX('潜水記録'!$K$5:$K$3004,$AS49)))</f>
        <v/>
      </c>
      <c r="M49" s="14">
        <f>IF($A49="","",IF(INDEX('潜水記録'!$L$5:$L$3004,$AS49)="","",INDEX('潜水記録'!$L$5:$L$3004,$AS49)))</f>
        <v/>
      </c>
      <c r="N49" s="14">
        <f>IF($A49="","",IF(INDEX('潜水記録'!$M$5:$M$3004,$AS49)="","",INDEX('潜水記録'!$M$5:$M$3004,$AS49)))</f>
        <v/>
      </c>
      <c r="O49" s="14">
        <f>IF($A49="","",IF(INDEX('潜水記録'!$N$5:$N$3004,$AS49)="","",INDEX('潜水記録'!$N$5:$N$3004,$AS49)))</f>
        <v/>
      </c>
      <c r="P49" s="14">
        <f>IF($A49="","",IF(INDEX('潜水記録'!$O$5:$O$3004,$AS49)="","",INDEX('潜水記録'!$O$5:$O$3004,$AS49)))</f>
        <v/>
      </c>
      <c r="Q49" s="14">
        <f>IF($A49="","",IF(INDEX('潜水記録'!$P$5:$P$3004,$AS49)="","",INDEX('潜水記録'!$P$5:$P$3004,$AS49)))</f>
        <v/>
      </c>
      <c r="R49" s="14">
        <f>IF($A49="","",IF(INDEX('潜水記録'!$Q$5:$Q$3004,$AS49)="","",INDEX('潜水記録'!$Q$5:$Q$3004,$AS49)))</f>
        <v/>
      </c>
      <c r="S49" s="14">
        <f>IF($A49="","",IF(INDEX('潜水記録'!$R$5:$R$3004,$AS49)="","",INDEX('潜水記録'!$R$5:$R$3004,$AS49)))</f>
        <v/>
      </c>
      <c r="T49" s="14">
        <f>IF($A49="","",IF(INDEX('潜水記録'!$S$5:$S$3004,$AS49)="","",INDEX('潜水記録'!$S$5:$S$3004,$AS49)))</f>
        <v/>
      </c>
      <c r="U49" s="14">
        <f>IF($A49="","",IF(INDEX('潜水記録'!$T$5:$T$3004,$AS49)="","",INDEX('潜水記録'!$T$5:$T$3004,$AS49)))</f>
        <v/>
      </c>
      <c r="V49" s="46">
        <f>IF($A49="","",IF(INDEX('潜水記録'!$U$5:$U$3004,$AS49)="","",INDEX('潜水記録'!$U$5:$U$3004,$AS49)))</f>
        <v/>
      </c>
      <c r="W49" s="46">
        <f>IF($A49="","",IF(INDEX('潜水記録'!$V$5:$V$3004,$AS49)="","",INDEX('潜水記録'!$V$5:$V$3004,$AS49)))</f>
        <v/>
      </c>
      <c r="X49" s="14">
        <f>IF($A49="","",IF(INDEX('潜水記録'!$W$5:$W$3004,$AS49)="","",INDEX('潜水記録'!$W$5:$W$3004,$AS49)))</f>
        <v/>
      </c>
      <c r="Y49" s="14">
        <f>IF($A49="","",IF(INDEX('潜水記録'!$X$5:$X$3004,$AS49)="","",INDEX('潜水記録'!$X$5:$X$3004,$AS49)))</f>
        <v/>
      </c>
      <c r="Z49" s="14">
        <f>IF($A49="","",IF(INDEX('潜水記録'!$Y$5:$Y$3004,$AS49)="","",INDEX('潜水記録'!$Y$5:$Y$3004,$AS49)))</f>
        <v/>
      </c>
      <c r="AA49" s="14">
        <f>IF($A49="","",IF(INDEX('潜水記録'!$Z$5:$Z$3004,$AS49)="","",INDEX('潜水記録'!$Z$5:$Z$3004,$AS49)))</f>
        <v/>
      </c>
      <c r="AB49" s="14">
        <f>IF($A49="","",IF(INDEX('潜水記録'!$AA$5:$AA$3004,$AS49)="","",INDEX('潜水記録'!$AA$5:$AA$3004,$AS49)))</f>
        <v/>
      </c>
      <c r="AC49" s="14">
        <f>IF($A49="","",IF(INDEX('潜水記録'!$AB$5:$AB$3004,$AS49)="","",INDEX('潜水記録'!$AB$5:$AB$3004,$AS49)))</f>
        <v/>
      </c>
      <c r="AD49" s="14">
        <f>IF($A49="","",IF(INDEX('潜水記録'!$AC$5:$AC$3004,$AS49)="","",INDEX('潜水記録'!$AC$5:$AC$3004,$AS49)))</f>
        <v/>
      </c>
      <c r="AE49" s="14">
        <f>IF($A49="","",IF(INDEX('潜水記録'!$AD$5:$AD$3004,$AS49)="","",INDEX('潜水記録'!$AD$5:$AD$3004,$AS49)))</f>
        <v/>
      </c>
      <c r="AF49" s="14">
        <f>IF($A49="","",IF(INDEX('潜水記録'!$AE$5:$AE$3004,$AS49)="","",INDEX('潜水記録'!$AE$5:$AE$3004,$AS49)))</f>
        <v/>
      </c>
      <c r="AG49" s="14">
        <f>IF($A49="","",IF(INDEX('潜水記録'!$AL$5:$AL$3004,$AS49)="","",INDEX('潜水記録'!$AL$5:$AL$3004,$AS49)))</f>
        <v/>
      </c>
      <c r="AH49" s="14">
        <f>IF($A49="","",IF(INDEX('潜水記録'!$AM$5:$AM$3004,$AS49)="","",INDEX('潜水記録'!$AM$5:$AM$3004,$AS49)))</f>
        <v/>
      </c>
      <c r="AI49" s="46">
        <f>IF($A49="","",IF(INDEX('潜水記録'!$AN$5:$AN$3004,$AS49)="","",INDEX('潜水記録'!$AN$5:$AN$3004,$AS49)))</f>
        <v/>
      </c>
      <c r="AJ49" s="14">
        <f>IF($A49="","",IF(INDEX('潜水記録'!$AO$5:$AO$3004,$AS49)="","",INDEX('潜水記録'!$AO$5:$AO$3004,$AS49)))</f>
        <v/>
      </c>
      <c r="AK49" s="14">
        <f>IF($A49="","",IF(INDEX('潜水記録'!$AP$5:$AP$3004,$AS49)="","",INDEX('潜水記録'!$AP$5:$AP$3004,$AS49)))</f>
        <v/>
      </c>
      <c r="AL49" s="14">
        <f>IF($A49="","",IF(INDEX('潜水記録'!$AQ$5:$AQ$3004,$AS49)="","",INDEX('潜水記録'!$AQ$5:$AQ$3004,$AS49)))</f>
        <v/>
      </c>
      <c r="AM49" s="14">
        <f>IF($A49="","",IF(INDEX('潜水記録'!$AR$5:$AR$3004,$AS49)="","",INDEX('潜水記録'!$AR$5:$AR$3004,$AS49)))</f>
        <v/>
      </c>
      <c r="AN49" s="14">
        <f>IF($A49="","",IF(INDEX('潜水記録'!$AS$5:$AS$3004,$AS49)="","",INDEX('潜水記録'!$AS$5:$AS$3004,$AS49)))</f>
        <v/>
      </c>
      <c r="AO49" s="14">
        <f>IF($A49="","",IF(INDEX('潜水記録'!$AT$5:$AT$3004,$AS49)="","",INDEX('潜水記録'!$AT$5:$AT$3004,$AS49)))</f>
        <v/>
      </c>
      <c r="AP49" s="14">
        <f>IF($A49="","",IF(INDEX('潜水記録'!$AU$5:$AU$3004,$AS49)="","",INDEX('潜水記録'!$AU$5:$AU$3004,$AS49)))</f>
        <v/>
      </c>
      <c r="AQ49" s="14">
        <f>IF($A49="","",IF(INDEX('潜水記録'!$AV$5:$AV$3004,$AS49)="","",INDEX('潜水記録'!$AV$5:$AV$3004,$AS49)))</f>
        <v/>
      </c>
      <c r="AR49" s="14">
        <f>IF($A49="","",IF(INDEX('潜水記録'!$AW$5:$AW$3004,$AS49)="","",INDEX('潜水記録'!$AW$5:$AW$3004,$AS49)))</f>
        <v/>
      </c>
      <c r="AS49" s="20">
        <f>IF($A49="","",MATCH($A49,'潜水記録'!$AI$5:$AI$3004,0))</f>
        <v/>
      </c>
    </row>
    <row r="50">
      <c r="A50" s="14">
        <f>IF(40&lt;=$C$8,40,"")</f>
        <v/>
      </c>
      <c r="B50" s="16">
        <f>IF($A50="","",IF(INDEX('潜水記録'!$A$5:$A$3004,$AS50)="","",INDEX('潜水記録'!$A$5:$A$3004,$AS50)))</f>
        <v/>
      </c>
      <c r="C50" s="14">
        <f>IF($A50="","",IF(INDEX('潜水記録'!$B$5:$B$3004,$AS50)="","",INDEX('潜水記録'!$B$5:$B$3004,$AS50)))</f>
        <v/>
      </c>
      <c r="D50" s="14">
        <f>IF($A50="","",IF(INDEX('潜水記録'!$C$5:$C$3004,$AS50)="","",INDEX('潜水記録'!$C$5:$C$3004,$AS50)))</f>
        <v/>
      </c>
      <c r="E50" s="14">
        <f>IF($A50="","",IF(INDEX('潜水記録'!$D$5:$D$3004,$AS50)="","",INDEX('潜水記録'!$D$5:$D$3004,$AS50)))</f>
        <v/>
      </c>
      <c r="F50" s="14">
        <f>IF($A50="","",IF(INDEX('潜水記録'!$E$5:$E$3004,$AS50)="","",INDEX('潜水記録'!$E$5:$E$3004,$AS50)))</f>
        <v/>
      </c>
      <c r="G50" s="14">
        <f>IF($A50="","",IF(INDEX('潜水記録'!$F$5:$F$3004,$AS50)="","",INDEX('潜水記録'!$F$5:$F$3004,$AS50)))</f>
        <v/>
      </c>
      <c r="H50" s="14">
        <f>IF($A50="","",IF(INDEX('潜水記録'!$G$5:$G$3004,$AS50)="","",INDEX('潜水記録'!$G$5:$G$3004,$AS50)))</f>
        <v/>
      </c>
      <c r="I50" s="14">
        <f>IF($A50="","",IF(INDEX('潜水記録'!$H$5:$H$3004,$AS50)="","",INDEX('潜水記録'!$H$5:$H$3004,$AS50)))</f>
        <v/>
      </c>
      <c r="J50" s="14">
        <f>IF($A50="","",IF(INDEX('潜水記録'!$I$5:$I$3004,$AS50)="","",INDEX('潜水記録'!$I$5:$I$3004,$AS50)))</f>
        <v/>
      </c>
      <c r="K50" s="14">
        <f>IF($A50="","",IF(INDEX('潜水記録'!$J$5:$J$3004,$AS50)="","",INDEX('潜水記録'!$J$5:$J$3004,$AS50)))</f>
        <v/>
      </c>
      <c r="L50" s="14">
        <f>IF($A50="","",IF(INDEX('潜水記録'!$K$5:$K$3004,$AS50)="","",INDEX('潜水記録'!$K$5:$K$3004,$AS50)))</f>
        <v/>
      </c>
      <c r="M50" s="14">
        <f>IF($A50="","",IF(INDEX('潜水記録'!$L$5:$L$3004,$AS50)="","",INDEX('潜水記録'!$L$5:$L$3004,$AS50)))</f>
        <v/>
      </c>
      <c r="N50" s="14">
        <f>IF($A50="","",IF(INDEX('潜水記録'!$M$5:$M$3004,$AS50)="","",INDEX('潜水記録'!$M$5:$M$3004,$AS50)))</f>
        <v/>
      </c>
      <c r="O50" s="14">
        <f>IF($A50="","",IF(INDEX('潜水記録'!$N$5:$N$3004,$AS50)="","",INDEX('潜水記録'!$N$5:$N$3004,$AS50)))</f>
        <v/>
      </c>
      <c r="P50" s="14">
        <f>IF($A50="","",IF(INDEX('潜水記録'!$O$5:$O$3004,$AS50)="","",INDEX('潜水記録'!$O$5:$O$3004,$AS50)))</f>
        <v/>
      </c>
      <c r="Q50" s="14">
        <f>IF($A50="","",IF(INDEX('潜水記録'!$P$5:$P$3004,$AS50)="","",INDEX('潜水記録'!$P$5:$P$3004,$AS50)))</f>
        <v/>
      </c>
      <c r="R50" s="14">
        <f>IF($A50="","",IF(INDEX('潜水記録'!$Q$5:$Q$3004,$AS50)="","",INDEX('潜水記録'!$Q$5:$Q$3004,$AS50)))</f>
        <v/>
      </c>
      <c r="S50" s="14">
        <f>IF($A50="","",IF(INDEX('潜水記録'!$R$5:$R$3004,$AS50)="","",INDEX('潜水記録'!$R$5:$R$3004,$AS50)))</f>
        <v/>
      </c>
      <c r="T50" s="14">
        <f>IF($A50="","",IF(INDEX('潜水記録'!$S$5:$S$3004,$AS50)="","",INDEX('潜水記録'!$S$5:$S$3004,$AS50)))</f>
        <v/>
      </c>
      <c r="U50" s="14">
        <f>IF($A50="","",IF(INDEX('潜水記録'!$T$5:$T$3004,$AS50)="","",INDEX('潜水記録'!$T$5:$T$3004,$AS50)))</f>
        <v/>
      </c>
      <c r="V50" s="46">
        <f>IF($A50="","",IF(INDEX('潜水記録'!$U$5:$U$3004,$AS50)="","",INDEX('潜水記録'!$U$5:$U$3004,$AS50)))</f>
        <v/>
      </c>
      <c r="W50" s="46">
        <f>IF($A50="","",IF(INDEX('潜水記録'!$V$5:$V$3004,$AS50)="","",INDEX('潜水記録'!$V$5:$V$3004,$AS50)))</f>
        <v/>
      </c>
      <c r="X50" s="14">
        <f>IF($A50="","",IF(INDEX('潜水記録'!$W$5:$W$3004,$AS50)="","",INDEX('潜水記録'!$W$5:$W$3004,$AS50)))</f>
        <v/>
      </c>
      <c r="Y50" s="14">
        <f>IF($A50="","",IF(INDEX('潜水記録'!$X$5:$X$3004,$AS50)="","",INDEX('潜水記録'!$X$5:$X$3004,$AS50)))</f>
        <v/>
      </c>
      <c r="Z50" s="14">
        <f>IF($A50="","",IF(INDEX('潜水記録'!$Y$5:$Y$3004,$AS50)="","",INDEX('潜水記録'!$Y$5:$Y$3004,$AS50)))</f>
        <v/>
      </c>
      <c r="AA50" s="14">
        <f>IF($A50="","",IF(INDEX('潜水記録'!$Z$5:$Z$3004,$AS50)="","",INDEX('潜水記録'!$Z$5:$Z$3004,$AS50)))</f>
        <v/>
      </c>
      <c r="AB50" s="14">
        <f>IF($A50="","",IF(INDEX('潜水記録'!$AA$5:$AA$3004,$AS50)="","",INDEX('潜水記録'!$AA$5:$AA$3004,$AS50)))</f>
        <v/>
      </c>
      <c r="AC50" s="14">
        <f>IF($A50="","",IF(INDEX('潜水記録'!$AB$5:$AB$3004,$AS50)="","",INDEX('潜水記録'!$AB$5:$AB$3004,$AS50)))</f>
        <v/>
      </c>
      <c r="AD50" s="14">
        <f>IF($A50="","",IF(INDEX('潜水記録'!$AC$5:$AC$3004,$AS50)="","",INDEX('潜水記録'!$AC$5:$AC$3004,$AS50)))</f>
        <v/>
      </c>
      <c r="AE50" s="14">
        <f>IF($A50="","",IF(INDEX('潜水記録'!$AD$5:$AD$3004,$AS50)="","",INDEX('潜水記録'!$AD$5:$AD$3004,$AS50)))</f>
        <v/>
      </c>
      <c r="AF50" s="14">
        <f>IF($A50="","",IF(INDEX('潜水記録'!$AE$5:$AE$3004,$AS50)="","",INDEX('潜水記録'!$AE$5:$AE$3004,$AS50)))</f>
        <v/>
      </c>
      <c r="AG50" s="14">
        <f>IF($A50="","",IF(INDEX('潜水記録'!$AL$5:$AL$3004,$AS50)="","",INDEX('潜水記録'!$AL$5:$AL$3004,$AS50)))</f>
        <v/>
      </c>
      <c r="AH50" s="14">
        <f>IF($A50="","",IF(INDEX('潜水記録'!$AM$5:$AM$3004,$AS50)="","",INDEX('潜水記録'!$AM$5:$AM$3004,$AS50)))</f>
        <v/>
      </c>
      <c r="AI50" s="46">
        <f>IF($A50="","",IF(INDEX('潜水記録'!$AN$5:$AN$3004,$AS50)="","",INDEX('潜水記録'!$AN$5:$AN$3004,$AS50)))</f>
        <v/>
      </c>
      <c r="AJ50" s="14">
        <f>IF($A50="","",IF(INDEX('潜水記録'!$AO$5:$AO$3004,$AS50)="","",INDEX('潜水記録'!$AO$5:$AO$3004,$AS50)))</f>
        <v/>
      </c>
      <c r="AK50" s="14">
        <f>IF($A50="","",IF(INDEX('潜水記録'!$AP$5:$AP$3004,$AS50)="","",INDEX('潜水記録'!$AP$5:$AP$3004,$AS50)))</f>
        <v/>
      </c>
      <c r="AL50" s="14">
        <f>IF($A50="","",IF(INDEX('潜水記録'!$AQ$5:$AQ$3004,$AS50)="","",INDEX('潜水記録'!$AQ$5:$AQ$3004,$AS50)))</f>
        <v/>
      </c>
      <c r="AM50" s="14">
        <f>IF($A50="","",IF(INDEX('潜水記録'!$AR$5:$AR$3004,$AS50)="","",INDEX('潜水記録'!$AR$5:$AR$3004,$AS50)))</f>
        <v/>
      </c>
      <c r="AN50" s="14">
        <f>IF($A50="","",IF(INDEX('潜水記録'!$AS$5:$AS$3004,$AS50)="","",INDEX('潜水記録'!$AS$5:$AS$3004,$AS50)))</f>
        <v/>
      </c>
      <c r="AO50" s="14">
        <f>IF($A50="","",IF(INDEX('潜水記録'!$AT$5:$AT$3004,$AS50)="","",INDEX('潜水記録'!$AT$5:$AT$3004,$AS50)))</f>
        <v/>
      </c>
      <c r="AP50" s="14">
        <f>IF($A50="","",IF(INDEX('潜水記録'!$AU$5:$AU$3004,$AS50)="","",INDEX('潜水記録'!$AU$5:$AU$3004,$AS50)))</f>
        <v/>
      </c>
      <c r="AQ50" s="14">
        <f>IF($A50="","",IF(INDEX('潜水記録'!$AV$5:$AV$3004,$AS50)="","",INDEX('潜水記録'!$AV$5:$AV$3004,$AS50)))</f>
        <v/>
      </c>
      <c r="AR50" s="14">
        <f>IF($A50="","",IF(INDEX('潜水記録'!$AW$5:$AW$3004,$AS50)="","",INDEX('潜水記録'!$AW$5:$AW$3004,$AS50)))</f>
        <v/>
      </c>
      <c r="AS50" s="20">
        <f>IF($A50="","",MATCH($A50,'潜水記録'!$AI$5:$AI$3004,0))</f>
        <v/>
      </c>
    </row>
    <row r="51">
      <c r="A51" s="14">
        <f>IF(41&lt;=$C$8,41,"")</f>
        <v/>
      </c>
      <c r="B51" s="16">
        <f>IF($A51="","",IF(INDEX('潜水記録'!$A$5:$A$3004,$AS51)="","",INDEX('潜水記録'!$A$5:$A$3004,$AS51)))</f>
        <v/>
      </c>
      <c r="C51" s="14">
        <f>IF($A51="","",IF(INDEX('潜水記録'!$B$5:$B$3004,$AS51)="","",INDEX('潜水記録'!$B$5:$B$3004,$AS51)))</f>
        <v/>
      </c>
      <c r="D51" s="14">
        <f>IF($A51="","",IF(INDEX('潜水記録'!$C$5:$C$3004,$AS51)="","",INDEX('潜水記録'!$C$5:$C$3004,$AS51)))</f>
        <v/>
      </c>
      <c r="E51" s="14">
        <f>IF($A51="","",IF(INDEX('潜水記録'!$D$5:$D$3004,$AS51)="","",INDEX('潜水記録'!$D$5:$D$3004,$AS51)))</f>
        <v/>
      </c>
      <c r="F51" s="14">
        <f>IF($A51="","",IF(INDEX('潜水記録'!$E$5:$E$3004,$AS51)="","",INDEX('潜水記録'!$E$5:$E$3004,$AS51)))</f>
        <v/>
      </c>
      <c r="G51" s="14">
        <f>IF($A51="","",IF(INDEX('潜水記録'!$F$5:$F$3004,$AS51)="","",INDEX('潜水記録'!$F$5:$F$3004,$AS51)))</f>
        <v/>
      </c>
      <c r="H51" s="14">
        <f>IF($A51="","",IF(INDEX('潜水記録'!$G$5:$G$3004,$AS51)="","",INDEX('潜水記録'!$G$5:$G$3004,$AS51)))</f>
        <v/>
      </c>
      <c r="I51" s="14">
        <f>IF($A51="","",IF(INDEX('潜水記録'!$H$5:$H$3004,$AS51)="","",INDEX('潜水記録'!$H$5:$H$3004,$AS51)))</f>
        <v/>
      </c>
      <c r="J51" s="14">
        <f>IF($A51="","",IF(INDEX('潜水記録'!$I$5:$I$3004,$AS51)="","",INDEX('潜水記録'!$I$5:$I$3004,$AS51)))</f>
        <v/>
      </c>
      <c r="K51" s="14">
        <f>IF($A51="","",IF(INDEX('潜水記録'!$J$5:$J$3004,$AS51)="","",INDEX('潜水記録'!$J$5:$J$3004,$AS51)))</f>
        <v/>
      </c>
      <c r="L51" s="14">
        <f>IF($A51="","",IF(INDEX('潜水記録'!$K$5:$K$3004,$AS51)="","",INDEX('潜水記録'!$K$5:$K$3004,$AS51)))</f>
        <v/>
      </c>
      <c r="M51" s="14">
        <f>IF($A51="","",IF(INDEX('潜水記録'!$L$5:$L$3004,$AS51)="","",INDEX('潜水記録'!$L$5:$L$3004,$AS51)))</f>
        <v/>
      </c>
      <c r="N51" s="14">
        <f>IF($A51="","",IF(INDEX('潜水記録'!$M$5:$M$3004,$AS51)="","",INDEX('潜水記録'!$M$5:$M$3004,$AS51)))</f>
        <v/>
      </c>
      <c r="O51" s="14">
        <f>IF($A51="","",IF(INDEX('潜水記録'!$N$5:$N$3004,$AS51)="","",INDEX('潜水記録'!$N$5:$N$3004,$AS51)))</f>
        <v/>
      </c>
      <c r="P51" s="14">
        <f>IF($A51="","",IF(INDEX('潜水記録'!$O$5:$O$3004,$AS51)="","",INDEX('潜水記録'!$O$5:$O$3004,$AS51)))</f>
        <v/>
      </c>
      <c r="Q51" s="14">
        <f>IF($A51="","",IF(INDEX('潜水記録'!$P$5:$P$3004,$AS51)="","",INDEX('潜水記録'!$P$5:$P$3004,$AS51)))</f>
        <v/>
      </c>
      <c r="R51" s="14">
        <f>IF($A51="","",IF(INDEX('潜水記録'!$Q$5:$Q$3004,$AS51)="","",INDEX('潜水記録'!$Q$5:$Q$3004,$AS51)))</f>
        <v/>
      </c>
      <c r="S51" s="14">
        <f>IF($A51="","",IF(INDEX('潜水記録'!$R$5:$R$3004,$AS51)="","",INDEX('潜水記録'!$R$5:$R$3004,$AS51)))</f>
        <v/>
      </c>
      <c r="T51" s="14">
        <f>IF($A51="","",IF(INDEX('潜水記録'!$S$5:$S$3004,$AS51)="","",INDEX('潜水記録'!$S$5:$S$3004,$AS51)))</f>
        <v/>
      </c>
      <c r="U51" s="14">
        <f>IF($A51="","",IF(INDEX('潜水記録'!$T$5:$T$3004,$AS51)="","",INDEX('潜水記録'!$T$5:$T$3004,$AS51)))</f>
        <v/>
      </c>
      <c r="V51" s="46">
        <f>IF($A51="","",IF(INDEX('潜水記録'!$U$5:$U$3004,$AS51)="","",INDEX('潜水記録'!$U$5:$U$3004,$AS51)))</f>
        <v/>
      </c>
      <c r="W51" s="46">
        <f>IF($A51="","",IF(INDEX('潜水記録'!$V$5:$V$3004,$AS51)="","",INDEX('潜水記録'!$V$5:$V$3004,$AS51)))</f>
        <v/>
      </c>
      <c r="X51" s="14">
        <f>IF($A51="","",IF(INDEX('潜水記録'!$W$5:$W$3004,$AS51)="","",INDEX('潜水記録'!$W$5:$W$3004,$AS51)))</f>
        <v/>
      </c>
      <c r="Y51" s="14">
        <f>IF($A51="","",IF(INDEX('潜水記録'!$X$5:$X$3004,$AS51)="","",INDEX('潜水記録'!$X$5:$X$3004,$AS51)))</f>
        <v/>
      </c>
      <c r="Z51" s="14">
        <f>IF($A51="","",IF(INDEX('潜水記録'!$Y$5:$Y$3004,$AS51)="","",INDEX('潜水記録'!$Y$5:$Y$3004,$AS51)))</f>
        <v/>
      </c>
      <c r="AA51" s="14">
        <f>IF($A51="","",IF(INDEX('潜水記録'!$Z$5:$Z$3004,$AS51)="","",INDEX('潜水記録'!$Z$5:$Z$3004,$AS51)))</f>
        <v/>
      </c>
      <c r="AB51" s="14">
        <f>IF($A51="","",IF(INDEX('潜水記録'!$AA$5:$AA$3004,$AS51)="","",INDEX('潜水記録'!$AA$5:$AA$3004,$AS51)))</f>
        <v/>
      </c>
      <c r="AC51" s="14">
        <f>IF($A51="","",IF(INDEX('潜水記録'!$AB$5:$AB$3004,$AS51)="","",INDEX('潜水記録'!$AB$5:$AB$3004,$AS51)))</f>
        <v/>
      </c>
      <c r="AD51" s="14">
        <f>IF($A51="","",IF(INDEX('潜水記録'!$AC$5:$AC$3004,$AS51)="","",INDEX('潜水記録'!$AC$5:$AC$3004,$AS51)))</f>
        <v/>
      </c>
      <c r="AE51" s="14">
        <f>IF($A51="","",IF(INDEX('潜水記録'!$AD$5:$AD$3004,$AS51)="","",INDEX('潜水記録'!$AD$5:$AD$3004,$AS51)))</f>
        <v/>
      </c>
      <c r="AF51" s="14">
        <f>IF($A51="","",IF(INDEX('潜水記録'!$AE$5:$AE$3004,$AS51)="","",INDEX('潜水記録'!$AE$5:$AE$3004,$AS51)))</f>
        <v/>
      </c>
      <c r="AG51" s="14">
        <f>IF($A51="","",IF(INDEX('潜水記録'!$AL$5:$AL$3004,$AS51)="","",INDEX('潜水記録'!$AL$5:$AL$3004,$AS51)))</f>
        <v/>
      </c>
      <c r="AH51" s="14">
        <f>IF($A51="","",IF(INDEX('潜水記録'!$AM$5:$AM$3004,$AS51)="","",INDEX('潜水記録'!$AM$5:$AM$3004,$AS51)))</f>
        <v/>
      </c>
      <c r="AI51" s="46">
        <f>IF($A51="","",IF(INDEX('潜水記録'!$AN$5:$AN$3004,$AS51)="","",INDEX('潜水記録'!$AN$5:$AN$3004,$AS51)))</f>
        <v/>
      </c>
      <c r="AJ51" s="14">
        <f>IF($A51="","",IF(INDEX('潜水記録'!$AO$5:$AO$3004,$AS51)="","",INDEX('潜水記録'!$AO$5:$AO$3004,$AS51)))</f>
        <v/>
      </c>
      <c r="AK51" s="14">
        <f>IF($A51="","",IF(INDEX('潜水記録'!$AP$5:$AP$3004,$AS51)="","",INDEX('潜水記録'!$AP$5:$AP$3004,$AS51)))</f>
        <v/>
      </c>
      <c r="AL51" s="14">
        <f>IF($A51="","",IF(INDEX('潜水記録'!$AQ$5:$AQ$3004,$AS51)="","",INDEX('潜水記録'!$AQ$5:$AQ$3004,$AS51)))</f>
        <v/>
      </c>
      <c r="AM51" s="14">
        <f>IF($A51="","",IF(INDEX('潜水記録'!$AR$5:$AR$3004,$AS51)="","",INDEX('潜水記録'!$AR$5:$AR$3004,$AS51)))</f>
        <v/>
      </c>
      <c r="AN51" s="14">
        <f>IF($A51="","",IF(INDEX('潜水記録'!$AS$5:$AS$3004,$AS51)="","",INDEX('潜水記録'!$AS$5:$AS$3004,$AS51)))</f>
        <v/>
      </c>
      <c r="AO51" s="14">
        <f>IF($A51="","",IF(INDEX('潜水記録'!$AT$5:$AT$3004,$AS51)="","",INDEX('潜水記録'!$AT$5:$AT$3004,$AS51)))</f>
        <v/>
      </c>
      <c r="AP51" s="14">
        <f>IF($A51="","",IF(INDEX('潜水記録'!$AU$5:$AU$3004,$AS51)="","",INDEX('潜水記録'!$AU$5:$AU$3004,$AS51)))</f>
        <v/>
      </c>
      <c r="AQ51" s="14">
        <f>IF($A51="","",IF(INDEX('潜水記録'!$AV$5:$AV$3004,$AS51)="","",INDEX('潜水記録'!$AV$5:$AV$3004,$AS51)))</f>
        <v/>
      </c>
      <c r="AR51" s="14">
        <f>IF($A51="","",IF(INDEX('潜水記録'!$AW$5:$AW$3004,$AS51)="","",INDEX('潜水記録'!$AW$5:$AW$3004,$AS51)))</f>
        <v/>
      </c>
      <c r="AS51" s="20">
        <f>IF($A51="","",MATCH($A51,'潜水記録'!$AI$5:$AI$3004,0))</f>
        <v/>
      </c>
    </row>
    <row r="52">
      <c r="A52" s="14">
        <f>IF(42&lt;=$C$8,42,"")</f>
        <v/>
      </c>
      <c r="B52" s="16">
        <f>IF($A52="","",IF(INDEX('潜水記録'!$A$5:$A$3004,$AS52)="","",INDEX('潜水記録'!$A$5:$A$3004,$AS52)))</f>
        <v/>
      </c>
      <c r="C52" s="14">
        <f>IF($A52="","",IF(INDEX('潜水記録'!$B$5:$B$3004,$AS52)="","",INDEX('潜水記録'!$B$5:$B$3004,$AS52)))</f>
        <v/>
      </c>
      <c r="D52" s="14">
        <f>IF($A52="","",IF(INDEX('潜水記録'!$C$5:$C$3004,$AS52)="","",INDEX('潜水記録'!$C$5:$C$3004,$AS52)))</f>
        <v/>
      </c>
      <c r="E52" s="14">
        <f>IF($A52="","",IF(INDEX('潜水記録'!$D$5:$D$3004,$AS52)="","",INDEX('潜水記録'!$D$5:$D$3004,$AS52)))</f>
        <v/>
      </c>
      <c r="F52" s="14">
        <f>IF($A52="","",IF(INDEX('潜水記録'!$E$5:$E$3004,$AS52)="","",INDEX('潜水記録'!$E$5:$E$3004,$AS52)))</f>
        <v/>
      </c>
      <c r="G52" s="14">
        <f>IF($A52="","",IF(INDEX('潜水記録'!$F$5:$F$3004,$AS52)="","",INDEX('潜水記録'!$F$5:$F$3004,$AS52)))</f>
        <v/>
      </c>
      <c r="H52" s="14">
        <f>IF($A52="","",IF(INDEX('潜水記録'!$G$5:$G$3004,$AS52)="","",INDEX('潜水記録'!$G$5:$G$3004,$AS52)))</f>
        <v/>
      </c>
      <c r="I52" s="14">
        <f>IF($A52="","",IF(INDEX('潜水記録'!$H$5:$H$3004,$AS52)="","",INDEX('潜水記録'!$H$5:$H$3004,$AS52)))</f>
        <v/>
      </c>
      <c r="J52" s="14">
        <f>IF($A52="","",IF(INDEX('潜水記録'!$I$5:$I$3004,$AS52)="","",INDEX('潜水記録'!$I$5:$I$3004,$AS52)))</f>
        <v/>
      </c>
      <c r="K52" s="14">
        <f>IF($A52="","",IF(INDEX('潜水記録'!$J$5:$J$3004,$AS52)="","",INDEX('潜水記録'!$J$5:$J$3004,$AS52)))</f>
        <v/>
      </c>
      <c r="L52" s="14">
        <f>IF($A52="","",IF(INDEX('潜水記録'!$K$5:$K$3004,$AS52)="","",INDEX('潜水記録'!$K$5:$K$3004,$AS52)))</f>
        <v/>
      </c>
      <c r="M52" s="14">
        <f>IF($A52="","",IF(INDEX('潜水記録'!$L$5:$L$3004,$AS52)="","",INDEX('潜水記録'!$L$5:$L$3004,$AS52)))</f>
        <v/>
      </c>
      <c r="N52" s="14">
        <f>IF($A52="","",IF(INDEX('潜水記録'!$M$5:$M$3004,$AS52)="","",INDEX('潜水記録'!$M$5:$M$3004,$AS52)))</f>
        <v/>
      </c>
      <c r="O52" s="14">
        <f>IF($A52="","",IF(INDEX('潜水記録'!$N$5:$N$3004,$AS52)="","",INDEX('潜水記録'!$N$5:$N$3004,$AS52)))</f>
        <v/>
      </c>
      <c r="P52" s="14">
        <f>IF($A52="","",IF(INDEX('潜水記録'!$O$5:$O$3004,$AS52)="","",INDEX('潜水記録'!$O$5:$O$3004,$AS52)))</f>
        <v/>
      </c>
      <c r="Q52" s="14">
        <f>IF($A52="","",IF(INDEX('潜水記録'!$P$5:$P$3004,$AS52)="","",INDEX('潜水記録'!$P$5:$P$3004,$AS52)))</f>
        <v/>
      </c>
      <c r="R52" s="14">
        <f>IF($A52="","",IF(INDEX('潜水記録'!$Q$5:$Q$3004,$AS52)="","",INDEX('潜水記録'!$Q$5:$Q$3004,$AS52)))</f>
        <v/>
      </c>
      <c r="S52" s="14">
        <f>IF($A52="","",IF(INDEX('潜水記録'!$R$5:$R$3004,$AS52)="","",INDEX('潜水記録'!$R$5:$R$3004,$AS52)))</f>
        <v/>
      </c>
      <c r="T52" s="14">
        <f>IF($A52="","",IF(INDEX('潜水記録'!$S$5:$S$3004,$AS52)="","",INDEX('潜水記録'!$S$5:$S$3004,$AS52)))</f>
        <v/>
      </c>
      <c r="U52" s="14">
        <f>IF($A52="","",IF(INDEX('潜水記録'!$T$5:$T$3004,$AS52)="","",INDEX('潜水記録'!$T$5:$T$3004,$AS52)))</f>
        <v/>
      </c>
      <c r="V52" s="46">
        <f>IF($A52="","",IF(INDEX('潜水記録'!$U$5:$U$3004,$AS52)="","",INDEX('潜水記録'!$U$5:$U$3004,$AS52)))</f>
        <v/>
      </c>
      <c r="W52" s="46">
        <f>IF($A52="","",IF(INDEX('潜水記録'!$V$5:$V$3004,$AS52)="","",INDEX('潜水記録'!$V$5:$V$3004,$AS52)))</f>
        <v/>
      </c>
      <c r="X52" s="14">
        <f>IF($A52="","",IF(INDEX('潜水記録'!$W$5:$W$3004,$AS52)="","",INDEX('潜水記録'!$W$5:$W$3004,$AS52)))</f>
        <v/>
      </c>
      <c r="Y52" s="14">
        <f>IF($A52="","",IF(INDEX('潜水記録'!$X$5:$X$3004,$AS52)="","",INDEX('潜水記録'!$X$5:$X$3004,$AS52)))</f>
        <v/>
      </c>
      <c r="Z52" s="14">
        <f>IF($A52="","",IF(INDEX('潜水記録'!$Y$5:$Y$3004,$AS52)="","",INDEX('潜水記録'!$Y$5:$Y$3004,$AS52)))</f>
        <v/>
      </c>
      <c r="AA52" s="14">
        <f>IF($A52="","",IF(INDEX('潜水記録'!$Z$5:$Z$3004,$AS52)="","",INDEX('潜水記録'!$Z$5:$Z$3004,$AS52)))</f>
        <v/>
      </c>
      <c r="AB52" s="14">
        <f>IF($A52="","",IF(INDEX('潜水記録'!$AA$5:$AA$3004,$AS52)="","",INDEX('潜水記録'!$AA$5:$AA$3004,$AS52)))</f>
        <v/>
      </c>
      <c r="AC52" s="14">
        <f>IF($A52="","",IF(INDEX('潜水記録'!$AB$5:$AB$3004,$AS52)="","",INDEX('潜水記録'!$AB$5:$AB$3004,$AS52)))</f>
        <v/>
      </c>
      <c r="AD52" s="14">
        <f>IF($A52="","",IF(INDEX('潜水記録'!$AC$5:$AC$3004,$AS52)="","",INDEX('潜水記録'!$AC$5:$AC$3004,$AS52)))</f>
        <v/>
      </c>
      <c r="AE52" s="14">
        <f>IF($A52="","",IF(INDEX('潜水記録'!$AD$5:$AD$3004,$AS52)="","",INDEX('潜水記録'!$AD$5:$AD$3004,$AS52)))</f>
        <v/>
      </c>
      <c r="AF52" s="14">
        <f>IF($A52="","",IF(INDEX('潜水記録'!$AE$5:$AE$3004,$AS52)="","",INDEX('潜水記録'!$AE$5:$AE$3004,$AS52)))</f>
        <v/>
      </c>
      <c r="AG52" s="14">
        <f>IF($A52="","",IF(INDEX('潜水記録'!$AL$5:$AL$3004,$AS52)="","",INDEX('潜水記録'!$AL$5:$AL$3004,$AS52)))</f>
        <v/>
      </c>
      <c r="AH52" s="14">
        <f>IF($A52="","",IF(INDEX('潜水記録'!$AM$5:$AM$3004,$AS52)="","",INDEX('潜水記録'!$AM$5:$AM$3004,$AS52)))</f>
        <v/>
      </c>
      <c r="AI52" s="46">
        <f>IF($A52="","",IF(INDEX('潜水記録'!$AN$5:$AN$3004,$AS52)="","",INDEX('潜水記録'!$AN$5:$AN$3004,$AS52)))</f>
        <v/>
      </c>
      <c r="AJ52" s="14">
        <f>IF($A52="","",IF(INDEX('潜水記録'!$AO$5:$AO$3004,$AS52)="","",INDEX('潜水記録'!$AO$5:$AO$3004,$AS52)))</f>
        <v/>
      </c>
      <c r="AK52" s="14">
        <f>IF($A52="","",IF(INDEX('潜水記録'!$AP$5:$AP$3004,$AS52)="","",INDEX('潜水記録'!$AP$5:$AP$3004,$AS52)))</f>
        <v/>
      </c>
      <c r="AL52" s="14">
        <f>IF($A52="","",IF(INDEX('潜水記録'!$AQ$5:$AQ$3004,$AS52)="","",INDEX('潜水記録'!$AQ$5:$AQ$3004,$AS52)))</f>
        <v/>
      </c>
      <c r="AM52" s="14">
        <f>IF($A52="","",IF(INDEX('潜水記録'!$AR$5:$AR$3004,$AS52)="","",INDEX('潜水記録'!$AR$5:$AR$3004,$AS52)))</f>
        <v/>
      </c>
      <c r="AN52" s="14">
        <f>IF($A52="","",IF(INDEX('潜水記録'!$AS$5:$AS$3004,$AS52)="","",INDEX('潜水記録'!$AS$5:$AS$3004,$AS52)))</f>
        <v/>
      </c>
      <c r="AO52" s="14">
        <f>IF($A52="","",IF(INDEX('潜水記録'!$AT$5:$AT$3004,$AS52)="","",INDEX('潜水記録'!$AT$5:$AT$3004,$AS52)))</f>
        <v/>
      </c>
      <c r="AP52" s="14">
        <f>IF($A52="","",IF(INDEX('潜水記録'!$AU$5:$AU$3004,$AS52)="","",INDEX('潜水記録'!$AU$5:$AU$3004,$AS52)))</f>
        <v/>
      </c>
      <c r="AQ52" s="14">
        <f>IF($A52="","",IF(INDEX('潜水記録'!$AV$5:$AV$3004,$AS52)="","",INDEX('潜水記録'!$AV$5:$AV$3004,$AS52)))</f>
        <v/>
      </c>
      <c r="AR52" s="14">
        <f>IF($A52="","",IF(INDEX('潜水記録'!$AW$5:$AW$3004,$AS52)="","",INDEX('潜水記録'!$AW$5:$AW$3004,$AS52)))</f>
        <v/>
      </c>
      <c r="AS52" s="20">
        <f>IF($A52="","",MATCH($A52,'潜水記録'!$AI$5:$AI$3004,0))</f>
        <v/>
      </c>
    </row>
    <row r="53">
      <c r="A53" s="14">
        <f>IF(43&lt;=$C$8,43,"")</f>
        <v/>
      </c>
      <c r="B53" s="16">
        <f>IF($A53="","",IF(INDEX('潜水記録'!$A$5:$A$3004,$AS53)="","",INDEX('潜水記録'!$A$5:$A$3004,$AS53)))</f>
        <v/>
      </c>
      <c r="C53" s="14">
        <f>IF($A53="","",IF(INDEX('潜水記録'!$B$5:$B$3004,$AS53)="","",INDEX('潜水記録'!$B$5:$B$3004,$AS53)))</f>
        <v/>
      </c>
      <c r="D53" s="14">
        <f>IF($A53="","",IF(INDEX('潜水記録'!$C$5:$C$3004,$AS53)="","",INDEX('潜水記録'!$C$5:$C$3004,$AS53)))</f>
        <v/>
      </c>
      <c r="E53" s="14">
        <f>IF($A53="","",IF(INDEX('潜水記録'!$D$5:$D$3004,$AS53)="","",INDEX('潜水記録'!$D$5:$D$3004,$AS53)))</f>
        <v/>
      </c>
      <c r="F53" s="14">
        <f>IF($A53="","",IF(INDEX('潜水記録'!$E$5:$E$3004,$AS53)="","",INDEX('潜水記録'!$E$5:$E$3004,$AS53)))</f>
        <v/>
      </c>
      <c r="G53" s="14">
        <f>IF($A53="","",IF(INDEX('潜水記録'!$F$5:$F$3004,$AS53)="","",INDEX('潜水記録'!$F$5:$F$3004,$AS53)))</f>
        <v/>
      </c>
      <c r="H53" s="14">
        <f>IF($A53="","",IF(INDEX('潜水記録'!$G$5:$G$3004,$AS53)="","",INDEX('潜水記録'!$G$5:$G$3004,$AS53)))</f>
        <v/>
      </c>
      <c r="I53" s="14">
        <f>IF($A53="","",IF(INDEX('潜水記録'!$H$5:$H$3004,$AS53)="","",INDEX('潜水記録'!$H$5:$H$3004,$AS53)))</f>
        <v/>
      </c>
      <c r="J53" s="14">
        <f>IF($A53="","",IF(INDEX('潜水記録'!$I$5:$I$3004,$AS53)="","",INDEX('潜水記録'!$I$5:$I$3004,$AS53)))</f>
        <v/>
      </c>
      <c r="K53" s="14">
        <f>IF($A53="","",IF(INDEX('潜水記録'!$J$5:$J$3004,$AS53)="","",INDEX('潜水記録'!$J$5:$J$3004,$AS53)))</f>
        <v/>
      </c>
      <c r="L53" s="14">
        <f>IF($A53="","",IF(INDEX('潜水記録'!$K$5:$K$3004,$AS53)="","",INDEX('潜水記録'!$K$5:$K$3004,$AS53)))</f>
        <v/>
      </c>
      <c r="M53" s="14">
        <f>IF($A53="","",IF(INDEX('潜水記録'!$L$5:$L$3004,$AS53)="","",INDEX('潜水記録'!$L$5:$L$3004,$AS53)))</f>
        <v/>
      </c>
      <c r="N53" s="14">
        <f>IF($A53="","",IF(INDEX('潜水記録'!$M$5:$M$3004,$AS53)="","",INDEX('潜水記録'!$M$5:$M$3004,$AS53)))</f>
        <v/>
      </c>
      <c r="O53" s="14">
        <f>IF($A53="","",IF(INDEX('潜水記録'!$N$5:$N$3004,$AS53)="","",INDEX('潜水記録'!$N$5:$N$3004,$AS53)))</f>
        <v/>
      </c>
      <c r="P53" s="14">
        <f>IF($A53="","",IF(INDEX('潜水記録'!$O$5:$O$3004,$AS53)="","",INDEX('潜水記録'!$O$5:$O$3004,$AS53)))</f>
        <v/>
      </c>
      <c r="Q53" s="14">
        <f>IF($A53="","",IF(INDEX('潜水記録'!$P$5:$P$3004,$AS53)="","",INDEX('潜水記録'!$P$5:$P$3004,$AS53)))</f>
        <v/>
      </c>
      <c r="R53" s="14">
        <f>IF($A53="","",IF(INDEX('潜水記録'!$Q$5:$Q$3004,$AS53)="","",INDEX('潜水記録'!$Q$5:$Q$3004,$AS53)))</f>
        <v/>
      </c>
      <c r="S53" s="14">
        <f>IF($A53="","",IF(INDEX('潜水記録'!$R$5:$R$3004,$AS53)="","",INDEX('潜水記録'!$R$5:$R$3004,$AS53)))</f>
        <v/>
      </c>
      <c r="T53" s="14">
        <f>IF($A53="","",IF(INDEX('潜水記録'!$S$5:$S$3004,$AS53)="","",INDEX('潜水記録'!$S$5:$S$3004,$AS53)))</f>
        <v/>
      </c>
      <c r="U53" s="14">
        <f>IF($A53="","",IF(INDEX('潜水記録'!$T$5:$T$3004,$AS53)="","",INDEX('潜水記録'!$T$5:$T$3004,$AS53)))</f>
        <v/>
      </c>
      <c r="V53" s="46">
        <f>IF($A53="","",IF(INDEX('潜水記録'!$U$5:$U$3004,$AS53)="","",INDEX('潜水記録'!$U$5:$U$3004,$AS53)))</f>
        <v/>
      </c>
      <c r="W53" s="46">
        <f>IF($A53="","",IF(INDEX('潜水記録'!$V$5:$V$3004,$AS53)="","",INDEX('潜水記録'!$V$5:$V$3004,$AS53)))</f>
        <v/>
      </c>
      <c r="X53" s="14">
        <f>IF($A53="","",IF(INDEX('潜水記録'!$W$5:$W$3004,$AS53)="","",INDEX('潜水記録'!$W$5:$W$3004,$AS53)))</f>
        <v/>
      </c>
      <c r="Y53" s="14">
        <f>IF($A53="","",IF(INDEX('潜水記録'!$X$5:$X$3004,$AS53)="","",INDEX('潜水記録'!$X$5:$X$3004,$AS53)))</f>
        <v/>
      </c>
      <c r="Z53" s="14">
        <f>IF($A53="","",IF(INDEX('潜水記録'!$Y$5:$Y$3004,$AS53)="","",INDEX('潜水記録'!$Y$5:$Y$3004,$AS53)))</f>
        <v/>
      </c>
      <c r="AA53" s="14">
        <f>IF($A53="","",IF(INDEX('潜水記録'!$Z$5:$Z$3004,$AS53)="","",INDEX('潜水記録'!$Z$5:$Z$3004,$AS53)))</f>
        <v/>
      </c>
      <c r="AB53" s="14">
        <f>IF($A53="","",IF(INDEX('潜水記録'!$AA$5:$AA$3004,$AS53)="","",INDEX('潜水記録'!$AA$5:$AA$3004,$AS53)))</f>
        <v/>
      </c>
      <c r="AC53" s="14">
        <f>IF($A53="","",IF(INDEX('潜水記録'!$AB$5:$AB$3004,$AS53)="","",INDEX('潜水記録'!$AB$5:$AB$3004,$AS53)))</f>
        <v/>
      </c>
      <c r="AD53" s="14">
        <f>IF($A53="","",IF(INDEX('潜水記録'!$AC$5:$AC$3004,$AS53)="","",INDEX('潜水記録'!$AC$5:$AC$3004,$AS53)))</f>
        <v/>
      </c>
      <c r="AE53" s="14">
        <f>IF($A53="","",IF(INDEX('潜水記録'!$AD$5:$AD$3004,$AS53)="","",INDEX('潜水記録'!$AD$5:$AD$3004,$AS53)))</f>
        <v/>
      </c>
      <c r="AF53" s="14">
        <f>IF($A53="","",IF(INDEX('潜水記録'!$AE$5:$AE$3004,$AS53)="","",INDEX('潜水記録'!$AE$5:$AE$3004,$AS53)))</f>
        <v/>
      </c>
      <c r="AG53" s="14">
        <f>IF($A53="","",IF(INDEX('潜水記録'!$AL$5:$AL$3004,$AS53)="","",INDEX('潜水記録'!$AL$5:$AL$3004,$AS53)))</f>
        <v/>
      </c>
      <c r="AH53" s="14">
        <f>IF($A53="","",IF(INDEX('潜水記録'!$AM$5:$AM$3004,$AS53)="","",INDEX('潜水記録'!$AM$5:$AM$3004,$AS53)))</f>
        <v/>
      </c>
      <c r="AI53" s="46">
        <f>IF($A53="","",IF(INDEX('潜水記録'!$AN$5:$AN$3004,$AS53)="","",INDEX('潜水記録'!$AN$5:$AN$3004,$AS53)))</f>
        <v/>
      </c>
      <c r="AJ53" s="14">
        <f>IF($A53="","",IF(INDEX('潜水記録'!$AO$5:$AO$3004,$AS53)="","",INDEX('潜水記録'!$AO$5:$AO$3004,$AS53)))</f>
        <v/>
      </c>
      <c r="AK53" s="14">
        <f>IF($A53="","",IF(INDEX('潜水記録'!$AP$5:$AP$3004,$AS53)="","",INDEX('潜水記録'!$AP$5:$AP$3004,$AS53)))</f>
        <v/>
      </c>
      <c r="AL53" s="14">
        <f>IF($A53="","",IF(INDEX('潜水記録'!$AQ$5:$AQ$3004,$AS53)="","",INDEX('潜水記録'!$AQ$5:$AQ$3004,$AS53)))</f>
        <v/>
      </c>
      <c r="AM53" s="14">
        <f>IF($A53="","",IF(INDEX('潜水記録'!$AR$5:$AR$3004,$AS53)="","",INDEX('潜水記録'!$AR$5:$AR$3004,$AS53)))</f>
        <v/>
      </c>
      <c r="AN53" s="14">
        <f>IF($A53="","",IF(INDEX('潜水記録'!$AS$5:$AS$3004,$AS53)="","",INDEX('潜水記録'!$AS$5:$AS$3004,$AS53)))</f>
        <v/>
      </c>
      <c r="AO53" s="14">
        <f>IF($A53="","",IF(INDEX('潜水記録'!$AT$5:$AT$3004,$AS53)="","",INDEX('潜水記録'!$AT$5:$AT$3004,$AS53)))</f>
        <v/>
      </c>
      <c r="AP53" s="14">
        <f>IF($A53="","",IF(INDEX('潜水記録'!$AU$5:$AU$3004,$AS53)="","",INDEX('潜水記録'!$AU$5:$AU$3004,$AS53)))</f>
        <v/>
      </c>
      <c r="AQ53" s="14">
        <f>IF($A53="","",IF(INDEX('潜水記録'!$AV$5:$AV$3004,$AS53)="","",INDEX('潜水記録'!$AV$5:$AV$3004,$AS53)))</f>
        <v/>
      </c>
      <c r="AR53" s="14">
        <f>IF($A53="","",IF(INDEX('潜水記録'!$AW$5:$AW$3004,$AS53)="","",INDEX('潜水記録'!$AW$5:$AW$3004,$AS53)))</f>
        <v/>
      </c>
      <c r="AS53" s="20">
        <f>IF($A53="","",MATCH($A53,'潜水記録'!$AI$5:$AI$3004,0))</f>
        <v/>
      </c>
    </row>
    <row r="54">
      <c r="A54" s="14">
        <f>IF(44&lt;=$C$8,44,"")</f>
        <v/>
      </c>
      <c r="B54" s="16">
        <f>IF($A54="","",IF(INDEX('潜水記録'!$A$5:$A$3004,$AS54)="","",INDEX('潜水記録'!$A$5:$A$3004,$AS54)))</f>
        <v/>
      </c>
      <c r="C54" s="14">
        <f>IF($A54="","",IF(INDEX('潜水記録'!$B$5:$B$3004,$AS54)="","",INDEX('潜水記録'!$B$5:$B$3004,$AS54)))</f>
        <v/>
      </c>
      <c r="D54" s="14">
        <f>IF($A54="","",IF(INDEX('潜水記録'!$C$5:$C$3004,$AS54)="","",INDEX('潜水記録'!$C$5:$C$3004,$AS54)))</f>
        <v/>
      </c>
      <c r="E54" s="14">
        <f>IF($A54="","",IF(INDEX('潜水記録'!$D$5:$D$3004,$AS54)="","",INDEX('潜水記録'!$D$5:$D$3004,$AS54)))</f>
        <v/>
      </c>
      <c r="F54" s="14">
        <f>IF($A54="","",IF(INDEX('潜水記録'!$E$5:$E$3004,$AS54)="","",INDEX('潜水記録'!$E$5:$E$3004,$AS54)))</f>
        <v/>
      </c>
      <c r="G54" s="14">
        <f>IF($A54="","",IF(INDEX('潜水記録'!$F$5:$F$3004,$AS54)="","",INDEX('潜水記録'!$F$5:$F$3004,$AS54)))</f>
        <v/>
      </c>
      <c r="H54" s="14">
        <f>IF($A54="","",IF(INDEX('潜水記録'!$G$5:$G$3004,$AS54)="","",INDEX('潜水記録'!$G$5:$G$3004,$AS54)))</f>
        <v/>
      </c>
      <c r="I54" s="14">
        <f>IF($A54="","",IF(INDEX('潜水記録'!$H$5:$H$3004,$AS54)="","",INDEX('潜水記録'!$H$5:$H$3004,$AS54)))</f>
        <v/>
      </c>
      <c r="J54" s="14">
        <f>IF($A54="","",IF(INDEX('潜水記録'!$I$5:$I$3004,$AS54)="","",INDEX('潜水記録'!$I$5:$I$3004,$AS54)))</f>
        <v/>
      </c>
      <c r="K54" s="14">
        <f>IF($A54="","",IF(INDEX('潜水記録'!$J$5:$J$3004,$AS54)="","",INDEX('潜水記録'!$J$5:$J$3004,$AS54)))</f>
        <v/>
      </c>
      <c r="L54" s="14">
        <f>IF($A54="","",IF(INDEX('潜水記録'!$K$5:$K$3004,$AS54)="","",INDEX('潜水記録'!$K$5:$K$3004,$AS54)))</f>
        <v/>
      </c>
      <c r="M54" s="14">
        <f>IF($A54="","",IF(INDEX('潜水記録'!$L$5:$L$3004,$AS54)="","",INDEX('潜水記録'!$L$5:$L$3004,$AS54)))</f>
        <v/>
      </c>
      <c r="N54" s="14">
        <f>IF($A54="","",IF(INDEX('潜水記録'!$M$5:$M$3004,$AS54)="","",INDEX('潜水記録'!$M$5:$M$3004,$AS54)))</f>
        <v/>
      </c>
      <c r="O54" s="14">
        <f>IF($A54="","",IF(INDEX('潜水記録'!$N$5:$N$3004,$AS54)="","",INDEX('潜水記録'!$N$5:$N$3004,$AS54)))</f>
        <v/>
      </c>
      <c r="P54" s="14">
        <f>IF($A54="","",IF(INDEX('潜水記録'!$O$5:$O$3004,$AS54)="","",INDEX('潜水記録'!$O$5:$O$3004,$AS54)))</f>
        <v/>
      </c>
      <c r="Q54" s="14">
        <f>IF($A54="","",IF(INDEX('潜水記録'!$P$5:$P$3004,$AS54)="","",INDEX('潜水記録'!$P$5:$P$3004,$AS54)))</f>
        <v/>
      </c>
      <c r="R54" s="14">
        <f>IF($A54="","",IF(INDEX('潜水記録'!$Q$5:$Q$3004,$AS54)="","",INDEX('潜水記録'!$Q$5:$Q$3004,$AS54)))</f>
        <v/>
      </c>
      <c r="S54" s="14">
        <f>IF($A54="","",IF(INDEX('潜水記録'!$R$5:$R$3004,$AS54)="","",INDEX('潜水記録'!$R$5:$R$3004,$AS54)))</f>
        <v/>
      </c>
      <c r="T54" s="14">
        <f>IF($A54="","",IF(INDEX('潜水記録'!$S$5:$S$3004,$AS54)="","",INDEX('潜水記録'!$S$5:$S$3004,$AS54)))</f>
        <v/>
      </c>
      <c r="U54" s="14">
        <f>IF($A54="","",IF(INDEX('潜水記録'!$T$5:$T$3004,$AS54)="","",INDEX('潜水記録'!$T$5:$T$3004,$AS54)))</f>
        <v/>
      </c>
      <c r="V54" s="46">
        <f>IF($A54="","",IF(INDEX('潜水記録'!$U$5:$U$3004,$AS54)="","",INDEX('潜水記録'!$U$5:$U$3004,$AS54)))</f>
        <v/>
      </c>
      <c r="W54" s="46">
        <f>IF($A54="","",IF(INDEX('潜水記録'!$V$5:$V$3004,$AS54)="","",INDEX('潜水記録'!$V$5:$V$3004,$AS54)))</f>
        <v/>
      </c>
      <c r="X54" s="14">
        <f>IF($A54="","",IF(INDEX('潜水記録'!$W$5:$W$3004,$AS54)="","",INDEX('潜水記録'!$W$5:$W$3004,$AS54)))</f>
        <v/>
      </c>
      <c r="Y54" s="14">
        <f>IF($A54="","",IF(INDEX('潜水記録'!$X$5:$X$3004,$AS54)="","",INDEX('潜水記録'!$X$5:$X$3004,$AS54)))</f>
        <v/>
      </c>
      <c r="Z54" s="14">
        <f>IF($A54="","",IF(INDEX('潜水記録'!$Y$5:$Y$3004,$AS54)="","",INDEX('潜水記録'!$Y$5:$Y$3004,$AS54)))</f>
        <v/>
      </c>
      <c r="AA54" s="14">
        <f>IF($A54="","",IF(INDEX('潜水記録'!$Z$5:$Z$3004,$AS54)="","",INDEX('潜水記録'!$Z$5:$Z$3004,$AS54)))</f>
        <v/>
      </c>
      <c r="AB54" s="14">
        <f>IF($A54="","",IF(INDEX('潜水記録'!$AA$5:$AA$3004,$AS54)="","",INDEX('潜水記録'!$AA$5:$AA$3004,$AS54)))</f>
        <v/>
      </c>
      <c r="AC54" s="14">
        <f>IF($A54="","",IF(INDEX('潜水記録'!$AB$5:$AB$3004,$AS54)="","",INDEX('潜水記録'!$AB$5:$AB$3004,$AS54)))</f>
        <v/>
      </c>
      <c r="AD54" s="14">
        <f>IF($A54="","",IF(INDEX('潜水記録'!$AC$5:$AC$3004,$AS54)="","",INDEX('潜水記録'!$AC$5:$AC$3004,$AS54)))</f>
        <v/>
      </c>
      <c r="AE54" s="14">
        <f>IF($A54="","",IF(INDEX('潜水記録'!$AD$5:$AD$3004,$AS54)="","",INDEX('潜水記録'!$AD$5:$AD$3004,$AS54)))</f>
        <v/>
      </c>
      <c r="AF54" s="14">
        <f>IF($A54="","",IF(INDEX('潜水記録'!$AE$5:$AE$3004,$AS54)="","",INDEX('潜水記録'!$AE$5:$AE$3004,$AS54)))</f>
        <v/>
      </c>
      <c r="AG54" s="14">
        <f>IF($A54="","",IF(INDEX('潜水記録'!$AL$5:$AL$3004,$AS54)="","",INDEX('潜水記録'!$AL$5:$AL$3004,$AS54)))</f>
        <v/>
      </c>
      <c r="AH54" s="14">
        <f>IF($A54="","",IF(INDEX('潜水記録'!$AM$5:$AM$3004,$AS54)="","",INDEX('潜水記録'!$AM$5:$AM$3004,$AS54)))</f>
        <v/>
      </c>
      <c r="AI54" s="46">
        <f>IF($A54="","",IF(INDEX('潜水記録'!$AN$5:$AN$3004,$AS54)="","",INDEX('潜水記録'!$AN$5:$AN$3004,$AS54)))</f>
        <v/>
      </c>
      <c r="AJ54" s="14">
        <f>IF($A54="","",IF(INDEX('潜水記録'!$AO$5:$AO$3004,$AS54)="","",INDEX('潜水記録'!$AO$5:$AO$3004,$AS54)))</f>
        <v/>
      </c>
      <c r="AK54" s="14">
        <f>IF($A54="","",IF(INDEX('潜水記録'!$AP$5:$AP$3004,$AS54)="","",INDEX('潜水記録'!$AP$5:$AP$3004,$AS54)))</f>
        <v/>
      </c>
      <c r="AL54" s="14">
        <f>IF($A54="","",IF(INDEX('潜水記録'!$AQ$5:$AQ$3004,$AS54)="","",INDEX('潜水記録'!$AQ$5:$AQ$3004,$AS54)))</f>
        <v/>
      </c>
      <c r="AM54" s="14">
        <f>IF($A54="","",IF(INDEX('潜水記録'!$AR$5:$AR$3004,$AS54)="","",INDEX('潜水記録'!$AR$5:$AR$3004,$AS54)))</f>
        <v/>
      </c>
      <c r="AN54" s="14">
        <f>IF($A54="","",IF(INDEX('潜水記録'!$AS$5:$AS$3004,$AS54)="","",INDEX('潜水記録'!$AS$5:$AS$3004,$AS54)))</f>
        <v/>
      </c>
      <c r="AO54" s="14">
        <f>IF($A54="","",IF(INDEX('潜水記録'!$AT$5:$AT$3004,$AS54)="","",INDEX('潜水記録'!$AT$5:$AT$3004,$AS54)))</f>
        <v/>
      </c>
      <c r="AP54" s="14">
        <f>IF($A54="","",IF(INDEX('潜水記録'!$AU$5:$AU$3004,$AS54)="","",INDEX('潜水記録'!$AU$5:$AU$3004,$AS54)))</f>
        <v/>
      </c>
      <c r="AQ54" s="14">
        <f>IF($A54="","",IF(INDEX('潜水記録'!$AV$5:$AV$3004,$AS54)="","",INDEX('潜水記録'!$AV$5:$AV$3004,$AS54)))</f>
        <v/>
      </c>
      <c r="AR54" s="14">
        <f>IF($A54="","",IF(INDEX('潜水記録'!$AW$5:$AW$3004,$AS54)="","",INDEX('潜水記録'!$AW$5:$AW$3004,$AS54)))</f>
        <v/>
      </c>
      <c r="AS54" s="20">
        <f>IF($A54="","",MATCH($A54,'潜水記録'!$AI$5:$AI$3004,0))</f>
        <v/>
      </c>
    </row>
    <row r="55">
      <c r="A55" s="14">
        <f>IF(45&lt;=$C$8,45,"")</f>
        <v/>
      </c>
      <c r="B55" s="16">
        <f>IF($A55="","",IF(INDEX('潜水記録'!$A$5:$A$3004,$AS55)="","",INDEX('潜水記録'!$A$5:$A$3004,$AS55)))</f>
        <v/>
      </c>
      <c r="C55" s="14">
        <f>IF($A55="","",IF(INDEX('潜水記録'!$B$5:$B$3004,$AS55)="","",INDEX('潜水記録'!$B$5:$B$3004,$AS55)))</f>
        <v/>
      </c>
      <c r="D55" s="14">
        <f>IF($A55="","",IF(INDEX('潜水記録'!$C$5:$C$3004,$AS55)="","",INDEX('潜水記録'!$C$5:$C$3004,$AS55)))</f>
        <v/>
      </c>
      <c r="E55" s="14">
        <f>IF($A55="","",IF(INDEX('潜水記録'!$D$5:$D$3004,$AS55)="","",INDEX('潜水記録'!$D$5:$D$3004,$AS55)))</f>
        <v/>
      </c>
      <c r="F55" s="14">
        <f>IF($A55="","",IF(INDEX('潜水記録'!$E$5:$E$3004,$AS55)="","",INDEX('潜水記録'!$E$5:$E$3004,$AS55)))</f>
        <v/>
      </c>
      <c r="G55" s="14">
        <f>IF($A55="","",IF(INDEX('潜水記録'!$F$5:$F$3004,$AS55)="","",INDEX('潜水記録'!$F$5:$F$3004,$AS55)))</f>
        <v/>
      </c>
      <c r="H55" s="14">
        <f>IF($A55="","",IF(INDEX('潜水記録'!$G$5:$G$3004,$AS55)="","",INDEX('潜水記録'!$G$5:$G$3004,$AS55)))</f>
        <v/>
      </c>
      <c r="I55" s="14">
        <f>IF($A55="","",IF(INDEX('潜水記録'!$H$5:$H$3004,$AS55)="","",INDEX('潜水記録'!$H$5:$H$3004,$AS55)))</f>
        <v/>
      </c>
      <c r="J55" s="14">
        <f>IF($A55="","",IF(INDEX('潜水記録'!$I$5:$I$3004,$AS55)="","",INDEX('潜水記録'!$I$5:$I$3004,$AS55)))</f>
        <v/>
      </c>
      <c r="K55" s="14">
        <f>IF($A55="","",IF(INDEX('潜水記録'!$J$5:$J$3004,$AS55)="","",INDEX('潜水記録'!$J$5:$J$3004,$AS55)))</f>
        <v/>
      </c>
      <c r="L55" s="14">
        <f>IF($A55="","",IF(INDEX('潜水記録'!$K$5:$K$3004,$AS55)="","",INDEX('潜水記録'!$K$5:$K$3004,$AS55)))</f>
        <v/>
      </c>
      <c r="M55" s="14">
        <f>IF($A55="","",IF(INDEX('潜水記録'!$L$5:$L$3004,$AS55)="","",INDEX('潜水記録'!$L$5:$L$3004,$AS55)))</f>
        <v/>
      </c>
      <c r="N55" s="14">
        <f>IF($A55="","",IF(INDEX('潜水記録'!$M$5:$M$3004,$AS55)="","",INDEX('潜水記録'!$M$5:$M$3004,$AS55)))</f>
        <v/>
      </c>
      <c r="O55" s="14">
        <f>IF($A55="","",IF(INDEX('潜水記録'!$N$5:$N$3004,$AS55)="","",INDEX('潜水記録'!$N$5:$N$3004,$AS55)))</f>
        <v/>
      </c>
      <c r="P55" s="14">
        <f>IF($A55="","",IF(INDEX('潜水記録'!$O$5:$O$3004,$AS55)="","",INDEX('潜水記録'!$O$5:$O$3004,$AS55)))</f>
        <v/>
      </c>
      <c r="Q55" s="14">
        <f>IF($A55="","",IF(INDEX('潜水記録'!$P$5:$P$3004,$AS55)="","",INDEX('潜水記録'!$P$5:$P$3004,$AS55)))</f>
        <v/>
      </c>
      <c r="R55" s="14">
        <f>IF($A55="","",IF(INDEX('潜水記録'!$Q$5:$Q$3004,$AS55)="","",INDEX('潜水記録'!$Q$5:$Q$3004,$AS55)))</f>
        <v/>
      </c>
      <c r="S55" s="14">
        <f>IF($A55="","",IF(INDEX('潜水記録'!$R$5:$R$3004,$AS55)="","",INDEX('潜水記録'!$R$5:$R$3004,$AS55)))</f>
        <v/>
      </c>
      <c r="T55" s="14">
        <f>IF($A55="","",IF(INDEX('潜水記録'!$S$5:$S$3004,$AS55)="","",INDEX('潜水記録'!$S$5:$S$3004,$AS55)))</f>
        <v/>
      </c>
      <c r="U55" s="14">
        <f>IF($A55="","",IF(INDEX('潜水記録'!$T$5:$T$3004,$AS55)="","",INDEX('潜水記録'!$T$5:$T$3004,$AS55)))</f>
        <v/>
      </c>
      <c r="V55" s="46">
        <f>IF($A55="","",IF(INDEX('潜水記録'!$U$5:$U$3004,$AS55)="","",INDEX('潜水記録'!$U$5:$U$3004,$AS55)))</f>
        <v/>
      </c>
      <c r="W55" s="46">
        <f>IF($A55="","",IF(INDEX('潜水記録'!$V$5:$V$3004,$AS55)="","",INDEX('潜水記録'!$V$5:$V$3004,$AS55)))</f>
        <v/>
      </c>
      <c r="X55" s="14">
        <f>IF($A55="","",IF(INDEX('潜水記録'!$W$5:$W$3004,$AS55)="","",INDEX('潜水記録'!$W$5:$W$3004,$AS55)))</f>
        <v/>
      </c>
      <c r="Y55" s="14">
        <f>IF($A55="","",IF(INDEX('潜水記録'!$X$5:$X$3004,$AS55)="","",INDEX('潜水記録'!$X$5:$X$3004,$AS55)))</f>
        <v/>
      </c>
      <c r="Z55" s="14">
        <f>IF($A55="","",IF(INDEX('潜水記録'!$Y$5:$Y$3004,$AS55)="","",INDEX('潜水記録'!$Y$5:$Y$3004,$AS55)))</f>
        <v/>
      </c>
      <c r="AA55" s="14">
        <f>IF($A55="","",IF(INDEX('潜水記録'!$Z$5:$Z$3004,$AS55)="","",INDEX('潜水記録'!$Z$5:$Z$3004,$AS55)))</f>
        <v/>
      </c>
      <c r="AB55" s="14">
        <f>IF($A55="","",IF(INDEX('潜水記録'!$AA$5:$AA$3004,$AS55)="","",INDEX('潜水記録'!$AA$5:$AA$3004,$AS55)))</f>
        <v/>
      </c>
      <c r="AC55" s="14">
        <f>IF($A55="","",IF(INDEX('潜水記録'!$AB$5:$AB$3004,$AS55)="","",INDEX('潜水記録'!$AB$5:$AB$3004,$AS55)))</f>
        <v/>
      </c>
      <c r="AD55" s="14">
        <f>IF($A55="","",IF(INDEX('潜水記録'!$AC$5:$AC$3004,$AS55)="","",INDEX('潜水記録'!$AC$5:$AC$3004,$AS55)))</f>
        <v/>
      </c>
      <c r="AE55" s="14">
        <f>IF($A55="","",IF(INDEX('潜水記録'!$AD$5:$AD$3004,$AS55)="","",INDEX('潜水記録'!$AD$5:$AD$3004,$AS55)))</f>
        <v/>
      </c>
      <c r="AF55" s="14">
        <f>IF($A55="","",IF(INDEX('潜水記録'!$AE$5:$AE$3004,$AS55)="","",INDEX('潜水記録'!$AE$5:$AE$3004,$AS55)))</f>
        <v/>
      </c>
      <c r="AG55" s="14">
        <f>IF($A55="","",IF(INDEX('潜水記録'!$AL$5:$AL$3004,$AS55)="","",INDEX('潜水記録'!$AL$5:$AL$3004,$AS55)))</f>
        <v/>
      </c>
      <c r="AH55" s="14">
        <f>IF($A55="","",IF(INDEX('潜水記録'!$AM$5:$AM$3004,$AS55)="","",INDEX('潜水記録'!$AM$5:$AM$3004,$AS55)))</f>
        <v/>
      </c>
      <c r="AI55" s="46">
        <f>IF($A55="","",IF(INDEX('潜水記録'!$AN$5:$AN$3004,$AS55)="","",INDEX('潜水記録'!$AN$5:$AN$3004,$AS55)))</f>
        <v/>
      </c>
      <c r="AJ55" s="14">
        <f>IF($A55="","",IF(INDEX('潜水記録'!$AO$5:$AO$3004,$AS55)="","",INDEX('潜水記録'!$AO$5:$AO$3004,$AS55)))</f>
        <v/>
      </c>
      <c r="AK55" s="14">
        <f>IF($A55="","",IF(INDEX('潜水記録'!$AP$5:$AP$3004,$AS55)="","",INDEX('潜水記録'!$AP$5:$AP$3004,$AS55)))</f>
        <v/>
      </c>
      <c r="AL55" s="14">
        <f>IF($A55="","",IF(INDEX('潜水記録'!$AQ$5:$AQ$3004,$AS55)="","",INDEX('潜水記録'!$AQ$5:$AQ$3004,$AS55)))</f>
        <v/>
      </c>
      <c r="AM55" s="14">
        <f>IF($A55="","",IF(INDEX('潜水記録'!$AR$5:$AR$3004,$AS55)="","",INDEX('潜水記録'!$AR$5:$AR$3004,$AS55)))</f>
        <v/>
      </c>
      <c r="AN55" s="14">
        <f>IF($A55="","",IF(INDEX('潜水記録'!$AS$5:$AS$3004,$AS55)="","",INDEX('潜水記録'!$AS$5:$AS$3004,$AS55)))</f>
        <v/>
      </c>
      <c r="AO55" s="14">
        <f>IF($A55="","",IF(INDEX('潜水記録'!$AT$5:$AT$3004,$AS55)="","",INDEX('潜水記録'!$AT$5:$AT$3004,$AS55)))</f>
        <v/>
      </c>
      <c r="AP55" s="14">
        <f>IF($A55="","",IF(INDEX('潜水記録'!$AU$5:$AU$3004,$AS55)="","",INDEX('潜水記録'!$AU$5:$AU$3004,$AS55)))</f>
        <v/>
      </c>
      <c r="AQ55" s="14">
        <f>IF($A55="","",IF(INDEX('潜水記録'!$AV$5:$AV$3004,$AS55)="","",INDEX('潜水記録'!$AV$5:$AV$3004,$AS55)))</f>
        <v/>
      </c>
      <c r="AR55" s="14">
        <f>IF($A55="","",IF(INDEX('潜水記録'!$AW$5:$AW$3004,$AS55)="","",INDEX('潜水記録'!$AW$5:$AW$3004,$AS55)))</f>
        <v/>
      </c>
      <c r="AS55" s="20">
        <f>IF($A55="","",MATCH($A55,'潜水記録'!$AI$5:$AI$3004,0))</f>
        <v/>
      </c>
    </row>
    <row r="56">
      <c r="A56" s="14">
        <f>IF(46&lt;=$C$8,46,"")</f>
        <v/>
      </c>
      <c r="B56" s="16">
        <f>IF($A56="","",IF(INDEX('潜水記録'!$A$5:$A$3004,$AS56)="","",INDEX('潜水記録'!$A$5:$A$3004,$AS56)))</f>
        <v/>
      </c>
      <c r="C56" s="14">
        <f>IF($A56="","",IF(INDEX('潜水記録'!$B$5:$B$3004,$AS56)="","",INDEX('潜水記録'!$B$5:$B$3004,$AS56)))</f>
        <v/>
      </c>
      <c r="D56" s="14">
        <f>IF($A56="","",IF(INDEX('潜水記録'!$C$5:$C$3004,$AS56)="","",INDEX('潜水記録'!$C$5:$C$3004,$AS56)))</f>
        <v/>
      </c>
      <c r="E56" s="14">
        <f>IF($A56="","",IF(INDEX('潜水記録'!$D$5:$D$3004,$AS56)="","",INDEX('潜水記録'!$D$5:$D$3004,$AS56)))</f>
        <v/>
      </c>
      <c r="F56" s="14">
        <f>IF($A56="","",IF(INDEX('潜水記録'!$E$5:$E$3004,$AS56)="","",INDEX('潜水記録'!$E$5:$E$3004,$AS56)))</f>
        <v/>
      </c>
      <c r="G56" s="14">
        <f>IF($A56="","",IF(INDEX('潜水記録'!$F$5:$F$3004,$AS56)="","",INDEX('潜水記録'!$F$5:$F$3004,$AS56)))</f>
        <v/>
      </c>
      <c r="H56" s="14">
        <f>IF($A56="","",IF(INDEX('潜水記録'!$G$5:$G$3004,$AS56)="","",INDEX('潜水記録'!$G$5:$G$3004,$AS56)))</f>
        <v/>
      </c>
      <c r="I56" s="14">
        <f>IF($A56="","",IF(INDEX('潜水記録'!$H$5:$H$3004,$AS56)="","",INDEX('潜水記録'!$H$5:$H$3004,$AS56)))</f>
        <v/>
      </c>
      <c r="J56" s="14">
        <f>IF($A56="","",IF(INDEX('潜水記録'!$I$5:$I$3004,$AS56)="","",INDEX('潜水記録'!$I$5:$I$3004,$AS56)))</f>
        <v/>
      </c>
      <c r="K56" s="14">
        <f>IF($A56="","",IF(INDEX('潜水記録'!$J$5:$J$3004,$AS56)="","",INDEX('潜水記録'!$J$5:$J$3004,$AS56)))</f>
        <v/>
      </c>
      <c r="L56" s="14">
        <f>IF($A56="","",IF(INDEX('潜水記録'!$K$5:$K$3004,$AS56)="","",INDEX('潜水記録'!$K$5:$K$3004,$AS56)))</f>
        <v/>
      </c>
      <c r="M56" s="14">
        <f>IF($A56="","",IF(INDEX('潜水記録'!$L$5:$L$3004,$AS56)="","",INDEX('潜水記録'!$L$5:$L$3004,$AS56)))</f>
        <v/>
      </c>
      <c r="N56" s="14">
        <f>IF($A56="","",IF(INDEX('潜水記録'!$M$5:$M$3004,$AS56)="","",INDEX('潜水記録'!$M$5:$M$3004,$AS56)))</f>
        <v/>
      </c>
      <c r="O56" s="14">
        <f>IF($A56="","",IF(INDEX('潜水記録'!$N$5:$N$3004,$AS56)="","",INDEX('潜水記録'!$N$5:$N$3004,$AS56)))</f>
        <v/>
      </c>
      <c r="P56" s="14">
        <f>IF($A56="","",IF(INDEX('潜水記録'!$O$5:$O$3004,$AS56)="","",INDEX('潜水記録'!$O$5:$O$3004,$AS56)))</f>
        <v/>
      </c>
      <c r="Q56" s="14">
        <f>IF($A56="","",IF(INDEX('潜水記録'!$P$5:$P$3004,$AS56)="","",INDEX('潜水記録'!$P$5:$P$3004,$AS56)))</f>
        <v/>
      </c>
      <c r="R56" s="14">
        <f>IF($A56="","",IF(INDEX('潜水記録'!$Q$5:$Q$3004,$AS56)="","",INDEX('潜水記録'!$Q$5:$Q$3004,$AS56)))</f>
        <v/>
      </c>
      <c r="S56" s="14">
        <f>IF($A56="","",IF(INDEX('潜水記録'!$R$5:$R$3004,$AS56)="","",INDEX('潜水記録'!$R$5:$R$3004,$AS56)))</f>
        <v/>
      </c>
      <c r="T56" s="14">
        <f>IF($A56="","",IF(INDEX('潜水記録'!$S$5:$S$3004,$AS56)="","",INDEX('潜水記録'!$S$5:$S$3004,$AS56)))</f>
        <v/>
      </c>
      <c r="U56" s="14">
        <f>IF($A56="","",IF(INDEX('潜水記録'!$T$5:$T$3004,$AS56)="","",INDEX('潜水記録'!$T$5:$T$3004,$AS56)))</f>
        <v/>
      </c>
      <c r="V56" s="46">
        <f>IF($A56="","",IF(INDEX('潜水記録'!$U$5:$U$3004,$AS56)="","",INDEX('潜水記録'!$U$5:$U$3004,$AS56)))</f>
        <v/>
      </c>
      <c r="W56" s="46">
        <f>IF($A56="","",IF(INDEX('潜水記録'!$V$5:$V$3004,$AS56)="","",INDEX('潜水記録'!$V$5:$V$3004,$AS56)))</f>
        <v/>
      </c>
      <c r="X56" s="14">
        <f>IF($A56="","",IF(INDEX('潜水記録'!$W$5:$W$3004,$AS56)="","",INDEX('潜水記録'!$W$5:$W$3004,$AS56)))</f>
        <v/>
      </c>
      <c r="Y56" s="14">
        <f>IF($A56="","",IF(INDEX('潜水記録'!$X$5:$X$3004,$AS56)="","",INDEX('潜水記録'!$X$5:$X$3004,$AS56)))</f>
        <v/>
      </c>
      <c r="Z56" s="14">
        <f>IF($A56="","",IF(INDEX('潜水記録'!$Y$5:$Y$3004,$AS56)="","",INDEX('潜水記録'!$Y$5:$Y$3004,$AS56)))</f>
        <v/>
      </c>
      <c r="AA56" s="14">
        <f>IF($A56="","",IF(INDEX('潜水記録'!$Z$5:$Z$3004,$AS56)="","",INDEX('潜水記録'!$Z$5:$Z$3004,$AS56)))</f>
        <v/>
      </c>
      <c r="AB56" s="14">
        <f>IF($A56="","",IF(INDEX('潜水記録'!$AA$5:$AA$3004,$AS56)="","",INDEX('潜水記録'!$AA$5:$AA$3004,$AS56)))</f>
        <v/>
      </c>
      <c r="AC56" s="14">
        <f>IF($A56="","",IF(INDEX('潜水記録'!$AB$5:$AB$3004,$AS56)="","",INDEX('潜水記録'!$AB$5:$AB$3004,$AS56)))</f>
        <v/>
      </c>
      <c r="AD56" s="14">
        <f>IF($A56="","",IF(INDEX('潜水記録'!$AC$5:$AC$3004,$AS56)="","",INDEX('潜水記録'!$AC$5:$AC$3004,$AS56)))</f>
        <v/>
      </c>
      <c r="AE56" s="14">
        <f>IF($A56="","",IF(INDEX('潜水記録'!$AD$5:$AD$3004,$AS56)="","",INDEX('潜水記録'!$AD$5:$AD$3004,$AS56)))</f>
        <v/>
      </c>
      <c r="AF56" s="14">
        <f>IF($A56="","",IF(INDEX('潜水記録'!$AE$5:$AE$3004,$AS56)="","",INDEX('潜水記録'!$AE$5:$AE$3004,$AS56)))</f>
        <v/>
      </c>
      <c r="AG56" s="14">
        <f>IF($A56="","",IF(INDEX('潜水記録'!$AL$5:$AL$3004,$AS56)="","",INDEX('潜水記録'!$AL$5:$AL$3004,$AS56)))</f>
        <v/>
      </c>
      <c r="AH56" s="14">
        <f>IF($A56="","",IF(INDEX('潜水記録'!$AM$5:$AM$3004,$AS56)="","",INDEX('潜水記録'!$AM$5:$AM$3004,$AS56)))</f>
        <v/>
      </c>
      <c r="AI56" s="46">
        <f>IF($A56="","",IF(INDEX('潜水記録'!$AN$5:$AN$3004,$AS56)="","",INDEX('潜水記録'!$AN$5:$AN$3004,$AS56)))</f>
        <v/>
      </c>
      <c r="AJ56" s="14">
        <f>IF($A56="","",IF(INDEX('潜水記録'!$AO$5:$AO$3004,$AS56)="","",INDEX('潜水記録'!$AO$5:$AO$3004,$AS56)))</f>
        <v/>
      </c>
      <c r="AK56" s="14">
        <f>IF($A56="","",IF(INDEX('潜水記録'!$AP$5:$AP$3004,$AS56)="","",INDEX('潜水記録'!$AP$5:$AP$3004,$AS56)))</f>
        <v/>
      </c>
      <c r="AL56" s="14">
        <f>IF($A56="","",IF(INDEX('潜水記録'!$AQ$5:$AQ$3004,$AS56)="","",INDEX('潜水記録'!$AQ$5:$AQ$3004,$AS56)))</f>
        <v/>
      </c>
      <c r="AM56" s="14">
        <f>IF($A56="","",IF(INDEX('潜水記録'!$AR$5:$AR$3004,$AS56)="","",INDEX('潜水記録'!$AR$5:$AR$3004,$AS56)))</f>
        <v/>
      </c>
      <c r="AN56" s="14">
        <f>IF($A56="","",IF(INDEX('潜水記録'!$AS$5:$AS$3004,$AS56)="","",INDEX('潜水記録'!$AS$5:$AS$3004,$AS56)))</f>
        <v/>
      </c>
      <c r="AO56" s="14">
        <f>IF($A56="","",IF(INDEX('潜水記録'!$AT$5:$AT$3004,$AS56)="","",INDEX('潜水記録'!$AT$5:$AT$3004,$AS56)))</f>
        <v/>
      </c>
      <c r="AP56" s="14">
        <f>IF($A56="","",IF(INDEX('潜水記録'!$AU$5:$AU$3004,$AS56)="","",INDEX('潜水記録'!$AU$5:$AU$3004,$AS56)))</f>
        <v/>
      </c>
      <c r="AQ56" s="14">
        <f>IF($A56="","",IF(INDEX('潜水記録'!$AV$5:$AV$3004,$AS56)="","",INDEX('潜水記録'!$AV$5:$AV$3004,$AS56)))</f>
        <v/>
      </c>
      <c r="AR56" s="14">
        <f>IF($A56="","",IF(INDEX('潜水記録'!$AW$5:$AW$3004,$AS56)="","",INDEX('潜水記録'!$AW$5:$AW$3004,$AS56)))</f>
        <v/>
      </c>
      <c r="AS56" s="20">
        <f>IF($A56="","",MATCH($A56,'潜水記録'!$AI$5:$AI$3004,0))</f>
        <v/>
      </c>
    </row>
    <row r="57">
      <c r="A57" s="14">
        <f>IF(47&lt;=$C$8,47,"")</f>
        <v/>
      </c>
      <c r="B57" s="16">
        <f>IF($A57="","",IF(INDEX('潜水記録'!$A$5:$A$3004,$AS57)="","",INDEX('潜水記録'!$A$5:$A$3004,$AS57)))</f>
        <v/>
      </c>
      <c r="C57" s="14">
        <f>IF($A57="","",IF(INDEX('潜水記録'!$B$5:$B$3004,$AS57)="","",INDEX('潜水記録'!$B$5:$B$3004,$AS57)))</f>
        <v/>
      </c>
      <c r="D57" s="14">
        <f>IF($A57="","",IF(INDEX('潜水記録'!$C$5:$C$3004,$AS57)="","",INDEX('潜水記録'!$C$5:$C$3004,$AS57)))</f>
        <v/>
      </c>
      <c r="E57" s="14">
        <f>IF($A57="","",IF(INDEX('潜水記録'!$D$5:$D$3004,$AS57)="","",INDEX('潜水記録'!$D$5:$D$3004,$AS57)))</f>
        <v/>
      </c>
      <c r="F57" s="14">
        <f>IF($A57="","",IF(INDEX('潜水記録'!$E$5:$E$3004,$AS57)="","",INDEX('潜水記録'!$E$5:$E$3004,$AS57)))</f>
        <v/>
      </c>
      <c r="G57" s="14">
        <f>IF($A57="","",IF(INDEX('潜水記録'!$F$5:$F$3004,$AS57)="","",INDEX('潜水記録'!$F$5:$F$3004,$AS57)))</f>
        <v/>
      </c>
      <c r="H57" s="14">
        <f>IF($A57="","",IF(INDEX('潜水記録'!$G$5:$G$3004,$AS57)="","",INDEX('潜水記録'!$G$5:$G$3004,$AS57)))</f>
        <v/>
      </c>
      <c r="I57" s="14">
        <f>IF($A57="","",IF(INDEX('潜水記録'!$H$5:$H$3004,$AS57)="","",INDEX('潜水記録'!$H$5:$H$3004,$AS57)))</f>
        <v/>
      </c>
      <c r="J57" s="14">
        <f>IF($A57="","",IF(INDEX('潜水記録'!$I$5:$I$3004,$AS57)="","",INDEX('潜水記録'!$I$5:$I$3004,$AS57)))</f>
        <v/>
      </c>
      <c r="K57" s="14">
        <f>IF($A57="","",IF(INDEX('潜水記録'!$J$5:$J$3004,$AS57)="","",INDEX('潜水記録'!$J$5:$J$3004,$AS57)))</f>
        <v/>
      </c>
      <c r="L57" s="14">
        <f>IF($A57="","",IF(INDEX('潜水記録'!$K$5:$K$3004,$AS57)="","",INDEX('潜水記録'!$K$5:$K$3004,$AS57)))</f>
        <v/>
      </c>
      <c r="M57" s="14">
        <f>IF($A57="","",IF(INDEX('潜水記録'!$L$5:$L$3004,$AS57)="","",INDEX('潜水記録'!$L$5:$L$3004,$AS57)))</f>
        <v/>
      </c>
      <c r="N57" s="14">
        <f>IF($A57="","",IF(INDEX('潜水記録'!$M$5:$M$3004,$AS57)="","",INDEX('潜水記録'!$M$5:$M$3004,$AS57)))</f>
        <v/>
      </c>
      <c r="O57" s="14">
        <f>IF($A57="","",IF(INDEX('潜水記録'!$N$5:$N$3004,$AS57)="","",INDEX('潜水記録'!$N$5:$N$3004,$AS57)))</f>
        <v/>
      </c>
      <c r="P57" s="14">
        <f>IF($A57="","",IF(INDEX('潜水記録'!$O$5:$O$3004,$AS57)="","",INDEX('潜水記録'!$O$5:$O$3004,$AS57)))</f>
        <v/>
      </c>
      <c r="Q57" s="14">
        <f>IF($A57="","",IF(INDEX('潜水記録'!$P$5:$P$3004,$AS57)="","",INDEX('潜水記録'!$P$5:$P$3004,$AS57)))</f>
        <v/>
      </c>
      <c r="R57" s="14">
        <f>IF($A57="","",IF(INDEX('潜水記録'!$Q$5:$Q$3004,$AS57)="","",INDEX('潜水記録'!$Q$5:$Q$3004,$AS57)))</f>
        <v/>
      </c>
      <c r="S57" s="14">
        <f>IF($A57="","",IF(INDEX('潜水記録'!$R$5:$R$3004,$AS57)="","",INDEX('潜水記録'!$R$5:$R$3004,$AS57)))</f>
        <v/>
      </c>
      <c r="T57" s="14">
        <f>IF($A57="","",IF(INDEX('潜水記録'!$S$5:$S$3004,$AS57)="","",INDEX('潜水記録'!$S$5:$S$3004,$AS57)))</f>
        <v/>
      </c>
      <c r="U57" s="14">
        <f>IF($A57="","",IF(INDEX('潜水記録'!$T$5:$T$3004,$AS57)="","",INDEX('潜水記録'!$T$5:$T$3004,$AS57)))</f>
        <v/>
      </c>
      <c r="V57" s="46">
        <f>IF($A57="","",IF(INDEX('潜水記録'!$U$5:$U$3004,$AS57)="","",INDEX('潜水記録'!$U$5:$U$3004,$AS57)))</f>
        <v/>
      </c>
      <c r="W57" s="46">
        <f>IF($A57="","",IF(INDEX('潜水記録'!$V$5:$V$3004,$AS57)="","",INDEX('潜水記録'!$V$5:$V$3004,$AS57)))</f>
        <v/>
      </c>
      <c r="X57" s="14">
        <f>IF($A57="","",IF(INDEX('潜水記録'!$W$5:$W$3004,$AS57)="","",INDEX('潜水記録'!$W$5:$W$3004,$AS57)))</f>
        <v/>
      </c>
      <c r="Y57" s="14">
        <f>IF($A57="","",IF(INDEX('潜水記録'!$X$5:$X$3004,$AS57)="","",INDEX('潜水記録'!$X$5:$X$3004,$AS57)))</f>
        <v/>
      </c>
      <c r="Z57" s="14">
        <f>IF($A57="","",IF(INDEX('潜水記録'!$Y$5:$Y$3004,$AS57)="","",INDEX('潜水記録'!$Y$5:$Y$3004,$AS57)))</f>
        <v/>
      </c>
      <c r="AA57" s="14">
        <f>IF($A57="","",IF(INDEX('潜水記録'!$Z$5:$Z$3004,$AS57)="","",INDEX('潜水記録'!$Z$5:$Z$3004,$AS57)))</f>
        <v/>
      </c>
      <c r="AB57" s="14">
        <f>IF($A57="","",IF(INDEX('潜水記録'!$AA$5:$AA$3004,$AS57)="","",INDEX('潜水記録'!$AA$5:$AA$3004,$AS57)))</f>
        <v/>
      </c>
      <c r="AC57" s="14">
        <f>IF($A57="","",IF(INDEX('潜水記録'!$AB$5:$AB$3004,$AS57)="","",INDEX('潜水記録'!$AB$5:$AB$3004,$AS57)))</f>
        <v/>
      </c>
      <c r="AD57" s="14">
        <f>IF($A57="","",IF(INDEX('潜水記録'!$AC$5:$AC$3004,$AS57)="","",INDEX('潜水記録'!$AC$5:$AC$3004,$AS57)))</f>
        <v/>
      </c>
      <c r="AE57" s="14">
        <f>IF($A57="","",IF(INDEX('潜水記録'!$AD$5:$AD$3004,$AS57)="","",INDEX('潜水記録'!$AD$5:$AD$3004,$AS57)))</f>
        <v/>
      </c>
      <c r="AF57" s="14">
        <f>IF($A57="","",IF(INDEX('潜水記録'!$AE$5:$AE$3004,$AS57)="","",INDEX('潜水記録'!$AE$5:$AE$3004,$AS57)))</f>
        <v/>
      </c>
      <c r="AG57" s="14">
        <f>IF($A57="","",IF(INDEX('潜水記録'!$AL$5:$AL$3004,$AS57)="","",INDEX('潜水記録'!$AL$5:$AL$3004,$AS57)))</f>
        <v/>
      </c>
      <c r="AH57" s="14">
        <f>IF($A57="","",IF(INDEX('潜水記録'!$AM$5:$AM$3004,$AS57)="","",INDEX('潜水記録'!$AM$5:$AM$3004,$AS57)))</f>
        <v/>
      </c>
      <c r="AI57" s="46">
        <f>IF($A57="","",IF(INDEX('潜水記録'!$AN$5:$AN$3004,$AS57)="","",INDEX('潜水記録'!$AN$5:$AN$3004,$AS57)))</f>
        <v/>
      </c>
      <c r="AJ57" s="14">
        <f>IF($A57="","",IF(INDEX('潜水記録'!$AO$5:$AO$3004,$AS57)="","",INDEX('潜水記録'!$AO$5:$AO$3004,$AS57)))</f>
        <v/>
      </c>
      <c r="AK57" s="14">
        <f>IF($A57="","",IF(INDEX('潜水記録'!$AP$5:$AP$3004,$AS57)="","",INDEX('潜水記録'!$AP$5:$AP$3004,$AS57)))</f>
        <v/>
      </c>
      <c r="AL57" s="14">
        <f>IF($A57="","",IF(INDEX('潜水記録'!$AQ$5:$AQ$3004,$AS57)="","",INDEX('潜水記録'!$AQ$5:$AQ$3004,$AS57)))</f>
        <v/>
      </c>
      <c r="AM57" s="14">
        <f>IF($A57="","",IF(INDEX('潜水記録'!$AR$5:$AR$3004,$AS57)="","",INDEX('潜水記録'!$AR$5:$AR$3004,$AS57)))</f>
        <v/>
      </c>
      <c r="AN57" s="14">
        <f>IF($A57="","",IF(INDEX('潜水記録'!$AS$5:$AS$3004,$AS57)="","",INDEX('潜水記録'!$AS$5:$AS$3004,$AS57)))</f>
        <v/>
      </c>
      <c r="AO57" s="14">
        <f>IF($A57="","",IF(INDEX('潜水記録'!$AT$5:$AT$3004,$AS57)="","",INDEX('潜水記録'!$AT$5:$AT$3004,$AS57)))</f>
        <v/>
      </c>
      <c r="AP57" s="14">
        <f>IF($A57="","",IF(INDEX('潜水記録'!$AU$5:$AU$3004,$AS57)="","",INDEX('潜水記録'!$AU$5:$AU$3004,$AS57)))</f>
        <v/>
      </c>
      <c r="AQ57" s="14">
        <f>IF($A57="","",IF(INDEX('潜水記録'!$AV$5:$AV$3004,$AS57)="","",INDEX('潜水記録'!$AV$5:$AV$3004,$AS57)))</f>
        <v/>
      </c>
      <c r="AR57" s="14">
        <f>IF($A57="","",IF(INDEX('潜水記録'!$AW$5:$AW$3004,$AS57)="","",INDEX('潜水記録'!$AW$5:$AW$3004,$AS57)))</f>
        <v/>
      </c>
      <c r="AS57" s="20">
        <f>IF($A57="","",MATCH($A57,'潜水記録'!$AI$5:$AI$3004,0))</f>
        <v/>
      </c>
    </row>
    <row r="58">
      <c r="A58" s="14">
        <f>IF(48&lt;=$C$8,48,"")</f>
        <v/>
      </c>
      <c r="B58" s="16">
        <f>IF($A58="","",IF(INDEX('潜水記録'!$A$5:$A$3004,$AS58)="","",INDEX('潜水記録'!$A$5:$A$3004,$AS58)))</f>
        <v/>
      </c>
      <c r="C58" s="14">
        <f>IF($A58="","",IF(INDEX('潜水記録'!$B$5:$B$3004,$AS58)="","",INDEX('潜水記録'!$B$5:$B$3004,$AS58)))</f>
        <v/>
      </c>
      <c r="D58" s="14">
        <f>IF($A58="","",IF(INDEX('潜水記録'!$C$5:$C$3004,$AS58)="","",INDEX('潜水記録'!$C$5:$C$3004,$AS58)))</f>
        <v/>
      </c>
      <c r="E58" s="14">
        <f>IF($A58="","",IF(INDEX('潜水記録'!$D$5:$D$3004,$AS58)="","",INDEX('潜水記録'!$D$5:$D$3004,$AS58)))</f>
        <v/>
      </c>
      <c r="F58" s="14">
        <f>IF($A58="","",IF(INDEX('潜水記録'!$E$5:$E$3004,$AS58)="","",INDEX('潜水記録'!$E$5:$E$3004,$AS58)))</f>
        <v/>
      </c>
      <c r="G58" s="14">
        <f>IF($A58="","",IF(INDEX('潜水記録'!$F$5:$F$3004,$AS58)="","",INDEX('潜水記録'!$F$5:$F$3004,$AS58)))</f>
        <v/>
      </c>
      <c r="H58" s="14">
        <f>IF($A58="","",IF(INDEX('潜水記録'!$G$5:$G$3004,$AS58)="","",INDEX('潜水記録'!$G$5:$G$3004,$AS58)))</f>
        <v/>
      </c>
      <c r="I58" s="14">
        <f>IF($A58="","",IF(INDEX('潜水記録'!$H$5:$H$3004,$AS58)="","",INDEX('潜水記録'!$H$5:$H$3004,$AS58)))</f>
        <v/>
      </c>
      <c r="J58" s="14">
        <f>IF($A58="","",IF(INDEX('潜水記録'!$I$5:$I$3004,$AS58)="","",INDEX('潜水記録'!$I$5:$I$3004,$AS58)))</f>
        <v/>
      </c>
      <c r="K58" s="14">
        <f>IF($A58="","",IF(INDEX('潜水記録'!$J$5:$J$3004,$AS58)="","",INDEX('潜水記録'!$J$5:$J$3004,$AS58)))</f>
        <v/>
      </c>
      <c r="L58" s="14">
        <f>IF($A58="","",IF(INDEX('潜水記録'!$K$5:$K$3004,$AS58)="","",INDEX('潜水記録'!$K$5:$K$3004,$AS58)))</f>
        <v/>
      </c>
      <c r="M58" s="14">
        <f>IF($A58="","",IF(INDEX('潜水記録'!$L$5:$L$3004,$AS58)="","",INDEX('潜水記録'!$L$5:$L$3004,$AS58)))</f>
        <v/>
      </c>
      <c r="N58" s="14">
        <f>IF($A58="","",IF(INDEX('潜水記録'!$M$5:$M$3004,$AS58)="","",INDEX('潜水記録'!$M$5:$M$3004,$AS58)))</f>
        <v/>
      </c>
      <c r="O58" s="14">
        <f>IF($A58="","",IF(INDEX('潜水記録'!$N$5:$N$3004,$AS58)="","",INDEX('潜水記録'!$N$5:$N$3004,$AS58)))</f>
        <v/>
      </c>
      <c r="P58" s="14">
        <f>IF($A58="","",IF(INDEX('潜水記録'!$O$5:$O$3004,$AS58)="","",INDEX('潜水記録'!$O$5:$O$3004,$AS58)))</f>
        <v/>
      </c>
      <c r="Q58" s="14">
        <f>IF($A58="","",IF(INDEX('潜水記録'!$P$5:$P$3004,$AS58)="","",INDEX('潜水記録'!$P$5:$P$3004,$AS58)))</f>
        <v/>
      </c>
      <c r="R58" s="14">
        <f>IF($A58="","",IF(INDEX('潜水記録'!$Q$5:$Q$3004,$AS58)="","",INDEX('潜水記録'!$Q$5:$Q$3004,$AS58)))</f>
        <v/>
      </c>
      <c r="S58" s="14">
        <f>IF($A58="","",IF(INDEX('潜水記録'!$R$5:$R$3004,$AS58)="","",INDEX('潜水記録'!$R$5:$R$3004,$AS58)))</f>
        <v/>
      </c>
      <c r="T58" s="14">
        <f>IF($A58="","",IF(INDEX('潜水記録'!$S$5:$S$3004,$AS58)="","",INDEX('潜水記録'!$S$5:$S$3004,$AS58)))</f>
        <v/>
      </c>
      <c r="U58" s="14">
        <f>IF($A58="","",IF(INDEX('潜水記録'!$T$5:$T$3004,$AS58)="","",INDEX('潜水記録'!$T$5:$T$3004,$AS58)))</f>
        <v/>
      </c>
      <c r="V58" s="46">
        <f>IF($A58="","",IF(INDEX('潜水記録'!$U$5:$U$3004,$AS58)="","",INDEX('潜水記録'!$U$5:$U$3004,$AS58)))</f>
        <v/>
      </c>
      <c r="W58" s="46">
        <f>IF($A58="","",IF(INDEX('潜水記録'!$V$5:$V$3004,$AS58)="","",INDEX('潜水記録'!$V$5:$V$3004,$AS58)))</f>
        <v/>
      </c>
      <c r="X58" s="14">
        <f>IF($A58="","",IF(INDEX('潜水記録'!$W$5:$W$3004,$AS58)="","",INDEX('潜水記録'!$W$5:$W$3004,$AS58)))</f>
        <v/>
      </c>
      <c r="Y58" s="14">
        <f>IF($A58="","",IF(INDEX('潜水記録'!$X$5:$X$3004,$AS58)="","",INDEX('潜水記録'!$X$5:$X$3004,$AS58)))</f>
        <v/>
      </c>
      <c r="Z58" s="14">
        <f>IF($A58="","",IF(INDEX('潜水記録'!$Y$5:$Y$3004,$AS58)="","",INDEX('潜水記録'!$Y$5:$Y$3004,$AS58)))</f>
        <v/>
      </c>
      <c r="AA58" s="14">
        <f>IF($A58="","",IF(INDEX('潜水記録'!$Z$5:$Z$3004,$AS58)="","",INDEX('潜水記録'!$Z$5:$Z$3004,$AS58)))</f>
        <v/>
      </c>
      <c r="AB58" s="14">
        <f>IF($A58="","",IF(INDEX('潜水記録'!$AA$5:$AA$3004,$AS58)="","",INDEX('潜水記録'!$AA$5:$AA$3004,$AS58)))</f>
        <v/>
      </c>
      <c r="AC58" s="14">
        <f>IF($A58="","",IF(INDEX('潜水記録'!$AB$5:$AB$3004,$AS58)="","",INDEX('潜水記録'!$AB$5:$AB$3004,$AS58)))</f>
        <v/>
      </c>
      <c r="AD58" s="14">
        <f>IF($A58="","",IF(INDEX('潜水記録'!$AC$5:$AC$3004,$AS58)="","",INDEX('潜水記録'!$AC$5:$AC$3004,$AS58)))</f>
        <v/>
      </c>
      <c r="AE58" s="14">
        <f>IF($A58="","",IF(INDEX('潜水記録'!$AD$5:$AD$3004,$AS58)="","",INDEX('潜水記録'!$AD$5:$AD$3004,$AS58)))</f>
        <v/>
      </c>
      <c r="AF58" s="14">
        <f>IF($A58="","",IF(INDEX('潜水記録'!$AE$5:$AE$3004,$AS58)="","",INDEX('潜水記録'!$AE$5:$AE$3004,$AS58)))</f>
        <v/>
      </c>
      <c r="AG58" s="14">
        <f>IF($A58="","",IF(INDEX('潜水記録'!$AL$5:$AL$3004,$AS58)="","",INDEX('潜水記録'!$AL$5:$AL$3004,$AS58)))</f>
        <v/>
      </c>
      <c r="AH58" s="14">
        <f>IF($A58="","",IF(INDEX('潜水記録'!$AM$5:$AM$3004,$AS58)="","",INDEX('潜水記録'!$AM$5:$AM$3004,$AS58)))</f>
        <v/>
      </c>
      <c r="AI58" s="46">
        <f>IF($A58="","",IF(INDEX('潜水記録'!$AN$5:$AN$3004,$AS58)="","",INDEX('潜水記録'!$AN$5:$AN$3004,$AS58)))</f>
        <v/>
      </c>
      <c r="AJ58" s="14">
        <f>IF($A58="","",IF(INDEX('潜水記録'!$AO$5:$AO$3004,$AS58)="","",INDEX('潜水記録'!$AO$5:$AO$3004,$AS58)))</f>
        <v/>
      </c>
      <c r="AK58" s="14">
        <f>IF($A58="","",IF(INDEX('潜水記録'!$AP$5:$AP$3004,$AS58)="","",INDEX('潜水記録'!$AP$5:$AP$3004,$AS58)))</f>
        <v/>
      </c>
      <c r="AL58" s="14">
        <f>IF($A58="","",IF(INDEX('潜水記録'!$AQ$5:$AQ$3004,$AS58)="","",INDEX('潜水記録'!$AQ$5:$AQ$3004,$AS58)))</f>
        <v/>
      </c>
      <c r="AM58" s="14">
        <f>IF($A58="","",IF(INDEX('潜水記録'!$AR$5:$AR$3004,$AS58)="","",INDEX('潜水記録'!$AR$5:$AR$3004,$AS58)))</f>
        <v/>
      </c>
      <c r="AN58" s="14">
        <f>IF($A58="","",IF(INDEX('潜水記録'!$AS$5:$AS$3004,$AS58)="","",INDEX('潜水記録'!$AS$5:$AS$3004,$AS58)))</f>
        <v/>
      </c>
      <c r="AO58" s="14">
        <f>IF($A58="","",IF(INDEX('潜水記録'!$AT$5:$AT$3004,$AS58)="","",INDEX('潜水記録'!$AT$5:$AT$3004,$AS58)))</f>
        <v/>
      </c>
      <c r="AP58" s="14">
        <f>IF($A58="","",IF(INDEX('潜水記録'!$AU$5:$AU$3004,$AS58)="","",INDEX('潜水記録'!$AU$5:$AU$3004,$AS58)))</f>
        <v/>
      </c>
      <c r="AQ58" s="14">
        <f>IF($A58="","",IF(INDEX('潜水記録'!$AV$5:$AV$3004,$AS58)="","",INDEX('潜水記録'!$AV$5:$AV$3004,$AS58)))</f>
        <v/>
      </c>
      <c r="AR58" s="14">
        <f>IF($A58="","",IF(INDEX('潜水記録'!$AW$5:$AW$3004,$AS58)="","",INDEX('潜水記録'!$AW$5:$AW$3004,$AS58)))</f>
        <v/>
      </c>
      <c r="AS58" s="20">
        <f>IF($A58="","",MATCH($A58,'潜水記録'!$AI$5:$AI$3004,0))</f>
        <v/>
      </c>
    </row>
    <row r="59">
      <c r="A59" s="14">
        <f>IF(49&lt;=$C$8,49,"")</f>
        <v/>
      </c>
      <c r="B59" s="16">
        <f>IF($A59="","",IF(INDEX('潜水記録'!$A$5:$A$3004,$AS59)="","",INDEX('潜水記録'!$A$5:$A$3004,$AS59)))</f>
        <v/>
      </c>
      <c r="C59" s="14">
        <f>IF($A59="","",IF(INDEX('潜水記録'!$B$5:$B$3004,$AS59)="","",INDEX('潜水記録'!$B$5:$B$3004,$AS59)))</f>
        <v/>
      </c>
      <c r="D59" s="14">
        <f>IF($A59="","",IF(INDEX('潜水記録'!$C$5:$C$3004,$AS59)="","",INDEX('潜水記録'!$C$5:$C$3004,$AS59)))</f>
        <v/>
      </c>
      <c r="E59" s="14">
        <f>IF($A59="","",IF(INDEX('潜水記録'!$D$5:$D$3004,$AS59)="","",INDEX('潜水記録'!$D$5:$D$3004,$AS59)))</f>
        <v/>
      </c>
      <c r="F59" s="14">
        <f>IF($A59="","",IF(INDEX('潜水記録'!$E$5:$E$3004,$AS59)="","",INDEX('潜水記録'!$E$5:$E$3004,$AS59)))</f>
        <v/>
      </c>
      <c r="G59" s="14">
        <f>IF($A59="","",IF(INDEX('潜水記録'!$F$5:$F$3004,$AS59)="","",INDEX('潜水記録'!$F$5:$F$3004,$AS59)))</f>
        <v/>
      </c>
      <c r="H59" s="14">
        <f>IF($A59="","",IF(INDEX('潜水記録'!$G$5:$G$3004,$AS59)="","",INDEX('潜水記録'!$G$5:$G$3004,$AS59)))</f>
        <v/>
      </c>
      <c r="I59" s="14">
        <f>IF($A59="","",IF(INDEX('潜水記録'!$H$5:$H$3004,$AS59)="","",INDEX('潜水記録'!$H$5:$H$3004,$AS59)))</f>
        <v/>
      </c>
      <c r="J59" s="14">
        <f>IF($A59="","",IF(INDEX('潜水記録'!$I$5:$I$3004,$AS59)="","",INDEX('潜水記録'!$I$5:$I$3004,$AS59)))</f>
        <v/>
      </c>
      <c r="K59" s="14">
        <f>IF($A59="","",IF(INDEX('潜水記録'!$J$5:$J$3004,$AS59)="","",INDEX('潜水記録'!$J$5:$J$3004,$AS59)))</f>
        <v/>
      </c>
      <c r="L59" s="14">
        <f>IF($A59="","",IF(INDEX('潜水記録'!$K$5:$K$3004,$AS59)="","",INDEX('潜水記録'!$K$5:$K$3004,$AS59)))</f>
        <v/>
      </c>
      <c r="M59" s="14">
        <f>IF($A59="","",IF(INDEX('潜水記録'!$L$5:$L$3004,$AS59)="","",INDEX('潜水記録'!$L$5:$L$3004,$AS59)))</f>
        <v/>
      </c>
      <c r="N59" s="14">
        <f>IF($A59="","",IF(INDEX('潜水記録'!$M$5:$M$3004,$AS59)="","",INDEX('潜水記録'!$M$5:$M$3004,$AS59)))</f>
        <v/>
      </c>
      <c r="O59" s="14">
        <f>IF($A59="","",IF(INDEX('潜水記録'!$N$5:$N$3004,$AS59)="","",INDEX('潜水記録'!$N$5:$N$3004,$AS59)))</f>
        <v/>
      </c>
      <c r="P59" s="14">
        <f>IF($A59="","",IF(INDEX('潜水記録'!$O$5:$O$3004,$AS59)="","",INDEX('潜水記録'!$O$5:$O$3004,$AS59)))</f>
        <v/>
      </c>
      <c r="Q59" s="14">
        <f>IF($A59="","",IF(INDEX('潜水記録'!$P$5:$P$3004,$AS59)="","",INDEX('潜水記録'!$P$5:$P$3004,$AS59)))</f>
        <v/>
      </c>
      <c r="R59" s="14">
        <f>IF($A59="","",IF(INDEX('潜水記録'!$Q$5:$Q$3004,$AS59)="","",INDEX('潜水記録'!$Q$5:$Q$3004,$AS59)))</f>
        <v/>
      </c>
      <c r="S59" s="14">
        <f>IF($A59="","",IF(INDEX('潜水記録'!$R$5:$R$3004,$AS59)="","",INDEX('潜水記録'!$R$5:$R$3004,$AS59)))</f>
        <v/>
      </c>
      <c r="T59" s="14">
        <f>IF($A59="","",IF(INDEX('潜水記録'!$S$5:$S$3004,$AS59)="","",INDEX('潜水記録'!$S$5:$S$3004,$AS59)))</f>
        <v/>
      </c>
      <c r="U59" s="14">
        <f>IF($A59="","",IF(INDEX('潜水記録'!$T$5:$T$3004,$AS59)="","",INDEX('潜水記録'!$T$5:$T$3004,$AS59)))</f>
        <v/>
      </c>
      <c r="V59" s="46">
        <f>IF($A59="","",IF(INDEX('潜水記録'!$U$5:$U$3004,$AS59)="","",INDEX('潜水記録'!$U$5:$U$3004,$AS59)))</f>
        <v/>
      </c>
      <c r="W59" s="46">
        <f>IF($A59="","",IF(INDEX('潜水記録'!$V$5:$V$3004,$AS59)="","",INDEX('潜水記録'!$V$5:$V$3004,$AS59)))</f>
        <v/>
      </c>
      <c r="X59" s="14">
        <f>IF($A59="","",IF(INDEX('潜水記録'!$W$5:$W$3004,$AS59)="","",INDEX('潜水記録'!$W$5:$W$3004,$AS59)))</f>
        <v/>
      </c>
      <c r="Y59" s="14">
        <f>IF($A59="","",IF(INDEX('潜水記録'!$X$5:$X$3004,$AS59)="","",INDEX('潜水記録'!$X$5:$X$3004,$AS59)))</f>
        <v/>
      </c>
      <c r="Z59" s="14">
        <f>IF($A59="","",IF(INDEX('潜水記録'!$Y$5:$Y$3004,$AS59)="","",INDEX('潜水記録'!$Y$5:$Y$3004,$AS59)))</f>
        <v/>
      </c>
      <c r="AA59" s="14">
        <f>IF($A59="","",IF(INDEX('潜水記録'!$Z$5:$Z$3004,$AS59)="","",INDEX('潜水記録'!$Z$5:$Z$3004,$AS59)))</f>
        <v/>
      </c>
      <c r="AB59" s="14">
        <f>IF($A59="","",IF(INDEX('潜水記録'!$AA$5:$AA$3004,$AS59)="","",INDEX('潜水記録'!$AA$5:$AA$3004,$AS59)))</f>
        <v/>
      </c>
      <c r="AC59" s="14">
        <f>IF($A59="","",IF(INDEX('潜水記録'!$AB$5:$AB$3004,$AS59)="","",INDEX('潜水記録'!$AB$5:$AB$3004,$AS59)))</f>
        <v/>
      </c>
      <c r="AD59" s="14">
        <f>IF($A59="","",IF(INDEX('潜水記録'!$AC$5:$AC$3004,$AS59)="","",INDEX('潜水記録'!$AC$5:$AC$3004,$AS59)))</f>
        <v/>
      </c>
      <c r="AE59" s="14">
        <f>IF($A59="","",IF(INDEX('潜水記録'!$AD$5:$AD$3004,$AS59)="","",INDEX('潜水記録'!$AD$5:$AD$3004,$AS59)))</f>
        <v/>
      </c>
      <c r="AF59" s="14">
        <f>IF($A59="","",IF(INDEX('潜水記録'!$AE$5:$AE$3004,$AS59)="","",INDEX('潜水記録'!$AE$5:$AE$3004,$AS59)))</f>
        <v/>
      </c>
      <c r="AG59" s="14">
        <f>IF($A59="","",IF(INDEX('潜水記録'!$AL$5:$AL$3004,$AS59)="","",INDEX('潜水記録'!$AL$5:$AL$3004,$AS59)))</f>
        <v/>
      </c>
      <c r="AH59" s="14">
        <f>IF($A59="","",IF(INDEX('潜水記録'!$AM$5:$AM$3004,$AS59)="","",INDEX('潜水記録'!$AM$5:$AM$3004,$AS59)))</f>
        <v/>
      </c>
      <c r="AI59" s="46">
        <f>IF($A59="","",IF(INDEX('潜水記録'!$AN$5:$AN$3004,$AS59)="","",INDEX('潜水記録'!$AN$5:$AN$3004,$AS59)))</f>
        <v/>
      </c>
      <c r="AJ59" s="14">
        <f>IF($A59="","",IF(INDEX('潜水記録'!$AO$5:$AO$3004,$AS59)="","",INDEX('潜水記録'!$AO$5:$AO$3004,$AS59)))</f>
        <v/>
      </c>
      <c r="AK59" s="14">
        <f>IF($A59="","",IF(INDEX('潜水記録'!$AP$5:$AP$3004,$AS59)="","",INDEX('潜水記録'!$AP$5:$AP$3004,$AS59)))</f>
        <v/>
      </c>
      <c r="AL59" s="14">
        <f>IF($A59="","",IF(INDEX('潜水記録'!$AQ$5:$AQ$3004,$AS59)="","",INDEX('潜水記録'!$AQ$5:$AQ$3004,$AS59)))</f>
        <v/>
      </c>
      <c r="AM59" s="14">
        <f>IF($A59="","",IF(INDEX('潜水記録'!$AR$5:$AR$3004,$AS59)="","",INDEX('潜水記録'!$AR$5:$AR$3004,$AS59)))</f>
        <v/>
      </c>
      <c r="AN59" s="14">
        <f>IF($A59="","",IF(INDEX('潜水記録'!$AS$5:$AS$3004,$AS59)="","",INDEX('潜水記録'!$AS$5:$AS$3004,$AS59)))</f>
        <v/>
      </c>
      <c r="AO59" s="14">
        <f>IF($A59="","",IF(INDEX('潜水記録'!$AT$5:$AT$3004,$AS59)="","",INDEX('潜水記録'!$AT$5:$AT$3004,$AS59)))</f>
        <v/>
      </c>
      <c r="AP59" s="14">
        <f>IF($A59="","",IF(INDEX('潜水記録'!$AU$5:$AU$3004,$AS59)="","",INDEX('潜水記録'!$AU$5:$AU$3004,$AS59)))</f>
        <v/>
      </c>
      <c r="AQ59" s="14">
        <f>IF($A59="","",IF(INDEX('潜水記録'!$AV$5:$AV$3004,$AS59)="","",INDEX('潜水記録'!$AV$5:$AV$3004,$AS59)))</f>
        <v/>
      </c>
      <c r="AR59" s="14">
        <f>IF($A59="","",IF(INDEX('潜水記録'!$AW$5:$AW$3004,$AS59)="","",INDEX('潜水記録'!$AW$5:$AW$3004,$AS59)))</f>
        <v/>
      </c>
      <c r="AS59" s="20">
        <f>IF($A59="","",MATCH($A59,'潜水記録'!$AI$5:$AI$3004,0))</f>
        <v/>
      </c>
    </row>
    <row r="60">
      <c r="A60" s="14">
        <f>IF(50&lt;=$C$8,50,"")</f>
        <v/>
      </c>
      <c r="B60" s="16">
        <f>IF($A60="","",IF(INDEX('潜水記録'!$A$5:$A$3004,$AS60)="","",INDEX('潜水記録'!$A$5:$A$3004,$AS60)))</f>
        <v/>
      </c>
      <c r="C60" s="14">
        <f>IF($A60="","",IF(INDEX('潜水記録'!$B$5:$B$3004,$AS60)="","",INDEX('潜水記録'!$B$5:$B$3004,$AS60)))</f>
        <v/>
      </c>
      <c r="D60" s="14">
        <f>IF($A60="","",IF(INDEX('潜水記録'!$C$5:$C$3004,$AS60)="","",INDEX('潜水記録'!$C$5:$C$3004,$AS60)))</f>
        <v/>
      </c>
      <c r="E60" s="14">
        <f>IF($A60="","",IF(INDEX('潜水記録'!$D$5:$D$3004,$AS60)="","",INDEX('潜水記録'!$D$5:$D$3004,$AS60)))</f>
        <v/>
      </c>
      <c r="F60" s="14">
        <f>IF($A60="","",IF(INDEX('潜水記録'!$E$5:$E$3004,$AS60)="","",INDEX('潜水記録'!$E$5:$E$3004,$AS60)))</f>
        <v/>
      </c>
      <c r="G60" s="14">
        <f>IF($A60="","",IF(INDEX('潜水記録'!$F$5:$F$3004,$AS60)="","",INDEX('潜水記録'!$F$5:$F$3004,$AS60)))</f>
        <v/>
      </c>
      <c r="H60" s="14">
        <f>IF($A60="","",IF(INDEX('潜水記録'!$G$5:$G$3004,$AS60)="","",INDEX('潜水記録'!$G$5:$G$3004,$AS60)))</f>
        <v/>
      </c>
      <c r="I60" s="14">
        <f>IF($A60="","",IF(INDEX('潜水記録'!$H$5:$H$3004,$AS60)="","",INDEX('潜水記録'!$H$5:$H$3004,$AS60)))</f>
        <v/>
      </c>
      <c r="J60" s="14">
        <f>IF($A60="","",IF(INDEX('潜水記録'!$I$5:$I$3004,$AS60)="","",INDEX('潜水記録'!$I$5:$I$3004,$AS60)))</f>
        <v/>
      </c>
      <c r="K60" s="14">
        <f>IF($A60="","",IF(INDEX('潜水記録'!$J$5:$J$3004,$AS60)="","",INDEX('潜水記録'!$J$5:$J$3004,$AS60)))</f>
        <v/>
      </c>
      <c r="L60" s="14">
        <f>IF($A60="","",IF(INDEX('潜水記録'!$K$5:$K$3004,$AS60)="","",INDEX('潜水記録'!$K$5:$K$3004,$AS60)))</f>
        <v/>
      </c>
      <c r="M60" s="14">
        <f>IF($A60="","",IF(INDEX('潜水記録'!$L$5:$L$3004,$AS60)="","",INDEX('潜水記録'!$L$5:$L$3004,$AS60)))</f>
        <v/>
      </c>
      <c r="N60" s="14">
        <f>IF($A60="","",IF(INDEX('潜水記録'!$M$5:$M$3004,$AS60)="","",INDEX('潜水記録'!$M$5:$M$3004,$AS60)))</f>
        <v/>
      </c>
      <c r="O60" s="14">
        <f>IF($A60="","",IF(INDEX('潜水記録'!$N$5:$N$3004,$AS60)="","",INDEX('潜水記録'!$N$5:$N$3004,$AS60)))</f>
        <v/>
      </c>
      <c r="P60" s="14">
        <f>IF($A60="","",IF(INDEX('潜水記録'!$O$5:$O$3004,$AS60)="","",INDEX('潜水記録'!$O$5:$O$3004,$AS60)))</f>
        <v/>
      </c>
      <c r="Q60" s="14">
        <f>IF($A60="","",IF(INDEX('潜水記録'!$P$5:$P$3004,$AS60)="","",INDEX('潜水記録'!$P$5:$P$3004,$AS60)))</f>
        <v/>
      </c>
      <c r="R60" s="14">
        <f>IF($A60="","",IF(INDEX('潜水記録'!$Q$5:$Q$3004,$AS60)="","",INDEX('潜水記録'!$Q$5:$Q$3004,$AS60)))</f>
        <v/>
      </c>
      <c r="S60" s="14">
        <f>IF($A60="","",IF(INDEX('潜水記録'!$R$5:$R$3004,$AS60)="","",INDEX('潜水記録'!$R$5:$R$3004,$AS60)))</f>
        <v/>
      </c>
      <c r="T60" s="14">
        <f>IF($A60="","",IF(INDEX('潜水記録'!$S$5:$S$3004,$AS60)="","",INDEX('潜水記録'!$S$5:$S$3004,$AS60)))</f>
        <v/>
      </c>
      <c r="U60" s="14">
        <f>IF($A60="","",IF(INDEX('潜水記録'!$T$5:$T$3004,$AS60)="","",INDEX('潜水記録'!$T$5:$T$3004,$AS60)))</f>
        <v/>
      </c>
      <c r="V60" s="46">
        <f>IF($A60="","",IF(INDEX('潜水記録'!$U$5:$U$3004,$AS60)="","",INDEX('潜水記録'!$U$5:$U$3004,$AS60)))</f>
        <v/>
      </c>
      <c r="W60" s="46">
        <f>IF($A60="","",IF(INDEX('潜水記録'!$V$5:$V$3004,$AS60)="","",INDEX('潜水記録'!$V$5:$V$3004,$AS60)))</f>
        <v/>
      </c>
      <c r="X60" s="14">
        <f>IF($A60="","",IF(INDEX('潜水記録'!$W$5:$W$3004,$AS60)="","",INDEX('潜水記録'!$W$5:$W$3004,$AS60)))</f>
        <v/>
      </c>
      <c r="Y60" s="14">
        <f>IF($A60="","",IF(INDEX('潜水記録'!$X$5:$X$3004,$AS60)="","",INDEX('潜水記録'!$X$5:$X$3004,$AS60)))</f>
        <v/>
      </c>
      <c r="Z60" s="14">
        <f>IF($A60="","",IF(INDEX('潜水記録'!$Y$5:$Y$3004,$AS60)="","",INDEX('潜水記録'!$Y$5:$Y$3004,$AS60)))</f>
        <v/>
      </c>
      <c r="AA60" s="14">
        <f>IF($A60="","",IF(INDEX('潜水記録'!$Z$5:$Z$3004,$AS60)="","",INDEX('潜水記録'!$Z$5:$Z$3004,$AS60)))</f>
        <v/>
      </c>
      <c r="AB60" s="14">
        <f>IF($A60="","",IF(INDEX('潜水記録'!$AA$5:$AA$3004,$AS60)="","",INDEX('潜水記録'!$AA$5:$AA$3004,$AS60)))</f>
        <v/>
      </c>
      <c r="AC60" s="14">
        <f>IF($A60="","",IF(INDEX('潜水記録'!$AB$5:$AB$3004,$AS60)="","",INDEX('潜水記録'!$AB$5:$AB$3004,$AS60)))</f>
        <v/>
      </c>
      <c r="AD60" s="14">
        <f>IF($A60="","",IF(INDEX('潜水記録'!$AC$5:$AC$3004,$AS60)="","",INDEX('潜水記録'!$AC$5:$AC$3004,$AS60)))</f>
        <v/>
      </c>
      <c r="AE60" s="14">
        <f>IF($A60="","",IF(INDEX('潜水記録'!$AD$5:$AD$3004,$AS60)="","",INDEX('潜水記録'!$AD$5:$AD$3004,$AS60)))</f>
        <v/>
      </c>
      <c r="AF60" s="14">
        <f>IF($A60="","",IF(INDEX('潜水記録'!$AE$5:$AE$3004,$AS60)="","",INDEX('潜水記録'!$AE$5:$AE$3004,$AS60)))</f>
        <v/>
      </c>
      <c r="AG60" s="14">
        <f>IF($A60="","",IF(INDEX('潜水記録'!$AL$5:$AL$3004,$AS60)="","",INDEX('潜水記録'!$AL$5:$AL$3004,$AS60)))</f>
        <v/>
      </c>
      <c r="AH60" s="14">
        <f>IF($A60="","",IF(INDEX('潜水記録'!$AM$5:$AM$3004,$AS60)="","",INDEX('潜水記録'!$AM$5:$AM$3004,$AS60)))</f>
        <v/>
      </c>
      <c r="AI60" s="46">
        <f>IF($A60="","",IF(INDEX('潜水記録'!$AN$5:$AN$3004,$AS60)="","",INDEX('潜水記録'!$AN$5:$AN$3004,$AS60)))</f>
        <v/>
      </c>
      <c r="AJ60" s="14">
        <f>IF($A60="","",IF(INDEX('潜水記録'!$AO$5:$AO$3004,$AS60)="","",INDEX('潜水記録'!$AO$5:$AO$3004,$AS60)))</f>
        <v/>
      </c>
      <c r="AK60" s="14">
        <f>IF($A60="","",IF(INDEX('潜水記録'!$AP$5:$AP$3004,$AS60)="","",INDEX('潜水記録'!$AP$5:$AP$3004,$AS60)))</f>
        <v/>
      </c>
      <c r="AL60" s="14">
        <f>IF($A60="","",IF(INDEX('潜水記録'!$AQ$5:$AQ$3004,$AS60)="","",INDEX('潜水記録'!$AQ$5:$AQ$3004,$AS60)))</f>
        <v/>
      </c>
      <c r="AM60" s="14">
        <f>IF($A60="","",IF(INDEX('潜水記録'!$AR$5:$AR$3004,$AS60)="","",INDEX('潜水記録'!$AR$5:$AR$3004,$AS60)))</f>
        <v/>
      </c>
      <c r="AN60" s="14">
        <f>IF($A60="","",IF(INDEX('潜水記録'!$AS$5:$AS$3004,$AS60)="","",INDEX('潜水記録'!$AS$5:$AS$3004,$AS60)))</f>
        <v/>
      </c>
      <c r="AO60" s="14">
        <f>IF($A60="","",IF(INDEX('潜水記録'!$AT$5:$AT$3004,$AS60)="","",INDEX('潜水記録'!$AT$5:$AT$3004,$AS60)))</f>
        <v/>
      </c>
      <c r="AP60" s="14">
        <f>IF($A60="","",IF(INDEX('潜水記録'!$AU$5:$AU$3004,$AS60)="","",INDEX('潜水記録'!$AU$5:$AU$3004,$AS60)))</f>
        <v/>
      </c>
      <c r="AQ60" s="14">
        <f>IF($A60="","",IF(INDEX('潜水記録'!$AV$5:$AV$3004,$AS60)="","",INDEX('潜水記録'!$AV$5:$AV$3004,$AS60)))</f>
        <v/>
      </c>
      <c r="AR60" s="14">
        <f>IF($A60="","",IF(INDEX('潜水記録'!$AW$5:$AW$3004,$AS60)="","",INDEX('潜水記録'!$AW$5:$AW$3004,$AS60)))</f>
        <v/>
      </c>
      <c r="AS60" s="20">
        <f>IF($A60="","",MATCH($A60,'潜水記録'!$AI$5:$AI$3004,0))</f>
        <v/>
      </c>
    </row>
    <row r="61">
      <c r="A61" s="14">
        <f>IF(51&lt;=$C$8,51,"")</f>
        <v/>
      </c>
      <c r="B61" s="16">
        <f>IF($A61="","",IF(INDEX('潜水記録'!$A$5:$A$3004,$AS61)="","",INDEX('潜水記録'!$A$5:$A$3004,$AS61)))</f>
        <v/>
      </c>
      <c r="C61" s="14">
        <f>IF($A61="","",IF(INDEX('潜水記録'!$B$5:$B$3004,$AS61)="","",INDEX('潜水記録'!$B$5:$B$3004,$AS61)))</f>
        <v/>
      </c>
      <c r="D61" s="14">
        <f>IF($A61="","",IF(INDEX('潜水記録'!$C$5:$C$3004,$AS61)="","",INDEX('潜水記録'!$C$5:$C$3004,$AS61)))</f>
        <v/>
      </c>
      <c r="E61" s="14">
        <f>IF($A61="","",IF(INDEX('潜水記録'!$D$5:$D$3004,$AS61)="","",INDEX('潜水記録'!$D$5:$D$3004,$AS61)))</f>
        <v/>
      </c>
      <c r="F61" s="14">
        <f>IF($A61="","",IF(INDEX('潜水記録'!$E$5:$E$3004,$AS61)="","",INDEX('潜水記録'!$E$5:$E$3004,$AS61)))</f>
        <v/>
      </c>
      <c r="G61" s="14">
        <f>IF($A61="","",IF(INDEX('潜水記録'!$F$5:$F$3004,$AS61)="","",INDEX('潜水記録'!$F$5:$F$3004,$AS61)))</f>
        <v/>
      </c>
      <c r="H61" s="14">
        <f>IF($A61="","",IF(INDEX('潜水記録'!$G$5:$G$3004,$AS61)="","",INDEX('潜水記録'!$G$5:$G$3004,$AS61)))</f>
        <v/>
      </c>
      <c r="I61" s="14">
        <f>IF($A61="","",IF(INDEX('潜水記録'!$H$5:$H$3004,$AS61)="","",INDEX('潜水記録'!$H$5:$H$3004,$AS61)))</f>
        <v/>
      </c>
      <c r="J61" s="14">
        <f>IF($A61="","",IF(INDEX('潜水記録'!$I$5:$I$3004,$AS61)="","",INDEX('潜水記録'!$I$5:$I$3004,$AS61)))</f>
        <v/>
      </c>
      <c r="K61" s="14">
        <f>IF($A61="","",IF(INDEX('潜水記録'!$J$5:$J$3004,$AS61)="","",INDEX('潜水記録'!$J$5:$J$3004,$AS61)))</f>
        <v/>
      </c>
      <c r="L61" s="14">
        <f>IF($A61="","",IF(INDEX('潜水記録'!$K$5:$K$3004,$AS61)="","",INDEX('潜水記録'!$K$5:$K$3004,$AS61)))</f>
        <v/>
      </c>
      <c r="M61" s="14">
        <f>IF($A61="","",IF(INDEX('潜水記録'!$L$5:$L$3004,$AS61)="","",INDEX('潜水記録'!$L$5:$L$3004,$AS61)))</f>
        <v/>
      </c>
      <c r="N61" s="14">
        <f>IF($A61="","",IF(INDEX('潜水記録'!$M$5:$M$3004,$AS61)="","",INDEX('潜水記録'!$M$5:$M$3004,$AS61)))</f>
        <v/>
      </c>
      <c r="O61" s="14">
        <f>IF($A61="","",IF(INDEX('潜水記録'!$N$5:$N$3004,$AS61)="","",INDEX('潜水記録'!$N$5:$N$3004,$AS61)))</f>
        <v/>
      </c>
      <c r="P61" s="14">
        <f>IF($A61="","",IF(INDEX('潜水記録'!$O$5:$O$3004,$AS61)="","",INDEX('潜水記録'!$O$5:$O$3004,$AS61)))</f>
        <v/>
      </c>
      <c r="Q61" s="14">
        <f>IF($A61="","",IF(INDEX('潜水記録'!$P$5:$P$3004,$AS61)="","",INDEX('潜水記録'!$P$5:$P$3004,$AS61)))</f>
        <v/>
      </c>
      <c r="R61" s="14">
        <f>IF($A61="","",IF(INDEX('潜水記録'!$Q$5:$Q$3004,$AS61)="","",INDEX('潜水記録'!$Q$5:$Q$3004,$AS61)))</f>
        <v/>
      </c>
      <c r="S61" s="14">
        <f>IF($A61="","",IF(INDEX('潜水記録'!$R$5:$R$3004,$AS61)="","",INDEX('潜水記録'!$R$5:$R$3004,$AS61)))</f>
        <v/>
      </c>
      <c r="T61" s="14">
        <f>IF($A61="","",IF(INDEX('潜水記録'!$S$5:$S$3004,$AS61)="","",INDEX('潜水記録'!$S$5:$S$3004,$AS61)))</f>
        <v/>
      </c>
      <c r="U61" s="14">
        <f>IF($A61="","",IF(INDEX('潜水記録'!$T$5:$T$3004,$AS61)="","",INDEX('潜水記録'!$T$5:$T$3004,$AS61)))</f>
        <v/>
      </c>
      <c r="V61" s="46">
        <f>IF($A61="","",IF(INDEX('潜水記録'!$U$5:$U$3004,$AS61)="","",INDEX('潜水記録'!$U$5:$U$3004,$AS61)))</f>
        <v/>
      </c>
      <c r="W61" s="46">
        <f>IF($A61="","",IF(INDEX('潜水記録'!$V$5:$V$3004,$AS61)="","",INDEX('潜水記録'!$V$5:$V$3004,$AS61)))</f>
        <v/>
      </c>
      <c r="X61" s="14">
        <f>IF($A61="","",IF(INDEX('潜水記録'!$W$5:$W$3004,$AS61)="","",INDEX('潜水記録'!$W$5:$W$3004,$AS61)))</f>
        <v/>
      </c>
      <c r="Y61" s="14">
        <f>IF($A61="","",IF(INDEX('潜水記録'!$X$5:$X$3004,$AS61)="","",INDEX('潜水記録'!$X$5:$X$3004,$AS61)))</f>
        <v/>
      </c>
      <c r="Z61" s="14">
        <f>IF($A61="","",IF(INDEX('潜水記録'!$Y$5:$Y$3004,$AS61)="","",INDEX('潜水記録'!$Y$5:$Y$3004,$AS61)))</f>
        <v/>
      </c>
      <c r="AA61" s="14">
        <f>IF($A61="","",IF(INDEX('潜水記録'!$Z$5:$Z$3004,$AS61)="","",INDEX('潜水記録'!$Z$5:$Z$3004,$AS61)))</f>
        <v/>
      </c>
      <c r="AB61" s="14">
        <f>IF($A61="","",IF(INDEX('潜水記録'!$AA$5:$AA$3004,$AS61)="","",INDEX('潜水記録'!$AA$5:$AA$3004,$AS61)))</f>
        <v/>
      </c>
      <c r="AC61" s="14">
        <f>IF($A61="","",IF(INDEX('潜水記録'!$AB$5:$AB$3004,$AS61)="","",INDEX('潜水記録'!$AB$5:$AB$3004,$AS61)))</f>
        <v/>
      </c>
      <c r="AD61" s="14">
        <f>IF($A61="","",IF(INDEX('潜水記録'!$AC$5:$AC$3004,$AS61)="","",INDEX('潜水記録'!$AC$5:$AC$3004,$AS61)))</f>
        <v/>
      </c>
      <c r="AE61" s="14">
        <f>IF($A61="","",IF(INDEX('潜水記録'!$AD$5:$AD$3004,$AS61)="","",INDEX('潜水記録'!$AD$5:$AD$3004,$AS61)))</f>
        <v/>
      </c>
      <c r="AF61" s="14">
        <f>IF($A61="","",IF(INDEX('潜水記録'!$AE$5:$AE$3004,$AS61)="","",INDEX('潜水記録'!$AE$5:$AE$3004,$AS61)))</f>
        <v/>
      </c>
      <c r="AG61" s="14">
        <f>IF($A61="","",IF(INDEX('潜水記録'!$AL$5:$AL$3004,$AS61)="","",INDEX('潜水記録'!$AL$5:$AL$3004,$AS61)))</f>
        <v/>
      </c>
      <c r="AH61" s="14">
        <f>IF($A61="","",IF(INDEX('潜水記録'!$AM$5:$AM$3004,$AS61)="","",INDEX('潜水記録'!$AM$5:$AM$3004,$AS61)))</f>
        <v/>
      </c>
      <c r="AI61" s="46">
        <f>IF($A61="","",IF(INDEX('潜水記録'!$AN$5:$AN$3004,$AS61)="","",INDEX('潜水記録'!$AN$5:$AN$3004,$AS61)))</f>
        <v/>
      </c>
      <c r="AJ61" s="14">
        <f>IF($A61="","",IF(INDEX('潜水記録'!$AO$5:$AO$3004,$AS61)="","",INDEX('潜水記録'!$AO$5:$AO$3004,$AS61)))</f>
        <v/>
      </c>
      <c r="AK61" s="14">
        <f>IF($A61="","",IF(INDEX('潜水記録'!$AP$5:$AP$3004,$AS61)="","",INDEX('潜水記録'!$AP$5:$AP$3004,$AS61)))</f>
        <v/>
      </c>
      <c r="AL61" s="14">
        <f>IF($A61="","",IF(INDEX('潜水記録'!$AQ$5:$AQ$3004,$AS61)="","",INDEX('潜水記録'!$AQ$5:$AQ$3004,$AS61)))</f>
        <v/>
      </c>
      <c r="AM61" s="14">
        <f>IF($A61="","",IF(INDEX('潜水記録'!$AR$5:$AR$3004,$AS61)="","",INDEX('潜水記録'!$AR$5:$AR$3004,$AS61)))</f>
        <v/>
      </c>
      <c r="AN61" s="14">
        <f>IF($A61="","",IF(INDEX('潜水記録'!$AS$5:$AS$3004,$AS61)="","",INDEX('潜水記録'!$AS$5:$AS$3004,$AS61)))</f>
        <v/>
      </c>
      <c r="AO61" s="14">
        <f>IF($A61="","",IF(INDEX('潜水記録'!$AT$5:$AT$3004,$AS61)="","",INDEX('潜水記録'!$AT$5:$AT$3004,$AS61)))</f>
        <v/>
      </c>
      <c r="AP61" s="14">
        <f>IF($A61="","",IF(INDEX('潜水記録'!$AU$5:$AU$3004,$AS61)="","",INDEX('潜水記録'!$AU$5:$AU$3004,$AS61)))</f>
        <v/>
      </c>
      <c r="AQ61" s="14">
        <f>IF($A61="","",IF(INDEX('潜水記録'!$AV$5:$AV$3004,$AS61)="","",INDEX('潜水記録'!$AV$5:$AV$3004,$AS61)))</f>
        <v/>
      </c>
      <c r="AR61" s="14">
        <f>IF($A61="","",IF(INDEX('潜水記録'!$AW$5:$AW$3004,$AS61)="","",INDEX('潜水記録'!$AW$5:$AW$3004,$AS61)))</f>
        <v/>
      </c>
      <c r="AS61" s="20">
        <f>IF($A61="","",MATCH($A61,'潜水記録'!$AI$5:$AI$3004,0))</f>
        <v/>
      </c>
    </row>
    <row r="62">
      <c r="A62" s="14">
        <f>IF(52&lt;=$C$8,52,"")</f>
        <v/>
      </c>
      <c r="B62" s="16">
        <f>IF($A62="","",IF(INDEX('潜水記録'!$A$5:$A$3004,$AS62)="","",INDEX('潜水記録'!$A$5:$A$3004,$AS62)))</f>
        <v/>
      </c>
      <c r="C62" s="14">
        <f>IF($A62="","",IF(INDEX('潜水記録'!$B$5:$B$3004,$AS62)="","",INDEX('潜水記録'!$B$5:$B$3004,$AS62)))</f>
        <v/>
      </c>
      <c r="D62" s="14">
        <f>IF($A62="","",IF(INDEX('潜水記録'!$C$5:$C$3004,$AS62)="","",INDEX('潜水記録'!$C$5:$C$3004,$AS62)))</f>
        <v/>
      </c>
      <c r="E62" s="14">
        <f>IF($A62="","",IF(INDEX('潜水記録'!$D$5:$D$3004,$AS62)="","",INDEX('潜水記録'!$D$5:$D$3004,$AS62)))</f>
        <v/>
      </c>
      <c r="F62" s="14">
        <f>IF($A62="","",IF(INDEX('潜水記録'!$E$5:$E$3004,$AS62)="","",INDEX('潜水記録'!$E$5:$E$3004,$AS62)))</f>
        <v/>
      </c>
      <c r="G62" s="14">
        <f>IF($A62="","",IF(INDEX('潜水記録'!$F$5:$F$3004,$AS62)="","",INDEX('潜水記録'!$F$5:$F$3004,$AS62)))</f>
        <v/>
      </c>
      <c r="H62" s="14">
        <f>IF($A62="","",IF(INDEX('潜水記録'!$G$5:$G$3004,$AS62)="","",INDEX('潜水記録'!$G$5:$G$3004,$AS62)))</f>
        <v/>
      </c>
      <c r="I62" s="14">
        <f>IF($A62="","",IF(INDEX('潜水記録'!$H$5:$H$3004,$AS62)="","",INDEX('潜水記録'!$H$5:$H$3004,$AS62)))</f>
        <v/>
      </c>
      <c r="J62" s="14">
        <f>IF($A62="","",IF(INDEX('潜水記録'!$I$5:$I$3004,$AS62)="","",INDEX('潜水記録'!$I$5:$I$3004,$AS62)))</f>
        <v/>
      </c>
      <c r="K62" s="14">
        <f>IF($A62="","",IF(INDEX('潜水記録'!$J$5:$J$3004,$AS62)="","",INDEX('潜水記録'!$J$5:$J$3004,$AS62)))</f>
        <v/>
      </c>
      <c r="L62" s="14">
        <f>IF($A62="","",IF(INDEX('潜水記録'!$K$5:$K$3004,$AS62)="","",INDEX('潜水記録'!$K$5:$K$3004,$AS62)))</f>
        <v/>
      </c>
      <c r="M62" s="14">
        <f>IF($A62="","",IF(INDEX('潜水記録'!$L$5:$L$3004,$AS62)="","",INDEX('潜水記録'!$L$5:$L$3004,$AS62)))</f>
        <v/>
      </c>
      <c r="N62" s="14">
        <f>IF($A62="","",IF(INDEX('潜水記録'!$M$5:$M$3004,$AS62)="","",INDEX('潜水記録'!$M$5:$M$3004,$AS62)))</f>
        <v/>
      </c>
      <c r="O62" s="14">
        <f>IF($A62="","",IF(INDEX('潜水記録'!$N$5:$N$3004,$AS62)="","",INDEX('潜水記録'!$N$5:$N$3004,$AS62)))</f>
        <v/>
      </c>
      <c r="P62" s="14">
        <f>IF($A62="","",IF(INDEX('潜水記録'!$O$5:$O$3004,$AS62)="","",INDEX('潜水記録'!$O$5:$O$3004,$AS62)))</f>
        <v/>
      </c>
      <c r="Q62" s="14">
        <f>IF($A62="","",IF(INDEX('潜水記録'!$P$5:$P$3004,$AS62)="","",INDEX('潜水記録'!$P$5:$P$3004,$AS62)))</f>
        <v/>
      </c>
      <c r="R62" s="14">
        <f>IF($A62="","",IF(INDEX('潜水記録'!$Q$5:$Q$3004,$AS62)="","",INDEX('潜水記録'!$Q$5:$Q$3004,$AS62)))</f>
        <v/>
      </c>
      <c r="S62" s="14">
        <f>IF($A62="","",IF(INDEX('潜水記録'!$R$5:$R$3004,$AS62)="","",INDEX('潜水記録'!$R$5:$R$3004,$AS62)))</f>
        <v/>
      </c>
      <c r="T62" s="14">
        <f>IF($A62="","",IF(INDEX('潜水記録'!$S$5:$S$3004,$AS62)="","",INDEX('潜水記録'!$S$5:$S$3004,$AS62)))</f>
        <v/>
      </c>
      <c r="U62" s="14">
        <f>IF($A62="","",IF(INDEX('潜水記録'!$T$5:$T$3004,$AS62)="","",INDEX('潜水記録'!$T$5:$T$3004,$AS62)))</f>
        <v/>
      </c>
      <c r="V62" s="46">
        <f>IF($A62="","",IF(INDEX('潜水記録'!$U$5:$U$3004,$AS62)="","",INDEX('潜水記録'!$U$5:$U$3004,$AS62)))</f>
        <v/>
      </c>
      <c r="W62" s="46">
        <f>IF($A62="","",IF(INDEX('潜水記録'!$V$5:$V$3004,$AS62)="","",INDEX('潜水記録'!$V$5:$V$3004,$AS62)))</f>
        <v/>
      </c>
      <c r="X62" s="14">
        <f>IF($A62="","",IF(INDEX('潜水記録'!$W$5:$W$3004,$AS62)="","",INDEX('潜水記録'!$W$5:$W$3004,$AS62)))</f>
        <v/>
      </c>
      <c r="Y62" s="14">
        <f>IF($A62="","",IF(INDEX('潜水記録'!$X$5:$X$3004,$AS62)="","",INDEX('潜水記録'!$X$5:$X$3004,$AS62)))</f>
        <v/>
      </c>
      <c r="Z62" s="14">
        <f>IF($A62="","",IF(INDEX('潜水記録'!$Y$5:$Y$3004,$AS62)="","",INDEX('潜水記録'!$Y$5:$Y$3004,$AS62)))</f>
        <v/>
      </c>
      <c r="AA62" s="14">
        <f>IF($A62="","",IF(INDEX('潜水記録'!$Z$5:$Z$3004,$AS62)="","",INDEX('潜水記録'!$Z$5:$Z$3004,$AS62)))</f>
        <v/>
      </c>
      <c r="AB62" s="14">
        <f>IF($A62="","",IF(INDEX('潜水記録'!$AA$5:$AA$3004,$AS62)="","",INDEX('潜水記録'!$AA$5:$AA$3004,$AS62)))</f>
        <v/>
      </c>
      <c r="AC62" s="14">
        <f>IF($A62="","",IF(INDEX('潜水記録'!$AB$5:$AB$3004,$AS62)="","",INDEX('潜水記録'!$AB$5:$AB$3004,$AS62)))</f>
        <v/>
      </c>
      <c r="AD62" s="14">
        <f>IF($A62="","",IF(INDEX('潜水記録'!$AC$5:$AC$3004,$AS62)="","",INDEX('潜水記録'!$AC$5:$AC$3004,$AS62)))</f>
        <v/>
      </c>
      <c r="AE62" s="14">
        <f>IF($A62="","",IF(INDEX('潜水記録'!$AD$5:$AD$3004,$AS62)="","",INDEX('潜水記録'!$AD$5:$AD$3004,$AS62)))</f>
        <v/>
      </c>
      <c r="AF62" s="14">
        <f>IF($A62="","",IF(INDEX('潜水記録'!$AE$5:$AE$3004,$AS62)="","",INDEX('潜水記録'!$AE$5:$AE$3004,$AS62)))</f>
        <v/>
      </c>
      <c r="AG62" s="14">
        <f>IF($A62="","",IF(INDEX('潜水記録'!$AL$5:$AL$3004,$AS62)="","",INDEX('潜水記録'!$AL$5:$AL$3004,$AS62)))</f>
        <v/>
      </c>
      <c r="AH62" s="14">
        <f>IF($A62="","",IF(INDEX('潜水記録'!$AM$5:$AM$3004,$AS62)="","",INDEX('潜水記録'!$AM$5:$AM$3004,$AS62)))</f>
        <v/>
      </c>
      <c r="AI62" s="46">
        <f>IF($A62="","",IF(INDEX('潜水記録'!$AN$5:$AN$3004,$AS62)="","",INDEX('潜水記録'!$AN$5:$AN$3004,$AS62)))</f>
        <v/>
      </c>
      <c r="AJ62" s="14">
        <f>IF($A62="","",IF(INDEX('潜水記録'!$AO$5:$AO$3004,$AS62)="","",INDEX('潜水記録'!$AO$5:$AO$3004,$AS62)))</f>
        <v/>
      </c>
      <c r="AK62" s="14">
        <f>IF($A62="","",IF(INDEX('潜水記録'!$AP$5:$AP$3004,$AS62)="","",INDEX('潜水記録'!$AP$5:$AP$3004,$AS62)))</f>
        <v/>
      </c>
      <c r="AL62" s="14">
        <f>IF($A62="","",IF(INDEX('潜水記録'!$AQ$5:$AQ$3004,$AS62)="","",INDEX('潜水記録'!$AQ$5:$AQ$3004,$AS62)))</f>
        <v/>
      </c>
      <c r="AM62" s="14">
        <f>IF($A62="","",IF(INDEX('潜水記録'!$AR$5:$AR$3004,$AS62)="","",INDEX('潜水記録'!$AR$5:$AR$3004,$AS62)))</f>
        <v/>
      </c>
      <c r="AN62" s="14">
        <f>IF($A62="","",IF(INDEX('潜水記録'!$AS$5:$AS$3004,$AS62)="","",INDEX('潜水記録'!$AS$5:$AS$3004,$AS62)))</f>
        <v/>
      </c>
      <c r="AO62" s="14">
        <f>IF($A62="","",IF(INDEX('潜水記録'!$AT$5:$AT$3004,$AS62)="","",INDEX('潜水記録'!$AT$5:$AT$3004,$AS62)))</f>
        <v/>
      </c>
      <c r="AP62" s="14">
        <f>IF($A62="","",IF(INDEX('潜水記録'!$AU$5:$AU$3004,$AS62)="","",INDEX('潜水記録'!$AU$5:$AU$3004,$AS62)))</f>
        <v/>
      </c>
      <c r="AQ62" s="14">
        <f>IF($A62="","",IF(INDEX('潜水記録'!$AV$5:$AV$3004,$AS62)="","",INDEX('潜水記録'!$AV$5:$AV$3004,$AS62)))</f>
        <v/>
      </c>
      <c r="AR62" s="14">
        <f>IF($A62="","",IF(INDEX('潜水記録'!$AW$5:$AW$3004,$AS62)="","",INDEX('潜水記録'!$AW$5:$AW$3004,$AS62)))</f>
        <v/>
      </c>
      <c r="AS62" s="20">
        <f>IF($A62="","",MATCH($A62,'潜水記録'!$AI$5:$AI$3004,0))</f>
        <v/>
      </c>
    </row>
    <row r="63">
      <c r="A63" s="14">
        <f>IF(53&lt;=$C$8,53,"")</f>
        <v/>
      </c>
      <c r="B63" s="16">
        <f>IF($A63="","",IF(INDEX('潜水記録'!$A$5:$A$3004,$AS63)="","",INDEX('潜水記録'!$A$5:$A$3004,$AS63)))</f>
        <v/>
      </c>
      <c r="C63" s="14">
        <f>IF($A63="","",IF(INDEX('潜水記録'!$B$5:$B$3004,$AS63)="","",INDEX('潜水記録'!$B$5:$B$3004,$AS63)))</f>
        <v/>
      </c>
      <c r="D63" s="14">
        <f>IF($A63="","",IF(INDEX('潜水記録'!$C$5:$C$3004,$AS63)="","",INDEX('潜水記録'!$C$5:$C$3004,$AS63)))</f>
        <v/>
      </c>
      <c r="E63" s="14">
        <f>IF($A63="","",IF(INDEX('潜水記録'!$D$5:$D$3004,$AS63)="","",INDEX('潜水記録'!$D$5:$D$3004,$AS63)))</f>
        <v/>
      </c>
      <c r="F63" s="14">
        <f>IF($A63="","",IF(INDEX('潜水記録'!$E$5:$E$3004,$AS63)="","",INDEX('潜水記録'!$E$5:$E$3004,$AS63)))</f>
        <v/>
      </c>
      <c r="G63" s="14">
        <f>IF($A63="","",IF(INDEX('潜水記録'!$F$5:$F$3004,$AS63)="","",INDEX('潜水記録'!$F$5:$F$3004,$AS63)))</f>
        <v/>
      </c>
      <c r="H63" s="14">
        <f>IF($A63="","",IF(INDEX('潜水記録'!$G$5:$G$3004,$AS63)="","",INDEX('潜水記録'!$G$5:$G$3004,$AS63)))</f>
        <v/>
      </c>
      <c r="I63" s="14">
        <f>IF($A63="","",IF(INDEX('潜水記録'!$H$5:$H$3004,$AS63)="","",INDEX('潜水記録'!$H$5:$H$3004,$AS63)))</f>
        <v/>
      </c>
      <c r="J63" s="14">
        <f>IF($A63="","",IF(INDEX('潜水記録'!$I$5:$I$3004,$AS63)="","",INDEX('潜水記録'!$I$5:$I$3004,$AS63)))</f>
        <v/>
      </c>
      <c r="K63" s="14">
        <f>IF($A63="","",IF(INDEX('潜水記録'!$J$5:$J$3004,$AS63)="","",INDEX('潜水記録'!$J$5:$J$3004,$AS63)))</f>
        <v/>
      </c>
      <c r="L63" s="14">
        <f>IF($A63="","",IF(INDEX('潜水記録'!$K$5:$K$3004,$AS63)="","",INDEX('潜水記録'!$K$5:$K$3004,$AS63)))</f>
        <v/>
      </c>
      <c r="M63" s="14">
        <f>IF($A63="","",IF(INDEX('潜水記録'!$L$5:$L$3004,$AS63)="","",INDEX('潜水記録'!$L$5:$L$3004,$AS63)))</f>
        <v/>
      </c>
      <c r="N63" s="14">
        <f>IF($A63="","",IF(INDEX('潜水記録'!$M$5:$M$3004,$AS63)="","",INDEX('潜水記録'!$M$5:$M$3004,$AS63)))</f>
        <v/>
      </c>
      <c r="O63" s="14">
        <f>IF($A63="","",IF(INDEX('潜水記録'!$N$5:$N$3004,$AS63)="","",INDEX('潜水記録'!$N$5:$N$3004,$AS63)))</f>
        <v/>
      </c>
      <c r="P63" s="14">
        <f>IF($A63="","",IF(INDEX('潜水記録'!$O$5:$O$3004,$AS63)="","",INDEX('潜水記録'!$O$5:$O$3004,$AS63)))</f>
        <v/>
      </c>
      <c r="Q63" s="14">
        <f>IF($A63="","",IF(INDEX('潜水記録'!$P$5:$P$3004,$AS63)="","",INDEX('潜水記録'!$P$5:$P$3004,$AS63)))</f>
        <v/>
      </c>
      <c r="R63" s="14">
        <f>IF($A63="","",IF(INDEX('潜水記録'!$Q$5:$Q$3004,$AS63)="","",INDEX('潜水記録'!$Q$5:$Q$3004,$AS63)))</f>
        <v/>
      </c>
      <c r="S63" s="14">
        <f>IF($A63="","",IF(INDEX('潜水記録'!$R$5:$R$3004,$AS63)="","",INDEX('潜水記録'!$R$5:$R$3004,$AS63)))</f>
        <v/>
      </c>
      <c r="T63" s="14">
        <f>IF($A63="","",IF(INDEX('潜水記録'!$S$5:$S$3004,$AS63)="","",INDEX('潜水記録'!$S$5:$S$3004,$AS63)))</f>
        <v/>
      </c>
      <c r="U63" s="14">
        <f>IF($A63="","",IF(INDEX('潜水記録'!$T$5:$T$3004,$AS63)="","",INDEX('潜水記録'!$T$5:$T$3004,$AS63)))</f>
        <v/>
      </c>
      <c r="V63" s="46">
        <f>IF($A63="","",IF(INDEX('潜水記録'!$U$5:$U$3004,$AS63)="","",INDEX('潜水記録'!$U$5:$U$3004,$AS63)))</f>
        <v/>
      </c>
      <c r="W63" s="46">
        <f>IF($A63="","",IF(INDEX('潜水記録'!$V$5:$V$3004,$AS63)="","",INDEX('潜水記録'!$V$5:$V$3004,$AS63)))</f>
        <v/>
      </c>
      <c r="X63" s="14">
        <f>IF($A63="","",IF(INDEX('潜水記録'!$W$5:$W$3004,$AS63)="","",INDEX('潜水記録'!$W$5:$W$3004,$AS63)))</f>
        <v/>
      </c>
      <c r="Y63" s="14">
        <f>IF($A63="","",IF(INDEX('潜水記録'!$X$5:$X$3004,$AS63)="","",INDEX('潜水記録'!$X$5:$X$3004,$AS63)))</f>
        <v/>
      </c>
      <c r="Z63" s="14">
        <f>IF($A63="","",IF(INDEX('潜水記録'!$Y$5:$Y$3004,$AS63)="","",INDEX('潜水記録'!$Y$5:$Y$3004,$AS63)))</f>
        <v/>
      </c>
      <c r="AA63" s="14">
        <f>IF($A63="","",IF(INDEX('潜水記録'!$Z$5:$Z$3004,$AS63)="","",INDEX('潜水記録'!$Z$5:$Z$3004,$AS63)))</f>
        <v/>
      </c>
      <c r="AB63" s="14">
        <f>IF($A63="","",IF(INDEX('潜水記録'!$AA$5:$AA$3004,$AS63)="","",INDEX('潜水記録'!$AA$5:$AA$3004,$AS63)))</f>
        <v/>
      </c>
      <c r="AC63" s="14">
        <f>IF($A63="","",IF(INDEX('潜水記録'!$AB$5:$AB$3004,$AS63)="","",INDEX('潜水記録'!$AB$5:$AB$3004,$AS63)))</f>
        <v/>
      </c>
      <c r="AD63" s="14">
        <f>IF($A63="","",IF(INDEX('潜水記録'!$AC$5:$AC$3004,$AS63)="","",INDEX('潜水記録'!$AC$5:$AC$3004,$AS63)))</f>
        <v/>
      </c>
      <c r="AE63" s="14">
        <f>IF($A63="","",IF(INDEX('潜水記録'!$AD$5:$AD$3004,$AS63)="","",INDEX('潜水記録'!$AD$5:$AD$3004,$AS63)))</f>
        <v/>
      </c>
      <c r="AF63" s="14">
        <f>IF($A63="","",IF(INDEX('潜水記録'!$AE$5:$AE$3004,$AS63)="","",INDEX('潜水記録'!$AE$5:$AE$3004,$AS63)))</f>
        <v/>
      </c>
      <c r="AG63" s="14">
        <f>IF($A63="","",IF(INDEX('潜水記録'!$AL$5:$AL$3004,$AS63)="","",INDEX('潜水記録'!$AL$5:$AL$3004,$AS63)))</f>
        <v/>
      </c>
      <c r="AH63" s="14">
        <f>IF($A63="","",IF(INDEX('潜水記録'!$AM$5:$AM$3004,$AS63)="","",INDEX('潜水記録'!$AM$5:$AM$3004,$AS63)))</f>
        <v/>
      </c>
      <c r="AI63" s="46">
        <f>IF($A63="","",IF(INDEX('潜水記録'!$AN$5:$AN$3004,$AS63)="","",INDEX('潜水記録'!$AN$5:$AN$3004,$AS63)))</f>
        <v/>
      </c>
      <c r="AJ63" s="14">
        <f>IF($A63="","",IF(INDEX('潜水記録'!$AO$5:$AO$3004,$AS63)="","",INDEX('潜水記録'!$AO$5:$AO$3004,$AS63)))</f>
        <v/>
      </c>
      <c r="AK63" s="14">
        <f>IF($A63="","",IF(INDEX('潜水記録'!$AP$5:$AP$3004,$AS63)="","",INDEX('潜水記録'!$AP$5:$AP$3004,$AS63)))</f>
        <v/>
      </c>
      <c r="AL63" s="14">
        <f>IF($A63="","",IF(INDEX('潜水記録'!$AQ$5:$AQ$3004,$AS63)="","",INDEX('潜水記録'!$AQ$5:$AQ$3004,$AS63)))</f>
        <v/>
      </c>
      <c r="AM63" s="14">
        <f>IF($A63="","",IF(INDEX('潜水記録'!$AR$5:$AR$3004,$AS63)="","",INDEX('潜水記録'!$AR$5:$AR$3004,$AS63)))</f>
        <v/>
      </c>
      <c r="AN63" s="14">
        <f>IF($A63="","",IF(INDEX('潜水記録'!$AS$5:$AS$3004,$AS63)="","",INDEX('潜水記録'!$AS$5:$AS$3004,$AS63)))</f>
        <v/>
      </c>
      <c r="AO63" s="14">
        <f>IF($A63="","",IF(INDEX('潜水記録'!$AT$5:$AT$3004,$AS63)="","",INDEX('潜水記録'!$AT$5:$AT$3004,$AS63)))</f>
        <v/>
      </c>
      <c r="AP63" s="14">
        <f>IF($A63="","",IF(INDEX('潜水記録'!$AU$5:$AU$3004,$AS63)="","",INDEX('潜水記録'!$AU$5:$AU$3004,$AS63)))</f>
        <v/>
      </c>
      <c r="AQ63" s="14">
        <f>IF($A63="","",IF(INDEX('潜水記録'!$AV$5:$AV$3004,$AS63)="","",INDEX('潜水記録'!$AV$5:$AV$3004,$AS63)))</f>
        <v/>
      </c>
      <c r="AR63" s="14">
        <f>IF($A63="","",IF(INDEX('潜水記録'!$AW$5:$AW$3004,$AS63)="","",INDEX('潜水記録'!$AW$5:$AW$3004,$AS63)))</f>
        <v/>
      </c>
      <c r="AS63" s="20">
        <f>IF($A63="","",MATCH($A63,'潜水記録'!$AI$5:$AI$3004,0))</f>
        <v/>
      </c>
    </row>
    <row r="64">
      <c r="A64" s="14">
        <f>IF(54&lt;=$C$8,54,"")</f>
        <v/>
      </c>
      <c r="B64" s="16">
        <f>IF($A64="","",IF(INDEX('潜水記録'!$A$5:$A$3004,$AS64)="","",INDEX('潜水記録'!$A$5:$A$3004,$AS64)))</f>
        <v/>
      </c>
      <c r="C64" s="14">
        <f>IF($A64="","",IF(INDEX('潜水記録'!$B$5:$B$3004,$AS64)="","",INDEX('潜水記録'!$B$5:$B$3004,$AS64)))</f>
        <v/>
      </c>
      <c r="D64" s="14">
        <f>IF($A64="","",IF(INDEX('潜水記録'!$C$5:$C$3004,$AS64)="","",INDEX('潜水記録'!$C$5:$C$3004,$AS64)))</f>
        <v/>
      </c>
      <c r="E64" s="14">
        <f>IF($A64="","",IF(INDEX('潜水記録'!$D$5:$D$3004,$AS64)="","",INDEX('潜水記録'!$D$5:$D$3004,$AS64)))</f>
        <v/>
      </c>
      <c r="F64" s="14">
        <f>IF($A64="","",IF(INDEX('潜水記録'!$E$5:$E$3004,$AS64)="","",INDEX('潜水記録'!$E$5:$E$3004,$AS64)))</f>
        <v/>
      </c>
      <c r="G64" s="14">
        <f>IF($A64="","",IF(INDEX('潜水記録'!$F$5:$F$3004,$AS64)="","",INDEX('潜水記録'!$F$5:$F$3004,$AS64)))</f>
        <v/>
      </c>
      <c r="H64" s="14">
        <f>IF($A64="","",IF(INDEX('潜水記録'!$G$5:$G$3004,$AS64)="","",INDEX('潜水記録'!$G$5:$G$3004,$AS64)))</f>
        <v/>
      </c>
      <c r="I64" s="14">
        <f>IF($A64="","",IF(INDEX('潜水記録'!$H$5:$H$3004,$AS64)="","",INDEX('潜水記録'!$H$5:$H$3004,$AS64)))</f>
        <v/>
      </c>
      <c r="J64" s="14">
        <f>IF($A64="","",IF(INDEX('潜水記録'!$I$5:$I$3004,$AS64)="","",INDEX('潜水記録'!$I$5:$I$3004,$AS64)))</f>
        <v/>
      </c>
      <c r="K64" s="14">
        <f>IF($A64="","",IF(INDEX('潜水記録'!$J$5:$J$3004,$AS64)="","",INDEX('潜水記録'!$J$5:$J$3004,$AS64)))</f>
        <v/>
      </c>
      <c r="L64" s="14">
        <f>IF($A64="","",IF(INDEX('潜水記録'!$K$5:$K$3004,$AS64)="","",INDEX('潜水記録'!$K$5:$K$3004,$AS64)))</f>
        <v/>
      </c>
      <c r="M64" s="14">
        <f>IF($A64="","",IF(INDEX('潜水記録'!$L$5:$L$3004,$AS64)="","",INDEX('潜水記録'!$L$5:$L$3004,$AS64)))</f>
        <v/>
      </c>
      <c r="N64" s="14">
        <f>IF($A64="","",IF(INDEX('潜水記録'!$M$5:$M$3004,$AS64)="","",INDEX('潜水記録'!$M$5:$M$3004,$AS64)))</f>
        <v/>
      </c>
      <c r="O64" s="14">
        <f>IF($A64="","",IF(INDEX('潜水記録'!$N$5:$N$3004,$AS64)="","",INDEX('潜水記録'!$N$5:$N$3004,$AS64)))</f>
        <v/>
      </c>
      <c r="P64" s="14">
        <f>IF($A64="","",IF(INDEX('潜水記録'!$O$5:$O$3004,$AS64)="","",INDEX('潜水記録'!$O$5:$O$3004,$AS64)))</f>
        <v/>
      </c>
      <c r="Q64" s="14">
        <f>IF($A64="","",IF(INDEX('潜水記録'!$P$5:$P$3004,$AS64)="","",INDEX('潜水記録'!$P$5:$P$3004,$AS64)))</f>
        <v/>
      </c>
      <c r="R64" s="14">
        <f>IF($A64="","",IF(INDEX('潜水記録'!$Q$5:$Q$3004,$AS64)="","",INDEX('潜水記録'!$Q$5:$Q$3004,$AS64)))</f>
        <v/>
      </c>
      <c r="S64" s="14">
        <f>IF($A64="","",IF(INDEX('潜水記録'!$R$5:$R$3004,$AS64)="","",INDEX('潜水記録'!$R$5:$R$3004,$AS64)))</f>
        <v/>
      </c>
      <c r="T64" s="14">
        <f>IF($A64="","",IF(INDEX('潜水記録'!$S$5:$S$3004,$AS64)="","",INDEX('潜水記録'!$S$5:$S$3004,$AS64)))</f>
        <v/>
      </c>
      <c r="U64" s="14">
        <f>IF($A64="","",IF(INDEX('潜水記録'!$T$5:$T$3004,$AS64)="","",INDEX('潜水記録'!$T$5:$T$3004,$AS64)))</f>
        <v/>
      </c>
      <c r="V64" s="46">
        <f>IF($A64="","",IF(INDEX('潜水記録'!$U$5:$U$3004,$AS64)="","",INDEX('潜水記録'!$U$5:$U$3004,$AS64)))</f>
        <v/>
      </c>
      <c r="W64" s="46">
        <f>IF($A64="","",IF(INDEX('潜水記録'!$V$5:$V$3004,$AS64)="","",INDEX('潜水記録'!$V$5:$V$3004,$AS64)))</f>
        <v/>
      </c>
      <c r="X64" s="14">
        <f>IF($A64="","",IF(INDEX('潜水記録'!$W$5:$W$3004,$AS64)="","",INDEX('潜水記録'!$W$5:$W$3004,$AS64)))</f>
        <v/>
      </c>
      <c r="Y64" s="14">
        <f>IF($A64="","",IF(INDEX('潜水記録'!$X$5:$X$3004,$AS64)="","",INDEX('潜水記録'!$X$5:$X$3004,$AS64)))</f>
        <v/>
      </c>
      <c r="Z64" s="14">
        <f>IF($A64="","",IF(INDEX('潜水記録'!$Y$5:$Y$3004,$AS64)="","",INDEX('潜水記録'!$Y$5:$Y$3004,$AS64)))</f>
        <v/>
      </c>
      <c r="AA64" s="14">
        <f>IF($A64="","",IF(INDEX('潜水記録'!$Z$5:$Z$3004,$AS64)="","",INDEX('潜水記録'!$Z$5:$Z$3004,$AS64)))</f>
        <v/>
      </c>
      <c r="AB64" s="14">
        <f>IF($A64="","",IF(INDEX('潜水記録'!$AA$5:$AA$3004,$AS64)="","",INDEX('潜水記録'!$AA$5:$AA$3004,$AS64)))</f>
        <v/>
      </c>
      <c r="AC64" s="14">
        <f>IF($A64="","",IF(INDEX('潜水記録'!$AB$5:$AB$3004,$AS64)="","",INDEX('潜水記録'!$AB$5:$AB$3004,$AS64)))</f>
        <v/>
      </c>
      <c r="AD64" s="14">
        <f>IF($A64="","",IF(INDEX('潜水記録'!$AC$5:$AC$3004,$AS64)="","",INDEX('潜水記録'!$AC$5:$AC$3004,$AS64)))</f>
        <v/>
      </c>
      <c r="AE64" s="14">
        <f>IF($A64="","",IF(INDEX('潜水記録'!$AD$5:$AD$3004,$AS64)="","",INDEX('潜水記録'!$AD$5:$AD$3004,$AS64)))</f>
        <v/>
      </c>
      <c r="AF64" s="14">
        <f>IF($A64="","",IF(INDEX('潜水記録'!$AE$5:$AE$3004,$AS64)="","",INDEX('潜水記録'!$AE$5:$AE$3004,$AS64)))</f>
        <v/>
      </c>
      <c r="AG64" s="14">
        <f>IF($A64="","",IF(INDEX('潜水記録'!$AL$5:$AL$3004,$AS64)="","",INDEX('潜水記録'!$AL$5:$AL$3004,$AS64)))</f>
        <v/>
      </c>
      <c r="AH64" s="14">
        <f>IF($A64="","",IF(INDEX('潜水記録'!$AM$5:$AM$3004,$AS64)="","",INDEX('潜水記録'!$AM$5:$AM$3004,$AS64)))</f>
        <v/>
      </c>
      <c r="AI64" s="46">
        <f>IF($A64="","",IF(INDEX('潜水記録'!$AN$5:$AN$3004,$AS64)="","",INDEX('潜水記録'!$AN$5:$AN$3004,$AS64)))</f>
        <v/>
      </c>
      <c r="AJ64" s="14">
        <f>IF($A64="","",IF(INDEX('潜水記録'!$AO$5:$AO$3004,$AS64)="","",INDEX('潜水記録'!$AO$5:$AO$3004,$AS64)))</f>
        <v/>
      </c>
      <c r="AK64" s="14">
        <f>IF($A64="","",IF(INDEX('潜水記録'!$AP$5:$AP$3004,$AS64)="","",INDEX('潜水記録'!$AP$5:$AP$3004,$AS64)))</f>
        <v/>
      </c>
      <c r="AL64" s="14">
        <f>IF($A64="","",IF(INDEX('潜水記録'!$AQ$5:$AQ$3004,$AS64)="","",INDEX('潜水記録'!$AQ$5:$AQ$3004,$AS64)))</f>
        <v/>
      </c>
      <c r="AM64" s="14">
        <f>IF($A64="","",IF(INDEX('潜水記録'!$AR$5:$AR$3004,$AS64)="","",INDEX('潜水記録'!$AR$5:$AR$3004,$AS64)))</f>
        <v/>
      </c>
      <c r="AN64" s="14">
        <f>IF($A64="","",IF(INDEX('潜水記録'!$AS$5:$AS$3004,$AS64)="","",INDEX('潜水記録'!$AS$5:$AS$3004,$AS64)))</f>
        <v/>
      </c>
      <c r="AO64" s="14">
        <f>IF($A64="","",IF(INDEX('潜水記録'!$AT$5:$AT$3004,$AS64)="","",INDEX('潜水記録'!$AT$5:$AT$3004,$AS64)))</f>
        <v/>
      </c>
      <c r="AP64" s="14">
        <f>IF($A64="","",IF(INDEX('潜水記録'!$AU$5:$AU$3004,$AS64)="","",INDEX('潜水記録'!$AU$5:$AU$3004,$AS64)))</f>
        <v/>
      </c>
      <c r="AQ64" s="14">
        <f>IF($A64="","",IF(INDEX('潜水記録'!$AV$5:$AV$3004,$AS64)="","",INDEX('潜水記録'!$AV$5:$AV$3004,$AS64)))</f>
        <v/>
      </c>
      <c r="AR64" s="14">
        <f>IF($A64="","",IF(INDEX('潜水記録'!$AW$5:$AW$3004,$AS64)="","",INDEX('潜水記録'!$AW$5:$AW$3004,$AS64)))</f>
        <v/>
      </c>
      <c r="AS64" s="20">
        <f>IF($A64="","",MATCH($A64,'潜水記録'!$AI$5:$AI$3004,0))</f>
        <v/>
      </c>
    </row>
    <row r="65">
      <c r="A65" s="14">
        <f>IF(55&lt;=$C$8,55,"")</f>
        <v/>
      </c>
      <c r="B65" s="16">
        <f>IF($A65="","",IF(INDEX('潜水記録'!$A$5:$A$3004,$AS65)="","",INDEX('潜水記録'!$A$5:$A$3004,$AS65)))</f>
        <v/>
      </c>
      <c r="C65" s="14">
        <f>IF($A65="","",IF(INDEX('潜水記録'!$B$5:$B$3004,$AS65)="","",INDEX('潜水記録'!$B$5:$B$3004,$AS65)))</f>
        <v/>
      </c>
      <c r="D65" s="14">
        <f>IF($A65="","",IF(INDEX('潜水記録'!$C$5:$C$3004,$AS65)="","",INDEX('潜水記録'!$C$5:$C$3004,$AS65)))</f>
        <v/>
      </c>
      <c r="E65" s="14">
        <f>IF($A65="","",IF(INDEX('潜水記録'!$D$5:$D$3004,$AS65)="","",INDEX('潜水記録'!$D$5:$D$3004,$AS65)))</f>
        <v/>
      </c>
      <c r="F65" s="14">
        <f>IF($A65="","",IF(INDEX('潜水記録'!$E$5:$E$3004,$AS65)="","",INDEX('潜水記録'!$E$5:$E$3004,$AS65)))</f>
        <v/>
      </c>
      <c r="G65" s="14">
        <f>IF($A65="","",IF(INDEX('潜水記録'!$F$5:$F$3004,$AS65)="","",INDEX('潜水記録'!$F$5:$F$3004,$AS65)))</f>
        <v/>
      </c>
      <c r="H65" s="14">
        <f>IF($A65="","",IF(INDEX('潜水記録'!$G$5:$G$3004,$AS65)="","",INDEX('潜水記録'!$G$5:$G$3004,$AS65)))</f>
        <v/>
      </c>
      <c r="I65" s="14">
        <f>IF($A65="","",IF(INDEX('潜水記録'!$H$5:$H$3004,$AS65)="","",INDEX('潜水記録'!$H$5:$H$3004,$AS65)))</f>
        <v/>
      </c>
      <c r="J65" s="14">
        <f>IF($A65="","",IF(INDEX('潜水記録'!$I$5:$I$3004,$AS65)="","",INDEX('潜水記録'!$I$5:$I$3004,$AS65)))</f>
        <v/>
      </c>
      <c r="K65" s="14">
        <f>IF($A65="","",IF(INDEX('潜水記録'!$J$5:$J$3004,$AS65)="","",INDEX('潜水記録'!$J$5:$J$3004,$AS65)))</f>
        <v/>
      </c>
      <c r="L65" s="14">
        <f>IF($A65="","",IF(INDEX('潜水記録'!$K$5:$K$3004,$AS65)="","",INDEX('潜水記録'!$K$5:$K$3004,$AS65)))</f>
        <v/>
      </c>
      <c r="M65" s="14">
        <f>IF($A65="","",IF(INDEX('潜水記録'!$L$5:$L$3004,$AS65)="","",INDEX('潜水記録'!$L$5:$L$3004,$AS65)))</f>
        <v/>
      </c>
      <c r="N65" s="14">
        <f>IF($A65="","",IF(INDEX('潜水記録'!$M$5:$M$3004,$AS65)="","",INDEX('潜水記録'!$M$5:$M$3004,$AS65)))</f>
        <v/>
      </c>
      <c r="O65" s="14">
        <f>IF($A65="","",IF(INDEX('潜水記録'!$N$5:$N$3004,$AS65)="","",INDEX('潜水記録'!$N$5:$N$3004,$AS65)))</f>
        <v/>
      </c>
      <c r="P65" s="14">
        <f>IF($A65="","",IF(INDEX('潜水記録'!$O$5:$O$3004,$AS65)="","",INDEX('潜水記録'!$O$5:$O$3004,$AS65)))</f>
        <v/>
      </c>
      <c r="Q65" s="14">
        <f>IF($A65="","",IF(INDEX('潜水記録'!$P$5:$P$3004,$AS65)="","",INDEX('潜水記録'!$P$5:$P$3004,$AS65)))</f>
        <v/>
      </c>
      <c r="R65" s="14">
        <f>IF($A65="","",IF(INDEX('潜水記録'!$Q$5:$Q$3004,$AS65)="","",INDEX('潜水記録'!$Q$5:$Q$3004,$AS65)))</f>
        <v/>
      </c>
      <c r="S65" s="14">
        <f>IF($A65="","",IF(INDEX('潜水記録'!$R$5:$R$3004,$AS65)="","",INDEX('潜水記録'!$R$5:$R$3004,$AS65)))</f>
        <v/>
      </c>
      <c r="T65" s="14">
        <f>IF($A65="","",IF(INDEX('潜水記録'!$S$5:$S$3004,$AS65)="","",INDEX('潜水記録'!$S$5:$S$3004,$AS65)))</f>
        <v/>
      </c>
      <c r="U65" s="14">
        <f>IF($A65="","",IF(INDEX('潜水記録'!$T$5:$T$3004,$AS65)="","",INDEX('潜水記録'!$T$5:$T$3004,$AS65)))</f>
        <v/>
      </c>
      <c r="V65" s="46">
        <f>IF($A65="","",IF(INDEX('潜水記録'!$U$5:$U$3004,$AS65)="","",INDEX('潜水記録'!$U$5:$U$3004,$AS65)))</f>
        <v/>
      </c>
      <c r="W65" s="46">
        <f>IF($A65="","",IF(INDEX('潜水記録'!$V$5:$V$3004,$AS65)="","",INDEX('潜水記録'!$V$5:$V$3004,$AS65)))</f>
        <v/>
      </c>
      <c r="X65" s="14">
        <f>IF($A65="","",IF(INDEX('潜水記録'!$W$5:$W$3004,$AS65)="","",INDEX('潜水記録'!$W$5:$W$3004,$AS65)))</f>
        <v/>
      </c>
      <c r="Y65" s="14">
        <f>IF($A65="","",IF(INDEX('潜水記録'!$X$5:$X$3004,$AS65)="","",INDEX('潜水記録'!$X$5:$X$3004,$AS65)))</f>
        <v/>
      </c>
      <c r="Z65" s="14">
        <f>IF($A65="","",IF(INDEX('潜水記録'!$Y$5:$Y$3004,$AS65)="","",INDEX('潜水記録'!$Y$5:$Y$3004,$AS65)))</f>
        <v/>
      </c>
      <c r="AA65" s="14">
        <f>IF($A65="","",IF(INDEX('潜水記録'!$Z$5:$Z$3004,$AS65)="","",INDEX('潜水記録'!$Z$5:$Z$3004,$AS65)))</f>
        <v/>
      </c>
      <c r="AB65" s="14">
        <f>IF($A65="","",IF(INDEX('潜水記録'!$AA$5:$AA$3004,$AS65)="","",INDEX('潜水記録'!$AA$5:$AA$3004,$AS65)))</f>
        <v/>
      </c>
      <c r="AC65" s="14">
        <f>IF($A65="","",IF(INDEX('潜水記録'!$AB$5:$AB$3004,$AS65)="","",INDEX('潜水記録'!$AB$5:$AB$3004,$AS65)))</f>
        <v/>
      </c>
      <c r="AD65" s="14">
        <f>IF($A65="","",IF(INDEX('潜水記録'!$AC$5:$AC$3004,$AS65)="","",INDEX('潜水記録'!$AC$5:$AC$3004,$AS65)))</f>
        <v/>
      </c>
      <c r="AE65" s="14">
        <f>IF($A65="","",IF(INDEX('潜水記録'!$AD$5:$AD$3004,$AS65)="","",INDEX('潜水記録'!$AD$5:$AD$3004,$AS65)))</f>
        <v/>
      </c>
      <c r="AF65" s="14">
        <f>IF($A65="","",IF(INDEX('潜水記録'!$AE$5:$AE$3004,$AS65)="","",INDEX('潜水記録'!$AE$5:$AE$3004,$AS65)))</f>
        <v/>
      </c>
      <c r="AG65" s="14">
        <f>IF($A65="","",IF(INDEX('潜水記録'!$AL$5:$AL$3004,$AS65)="","",INDEX('潜水記録'!$AL$5:$AL$3004,$AS65)))</f>
        <v/>
      </c>
      <c r="AH65" s="14">
        <f>IF($A65="","",IF(INDEX('潜水記録'!$AM$5:$AM$3004,$AS65)="","",INDEX('潜水記録'!$AM$5:$AM$3004,$AS65)))</f>
        <v/>
      </c>
      <c r="AI65" s="46">
        <f>IF($A65="","",IF(INDEX('潜水記録'!$AN$5:$AN$3004,$AS65)="","",INDEX('潜水記録'!$AN$5:$AN$3004,$AS65)))</f>
        <v/>
      </c>
      <c r="AJ65" s="14">
        <f>IF($A65="","",IF(INDEX('潜水記録'!$AO$5:$AO$3004,$AS65)="","",INDEX('潜水記録'!$AO$5:$AO$3004,$AS65)))</f>
        <v/>
      </c>
      <c r="AK65" s="14">
        <f>IF($A65="","",IF(INDEX('潜水記録'!$AP$5:$AP$3004,$AS65)="","",INDEX('潜水記録'!$AP$5:$AP$3004,$AS65)))</f>
        <v/>
      </c>
      <c r="AL65" s="14">
        <f>IF($A65="","",IF(INDEX('潜水記録'!$AQ$5:$AQ$3004,$AS65)="","",INDEX('潜水記録'!$AQ$5:$AQ$3004,$AS65)))</f>
        <v/>
      </c>
      <c r="AM65" s="14">
        <f>IF($A65="","",IF(INDEX('潜水記録'!$AR$5:$AR$3004,$AS65)="","",INDEX('潜水記録'!$AR$5:$AR$3004,$AS65)))</f>
        <v/>
      </c>
      <c r="AN65" s="14">
        <f>IF($A65="","",IF(INDEX('潜水記録'!$AS$5:$AS$3004,$AS65)="","",INDEX('潜水記録'!$AS$5:$AS$3004,$AS65)))</f>
        <v/>
      </c>
      <c r="AO65" s="14">
        <f>IF($A65="","",IF(INDEX('潜水記録'!$AT$5:$AT$3004,$AS65)="","",INDEX('潜水記録'!$AT$5:$AT$3004,$AS65)))</f>
        <v/>
      </c>
      <c r="AP65" s="14">
        <f>IF($A65="","",IF(INDEX('潜水記録'!$AU$5:$AU$3004,$AS65)="","",INDEX('潜水記録'!$AU$5:$AU$3004,$AS65)))</f>
        <v/>
      </c>
      <c r="AQ65" s="14">
        <f>IF($A65="","",IF(INDEX('潜水記録'!$AV$5:$AV$3004,$AS65)="","",INDEX('潜水記録'!$AV$5:$AV$3004,$AS65)))</f>
        <v/>
      </c>
      <c r="AR65" s="14">
        <f>IF($A65="","",IF(INDEX('潜水記録'!$AW$5:$AW$3004,$AS65)="","",INDEX('潜水記録'!$AW$5:$AW$3004,$AS65)))</f>
        <v/>
      </c>
      <c r="AS65" s="20">
        <f>IF($A65="","",MATCH($A65,'潜水記録'!$AI$5:$AI$3004,0))</f>
        <v/>
      </c>
    </row>
    <row r="66">
      <c r="A66" s="14">
        <f>IF(56&lt;=$C$8,56,"")</f>
        <v/>
      </c>
      <c r="B66" s="16">
        <f>IF($A66="","",IF(INDEX('潜水記録'!$A$5:$A$3004,$AS66)="","",INDEX('潜水記録'!$A$5:$A$3004,$AS66)))</f>
        <v/>
      </c>
      <c r="C66" s="14">
        <f>IF($A66="","",IF(INDEX('潜水記録'!$B$5:$B$3004,$AS66)="","",INDEX('潜水記録'!$B$5:$B$3004,$AS66)))</f>
        <v/>
      </c>
      <c r="D66" s="14">
        <f>IF($A66="","",IF(INDEX('潜水記録'!$C$5:$C$3004,$AS66)="","",INDEX('潜水記録'!$C$5:$C$3004,$AS66)))</f>
        <v/>
      </c>
      <c r="E66" s="14">
        <f>IF($A66="","",IF(INDEX('潜水記録'!$D$5:$D$3004,$AS66)="","",INDEX('潜水記録'!$D$5:$D$3004,$AS66)))</f>
        <v/>
      </c>
      <c r="F66" s="14">
        <f>IF($A66="","",IF(INDEX('潜水記録'!$E$5:$E$3004,$AS66)="","",INDEX('潜水記録'!$E$5:$E$3004,$AS66)))</f>
        <v/>
      </c>
      <c r="G66" s="14">
        <f>IF($A66="","",IF(INDEX('潜水記録'!$F$5:$F$3004,$AS66)="","",INDEX('潜水記録'!$F$5:$F$3004,$AS66)))</f>
        <v/>
      </c>
      <c r="H66" s="14">
        <f>IF($A66="","",IF(INDEX('潜水記録'!$G$5:$G$3004,$AS66)="","",INDEX('潜水記録'!$G$5:$G$3004,$AS66)))</f>
        <v/>
      </c>
      <c r="I66" s="14">
        <f>IF($A66="","",IF(INDEX('潜水記録'!$H$5:$H$3004,$AS66)="","",INDEX('潜水記録'!$H$5:$H$3004,$AS66)))</f>
        <v/>
      </c>
      <c r="J66" s="14">
        <f>IF($A66="","",IF(INDEX('潜水記録'!$I$5:$I$3004,$AS66)="","",INDEX('潜水記録'!$I$5:$I$3004,$AS66)))</f>
        <v/>
      </c>
      <c r="K66" s="14">
        <f>IF($A66="","",IF(INDEX('潜水記録'!$J$5:$J$3004,$AS66)="","",INDEX('潜水記録'!$J$5:$J$3004,$AS66)))</f>
        <v/>
      </c>
      <c r="L66" s="14">
        <f>IF($A66="","",IF(INDEX('潜水記録'!$K$5:$K$3004,$AS66)="","",INDEX('潜水記録'!$K$5:$K$3004,$AS66)))</f>
        <v/>
      </c>
      <c r="M66" s="14">
        <f>IF($A66="","",IF(INDEX('潜水記録'!$L$5:$L$3004,$AS66)="","",INDEX('潜水記録'!$L$5:$L$3004,$AS66)))</f>
        <v/>
      </c>
      <c r="N66" s="14">
        <f>IF($A66="","",IF(INDEX('潜水記録'!$M$5:$M$3004,$AS66)="","",INDEX('潜水記録'!$M$5:$M$3004,$AS66)))</f>
        <v/>
      </c>
      <c r="O66" s="14">
        <f>IF($A66="","",IF(INDEX('潜水記録'!$N$5:$N$3004,$AS66)="","",INDEX('潜水記録'!$N$5:$N$3004,$AS66)))</f>
        <v/>
      </c>
      <c r="P66" s="14">
        <f>IF($A66="","",IF(INDEX('潜水記録'!$O$5:$O$3004,$AS66)="","",INDEX('潜水記録'!$O$5:$O$3004,$AS66)))</f>
        <v/>
      </c>
      <c r="Q66" s="14">
        <f>IF($A66="","",IF(INDEX('潜水記録'!$P$5:$P$3004,$AS66)="","",INDEX('潜水記録'!$P$5:$P$3004,$AS66)))</f>
        <v/>
      </c>
      <c r="R66" s="14">
        <f>IF($A66="","",IF(INDEX('潜水記録'!$Q$5:$Q$3004,$AS66)="","",INDEX('潜水記録'!$Q$5:$Q$3004,$AS66)))</f>
        <v/>
      </c>
      <c r="S66" s="14">
        <f>IF($A66="","",IF(INDEX('潜水記録'!$R$5:$R$3004,$AS66)="","",INDEX('潜水記録'!$R$5:$R$3004,$AS66)))</f>
        <v/>
      </c>
      <c r="T66" s="14">
        <f>IF($A66="","",IF(INDEX('潜水記録'!$S$5:$S$3004,$AS66)="","",INDEX('潜水記録'!$S$5:$S$3004,$AS66)))</f>
        <v/>
      </c>
      <c r="U66" s="14">
        <f>IF($A66="","",IF(INDEX('潜水記録'!$T$5:$T$3004,$AS66)="","",INDEX('潜水記録'!$T$5:$T$3004,$AS66)))</f>
        <v/>
      </c>
      <c r="V66" s="46">
        <f>IF($A66="","",IF(INDEX('潜水記録'!$U$5:$U$3004,$AS66)="","",INDEX('潜水記録'!$U$5:$U$3004,$AS66)))</f>
        <v/>
      </c>
      <c r="W66" s="46">
        <f>IF($A66="","",IF(INDEX('潜水記録'!$V$5:$V$3004,$AS66)="","",INDEX('潜水記録'!$V$5:$V$3004,$AS66)))</f>
        <v/>
      </c>
      <c r="X66" s="14">
        <f>IF($A66="","",IF(INDEX('潜水記録'!$W$5:$W$3004,$AS66)="","",INDEX('潜水記録'!$W$5:$W$3004,$AS66)))</f>
        <v/>
      </c>
      <c r="Y66" s="14">
        <f>IF($A66="","",IF(INDEX('潜水記録'!$X$5:$X$3004,$AS66)="","",INDEX('潜水記録'!$X$5:$X$3004,$AS66)))</f>
        <v/>
      </c>
      <c r="Z66" s="14">
        <f>IF($A66="","",IF(INDEX('潜水記録'!$Y$5:$Y$3004,$AS66)="","",INDEX('潜水記録'!$Y$5:$Y$3004,$AS66)))</f>
        <v/>
      </c>
      <c r="AA66" s="14">
        <f>IF($A66="","",IF(INDEX('潜水記録'!$Z$5:$Z$3004,$AS66)="","",INDEX('潜水記録'!$Z$5:$Z$3004,$AS66)))</f>
        <v/>
      </c>
      <c r="AB66" s="14">
        <f>IF($A66="","",IF(INDEX('潜水記録'!$AA$5:$AA$3004,$AS66)="","",INDEX('潜水記録'!$AA$5:$AA$3004,$AS66)))</f>
        <v/>
      </c>
      <c r="AC66" s="14">
        <f>IF($A66="","",IF(INDEX('潜水記録'!$AB$5:$AB$3004,$AS66)="","",INDEX('潜水記録'!$AB$5:$AB$3004,$AS66)))</f>
        <v/>
      </c>
      <c r="AD66" s="14">
        <f>IF($A66="","",IF(INDEX('潜水記録'!$AC$5:$AC$3004,$AS66)="","",INDEX('潜水記録'!$AC$5:$AC$3004,$AS66)))</f>
        <v/>
      </c>
      <c r="AE66" s="14">
        <f>IF($A66="","",IF(INDEX('潜水記録'!$AD$5:$AD$3004,$AS66)="","",INDEX('潜水記録'!$AD$5:$AD$3004,$AS66)))</f>
        <v/>
      </c>
      <c r="AF66" s="14">
        <f>IF($A66="","",IF(INDEX('潜水記録'!$AE$5:$AE$3004,$AS66)="","",INDEX('潜水記録'!$AE$5:$AE$3004,$AS66)))</f>
        <v/>
      </c>
      <c r="AG66" s="14">
        <f>IF($A66="","",IF(INDEX('潜水記録'!$AL$5:$AL$3004,$AS66)="","",INDEX('潜水記録'!$AL$5:$AL$3004,$AS66)))</f>
        <v/>
      </c>
      <c r="AH66" s="14">
        <f>IF($A66="","",IF(INDEX('潜水記録'!$AM$5:$AM$3004,$AS66)="","",INDEX('潜水記録'!$AM$5:$AM$3004,$AS66)))</f>
        <v/>
      </c>
      <c r="AI66" s="46">
        <f>IF($A66="","",IF(INDEX('潜水記録'!$AN$5:$AN$3004,$AS66)="","",INDEX('潜水記録'!$AN$5:$AN$3004,$AS66)))</f>
        <v/>
      </c>
      <c r="AJ66" s="14">
        <f>IF($A66="","",IF(INDEX('潜水記録'!$AO$5:$AO$3004,$AS66)="","",INDEX('潜水記録'!$AO$5:$AO$3004,$AS66)))</f>
        <v/>
      </c>
      <c r="AK66" s="14">
        <f>IF($A66="","",IF(INDEX('潜水記録'!$AP$5:$AP$3004,$AS66)="","",INDEX('潜水記録'!$AP$5:$AP$3004,$AS66)))</f>
        <v/>
      </c>
      <c r="AL66" s="14">
        <f>IF($A66="","",IF(INDEX('潜水記録'!$AQ$5:$AQ$3004,$AS66)="","",INDEX('潜水記録'!$AQ$5:$AQ$3004,$AS66)))</f>
        <v/>
      </c>
      <c r="AM66" s="14">
        <f>IF($A66="","",IF(INDEX('潜水記録'!$AR$5:$AR$3004,$AS66)="","",INDEX('潜水記録'!$AR$5:$AR$3004,$AS66)))</f>
        <v/>
      </c>
      <c r="AN66" s="14">
        <f>IF($A66="","",IF(INDEX('潜水記録'!$AS$5:$AS$3004,$AS66)="","",INDEX('潜水記録'!$AS$5:$AS$3004,$AS66)))</f>
        <v/>
      </c>
      <c r="AO66" s="14">
        <f>IF($A66="","",IF(INDEX('潜水記録'!$AT$5:$AT$3004,$AS66)="","",INDEX('潜水記録'!$AT$5:$AT$3004,$AS66)))</f>
        <v/>
      </c>
      <c r="AP66" s="14">
        <f>IF($A66="","",IF(INDEX('潜水記録'!$AU$5:$AU$3004,$AS66)="","",INDEX('潜水記録'!$AU$5:$AU$3004,$AS66)))</f>
        <v/>
      </c>
      <c r="AQ66" s="14">
        <f>IF($A66="","",IF(INDEX('潜水記録'!$AV$5:$AV$3004,$AS66)="","",INDEX('潜水記録'!$AV$5:$AV$3004,$AS66)))</f>
        <v/>
      </c>
      <c r="AR66" s="14">
        <f>IF($A66="","",IF(INDEX('潜水記録'!$AW$5:$AW$3004,$AS66)="","",INDEX('潜水記録'!$AW$5:$AW$3004,$AS66)))</f>
        <v/>
      </c>
      <c r="AS66" s="20">
        <f>IF($A66="","",MATCH($A66,'潜水記録'!$AI$5:$AI$3004,0))</f>
        <v/>
      </c>
    </row>
    <row r="67">
      <c r="A67" s="14">
        <f>IF(57&lt;=$C$8,57,"")</f>
        <v/>
      </c>
      <c r="B67" s="16">
        <f>IF($A67="","",IF(INDEX('潜水記録'!$A$5:$A$3004,$AS67)="","",INDEX('潜水記録'!$A$5:$A$3004,$AS67)))</f>
        <v/>
      </c>
      <c r="C67" s="14">
        <f>IF($A67="","",IF(INDEX('潜水記録'!$B$5:$B$3004,$AS67)="","",INDEX('潜水記録'!$B$5:$B$3004,$AS67)))</f>
        <v/>
      </c>
      <c r="D67" s="14">
        <f>IF($A67="","",IF(INDEX('潜水記録'!$C$5:$C$3004,$AS67)="","",INDEX('潜水記録'!$C$5:$C$3004,$AS67)))</f>
        <v/>
      </c>
      <c r="E67" s="14">
        <f>IF($A67="","",IF(INDEX('潜水記録'!$D$5:$D$3004,$AS67)="","",INDEX('潜水記録'!$D$5:$D$3004,$AS67)))</f>
        <v/>
      </c>
      <c r="F67" s="14">
        <f>IF($A67="","",IF(INDEX('潜水記録'!$E$5:$E$3004,$AS67)="","",INDEX('潜水記録'!$E$5:$E$3004,$AS67)))</f>
        <v/>
      </c>
      <c r="G67" s="14">
        <f>IF($A67="","",IF(INDEX('潜水記録'!$F$5:$F$3004,$AS67)="","",INDEX('潜水記録'!$F$5:$F$3004,$AS67)))</f>
        <v/>
      </c>
      <c r="H67" s="14">
        <f>IF($A67="","",IF(INDEX('潜水記録'!$G$5:$G$3004,$AS67)="","",INDEX('潜水記録'!$G$5:$G$3004,$AS67)))</f>
        <v/>
      </c>
      <c r="I67" s="14">
        <f>IF($A67="","",IF(INDEX('潜水記録'!$H$5:$H$3004,$AS67)="","",INDEX('潜水記録'!$H$5:$H$3004,$AS67)))</f>
        <v/>
      </c>
      <c r="J67" s="14">
        <f>IF($A67="","",IF(INDEX('潜水記録'!$I$5:$I$3004,$AS67)="","",INDEX('潜水記録'!$I$5:$I$3004,$AS67)))</f>
        <v/>
      </c>
      <c r="K67" s="14">
        <f>IF($A67="","",IF(INDEX('潜水記録'!$J$5:$J$3004,$AS67)="","",INDEX('潜水記録'!$J$5:$J$3004,$AS67)))</f>
        <v/>
      </c>
      <c r="L67" s="14">
        <f>IF($A67="","",IF(INDEX('潜水記録'!$K$5:$K$3004,$AS67)="","",INDEX('潜水記録'!$K$5:$K$3004,$AS67)))</f>
        <v/>
      </c>
      <c r="M67" s="14">
        <f>IF($A67="","",IF(INDEX('潜水記録'!$L$5:$L$3004,$AS67)="","",INDEX('潜水記録'!$L$5:$L$3004,$AS67)))</f>
        <v/>
      </c>
      <c r="N67" s="14">
        <f>IF($A67="","",IF(INDEX('潜水記録'!$M$5:$M$3004,$AS67)="","",INDEX('潜水記録'!$M$5:$M$3004,$AS67)))</f>
        <v/>
      </c>
      <c r="O67" s="14">
        <f>IF($A67="","",IF(INDEX('潜水記録'!$N$5:$N$3004,$AS67)="","",INDEX('潜水記録'!$N$5:$N$3004,$AS67)))</f>
        <v/>
      </c>
      <c r="P67" s="14">
        <f>IF($A67="","",IF(INDEX('潜水記録'!$O$5:$O$3004,$AS67)="","",INDEX('潜水記録'!$O$5:$O$3004,$AS67)))</f>
        <v/>
      </c>
      <c r="Q67" s="14">
        <f>IF($A67="","",IF(INDEX('潜水記録'!$P$5:$P$3004,$AS67)="","",INDEX('潜水記録'!$P$5:$P$3004,$AS67)))</f>
        <v/>
      </c>
      <c r="R67" s="14">
        <f>IF($A67="","",IF(INDEX('潜水記録'!$Q$5:$Q$3004,$AS67)="","",INDEX('潜水記録'!$Q$5:$Q$3004,$AS67)))</f>
        <v/>
      </c>
      <c r="S67" s="14">
        <f>IF($A67="","",IF(INDEX('潜水記録'!$R$5:$R$3004,$AS67)="","",INDEX('潜水記録'!$R$5:$R$3004,$AS67)))</f>
        <v/>
      </c>
      <c r="T67" s="14">
        <f>IF($A67="","",IF(INDEX('潜水記録'!$S$5:$S$3004,$AS67)="","",INDEX('潜水記録'!$S$5:$S$3004,$AS67)))</f>
        <v/>
      </c>
      <c r="U67" s="14">
        <f>IF($A67="","",IF(INDEX('潜水記録'!$T$5:$T$3004,$AS67)="","",INDEX('潜水記録'!$T$5:$T$3004,$AS67)))</f>
        <v/>
      </c>
      <c r="V67" s="46">
        <f>IF($A67="","",IF(INDEX('潜水記録'!$U$5:$U$3004,$AS67)="","",INDEX('潜水記録'!$U$5:$U$3004,$AS67)))</f>
        <v/>
      </c>
      <c r="W67" s="46">
        <f>IF($A67="","",IF(INDEX('潜水記録'!$V$5:$V$3004,$AS67)="","",INDEX('潜水記録'!$V$5:$V$3004,$AS67)))</f>
        <v/>
      </c>
      <c r="X67" s="14">
        <f>IF($A67="","",IF(INDEX('潜水記録'!$W$5:$W$3004,$AS67)="","",INDEX('潜水記録'!$W$5:$W$3004,$AS67)))</f>
        <v/>
      </c>
      <c r="Y67" s="14">
        <f>IF($A67="","",IF(INDEX('潜水記録'!$X$5:$X$3004,$AS67)="","",INDEX('潜水記録'!$X$5:$X$3004,$AS67)))</f>
        <v/>
      </c>
      <c r="Z67" s="14">
        <f>IF($A67="","",IF(INDEX('潜水記録'!$Y$5:$Y$3004,$AS67)="","",INDEX('潜水記録'!$Y$5:$Y$3004,$AS67)))</f>
        <v/>
      </c>
      <c r="AA67" s="14">
        <f>IF($A67="","",IF(INDEX('潜水記録'!$Z$5:$Z$3004,$AS67)="","",INDEX('潜水記録'!$Z$5:$Z$3004,$AS67)))</f>
        <v/>
      </c>
      <c r="AB67" s="14">
        <f>IF($A67="","",IF(INDEX('潜水記録'!$AA$5:$AA$3004,$AS67)="","",INDEX('潜水記録'!$AA$5:$AA$3004,$AS67)))</f>
        <v/>
      </c>
      <c r="AC67" s="14">
        <f>IF($A67="","",IF(INDEX('潜水記録'!$AB$5:$AB$3004,$AS67)="","",INDEX('潜水記録'!$AB$5:$AB$3004,$AS67)))</f>
        <v/>
      </c>
      <c r="AD67" s="14">
        <f>IF($A67="","",IF(INDEX('潜水記録'!$AC$5:$AC$3004,$AS67)="","",INDEX('潜水記録'!$AC$5:$AC$3004,$AS67)))</f>
        <v/>
      </c>
      <c r="AE67" s="14">
        <f>IF($A67="","",IF(INDEX('潜水記録'!$AD$5:$AD$3004,$AS67)="","",INDEX('潜水記録'!$AD$5:$AD$3004,$AS67)))</f>
        <v/>
      </c>
      <c r="AF67" s="14">
        <f>IF($A67="","",IF(INDEX('潜水記録'!$AE$5:$AE$3004,$AS67)="","",INDEX('潜水記録'!$AE$5:$AE$3004,$AS67)))</f>
        <v/>
      </c>
      <c r="AG67" s="14">
        <f>IF($A67="","",IF(INDEX('潜水記録'!$AL$5:$AL$3004,$AS67)="","",INDEX('潜水記録'!$AL$5:$AL$3004,$AS67)))</f>
        <v/>
      </c>
      <c r="AH67" s="14">
        <f>IF($A67="","",IF(INDEX('潜水記録'!$AM$5:$AM$3004,$AS67)="","",INDEX('潜水記録'!$AM$5:$AM$3004,$AS67)))</f>
        <v/>
      </c>
      <c r="AI67" s="46">
        <f>IF($A67="","",IF(INDEX('潜水記録'!$AN$5:$AN$3004,$AS67)="","",INDEX('潜水記録'!$AN$5:$AN$3004,$AS67)))</f>
        <v/>
      </c>
      <c r="AJ67" s="14">
        <f>IF($A67="","",IF(INDEX('潜水記録'!$AO$5:$AO$3004,$AS67)="","",INDEX('潜水記録'!$AO$5:$AO$3004,$AS67)))</f>
        <v/>
      </c>
      <c r="AK67" s="14">
        <f>IF($A67="","",IF(INDEX('潜水記録'!$AP$5:$AP$3004,$AS67)="","",INDEX('潜水記録'!$AP$5:$AP$3004,$AS67)))</f>
        <v/>
      </c>
      <c r="AL67" s="14">
        <f>IF($A67="","",IF(INDEX('潜水記録'!$AQ$5:$AQ$3004,$AS67)="","",INDEX('潜水記録'!$AQ$5:$AQ$3004,$AS67)))</f>
        <v/>
      </c>
      <c r="AM67" s="14">
        <f>IF($A67="","",IF(INDEX('潜水記録'!$AR$5:$AR$3004,$AS67)="","",INDEX('潜水記録'!$AR$5:$AR$3004,$AS67)))</f>
        <v/>
      </c>
      <c r="AN67" s="14">
        <f>IF($A67="","",IF(INDEX('潜水記録'!$AS$5:$AS$3004,$AS67)="","",INDEX('潜水記録'!$AS$5:$AS$3004,$AS67)))</f>
        <v/>
      </c>
      <c r="AO67" s="14">
        <f>IF($A67="","",IF(INDEX('潜水記録'!$AT$5:$AT$3004,$AS67)="","",INDEX('潜水記録'!$AT$5:$AT$3004,$AS67)))</f>
        <v/>
      </c>
      <c r="AP67" s="14">
        <f>IF($A67="","",IF(INDEX('潜水記録'!$AU$5:$AU$3004,$AS67)="","",INDEX('潜水記録'!$AU$5:$AU$3004,$AS67)))</f>
        <v/>
      </c>
      <c r="AQ67" s="14">
        <f>IF($A67="","",IF(INDEX('潜水記録'!$AV$5:$AV$3004,$AS67)="","",INDEX('潜水記録'!$AV$5:$AV$3004,$AS67)))</f>
        <v/>
      </c>
      <c r="AR67" s="14">
        <f>IF($A67="","",IF(INDEX('潜水記録'!$AW$5:$AW$3004,$AS67)="","",INDEX('潜水記録'!$AW$5:$AW$3004,$AS67)))</f>
        <v/>
      </c>
      <c r="AS67" s="20">
        <f>IF($A67="","",MATCH($A67,'潜水記録'!$AI$5:$AI$3004,0))</f>
        <v/>
      </c>
    </row>
    <row r="68">
      <c r="A68" s="14">
        <f>IF(58&lt;=$C$8,58,"")</f>
        <v/>
      </c>
      <c r="B68" s="16">
        <f>IF($A68="","",IF(INDEX('潜水記録'!$A$5:$A$3004,$AS68)="","",INDEX('潜水記録'!$A$5:$A$3004,$AS68)))</f>
        <v/>
      </c>
      <c r="C68" s="14">
        <f>IF($A68="","",IF(INDEX('潜水記録'!$B$5:$B$3004,$AS68)="","",INDEX('潜水記録'!$B$5:$B$3004,$AS68)))</f>
        <v/>
      </c>
      <c r="D68" s="14">
        <f>IF($A68="","",IF(INDEX('潜水記録'!$C$5:$C$3004,$AS68)="","",INDEX('潜水記録'!$C$5:$C$3004,$AS68)))</f>
        <v/>
      </c>
      <c r="E68" s="14">
        <f>IF($A68="","",IF(INDEX('潜水記録'!$D$5:$D$3004,$AS68)="","",INDEX('潜水記録'!$D$5:$D$3004,$AS68)))</f>
        <v/>
      </c>
      <c r="F68" s="14">
        <f>IF($A68="","",IF(INDEX('潜水記録'!$E$5:$E$3004,$AS68)="","",INDEX('潜水記録'!$E$5:$E$3004,$AS68)))</f>
        <v/>
      </c>
      <c r="G68" s="14">
        <f>IF($A68="","",IF(INDEX('潜水記録'!$F$5:$F$3004,$AS68)="","",INDEX('潜水記録'!$F$5:$F$3004,$AS68)))</f>
        <v/>
      </c>
      <c r="H68" s="14">
        <f>IF($A68="","",IF(INDEX('潜水記録'!$G$5:$G$3004,$AS68)="","",INDEX('潜水記録'!$G$5:$G$3004,$AS68)))</f>
        <v/>
      </c>
      <c r="I68" s="14">
        <f>IF($A68="","",IF(INDEX('潜水記録'!$H$5:$H$3004,$AS68)="","",INDEX('潜水記録'!$H$5:$H$3004,$AS68)))</f>
        <v/>
      </c>
      <c r="J68" s="14">
        <f>IF($A68="","",IF(INDEX('潜水記録'!$I$5:$I$3004,$AS68)="","",INDEX('潜水記録'!$I$5:$I$3004,$AS68)))</f>
        <v/>
      </c>
      <c r="K68" s="14">
        <f>IF($A68="","",IF(INDEX('潜水記録'!$J$5:$J$3004,$AS68)="","",INDEX('潜水記録'!$J$5:$J$3004,$AS68)))</f>
        <v/>
      </c>
      <c r="L68" s="14">
        <f>IF($A68="","",IF(INDEX('潜水記録'!$K$5:$K$3004,$AS68)="","",INDEX('潜水記録'!$K$5:$K$3004,$AS68)))</f>
        <v/>
      </c>
      <c r="M68" s="14">
        <f>IF($A68="","",IF(INDEX('潜水記録'!$L$5:$L$3004,$AS68)="","",INDEX('潜水記録'!$L$5:$L$3004,$AS68)))</f>
        <v/>
      </c>
      <c r="N68" s="14">
        <f>IF($A68="","",IF(INDEX('潜水記録'!$M$5:$M$3004,$AS68)="","",INDEX('潜水記録'!$M$5:$M$3004,$AS68)))</f>
        <v/>
      </c>
      <c r="O68" s="14">
        <f>IF($A68="","",IF(INDEX('潜水記録'!$N$5:$N$3004,$AS68)="","",INDEX('潜水記録'!$N$5:$N$3004,$AS68)))</f>
        <v/>
      </c>
      <c r="P68" s="14">
        <f>IF($A68="","",IF(INDEX('潜水記録'!$O$5:$O$3004,$AS68)="","",INDEX('潜水記録'!$O$5:$O$3004,$AS68)))</f>
        <v/>
      </c>
      <c r="Q68" s="14">
        <f>IF($A68="","",IF(INDEX('潜水記録'!$P$5:$P$3004,$AS68)="","",INDEX('潜水記録'!$P$5:$P$3004,$AS68)))</f>
        <v/>
      </c>
      <c r="R68" s="14">
        <f>IF($A68="","",IF(INDEX('潜水記録'!$Q$5:$Q$3004,$AS68)="","",INDEX('潜水記録'!$Q$5:$Q$3004,$AS68)))</f>
        <v/>
      </c>
      <c r="S68" s="14">
        <f>IF($A68="","",IF(INDEX('潜水記録'!$R$5:$R$3004,$AS68)="","",INDEX('潜水記録'!$R$5:$R$3004,$AS68)))</f>
        <v/>
      </c>
      <c r="T68" s="14">
        <f>IF($A68="","",IF(INDEX('潜水記録'!$S$5:$S$3004,$AS68)="","",INDEX('潜水記録'!$S$5:$S$3004,$AS68)))</f>
        <v/>
      </c>
      <c r="U68" s="14">
        <f>IF($A68="","",IF(INDEX('潜水記録'!$T$5:$T$3004,$AS68)="","",INDEX('潜水記録'!$T$5:$T$3004,$AS68)))</f>
        <v/>
      </c>
      <c r="V68" s="46">
        <f>IF($A68="","",IF(INDEX('潜水記録'!$U$5:$U$3004,$AS68)="","",INDEX('潜水記録'!$U$5:$U$3004,$AS68)))</f>
        <v/>
      </c>
      <c r="W68" s="46">
        <f>IF($A68="","",IF(INDEX('潜水記録'!$V$5:$V$3004,$AS68)="","",INDEX('潜水記録'!$V$5:$V$3004,$AS68)))</f>
        <v/>
      </c>
      <c r="X68" s="14">
        <f>IF($A68="","",IF(INDEX('潜水記録'!$W$5:$W$3004,$AS68)="","",INDEX('潜水記録'!$W$5:$W$3004,$AS68)))</f>
        <v/>
      </c>
      <c r="Y68" s="14">
        <f>IF($A68="","",IF(INDEX('潜水記録'!$X$5:$X$3004,$AS68)="","",INDEX('潜水記録'!$X$5:$X$3004,$AS68)))</f>
        <v/>
      </c>
      <c r="Z68" s="14">
        <f>IF($A68="","",IF(INDEX('潜水記録'!$Y$5:$Y$3004,$AS68)="","",INDEX('潜水記録'!$Y$5:$Y$3004,$AS68)))</f>
        <v/>
      </c>
      <c r="AA68" s="14">
        <f>IF($A68="","",IF(INDEX('潜水記録'!$Z$5:$Z$3004,$AS68)="","",INDEX('潜水記録'!$Z$5:$Z$3004,$AS68)))</f>
        <v/>
      </c>
      <c r="AB68" s="14">
        <f>IF($A68="","",IF(INDEX('潜水記録'!$AA$5:$AA$3004,$AS68)="","",INDEX('潜水記録'!$AA$5:$AA$3004,$AS68)))</f>
        <v/>
      </c>
      <c r="AC68" s="14">
        <f>IF($A68="","",IF(INDEX('潜水記録'!$AB$5:$AB$3004,$AS68)="","",INDEX('潜水記録'!$AB$5:$AB$3004,$AS68)))</f>
        <v/>
      </c>
      <c r="AD68" s="14">
        <f>IF($A68="","",IF(INDEX('潜水記録'!$AC$5:$AC$3004,$AS68)="","",INDEX('潜水記録'!$AC$5:$AC$3004,$AS68)))</f>
        <v/>
      </c>
      <c r="AE68" s="14">
        <f>IF($A68="","",IF(INDEX('潜水記録'!$AD$5:$AD$3004,$AS68)="","",INDEX('潜水記録'!$AD$5:$AD$3004,$AS68)))</f>
        <v/>
      </c>
      <c r="AF68" s="14">
        <f>IF($A68="","",IF(INDEX('潜水記録'!$AE$5:$AE$3004,$AS68)="","",INDEX('潜水記録'!$AE$5:$AE$3004,$AS68)))</f>
        <v/>
      </c>
      <c r="AG68" s="14">
        <f>IF($A68="","",IF(INDEX('潜水記録'!$AL$5:$AL$3004,$AS68)="","",INDEX('潜水記録'!$AL$5:$AL$3004,$AS68)))</f>
        <v/>
      </c>
      <c r="AH68" s="14">
        <f>IF($A68="","",IF(INDEX('潜水記録'!$AM$5:$AM$3004,$AS68)="","",INDEX('潜水記録'!$AM$5:$AM$3004,$AS68)))</f>
        <v/>
      </c>
      <c r="AI68" s="46">
        <f>IF($A68="","",IF(INDEX('潜水記録'!$AN$5:$AN$3004,$AS68)="","",INDEX('潜水記録'!$AN$5:$AN$3004,$AS68)))</f>
        <v/>
      </c>
      <c r="AJ68" s="14">
        <f>IF($A68="","",IF(INDEX('潜水記録'!$AO$5:$AO$3004,$AS68)="","",INDEX('潜水記録'!$AO$5:$AO$3004,$AS68)))</f>
        <v/>
      </c>
      <c r="AK68" s="14">
        <f>IF($A68="","",IF(INDEX('潜水記録'!$AP$5:$AP$3004,$AS68)="","",INDEX('潜水記録'!$AP$5:$AP$3004,$AS68)))</f>
        <v/>
      </c>
      <c r="AL68" s="14">
        <f>IF($A68="","",IF(INDEX('潜水記録'!$AQ$5:$AQ$3004,$AS68)="","",INDEX('潜水記録'!$AQ$5:$AQ$3004,$AS68)))</f>
        <v/>
      </c>
      <c r="AM68" s="14">
        <f>IF($A68="","",IF(INDEX('潜水記録'!$AR$5:$AR$3004,$AS68)="","",INDEX('潜水記録'!$AR$5:$AR$3004,$AS68)))</f>
        <v/>
      </c>
      <c r="AN68" s="14">
        <f>IF($A68="","",IF(INDEX('潜水記録'!$AS$5:$AS$3004,$AS68)="","",INDEX('潜水記録'!$AS$5:$AS$3004,$AS68)))</f>
        <v/>
      </c>
      <c r="AO68" s="14">
        <f>IF($A68="","",IF(INDEX('潜水記録'!$AT$5:$AT$3004,$AS68)="","",INDEX('潜水記録'!$AT$5:$AT$3004,$AS68)))</f>
        <v/>
      </c>
      <c r="AP68" s="14">
        <f>IF($A68="","",IF(INDEX('潜水記録'!$AU$5:$AU$3004,$AS68)="","",INDEX('潜水記録'!$AU$5:$AU$3004,$AS68)))</f>
        <v/>
      </c>
      <c r="AQ68" s="14">
        <f>IF($A68="","",IF(INDEX('潜水記録'!$AV$5:$AV$3004,$AS68)="","",INDEX('潜水記録'!$AV$5:$AV$3004,$AS68)))</f>
        <v/>
      </c>
      <c r="AR68" s="14">
        <f>IF($A68="","",IF(INDEX('潜水記録'!$AW$5:$AW$3004,$AS68)="","",INDEX('潜水記録'!$AW$5:$AW$3004,$AS68)))</f>
        <v/>
      </c>
      <c r="AS68" s="20">
        <f>IF($A68="","",MATCH($A68,'潜水記録'!$AI$5:$AI$3004,0))</f>
        <v/>
      </c>
    </row>
    <row r="69">
      <c r="A69" s="14">
        <f>IF(59&lt;=$C$8,59,"")</f>
        <v/>
      </c>
      <c r="B69" s="16">
        <f>IF($A69="","",IF(INDEX('潜水記録'!$A$5:$A$3004,$AS69)="","",INDEX('潜水記録'!$A$5:$A$3004,$AS69)))</f>
        <v/>
      </c>
      <c r="C69" s="14">
        <f>IF($A69="","",IF(INDEX('潜水記録'!$B$5:$B$3004,$AS69)="","",INDEX('潜水記録'!$B$5:$B$3004,$AS69)))</f>
        <v/>
      </c>
      <c r="D69" s="14">
        <f>IF($A69="","",IF(INDEX('潜水記録'!$C$5:$C$3004,$AS69)="","",INDEX('潜水記録'!$C$5:$C$3004,$AS69)))</f>
        <v/>
      </c>
      <c r="E69" s="14">
        <f>IF($A69="","",IF(INDEX('潜水記録'!$D$5:$D$3004,$AS69)="","",INDEX('潜水記録'!$D$5:$D$3004,$AS69)))</f>
        <v/>
      </c>
      <c r="F69" s="14">
        <f>IF($A69="","",IF(INDEX('潜水記録'!$E$5:$E$3004,$AS69)="","",INDEX('潜水記録'!$E$5:$E$3004,$AS69)))</f>
        <v/>
      </c>
      <c r="G69" s="14">
        <f>IF($A69="","",IF(INDEX('潜水記録'!$F$5:$F$3004,$AS69)="","",INDEX('潜水記録'!$F$5:$F$3004,$AS69)))</f>
        <v/>
      </c>
      <c r="H69" s="14">
        <f>IF($A69="","",IF(INDEX('潜水記録'!$G$5:$G$3004,$AS69)="","",INDEX('潜水記録'!$G$5:$G$3004,$AS69)))</f>
        <v/>
      </c>
      <c r="I69" s="14">
        <f>IF($A69="","",IF(INDEX('潜水記録'!$H$5:$H$3004,$AS69)="","",INDEX('潜水記録'!$H$5:$H$3004,$AS69)))</f>
        <v/>
      </c>
      <c r="J69" s="14">
        <f>IF($A69="","",IF(INDEX('潜水記録'!$I$5:$I$3004,$AS69)="","",INDEX('潜水記録'!$I$5:$I$3004,$AS69)))</f>
        <v/>
      </c>
      <c r="K69" s="14">
        <f>IF($A69="","",IF(INDEX('潜水記録'!$J$5:$J$3004,$AS69)="","",INDEX('潜水記録'!$J$5:$J$3004,$AS69)))</f>
        <v/>
      </c>
      <c r="L69" s="14">
        <f>IF($A69="","",IF(INDEX('潜水記録'!$K$5:$K$3004,$AS69)="","",INDEX('潜水記録'!$K$5:$K$3004,$AS69)))</f>
        <v/>
      </c>
      <c r="M69" s="14">
        <f>IF($A69="","",IF(INDEX('潜水記録'!$L$5:$L$3004,$AS69)="","",INDEX('潜水記録'!$L$5:$L$3004,$AS69)))</f>
        <v/>
      </c>
      <c r="N69" s="14">
        <f>IF($A69="","",IF(INDEX('潜水記録'!$M$5:$M$3004,$AS69)="","",INDEX('潜水記録'!$M$5:$M$3004,$AS69)))</f>
        <v/>
      </c>
      <c r="O69" s="14">
        <f>IF($A69="","",IF(INDEX('潜水記録'!$N$5:$N$3004,$AS69)="","",INDEX('潜水記録'!$N$5:$N$3004,$AS69)))</f>
        <v/>
      </c>
      <c r="P69" s="14">
        <f>IF($A69="","",IF(INDEX('潜水記録'!$O$5:$O$3004,$AS69)="","",INDEX('潜水記録'!$O$5:$O$3004,$AS69)))</f>
        <v/>
      </c>
      <c r="Q69" s="14">
        <f>IF($A69="","",IF(INDEX('潜水記録'!$P$5:$P$3004,$AS69)="","",INDEX('潜水記録'!$P$5:$P$3004,$AS69)))</f>
        <v/>
      </c>
      <c r="R69" s="14">
        <f>IF($A69="","",IF(INDEX('潜水記録'!$Q$5:$Q$3004,$AS69)="","",INDEX('潜水記録'!$Q$5:$Q$3004,$AS69)))</f>
        <v/>
      </c>
      <c r="S69" s="14">
        <f>IF($A69="","",IF(INDEX('潜水記録'!$R$5:$R$3004,$AS69)="","",INDEX('潜水記録'!$R$5:$R$3004,$AS69)))</f>
        <v/>
      </c>
      <c r="T69" s="14">
        <f>IF($A69="","",IF(INDEX('潜水記録'!$S$5:$S$3004,$AS69)="","",INDEX('潜水記録'!$S$5:$S$3004,$AS69)))</f>
        <v/>
      </c>
      <c r="U69" s="14">
        <f>IF($A69="","",IF(INDEX('潜水記録'!$T$5:$T$3004,$AS69)="","",INDEX('潜水記録'!$T$5:$T$3004,$AS69)))</f>
        <v/>
      </c>
      <c r="V69" s="46">
        <f>IF($A69="","",IF(INDEX('潜水記録'!$U$5:$U$3004,$AS69)="","",INDEX('潜水記録'!$U$5:$U$3004,$AS69)))</f>
        <v/>
      </c>
      <c r="W69" s="46">
        <f>IF($A69="","",IF(INDEX('潜水記録'!$V$5:$V$3004,$AS69)="","",INDEX('潜水記録'!$V$5:$V$3004,$AS69)))</f>
        <v/>
      </c>
      <c r="X69" s="14">
        <f>IF($A69="","",IF(INDEX('潜水記録'!$W$5:$W$3004,$AS69)="","",INDEX('潜水記録'!$W$5:$W$3004,$AS69)))</f>
        <v/>
      </c>
      <c r="Y69" s="14">
        <f>IF($A69="","",IF(INDEX('潜水記録'!$X$5:$X$3004,$AS69)="","",INDEX('潜水記録'!$X$5:$X$3004,$AS69)))</f>
        <v/>
      </c>
      <c r="Z69" s="14">
        <f>IF($A69="","",IF(INDEX('潜水記録'!$Y$5:$Y$3004,$AS69)="","",INDEX('潜水記録'!$Y$5:$Y$3004,$AS69)))</f>
        <v/>
      </c>
      <c r="AA69" s="14">
        <f>IF($A69="","",IF(INDEX('潜水記録'!$Z$5:$Z$3004,$AS69)="","",INDEX('潜水記録'!$Z$5:$Z$3004,$AS69)))</f>
        <v/>
      </c>
      <c r="AB69" s="14">
        <f>IF($A69="","",IF(INDEX('潜水記録'!$AA$5:$AA$3004,$AS69)="","",INDEX('潜水記録'!$AA$5:$AA$3004,$AS69)))</f>
        <v/>
      </c>
      <c r="AC69" s="14">
        <f>IF($A69="","",IF(INDEX('潜水記録'!$AB$5:$AB$3004,$AS69)="","",INDEX('潜水記録'!$AB$5:$AB$3004,$AS69)))</f>
        <v/>
      </c>
      <c r="AD69" s="14">
        <f>IF($A69="","",IF(INDEX('潜水記録'!$AC$5:$AC$3004,$AS69)="","",INDEX('潜水記録'!$AC$5:$AC$3004,$AS69)))</f>
        <v/>
      </c>
      <c r="AE69" s="14">
        <f>IF($A69="","",IF(INDEX('潜水記録'!$AD$5:$AD$3004,$AS69)="","",INDEX('潜水記録'!$AD$5:$AD$3004,$AS69)))</f>
        <v/>
      </c>
      <c r="AF69" s="14">
        <f>IF($A69="","",IF(INDEX('潜水記録'!$AE$5:$AE$3004,$AS69)="","",INDEX('潜水記録'!$AE$5:$AE$3004,$AS69)))</f>
        <v/>
      </c>
      <c r="AG69" s="14">
        <f>IF($A69="","",IF(INDEX('潜水記録'!$AL$5:$AL$3004,$AS69)="","",INDEX('潜水記録'!$AL$5:$AL$3004,$AS69)))</f>
        <v/>
      </c>
      <c r="AH69" s="14">
        <f>IF($A69="","",IF(INDEX('潜水記録'!$AM$5:$AM$3004,$AS69)="","",INDEX('潜水記録'!$AM$5:$AM$3004,$AS69)))</f>
        <v/>
      </c>
      <c r="AI69" s="46">
        <f>IF($A69="","",IF(INDEX('潜水記録'!$AN$5:$AN$3004,$AS69)="","",INDEX('潜水記録'!$AN$5:$AN$3004,$AS69)))</f>
        <v/>
      </c>
      <c r="AJ69" s="14">
        <f>IF($A69="","",IF(INDEX('潜水記録'!$AO$5:$AO$3004,$AS69)="","",INDEX('潜水記録'!$AO$5:$AO$3004,$AS69)))</f>
        <v/>
      </c>
      <c r="AK69" s="14">
        <f>IF($A69="","",IF(INDEX('潜水記録'!$AP$5:$AP$3004,$AS69)="","",INDEX('潜水記録'!$AP$5:$AP$3004,$AS69)))</f>
        <v/>
      </c>
      <c r="AL69" s="14">
        <f>IF($A69="","",IF(INDEX('潜水記録'!$AQ$5:$AQ$3004,$AS69)="","",INDEX('潜水記録'!$AQ$5:$AQ$3004,$AS69)))</f>
        <v/>
      </c>
      <c r="AM69" s="14">
        <f>IF($A69="","",IF(INDEX('潜水記録'!$AR$5:$AR$3004,$AS69)="","",INDEX('潜水記録'!$AR$5:$AR$3004,$AS69)))</f>
        <v/>
      </c>
      <c r="AN69" s="14">
        <f>IF($A69="","",IF(INDEX('潜水記録'!$AS$5:$AS$3004,$AS69)="","",INDEX('潜水記録'!$AS$5:$AS$3004,$AS69)))</f>
        <v/>
      </c>
      <c r="AO69" s="14">
        <f>IF($A69="","",IF(INDEX('潜水記録'!$AT$5:$AT$3004,$AS69)="","",INDEX('潜水記録'!$AT$5:$AT$3004,$AS69)))</f>
        <v/>
      </c>
      <c r="AP69" s="14">
        <f>IF($A69="","",IF(INDEX('潜水記録'!$AU$5:$AU$3004,$AS69)="","",INDEX('潜水記録'!$AU$5:$AU$3004,$AS69)))</f>
        <v/>
      </c>
      <c r="AQ69" s="14">
        <f>IF($A69="","",IF(INDEX('潜水記録'!$AV$5:$AV$3004,$AS69)="","",INDEX('潜水記録'!$AV$5:$AV$3004,$AS69)))</f>
        <v/>
      </c>
      <c r="AR69" s="14">
        <f>IF($A69="","",IF(INDEX('潜水記録'!$AW$5:$AW$3004,$AS69)="","",INDEX('潜水記録'!$AW$5:$AW$3004,$AS69)))</f>
        <v/>
      </c>
      <c r="AS69" s="20">
        <f>IF($A69="","",MATCH($A69,'潜水記録'!$AI$5:$AI$3004,0))</f>
        <v/>
      </c>
    </row>
    <row r="70">
      <c r="A70" s="14">
        <f>IF(60&lt;=$C$8,60,"")</f>
        <v/>
      </c>
      <c r="B70" s="16">
        <f>IF($A70="","",IF(INDEX('潜水記録'!$A$5:$A$3004,$AS70)="","",INDEX('潜水記録'!$A$5:$A$3004,$AS70)))</f>
        <v/>
      </c>
      <c r="C70" s="14">
        <f>IF($A70="","",IF(INDEX('潜水記録'!$B$5:$B$3004,$AS70)="","",INDEX('潜水記録'!$B$5:$B$3004,$AS70)))</f>
        <v/>
      </c>
      <c r="D70" s="14">
        <f>IF($A70="","",IF(INDEX('潜水記録'!$C$5:$C$3004,$AS70)="","",INDEX('潜水記録'!$C$5:$C$3004,$AS70)))</f>
        <v/>
      </c>
      <c r="E70" s="14">
        <f>IF($A70="","",IF(INDEX('潜水記録'!$D$5:$D$3004,$AS70)="","",INDEX('潜水記録'!$D$5:$D$3004,$AS70)))</f>
        <v/>
      </c>
      <c r="F70" s="14">
        <f>IF($A70="","",IF(INDEX('潜水記録'!$E$5:$E$3004,$AS70)="","",INDEX('潜水記録'!$E$5:$E$3004,$AS70)))</f>
        <v/>
      </c>
      <c r="G70" s="14">
        <f>IF($A70="","",IF(INDEX('潜水記録'!$F$5:$F$3004,$AS70)="","",INDEX('潜水記録'!$F$5:$F$3004,$AS70)))</f>
        <v/>
      </c>
      <c r="H70" s="14">
        <f>IF($A70="","",IF(INDEX('潜水記録'!$G$5:$G$3004,$AS70)="","",INDEX('潜水記録'!$G$5:$G$3004,$AS70)))</f>
        <v/>
      </c>
      <c r="I70" s="14">
        <f>IF($A70="","",IF(INDEX('潜水記録'!$H$5:$H$3004,$AS70)="","",INDEX('潜水記録'!$H$5:$H$3004,$AS70)))</f>
        <v/>
      </c>
      <c r="J70" s="14">
        <f>IF($A70="","",IF(INDEX('潜水記録'!$I$5:$I$3004,$AS70)="","",INDEX('潜水記録'!$I$5:$I$3004,$AS70)))</f>
        <v/>
      </c>
      <c r="K70" s="14">
        <f>IF($A70="","",IF(INDEX('潜水記録'!$J$5:$J$3004,$AS70)="","",INDEX('潜水記録'!$J$5:$J$3004,$AS70)))</f>
        <v/>
      </c>
      <c r="L70" s="14">
        <f>IF($A70="","",IF(INDEX('潜水記録'!$K$5:$K$3004,$AS70)="","",INDEX('潜水記録'!$K$5:$K$3004,$AS70)))</f>
        <v/>
      </c>
      <c r="M70" s="14">
        <f>IF($A70="","",IF(INDEX('潜水記録'!$L$5:$L$3004,$AS70)="","",INDEX('潜水記録'!$L$5:$L$3004,$AS70)))</f>
        <v/>
      </c>
      <c r="N70" s="14">
        <f>IF($A70="","",IF(INDEX('潜水記録'!$M$5:$M$3004,$AS70)="","",INDEX('潜水記録'!$M$5:$M$3004,$AS70)))</f>
        <v/>
      </c>
      <c r="O70" s="14">
        <f>IF($A70="","",IF(INDEX('潜水記録'!$N$5:$N$3004,$AS70)="","",INDEX('潜水記録'!$N$5:$N$3004,$AS70)))</f>
        <v/>
      </c>
      <c r="P70" s="14">
        <f>IF($A70="","",IF(INDEX('潜水記録'!$O$5:$O$3004,$AS70)="","",INDEX('潜水記録'!$O$5:$O$3004,$AS70)))</f>
        <v/>
      </c>
      <c r="Q70" s="14">
        <f>IF($A70="","",IF(INDEX('潜水記録'!$P$5:$P$3004,$AS70)="","",INDEX('潜水記録'!$P$5:$P$3004,$AS70)))</f>
        <v/>
      </c>
      <c r="R70" s="14">
        <f>IF($A70="","",IF(INDEX('潜水記録'!$Q$5:$Q$3004,$AS70)="","",INDEX('潜水記録'!$Q$5:$Q$3004,$AS70)))</f>
        <v/>
      </c>
      <c r="S70" s="14">
        <f>IF($A70="","",IF(INDEX('潜水記録'!$R$5:$R$3004,$AS70)="","",INDEX('潜水記録'!$R$5:$R$3004,$AS70)))</f>
        <v/>
      </c>
      <c r="T70" s="14">
        <f>IF($A70="","",IF(INDEX('潜水記録'!$S$5:$S$3004,$AS70)="","",INDEX('潜水記録'!$S$5:$S$3004,$AS70)))</f>
        <v/>
      </c>
      <c r="U70" s="14">
        <f>IF($A70="","",IF(INDEX('潜水記録'!$T$5:$T$3004,$AS70)="","",INDEX('潜水記録'!$T$5:$T$3004,$AS70)))</f>
        <v/>
      </c>
      <c r="V70" s="46">
        <f>IF($A70="","",IF(INDEX('潜水記録'!$U$5:$U$3004,$AS70)="","",INDEX('潜水記録'!$U$5:$U$3004,$AS70)))</f>
        <v/>
      </c>
      <c r="W70" s="46">
        <f>IF($A70="","",IF(INDEX('潜水記録'!$V$5:$V$3004,$AS70)="","",INDEX('潜水記録'!$V$5:$V$3004,$AS70)))</f>
        <v/>
      </c>
      <c r="X70" s="14">
        <f>IF($A70="","",IF(INDEX('潜水記録'!$W$5:$W$3004,$AS70)="","",INDEX('潜水記録'!$W$5:$W$3004,$AS70)))</f>
        <v/>
      </c>
      <c r="Y70" s="14">
        <f>IF($A70="","",IF(INDEX('潜水記録'!$X$5:$X$3004,$AS70)="","",INDEX('潜水記録'!$X$5:$X$3004,$AS70)))</f>
        <v/>
      </c>
      <c r="Z70" s="14">
        <f>IF($A70="","",IF(INDEX('潜水記録'!$Y$5:$Y$3004,$AS70)="","",INDEX('潜水記録'!$Y$5:$Y$3004,$AS70)))</f>
        <v/>
      </c>
      <c r="AA70" s="14">
        <f>IF($A70="","",IF(INDEX('潜水記録'!$Z$5:$Z$3004,$AS70)="","",INDEX('潜水記録'!$Z$5:$Z$3004,$AS70)))</f>
        <v/>
      </c>
      <c r="AB70" s="14">
        <f>IF($A70="","",IF(INDEX('潜水記録'!$AA$5:$AA$3004,$AS70)="","",INDEX('潜水記録'!$AA$5:$AA$3004,$AS70)))</f>
        <v/>
      </c>
      <c r="AC70" s="14">
        <f>IF($A70="","",IF(INDEX('潜水記録'!$AB$5:$AB$3004,$AS70)="","",INDEX('潜水記録'!$AB$5:$AB$3004,$AS70)))</f>
        <v/>
      </c>
      <c r="AD70" s="14">
        <f>IF($A70="","",IF(INDEX('潜水記録'!$AC$5:$AC$3004,$AS70)="","",INDEX('潜水記録'!$AC$5:$AC$3004,$AS70)))</f>
        <v/>
      </c>
      <c r="AE70" s="14">
        <f>IF($A70="","",IF(INDEX('潜水記録'!$AD$5:$AD$3004,$AS70)="","",INDEX('潜水記録'!$AD$5:$AD$3004,$AS70)))</f>
        <v/>
      </c>
      <c r="AF70" s="14">
        <f>IF($A70="","",IF(INDEX('潜水記録'!$AE$5:$AE$3004,$AS70)="","",INDEX('潜水記録'!$AE$5:$AE$3004,$AS70)))</f>
        <v/>
      </c>
      <c r="AG70" s="14">
        <f>IF($A70="","",IF(INDEX('潜水記録'!$AL$5:$AL$3004,$AS70)="","",INDEX('潜水記録'!$AL$5:$AL$3004,$AS70)))</f>
        <v/>
      </c>
      <c r="AH70" s="14">
        <f>IF($A70="","",IF(INDEX('潜水記録'!$AM$5:$AM$3004,$AS70)="","",INDEX('潜水記録'!$AM$5:$AM$3004,$AS70)))</f>
        <v/>
      </c>
      <c r="AI70" s="46">
        <f>IF($A70="","",IF(INDEX('潜水記録'!$AN$5:$AN$3004,$AS70)="","",INDEX('潜水記録'!$AN$5:$AN$3004,$AS70)))</f>
        <v/>
      </c>
      <c r="AJ70" s="14">
        <f>IF($A70="","",IF(INDEX('潜水記録'!$AO$5:$AO$3004,$AS70)="","",INDEX('潜水記録'!$AO$5:$AO$3004,$AS70)))</f>
        <v/>
      </c>
      <c r="AK70" s="14">
        <f>IF($A70="","",IF(INDEX('潜水記録'!$AP$5:$AP$3004,$AS70)="","",INDEX('潜水記録'!$AP$5:$AP$3004,$AS70)))</f>
        <v/>
      </c>
      <c r="AL70" s="14">
        <f>IF($A70="","",IF(INDEX('潜水記録'!$AQ$5:$AQ$3004,$AS70)="","",INDEX('潜水記録'!$AQ$5:$AQ$3004,$AS70)))</f>
        <v/>
      </c>
      <c r="AM70" s="14">
        <f>IF($A70="","",IF(INDEX('潜水記録'!$AR$5:$AR$3004,$AS70)="","",INDEX('潜水記録'!$AR$5:$AR$3004,$AS70)))</f>
        <v/>
      </c>
      <c r="AN70" s="14">
        <f>IF($A70="","",IF(INDEX('潜水記録'!$AS$5:$AS$3004,$AS70)="","",INDEX('潜水記録'!$AS$5:$AS$3004,$AS70)))</f>
        <v/>
      </c>
      <c r="AO70" s="14">
        <f>IF($A70="","",IF(INDEX('潜水記録'!$AT$5:$AT$3004,$AS70)="","",INDEX('潜水記録'!$AT$5:$AT$3004,$AS70)))</f>
        <v/>
      </c>
      <c r="AP70" s="14">
        <f>IF($A70="","",IF(INDEX('潜水記録'!$AU$5:$AU$3004,$AS70)="","",INDEX('潜水記録'!$AU$5:$AU$3004,$AS70)))</f>
        <v/>
      </c>
      <c r="AQ70" s="14">
        <f>IF($A70="","",IF(INDEX('潜水記録'!$AV$5:$AV$3004,$AS70)="","",INDEX('潜水記録'!$AV$5:$AV$3004,$AS70)))</f>
        <v/>
      </c>
      <c r="AR70" s="14">
        <f>IF($A70="","",IF(INDEX('潜水記録'!$AW$5:$AW$3004,$AS70)="","",INDEX('潜水記録'!$AW$5:$AW$3004,$AS70)))</f>
        <v/>
      </c>
      <c r="AS70" s="20">
        <f>IF($A70="","",MATCH($A70,'潜水記録'!$AI$5:$AI$3004,0))</f>
        <v/>
      </c>
    </row>
    <row r="71">
      <c r="A71" s="14">
        <f>IF(61&lt;=$C$8,61,"")</f>
        <v/>
      </c>
      <c r="B71" s="16">
        <f>IF($A71="","",IF(INDEX('潜水記録'!$A$5:$A$3004,$AS71)="","",INDEX('潜水記録'!$A$5:$A$3004,$AS71)))</f>
        <v/>
      </c>
      <c r="C71" s="14">
        <f>IF($A71="","",IF(INDEX('潜水記録'!$B$5:$B$3004,$AS71)="","",INDEX('潜水記録'!$B$5:$B$3004,$AS71)))</f>
        <v/>
      </c>
      <c r="D71" s="14">
        <f>IF($A71="","",IF(INDEX('潜水記録'!$C$5:$C$3004,$AS71)="","",INDEX('潜水記録'!$C$5:$C$3004,$AS71)))</f>
        <v/>
      </c>
      <c r="E71" s="14">
        <f>IF($A71="","",IF(INDEX('潜水記録'!$D$5:$D$3004,$AS71)="","",INDEX('潜水記録'!$D$5:$D$3004,$AS71)))</f>
        <v/>
      </c>
      <c r="F71" s="14">
        <f>IF($A71="","",IF(INDEX('潜水記録'!$E$5:$E$3004,$AS71)="","",INDEX('潜水記録'!$E$5:$E$3004,$AS71)))</f>
        <v/>
      </c>
      <c r="G71" s="14">
        <f>IF($A71="","",IF(INDEX('潜水記録'!$F$5:$F$3004,$AS71)="","",INDEX('潜水記録'!$F$5:$F$3004,$AS71)))</f>
        <v/>
      </c>
      <c r="H71" s="14">
        <f>IF($A71="","",IF(INDEX('潜水記録'!$G$5:$G$3004,$AS71)="","",INDEX('潜水記録'!$G$5:$G$3004,$AS71)))</f>
        <v/>
      </c>
      <c r="I71" s="14">
        <f>IF($A71="","",IF(INDEX('潜水記録'!$H$5:$H$3004,$AS71)="","",INDEX('潜水記録'!$H$5:$H$3004,$AS71)))</f>
        <v/>
      </c>
      <c r="J71" s="14">
        <f>IF($A71="","",IF(INDEX('潜水記録'!$I$5:$I$3004,$AS71)="","",INDEX('潜水記録'!$I$5:$I$3004,$AS71)))</f>
        <v/>
      </c>
      <c r="K71" s="14">
        <f>IF($A71="","",IF(INDEX('潜水記録'!$J$5:$J$3004,$AS71)="","",INDEX('潜水記録'!$J$5:$J$3004,$AS71)))</f>
        <v/>
      </c>
      <c r="L71" s="14">
        <f>IF($A71="","",IF(INDEX('潜水記録'!$K$5:$K$3004,$AS71)="","",INDEX('潜水記録'!$K$5:$K$3004,$AS71)))</f>
        <v/>
      </c>
      <c r="M71" s="14">
        <f>IF($A71="","",IF(INDEX('潜水記録'!$L$5:$L$3004,$AS71)="","",INDEX('潜水記録'!$L$5:$L$3004,$AS71)))</f>
        <v/>
      </c>
      <c r="N71" s="14">
        <f>IF($A71="","",IF(INDEX('潜水記録'!$M$5:$M$3004,$AS71)="","",INDEX('潜水記録'!$M$5:$M$3004,$AS71)))</f>
        <v/>
      </c>
      <c r="O71" s="14">
        <f>IF($A71="","",IF(INDEX('潜水記録'!$N$5:$N$3004,$AS71)="","",INDEX('潜水記録'!$N$5:$N$3004,$AS71)))</f>
        <v/>
      </c>
      <c r="P71" s="14">
        <f>IF($A71="","",IF(INDEX('潜水記録'!$O$5:$O$3004,$AS71)="","",INDEX('潜水記録'!$O$5:$O$3004,$AS71)))</f>
        <v/>
      </c>
      <c r="Q71" s="14">
        <f>IF($A71="","",IF(INDEX('潜水記録'!$P$5:$P$3004,$AS71)="","",INDEX('潜水記録'!$P$5:$P$3004,$AS71)))</f>
        <v/>
      </c>
      <c r="R71" s="14">
        <f>IF($A71="","",IF(INDEX('潜水記録'!$Q$5:$Q$3004,$AS71)="","",INDEX('潜水記録'!$Q$5:$Q$3004,$AS71)))</f>
        <v/>
      </c>
      <c r="S71" s="14">
        <f>IF($A71="","",IF(INDEX('潜水記録'!$R$5:$R$3004,$AS71)="","",INDEX('潜水記録'!$R$5:$R$3004,$AS71)))</f>
        <v/>
      </c>
      <c r="T71" s="14">
        <f>IF($A71="","",IF(INDEX('潜水記録'!$S$5:$S$3004,$AS71)="","",INDEX('潜水記録'!$S$5:$S$3004,$AS71)))</f>
        <v/>
      </c>
      <c r="U71" s="14">
        <f>IF($A71="","",IF(INDEX('潜水記録'!$T$5:$T$3004,$AS71)="","",INDEX('潜水記録'!$T$5:$T$3004,$AS71)))</f>
        <v/>
      </c>
      <c r="V71" s="46">
        <f>IF($A71="","",IF(INDEX('潜水記録'!$U$5:$U$3004,$AS71)="","",INDEX('潜水記録'!$U$5:$U$3004,$AS71)))</f>
        <v/>
      </c>
      <c r="W71" s="46">
        <f>IF($A71="","",IF(INDEX('潜水記録'!$V$5:$V$3004,$AS71)="","",INDEX('潜水記録'!$V$5:$V$3004,$AS71)))</f>
        <v/>
      </c>
      <c r="X71" s="14">
        <f>IF($A71="","",IF(INDEX('潜水記録'!$W$5:$W$3004,$AS71)="","",INDEX('潜水記録'!$W$5:$W$3004,$AS71)))</f>
        <v/>
      </c>
      <c r="Y71" s="14">
        <f>IF($A71="","",IF(INDEX('潜水記録'!$X$5:$X$3004,$AS71)="","",INDEX('潜水記録'!$X$5:$X$3004,$AS71)))</f>
        <v/>
      </c>
      <c r="Z71" s="14">
        <f>IF($A71="","",IF(INDEX('潜水記録'!$Y$5:$Y$3004,$AS71)="","",INDEX('潜水記録'!$Y$5:$Y$3004,$AS71)))</f>
        <v/>
      </c>
      <c r="AA71" s="14">
        <f>IF($A71="","",IF(INDEX('潜水記録'!$Z$5:$Z$3004,$AS71)="","",INDEX('潜水記録'!$Z$5:$Z$3004,$AS71)))</f>
        <v/>
      </c>
      <c r="AB71" s="14">
        <f>IF($A71="","",IF(INDEX('潜水記録'!$AA$5:$AA$3004,$AS71)="","",INDEX('潜水記録'!$AA$5:$AA$3004,$AS71)))</f>
        <v/>
      </c>
      <c r="AC71" s="14">
        <f>IF($A71="","",IF(INDEX('潜水記録'!$AB$5:$AB$3004,$AS71)="","",INDEX('潜水記録'!$AB$5:$AB$3004,$AS71)))</f>
        <v/>
      </c>
      <c r="AD71" s="14">
        <f>IF($A71="","",IF(INDEX('潜水記録'!$AC$5:$AC$3004,$AS71)="","",INDEX('潜水記録'!$AC$5:$AC$3004,$AS71)))</f>
        <v/>
      </c>
      <c r="AE71" s="14">
        <f>IF($A71="","",IF(INDEX('潜水記録'!$AD$5:$AD$3004,$AS71)="","",INDEX('潜水記録'!$AD$5:$AD$3004,$AS71)))</f>
        <v/>
      </c>
      <c r="AF71" s="14">
        <f>IF($A71="","",IF(INDEX('潜水記録'!$AE$5:$AE$3004,$AS71)="","",INDEX('潜水記録'!$AE$5:$AE$3004,$AS71)))</f>
        <v/>
      </c>
      <c r="AG71" s="14">
        <f>IF($A71="","",IF(INDEX('潜水記録'!$AL$5:$AL$3004,$AS71)="","",INDEX('潜水記録'!$AL$5:$AL$3004,$AS71)))</f>
        <v/>
      </c>
      <c r="AH71" s="14">
        <f>IF($A71="","",IF(INDEX('潜水記録'!$AM$5:$AM$3004,$AS71)="","",INDEX('潜水記録'!$AM$5:$AM$3004,$AS71)))</f>
        <v/>
      </c>
      <c r="AI71" s="46">
        <f>IF($A71="","",IF(INDEX('潜水記録'!$AN$5:$AN$3004,$AS71)="","",INDEX('潜水記録'!$AN$5:$AN$3004,$AS71)))</f>
        <v/>
      </c>
      <c r="AJ71" s="14">
        <f>IF($A71="","",IF(INDEX('潜水記録'!$AO$5:$AO$3004,$AS71)="","",INDEX('潜水記録'!$AO$5:$AO$3004,$AS71)))</f>
        <v/>
      </c>
      <c r="AK71" s="14">
        <f>IF($A71="","",IF(INDEX('潜水記録'!$AP$5:$AP$3004,$AS71)="","",INDEX('潜水記録'!$AP$5:$AP$3004,$AS71)))</f>
        <v/>
      </c>
      <c r="AL71" s="14">
        <f>IF($A71="","",IF(INDEX('潜水記録'!$AQ$5:$AQ$3004,$AS71)="","",INDEX('潜水記録'!$AQ$5:$AQ$3004,$AS71)))</f>
        <v/>
      </c>
      <c r="AM71" s="14">
        <f>IF($A71="","",IF(INDEX('潜水記録'!$AR$5:$AR$3004,$AS71)="","",INDEX('潜水記録'!$AR$5:$AR$3004,$AS71)))</f>
        <v/>
      </c>
      <c r="AN71" s="14">
        <f>IF($A71="","",IF(INDEX('潜水記録'!$AS$5:$AS$3004,$AS71)="","",INDEX('潜水記録'!$AS$5:$AS$3004,$AS71)))</f>
        <v/>
      </c>
      <c r="AO71" s="14">
        <f>IF($A71="","",IF(INDEX('潜水記録'!$AT$5:$AT$3004,$AS71)="","",INDEX('潜水記録'!$AT$5:$AT$3004,$AS71)))</f>
        <v/>
      </c>
      <c r="AP71" s="14">
        <f>IF($A71="","",IF(INDEX('潜水記録'!$AU$5:$AU$3004,$AS71)="","",INDEX('潜水記録'!$AU$5:$AU$3004,$AS71)))</f>
        <v/>
      </c>
      <c r="AQ71" s="14">
        <f>IF($A71="","",IF(INDEX('潜水記録'!$AV$5:$AV$3004,$AS71)="","",INDEX('潜水記録'!$AV$5:$AV$3004,$AS71)))</f>
        <v/>
      </c>
      <c r="AR71" s="14">
        <f>IF($A71="","",IF(INDEX('潜水記録'!$AW$5:$AW$3004,$AS71)="","",INDEX('潜水記録'!$AW$5:$AW$3004,$AS71)))</f>
        <v/>
      </c>
      <c r="AS71" s="20">
        <f>IF($A71="","",MATCH($A71,'潜水記録'!$AI$5:$AI$3004,0))</f>
        <v/>
      </c>
    </row>
    <row r="72">
      <c r="A72" s="14">
        <f>IF(62&lt;=$C$8,62,"")</f>
        <v/>
      </c>
      <c r="B72" s="16">
        <f>IF($A72="","",IF(INDEX('潜水記録'!$A$5:$A$3004,$AS72)="","",INDEX('潜水記録'!$A$5:$A$3004,$AS72)))</f>
        <v/>
      </c>
      <c r="C72" s="14">
        <f>IF($A72="","",IF(INDEX('潜水記録'!$B$5:$B$3004,$AS72)="","",INDEX('潜水記録'!$B$5:$B$3004,$AS72)))</f>
        <v/>
      </c>
      <c r="D72" s="14">
        <f>IF($A72="","",IF(INDEX('潜水記録'!$C$5:$C$3004,$AS72)="","",INDEX('潜水記録'!$C$5:$C$3004,$AS72)))</f>
        <v/>
      </c>
      <c r="E72" s="14">
        <f>IF($A72="","",IF(INDEX('潜水記録'!$D$5:$D$3004,$AS72)="","",INDEX('潜水記録'!$D$5:$D$3004,$AS72)))</f>
        <v/>
      </c>
      <c r="F72" s="14">
        <f>IF($A72="","",IF(INDEX('潜水記録'!$E$5:$E$3004,$AS72)="","",INDEX('潜水記録'!$E$5:$E$3004,$AS72)))</f>
        <v/>
      </c>
      <c r="G72" s="14">
        <f>IF($A72="","",IF(INDEX('潜水記録'!$F$5:$F$3004,$AS72)="","",INDEX('潜水記録'!$F$5:$F$3004,$AS72)))</f>
        <v/>
      </c>
      <c r="H72" s="14">
        <f>IF($A72="","",IF(INDEX('潜水記録'!$G$5:$G$3004,$AS72)="","",INDEX('潜水記録'!$G$5:$G$3004,$AS72)))</f>
        <v/>
      </c>
      <c r="I72" s="14">
        <f>IF($A72="","",IF(INDEX('潜水記録'!$H$5:$H$3004,$AS72)="","",INDEX('潜水記録'!$H$5:$H$3004,$AS72)))</f>
        <v/>
      </c>
      <c r="J72" s="14">
        <f>IF($A72="","",IF(INDEX('潜水記録'!$I$5:$I$3004,$AS72)="","",INDEX('潜水記録'!$I$5:$I$3004,$AS72)))</f>
        <v/>
      </c>
      <c r="K72" s="14">
        <f>IF($A72="","",IF(INDEX('潜水記録'!$J$5:$J$3004,$AS72)="","",INDEX('潜水記録'!$J$5:$J$3004,$AS72)))</f>
        <v/>
      </c>
      <c r="L72" s="14">
        <f>IF($A72="","",IF(INDEX('潜水記録'!$K$5:$K$3004,$AS72)="","",INDEX('潜水記録'!$K$5:$K$3004,$AS72)))</f>
        <v/>
      </c>
      <c r="M72" s="14">
        <f>IF($A72="","",IF(INDEX('潜水記録'!$L$5:$L$3004,$AS72)="","",INDEX('潜水記録'!$L$5:$L$3004,$AS72)))</f>
        <v/>
      </c>
      <c r="N72" s="14">
        <f>IF($A72="","",IF(INDEX('潜水記録'!$M$5:$M$3004,$AS72)="","",INDEX('潜水記録'!$M$5:$M$3004,$AS72)))</f>
        <v/>
      </c>
      <c r="O72" s="14">
        <f>IF($A72="","",IF(INDEX('潜水記録'!$N$5:$N$3004,$AS72)="","",INDEX('潜水記録'!$N$5:$N$3004,$AS72)))</f>
        <v/>
      </c>
      <c r="P72" s="14">
        <f>IF($A72="","",IF(INDEX('潜水記録'!$O$5:$O$3004,$AS72)="","",INDEX('潜水記録'!$O$5:$O$3004,$AS72)))</f>
        <v/>
      </c>
      <c r="Q72" s="14">
        <f>IF($A72="","",IF(INDEX('潜水記録'!$P$5:$P$3004,$AS72)="","",INDEX('潜水記録'!$P$5:$P$3004,$AS72)))</f>
        <v/>
      </c>
      <c r="R72" s="14">
        <f>IF($A72="","",IF(INDEX('潜水記録'!$Q$5:$Q$3004,$AS72)="","",INDEX('潜水記録'!$Q$5:$Q$3004,$AS72)))</f>
        <v/>
      </c>
      <c r="S72" s="14">
        <f>IF($A72="","",IF(INDEX('潜水記録'!$R$5:$R$3004,$AS72)="","",INDEX('潜水記録'!$R$5:$R$3004,$AS72)))</f>
        <v/>
      </c>
      <c r="T72" s="14">
        <f>IF($A72="","",IF(INDEX('潜水記録'!$S$5:$S$3004,$AS72)="","",INDEX('潜水記録'!$S$5:$S$3004,$AS72)))</f>
        <v/>
      </c>
      <c r="U72" s="14">
        <f>IF($A72="","",IF(INDEX('潜水記録'!$T$5:$T$3004,$AS72)="","",INDEX('潜水記録'!$T$5:$T$3004,$AS72)))</f>
        <v/>
      </c>
      <c r="V72" s="46">
        <f>IF($A72="","",IF(INDEX('潜水記録'!$U$5:$U$3004,$AS72)="","",INDEX('潜水記録'!$U$5:$U$3004,$AS72)))</f>
        <v/>
      </c>
      <c r="W72" s="46">
        <f>IF($A72="","",IF(INDEX('潜水記録'!$V$5:$V$3004,$AS72)="","",INDEX('潜水記録'!$V$5:$V$3004,$AS72)))</f>
        <v/>
      </c>
      <c r="X72" s="14">
        <f>IF($A72="","",IF(INDEX('潜水記録'!$W$5:$W$3004,$AS72)="","",INDEX('潜水記録'!$W$5:$W$3004,$AS72)))</f>
        <v/>
      </c>
      <c r="Y72" s="14">
        <f>IF($A72="","",IF(INDEX('潜水記録'!$X$5:$X$3004,$AS72)="","",INDEX('潜水記録'!$X$5:$X$3004,$AS72)))</f>
        <v/>
      </c>
      <c r="Z72" s="14">
        <f>IF($A72="","",IF(INDEX('潜水記録'!$Y$5:$Y$3004,$AS72)="","",INDEX('潜水記録'!$Y$5:$Y$3004,$AS72)))</f>
        <v/>
      </c>
      <c r="AA72" s="14">
        <f>IF($A72="","",IF(INDEX('潜水記録'!$Z$5:$Z$3004,$AS72)="","",INDEX('潜水記録'!$Z$5:$Z$3004,$AS72)))</f>
        <v/>
      </c>
      <c r="AB72" s="14">
        <f>IF($A72="","",IF(INDEX('潜水記録'!$AA$5:$AA$3004,$AS72)="","",INDEX('潜水記録'!$AA$5:$AA$3004,$AS72)))</f>
        <v/>
      </c>
      <c r="AC72" s="14">
        <f>IF($A72="","",IF(INDEX('潜水記録'!$AB$5:$AB$3004,$AS72)="","",INDEX('潜水記録'!$AB$5:$AB$3004,$AS72)))</f>
        <v/>
      </c>
      <c r="AD72" s="14">
        <f>IF($A72="","",IF(INDEX('潜水記録'!$AC$5:$AC$3004,$AS72)="","",INDEX('潜水記録'!$AC$5:$AC$3004,$AS72)))</f>
        <v/>
      </c>
      <c r="AE72" s="14">
        <f>IF($A72="","",IF(INDEX('潜水記録'!$AD$5:$AD$3004,$AS72)="","",INDEX('潜水記録'!$AD$5:$AD$3004,$AS72)))</f>
        <v/>
      </c>
      <c r="AF72" s="14">
        <f>IF($A72="","",IF(INDEX('潜水記録'!$AE$5:$AE$3004,$AS72)="","",INDEX('潜水記録'!$AE$5:$AE$3004,$AS72)))</f>
        <v/>
      </c>
      <c r="AG72" s="14">
        <f>IF($A72="","",IF(INDEX('潜水記録'!$AL$5:$AL$3004,$AS72)="","",INDEX('潜水記録'!$AL$5:$AL$3004,$AS72)))</f>
        <v/>
      </c>
      <c r="AH72" s="14">
        <f>IF($A72="","",IF(INDEX('潜水記録'!$AM$5:$AM$3004,$AS72)="","",INDEX('潜水記録'!$AM$5:$AM$3004,$AS72)))</f>
        <v/>
      </c>
      <c r="AI72" s="46">
        <f>IF($A72="","",IF(INDEX('潜水記録'!$AN$5:$AN$3004,$AS72)="","",INDEX('潜水記録'!$AN$5:$AN$3004,$AS72)))</f>
        <v/>
      </c>
      <c r="AJ72" s="14">
        <f>IF($A72="","",IF(INDEX('潜水記録'!$AO$5:$AO$3004,$AS72)="","",INDEX('潜水記録'!$AO$5:$AO$3004,$AS72)))</f>
        <v/>
      </c>
      <c r="AK72" s="14">
        <f>IF($A72="","",IF(INDEX('潜水記録'!$AP$5:$AP$3004,$AS72)="","",INDEX('潜水記録'!$AP$5:$AP$3004,$AS72)))</f>
        <v/>
      </c>
      <c r="AL72" s="14">
        <f>IF($A72="","",IF(INDEX('潜水記録'!$AQ$5:$AQ$3004,$AS72)="","",INDEX('潜水記録'!$AQ$5:$AQ$3004,$AS72)))</f>
        <v/>
      </c>
      <c r="AM72" s="14">
        <f>IF($A72="","",IF(INDEX('潜水記録'!$AR$5:$AR$3004,$AS72)="","",INDEX('潜水記録'!$AR$5:$AR$3004,$AS72)))</f>
        <v/>
      </c>
      <c r="AN72" s="14">
        <f>IF($A72="","",IF(INDEX('潜水記録'!$AS$5:$AS$3004,$AS72)="","",INDEX('潜水記録'!$AS$5:$AS$3004,$AS72)))</f>
        <v/>
      </c>
      <c r="AO72" s="14">
        <f>IF($A72="","",IF(INDEX('潜水記録'!$AT$5:$AT$3004,$AS72)="","",INDEX('潜水記録'!$AT$5:$AT$3004,$AS72)))</f>
        <v/>
      </c>
      <c r="AP72" s="14">
        <f>IF($A72="","",IF(INDEX('潜水記録'!$AU$5:$AU$3004,$AS72)="","",INDEX('潜水記録'!$AU$5:$AU$3004,$AS72)))</f>
        <v/>
      </c>
      <c r="AQ72" s="14">
        <f>IF($A72="","",IF(INDEX('潜水記録'!$AV$5:$AV$3004,$AS72)="","",INDEX('潜水記録'!$AV$5:$AV$3004,$AS72)))</f>
        <v/>
      </c>
      <c r="AR72" s="14">
        <f>IF($A72="","",IF(INDEX('潜水記録'!$AW$5:$AW$3004,$AS72)="","",INDEX('潜水記録'!$AW$5:$AW$3004,$AS72)))</f>
        <v/>
      </c>
      <c r="AS72" s="20">
        <f>IF($A72="","",MATCH($A72,'潜水記録'!$AI$5:$AI$3004,0))</f>
        <v/>
      </c>
    </row>
    <row r="73">
      <c r="A73" s="14">
        <f>IF(63&lt;=$C$8,63,"")</f>
        <v/>
      </c>
      <c r="B73" s="16">
        <f>IF($A73="","",IF(INDEX('潜水記録'!$A$5:$A$3004,$AS73)="","",INDEX('潜水記録'!$A$5:$A$3004,$AS73)))</f>
        <v/>
      </c>
      <c r="C73" s="14">
        <f>IF($A73="","",IF(INDEX('潜水記録'!$B$5:$B$3004,$AS73)="","",INDEX('潜水記録'!$B$5:$B$3004,$AS73)))</f>
        <v/>
      </c>
      <c r="D73" s="14">
        <f>IF($A73="","",IF(INDEX('潜水記録'!$C$5:$C$3004,$AS73)="","",INDEX('潜水記録'!$C$5:$C$3004,$AS73)))</f>
        <v/>
      </c>
      <c r="E73" s="14">
        <f>IF($A73="","",IF(INDEX('潜水記録'!$D$5:$D$3004,$AS73)="","",INDEX('潜水記録'!$D$5:$D$3004,$AS73)))</f>
        <v/>
      </c>
      <c r="F73" s="14">
        <f>IF($A73="","",IF(INDEX('潜水記録'!$E$5:$E$3004,$AS73)="","",INDEX('潜水記録'!$E$5:$E$3004,$AS73)))</f>
        <v/>
      </c>
      <c r="G73" s="14">
        <f>IF($A73="","",IF(INDEX('潜水記録'!$F$5:$F$3004,$AS73)="","",INDEX('潜水記録'!$F$5:$F$3004,$AS73)))</f>
        <v/>
      </c>
      <c r="H73" s="14">
        <f>IF($A73="","",IF(INDEX('潜水記録'!$G$5:$G$3004,$AS73)="","",INDEX('潜水記録'!$G$5:$G$3004,$AS73)))</f>
        <v/>
      </c>
      <c r="I73" s="14">
        <f>IF($A73="","",IF(INDEX('潜水記録'!$H$5:$H$3004,$AS73)="","",INDEX('潜水記録'!$H$5:$H$3004,$AS73)))</f>
        <v/>
      </c>
      <c r="J73" s="14">
        <f>IF($A73="","",IF(INDEX('潜水記録'!$I$5:$I$3004,$AS73)="","",INDEX('潜水記録'!$I$5:$I$3004,$AS73)))</f>
        <v/>
      </c>
      <c r="K73" s="14">
        <f>IF($A73="","",IF(INDEX('潜水記録'!$J$5:$J$3004,$AS73)="","",INDEX('潜水記録'!$J$5:$J$3004,$AS73)))</f>
        <v/>
      </c>
      <c r="L73" s="14">
        <f>IF($A73="","",IF(INDEX('潜水記録'!$K$5:$K$3004,$AS73)="","",INDEX('潜水記録'!$K$5:$K$3004,$AS73)))</f>
        <v/>
      </c>
      <c r="M73" s="14">
        <f>IF($A73="","",IF(INDEX('潜水記録'!$L$5:$L$3004,$AS73)="","",INDEX('潜水記録'!$L$5:$L$3004,$AS73)))</f>
        <v/>
      </c>
      <c r="N73" s="14">
        <f>IF($A73="","",IF(INDEX('潜水記録'!$M$5:$M$3004,$AS73)="","",INDEX('潜水記録'!$M$5:$M$3004,$AS73)))</f>
        <v/>
      </c>
      <c r="O73" s="14">
        <f>IF($A73="","",IF(INDEX('潜水記録'!$N$5:$N$3004,$AS73)="","",INDEX('潜水記録'!$N$5:$N$3004,$AS73)))</f>
        <v/>
      </c>
      <c r="P73" s="14">
        <f>IF($A73="","",IF(INDEX('潜水記録'!$O$5:$O$3004,$AS73)="","",INDEX('潜水記録'!$O$5:$O$3004,$AS73)))</f>
        <v/>
      </c>
      <c r="Q73" s="14">
        <f>IF($A73="","",IF(INDEX('潜水記録'!$P$5:$P$3004,$AS73)="","",INDEX('潜水記録'!$P$5:$P$3004,$AS73)))</f>
        <v/>
      </c>
      <c r="R73" s="14">
        <f>IF($A73="","",IF(INDEX('潜水記録'!$Q$5:$Q$3004,$AS73)="","",INDEX('潜水記録'!$Q$5:$Q$3004,$AS73)))</f>
        <v/>
      </c>
      <c r="S73" s="14">
        <f>IF($A73="","",IF(INDEX('潜水記録'!$R$5:$R$3004,$AS73)="","",INDEX('潜水記録'!$R$5:$R$3004,$AS73)))</f>
        <v/>
      </c>
      <c r="T73" s="14">
        <f>IF($A73="","",IF(INDEX('潜水記録'!$S$5:$S$3004,$AS73)="","",INDEX('潜水記録'!$S$5:$S$3004,$AS73)))</f>
        <v/>
      </c>
      <c r="U73" s="14">
        <f>IF($A73="","",IF(INDEX('潜水記録'!$T$5:$T$3004,$AS73)="","",INDEX('潜水記録'!$T$5:$T$3004,$AS73)))</f>
        <v/>
      </c>
      <c r="V73" s="46">
        <f>IF($A73="","",IF(INDEX('潜水記録'!$U$5:$U$3004,$AS73)="","",INDEX('潜水記録'!$U$5:$U$3004,$AS73)))</f>
        <v/>
      </c>
      <c r="W73" s="46">
        <f>IF($A73="","",IF(INDEX('潜水記録'!$V$5:$V$3004,$AS73)="","",INDEX('潜水記録'!$V$5:$V$3004,$AS73)))</f>
        <v/>
      </c>
      <c r="X73" s="14">
        <f>IF($A73="","",IF(INDEX('潜水記録'!$W$5:$W$3004,$AS73)="","",INDEX('潜水記録'!$W$5:$W$3004,$AS73)))</f>
        <v/>
      </c>
      <c r="Y73" s="14">
        <f>IF($A73="","",IF(INDEX('潜水記録'!$X$5:$X$3004,$AS73)="","",INDEX('潜水記録'!$X$5:$X$3004,$AS73)))</f>
        <v/>
      </c>
      <c r="Z73" s="14">
        <f>IF($A73="","",IF(INDEX('潜水記録'!$Y$5:$Y$3004,$AS73)="","",INDEX('潜水記録'!$Y$5:$Y$3004,$AS73)))</f>
        <v/>
      </c>
      <c r="AA73" s="14">
        <f>IF($A73="","",IF(INDEX('潜水記録'!$Z$5:$Z$3004,$AS73)="","",INDEX('潜水記録'!$Z$5:$Z$3004,$AS73)))</f>
        <v/>
      </c>
      <c r="AB73" s="14">
        <f>IF($A73="","",IF(INDEX('潜水記録'!$AA$5:$AA$3004,$AS73)="","",INDEX('潜水記録'!$AA$5:$AA$3004,$AS73)))</f>
        <v/>
      </c>
      <c r="AC73" s="14">
        <f>IF($A73="","",IF(INDEX('潜水記録'!$AB$5:$AB$3004,$AS73)="","",INDEX('潜水記録'!$AB$5:$AB$3004,$AS73)))</f>
        <v/>
      </c>
      <c r="AD73" s="14">
        <f>IF($A73="","",IF(INDEX('潜水記録'!$AC$5:$AC$3004,$AS73)="","",INDEX('潜水記録'!$AC$5:$AC$3004,$AS73)))</f>
        <v/>
      </c>
      <c r="AE73" s="14">
        <f>IF($A73="","",IF(INDEX('潜水記録'!$AD$5:$AD$3004,$AS73)="","",INDEX('潜水記録'!$AD$5:$AD$3004,$AS73)))</f>
        <v/>
      </c>
      <c r="AF73" s="14">
        <f>IF($A73="","",IF(INDEX('潜水記録'!$AE$5:$AE$3004,$AS73)="","",INDEX('潜水記録'!$AE$5:$AE$3004,$AS73)))</f>
        <v/>
      </c>
      <c r="AG73" s="14">
        <f>IF($A73="","",IF(INDEX('潜水記録'!$AL$5:$AL$3004,$AS73)="","",INDEX('潜水記録'!$AL$5:$AL$3004,$AS73)))</f>
        <v/>
      </c>
      <c r="AH73" s="14">
        <f>IF($A73="","",IF(INDEX('潜水記録'!$AM$5:$AM$3004,$AS73)="","",INDEX('潜水記録'!$AM$5:$AM$3004,$AS73)))</f>
        <v/>
      </c>
      <c r="AI73" s="46">
        <f>IF($A73="","",IF(INDEX('潜水記録'!$AN$5:$AN$3004,$AS73)="","",INDEX('潜水記録'!$AN$5:$AN$3004,$AS73)))</f>
        <v/>
      </c>
      <c r="AJ73" s="14">
        <f>IF($A73="","",IF(INDEX('潜水記録'!$AO$5:$AO$3004,$AS73)="","",INDEX('潜水記録'!$AO$5:$AO$3004,$AS73)))</f>
        <v/>
      </c>
      <c r="AK73" s="14">
        <f>IF($A73="","",IF(INDEX('潜水記録'!$AP$5:$AP$3004,$AS73)="","",INDEX('潜水記録'!$AP$5:$AP$3004,$AS73)))</f>
        <v/>
      </c>
      <c r="AL73" s="14">
        <f>IF($A73="","",IF(INDEX('潜水記録'!$AQ$5:$AQ$3004,$AS73)="","",INDEX('潜水記録'!$AQ$5:$AQ$3004,$AS73)))</f>
        <v/>
      </c>
      <c r="AM73" s="14">
        <f>IF($A73="","",IF(INDEX('潜水記録'!$AR$5:$AR$3004,$AS73)="","",INDEX('潜水記録'!$AR$5:$AR$3004,$AS73)))</f>
        <v/>
      </c>
      <c r="AN73" s="14">
        <f>IF($A73="","",IF(INDEX('潜水記録'!$AS$5:$AS$3004,$AS73)="","",INDEX('潜水記録'!$AS$5:$AS$3004,$AS73)))</f>
        <v/>
      </c>
      <c r="AO73" s="14">
        <f>IF($A73="","",IF(INDEX('潜水記録'!$AT$5:$AT$3004,$AS73)="","",INDEX('潜水記録'!$AT$5:$AT$3004,$AS73)))</f>
        <v/>
      </c>
      <c r="AP73" s="14">
        <f>IF($A73="","",IF(INDEX('潜水記録'!$AU$5:$AU$3004,$AS73)="","",INDEX('潜水記録'!$AU$5:$AU$3004,$AS73)))</f>
        <v/>
      </c>
      <c r="AQ73" s="14">
        <f>IF($A73="","",IF(INDEX('潜水記録'!$AV$5:$AV$3004,$AS73)="","",INDEX('潜水記録'!$AV$5:$AV$3004,$AS73)))</f>
        <v/>
      </c>
      <c r="AR73" s="14">
        <f>IF($A73="","",IF(INDEX('潜水記録'!$AW$5:$AW$3004,$AS73)="","",INDEX('潜水記録'!$AW$5:$AW$3004,$AS73)))</f>
        <v/>
      </c>
      <c r="AS73" s="20">
        <f>IF($A73="","",MATCH($A73,'潜水記録'!$AI$5:$AI$3004,0))</f>
        <v/>
      </c>
    </row>
    <row r="74">
      <c r="A74" s="14">
        <f>IF(64&lt;=$C$8,64,"")</f>
        <v/>
      </c>
      <c r="B74" s="16">
        <f>IF($A74="","",IF(INDEX('潜水記録'!$A$5:$A$3004,$AS74)="","",INDEX('潜水記録'!$A$5:$A$3004,$AS74)))</f>
        <v/>
      </c>
      <c r="C74" s="14">
        <f>IF($A74="","",IF(INDEX('潜水記録'!$B$5:$B$3004,$AS74)="","",INDEX('潜水記録'!$B$5:$B$3004,$AS74)))</f>
        <v/>
      </c>
      <c r="D74" s="14">
        <f>IF($A74="","",IF(INDEX('潜水記録'!$C$5:$C$3004,$AS74)="","",INDEX('潜水記録'!$C$5:$C$3004,$AS74)))</f>
        <v/>
      </c>
      <c r="E74" s="14">
        <f>IF($A74="","",IF(INDEX('潜水記録'!$D$5:$D$3004,$AS74)="","",INDEX('潜水記録'!$D$5:$D$3004,$AS74)))</f>
        <v/>
      </c>
      <c r="F74" s="14">
        <f>IF($A74="","",IF(INDEX('潜水記録'!$E$5:$E$3004,$AS74)="","",INDEX('潜水記録'!$E$5:$E$3004,$AS74)))</f>
        <v/>
      </c>
      <c r="G74" s="14">
        <f>IF($A74="","",IF(INDEX('潜水記録'!$F$5:$F$3004,$AS74)="","",INDEX('潜水記録'!$F$5:$F$3004,$AS74)))</f>
        <v/>
      </c>
      <c r="H74" s="14">
        <f>IF($A74="","",IF(INDEX('潜水記録'!$G$5:$G$3004,$AS74)="","",INDEX('潜水記録'!$G$5:$G$3004,$AS74)))</f>
        <v/>
      </c>
      <c r="I74" s="14">
        <f>IF($A74="","",IF(INDEX('潜水記録'!$H$5:$H$3004,$AS74)="","",INDEX('潜水記録'!$H$5:$H$3004,$AS74)))</f>
        <v/>
      </c>
      <c r="J74" s="14">
        <f>IF($A74="","",IF(INDEX('潜水記録'!$I$5:$I$3004,$AS74)="","",INDEX('潜水記録'!$I$5:$I$3004,$AS74)))</f>
        <v/>
      </c>
      <c r="K74" s="14">
        <f>IF($A74="","",IF(INDEX('潜水記録'!$J$5:$J$3004,$AS74)="","",INDEX('潜水記録'!$J$5:$J$3004,$AS74)))</f>
        <v/>
      </c>
      <c r="L74" s="14">
        <f>IF($A74="","",IF(INDEX('潜水記録'!$K$5:$K$3004,$AS74)="","",INDEX('潜水記録'!$K$5:$K$3004,$AS74)))</f>
        <v/>
      </c>
      <c r="M74" s="14">
        <f>IF($A74="","",IF(INDEX('潜水記録'!$L$5:$L$3004,$AS74)="","",INDEX('潜水記録'!$L$5:$L$3004,$AS74)))</f>
        <v/>
      </c>
      <c r="N74" s="14">
        <f>IF($A74="","",IF(INDEX('潜水記録'!$M$5:$M$3004,$AS74)="","",INDEX('潜水記録'!$M$5:$M$3004,$AS74)))</f>
        <v/>
      </c>
      <c r="O74" s="14">
        <f>IF($A74="","",IF(INDEX('潜水記録'!$N$5:$N$3004,$AS74)="","",INDEX('潜水記録'!$N$5:$N$3004,$AS74)))</f>
        <v/>
      </c>
      <c r="P74" s="14">
        <f>IF($A74="","",IF(INDEX('潜水記録'!$O$5:$O$3004,$AS74)="","",INDEX('潜水記録'!$O$5:$O$3004,$AS74)))</f>
        <v/>
      </c>
      <c r="Q74" s="14">
        <f>IF($A74="","",IF(INDEX('潜水記録'!$P$5:$P$3004,$AS74)="","",INDEX('潜水記録'!$P$5:$P$3004,$AS74)))</f>
        <v/>
      </c>
      <c r="R74" s="14">
        <f>IF($A74="","",IF(INDEX('潜水記録'!$Q$5:$Q$3004,$AS74)="","",INDEX('潜水記録'!$Q$5:$Q$3004,$AS74)))</f>
        <v/>
      </c>
      <c r="S74" s="14">
        <f>IF($A74="","",IF(INDEX('潜水記録'!$R$5:$R$3004,$AS74)="","",INDEX('潜水記録'!$R$5:$R$3004,$AS74)))</f>
        <v/>
      </c>
      <c r="T74" s="14">
        <f>IF($A74="","",IF(INDEX('潜水記録'!$S$5:$S$3004,$AS74)="","",INDEX('潜水記録'!$S$5:$S$3004,$AS74)))</f>
        <v/>
      </c>
      <c r="U74" s="14">
        <f>IF($A74="","",IF(INDEX('潜水記録'!$T$5:$T$3004,$AS74)="","",INDEX('潜水記録'!$T$5:$T$3004,$AS74)))</f>
        <v/>
      </c>
      <c r="V74" s="46">
        <f>IF($A74="","",IF(INDEX('潜水記録'!$U$5:$U$3004,$AS74)="","",INDEX('潜水記録'!$U$5:$U$3004,$AS74)))</f>
        <v/>
      </c>
      <c r="W74" s="46">
        <f>IF($A74="","",IF(INDEX('潜水記録'!$V$5:$V$3004,$AS74)="","",INDEX('潜水記録'!$V$5:$V$3004,$AS74)))</f>
        <v/>
      </c>
      <c r="X74" s="14">
        <f>IF($A74="","",IF(INDEX('潜水記録'!$W$5:$W$3004,$AS74)="","",INDEX('潜水記録'!$W$5:$W$3004,$AS74)))</f>
        <v/>
      </c>
      <c r="Y74" s="14">
        <f>IF($A74="","",IF(INDEX('潜水記録'!$X$5:$X$3004,$AS74)="","",INDEX('潜水記録'!$X$5:$X$3004,$AS74)))</f>
        <v/>
      </c>
      <c r="Z74" s="14">
        <f>IF($A74="","",IF(INDEX('潜水記録'!$Y$5:$Y$3004,$AS74)="","",INDEX('潜水記録'!$Y$5:$Y$3004,$AS74)))</f>
        <v/>
      </c>
      <c r="AA74" s="14">
        <f>IF($A74="","",IF(INDEX('潜水記録'!$Z$5:$Z$3004,$AS74)="","",INDEX('潜水記録'!$Z$5:$Z$3004,$AS74)))</f>
        <v/>
      </c>
      <c r="AB74" s="14">
        <f>IF($A74="","",IF(INDEX('潜水記録'!$AA$5:$AA$3004,$AS74)="","",INDEX('潜水記録'!$AA$5:$AA$3004,$AS74)))</f>
        <v/>
      </c>
      <c r="AC74" s="14">
        <f>IF($A74="","",IF(INDEX('潜水記録'!$AB$5:$AB$3004,$AS74)="","",INDEX('潜水記録'!$AB$5:$AB$3004,$AS74)))</f>
        <v/>
      </c>
      <c r="AD74" s="14">
        <f>IF($A74="","",IF(INDEX('潜水記録'!$AC$5:$AC$3004,$AS74)="","",INDEX('潜水記録'!$AC$5:$AC$3004,$AS74)))</f>
        <v/>
      </c>
      <c r="AE74" s="14">
        <f>IF($A74="","",IF(INDEX('潜水記録'!$AD$5:$AD$3004,$AS74)="","",INDEX('潜水記録'!$AD$5:$AD$3004,$AS74)))</f>
        <v/>
      </c>
      <c r="AF74" s="14">
        <f>IF($A74="","",IF(INDEX('潜水記録'!$AE$5:$AE$3004,$AS74)="","",INDEX('潜水記録'!$AE$5:$AE$3004,$AS74)))</f>
        <v/>
      </c>
      <c r="AG74" s="14">
        <f>IF($A74="","",IF(INDEX('潜水記録'!$AL$5:$AL$3004,$AS74)="","",INDEX('潜水記録'!$AL$5:$AL$3004,$AS74)))</f>
        <v/>
      </c>
      <c r="AH74" s="14">
        <f>IF($A74="","",IF(INDEX('潜水記録'!$AM$5:$AM$3004,$AS74)="","",INDEX('潜水記録'!$AM$5:$AM$3004,$AS74)))</f>
        <v/>
      </c>
      <c r="AI74" s="46">
        <f>IF($A74="","",IF(INDEX('潜水記録'!$AN$5:$AN$3004,$AS74)="","",INDEX('潜水記録'!$AN$5:$AN$3004,$AS74)))</f>
        <v/>
      </c>
      <c r="AJ74" s="14">
        <f>IF($A74="","",IF(INDEX('潜水記録'!$AO$5:$AO$3004,$AS74)="","",INDEX('潜水記録'!$AO$5:$AO$3004,$AS74)))</f>
        <v/>
      </c>
      <c r="AK74" s="14">
        <f>IF($A74="","",IF(INDEX('潜水記録'!$AP$5:$AP$3004,$AS74)="","",INDEX('潜水記録'!$AP$5:$AP$3004,$AS74)))</f>
        <v/>
      </c>
      <c r="AL74" s="14">
        <f>IF($A74="","",IF(INDEX('潜水記録'!$AQ$5:$AQ$3004,$AS74)="","",INDEX('潜水記録'!$AQ$5:$AQ$3004,$AS74)))</f>
        <v/>
      </c>
      <c r="AM74" s="14">
        <f>IF($A74="","",IF(INDEX('潜水記録'!$AR$5:$AR$3004,$AS74)="","",INDEX('潜水記録'!$AR$5:$AR$3004,$AS74)))</f>
        <v/>
      </c>
      <c r="AN74" s="14">
        <f>IF($A74="","",IF(INDEX('潜水記録'!$AS$5:$AS$3004,$AS74)="","",INDEX('潜水記録'!$AS$5:$AS$3004,$AS74)))</f>
        <v/>
      </c>
      <c r="AO74" s="14">
        <f>IF($A74="","",IF(INDEX('潜水記録'!$AT$5:$AT$3004,$AS74)="","",INDEX('潜水記録'!$AT$5:$AT$3004,$AS74)))</f>
        <v/>
      </c>
      <c r="AP74" s="14">
        <f>IF($A74="","",IF(INDEX('潜水記録'!$AU$5:$AU$3004,$AS74)="","",INDEX('潜水記録'!$AU$5:$AU$3004,$AS74)))</f>
        <v/>
      </c>
      <c r="AQ74" s="14">
        <f>IF($A74="","",IF(INDEX('潜水記録'!$AV$5:$AV$3004,$AS74)="","",INDEX('潜水記録'!$AV$5:$AV$3004,$AS74)))</f>
        <v/>
      </c>
      <c r="AR74" s="14">
        <f>IF($A74="","",IF(INDEX('潜水記録'!$AW$5:$AW$3004,$AS74)="","",INDEX('潜水記録'!$AW$5:$AW$3004,$AS74)))</f>
        <v/>
      </c>
      <c r="AS74" s="20">
        <f>IF($A74="","",MATCH($A74,'潜水記録'!$AI$5:$AI$3004,0))</f>
        <v/>
      </c>
    </row>
    <row r="75">
      <c r="A75" s="14">
        <f>IF(65&lt;=$C$8,65,"")</f>
        <v/>
      </c>
      <c r="B75" s="16">
        <f>IF($A75="","",IF(INDEX('潜水記録'!$A$5:$A$3004,$AS75)="","",INDEX('潜水記録'!$A$5:$A$3004,$AS75)))</f>
        <v/>
      </c>
      <c r="C75" s="14">
        <f>IF($A75="","",IF(INDEX('潜水記録'!$B$5:$B$3004,$AS75)="","",INDEX('潜水記録'!$B$5:$B$3004,$AS75)))</f>
        <v/>
      </c>
      <c r="D75" s="14">
        <f>IF($A75="","",IF(INDEX('潜水記録'!$C$5:$C$3004,$AS75)="","",INDEX('潜水記録'!$C$5:$C$3004,$AS75)))</f>
        <v/>
      </c>
      <c r="E75" s="14">
        <f>IF($A75="","",IF(INDEX('潜水記録'!$D$5:$D$3004,$AS75)="","",INDEX('潜水記録'!$D$5:$D$3004,$AS75)))</f>
        <v/>
      </c>
      <c r="F75" s="14">
        <f>IF($A75="","",IF(INDEX('潜水記録'!$E$5:$E$3004,$AS75)="","",INDEX('潜水記録'!$E$5:$E$3004,$AS75)))</f>
        <v/>
      </c>
      <c r="G75" s="14">
        <f>IF($A75="","",IF(INDEX('潜水記録'!$F$5:$F$3004,$AS75)="","",INDEX('潜水記録'!$F$5:$F$3004,$AS75)))</f>
        <v/>
      </c>
      <c r="H75" s="14">
        <f>IF($A75="","",IF(INDEX('潜水記録'!$G$5:$G$3004,$AS75)="","",INDEX('潜水記録'!$G$5:$G$3004,$AS75)))</f>
        <v/>
      </c>
      <c r="I75" s="14">
        <f>IF($A75="","",IF(INDEX('潜水記録'!$H$5:$H$3004,$AS75)="","",INDEX('潜水記録'!$H$5:$H$3004,$AS75)))</f>
        <v/>
      </c>
      <c r="J75" s="14">
        <f>IF($A75="","",IF(INDEX('潜水記録'!$I$5:$I$3004,$AS75)="","",INDEX('潜水記録'!$I$5:$I$3004,$AS75)))</f>
        <v/>
      </c>
      <c r="K75" s="14">
        <f>IF($A75="","",IF(INDEX('潜水記録'!$J$5:$J$3004,$AS75)="","",INDEX('潜水記録'!$J$5:$J$3004,$AS75)))</f>
        <v/>
      </c>
      <c r="L75" s="14">
        <f>IF($A75="","",IF(INDEX('潜水記録'!$K$5:$K$3004,$AS75)="","",INDEX('潜水記録'!$K$5:$K$3004,$AS75)))</f>
        <v/>
      </c>
      <c r="M75" s="14">
        <f>IF($A75="","",IF(INDEX('潜水記録'!$L$5:$L$3004,$AS75)="","",INDEX('潜水記録'!$L$5:$L$3004,$AS75)))</f>
        <v/>
      </c>
      <c r="N75" s="14">
        <f>IF($A75="","",IF(INDEX('潜水記録'!$M$5:$M$3004,$AS75)="","",INDEX('潜水記録'!$M$5:$M$3004,$AS75)))</f>
        <v/>
      </c>
      <c r="O75" s="14">
        <f>IF($A75="","",IF(INDEX('潜水記録'!$N$5:$N$3004,$AS75)="","",INDEX('潜水記録'!$N$5:$N$3004,$AS75)))</f>
        <v/>
      </c>
      <c r="P75" s="14">
        <f>IF($A75="","",IF(INDEX('潜水記録'!$O$5:$O$3004,$AS75)="","",INDEX('潜水記録'!$O$5:$O$3004,$AS75)))</f>
        <v/>
      </c>
      <c r="Q75" s="14">
        <f>IF($A75="","",IF(INDEX('潜水記録'!$P$5:$P$3004,$AS75)="","",INDEX('潜水記録'!$P$5:$P$3004,$AS75)))</f>
        <v/>
      </c>
      <c r="R75" s="14">
        <f>IF($A75="","",IF(INDEX('潜水記録'!$Q$5:$Q$3004,$AS75)="","",INDEX('潜水記録'!$Q$5:$Q$3004,$AS75)))</f>
        <v/>
      </c>
      <c r="S75" s="14">
        <f>IF($A75="","",IF(INDEX('潜水記録'!$R$5:$R$3004,$AS75)="","",INDEX('潜水記録'!$R$5:$R$3004,$AS75)))</f>
        <v/>
      </c>
      <c r="T75" s="14">
        <f>IF($A75="","",IF(INDEX('潜水記録'!$S$5:$S$3004,$AS75)="","",INDEX('潜水記録'!$S$5:$S$3004,$AS75)))</f>
        <v/>
      </c>
      <c r="U75" s="14">
        <f>IF($A75="","",IF(INDEX('潜水記録'!$T$5:$T$3004,$AS75)="","",INDEX('潜水記録'!$T$5:$T$3004,$AS75)))</f>
        <v/>
      </c>
      <c r="V75" s="46">
        <f>IF($A75="","",IF(INDEX('潜水記録'!$U$5:$U$3004,$AS75)="","",INDEX('潜水記録'!$U$5:$U$3004,$AS75)))</f>
        <v/>
      </c>
      <c r="W75" s="46">
        <f>IF($A75="","",IF(INDEX('潜水記録'!$V$5:$V$3004,$AS75)="","",INDEX('潜水記録'!$V$5:$V$3004,$AS75)))</f>
        <v/>
      </c>
      <c r="X75" s="14">
        <f>IF($A75="","",IF(INDEX('潜水記録'!$W$5:$W$3004,$AS75)="","",INDEX('潜水記録'!$W$5:$W$3004,$AS75)))</f>
        <v/>
      </c>
      <c r="Y75" s="14">
        <f>IF($A75="","",IF(INDEX('潜水記録'!$X$5:$X$3004,$AS75)="","",INDEX('潜水記録'!$X$5:$X$3004,$AS75)))</f>
        <v/>
      </c>
      <c r="Z75" s="14">
        <f>IF($A75="","",IF(INDEX('潜水記録'!$Y$5:$Y$3004,$AS75)="","",INDEX('潜水記録'!$Y$5:$Y$3004,$AS75)))</f>
        <v/>
      </c>
      <c r="AA75" s="14">
        <f>IF($A75="","",IF(INDEX('潜水記録'!$Z$5:$Z$3004,$AS75)="","",INDEX('潜水記録'!$Z$5:$Z$3004,$AS75)))</f>
        <v/>
      </c>
      <c r="AB75" s="14">
        <f>IF($A75="","",IF(INDEX('潜水記録'!$AA$5:$AA$3004,$AS75)="","",INDEX('潜水記録'!$AA$5:$AA$3004,$AS75)))</f>
        <v/>
      </c>
      <c r="AC75" s="14">
        <f>IF($A75="","",IF(INDEX('潜水記録'!$AB$5:$AB$3004,$AS75)="","",INDEX('潜水記録'!$AB$5:$AB$3004,$AS75)))</f>
        <v/>
      </c>
      <c r="AD75" s="14">
        <f>IF($A75="","",IF(INDEX('潜水記録'!$AC$5:$AC$3004,$AS75)="","",INDEX('潜水記録'!$AC$5:$AC$3004,$AS75)))</f>
        <v/>
      </c>
      <c r="AE75" s="14">
        <f>IF($A75="","",IF(INDEX('潜水記録'!$AD$5:$AD$3004,$AS75)="","",INDEX('潜水記録'!$AD$5:$AD$3004,$AS75)))</f>
        <v/>
      </c>
      <c r="AF75" s="14">
        <f>IF($A75="","",IF(INDEX('潜水記録'!$AE$5:$AE$3004,$AS75)="","",INDEX('潜水記録'!$AE$5:$AE$3004,$AS75)))</f>
        <v/>
      </c>
      <c r="AG75" s="14">
        <f>IF($A75="","",IF(INDEX('潜水記録'!$AL$5:$AL$3004,$AS75)="","",INDEX('潜水記録'!$AL$5:$AL$3004,$AS75)))</f>
        <v/>
      </c>
      <c r="AH75" s="14">
        <f>IF($A75="","",IF(INDEX('潜水記録'!$AM$5:$AM$3004,$AS75)="","",INDEX('潜水記録'!$AM$5:$AM$3004,$AS75)))</f>
        <v/>
      </c>
      <c r="AI75" s="46">
        <f>IF($A75="","",IF(INDEX('潜水記録'!$AN$5:$AN$3004,$AS75)="","",INDEX('潜水記録'!$AN$5:$AN$3004,$AS75)))</f>
        <v/>
      </c>
      <c r="AJ75" s="14">
        <f>IF($A75="","",IF(INDEX('潜水記録'!$AO$5:$AO$3004,$AS75)="","",INDEX('潜水記録'!$AO$5:$AO$3004,$AS75)))</f>
        <v/>
      </c>
      <c r="AK75" s="14">
        <f>IF($A75="","",IF(INDEX('潜水記録'!$AP$5:$AP$3004,$AS75)="","",INDEX('潜水記録'!$AP$5:$AP$3004,$AS75)))</f>
        <v/>
      </c>
      <c r="AL75" s="14">
        <f>IF($A75="","",IF(INDEX('潜水記録'!$AQ$5:$AQ$3004,$AS75)="","",INDEX('潜水記録'!$AQ$5:$AQ$3004,$AS75)))</f>
        <v/>
      </c>
      <c r="AM75" s="14">
        <f>IF($A75="","",IF(INDEX('潜水記録'!$AR$5:$AR$3004,$AS75)="","",INDEX('潜水記録'!$AR$5:$AR$3004,$AS75)))</f>
        <v/>
      </c>
      <c r="AN75" s="14">
        <f>IF($A75="","",IF(INDEX('潜水記録'!$AS$5:$AS$3004,$AS75)="","",INDEX('潜水記録'!$AS$5:$AS$3004,$AS75)))</f>
        <v/>
      </c>
      <c r="AO75" s="14">
        <f>IF($A75="","",IF(INDEX('潜水記録'!$AT$5:$AT$3004,$AS75)="","",INDEX('潜水記録'!$AT$5:$AT$3004,$AS75)))</f>
        <v/>
      </c>
      <c r="AP75" s="14">
        <f>IF($A75="","",IF(INDEX('潜水記録'!$AU$5:$AU$3004,$AS75)="","",INDEX('潜水記録'!$AU$5:$AU$3004,$AS75)))</f>
        <v/>
      </c>
      <c r="AQ75" s="14">
        <f>IF($A75="","",IF(INDEX('潜水記録'!$AV$5:$AV$3004,$AS75)="","",INDEX('潜水記録'!$AV$5:$AV$3004,$AS75)))</f>
        <v/>
      </c>
      <c r="AR75" s="14">
        <f>IF($A75="","",IF(INDEX('潜水記録'!$AW$5:$AW$3004,$AS75)="","",INDEX('潜水記録'!$AW$5:$AW$3004,$AS75)))</f>
        <v/>
      </c>
      <c r="AS75" s="20">
        <f>IF($A75="","",MATCH($A75,'潜水記録'!$AI$5:$AI$3004,0))</f>
        <v/>
      </c>
    </row>
    <row r="76">
      <c r="A76" s="14">
        <f>IF(66&lt;=$C$8,66,"")</f>
        <v/>
      </c>
      <c r="B76" s="16">
        <f>IF($A76="","",IF(INDEX('潜水記録'!$A$5:$A$3004,$AS76)="","",INDEX('潜水記録'!$A$5:$A$3004,$AS76)))</f>
        <v/>
      </c>
      <c r="C76" s="14">
        <f>IF($A76="","",IF(INDEX('潜水記録'!$B$5:$B$3004,$AS76)="","",INDEX('潜水記録'!$B$5:$B$3004,$AS76)))</f>
        <v/>
      </c>
      <c r="D76" s="14">
        <f>IF($A76="","",IF(INDEX('潜水記録'!$C$5:$C$3004,$AS76)="","",INDEX('潜水記録'!$C$5:$C$3004,$AS76)))</f>
        <v/>
      </c>
      <c r="E76" s="14">
        <f>IF($A76="","",IF(INDEX('潜水記録'!$D$5:$D$3004,$AS76)="","",INDEX('潜水記録'!$D$5:$D$3004,$AS76)))</f>
        <v/>
      </c>
      <c r="F76" s="14">
        <f>IF($A76="","",IF(INDEX('潜水記録'!$E$5:$E$3004,$AS76)="","",INDEX('潜水記録'!$E$5:$E$3004,$AS76)))</f>
        <v/>
      </c>
      <c r="G76" s="14">
        <f>IF($A76="","",IF(INDEX('潜水記録'!$F$5:$F$3004,$AS76)="","",INDEX('潜水記録'!$F$5:$F$3004,$AS76)))</f>
        <v/>
      </c>
      <c r="H76" s="14">
        <f>IF($A76="","",IF(INDEX('潜水記録'!$G$5:$G$3004,$AS76)="","",INDEX('潜水記録'!$G$5:$G$3004,$AS76)))</f>
        <v/>
      </c>
      <c r="I76" s="14">
        <f>IF($A76="","",IF(INDEX('潜水記録'!$H$5:$H$3004,$AS76)="","",INDEX('潜水記録'!$H$5:$H$3004,$AS76)))</f>
        <v/>
      </c>
      <c r="J76" s="14">
        <f>IF($A76="","",IF(INDEX('潜水記録'!$I$5:$I$3004,$AS76)="","",INDEX('潜水記録'!$I$5:$I$3004,$AS76)))</f>
        <v/>
      </c>
      <c r="K76" s="14">
        <f>IF($A76="","",IF(INDEX('潜水記録'!$J$5:$J$3004,$AS76)="","",INDEX('潜水記録'!$J$5:$J$3004,$AS76)))</f>
        <v/>
      </c>
      <c r="L76" s="14">
        <f>IF($A76="","",IF(INDEX('潜水記録'!$K$5:$K$3004,$AS76)="","",INDEX('潜水記録'!$K$5:$K$3004,$AS76)))</f>
        <v/>
      </c>
      <c r="M76" s="14">
        <f>IF($A76="","",IF(INDEX('潜水記録'!$L$5:$L$3004,$AS76)="","",INDEX('潜水記録'!$L$5:$L$3004,$AS76)))</f>
        <v/>
      </c>
      <c r="N76" s="14">
        <f>IF($A76="","",IF(INDEX('潜水記録'!$M$5:$M$3004,$AS76)="","",INDEX('潜水記録'!$M$5:$M$3004,$AS76)))</f>
        <v/>
      </c>
      <c r="O76" s="14">
        <f>IF($A76="","",IF(INDEX('潜水記録'!$N$5:$N$3004,$AS76)="","",INDEX('潜水記録'!$N$5:$N$3004,$AS76)))</f>
        <v/>
      </c>
      <c r="P76" s="14">
        <f>IF($A76="","",IF(INDEX('潜水記録'!$O$5:$O$3004,$AS76)="","",INDEX('潜水記録'!$O$5:$O$3004,$AS76)))</f>
        <v/>
      </c>
      <c r="Q76" s="14">
        <f>IF($A76="","",IF(INDEX('潜水記録'!$P$5:$P$3004,$AS76)="","",INDEX('潜水記録'!$P$5:$P$3004,$AS76)))</f>
        <v/>
      </c>
      <c r="R76" s="14">
        <f>IF($A76="","",IF(INDEX('潜水記録'!$Q$5:$Q$3004,$AS76)="","",INDEX('潜水記録'!$Q$5:$Q$3004,$AS76)))</f>
        <v/>
      </c>
      <c r="S76" s="14">
        <f>IF($A76="","",IF(INDEX('潜水記録'!$R$5:$R$3004,$AS76)="","",INDEX('潜水記録'!$R$5:$R$3004,$AS76)))</f>
        <v/>
      </c>
      <c r="T76" s="14">
        <f>IF($A76="","",IF(INDEX('潜水記録'!$S$5:$S$3004,$AS76)="","",INDEX('潜水記録'!$S$5:$S$3004,$AS76)))</f>
        <v/>
      </c>
      <c r="U76" s="14">
        <f>IF($A76="","",IF(INDEX('潜水記録'!$T$5:$T$3004,$AS76)="","",INDEX('潜水記録'!$T$5:$T$3004,$AS76)))</f>
        <v/>
      </c>
      <c r="V76" s="46">
        <f>IF($A76="","",IF(INDEX('潜水記録'!$U$5:$U$3004,$AS76)="","",INDEX('潜水記録'!$U$5:$U$3004,$AS76)))</f>
        <v/>
      </c>
      <c r="W76" s="46">
        <f>IF($A76="","",IF(INDEX('潜水記録'!$V$5:$V$3004,$AS76)="","",INDEX('潜水記録'!$V$5:$V$3004,$AS76)))</f>
        <v/>
      </c>
      <c r="X76" s="14">
        <f>IF($A76="","",IF(INDEX('潜水記録'!$W$5:$W$3004,$AS76)="","",INDEX('潜水記録'!$W$5:$W$3004,$AS76)))</f>
        <v/>
      </c>
      <c r="Y76" s="14">
        <f>IF($A76="","",IF(INDEX('潜水記録'!$X$5:$X$3004,$AS76)="","",INDEX('潜水記録'!$X$5:$X$3004,$AS76)))</f>
        <v/>
      </c>
      <c r="Z76" s="14">
        <f>IF($A76="","",IF(INDEX('潜水記録'!$Y$5:$Y$3004,$AS76)="","",INDEX('潜水記録'!$Y$5:$Y$3004,$AS76)))</f>
        <v/>
      </c>
      <c r="AA76" s="14">
        <f>IF($A76="","",IF(INDEX('潜水記録'!$Z$5:$Z$3004,$AS76)="","",INDEX('潜水記録'!$Z$5:$Z$3004,$AS76)))</f>
        <v/>
      </c>
      <c r="AB76" s="14">
        <f>IF($A76="","",IF(INDEX('潜水記録'!$AA$5:$AA$3004,$AS76)="","",INDEX('潜水記録'!$AA$5:$AA$3004,$AS76)))</f>
        <v/>
      </c>
      <c r="AC76" s="14">
        <f>IF($A76="","",IF(INDEX('潜水記録'!$AB$5:$AB$3004,$AS76)="","",INDEX('潜水記録'!$AB$5:$AB$3004,$AS76)))</f>
        <v/>
      </c>
      <c r="AD76" s="14">
        <f>IF($A76="","",IF(INDEX('潜水記録'!$AC$5:$AC$3004,$AS76)="","",INDEX('潜水記録'!$AC$5:$AC$3004,$AS76)))</f>
        <v/>
      </c>
      <c r="AE76" s="14">
        <f>IF($A76="","",IF(INDEX('潜水記録'!$AD$5:$AD$3004,$AS76)="","",INDEX('潜水記録'!$AD$5:$AD$3004,$AS76)))</f>
        <v/>
      </c>
      <c r="AF76" s="14">
        <f>IF($A76="","",IF(INDEX('潜水記録'!$AE$5:$AE$3004,$AS76)="","",INDEX('潜水記録'!$AE$5:$AE$3004,$AS76)))</f>
        <v/>
      </c>
      <c r="AG76" s="14">
        <f>IF($A76="","",IF(INDEX('潜水記録'!$AL$5:$AL$3004,$AS76)="","",INDEX('潜水記録'!$AL$5:$AL$3004,$AS76)))</f>
        <v/>
      </c>
      <c r="AH76" s="14">
        <f>IF($A76="","",IF(INDEX('潜水記録'!$AM$5:$AM$3004,$AS76)="","",INDEX('潜水記録'!$AM$5:$AM$3004,$AS76)))</f>
        <v/>
      </c>
      <c r="AI76" s="46">
        <f>IF($A76="","",IF(INDEX('潜水記録'!$AN$5:$AN$3004,$AS76)="","",INDEX('潜水記録'!$AN$5:$AN$3004,$AS76)))</f>
        <v/>
      </c>
      <c r="AJ76" s="14">
        <f>IF($A76="","",IF(INDEX('潜水記録'!$AO$5:$AO$3004,$AS76)="","",INDEX('潜水記録'!$AO$5:$AO$3004,$AS76)))</f>
        <v/>
      </c>
      <c r="AK76" s="14">
        <f>IF($A76="","",IF(INDEX('潜水記録'!$AP$5:$AP$3004,$AS76)="","",INDEX('潜水記録'!$AP$5:$AP$3004,$AS76)))</f>
        <v/>
      </c>
      <c r="AL76" s="14">
        <f>IF($A76="","",IF(INDEX('潜水記録'!$AQ$5:$AQ$3004,$AS76)="","",INDEX('潜水記録'!$AQ$5:$AQ$3004,$AS76)))</f>
        <v/>
      </c>
      <c r="AM76" s="14">
        <f>IF($A76="","",IF(INDEX('潜水記録'!$AR$5:$AR$3004,$AS76)="","",INDEX('潜水記録'!$AR$5:$AR$3004,$AS76)))</f>
        <v/>
      </c>
      <c r="AN76" s="14">
        <f>IF($A76="","",IF(INDEX('潜水記録'!$AS$5:$AS$3004,$AS76)="","",INDEX('潜水記録'!$AS$5:$AS$3004,$AS76)))</f>
        <v/>
      </c>
      <c r="AO76" s="14">
        <f>IF($A76="","",IF(INDEX('潜水記録'!$AT$5:$AT$3004,$AS76)="","",INDEX('潜水記録'!$AT$5:$AT$3004,$AS76)))</f>
        <v/>
      </c>
      <c r="AP76" s="14">
        <f>IF($A76="","",IF(INDEX('潜水記録'!$AU$5:$AU$3004,$AS76)="","",INDEX('潜水記録'!$AU$5:$AU$3004,$AS76)))</f>
        <v/>
      </c>
      <c r="AQ76" s="14">
        <f>IF($A76="","",IF(INDEX('潜水記録'!$AV$5:$AV$3004,$AS76)="","",INDEX('潜水記録'!$AV$5:$AV$3004,$AS76)))</f>
        <v/>
      </c>
      <c r="AR76" s="14">
        <f>IF($A76="","",IF(INDEX('潜水記録'!$AW$5:$AW$3004,$AS76)="","",INDEX('潜水記録'!$AW$5:$AW$3004,$AS76)))</f>
        <v/>
      </c>
      <c r="AS76" s="20">
        <f>IF($A76="","",MATCH($A76,'潜水記録'!$AI$5:$AI$3004,0))</f>
        <v/>
      </c>
    </row>
    <row r="77">
      <c r="A77" s="14">
        <f>IF(67&lt;=$C$8,67,"")</f>
        <v/>
      </c>
      <c r="B77" s="16">
        <f>IF($A77="","",IF(INDEX('潜水記録'!$A$5:$A$3004,$AS77)="","",INDEX('潜水記録'!$A$5:$A$3004,$AS77)))</f>
        <v/>
      </c>
      <c r="C77" s="14">
        <f>IF($A77="","",IF(INDEX('潜水記録'!$B$5:$B$3004,$AS77)="","",INDEX('潜水記録'!$B$5:$B$3004,$AS77)))</f>
        <v/>
      </c>
      <c r="D77" s="14">
        <f>IF($A77="","",IF(INDEX('潜水記録'!$C$5:$C$3004,$AS77)="","",INDEX('潜水記録'!$C$5:$C$3004,$AS77)))</f>
        <v/>
      </c>
      <c r="E77" s="14">
        <f>IF($A77="","",IF(INDEX('潜水記録'!$D$5:$D$3004,$AS77)="","",INDEX('潜水記録'!$D$5:$D$3004,$AS77)))</f>
        <v/>
      </c>
      <c r="F77" s="14">
        <f>IF($A77="","",IF(INDEX('潜水記録'!$E$5:$E$3004,$AS77)="","",INDEX('潜水記録'!$E$5:$E$3004,$AS77)))</f>
        <v/>
      </c>
      <c r="G77" s="14">
        <f>IF($A77="","",IF(INDEX('潜水記録'!$F$5:$F$3004,$AS77)="","",INDEX('潜水記録'!$F$5:$F$3004,$AS77)))</f>
        <v/>
      </c>
      <c r="H77" s="14">
        <f>IF($A77="","",IF(INDEX('潜水記録'!$G$5:$G$3004,$AS77)="","",INDEX('潜水記録'!$G$5:$G$3004,$AS77)))</f>
        <v/>
      </c>
      <c r="I77" s="14">
        <f>IF($A77="","",IF(INDEX('潜水記録'!$H$5:$H$3004,$AS77)="","",INDEX('潜水記録'!$H$5:$H$3004,$AS77)))</f>
        <v/>
      </c>
      <c r="J77" s="14">
        <f>IF($A77="","",IF(INDEX('潜水記録'!$I$5:$I$3004,$AS77)="","",INDEX('潜水記録'!$I$5:$I$3004,$AS77)))</f>
        <v/>
      </c>
      <c r="K77" s="14">
        <f>IF($A77="","",IF(INDEX('潜水記録'!$J$5:$J$3004,$AS77)="","",INDEX('潜水記録'!$J$5:$J$3004,$AS77)))</f>
        <v/>
      </c>
      <c r="L77" s="14">
        <f>IF($A77="","",IF(INDEX('潜水記録'!$K$5:$K$3004,$AS77)="","",INDEX('潜水記録'!$K$5:$K$3004,$AS77)))</f>
        <v/>
      </c>
      <c r="M77" s="14">
        <f>IF($A77="","",IF(INDEX('潜水記録'!$L$5:$L$3004,$AS77)="","",INDEX('潜水記録'!$L$5:$L$3004,$AS77)))</f>
        <v/>
      </c>
      <c r="N77" s="14">
        <f>IF($A77="","",IF(INDEX('潜水記録'!$M$5:$M$3004,$AS77)="","",INDEX('潜水記録'!$M$5:$M$3004,$AS77)))</f>
        <v/>
      </c>
      <c r="O77" s="14">
        <f>IF($A77="","",IF(INDEX('潜水記録'!$N$5:$N$3004,$AS77)="","",INDEX('潜水記録'!$N$5:$N$3004,$AS77)))</f>
        <v/>
      </c>
      <c r="P77" s="14">
        <f>IF($A77="","",IF(INDEX('潜水記録'!$O$5:$O$3004,$AS77)="","",INDEX('潜水記録'!$O$5:$O$3004,$AS77)))</f>
        <v/>
      </c>
      <c r="Q77" s="14">
        <f>IF($A77="","",IF(INDEX('潜水記録'!$P$5:$P$3004,$AS77)="","",INDEX('潜水記録'!$P$5:$P$3004,$AS77)))</f>
        <v/>
      </c>
      <c r="R77" s="14">
        <f>IF($A77="","",IF(INDEX('潜水記録'!$Q$5:$Q$3004,$AS77)="","",INDEX('潜水記録'!$Q$5:$Q$3004,$AS77)))</f>
        <v/>
      </c>
      <c r="S77" s="14">
        <f>IF($A77="","",IF(INDEX('潜水記録'!$R$5:$R$3004,$AS77)="","",INDEX('潜水記録'!$R$5:$R$3004,$AS77)))</f>
        <v/>
      </c>
      <c r="T77" s="14">
        <f>IF($A77="","",IF(INDEX('潜水記録'!$S$5:$S$3004,$AS77)="","",INDEX('潜水記録'!$S$5:$S$3004,$AS77)))</f>
        <v/>
      </c>
      <c r="U77" s="14">
        <f>IF($A77="","",IF(INDEX('潜水記録'!$T$5:$T$3004,$AS77)="","",INDEX('潜水記録'!$T$5:$T$3004,$AS77)))</f>
        <v/>
      </c>
      <c r="V77" s="46">
        <f>IF($A77="","",IF(INDEX('潜水記録'!$U$5:$U$3004,$AS77)="","",INDEX('潜水記録'!$U$5:$U$3004,$AS77)))</f>
        <v/>
      </c>
      <c r="W77" s="46">
        <f>IF($A77="","",IF(INDEX('潜水記録'!$V$5:$V$3004,$AS77)="","",INDEX('潜水記録'!$V$5:$V$3004,$AS77)))</f>
        <v/>
      </c>
      <c r="X77" s="14">
        <f>IF($A77="","",IF(INDEX('潜水記録'!$W$5:$W$3004,$AS77)="","",INDEX('潜水記録'!$W$5:$W$3004,$AS77)))</f>
        <v/>
      </c>
      <c r="Y77" s="14">
        <f>IF($A77="","",IF(INDEX('潜水記録'!$X$5:$X$3004,$AS77)="","",INDEX('潜水記録'!$X$5:$X$3004,$AS77)))</f>
        <v/>
      </c>
      <c r="Z77" s="14">
        <f>IF($A77="","",IF(INDEX('潜水記録'!$Y$5:$Y$3004,$AS77)="","",INDEX('潜水記録'!$Y$5:$Y$3004,$AS77)))</f>
        <v/>
      </c>
      <c r="AA77" s="14">
        <f>IF($A77="","",IF(INDEX('潜水記録'!$Z$5:$Z$3004,$AS77)="","",INDEX('潜水記録'!$Z$5:$Z$3004,$AS77)))</f>
        <v/>
      </c>
      <c r="AB77" s="14">
        <f>IF($A77="","",IF(INDEX('潜水記録'!$AA$5:$AA$3004,$AS77)="","",INDEX('潜水記録'!$AA$5:$AA$3004,$AS77)))</f>
        <v/>
      </c>
      <c r="AC77" s="14">
        <f>IF($A77="","",IF(INDEX('潜水記録'!$AB$5:$AB$3004,$AS77)="","",INDEX('潜水記録'!$AB$5:$AB$3004,$AS77)))</f>
        <v/>
      </c>
      <c r="AD77" s="14">
        <f>IF($A77="","",IF(INDEX('潜水記録'!$AC$5:$AC$3004,$AS77)="","",INDEX('潜水記録'!$AC$5:$AC$3004,$AS77)))</f>
        <v/>
      </c>
      <c r="AE77" s="14">
        <f>IF($A77="","",IF(INDEX('潜水記録'!$AD$5:$AD$3004,$AS77)="","",INDEX('潜水記録'!$AD$5:$AD$3004,$AS77)))</f>
        <v/>
      </c>
      <c r="AF77" s="14">
        <f>IF($A77="","",IF(INDEX('潜水記録'!$AE$5:$AE$3004,$AS77)="","",INDEX('潜水記録'!$AE$5:$AE$3004,$AS77)))</f>
        <v/>
      </c>
      <c r="AG77" s="14">
        <f>IF($A77="","",IF(INDEX('潜水記録'!$AL$5:$AL$3004,$AS77)="","",INDEX('潜水記録'!$AL$5:$AL$3004,$AS77)))</f>
        <v/>
      </c>
      <c r="AH77" s="14">
        <f>IF($A77="","",IF(INDEX('潜水記録'!$AM$5:$AM$3004,$AS77)="","",INDEX('潜水記録'!$AM$5:$AM$3004,$AS77)))</f>
        <v/>
      </c>
      <c r="AI77" s="46">
        <f>IF($A77="","",IF(INDEX('潜水記録'!$AN$5:$AN$3004,$AS77)="","",INDEX('潜水記録'!$AN$5:$AN$3004,$AS77)))</f>
        <v/>
      </c>
      <c r="AJ77" s="14">
        <f>IF($A77="","",IF(INDEX('潜水記録'!$AO$5:$AO$3004,$AS77)="","",INDEX('潜水記録'!$AO$5:$AO$3004,$AS77)))</f>
        <v/>
      </c>
      <c r="AK77" s="14">
        <f>IF($A77="","",IF(INDEX('潜水記録'!$AP$5:$AP$3004,$AS77)="","",INDEX('潜水記録'!$AP$5:$AP$3004,$AS77)))</f>
        <v/>
      </c>
      <c r="AL77" s="14">
        <f>IF($A77="","",IF(INDEX('潜水記録'!$AQ$5:$AQ$3004,$AS77)="","",INDEX('潜水記録'!$AQ$5:$AQ$3004,$AS77)))</f>
        <v/>
      </c>
      <c r="AM77" s="14">
        <f>IF($A77="","",IF(INDEX('潜水記録'!$AR$5:$AR$3004,$AS77)="","",INDEX('潜水記録'!$AR$5:$AR$3004,$AS77)))</f>
        <v/>
      </c>
      <c r="AN77" s="14">
        <f>IF($A77="","",IF(INDEX('潜水記録'!$AS$5:$AS$3004,$AS77)="","",INDEX('潜水記録'!$AS$5:$AS$3004,$AS77)))</f>
        <v/>
      </c>
      <c r="AO77" s="14">
        <f>IF($A77="","",IF(INDEX('潜水記録'!$AT$5:$AT$3004,$AS77)="","",INDEX('潜水記録'!$AT$5:$AT$3004,$AS77)))</f>
        <v/>
      </c>
      <c r="AP77" s="14">
        <f>IF($A77="","",IF(INDEX('潜水記録'!$AU$5:$AU$3004,$AS77)="","",INDEX('潜水記録'!$AU$5:$AU$3004,$AS77)))</f>
        <v/>
      </c>
      <c r="AQ77" s="14">
        <f>IF($A77="","",IF(INDEX('潜水記録'!$AV$5:$AV$3004,$AS77)="","",INDEX('潜水記録'!$AV$5:$AV$3004,$AS77)))</f>
        <v/>
      </c>
      <c r="AR77" s="14">
        <f>IF($A77="","",IF(INDEX('潜水記録'!$AW$5:$AW$3004,$AS77)="","",INDEX('潜水記録'!$AW$5:$AW$3004,$AS77)))</f>
        <v/>
      </c>
      <c r="AS77" s="20">
        <f>IF($A77="","",MATCH($A77,'潜水記録'!$AI$5:$AI$3004,0))</f>
        <v/>
      </c>
    </row>
    <row r="78">
      <c r="A78" s="14">
        <f>IF(68&lt;=$C$8,68,"")</f>
        <v/>
      </c>
      <c r="B78" s="16">
        <f>IF($A78="","",IF(INDEX('潜水記録'!$A$5:$A$3004,$AS78)="","",INDEX('潜水記録'!$A$5:$A$3004,$AS78)))</f>
        <v/>
      </c>
      <c r="C78" s="14">
        <f>IF($A78="","",IF(INDEX('潜水記録'!$B$5:$B$3004,$AS78)="","",INDEX('潜水記録'!$B$5:$B$3004,$AS78)))</f>
        <v/>
      </c>
      <c r="D78" s="14">
        <f>IF($A78="","",IF(INDEX('潜水記録'!$C$5:$C$3004,$AS78)="","",INDEX('潜水記録'!$C$5:$C$3004,$AS78)))</f>
        <v/>
      </c>
      <c r="E78" s="14">
        <f>IF($A78="","",IF(INDEX('潜水記録'!$D$5:$D$3004,$AS78)="","",INDEX('潜水記録'!$D$5:$D$3004,$AS78)))</f>
        <v/>
      </c>
      <c r="F78" s="14">
        <f>IF($A78="","",IF(INDEX('潜水記録'!$E$5:$E$3004,$AS78)="","",INDEX('潜水記録'!$E$5:$E$3004,$AS78)))</f>
        <v/>
      </c>
      <c r="G78" s="14">
        <f>IF($A78="","",IF(INDEX('潜水記録'!$F$5:$F$3004,$AS78)="","",INDEX('潜水記録'!$F$5:$F$3004,$AS78)))</f>
        <v/>
      </c>
      <c r="H78" s="14">
        <f>IF($A78="","",IF(INDEX('潜水記録'!$G$5:$G$3004,$AS78)="","",INDEX('潜水記録'!$G$5:$G$3004,$AS78)))</f>
        <v/>
      </c>
      <c r="I78" s="14">
        <f>IF($A78="","",IF(INDEX('潜水記録'!$H$5:$H$3004,$AS78)="","",INDEX('潜水記録'!$H$5:$H$3004,$AS78)))</f>
        <v/>
      </c>
      <c r="J78" s="14">
        <f>IF($A78="","",IF(INDEX('潜水記録'!$I$5:$I$3004,$AS78)="","",INDEX('潜水記録'!$I$5:$I$3004,$AS78)))</f>
        <v/>
      </c>
      <c r="K78" s="14">
        <f>IF($A78="","",IF(INDEX('潜水記録'!$J$5:$J$3004,$AS78)="","",INDEX('潜水記録'!$J$5:$J$3004,$AS78)))</f>
        <v/>
      </c>
      <c r="L78" s="14">
        <f>IF($A78="","",IF(INDEX('潜水記録'!$K$5:$K$3004,$AS78)="","",INDEX('潜水記録'!$K$5:$K$3004,$AS78)))</f>
        <v/>
      </c>
      <c r="M78" s="14">
        <f>IF($A78="","",IF(INDEX('潜水記録'!$L$5:$L$3004,$AS78)="","",INDEX('潜水記録'!$L$5:$L$3004,$AS78)))</f>
        <v/>
      </c>
      <c r="N78" s="14">
        <f>IF($A78="","",IF(INDEX('潜水記録'!$M$5:$M$3004,$AS78)="","",INDEX('潜水記録'!$M$5:$M$3004,$AS78)))</f>
        <v/>
      </c>
      <c r="O78" s="14">
        <f>IF($A78="","",IF(INDEX('潜水記録'!$N$5:$N$3004,$AS78)="","",INDEX('潜水記録'!$N$5:$N$3004,$AS78)))</f>
        <v/>
      </c>
      <c r="P78" s="14">
        <f>IF($A78="","",IF(INDEX('潜水記録'!$O$5:$O$3004,$AS78)="","",INDEX('潜水記録'!$O$5:$O$3004,$AS78)))</f>
        <v/>
      </c>
      <c r="Q78" s="14">
        <f>IF($A78="","",IF(INDEX('潜水記録'!$P$5:$P$3004,$AS78)="","",INDEX('潜水記録'!$P$5:$P$3004,$AS78)))</f>
        <v/>
      </c>
      <c r="R78" s="14">
        <f>IF($A78="","",IF(INDEX('潜水記録'!$Q$5:$Q$3004,$AS78)="","",INDEX('潜水記録'!$Q$5:$Q$3004,$AS78)))</f>
        <v/>
      </c>
      <c r="S78" s="14">
        <f>IF($A78="","",IF(INDEX('潜水記録'!$R$5:$R$3004,$AS78)="","",INDEX('潜水記録'!$R$5:$R$3004,$AS78)))</f>
        <v/>
      </c>
      <c r="T78" s="14">
        <f>IF($A78="","",IF(INDEX('潜水記録'!$S$5:$S$3004,$AS78)="","",INDEX('潜水記録'!$S$5:$S$3004,$AS78)))</f>
        <v/>
      </c>
      <c r="U78" s="14">
        <f>IF($A78="","",IF(INDEX('潜水記録'!$T$5:$T$3004,$AS78)="","",INDEX('潜水記録'!$T$5:$T$3004,$AS78)))</f>
        <v/>
      </c>
      <c r="V78" s="46">
        <f>IF($A78="","",IF(INDEX('潜水記録'!$U$5:$U$3004,$AS78)="","",INDEX('潜水記録'!$U$5:$U$3004,$AS78)))</f>
        <v/>
      </c>
      <c r="W78" s="46">
        <f>IF($A78="","",IF(INDEX('潜水記録'!$V$5:$V$3004,$AS78)="","",INDEX('潜水記録'!$V$5:$V$3004,$AS78)))</f>
        <v/>
      </c>
      <c r="X78" s="14">
        <f>IF($A78="","",IF(INDEX('潜水記録'!$W$5:$W$3004,$AS78)="","",INDEX('潜水記録'!$W$5:$W$3004,$AS78)))</f>
        <v/>
      </c>
      <c r="Y78" s="14">
        <f>IF($A78="","",IF(INDEX('潜水記録'!$X$5:$X$3004,$AS78)="","",INDEX('潜水記録'!$X$5:$X$3004,$AS78)))</f>
        <v/>
      </c>
      <c r="Z78" s="14">
        <f>IF($A78="","",IF(INDEX('潜水記録'!$Y$5:$Y$3004,$AS78)="","",INDEX('潜水記録'!$Y$5:$Y$3004,$AS78)))</f>
        <v/>
      </c>
      <c r="AA78" s="14">
        <f>IF($A78="","",IF(INDEX('潜水記録'!$Z$5:$Z$3004,$AS78)="","",INDEX('潜水記録'!$Z$5:$Z$3004,$AS78)))</f>
        <v/>
      </c>
      <c r="AB78" s="14">
        <f>IF($A78="","",IF(INDEX('潜水記録'!$AA$5:$AA$3004,$AS78)="","",INDEX('潜水記録'!$AA$5:$AA$3004,$AS78)))</f>
        <v/>
      </c>
      <c r="AC78" s="14">
        <f>IF($A78="","",IF(INDEX('潜水記録'!$AB$5:$AB$3004,$AS78)="","",INDEX('潜水記録'!$AB$5:$AB$3004,$AS78)))</f>
        <v/>
      </c>
      <c r="AD78" s="14">
        <f>IF($A78="","",IF(INDEX('潜水記録'!$AC$5:$AC$3004,$AS78)="","",INDEX('潜水記録'!$AC$5:$AC$3004,$AS78)))</f>
        <v/>
      </c>
      <c r="AE78" s="14">
        <f>IF($A78="","",IF(INDEX('潜水記録'!$AD$5:$AD$3004,$AS78)="","",INDEX('潜水記録'!$AD$5:$AD$3004,$AS78)))</f>
        <v/>
      </c>
      <c r="AF78" s="14">
        <f>IF($A78="","",IF(INDEX('潜水記録'!$AE$5:$AE$3004,$AS78)="","",INDEX('潜水記録'!$AE$5:$AE$3004,$AS78)))</f>
        <v/>
      </c>
      <c r="AG78" s="14">
        <f>IF($A78="","",IF(INDEX('潜水記録'!$AL$5:$AL$3004,$AS78)="","",INDEX('潜水記録'!$AL$5:$AL$3004,$AS78)))</f>
        <v/>
      </c>
      <c r="AH78" s="14">
        <f>IF($A78="","",IF(INDEX('潜水記録'!$AM$5:$AM$3004,$AS78)="","",INDEX('潜水記録'!$AM$5:$AM$3004,$AS78)))</f>
        <v/>
      </c>
      <c r="AI78" s="46">
        <f>IF($A78="","",IF(INDEX('潜水記録'!$AN$5:$AN$3004,$AS78)="","",INDEX('潜水記録'!$AN$5:$AN$3004,$AS78)))</f>
        <v/>
      </c>
      <c r="AJ78" s="14">
        <f>IF($A78="","",IF(INDEX('潜水記録'!$AO$5:$AO$3004,$AS78)="","",INDEX('潜水記録'!$AO$5:$AO$3004,$AS78)))</f>
        <v/>
      </c>
      <c r="AK78" s="14">
        <f>IF($A78="","",IF(INDEX('潜水記録'!$AP$5:$AP$3004,$AS78)="","",INDEX('潜水記録'!$AP$5:$AP$3004,$AS78)))</f>
        <v/>
      </c>
      <c r="AL78" s="14">
        <f>IF($A78="","",IF(INDEX('潜水記録'!$AQ$5:$AQ$3004,$AS78)="","",INDEX('潜水記録'!$AQ$5:$AQ$3004,$AS78)))</f>
        <v/>
      </c>
      <c r="AM78" s="14">
        <f>IF($A78="","",IF(INDEX('潜水記録'!$AR$5:$AR$3004,$AS78)="","",INDEX('潜水記録'!$AR$5:$AR$3004,$AS78)))</f>
        <v/>
      </c>
      <c r="AN78" s="14">
        <f>IF($A78="","",IF(INDEX('潜水記録'!$AS$5:$AS$3004,$AS78)="","",INDEX('潜水記録'!$AS$5:$AS$3004,$AS78)))</f>
        <v/>
      </c>
      <c r="AO78" s="14">
        <f>IF($A78="","",IF(INDEX('潜水記録'!$AT$5:$AT$3004,$AS78)="","",INDEX('潜水記録'!$AT$5:$AT$3004,$AS78)))</f>
        <v/>
      </c>
      <c r="AP78" s="14">
        <f>IF($A78="","",IF(INDEX('潜水記録'!$AU$5:$AU$3004,$AS78)="","",INDEX('潜水記録'!$AU$5:$AU$3004,$AS78)))</f>
        <v/>
      </c>
      <c r="AQ78" s="14">
        <f>IF($A78="","",IF(INDEX('潜水記録'!$AV$5:$AV$3004,$AS78)="","",INDEX('潜水記録'!$AV$5:$AV$3004,$AS78)))</f>
        <v/>
      </c>
      <c r="AR78" s="14">
        <f>IF($A78="","",IF(INDEX('潜水記録'!$AW$5:$AW$3004,$AS78)="","",INDEX('潜水記録'!$AW$5:$AW$3004,$AS78)))</f>
        <v/>
      </c>
      <c r="AS78" s="20">
        <f>IF($A78="","",MATCH($A78,'潜水記録'!$AI$5:$AI$3004,0))</f>
        <v/>
      </c>
    </row>
    <row r="79">
      <c r="A79" s="14">
        <f>IF(69&lt;=$C$8,69,"")</f>
        <v/>
      </c>
      <c r="B79" s="16">
        <f>IF($A79="","",IF(INDEX('潜水記録'!$A$5:$A$3004,$AS79)="","",INDEX('潜水記録'!$A$5:$A$3004,$AS79)))</f>
        <v/>
      </c>
      <c r="C79" s="14">
        <f>IF($A79="","",IF(INDEX('潜水記録'!$B$5:$B$3004,$AS79)="","",INDEX('潜水記録'!$B$5:$B$3004,$AS79)))</f>
        <v/>
      </c>
      <c r="D79" s="14">
        <f>IF($A79="","",IF(INDEX('潜水記録'!$C$5:$C$3004,$AS79)="","",INDEX('潜水記録'!$C$5:$C$3004,$AS79)))</f>
        <v/>
      </c>
      <c r="E79" s="14">
        <f>IF($A79="","",IF(INDEX('潜水記録'!$D$5:$D$3004,$AS79)="","",INDEX('潜水記録'!$D$5:$D$3004,$AS79)))</f>
        <v/>
      </c>
      <c r="F79" s="14">
        <f>IF($A79="","",IF(INDEX('潜水記録'!$E$5:$E$3004,$AS79)="","",INDEX('潜水記録'!$E$5:$E$3004,$AS79)))</f>
        <v/>
      </c>
      <c r="G79" s="14">
        <f>IF($A79="","",IF(INDEX('潜水記録'!$F$5:$F$3004,$AS79)="","",INDEX('潜水記録'!$F$5:$F$3004,$AS79)))</f>
        <v/>
      </c>
      <c r="H79" s="14">
        <f>IF($A79="","",IF(INDEX('潜水記録'!$G$5:$G$3004,$AS79)="","",INDEX('潜水記録'!$G$5:$G$3004,$AS79)))</f>
        <v/>
      </c>
      <c r="I79" s="14">
        <f>IF($A79="","",IF(INDEX('潜水記録'!$H$5:$H$3004,$AS79)="","",INDEX('潜水記録'!$H$5:$H$3004,$AS79)))</f>
        <v/>
      </c>
      <c r="J79" s="14">
        <f>IF($A79="","",IF(INDEX('潜水記録'!$I$5:$I$3004,$AS79)="","",INDEX('潜水記録'!$I$5:$I$3004,$AS79)))</f>
        <v/>
      </c>
      <c r="K79" s="14">
        <f>IF($A79="","",IF(INDEX('潜水記録'!$J$5:$J$3004,$AS79)="","",INDEX('潜水記録'!$J$5:$J$3004,$AS79)))</f>
        <v/>
      </c>
      <c r="L79" s="14">
        <f>IF($A79="","",IF(INDEX('潜水記録'!$K$5:$K$3004,$AS79)="","",INDEX('潜水記録'!$K$5:$K$3004,$AS79)))</f>
        <v/>
      </c>
      <c r="M79" s="14">
        <f>IF($A79="","",IF(INDEX('潜水記録'!$L$5:$L$3004,$AS79)="","",INDEX('潜水記録'!$L$5:$L$3004,$AS79)))</f>
        <v/>
      </c>
      <c r="N79" s="14">
        <f>IF($A79="","",IF(INDEX('潜水記録'!$M$5:$M$3004,$AS79)="","",INDEX('潜水記録'!$M$5:$M$3004,$AS79)))</f>
        <v/>
      </c>
      <c r="O79" s="14">
        <f>IF($A79="","",IF(INDEX('潜水記録'!$N$5:$N$3004,$AS79)="","",INDEX('潜水記録'!$N$5:$N$3004,$AS79)))</f>
        <v/>
      </c>
      <c r="P79" s="14">
        <f>IF($A79="","",IF(INDEX('潜水記録'!$O$5:$O$3004,$AS79)="","",INDEX('潜水記録'!$O$5:$O$3004,$AS79)))</f>
        <v/>
      </c>
      <c r="Q79" s="14">
        <f>IF($A79="","",IF(INDEX('潜水記録'!$P$5:$P$3004,$AS79)="","",INDEX('潜水記録'!$P$5:$P$3004,$AS79)))</f>
        <v/>
      </c>
      <c r="R79" s="14">
        <f>IF($A79="","",IF(INDEX('潜水記録'!$Q$5:$Q$3004,$AS79)="","",INDEX('潜水記録'!$Q$5:$Q$3004,$AS79)))</f>
        <v/>
      </c>
      <c r="S79" s="14">
        <f>IF($A79="","",IF(INDEX('潜水記録'!$R$5:$R$3004,$AS79)="","",INDEX('潜水記録'!$R$5:$R$3004,$AS79)))</f>
        <v/>
      </c>
      <c r="T79" s="14">
        <f>IF($A79="","",IF(INDEX('潜水記録'!$S$5:$S$3004,$AS79)="","",INDEX('潜水記録'!$S$5:$S$3004,$AS79)))</f>
        <v/>
      </c>
      <c r="U79" s="14">
        <f>IF($A79="","",IF(INDEX('潜水記録'!$T$5:$T$3004,$AS79)="","",INDEX('潜水記録'!$T$5:$T$3004,$AS79)))</f>
        <v/>
      </c>
      <c r="V79" s="46">
        <f>IF($A79="","",IF(INDEX('潜水記録'!$U$5:$U$3004,$AS79)="","",INDEX('潜水記録'!$U$5:$U$3004,$AS79)))</f>
        <v/>
      </c>
      <c r="W79" s="46">
        <f>IF($A79="","",IF(INDEX('潜水記録'!$V$5:$V$3004,$AS79)="","",INDEX('潜水記録'!$V$5:$V$3004,$AS79)))</f>
        <v/>
      </c>
      <c r="X79" s="14">
        <f>IF($A79="","",IF(INDEX('潜水記録'!$W$5:$W$3004,$AS79)="","",INDEX('潜水記録'!$W$5:$W$3004,$AS79)))</f>
        <v/>
      </c>
      <c r="Y79" s="14">
        <f>IF($A79="","",IF(INDEX('潜水記録'!$X$5:$X$3004,$AS79)="","",INDEX('潜水記録'!$X$5:$X$3004,$AS79)))</f>
        <v/>
      </c>
      <c r="Z79" s="14">
        <f>IF($A79="","",IF(INDEX('潜水記録'!$Y$5:$Y$3004,$AS79)="","",INDEX('潜水記録'!$Y$5:$Y$3004,$AS79)))</f>
        <v/>
      </c>
      <c r="AA79" s="14">
        <f>IF($A79="","",IF(INDEX('潜水記録'!$Z$5:$Z$3004,$AS79)="","",INDEX('潜水記録'!$Z$5:$Z$3004,$AS79)))</f>
        <v/>
      </c>
      <c r="AB79" s="14">
        <f>IF($A79="","",IF(INDEX('潜水記録'!$AA$5:$AA$3004,$AS79)="","",INDEX('潜水記録'!$AA$5:$AA$3004,$AS79)))</f>
        <v/>
      </c>
      <c r="AC79" s="14">
        <f>IF($A79="","",IF(INDEX('潜水記録'!$AB$5:$AB$3004,$AS79)="","",INDEX('潜水記録'!$AB$5:$AB$3004,$AS79)))</f>
        <v/>
      </c>
      <c r="AD79" s="14">
        <f>IF($A79="","",IF(INDEX('潜水記録'!$AC$5:$AC$3004,$AS79)="","",INDEX('潜水記録'!$AC$5:$AC$3004,$AS79)))</f>
        <v/>
      </c>
      <c r="AE79" s="14">
        <f>IF($A79="","",IF(INDEX('潜水記録'!$AD$5:$AD$3004,$AS79)="","",INDEX('潜水記録'!$AD$5:$AD$3004,$AS79)))</f>
        <v/>
      </c>
      <c r="AF79" s="14">
        <f>IF($A79="","",IF(INDEX('潜水記録'!$AE$5:$AE$3004,$AS79)="","",INDEX('潜水記録'!$AE$5:$AE$3004,$AS79)))</f>
        <v/>
      </c>
      <c r="AG79" s="14">
        <f>IF($A79="","",IF(INDEX('潜水記録'!$AL$5:$AL$3004,$AS79)="","",INDEX('潜水記録'!$AL$5:$AL$3004,$AS79)))</f>
        <v/>
      </c>
      <c r="AH79" s="14">
        <f>IF($A79="","",IF(INDEX('潜水記録'!$AM$5:$AM$3004,$AS79)="","",INDEX('潜水記録'!$AM$5:$AM$3004,$AS79)))</f>
        <v/>
      </c>
      <c r="AI79" s="46">
        <f>IF($A79="","",IF(INDEX('潜水記録'!$AN$5:$AN$3004,$AS79)="","",INDEX('潜水記録'!$AN$5:$AN$3004,$AS79)))</f>
        <v/>
      </c>
      <c r="AJ79" s="14">
        <f>IF($A79="","",IF(INDEX('潜水記録'!$AO$5:$AO$3004,$AS79)="","",INDEX('潜水記録'!$AO$5:$AO$3004,$AS79)))</f>
        <v/>
      </c>
      <c r="AK79" s="14">
        <f>IF($A79="","",IF(INDEX('潜水記録'!$AP$5:$AP$3004,$AS79)="","",INDEX('潜水記録'!$AP$5:$AP$3004,$AS79)))</f>
        <v/>
      </c>
      <c r="AL79" s="14">
        <f>IF($A79="","",IF(INDEX('潜水記録'!$AQ$5:$AQ$3004,$AS79)="","",INDEX('潜水記録'!$AQ$5:$AQ$3004,$AS79)))</f>
        <v/>
      </c>
      <c r="AM79" s="14">
        <f>IF($A79="","",IF(INDEX('潜水記録'!$AR$5:$AR$3004,$AS79)="","",INDEX('潜水記録'!$AR$5:$AR$3004,$AS79)))</f>
        <v/>
      </c>
      <c r="AN79" s="14">
        <f>IF($A79="","",IF(INDEX('潜水記録'!$AS$5:$AS$3004,$AS79)="","",INDEX('潜水記録'!$AS$5:$AS$3004,$AS79)))</f>
        <v/>
      </c>
      <c r="AO79" s="14">
        <f>IF($A79="","",IF(INDEX('潜水記録'!$AT$5:$AT$3004,$AS79)="","",INDEX('潜水記録'!$AT$5:$AT$3004,$AS79)))</f>
        <v/>
      </c>
      <c r="AP79" s="14">
        <f>IF($A79="","",IF(INDEX('潜水記録'!$AU$5:$AU$3004,$AS79)="","",INDEX('潜水記録'!$AU$5:$AU$3004,$AS79)))</f>
        <v/>
      </c>
      <c r="AQ79" s="14">
        <f>IF($A79="","",IF(INDEX('潜水記録'!$AV$5:$AV$3004,$AS79)="","",INDEX('潜水記録'!$AV$5:$AV$3004,$AS79)))</f>
        <v/>
      </c>
      <c r="AR79" s="14">
        <f>IF($A79="","",IF(INDEX('潜水記録'!$AW$5:$AW$3004,$AS79)="","",INDEX('潜水記録'!$AW$5:$AW$3004,$AS79)))</f>
        <v/>
      </c>
      <c r="AS79" s="20">
        <f>IF($A79="","",MATCH($A79,'潜水記録'!$AI$5:$AI$3004,0))</f>
        <v/>
      </c>
    </row>
    <row r="80">
      <c r="A80" s="14">
        <f>IF(70&lt;=$C$8,70,"")</f>
        <v/>
      </c>
      <c r="B80" s="16">
        <f>IF($A80="","",IF(INDEX('潜水記録'!$A$5:$A$3004,$AS80)="","",INDEX('潜水記録'!$A$5:$A$3004,$AS80)))</f>
        <v/>
      </c>
      <c r="C80" s="14">
        <f>IF($A80="","",IF(INDEX('潜水記録'!$B$5:$B$3004,$AS80)="","",INDEX('潜水記録'!$B$5:$B$3004,$AS80)))</f>
        <v/>
      </c>
      <c r="D80" s="14">
        <f>IF($A80="","",IF(INDEX('潜水記録'!$C$5:$C$3004,$AS80)="","",INDEX('潜水記録'!$C$5:$C$3004,$AS80)))</f>
        <v/>
      </c>
      <c r="E80" s="14">
        <f>IF($A80="","",IF(INDEX('潜水記録'!$D$5:$D$3004,$AS80)="","",INDEX('潜水記録'!$D$5:$D$3004,$AS80)))</f>
        <v/>
      </c>
      <c r="F80" s="14">
        <f>IF($A80="","",IF(INDEX('潜水記録'!$E$5:$E$3004,$AS80)="","",INDEX('潜水記録'!$E$5:$E$3004,$AS80)))</f>
        <v/>
      </c>
      <c r="G80" s="14">
        <f>IF($A80="","",IF(INDEX('潜水記録'!$F$5:$F$3004,$AS80)="","",INDEX('潜水記録'!$F$5:$F$3004,$AS80)))</f>
        <v/>
      </c>
      <c r="H80" s="14">
        <f>IF($A80="","",IF(INDEX('潜水記録'!$G$5:$G$3004,$AS80)="","",INDEX('潜水記録'!$G$5:$G$3004,$AS80)))</f>
        <v/>
      </c>
      <c r="I80" s="14">
        <f>IF($A80="","",IF(INDEX('潜水記録'!$H$5:$H$3004,$AS80)="","",INDEX('潜水記録'!$H$5:$H$3004,$AS80)))</f>
        <v/>
      </c>
      <c r="J80" s="14">
        <f>IF($A80="","",IF(INDEX('潜水記録'!$I$5:$I$3004,$AS80)="","",INDEX('潜水記録'!$I$5:$I$3004,$AS80)))</f>
        <v/>
      </c>
      <c r="K80" s="14">
        <f>IF($A80="","",IF(INDEX('潜水記録'!$J$5:$J$3004,$AS80)="","",INDEX('潜水記録'!$J$5:$J$3004,$AS80)))</f>
        <v/>
      </c>
      <c r="L80" s="14">
        <f>IF($A80="","",IF(INDEX('潜水記録'!$K$5:$K$3004,$AS80)="","",INDEX('潜水記録'!$K$5:$K$3004,$AS80)))</f>
        <v/>
      </c>
      <c r="M80" s="14">
        <f>IF($A80="","",IF(INDEX('潜水記録'!$L$5:$L$3004,$AS80)="","",INDEX('潜水記録'!$L$5:$L$3004,$AS80)))</f>
        <v/>
      </c>
      <c r="N80" s="14">
        <f>IF($A80="","",IF(INDEX('潜水記録'!$M$5:$M$3004,$AS80)="","",INDEX('潜水記録'!$M$5:$M$3004,$AS80)))</f>
        <v/>
      </c>
      <c r="O80" s="14">
        <f>IF($A80="","",IF(INDEX('潜水記録'!$N$5:$N$3004,$AS80)="","",INDEX('潜水記録'!$N$5:$N$3004,$AS80)))</f>
        <v/>
      </c>
      <c r="P80" s="14">
        <f>IF($A80="","",IF(INDEX('潜水記録'!$O$5:$O$3004,$AS80)="","",INDEX('潜水記録'!$O$5:$O$3004,$AS80)))</f>
        <v/>
      </c>
      <c r="Q80" s="14">
        <f>IF($A80="","",IF(INDEX('潜水記録'!$P$5:$P$3004,$AS80)="","",INDEX('潜水記録'!$P$5:$P$3004,$AS80)))</f>
        <v/>
      </c>
      <c r="R80" s="14">
        <f>IF($A80="","",IF(INDEX('潜水記録'!$Q$5:$Q$3004,$AS80)="","",INDEX('潜水記録'!$Q$5:$Q$3004,$AS80)))</f>
        <v/>
      </c>
      <c r="S80" s="14">
        <f>IF($A80="","",IF(INDEX('潜水記録'!$R$5:$R$3004,$AS80)="","",INDEX('潜水記録'!$R$5:$R$3004,$AS80)))</f>
        <v/>
      </c>
      <c r="T80" s="14">
        <f>IF($A80="","",IF(INDEX('潜水記録'!$S$5:$S$3004,$AS80)="","",INDEX('潜水記録'!$S$5:$S$3004,$AS80)))</f>
        <v/>
      </c>
      <c r="U80" s="14">
        <f>IF($A80="","",IF(INDEX('潜水記録'!$T$5:$T$3004,$AS80)="","",INDEX('潜水記録'!$T$5:$T$3004,$AS80)))</f>
        <v/>
      </c>
      <c r="V80" s="46">
        <f>IF($A80="","",IF(INDEX('潜水記録'!$U$5:$U$3004,$AS80)="","",INDEX('潜水記録'!$U$5:$U$3004,$AS80)))</f>
        <v/>
      </c>
      <c r="W80" s="46">
        <f>IF($A80="","",IF(INDEX('潜水記録'!$V$5:$V$3004,$AS80)="","",INDEX('潜水記録'!$V$5:$V$3004,$AS80)))</f>
        <v/>
      </c>
      <c r="X80" s="14">
        <f>IF($A80="","",IF(INDEX('潜水記録'!$W$5:$W$3004,$AS80)="","",INDEX('潜水記録'!$W$5:$W$3004,$AS80)))</f>
        <v/>
      </c>
      <c r="Y80" s="14">
        <f>IF($A80="","",IF(INDEX('潜水記録'!$X$5:$X$3004,$AS80)="","",INDEX('潜水記録'!$X$5:$X$3004,$AS80)))</f>
        <v/>
      </c>
      <c r="Z80" s="14">
        <f>IF($A80="","",IF(INDEX('潜水記録'!$Y$5:$Y$3004,$AS80)="","",INDEX('潜水記録'!$Y$5:$Y$3004,$AS80)))</f>
        <v/>
      </c>
      <c r="AA80" s="14">
        <f>IF($A80="","",IF(INDEX('潜水記録'!$Z$5:$Z$3004,$AS80)="","",INDEX('潜水記録'!$Z$5:$Z$3004,$AS80)))</f>
        <v/>
      </c>
      <c r="AB80" s="14">
        <f>IF($A80="","",IF(INDEX('潜水記録'!$AA$5:$AA$3004,$AS80)="","",INDEX('潜水記録'!$AA$5:$AA$3004,$AS80)))</f>
        <v/>
      </c>
      <c r="AC80" s="14">
        <f>IF($A80="","",IF(INDEX('潜水記録'!$AB$5:$AB$3004,$AS80)="","",INDEX('潜水記録'!$AB$5:$AB$3004,$AS80)))</f>
        <v/>
      </c>
      <c r="AD80" s="14">
        <f>IF($A80="","",IF(INDEX('潜水記録'!$AC$5:$AC$3004,$AS80)="","",INDEX('潜水記録'!$AC$5:$AC$3004,$AS80)))</f>
        <v/>
      </c>
      <c r="AE80" s="14">
        <f>IF($A80="","",IF(INDEX('潜水記録'!$AD$5:$AD$3004,$AS80)="","",INDEX('潜水記録'!$AD$5:$AD$3004,$AS80)))</f>
        <v/>
      </c>
      <c r="AF80" s="14">
        <f>IF($A80="","",IF(INDEX('潜水記録'!$AE$5:$AE$3004,$AS80)="","",INDEX('潜水記録'!$AE$5:$AE$3004,$AS80)))</f>
        <v/>
      </c>
      <c r="AG80" s="14">
        <f>IF($A80="","",IF(INDEX('潜水記録'!$AL$5:$AL$3004,$AS80)="","",INDEX('潜水記録'!$AL$5:$AL$3004,$AS80)))</f>
        <v/>
      </c>
      <c r="AH80" s="14">
        <f>IF($A80="","",IF(INDEX('潜水記録'!$AM$5:$AM$3004,$AS80)="","",INDEX('潜水記録'!$AM$5:$AM$3004,$AS80)))</f>
        <v/>
      </c>
      <c r="AI80" s="46">
        <f>IF($A80="","",IF(INDEX('潜水記録'!$AN$5:$AN$3004,$AS80)="","",INDEX('潜水記録'!$AN$5:$AN$3004,$AS80)))</f>
        <v/>
      </c>
      <c r="AJ80" s="14">
        <f>IF($A80="","",IF(INDEX('潜水記録'!$AO$5:$AO$3004,$AS80)="","",INDEX('潜水記録'!$AO$5:$AO$3004,$AS80)))</f>
        <v/>
      </c>
      <c r="AK80" s="14">
        <f>IF($A80="","",IF(INDEX('潜水記録'!$AP$5:$AP$3004,$AS80)="","",INDEX('潜水記録'!$AP$5:$AP$3004,$AS80)))</f>
        <v/>
      </c>
      <c r="AL80" s="14">
        <f>IF($A80="","",IF(INDEX('潜水記録'!$AQ$5:$AQ$3004,$AS80)="","",INDEX('潜水記録'!$AQ$5:$AQ$3004,$AS80)))</f>
        <v/>
      </c>
      <c r="AM80" s="14">
        <f>IF($A80="","",IF(INDEX('潜水記録'!$AR$5:$AR$3004,$AS80)="","",INDEX('潜水記録'!$AR$5:$AR$3004,$AS80)))</f>
        <v/>
      </c>
      <c r="AN80" s="14">
        <f>IF($A80="","",IF(INDEX('潜水記録'!$AS$5:$AS$3004,$AS80)="","",INDEX('潜水記録'!$AS$5:$AS$3004,$AS80)))</f>
        <v/>
      </c>
      <c r="AO80" s="14">
        <f>IF($A80="","",IF(INDEX('潜水記録'!$AT$5:$AT$3004,$AS80)="","",INDEX('潜水記録'!$AT$5:$AT$3004,$AS80)))</f>
        <v/>
      </c>
      <c r="AP80" s="14">
        <f>IF($A80="","",IF(INDEX('潜水記録'!$AU$5:$AU$3004,$AS80)="","",INDEX('潜水記録'!$AU$5:$AU$3004,$AS80)))</f>
        <v/>
      </c>
      <c r="AQ80" s="14">
        <f>IF($A80="","",IF(INDEX('潜水記録'!$AV$5:$AV$3004,$AS80)="","",INDEX('潜水記録'!$AV$5:$AV$3004,$AS80)))</f>
        <v/>
      </c>
      <c r="AR80" s="14">
        <f>IF($A80="","",IF(INDEX('潜水記録'!$AW$5:$AW$3004,$AS80)="","",INDEX('潜水記録'!$AW$5:$AW$3004,$AS80)))</f>
        <v/>
      </c>
      <c r="AS80" s="20">
        <f>IF($A80="","",MATCH($A80,'潜水記録'!$AI$5:$AI$3004,0))</f>
        <v/>
      </c>
    </row>
    <row r="81">
      <c r="A81" s="14">
        <f>IF(71&lt;=$C$8,71,"")</f>
        <v/>
      </c>
      <c r="B81" s="16">
        <f>IF($A81="","",IF(INDEX('潜水記録'!$A$5:$A$3004,$AS81)="","",INDEX('潜水記録'!$A$5:$A$3004,$AS81)))</f>
        <v/>
      </c>
      <c r="C81" s="14">
        <f>IF($A81="","",IF(INDEX('潜水記録'!$B$5:$B$3004,$AS81)="","",INDEX('潜水記録'!$B$5:$B$3004,$AS81)))</f>
        <v/>
      </c>
      <c r="D81" s="14">
        <f>IF($A81="","",IF(INDEX('潜水記録'!$C$5:$C$3004,$AS81)="","",INDEX('潜水記録'!$C$5:$C$3004,$AS81)))</f>
        <v/>
      </c>
      <c r="E81" s="14">
        <f>IF($A81="","",IF(INDEX('潜水記録'!$D$5:$D$3004,$AS81)="","",INDEX('潜水記録'!$D$5:$D$3004,$AS81)))</f>
        <v/>
      </c>
      <c r="F81" s="14">
        <f>IF($A81="","",IF(INDEX('潜水記録'!$E$5:$E$3004,$AS81)="","",INDEX('潜水記録'!$E$5:$E$3004,$AS81)))</f>
        <v/>
      </c>
      <c r="G81" s="14">
        <f>IF($A81="","",IF(INDEX('潜水記録'!$F$5:$F$3004,$AS81)="","",INDEX('潜水記録'!$F$5:$F$3004,$AS81)))</f>
        <v/>
      </c>
      <c r="H81" s="14">
        <f>IF($A81="","",IF(INDEX('潜水記録'!$G$5:$G$3004,$AS81)="","",INDEX('潜水記録'!$G$5:$G$3004,$AS81)))</f>
        <v/>
      </c>
      <c r="I81" s="14">
        <f>IF($A81="","",IF(INDEX('潜水記録'!$H$5:$H$3004,$AS81)="","",INDEX('潜水記録'!$H$5:$H$3004,$AS81)))</f>
        <v/>
      </c>
      <c r="J81" s="14">
        <f>IF($A81="","",IF(INDEX('潜水記録'!$I$5:$I$3004,$AS81)="","",INDEX('潜水記録'!$I$5:$I$3004,$AS81)))</f>
        <v/>
      </c>
      <c r="K81" s="14">
        <f>IF($A81="","",IF(INDEX('潜水記録'!$J$5:$J$3004,$AS81)="","",INDEX('潜水記録'!$J$5:$J$3004,$AS81)))</f>
        <v/>
      </c>
      <c r="L81" s="14">
        <f>IF($A81="","",IF(INDEX('潜水記録'!$K$5:$K$3004,$AS81)="","",INDEX('潜水記録'!$K$5:$K$3004,$AS81)))</f>
        <v/>
      </c>
      <c r="M81" s="14">
        <f>IF($A81="","",IF(INDEX('潜水記録'!$L$5:$L$3004,$AS81)="","",INDEX('潜水記録'!$L$5:$L$3004,$AS81)))</f>
        <v/>
      </c>
      <c r="N81" s="14">
        <f>IF($A81="","",IF(INDEX('潜水記録'!$M$5:$M$3004,$AS81)="","",INDEX('潜水記録'!$M$5:$M$3004,$AS81)))</f>
        <v/>
      </c>
      <c r="O81" s="14">
        <f>IF($A81="","",IF(INDEX('潜水記録'!$N$5:$N$3004,$AS81)="","",INDEX('潜水記録'!$N$5:$N$3004,$AS81)))</f>
        <v/>
      </c>
      <c r="P81" s="14">
        <f>IF($A81="","",IF(INDEX('潜水記録'!$O$5:$O$3004,$AS81)="","",INDEX('潜水記録'!$O$5:$O$3004,$AS81)))</f>
        <v/>
      </c>
      <c r="Q81" s="14">
        <f>IF($A81="","",IF(INDEX('潜水記録'!$P$5:$P$3004,$AS81)="","",INDEX('潜水記録'!$P$5:$P$3004,$AS81)))</f>
        <v/>
      </c>
      <c r="R81" s="14">
        <f>IF($A81="","",IF(INDEX('潜水記録'!$Q$5:$Q$3004,$AS81)="","",INDEX('潜水記録'!$Q$5:$Q$3004,$AS81)))</f>
        <v/>
      </c>
      <c r="S81" s="14">
        <f>IF($A81="","",IF(INDEX('潜水記録'!$R$5:$R$3004,$AS81)="","",INDEX('潜水記録'!$R$5:$R$3004,$AS81)))</f>
        <v/>
      </c>
      <c r="T81" s="14">
        <f>IF($A81="","",IF(INDEX('潜水記録'!$S$5:$S$3004,$AS81)="","",INDEX('潜水記録'!$S$5:$S$3004,$AS81)))</f>
        <v/>
      </c>
      <c r="U81" s="14">
        <f>IF($A81="","",IF(INDEX('潜水記録'!$T$5:$T$3004,$AS81)="","",INDEX('潜水記録'!$T$5:$T$3004,$AS81)))</f>
        <v/>
      </c>
      <c r="V81" s="46">
        <f>IF($A81="","",IF(INDEX('潜水記録'!$U$5:$U$3004,$AS81)="","",INDEX('潜水記録'!$U$5:$U$3004,$AS81)))</f>
        <v/>
      </c>
      <c r="W81" s="46">
        <f>IF($A81="","",IF(INDEX('潜水記録'!$V$5:$V$3004,$AS81)="","",INDEX('潜水記録'!$V$5:$V$3004,$AS81)))</f>
        <v/>
      </c>
      <c r="X81" s="14">
        <f>IF($A81="","",IF(INDEX('潜水記録'!$W$5:$W$3004,$AS81)="","",INDEX('潜水記録'!$W$5:$W$3004,$AS81)))</f>
        <v/>
      </c>
      <c r="Y81" s="14">
        <f>IF($A81="","",IF(INDEX('潜水記録'!$X$5:$X$3004,$AS81)="","",INDEX('潜水記録'!$X$5:$X$3004,$AS81)))</f>
        <v/>
      </c>
      <c r="Z81" s="14">
        <f>IF($A81="","",IF(INDEX('潜水記録'!$Y$5:$Y$3004,$AS81)="","",INDEX('潜水記録'!$Y$5:$Y$3004,$AS81)))</f>
        <v/>
      </c>
      <c r="AA81" s="14">
        <f>IF($A81="","",IF(INDEX('潜水記録'!$Z$5:$Z$3004,$AS81)="","",INDEX('潜水記録'!$Z$5:$Z$3004,$AS81)))</f>
        <v/>
      </c>
      <c r="AB81" s="14">
        <f>IF($A81="","",IF(INDEX('潜水記録'!$AA$5:$AA$3004,$AS81)="","",INDEX('潜水記録'!$AA$5:$AA$3004,$AS81)))</f>
        <v/>
      </c>
      <c r="AC81" s="14">
        <f>IF($A81="","",IF(INDEX('潜水記録'!$AB$5:$AB$3004,$AS81)="","",INDEX('潜水記録'!$AB$5:$AB$3004,$AS81)))</f>
        <v/>
      </c>
      <c r="AD81" s="14">
        <f>IF($A81="","",IF(INDEX('潜水記録'!$AC$5:$AC$3004,$AS81)="","",INDEX('潜水記録'!$AC$5:$AC$3004,$AS81)))</f>
        <v/>
      </c>
      <c r="AE81" s="14">
        <f>IF($A81="","",IF(INDEX('潜水記録'!$AD$5:$AD$3004,$AS81)="","",INDEX('潜水記録'!$AD$5:$AD$3004,$AS81)))</f>
        <v/>
      </c>
      <c r="AF81" s="14">
        <f>IF($A81="","",IF(INDEX('潜水記録'!$AE$5:$AE$3004,$AS81)="","",INDEX('潜水記録'!$AE$5:$AE$3004,$AS81)))</f>
        <v/>
      </c>
      <c r="AG81" s="14">
        <f>IF($A81="","",IF(INDEX('潜水記録'!$AL$5:$AL$3004,$AS81)="","",INDEX('潜水記録'!$AL$5:$AL$3004,$AS81)))</f>
        <v/>
      </c>
      <c r="AH81" s="14">
        <f>IF($A81="","",IF(INDEX('潜水記録'!$AM$5:$AM$3004,$AS81)="","",INDEX('潜水記録'!$AM$5:$AM$3004,$AS81)))</f>
        <v/>
      </c>
      <c r="AI81" s="46">
        <f>IF($A81="","",IF(INDEX('潜水記録'!$AN$5:$AN$3004,$AS81)="","",INDEX('潜水記録'!$AN$5:$AN$3004,$AS81)))</f>
        <v/>
      </c>
      <c r="AJ81" s="14">
        <f>IF($A81="","",IF(INDEX('潜水記録'!$AO$5:$AO$3004,$AS81)="","",INDEX('潜水記録'!$AO$5:$AO$3004,$AS81)))</f>
        <v/>
      </c>
      <c r="AK81" s="14">
        <f>IF($A81="","",IF(INDEX('潜水記録'!$AP$5:$AP$3004,$AS81)="","",INDEX('潜水記録'!$AP$5:$AP$3004,$AS81)))</f>
        <v/>
      </c>
      <c r="AL81" s="14">
        <f>IF($A81="","",IF(INDEX('潜水記録'!$AQ$5:$AQ$3004,$AS81)="","",INDEX('潜水記録'!$AQ$5:$AQ$3004,$AS81)))</f>
        <v/>
      </c>
      <c r="AM81" s="14">
        <f>IF($A81="","",IF(INDEX('潜水記録'!$AR$5:$AR$3004,$AS81)="","",INDEX('潜水記録'!$AR$5:$AR$3004,$AS81)))</f>
        <v/>
      </c>
      <c r="AN81" s="14">
        <f>IF($A81="","",IF(INDEX('潜水記録'!$AS$5:$AS$3004,$AS81)="","",INDEX('潜水記録'!$AS$5:$AS$3004,$AS81)))</f>
        <v/>
      </c>
      <c r="AO81" s="14">
        <f>IF($A81="","",IF(INDEX('潜水記録'!$AT$5:$AT$3004,$AS81)="","",INDEX('潜水記録'!$AT$5:$AT$3004,$AS81)))</f>
        <v/>
      </c>
      <c r="AP81" s="14">
        <f>IF($A81="","",IF(INDEX('潜水記録'!$AU$5:$AU$3004,$AS81)="","",INDEX('潜水記録'!$AU$5:$AU$3004,$AS81)))</f>
        <v/>
      </c>
      <c r="AQ81" s="14">
        <f>IF($A81="","",IF(INDEX('潜水記録'!$AV$5:$AV$3004,$AS81)="","",INDEX('潜水記録'!$AV$5:$AV$3004,$AS81)))</f>
        <v/>
      </c>
      <c r="AR81" s="14">
        <f>IF($A81="","",IF(INDEX('潜水記録'!$AW$5:$AW$3004,$AS81)="","",INDEX('潜水記録'!$AW$5:$AW$3004,$AS81)))</f>
        <v/>
      </c>
      <c r="AS81" s="20">
        <f>IF($A81="","",MATCH($A81,'潜水記録'!$AI$5:$AI$3004,0))</f>
        <v/>
      </c>
    </row>
    <row r="82">
      <c r="A82" s="14">
        <f>IF(72&lt;=$C$8,72,"")</f>
        <v/>
      </c>
      <c r="B82" s="16">
        <f>IF($A82="","",IF(INDEX('潜水記録'!$A$5:$A$3004,$AS82)="","",INDEX('潜水記録'!$A$5:$A$3004,$AS82)))</f>
        <v/>
      </c>
      <c r="C82" s="14">
        <f>IF($A82="","",IF(INDEX('潜水記録'!$B$5:$B$3004,$AS82)="","",INDEX('潜水記録'!$B$5:$B$3004,$AS82)))</f>
        <v/>
      </c>
      <c r="D82" s="14">
        <f>IF($A82="","",IF(INDEX('潜水記録'!$C$5:$C$3004,$AS82)="","",INDEX('潜水記録'!$C$5:$C$3004,$AS82)))</f>
        <v/>
      </c>
      <c r="E82" s="14">
        <f>IF($A82="","",IF(INDEX('潜水記録'!$D$5:$D$3004,$AS82)="","",INDEX('潜水記録'!$D$5:$D$3004,$AS82)))</f>
        <v/>
      </c>
      <c r="F82" s="14">
        <f>IF($A82="","",IF(INDEX('潜水記録'!$E$5:$E$3004,$AS82)="","",INDEX('潜水記録'!$E$5:$E$3004,$AS82)))</f>
        <v/>
      </c>
      <c r="G82" s="14">
        <f>IF($A82="","",IF(INDEX('潜水記録'!$F$5:$F$3004,$AS82)="","",INDEX('潜水記録'!$F$5:$F$3004,$AS82)))</f>
        <v/>
      </c>
      <c r="H82" s="14">
        <f>IF($A82="","",IF(INDEX('潜水記録'!$G$5:$G$3004,$AS82)="","",INDEX('潜水記録'!$G$5:$G$3004,$AS82)))</f>
        <v/>
      </c>
      <c r="I82" s="14">
        <f>IF($A82="","",IF(INDEX('潜水記録'!$H$5:$H$3004,$AS82)="","",INDEX('潜水記録'!$H$5:$H$3004,$AS82)))</f>
        <v/>
      </c>
      <c r="J82" s="14">
        <f>IF($A82="","",IF(INDEX('潜水記録'!$I$5:$I$3004,$AS82)="","",INDEX('潜水記録'!$I$5:$I$3004,$AS82)))</f>
        <v/>
      </c>
      <c r="K82" s="14">
        <f>IF($A82="","",IF(INDEX('潜水記録'!$J$5:$J$3004,$AS82)="","",INDEX('潜水記録'!$J$5:$J$3004,$AS82)))</f>
        <v/>
      </c>
      <c r="L82" s="14">
        <f>IF($A82="","",IF(INDEX('潜水記録'!$K$5:$K$3004,$AS82)="","",INDEX('潜水記録'!$K$5:$K$3004,$AS82)))</f>
        <v/>
      </c>
      <c r="M82" s="14">
        <f>IF($A82="","",IF(INDEX('潜水記録'!$L$5:$L$3004,$AS82)="","",INDEX('潜水記録'!$L$5:$L$3004,$AS82)))</f>
        <v/>
      </c>
      <c r="N82" s="14">
        <f>IF($A82="","",IF(INDEX('潜水記録'!$M$5:$M$3004,$AS82)="","",INDEX('潜水記録'!$M$5:$M$3004,$AS82)))</f>
        <v/>
      </c>
      <c r="O82" s="14">
        <f>IF($A82="","",IF(INDEX('潜水記録'!$N$5:$N$3004,$AS82)="","",INDEX('潜水記録'!$N$5:$N$3004,$AS82)))</f>
        <v/>
      </c>
      <c r="P82" s="14">
        <f>IF($A82="","",IF(INDEX('潜水記録'!$O$5:$O$3004,$AS82)="","",INDEX('潜水記録'!$O$5:$O$3004,$AS82)))</f>
        <v/>
      </c>
      <c r="Q82" s="14">
        <f>IF($A82="","",IF(INDEX('潜水記録'!$P$5:$P$3004,$AS82)="","",INDEX('潜水記録'!$P$5:$P$3004,$AS82)))</f>
        <v/>
      </c>
      <c r="R82" s="14">
        <f>IF($A82="","",IF(INDEX('潜水記録'!$Q$5:$Q$3004,$AS82)="","",INDEX('潜水記録'!$Q$5:$Q$3004,$AS82)))</f>
        <v/>
      </c>
      <c r="S82" s="14">
        <f>IF($A82="","",IF(INDEX('潜水記録'!$R$5:$R$3004,$AS82)="","",INDEX('潜水記録'!$R$5:$R$3004,$AS82)))</f>
        <v/>
      </c>
      <c r="T82" s="14">
        <f>IF($A82="","",IF(INDEX('潜水記録'!$S$5:$S$3004,$AS82)="","",INDEX('潜水記録'!$S$5:$S$3004,$AS82)))</f>
        <v/>
      </c>
      <c r="U82" s="14">
        <f>IF($A82="","",IF(INDEX('潜水記録'!$T$5:$T$3004,$AS82)="","",INDEX('潜水記録'!$T$5:$T$3004,$AS82)))</f>
        <v/>
      </c>
      <c r="V82" s="46">
        <f>IF($A82="","",IF(INDEX('潜水記録'!$U$5:$U$3004,$AS82)="","",INDEX('潜水記録'!$U$5:$U$3004,$AS82)))</f>
        <v/>
      </c>
      <c r="W82" s="46">
        <f>IF($A82="","",IF(INDEX('潜水記録'!$V$5:$V$3004,$AS82)="","",INDEX('潜水記録'!$V$5:$V$3004,$AS82)))</f>
        <v/>
      </c>
      <c r="X82" s="14">
        <f>IF($A82="","",IF(INDEX('潜水記録'!$W$5:$W$3004,$AS82)="","",INDEX('潜水記録'!$W$5:$W$3004,$AS82)))</f>
        <v/>
      </c>
      <c r="Y82" s="14">
        <f>IF($A82="","",IF(INDEX('潜水記録'!$X$5:$X$3004,$AS82)="","",INDEX('潜水記録'!$X$5:$X$3004,$AS82)))</f>
        <v/>
      </c>
      <c r="Z82" s="14">
        <f>IF($A82="","",IF(INDEX('潜水記録'!$Y$5:$Y$3004,$AS82)="","",INDEX('潜水記録'!$Y$5:$Y$3004,$AS82)))</f>
        <v/>
      </c>
      <c r="AA82" s="14">
        <f>IF($A82="","",IF(INDEX('潜水記録'!$Z$5:$Z$3004,$AS82)="","",INDEX('潜水記録'!$Z$5:$Z$3004,$AS82)))</f>
        <v/>
      </c>
      <c r="AB82" s="14">
        <f>IF($A82="","",IF(INDEX('潜水記録'!$AA$5:$AA$3004,$AS82)="","",INDEX('潜水記録'!$AA$5:$AA$3004,$AS82)))</f>
        <v/>
      </c>
      <c r="AC82" s="14">
        <f>IF($A82="","",IF(INDEX('潜水記録'!$AB$5:$AB$3004,$AS82)="","",INDEX('潜水記録'!$AB$5:$AB$3004,$AS82)))</f>
        <v/>
      </c>
      <c r="AD82" s="14">
        <f>IF($A82="","",IF(INDEX('潜水記録'!$AC$5:$AC$3004,$AS82)="","",INDEX('潜水記録'!$AC$5:$AC$3004,$AS82)))</f>
        <v/>
      </c>
      <c r="AE82" s="14">
        <f>IF($A82="","",IF(INDEX('潜水記録'!$AD$5:$AD$3004,$AS82)="","",INDEX('潜水記録'!$AD$5:$AD$3004,$AS82)))</f>
        <v/>
      </c>
      <c r="AF82" s="14">
        <f>IF($A82="","",IF(INDEX('潜水記録'!$AE$5:$AE$3004,$AS82)="","",INDEX('潜水記録'!$AE$5:$AE$3004,$AS82)))</f>
        <v/>
      </c>
      <c r="AG82" s="14">
        <f>IF($A82="","",IF(INDEX('潜水記録'!$AL$5:$AL$3004,$AS82)="","",INDEX('潜水記録'!$AL$5:$AL$3004,$AS82)))</f>
        <v/>
      </c>
      <c r="AH82" s="14">
        <f>IF($A82="","",IF(INDEX('潜水記録'!$AM$5:$AM$3004,$AS82)="","",INDEX('潜水記録'!$AM$5:$AM$3004,$AS82)))</f>
        <v/>
      </c>
      <c r="AI82" s="46">
        <f>IF($A82="","",IF(INDEX('潜水記録'!$AN$5:$AN$3004,$AS82)="","",INDEX('潜水記録'!$AN$5:$AN$3004,$AS82)))</f>
        <v/>
      </c>
      <c r="AJ82" s="14">
        <f>IF($A82="","",IF(INDEX('潜水記録'!$AO$5:$AO$3004,$AS82)="","",INDEX('潜水記録'!$AO$5:$AO$3004,$AS82)))</f>
        <v/>
      </c>
      <c r="AK82" s="14">
        <f>IF($A82="","",IF(INDEX('潜水記録'!$AP$5:$AP$3004,$AS82)="","",INDEX('潜水記録'!$AP$5:$AP$3004,$AS82)))</f>
        <v/>
      </c>
      <c r="AL82" s="14">
        <f>IF($A82="","",IF(INDEX('潜水記録'!$AQ$5:$AQ$3004,$AS82)="","",INDEX('潜水記録'!$AQ$5:$AQ$3004,$AS82)))</f>
        <v/>
      </c>
      <c r="AM82" s="14">
        <f>IF($A82="","",IF(INDEX('潜水記録'!$AR$5:$AR$3004,$AS82)="","",INDEX('潜水記録'!$AR$5:$AR$3004,$AS82)))</f>
        <v/>
      </c>
      <c r="AN82" s="14">
        <f>IF($A82="","",IF(INDEX('潜水記録'!$AS$5:$AS$3004,$AS82)="","",INDEX('潜水記録'!$AS$5:$AS$3004,$AS82)))</f>
        <v/>
      </c>
      <c r="AO82" s="14">
        <f>IF($A82="","",IF(INDEX('潜水記録'!$AT$5:$AT$3004,$AS82)="","",INDEX('潜水記録'!$AT$5:$AT$3004,$AS82)))</f>
        <v/>
      </c>
      <c r="AP82" s="14">
        <f>IF($A82="","",IF(INDEX('潜水記録'!$AU$5:$AU$3004,$AS82)="","",INDEX('潜水記録'!$AU$5:$AU$3004,$AS82)))</f>
        <v/>
      </c>
      <c r="AQ82" s="14">
        <f>IF($A82="","",IF(INDEX('潜水記録'!$AV$5:$AV$3004,$AS82)="","",INDEX('潜水記録'!$AV$5:$AV$3004,$AS82)))</f>
        <v/>
      </c>
      <c r="AR82" s="14">
        <f>IF($A82="","",IF(INDEX('潜水記録'!$AW$5:$AW$3004,$AS82)="","",INDEX('潜水記録'!$AW$5:$AW$3004,$AS82)))</f>
        <v/>
      </c>
      <c r="AS82" s="20">
        <f>IF($A82="","",MATCH($A82,'潜水記録'!$AI$5:$AI$3004,0))</f>
        <v/>
      </c>
    </row>
    <row r="83">
      <c r="A83" s="14">
        <f>IF(73&lt;=$C$8,73,"")</f>
        <v/>
      </c>
      <c r="B83" s="16">
        <f>IF($A83="","",IF(INDEX('潜水記録'!$A$5:$A$3004,$AS83)="","",INDEX('潜水記録'!$A$5:$A$3004,$AS83)))</f>
        <v/>
      </c>
      <c r="C83" s="14">
        <f>IF($A83="","",IF(INDEX('潜水記録'!$B$5:$B$3004,$AS83)="","",INDEX('潜水記録'!$B$5:$B$3004,$AS83)))</f>
        <v/>
      </c>
      <c r="D83" s="14">
        <f>IF($A83="","",IF(INDEX('潜水記録'!$C$5:$C$3004,$AS83)="","",INDEX('潜水記録'!$C$5:$C$3004,$AS83)))</f>
        <v/>
      </c>
      <c r="E83" s="14">
        <f>IF($A83="","",IF(INDEX('潜水記録'!$D$5:$D$3004,$AS83)="","",INDEX('潜水記録'!$D$5:$D$3004,$AS83)))</f>
        <v/>
      </c>
      <c r="F83" s="14">
        <f>IF($A83="","",IF(INDEX('潜水記録'!$E$5:$E$3004,$AS83)="","",INDEX('潜水記録'!$E$5:$E$3004,$AS83)))</f>
        <v/>
      </c>
      <c r="G83" s="14">
        <f>IF($A83="","",IF(INDEX('潜水記録'!$F$5:$F$3004,$AS83)="","",INDEX('潜水記録'!$F$5:$F$3004,$AS83)))</f>
        <v/>
      </c>
      <c r="H83" s="14">
        <f>IF($A83="","",IF(INDEX('潜水記録'!$G$5:$G$3004,$AS83)="","",INDEX('潜水記録'!$G$5:$G$3004,$AS83)))</f>
        <v/>
      </c>
      <c r="I83" s="14">
        <f>IF($A83="","",IF(INDEX('潜水記録'!$H$5:$H$3004,$AS83)="","",INDEX('潜水記録'!$H$5:$H$3004,$AS83)))</f>
        <v/>
      </c>
      <c r="J83" s="14">
        <f>IF($A83="","",IF(INDEX('潜水記録'!$I$5:$I$3004,$AS83)="","",INDEX('潜水記録'!$I$5:$I$3004,$AS83)))</f>
        <v/>
      </c>
      <c r="K83" s="14">
        <f>IF($A83="","",IF(INDEX('潜水記録'!$J$5:$J$3004,$AS83)="","",INDEX('潜水記録'!$J$5:$J$3004,$AS83)))</f>
        <v/>
      </c>
      <c r="L83" s="14">
        <f>IF($A83="","",IF(INDEX('潜水記録'!$K$5:$K$3004,$AS83)="","",INDEX('潜水記録'!$K$5:$K$3004,$AS83)))</f>
        <v/>
      </c>
      <c r="M83" s="14">
        <f>IF($A83="","",IF(INDEX('潜水記録'!$L$5:$L$3004,$AS83)="","",INDEX('潜水記録'!$L$5:$L$3004,$AS83)))</f>
        <v/>
      </c>
      <c r="N83" s="14">
        <f>IF($A83="","",IF(INDEX('潜水記録'!$M$5:$M$3004,$AS83)="","",INDEX('潜水記録'!$M$5:$M$3004,$AS83)))</f>
        <v/>
      </c>
      <c r="O83" s="14">
        <f>IF($A83="","",IF(INDEX('潜水記録'!$N$5:$N$3004,$AS83)="","",INDEX('潜水記録'!$N$5:$N$3004,$AS83)))</f>
        <v/>
      </c>
      <c r="P83" s="14">
        <f>IF($A83="","",IF(INDEX('潜水記録'!$O$5:$O$3004,$AS83)="","",INDEX('潜水記録'!$O$5:$O$3004,$AS83)))</f>
        <v/>
      </c>
      <c r="Q83" s="14">
        <f>IF($A83="","",IF(INDEX('潜水記録'!$P$5:$P$3004,$AS83)="","",INDEX('潜水記録'!$P$5:$P$3004,$AS83)))</f>
        <v/>
      </c>
      <c r="R83" s="14">
        <f>IF($A83="","",IF(INDEX('潜水記録'!$Q$5:$Q$3004,$AS83)="","",INDEX('潜水記録'!$Q$5:$Q$3004,$AS83)))</f>
        <v/>
      </c>
      <c r="S83" s="14">
        <f>IF($A83="","",IF(INDEX('潜水記録'!$R$5:$R$3004,$AS83)="","",INDEX('潜水記録'!$R$5:$R$3004,$AS83)))</f>
        <v/>
      </c>
      <c r="T83" s="14">
        <f>IF($A83="","",IF(INDEX('潜水記録'!$S$5:$S$3004,$AS83)="","",INDEX('潜水記録'!$S$5:$S$3004,$AS83)))</f>
        <v/>
      </c>
      <c r="U83" s="14">
        <f>IF($A83="","",IF(INDEX('潜水記録'!$T$5:$T$3004,$AS83)="","",INDEX('潜水記録'!$T$5:$T$3004,$AS83)))</f>
        <v/>
      </c>
      <c r="V83" s="46">
        <f>IF($A83="","",IF(INDEX('潜水記録'!$U$5:$U$3004,$AS83)="","",INDEX('潜水記録'!$U$5:$U$3004,$AS83)))</f>
        <v/>
      </c>
      <c r="W83" s="46">
        <f>IF($A83="","",IF(INDEX('潜水記録'!$V$5:$V$3004,$AS83)="","",INDEX('潜水記録'!$V$5:$V$3004,$AS83)))</f>
        <v/>
      </c>
      <c r="X83" s="14">
        <f>IF($A83="","",IF(INDEX('潜水記録'!$W$5:$W$3004,$AS83)="","",INDEX('潜水記録'!$W$5:$W$3004,$AS83)))</f>
        <v/>
      </c>
      <c r="Y83" s="14">
        <f>IF($A83="","",IF(INDEX('潜水記録'!$X$5:$X$3004,$AS83)="","",INDEX('潜水記録'!$X$5:$X$3004,$AS83)))</f>
        <v/>
      </c>
      <c r="Z83" s="14">
        <f>IF($A83="","",IF(INDEX('潜水記録'!$Y$5:$Y$3004,$AS83)="","",INDEX('潜水記録'!$Y$5:$Y$3004,$AS83)))</f>
        <v/>
      </c>
      <c r="AA83" s="14">
        <f>IF($A83="","",IF(INDEX('潜水記録'!$Z$5:$Z$3004,$AS83)="","",INDEX('潜水記録'!$Z$5:$Z$3004,$AS83)))</f>
        <v/>
      </c>
      <c r="AB83" s="14">
        <f>IF($A83="","",IF(INDEX('潜水記録'!$AA$5:$AA$3004,$AS83)="","",INDEX('潜水記録'!$AA$5:$AA$3004,$AS83)))</f>
        <v/>
      </c>
      <c r="AC83" s="14">
        <f>IF($A83="","",IF(INDEX('潜水記録'!$AB$5:$AB$3004,$AS83)="","",INDEX('潜水記録'!$AB$5:$AB$3004,$AS83)))</f>
        <v/>
      </c>
      <c r="AD83" s="14">
        <f>IF($A83="","",IF(INDEX('潜水記録'!$AC$5:$AC$3004,$AS83)="","",INDEX('潜水記録'!$AC$5:$AC$3004,$AS83)))</f>
        <v/>
      </c>
      <c r="AE83" s="14">
        <f>IF($A83="","",IF(INDEX('潜水記録'!$AD$5:$AD$3004,$AS83)="","",INDEX('潜水記録'!$AD$5:$AD$3004,$AS83)))</f>
        <v/>
      </c>
      <c r="AF83" s="14">
        <f>IF($A83="","",IF(INDEX('潜水記録'!$AE$5:$AE$3004,$AS83)="","",INDEX('潜水記録'!$AE$5:$AE$3004,$AS83)))</f>
        <v/>
      </c>
      <c r="AG83" s="14">
        <f>IF($A83="","",IF(INDEX('潜水記録'!$AL$5:$AL$3004,$AS83)="","",INDEX('潜水記録'!$AL$5:$AL$3004,$AS83)))</f>
        <v/>
      </c>
      <c r="AH83" s="14">
        <f>IF($A83="","",IF(INDEX('潜水記録'!$AM$5:$AM$3004,$AS83)="","",INDEX('潜水記録'!$AM$5:$AM$3004,$AS83)))</f>
        <v/>
      </c>
      <c r="AI83" s="46">
        <f>IF($A83="","",IF(INDEX('潜水記録'!$AN$5:$AN$3004,$AS83)="","",INDEX('潜水記録'!$AN$5:$AN$3004,$AS83)))</f>
        <v/>
      </c>
      <c r="AJ83" s="14">
        <f>IF($A83="","",IF(INDEX('潜水記録'!$AO$5:$AO$3004,$AS83)="","",INDEX('潜水記録'!$AO$5:$AO$3004,$AS83)))</f>
        <v/>
      </c>
      <c r="AK83" s="14">
        <f>IF($A83="","",IF(INDEX('潜水記録'!$AP$5:$AP$3004,$AS83)="","",INDEX('潜水記録'!$AP$5:$AP$3004,$AS83)))</f>
        <v/>
      </c>
      <c r="AL83" s="14">
        <f>IF($A83="","",IF(INDEX('潜水記録'!$AQ$5:$AQ$3004,$AS83)="","",INDEX('潜水記録'!$AQ$5:$AQ$3004,$AS83)))</f>
        <v/>
      </c>
      <c r="AM83" s="14">
        <f>IF($A83="","",IF(INDEX('潜水記録'!$AR$5:$AR$3004,$AS83)="","",INDEX('潜水記録'!$AR$5:$AR$3004,$AS83)))</f>
        <v/>
      </c>
      <c r="AN83" s="14">
        <f>IF($A83="","",IF(INDEX('潜水記録'!$AS$5:$AS$3004,$AS83)="","",INDEX('潜水記録'!$AS$5:$AS$3004,$AS83)))</f>
        <v/>
      </c>
      <c r="AO83" s="14">
        <f>IF($A83="","",IF(INDEX('潜水記録'!$AT$5:$AT$3004,$AS83)="","",INDEX('潜水記録'!$AT$5:$AT$3004,$AS83)))</f>
        <v/>
      </c>
      <c r="AP83" s="14">
        <f>IF($A83="","",IF(INDEX('潜水記録'!$AU$5:$AU$3004,$AS83)="","",INDEX('潜水記録'!$AU$5:$AU$3004,$AS83)))</f>
        <v/>
      </c>
      <c r="AQ83" s="14">
        <f>IF($A83="","",IF(INDEX('潜水記録'!$AV$5:$AV$3004,$AS83)="","",INDEX('潜水記録'!$AV$5:$AV$3004,$AS83)))</f>
        <v/>
      </c>
      <c r="AR83" s="14">
        <f>IF($A83="","",IF(INDEX('潜水記録'!$AW$5:$AW$3004,$AS83)="","",INDEX('潜水記録'!$AW$5:$AW$3004,$AS83)))</f>
        <v/>
      </c>
      <c r="AS83" s="20">
        <f>IF($A83="","",MATCH($A83,'潜水記録'!$AI$5:$AI$3004,0))</f>
        <v/>
      </c>
    </row>
    <row r="84">
      <c r="A84" s="14">
        <f>IF(74&lt;=$C$8,74,"")</f>
        <v/>
      </c>
      <c r="B84" s="16">
        <f>IF($A84="","",IF(INDEX('潜水記録'!$A$5:$A$3004,$AS84)="","",INDEX('潜水記録'!$A$5:$A$3004,$AS84)))</f>
        <v/>
      </c>
      <c r="C84" s="14">
        <f>IF($A84="","",IF(INDEX('潜水記録'!$B$5:$B$3004,$AS84)="","",INDEX('潜水記録'!$B$5:$B$3004,$AS84)))</f>
        <v/>
      </c>
      <c r="D84" s="14">
        <f>IF($A84="","",IF(INDEX('潜水記録'!$C$5:$C$3004,$AS84)="","",INDEX('潜水記録'!$C$5:$C$3004,$AS84)))</f>
        <v/>
      </c>
      <c r="E84" s="14">
        <f>IF($A84="","",IF(INDEX('潜水記録'!$D$5:$D$3004,$AS84)="","",INDEX('潜水記録'!$D$5:$D$3004,$AS84)))</f>
        <v/>
      </c>
      <c r="F84" s="14">
        <f>IF($A84="","",IF(INDEX('潜水記録'!$E$5:$E$3004,$AS84)="","",INDEX('潜水記録'!$E$5:$E$3004,$AS84)))</f>
        <v/>
      </c>
      <c r="G84" s="14">
        <f>IF($A84="","",IF(INDEX('潜水記録'!$F$5:$F$3004,$AS84)="","",INDEX('潜水記録'!$F$5:$F$3004,$AS84)))</f>
        <v/>
      </c>
      <c r="H84" s="14">
        <f>IF($A84="","",IF(INDEX('潜水記録'!$G$5:$G$3004,$AS84)="","",INDEX('潜水記録'!$G$5:$G$3004,$AS84)))</f>
        <v/>
      </c>
      <c r="I84" s="14">
        <f>IF($A84="","",IF(INDEX('潜水記録'!$H$5:$H$3004,$AS84)="","",INDEX('潜水記録'!$H$5:$H$3004,$AS84)))</f>
        <v/>
      </c>
      <c r="J84" s="14">
        <f>IF($A84="","",IF(INDEX('潜水記録'!$I$5:$I$3004,$AS84)="","",INDEX('潜水記録'!$I$5:$I$3004,$AS84)))</f>
        <v/>
      </c>
      <c r="K84" s="14">
        <f>IF($A84="","",IF(INDEX('潜水記録'!$J$5:$J$3004,$AS84)="","",INDEX('潜水記録'!$J$5:$J$3004,$AS84)))</f>
        <v/>
      </c>
      <c r="L84" s="14">
        <f>IF($A84="","",IF(INDEX('潜水記録'!$K$5:$K$3004,$AS84)="","",INDEX('潜水記録'!$K$5:$K$3004,$AS84)))</f>
        <v/>
      </c>
      <c r="M84" s="14">
        <f>IF($A84="","",IF(INDEX('潜水記録'!$L$5:$L$3004,$AS84)="","",INDEX('潜水記録'!$L$5:$L$3004,$AS84)))</f>
        <v/>
      </c>
      <c r="N84" s="14">
        <f>IF($A84="","",IF(INDEX('潜水記録'!$M$5:$M$3004,$AS84)="","",INDEX('潜水記録'!$M$5:$M$3004,$AS84)))</f>
        <v/>
      </c>
      <c r="O84" s="14">
        <f>IF($A84="","",IF(INDEX('潜水記録'!$N$5:$N$3004,$AS84)="","",INDEX('潜水記録'!$N$5:$N$3004,$AS84)))</f>
        <v/>
      </c>
      <c r="P84" s="14">
        <f>IF($A84="","",IF(INDEX('潜水記録'!$O$5:$O$3004,$AS84)="","",INDEX('潜水記録'!$O$5:$O$3004,$AS84)))</f>
        <v/>
      </c>
      <c r="Q84" s="14">
        <f>IF($A84="","",IF(INDEX('潜水記録'!$P$5:$P$3004,$AS84)="","",INDEX('潜水記録'!$P$5:$P$3004,$AS84)))</f>
        <v/>
      </c>
      <c r="R84" s="14">
        <f>IF($A84="","",IF(INDEX('潜水記録'!$Q$5:$Q$3004,$AS84)="","",INDEX('潜水記録'!$Q$5:$Q$3004,$AS84)))</f>
        <v/>
      </c>
      <c r="S84" s="14">
        <f>IF($A84="","",IF(INDEX('潜水記録'!$R$5:$R$3004,$AS84)="","",INDEX('潜水記録'!$R$5:$R$3004,$AS84)))</f>
        <v/>
      </c>
      <c r="T84" s="14">
        <f>IF($A84="","",IF(INDEX('潜水記録'!$S$5:$S$3004,$AS84)="","",INDEX('潜水記録'!$S$5:$S$3004,$AS84)))</f>
        <v/>
      </c>
      <c r="U84" s="14">
        <f>IF($A84="","",IF(INDEX('潜水記録'!$T$5:$T$3004,$AS84)="","",INDEX('潜水記録'!$T$5:$T$3004,$AS84)))</f>
        <v/>
      </c>
      <c r="V84" s="46">
        <f>IF($A84="","",IF(INDEX('潜水記録'!$U$5:$U$3004,$AS84)="","",INDEX('潜水記録'!$U$5:$U$3004,$AS84)))</f>
        <v/>
      </c>
      <c r="W84" s="46">
        <f>IF($A84="","",IF(INDEX('潜水記録'!$V$5:$V$3004,$AS84)="","",INDEX('潜水記録'!$V$5:$V$3004,$AS84)))</f>
        <v/>
      </c>
      <c r="X84" s="14">
        <f>IF($A84="","",IF(INDEX('潜水記録'!$W$5:$W$3004,$AS84)="","",INDEX('潜水記録'!$W$5:$W$3004,$AS84)))</f>
        <v/>
      </c>
      <c r="Y84" s="14">
        <f>IF($A84="","",IF(INDEX('潜水記録'!$X$5:$X$3004,$AS84)="","",INDEX('潜水記録'!$X$5:$X$3004,$AS84)))</f>
        <v/>
      </c>
      <c r="Z84" s="14">
        <f>IF($A84="","",IF(INDEX('潜水記録'!$Y$5:$Y$3004,$AS84)="","",INDEX('潜水記録'!$Y$5:$Y$3004,$AS84)))</f>
        <v/>
      </c>
      <c r="AA84" s="14">
        <f>IF($A84="","",IF(INDEX('潜水記録'!$Z$5:$Z$3004,$AS84)="","",INDEX('潜水記録'!$Z$5:$Z$3004,$AS84)))</f>
        <v/>
      </c>
      <c r="AB84" s="14">
        <f>IF($A84="","",IF(INDEX('潜水記録'!$AA$5:$AA$3004,$AS84)="","",INDEX('潜水記録'!$AA$5:$AA$3004,$AS84)))</f>
        <v/>
      </c>
      <c r="AC84" s="14">
        <f>IF($A84="","",IF(INDEX('潜水記録'!$AB$5:$AB$3004,$AS84)="","",INDEX('潜水記録'!$AB$5:$AB$3004,$AS84)))</f>
        <v/>
      </c>
      <c r="AD84" s="14">
        <f>IF($A84="","",IF(INDEX('潜水記録'!$AC$5:$AC$3004,$AS84)="","",INDEX('潜水記録'!$AC$5:$AC$3004,$AS84)))</f>
        <v/>
      </c>
      <c r="AE84" s="14">
        <f>IF($A84="","",IF(INDEX('潜水記録'!$AD$5:$AD$3004,$AS84)="","",INDEX('潜水記録'!$AD$5:$AD$3004,$AS84)))</f>
        <v/>
      </c>
      <c r="AF84" s="14">
        <f>IF($A84="","",IF(INDEX('潜水記録'!$AE$5:$AE$3004,$AS84)="","",INDEX('潜水記録'!$AE$5:$AE$3004,$AS84)))</f>
        <v/>
      </c>
      <c r="AG84" s="14">
        <f>IF($A84="","",IF(INDEX('潜水記録'!$AL$5:$AL$3004,$AS84)="","",INDEX('潜水記録'!$AL$5:$AL$3004,$AS84)))</f>
        <v/>
      </c>
      <c r="AH84" s="14">
        <f>IF($A84="","",IF(INDEX('潜水記録'!$AM$5:$AM$3004,$AS84)="","",INDEX('潜水記録'!$AM$5:$AM$3004,$AS84)))</f>
        <v/>
      </c>
      <c r="AI84" s="46">
        <f>IF($A84="","",IF(INDEX('潜水記録'!$AN$5:$AN$3004,$AS84)="","",INDEX('潜水記録'!$AN$5:$AN$3004,$AS84)))</f>
        <v/>
      </c>
      <c r="AJ84" s="14">
        <f>IF($A84="","",IF(INDEX('潜水記録'!$AO$5:$AO$3004,$AS84)="","",INDEX('潜水記録'!$AO$5:$AO$3004,$AS84)))</f>
        <v/>
      </c>
      <c r="AK84" s="14">
        <f>IF($A84="","",IF(INDEX('潜水記録'!$AP$5:$AP$3004,$AS84)="","",INDEX('潜水記録'!$AP$5:$AP$3004,$AS84)))</f>
        <v/>
      </c>
      <c r="AL84" s="14">
        <f>IF($A84="","",IF(INDEX('潜水記録'!$AQ$5:$AQ$3004,$AS84)="","",INDEX('潜水記録'!$AQ$5:$AQ$3004,$AS84)))</f>
        <v/>
      </c>
      <c r="AM84" s="14">
        <f>IF($A84="","",IF(INDEX('潜水記録'!$AR$5:$AR$3004,$AS84)="","",INDEX('潜水記録'!$AR$5:$AR$3004,$AS84)))</f>
        <v/>
      </c>
      <c r="AN84" s="14">
        <f>IF($A84="","",IF(INDEX('潜水記録'!$AS$5:$AS$3004,$AS84)="","",INDEX('潜水記録'!$AS$5:$AS$3004,$AS84)))</f>
        <v/>
      </c>
      <c r="AO84" s="14">
        <f>IF($A84="","",IF(INDEX('潜水記録'!$AT$5:$AT$3004,$AS84)="","",INDEX('潜水記録'!$AT$5:$AT$3004,$AS84)))</f>
        <v/>
      </c>
      <c r="AP84" s="14">
        <f>IF($A84="","",IF(INDEX('潜水記録'!$AU$5:$AU$3004,$AS84)="","",INDEX('潜水記録'!$AU$5:$AU$3004,$AS84)))</f>
        <v/>
      </c>
      <c r="AQ84" s="14">
        <f>IF($A84="","",IF(INDEX('潜水記録'!$AV$5:$AV$3004,$AS84)="","",INDEX('潜水記録'!$AV$5:$AV$3004,$AS84)))</f>
        <v/>
      </c>
      <c r="AR84" s="14">
        <f>IF($A84="","",IF(INDEX('潜水記録'!$AW$5:$AW$3004,$AS84)="","",INDEX('潜水記録'!$AW$5:$AW$3004,$AS84)))</f>
        <v/>
      </c>
      <c r="AS84" s="20">
        <f>IF($A84="","",MATCH($A84,'潜水記録'!$AI$5:$AI$3004,0))</f>
        <v/>
      </c>
    </row>
    <row r="85">
      <c r="A85" s="14">
        <f>IF(75&lt;=$C$8,75,"")</f>
        <v/>
      </c>
      <c r="B85" s="16">
        <f>IF($A85="","",IF(INDEX('潜水記録'!$A$5:$A$3004,$AS85)="","",INDEX('潜水記録'!$A$5:$A$3004,$AS85)))</f>
        <v/>
      </c>
      <c r="C85" s="14">
        <f>IF($A85="","",IF(INDEX('潜水記録'!$B$5:$B$3004,$AS85)="","",INDEX('潜水記録'!$B$5:$B$3004,$AS85)))</f>
        <v/>
      </c>
      <c r="D85" s="14">
        <f>IF($A85="","",IF(INDEX('潜水記録'!$C$5:$C$3004,$AS85)="","",INDEX('潜水記録'!$C$5:$C$3004,$AS85)))</f>
        <v/>
      </c>
      <c r="E85" s="14">
        <f>IF($A85="","",IF(INDEX('潜水記録'!$D$5:$D$3004,$AS85)="","",INDEX('潜水記録'!$D$5:$D$3004,$AS85)))</f>
        <v/>
      </c>
      <c r="F85" s="14">
        <f>IF($A85="","",IF(INDEX('潜水記録'!$E$5:$E$3004,$AS85)="","",INDEX('潜水記録'!$E$5:$E$3004,$AS85)))</f>
        <v/>
      </c>
      <c r="G85" s="14">
        <f>IF($A85="","",IF(INDEX('潜水記録'!$F$5:$F$3004,$AS85)="","",INDEX('潜水記録'!$F$5:$F$3004,$AS85)))</f>
        <v/>
      </c>
      <c r="H85" s="14">
        <f>IF($A85="","",IF(INDEX('潜水記録'!$G$5:$G$3004,$AS85)="","",INDEX('潜水記録'!$G$5:$G$3004,$AS85)))</f>
        <v/>
      </c>
      <c r="I85" s="14">
        <f>IF($A85="","",IF(INDEX('潜水記録'!$H$5:$H$3004,$AS85)="","",INDEX('潜水記録'!$H$5:$H$3004,$AS85)))</f>
        <v/>
      </c>
      <c r="J85" s="14">
        <f>IF($A85="","",IF(INDEX('潜水記録'!$I$5:$I$3004,$AS85)="","",INDEX('潜水記録'!$I$5:$I$3004,$AS85)))</f>
        <v/>
      </c>
      <c r="K85" s="14">
        <f>IF($A85="","",IF(INDEX('潜水記録'!$J$5:$J$3004,$AS85)="","",INDEX('潜水記録'!$J$5:$J$3004,$AS85)))</f>
        <v/>
      </c>
      <c r="L85" s="14">
        <f>IF($A85="","",IF(INDEX('潜水記録'!$K$5:$K$3004,$AS85)="","",INDEX('潜水記録'!$K$5:$K$3004,$AS85)))</f>
        <v/>
      </c>
      <c r="M85" s="14">
        <f>IF($A85="","",IF(INDEX('潜水記録'!$L$5:$L$3004,$AS85)="","",INDEX('潜水記録'!$L$5:$L$3004,$AS85)))</f>
        <v/>
      </c>
      <c r="N85" s="14">
        <f>IF($A85="","",IF(INDEX('潜水記録'!$M$5:$M$3004,$AS85)="","",INDEX('潜水記録'!$M$5:$M$3004,$AS85)))</f>
        <v/>
      </c>
      <c r="O85" s="14">
        <f>IF($A85="","",IF(INDEX('潜水記録'!$N$5:$N$3004,$AS85)="","",INDEX('潜水記録'!$N$5:$N$3004,$AS85)))</f>
        <v/>
      </c>
      <c r="P85" s="14">
        <f>IF($A85="","",IF(INDEX('潜水記録'!$O$5:$O$3004,$AS85)="","",INDEX('潜水記録'!$O$5:$O$3004,$AS85)))</f>
        <v/>
      </c>
      <c r="Q85" s="14">
        <f>IF($A85="","",IF(INDEX('潜水記録'!$P$5:$P$3004,$AS85)="","",INDEX('潜水記録'!$P$5:$P$3004,$AS85)))</f>
        <v/>
      </c>
      <c r="R85" s="14">
        <f>IF($A85="","",IF(INDEX('潜水記録'!$Q$5:$Q$3004,$AS85)="","",INDEX('潜水記録'!$Q$5:$Q$3004,$AS85)))</f>
        <v/>
      </c>
      <c r="S85" s="14">
        <f>IF($A85="","",IF(INDEX('潜水記録'!$R$5:$R$3004,$AS85)="","",INDEX('潜水記録'!$R$5:$R$3004,$AS85)))</f>
        <v/>
      </c>
      <c r="T85" s="14">
        <f>IF($A85="","",IF(INDEX('潜水記録'!$S$5:$S$3004,$AS85)="","",INDEX('潜水記録'!$S$5:$S$3004,$AS85)))</f>
        <v/>
      </c>
      <c r="U85" s="14">
        <f>IF($A85="","",IF(INDEX('潜水記録'!$T$5:$T$3004,$AS85)="","",INDEX('潜水記録'!$T$5:$T$3004,$AS85)))</f>
        <v/>
      </c>
      <c r="V85" s="46">
        <f>IF($A85="","",IF(INDEX('潜水記録'!$U$5:$U$3004,$AS85)="","",INDEX('潜水記録'!$U$5:$U$3004,$AS85)))</f>
        <v/>
      </c>
      <c r="W85" s="46">
        <f>IF($A85="","",IF(INDEX('潜水記録'!$V$5:$V$3004,$AS85)="","",INDEX('潜水記録'!$V$5:$V$3004,$AS85)))</f>
        <v/>
      </c>
      <c r="X85" s="14">
        <f>IF($A85="","",IF(INDEX('潜水記録'!$W$5:$W$3004,$AS85)="","",INDEX('潜水記録'!$W$5:$W$3004,$AS85)))</f>
        <v/>
      </c>
      <c r="Y85" s="14">
        <f>IF($A85="","",IF(INDEX('潜水記録'!$X$5:$X$3004,$AS85)="","",INDEX('潜水記録'!$X$5:$X$3004,$AS85)))</f>
        <v/>
      </c>
      <c r="Z85" s="14">
        <f>IF($A85="","",IF(INDEX('潜水記録'!$Y$5:$Y$3004,$AS85)="","",INDEX('潜水記録'!$Y$5:$Y$3004,$AS85)))</f>
        <v/>
      </c>
      <c r="AA85" s="14">
        <f>IF($A85="","",IF(INDEX('潜水記録'!$Z$5:$Z$3004,$AS85)="","",INDEX('潜水記録'!$Z$5:$Z$3004,$AS85)))</f>
        <v/>
      </c>
      <c r="AB85" s="14">
        <f>IF($A85="","",IF(INDEX('潜水記録'!$AA$5:$AA$3004,$AS85)="","",INDEX('潜水記録'!$AA$5:$AA$3004,$AS85)))</f>
        <v/>
      </c>
      <c r="AC85" s="14">
        <f>IF($A85="","",IF(INDEX('潜水記録'!$AB$5:$AB$3004,$AS85)="","",INDEX('潜水記録'!$AB$5:$AB$3004,$AS85)))</f>
        <v/>
      </c>
      <c r="AD85" s="14">
        <f>IF($A85="","",IF(INDEX('潜水記録'!$AC$5:$AC$3004,$AS85)="","",INDEX('潜水記録'!$AC$5:$AC$3004,$AS85)))</f>
        <v/>
      </c>
      <c r="AE85" s="14">
        <f>IF($A85="","",IF(INDEX('潜水記録'!$AD$5:$AD$3004,$AS85)="","",INDEX('潜水記録'!$AD$5:$AD$3004,$AS85)))</f>
        <v/>
      </c>
      <c r="AF85" s="14">
        <f>IF($A85="","",IF(INDEX('潜水記録'!$AE$5:$AE$3004,$AS85)="","",INDEX('潜水記録'!$AE$5:$AE$3004,$AS85)))</f>
        <v/>
      </c>
      <c r="AG85" s="14">
        <f>IF($A85="","",IF(INDEX('潜水記録'!$AL$5:$AL$3004,$AS85)="","",INDEX('潜水記録'!$AL$5:$AL$3004,$AS85)))</f>
        <v/>
      </c>
      <c r="AH85" s="14">
        <f>IF($A85="","",IF(INDEX('潜水記録'!$AM$5:$AM$3004,$AS85)="","",INDEX('潜水記録'!$AM$5:$AM$3004,$AS85)))</f>
        <v/>
      </c>
      <c r="AI85" s="46">
        <f>IF($A85="","",IF(INDEX('潜水記録'!$AN$5:$AN$3004,$AS85)="","",INDEX('潜水記録'!$AN$5:$AN$3004,$AS85)))</f>
        <v/>
      </c>
      <c r="AJ85" s="14">
        <f>IF($A85="","",IF(INDEX('潜水記録'!$AO$5:$AO$3004,$AS85)="","",INDEX('潜水記録'!$AO$5:$AO$3004,$AS85)))</f>
        <v/>
      </c>
      <c r="AK85" s="14">
        <f>IF($A85="","",IF(INDEX('潜水記録'!$AP$5:$AP$3004,$AS85)="","",INDEX('潜水記録'!$AP$5:$AP$3004,$AS85)))</f>
        <v/>
      </c>
      <c r="AL85" s="14">
        <f>IF($A85="","",IF(INDEX('潜水記録'!$AQ$5:$AQ$3004,$AS85)="","",INDEX('潜水記録'!$AQ$5:$AQ$3004,$AS85)))</f>
        <v/>
      </c>
      <c r="AM85" s="14">
        <f>IF($A85="","",IF(INDEX('潜水記録'!$AR$5:$AR$3004,$AS85)="","",INDEX('潜水記録'!$AR$5:$AR$3004,$AS85)))</f>
        <v/>
      </c>
      <c r="AN85" s="14">
        <f>IF($A85="","",IF(INDEX('潜水記録'!$AS$5:$AS$3004,$AS85)="","",INDEX('潜水記録'!$AS$5:$AS$3004,$AS85)))</f>
        <v/>
      </c>
      <c r="AO85" s="14">
        <f>IF($A85="","",IF(INDEX('潜水記録'!$AT$5:$AT$3004,$AS85)="","",INDEX('潜水記録'!$AT$5:$AT$3004,$AS85)))</f>
        <v/>
      </c>
      <c r="AP85" s="14">
        <f>IF($A85="","",IF(INDEX('潜水記録'!$AU$5:$AU$3004,$AS85)="","",INDEX('潜水記録'!$AU$5:$AU$3004,$AS85)))</f>
        <v/>
      </c>
      <c r="AQ85" s="14">
        <f>IF($A85="","",IF(INDEX('潜水記録'!$AV$5:$AV$3004,$AS85)="","",INDEX('潜水記録'!$AV$5:$AV$3004,$AS85)))</f>
        <v/>
      </c>
      <c r="AR85" s="14">
        <f>IF($A85="","",IF(INDEX('潜水記録'!$AW$5:$AW$3004,$AS85)="","",INDEX('潜水記録'!$AW$5:$AW$3004,$AS85)))</f>
        <v/>
      </c>
      <c r="AS85" s="20">
        <f>IF($A85="","",MATCH($A85,'潜水記録'!$AI$5:$AI$3004,0))</f>
        <v/>
      </c>
    </row>
    <row r="86">
      <c r="A86" s="14">
        <f>IF(76&lt;=$C$8,76,"")</f>
        <v/>
      </c>
      <c r="B86" s="16">
        <f>IF($A86="","",IF(INDEX('潜水記録'!$A$5:$A$3004,$AS86)="","",INDEX('潜水記録'!$A$5:$A$3004,$AS86)))</f>
        <v/>
      </c>
      <c r="C86" s="14">
        <f>IF($A86="","",IF(INDEX('潜水記録'!$B$5:$B$3004,$AS86)="","",INDEX('潜水記録'!$B$5:$B$3004,$AS86)))</f>
        <v/>
      </c>
      <c r="D86" s="14">
        <f>IF($A86="","",IF(INDEX('潜水記録'!$C$5:$C$3004,$AS86)="","",INDEX('潜水記録'!$C$5:$C$3004,$AS86)))</f>
        <v/>
      </c>
      <c r="E86" s="14">
        <f>IF($A86="","",IF(INDEX('潜水記録'!$D$5:$D$3004,$AS86)="","",INDEX('潜水記録'!$D$5:$D$3004,$AS86)))</f>
        <v/>
      </c>
      <c r="F86" s="14">
        <f>IF($A86="","",IF(INDEX('潜水記録'!$E$5:$E$3004,$AS86)="","",INDEX('潜水記録'!$E$5:$E$3004,$AS86)))</f>
        <v/>
      </c>
      <c r="G86" s="14">
        <f>IF($A86="","",IF(INDEX('潜水記録'!$F$5:$F$3004,$AS86)="","",INDEX('潜水記録'!$F$5:$F$3004,$AS86)))</f>
        <v/>
      </c>
      <c r="H86" s="14">
        <f>IF($A86="","",IF(INDEX('潜水記録'!$G$5:$G$3004,$AS86)="","",INDEX('潜水記録'!$G$5:$G$3004,$AS86)))</f>
        <v/>
      </c>
      <c r="I86" s="14">
        <f>IF($A86="","",IF(INDEX('潜水記録'!$H$5:$H$3004,$AS86)="","",INDEX('潜水記録'!$H$5:$H$3004,$AS86)))</f>
        <v/>
      </c>
      <c r="J86" s="14">
        <f>IF($A86="","",IF(INDEX('潜水記録'!$I$5:$I$3004,$AS86)="","",INDEX('潜水記録'!$I$5:$I$3004,$AS86)))</f>
        <v/>
      </c>
      <c r="K86" s="14">
        <f>IF($A86="","",IF(INDEX('潜水記録'!$J$5:$J$3004,$AS86)="","",INDEX('潜水記録'!$J$5:$J$3004,$AS86)))</f>
        <v/>
      </c>
      <c r="L86" s="14">
        <f>IF($A86="","",IF(INDEX('潜水記録'!$K$5:$K$3004,$AS86)="","",INDEX('潜水記録'!$K$5:$K$3004,$AS86)))</f>
        <v/>
      </c>
      <c r="M86" s="14">
        <f>IF($A86="","",IF(INDEX('潜水記録'!$L$5:$L$3004,$AS86)="","",INDEX('潜水記録'!$L$5:$L$3004,$AS86)))</f>
        <v/>
      </c>
      <c r="N86" s="14">
        <f>IF($A86="","",IF(INDEX('潜水記録'!$M$5:$M$3004,$AS86)="","",INDEX('潜水記録'!$M$5:$M$3004,$AS86)))</f>
        <v/>
      </c>
      <c r="O86" s="14">
        <f>IF($A86="","",IF(INDEX('潜水記録'!$N$5:$N$3004,$AS86)="","",INDEX('潜水記録'!$N$5:$N$3004,$AS86)))</f>
        <v/>
      </c>
      <c r="P86" s="14">
        <f>IF($A86="","",IF(INDEX('潜水記録'!$O$5:$O$3004,$AS86)="","",INDEX('潜水記録'!$O$5:$O$3004,$AS86)))</f>
        <v/>
      </c>
      <c r="Q86" s="14">
        <f>IF($A86="","",IF(INDEX('潜水記録'!$P$5:$P$3004,$AS86)="","",INDEX('潜水記録'!$P$5:$P$3004,$AS86)))</f>
        <v/>
      </c>
      <c r="R86" s="14">
        <f>IF($A86="","",IF(INDEX('潜水記録'!$Q$5:$Q$3004,$AS86)="","",INDEX('潜水記録'!$Q$5:$Q$3004,$AS86)))</f>
        <v/>
      </c>
      <c r="S86" s="14">
        <f>IF($A86="","",IF(INDEX('潜水記録'!$R$5:$R$3004,$AS86)="","",INDEX('潜水記録'!$R$5:$R$3004,$AS86)))</f>
        <v/>
      </c>
      <c r="T86" s="14">
        <f>IF($A86="","",IF(INDEX('潜水記録'!$S$5:$S$3004,$AS86)="","",INDEX('潜水記録'!$S$5:$S$3004,$AS86)))</f>
        <v/>
      </c>
      <c r="U86" s="14">
        <f>IF($A86="","",IF(INDEX('潜水記録'!$T$5:$T$3004,$AS86)="","",INDEX('潜水記録'!$T$5:$T$3004,$AS86)))</f>
        <v/>
      </c>
      <c r="V86" s="46">
        <f>IF($A86="","",IF(INDEX('潜水記録'!$U$5:$U$3004,$AS86)="","",INDEX('潜水記録'!$U$5:$U$3004,$AS86)))</f>
        <v/>
      </c>
      <c r="W86" s="46">
        <f>IF($A86="","",IF(INDEX('潜水記録'!$V$5:$V$3004,$AS86)="","",INDEX('潜水記録'!$V$5:$V$3004,$AS86)))</f>
        <v/>
      </c>
      <c r="X86" s="14">
        <f>IF($A86="","",IF(INDEX('潜水記録'!$W$5:$W$3004,$AS86)="","",INDEX('潜水記録'!$W$5:$W$3004,$AS86)))</f>
        <v/>
      </c>
      <c r="Y86" s="14">
        <f>IF($A86="","",IF(INDEX('潜水記録'!$X$5:$X$3004,$AS86)="","",INDEX('潜水記録'!$X$5:$X$3004,$AS86)))</f>
        <v/>
      </c>
      <c r="Z86" s="14">
        <f>IF($A86="","",IF(INDEX('潜水記録'!$Y$5:$Y$3004,$AS86)="","",INDEX('潜水記録'!$Y$5:$Y$3004,$AS86)))</f>
        <v/>
      </c>
      <c r="AA86" s="14">
        <f>IF($A86="","",IF(INDEX('潜水記録'!$Z$5:$Z$3004,$AS86)="","",INDEX('潜水記録'!$Z$5:$Z$3004,$AS86)))</f>
        <v/>
      </c>
      <c r="AB86" s="14">
        <f>IF($A86="","",IF(INDEX('潜水記録'!$AA$5:$AA$3004,$AS86)="","",INDEX('潜水記録'!$AA$5:$AA$3004,$AS86)))</f>
        <v/>
      </c>
      <c r="AC86" s="14">
        <f>IF($A86="","",IF(INDEX('潜水記録'!$AB$5:$AB$3004,$AS86)="","",INDEX('潜水記録'!$AB$5:$AB$3004,$AS86)))</f>
        <v/>
      </c>
      <c r="AD86" s="14">
        <f>IF($A86="","",IF(INDEX('潜水記録'!$AC$5:$AC$3004,$AS86)="","",INDEX('潜水記録'!$AC$5:$AC$3004,$AS86)))</f>
        <v/>
      </c>
      <c r="AE86" s="14">
        <f>IF($A86="","",IF(INDEX('潜水記録'!$AD$5:$AD$3004,$AS86)="","",INDEX('潜水記録'!$AD$5:$AD$3004,$AS86)))</f>
        <v/>
      </c>
      <c r="AF86" s="14">
        <f>IF($A86="","",IF(INDEX('潜水記録'!$AE$5:$AE$3004,$AS86)="","",INDEX('潜水記録'!$AE$5:$AE$3004,$AS86)))</f>
        <v/>
      </c>
      <c r="AG86" s="14">
        <f>IF($A86="","",IF(INDEX('潜水記録'!$AL$5:$AL$3004,$AS86)="","",INDEX('潜水記録'!$AL$5:$AL$3004,$AS86)))</f>
        <v/>
      </c>
      <c r="AH86" s="14">
        <f>IF($A86="","",IF(INDEX('潜水記録'!$AM$5:$AM$3004,$AS86)="","",INDEX('潜水記録'!$AM$5:$AM$3004,$AS86)))</f>
        <v/>
      </c>
      <c r="AI86" s="46">
        <f>IF($A86="","",IF(INDEX('潜水記録'!$AN$5:$AN$3004,$AS86)="","",INDEX('潜水記録'!$AN$5:$AN$3004,$AS86)))</f>
        <v/>
      </c>
      <c r="AJ86" s="14">
        <f>IF($A86="","",IF(INDEX('潜水記録'!$AO$5:$AO$3004,$AS86)="","",INDEX('潜水記録'!$AO$5:$AO$3004,$AS86)))</f>
        <v/>
      </c>
      <c r="AK86" s="14">
        <f>IF($A86="","",IF(INDEX('潜水記録'!$AP$5:$AP$3004,$AS86)="","",INDEX('潜水記録'!$AP$5:$AP$3004,$AS86)))</f>
        <v/>
      </c>
      <c r="AL86" s="14">
        <f>IF($A86="","",IF(INDEX('潜水記録'!$AQ$5:$AQ$3004,$AS86)="","",INDEX('潜水記録'!$AQ$5:$AQ$3004,$AS86)))</f>
        <v/>
      </c>
      <c r="AM86" s="14">
        <f>IF($A86="","",IF(INDEX('潜水記録'!$AR$5:$AR$3004,$AS86)="","",INDEX('潜水記録'!$AR$5:$AR$3004,$AS86)))</f>
        <v/>
      </c>
      <c r="AN86" s="14">
        <f>IF($A86="","",IF(INDEX('潜水記録'!$AS$5:$AS$3004,$AS86)="","",INDEX('潜水記録'!$AS$5:$AS$3004,$AS86)))</f>
        <v/>
      </c>
      <c r="AO86" s="14">
        <f>IF($A86="","",IF(INDEX('潜水記録'!$AT$5:$AT$3004,$AS86)="","",INDEX('潜水記録'!$AT$5:$AT$3004,$AS86)))</f>
        <v/>
      </c>
      <c r="AP86" s="14">
        <f>IF($A86="","",IF(INDEX('潜水記録'!$AU$5:$AU$3004,$AS86)="","",INDEX('潜水記録'!$AU$5:$AU$3004,$AS86)))</f>
        <v/>
      </c>
      <c r="AQ86" s="14">
        <f>IF($A86="","",IF(INDEX('潜水記録'!$AV$5:$AV$3004,$AS86)="","",INDEX('潜水記録'!$AV$5:$AV$3004,$AS86)))</f>
        <v/>
      </c>
      <c r="AR86" s="14">
        <f>IF($A86="","",IF(INDEX('潜水記録'!$AW$5:$AW$3004,$AS86)="","",INDEX('潜水記録'!$AW$5:$AW$3004,$AS86)))</f>
        <v/>
      </c>
      <c r="AS86" s="20">
        <f>IF($A86="","",MATCH($A86,'潜水記録'!$AI$5:$AI$3004,0))</f>
        <v/>
      </c>
    </row>
    <row r="87">
      <c r="A87" s="14">
        <f>IF(77&lt;=$C$8,77,"")</f>
        <v/>
      </c>
      <c r="B87" s="16">
        <f>IF($A87="","",IF(INDEX('潜水記録'!$A$5:$A$3004,$AS87)="","",INDEX('潜水記録'!$A$5:$A$3004,$AS87)))</f>
        <v/>
      </c>
      <c r="C87" s="14">
        <f>IF($A87="","",IF(INDEX('潜水記録'!$B$5:$B$3004,$AS87)="","",INDEX('潜水記録'!$B$5:$B$3004,$AS87)))</f>
        <v/>
      </c>
      <c r="D87" s="14">
        <f>IF($A87="","",IF(INDEX('潜水記録'!$C$5:$C$3004,$AS87)="","",INDEX('潜水記録'!$C$5:$C$3004,$AS87)))</f>
        <v/>
      </c>
      <c r="E87" s="14">
        <f>IF($A87="","",IF(INDEX('潜水記録'!$D$5:$D$3004,$AS87)="","",INDEX('潜水記録'!$D$5:$D$3004,$AS87)))</f>
        <v/>
      </c>
      <c r="F87" s="14">
        <f>IF($A87="","",IF(INDEX('潜水記録'!$E$5:$E$3004,$AS87)="","",INDEX('潜水記録'!$E$5:$E$3004,$AS87)))</f>
        <v/>
      </c>
      <c r="G87" s="14">
        <f>IF($A87="","",IF(INDEX('潜水記録'!$F$5:$F$3004,$AS87)="","",INDEX('潜水記録'!$F$5:$F$3004,$AS87)))</f>
        <v/>
      </c>
      <c r="H87" s="14">
        <f>IF($A87="","",IF(INDEX('潜水記録'!$G$5:$G$3004,$AS87)="","",INDEX('潜水記録'!$G$5:$G$3004,$AS87)))</f>
        <v/>
      </c>
      <c r="I87" s="14">
        <f>IF($A87="","",IF(INDEX('潜水記録'!$H$5:$H$3004,$AS87)="","",INDEX('潜水記録'!$H$5:$H$3004,$AS87)))</f>
        <v/>
      </c>
      <c r="J87" s="14">
        <f>IF($A87="","",IF(INDEX('潜水記録'!$I$5:$I$3004,$AS87)="","",INDEX('潜水記録'!$I$5:$I$3004,$AS87)))</f>
        <v/>
      </c>
      <c r="K87" s="14">
        <f>IF($A87="","",IF(INDEX('潜水記録'!$J$5:$J$3004,$AS87)="","",INDEX('潜水記録'!$J$5:$J$3004,$AS87)))</f>
        <v/>
      </c>
      <c r="L87" s="14">
        <f>IF($A87="","",IF(INDEX('潜水記録'!$K$5:$K$3004,$AS87)="","",INDEX('潜水記録'!$K$5:$K$3004,$AS87)))</f>
        <v/>
      </c>
      <c r="M87" s="14">
        <f>IF($A87="","",IF(INDEX('潜水記録'!$L$5:$L$3004,$AS87)="","",INDEX('潜水記録'!$L$5:$L$3004,$AS87)))</f>
        <v/>
      </c>
      <c r="N87" s="14">
        <f>IF($A87="","",IF(INDEX('潜水記録'!$M$5:$M$3004,$AS87)="","",INDEX('潜水記録'!$M$5:$M$3004,$AS87)))</f>
        <v/>
      </c>
      <c r="O87" s="14">
        <f>IF($A87="","",IF(INDEX('潜水記録'!$N$5:$N$3004,$AS87)="","",INDEX('潜水記録'!$N$5:$N$3004,$AS87)))</f>
        <v/>
      </c>
      <c r="P87" s="14">
        <f>IF($A87="","",IF(INDEX('潜水記録'!$O$5:$O$3004,$AS87)="","",INDEX('潜水記録'!$O$5:$O$3004,$AS87)))</f>
        <v/>
      </c>
      <c r="Q87" s="14">
        <f>IF($A87="","",IF(INDEX('潜水記録'!$P$5:$P$3004,$AS87)="","",INDEX('潜水記録'!$P$5:$P$3004,$AS87)))</f>
        <v/>
      </c>
      <c r="R87" s="14">
        <f>IF($A87="","",IF(INDEX('潜水記録'!$Q$5:$Q$3004,$AS87)="","",INDEX('潜水記録'!$Q$5:$Q$3004,$AS87)))</f>
        <v/>
      </c>
      <c r="S87" s="14">
        <f>IF($A87="","",IF(INDEX('潜水記録'!$R$5:$R$3004,$AS87)="","",INDEX('潜水記録'!$R$5:$R$3004,$AS87)))</f>
        <v/>
      </c>
      <c r="T87" s="14">
        <f>IF($A87="","",IF(INDEX('潜水記録'!$S$5:$S$3004,$AS87)="","",INDEX('潜水記録'!$S$5:$S$3004,$AS87)))</f>
        <v/>
      </c>
      <c r="U87" s="14">
        <f>IF($A87="","",IF(INDEX('潜水記録'!$T$5:$T$3004,$AS87)="","",INDEX('潜水記録'!$T$5:$T$3004,$AS87)))</f>
        <v/>
      </c>
      <c r="V87" s="46">
        <f>IF($A87="","",IF(INDEX('潜水記録'!$U$5:$U$3004,$AS87)="","",INDEX('潜水記録'!$U$5:$U$3004,$AS87)))</f>
        <v/>
      </c>
      <c r="W87" s="46">
        <f>IF($A87="","",IF(INDEX('潜水記録'!$V$5:$V$3004,$AS87)="","",INDEX('潜水記録'!$V$5:$V$3004,$AS87)))</f>
        <v/>
      </c>
      <c r="X87" s="14">
        <f>IF($A87="","",IF(INDEX('潜水記録'!$W$5:$W$3004,$AS87)="","",INDEX('潜水記録'!$W$5:$W$3004,$AS87)))</f>
        <v/>
      </c>
      <c r="Y87" s="14">
        <f>IF($A87="","",IF(INDEX('潜水記録'!$X$5:$X$3004,$AS87)="","",INDEX('潜水記録'!$X$5:$X$3004,$AS87)))</f>
        <v/>
      </c>
      <c r="Z87" s="14">
        <f>IF($A87="","",IF(INDEX('潜水記録'!$Y$5:$Y$3004,$AS87)="","",INDEX('潜水記録'!$Y$5:$Y$3004,$AS87)))</f>
        <v/>
      </c>
      <c r="AA87" s="14">
        <f>IF($A87="","",IF(INDEX('潜水記録'!$Z$5:$Z$3004,$AS87)="","",INDEX('潜水記録'!$Z$5:$Z$3004,$AS87)))</f>
        <v/>
      </c>
      <c r="AB87" s="14">
        <f>IF($A87="","",IF(INDEX('潜水記録'!$AA$5:$AA$3004,$AS87)="","",INDEX('潜水記録'!$AA$5:$AA$3004,$AS87)))</f>
        <v/>
      </c>
      <c r="AC87" s="14">
        <f>IF($A87="","",IF(INDEX('潜水記録'!$AB$5:$AB$3004,$AS87)="","",INDEX('潜水記録'!$AB$5:$AB$3004,$AS87)))</f>
        <v/>
      </c>
      <c r="AD87" s="14">
        <f>IF($A87="","",IF(INDEX('潜水記録'!$AC$5:$AC$3004,$AS87)="","",INDEX('潜水記録'!$AC$5:$AC$3004,$AS87)))</f>
        <v/>
      </c>
      <c r="AE87" s="14">
        <f>IF($A87="","",IF(INDEX('潜水記録'!$AD$5:$AD$3004,$AS87)="","",INDEX('潜水記録'!$AD$5:$AD$3004,$AS87)))</f>
        <v/>
      </c>
      <c r="AF87" s="14">
        <f>IF($A87="","",IF(INDEX('潜水記録'!$AE$5:$AE$3004,$AS87)="","",INDEX('潜水記録'!$AE$5:$AE$3004,$AS87)))</f>
        <v/>
      </c>
      <c r="AG87" s="14">
        <f>IF($A87="","",IF(INDEX('潜水記録'!$AL$5:$AL$3004,$AS87)="","",INDEX('潜水記録'!$AL$5:$AL$3004,$AS87)))</f>
        <v/>
      </c>
      <c r="AH87" s="14">
        <f>IF($A87="","",IF(INDEX('潜水記録'!$AM$5:$AM$3004,$AS87)="","",INDEX('潜水記録'!$AM$5:$AM$3004,$AS87)))</f>
        <v/>
      </c>
      <c r="AI87" s="46">
        <f>IF($A87="","",IF(INDEX('潜水記録'!$AN$5:$AN$3004,$AS87)="","",INDEX('潜水記録'!$AN$5:$AN$3004,$AS87)))</f>
        <v/>
      </c>
      <c r="AJ87" s="14">
        <f>IF($A87="","",IF(INDEX('潜水記録'!$AO$5:$AO$3004,$AS87)="","",INDEX('潜水記録'!$AO$5:$AO$3004,$AS87)))</f>
        <v/>
      </c>
      <c r="AK87" s="14">
        <f>IF($A87="","",IF(INDEX('潜水記録'!$AP$5:$AP$3004,$AS87)="","",INDEX('潜水記録'!$AP$5:$AP$3004,$AS87)))</f>
        <v/>
      </c>
      <c r="AL87" s="14">
        <f>IF($A87="","",IF(INDEX('潜水記録'!$AQ$5:$AQ$3004,$AS87)="","",INDEX('潜水記録'!$AQ$5:$AQ$3004,$AS87)))</f>
        <v/>
      </c>
      <c r="AM87" s="14">
        <f>IF($A87="","",IF(INDEX('潜水記録'!$AR$5:$AR$3004,$AS87)="","",INDEX('潜水記録'!$AR$5:$AR$3004,$AS87)))</f>
        <v/>
      </c>
      <c r="AN87" s="14">
        <f>IF($A87="","",IF(INDEX('潜水記録'!$AS$5:$AS$3004,$AS87)="","",INDEX('潜水記録'!$AS$5:$AS$3004,$AS87)))</f>
        <v/>
      </c>
      <c r="AO87" s="14">
        <f>IF($A87="","",IF(INDEX('潜水記録'!$AT$5:$AT$3004,$AS87)="","",INDEX('潜水記録'!$AT$5:$AT$3004,$AS87)))</f>
        <v/>
      </c>
      <c r="AP87" s="14">
        <f>IF($A87="","",IF(INDEX('潜水記録'!$AU$5:$AU$3004,$AS87)="","",INDEX('潜水記録'!$AU$5:$AU$3004,$AS87)))</f>
        <v/>
      </c>
      <c r="AQ87" s="14">
        <f>IF($A87="","",IF(INDEX('潜水記録'!$AV$5:$AV$3004,$AS87)="","",INDEX('潜水記録'!$AV$5:$AV$3004,$AS87)))</f>
        <v/>
      </c>
      <c r="AR87" s="14">
        <f>IF($A87="","",IF(INDEX('潜水記録'!$AW$5:$AW$3004,$AS87)="","",INDEX('潜水記録'!$AW$5:$AW$3004,$AS87)))</f>
        <v/>
      </c>
      <c r="AS87" s="20">
        <f>IF($A87="","",MATCH($A87,'潜水記録'!$AI$5:$AI$3004,0))</f>
        <v/>
      </c>
    </row>
    <row r="88">
      <c r="A88" s="14">
        <f>IF(78&lt;=$C$8,78,"")</f>
        <v/>
      </c>
      <c r="B88" s="16">
        <f>IF($A88="","",IF(INDEX('潜水記録'!$A$5:$A$3004,$AS88)="","",INDEX('潜水記録'!$A$5:$A$3004,$AS88)))</f>
        <v/>
      </c>
      <c r="C88" s="14">
        <f>IF($A88="","",IF(INDEX('潜水記録'!$B$5:$B$3004,$AS88)="","",INDEX('潜水記録'!$B$5:$B$3004,$AS88)))</f>
        <v/>
      </c>
      <c r="D88" s="14">
        <f>IF($A88="","",IF(INDEX('潜水記録'!$C$5:$C$3004,$AS88)="","",INDEX('潜水記録'!$C$5:$C$3004,$AS88)))</f>
        <v/>
      </c>
      <c r="E88" s="14">
        <f>IF($A88="","",IF(INDEX('潜水記録'!$D$5:$D$3004,$AS88)="","",INDEX('潜水記録'!$D$5:$D$3004,$AS88)))</f>
        <v/>
      </c>
      <c r="F88" s="14">
        <f>IF($A88="","",IF(INDEX('潜水記録'!$E$5:$E$3004,$AS88)="","",INDEX('潜水記録'!$E$5:$E$3004,$AS88)))</f>
        <v/>
      </c>
      <c r="G88" s="14">
        <f>IF($A88="","",IF(INDEX('潜水記録'!$F$5:$F$3004,$AS88)="","",INDEX('潜水記録'!$F$5:$F$3004,$AS88)))</f>
        <v/>
      </c>
      <c r="H88" s="14">
        <f>IF($A88="","",IF(INDEX('潜水記録'!$G$5:$G$3004,$AS88)="","",INDEX('潜水記録'!$G$5:$G$3004,$AS88)))</f>
        <v/>
      </c>
      <c r="I88" s="14">
        <f>IF($A88="","",IF(INDEX('潜水記録'!$H$5:$H$3004,$AS88)="","",INDEX('潜水記録'!$H$5:$H$3004,$AS88)))</f>
        <v/>
      </c>
      <c r="J88" s="14">
        <f>IF($A88="","",IF(INDEX('潜水記録'!$I$5:$I$3004,$AS88)="","",INDEX('潜水記録'!$I$5:$I$3004,$AS88)))</f>
        <v/>
      </c>
      <c r="K88" s="14">
        <f>IF($A88="","",IF(INDEX('潜水記録'!$J$5:$J$3004,$AS88)="","",INDEX('潜水記録'!$J$5:$J$3004,$AS88)))</f>
        <v/>
      </c>
      <c r="L88" s="14">
        <f>IF($A88="","",IF(INDEX('潜水記録'!$K$5:$K$3004,$AS88)="","",INDEX('潜水記録'!$K$5:$K$3004,$AS88)))</f>
        <v/>
      </c>
      <c r="M88" s="14">
        <f>IF($A88="","",IF(INDEX('潜水記録'!$L$5:$L$3004,$AS88)="","",INDEX('潜水記録'!$L$5:$L$3004,$AS88)))</f>
        <v/>
      </c>
      <c r="N88" s="14">
        <f>IF($A88="","",IF(INDEX('潜水記録'!$M$5:$M$3004,$AS88)="","",INDEX('潜水記録'!$M$5:$M$3004,$AS88)))</f>
        <v/>
      </c>
      <c r="O88" s="14">
        <f>IF($A88="","",IF(INDEX('潜水記録'!$N$5:$N$3004,$AS88)="","",INDEX('潜水記録'!$N$5:$N$3004,$AS88)))</f>
        <v/>
      </c>
      <c r="P88" s="14">
        <f>IF($A88="","",IF(INDEX('潜水記録'!$O$5:$O$3004,$AS88)="","",INDEX('潜水記録'!$O$5:$O$3004,$AS88)))</f>
        <v/>
      </c>
      <c r="Q88" s="14">
        <f>IF($A88="","",IF(INDEX('潜水記録'!$P$5:$P$3004,$AS88)="","",INDEX('潜水記録'!$P$5:$P$3004,$AS88)))</f>
        <v/>
      </c>
      <c r="R88" s="14">
        <f>IF($A88="","",IF(INDEX('潜水記録'!$Q$5:$Q$3004,$AS88)="","",INDEX('潜水記録'!$Q$5:$Q$3004,$AS88)))</f>
        <v/>
      </c>
      <c r="S88" s="14">
        <f>IF($A88="","",IF(INDEX('潜水記録'!$R$5:$R$3004,$AS88)="","",INDEX('潜水記録'!$R$5:$R$3004,$AS88)))</f>
        <v/>
      </c>
      <c r="T88" s="14">
        <f>IF($A88="","",IF(INDEX('潜水記録'!$S$5:$S$3004,$AS88)="","",INDEX('潜水記録'!$S$5:$S$3004,$AS88)))</f>
        <v/>
      </c>
      <c r="U88" s="14">
        <f>IF($A88="","",IF(INDEX('潜水記録'!$T$5:$T$3004,$AS88)="","",INDEX('潜水記録'!$T$5:$T$3004,$AS88)))</f>
        <v/>
      </c>
      <c r="V88" s="46">
        <f>IF($A88="","",IF(INDEX('潜水記録'!$U$5:$U$3004,$AS88)="","",INDEX('潜水記録'!$U$5:$U$3004,$AS88)))</f>
        <v/>
      </c>
      <c r="W88" s="46">
        <f>IF($A88="","",IF(INDEX('潜水記録'!$V$5:$V$3004,$AS88)="","",INDEX('潜水記録'!$V$5:$V$3004,$AS88)))</f>
        <v/>
      </c>
      <c r="X88" s="14">
        <f>IF($A88="","",IF(INDEX('潜水記録'!$W$5:$W$3004,$AS88)="","",INDEX('潜水記録'!$W$5:$W$3004,$AS88)))</f>
        <v/>
      </c>
      <c r="Y88" s="14">
        <f>IF($A88="","",IF(INDEX('潜水記録'!$X$5:$X$3004,$AS88)="","",INDEX('潜水記録'!$X$5:$X$3004,$AS88)))</f>
        <v/>
      </c>
      <c r="Z88" s="14">
        <f>IF($A88="","",IF(INDEX('潜水記録'!$Y$5:$Y$3004,$AS88)="","",INDEX('潜水記録'!$Y$5:$Y$3004,$AS88)))</f>
        <v/>
      </c>
      <c r="AA88" s="14">
        <f>IF($A88="","",IF(INDEX('潜水記録'!$Z$5:$Z$3004,$AS88)="","",INDEX('潜水記録'!$Z$5:$Z$3004,$AS88)))</f>
        <v/>
      </c>
      <c r="AB88" s="14">
        <f>IF($A88="","",IF(INDEX('潜水記録'!$AA$5:$AA$3004,$AS88)="","",INDEX('潜水記録'!$AA$5:$AA$3004,$AS88)))</f>
        <v/>
      </c>
      <c r="AC88" s="14">
        <f>IF($A88="","",IF(INDEX('潜水記録'!$AB$5:$AB$3004,$AS88)="","",INDEX('潜水記録'!$AB$5:$AB$3004,$AS88)))</f>
        <v/>
      </c>
      <c r="AD88" s="14">
        <f>IF($A88="","",IF(INDEX('潜水記録'!$AC$5:$AC$3004,$AS88)="","",INDEX('潜水記録'!$AC$5:$AC$3004,$AS88)))</f>
        <v/>
      </c>
      <c r="AE88" s="14">
        <f>IF($A88="","",IF(INDEX('潜水記録'!$AD$5:$AD$3004,$AS88)="","",INDEX('潜水記録'!$AD$5:$AD$3004,$AS88)))</f>
        <v/>
      </c>
      <c r="AF88" s="14">
        <f>IF($A88="","",IF(INDEX('潜水記録'!$AE$5:$AE$3004,$AS88)="","",INDEX('潜水記録'!$AE$5:$AE$3004,$AS88)))</f>
        <v/>
      </c>
      <c r="AG88" s="14">
        <f>IF($A88="","",IF(INDEX('潜水記録'!$AL$5:$AL$3004,$AS88)="","",INDEX('潜水記録'!$AL$5:$AL$3004,$AS88)))</f>
        <v/>
      </c>
      <c r="AH88" s="14">
        <f>IF($A88="","",IF(INDEX('潜水記録'!$AM$5:$AM$3004,$AS88)="","",INDEX('潜水記録'!$AM$5:$AM$3004,$AS88)))</f>
        <v/>
      </c>
      <c r="AI88" s="46">
        <f>IF($A88="","",IF(INDEX('潜水記録'!$AN$5:$AN$3004,$AS88)="","",INDEX('潜水記録'!$AN$5:$AN$3004,$AS88)))</f>
        <v/>
      </c>
      <c r="AJ88" s="14">
        <f>IF($A88="","",IF(INDEX('潜水記録'!$AO$5:$AO$3004,$AS88)="","",INDEX('潜水記録'!$AO$5:$AO$3004,$AS88)))</f>
        <v/>
      </c>
      <c r="AK88" s="14">
        <f>IF($A88="","",IF(INDEX('潜水記録'!$AP$5:$AP$3004,$AS88)="","",INDEX('潜水記録'!$AP$5:$AP$3004,$AS88)))</f>
        <v/>
      </c>
      <c r="AL88" s="14">
        <f>IF($A88="","",IF(INDEX('潜水記録'!$AQ$5:$AQ$3004,$AS88)="","",INDEX('潜水記録'!$AQ$5:$AQ$3004,$AS88)))</f>
        <v/>
      </c>
      <c r="AM88" s="14">
        <f>IF($A88="","",IF(INDEX('潜水記録'!$AR$5:$AR$3004,$AS88)="","",INDEX('潜水記録'!$AR$5:$AR$3004,$AS88)))</f>
        <v/>
      </c>
      <c r="AN88" s="14">
        <f>IF($A88="","",IF(INDEX('潜水記録'!$AS$5:$AS$3004,$AS88)="","",INDEX('潜水記録'!$AS$5:$AS$3004,$AS88)))</f>
        <v/>
      </c>
      <c r="AO88" s="14">
        <f>IF($A88="","",IF(INDEX('潜水記録'!$AT$5:$AT$3004,$AS88)="","",INDEX('潜水記録'!$AT$5:$AT$3004,$AS88)))</f>
        <v/>
      </c>
      <c r="AP88" s="14">
        <f>IF($A88="","",IF(INDEX('潜水記録'!$AU$5:$AU$3004,$AS88)="","",INDEX('潜水記録'!$AU$5:$AU$3004,$AS88)))</f>
        <v/>
      </c>
      <c r="AQ88" s="14">
        <f>IF($A88="","",IF(INDEX('潜水記録'!$AV$5:$AV$3004,$AS88)="","",INDEX('潜水記録'!$AV$5:$AV$3004,$AS88)))</f>
        <v/>
      </c>
      <c r="AR88" s="14">
        <f>IF($A88="","",IF(INDEX('潜水記録'!$AW$5:$AW$3004,$AS88)="","",INDEX('潜水記録'!$AW$5:$AW$3004,$AS88)))</f>
        <v/>
      </c>
      <c r="AS88" s="20">
        <f>IF($A88="","",MATCH($A88,'潜水記録'!$AI$5:$AI$3004,0))</f>
        <v/>
      </c>
    </row>
    <row r="89">
      <c r="A89" s="14">
        <f>IF(79&lt;=$C$8,79,"")</f>
        <v/>
      </c>
      <c r="B89" s="16">
        <f>IF($A89="","",IF(INDEX('潜水記録'!$A$5:$A$3004,$AS89)="","",INDEX('潜水記録'!$A$5:$A$3004,$AS89)))</f>
        <v/>
      </c>
      <c r="C89" s="14">
        <f>IF($A89="","",IF(INDEX('潜水記録'!$B$5:$B$3004,$AS89)="","",INDEX('潜水記録'!$B$5:$B$3004,$AS89)))</f>
        <v/>
      </c>
      <c r="D89" s="14">
        <f>IF($A89="","",IF(INDEX('潜水記録'!$C$5:$C$3004,$AS89)="","",INDEX('潜水記録'!$C$5:$C$3004,$AS89)))</f>
        <v/>
      </c>
      <c r="E89" s="14">
        <f>IF($A89="","",IF(INDEX('潜水記録'!$D$5:$D$3004,$AS89)="","",INDEX('潜水記録'!$D$5:$D$3004,$AS89)))</f>
        <v/>
      </c>
      <c r="F89" s="14">
        <f>IF($A89="","",IF(INDEX('潜水記録'!$E$5:$E$3004,$AS89)="","",INDEX('潜水記録'!$E$5:$E$3004,$AS89)))</f>
        <v/>
      </c>
      <c r="G89" s="14">
        <f>IF($A89="","",IF(INDEX('潜水記録'!$F$5:$F$3004,$AS89)="","",INDEX('潜水記録'!$F$5:$F$3004,$AS89)))</f>
        <v/>
      </c>
      <c r="H89" s="14">
        <f>IF($A89="","",IF(INDEX('潜水記録'!$G$5:$G$3004,$AS89)="","",INDEX('潜水記録'!$G$5:$G$3004,$AS89)))</f>
        <v/>
      </c>
      <c r="I89" s="14">
        <f>IF($A89="","",IF(INDEX('潜水記録'!$H$5:$H$3004,$AS89)="","",INDEX('潜水記録'!$H$5:$H$3004,$AS89)))</f>
        <v/>
      </c>
      <c r="J89" s="14">
        <f>IF($A89="","",IF(INDEX('潜水記録'!$I$5:$I$3004,$AS89)="","",INDEX('潜水記録'!$I$5:$I$3004,$AS89)))</f>
        <v/>
      </c>
      <c r="K89" s="14">
        <f>IF($A89="","",IF(INDEX('潜水記録'!$J$5:$J$3004,$AS89)="","",INDEX('潜水記録'!$J$5:$J$3004,$AS89)))</f>
        <v/>
      </c>
      <c r="L89" s="14">
        <f>IF($A89="","",IF(INDEX('潜水記録'!$K$5:$K$3004,$AS89)="","",INDEX('潜水記録'!$K$5:$K$3004,$AS89)))</f>
        <v/>
      </c>
      <c r="M89" s="14">
        <f>IF($A89="","",IF(INDEX('潜水記録'!$L$5:$L$3004,$AS89)="","",INDEX('潜水記録'!$L$5:$L$3004,$AS89)))</f>
        <v/>
      </c>
      <c r="N89" s="14">
        <f>IF($A89="","",IF(INDEX('潜水記録'!$M$5:$M$3004,$AS89)="","",INDEX('潜水記録'!$M$5:$M$3004,$AS89)))</f>
        <v/>
      </c>
      <c r="O89" s="14">
        <f>IF($A89="","",IF(INDEX('潜水記録'!$N$5:$N$3004,$AS89)="","",INDEX('潜水記録'!$N$5:$N$3004,$AS89)))</f>
        <v/>
      </c>
      <c r="P89" s="14">
        <f>IF($A89="","",IF(INDEX('潜水記録'!$O$5:$O$3004,$AS89)="","",INDEX('潜水記録'!$O$5:$O$3004,$AS89)))</f>
        <v/>
      </c>
      <c r="Q89" s="14">
        <f>IF($A89="","",IF(INDEX('潜水記録'!$P$5:$P$3004,$AS89)="","",INDEX('潜水記録'!$P$5:$P$3004,$AS89)))</f>
        <v/>
      </c>
      <c r="R89" s="14">
        <f>IF($A89="","",IF(INDEX('潜水記録'!$Q$5:$Q$3004,$AS89)="","",INDEX('潜水記録'!$Q$5:$Q$3004,$AS89)))</f>
        <v/>
      </c>
      <c r="S89" s="14">
        <f>IF($A89="","",IF(INDEX('潜水記録'!$R$5:$R$3004,$AS89)="","",INDEX('潜水記録'!$R$5:$R$3004,$AS89)))</f>
        <v/>
      </c>
      <c r="T89" s="14">
        <f>IF($A89="","",IF(INDEX('潜水記録'!$S$5:$S$3004,$AS89)="","",INDEX('潜水記録'!$S$5:$S$3004,$AS89)))</f>
        <v/>
      </c>
      <c r="U89" s="14">
        <f>IF($A89="","",IF(INDEX('潜水記録'!$T$5:$T$3004,$AS89)="","",INDEX('潜水記録'!$T$5:$T$3004,$AS89)))</f>
        <v/>
      </c>
      <c r="V89" s="46">
        <f>IF($A89="","",IF(INDEX('潜水記録'!$U$5:$U$3004,$AS89)="","",INDEX('潜水記録'!$U$5:$U$3004,$AS89)))</f>
        <v/>
      </c>
      <c r="W89" s="46">
        <f>IF($A89="","",IF(INDEX('潜水記録'!$V$5:$V$3004,$AS89)="","",INDEX('潜水記録'!$V$5:$V$3004,$AS89)))</f>
        <v/>
      </c>
      <c r="X89" s="14">
        <f>IF($A89="","",IF(INDEX('潜水記録'!$W$5:$W$3004,$AS89)="","",INDEX('潜水記録'!$W$5:$W$3004,$AS89)))</f>
        <v/>
      </c>
      <c r="Y89" s="14">
        <f>IF($A89="","",IF(INDEX('潜水記録'!$X$5:$X$3004,$AS89)="","",INDEX('潜水記録'!$X$5:$X$3004,$AS89)))</f>
        <v/>
      </c>
      <c r="Z89" s="14">
        <f>IF($A89="","",IF(INDEX('潜水記録'!$Y$5:$Y$3004,$AS89)="","",INDEX('潜水記録'!$Y$5:$Y$3004,$AS89)))</f>
        <v/>
      </c>
      <c r="AA89" s="14">
        <f>IF($A89="","",IF(INDEX('潜水記録'!$Z$5:$Z$3004,$AS89)="","",INDEX('潜水記録'!$Z$5:$Z$3004,$AS89)))</f>
        <v/>
      </c>
      <c r="AB89" s="14">
        <f>IF($A89="","",IF(INDEX('潜水記録'!$AA$5:$AA$3004,$AS89)="","",INDEX('潜水記録'!$AA$5:$AA$3004,$AS89)))</f>
        <v/>
      </c>
      <c r="AC89" s="14">
        <f>IF($A89="","",IF(INDEX('潜水記録'!$AB$5:$AB$3004,$AS89)="","",INDEX('潜水記録'!$AB$5:$AB$3004,$AS89)))</f>
        <v/>
      </c>
      <c r="AD89" s="14">
        <f>IF($A89="","",IF(INDEX('潜水記録'!$AC$5:$AC$3004,$AS89)="","",INDEX('潜水記録'!$AC$5:$AC$3004,$AS89)))</f>
        <v/>
      </c>
      <c r="AE89" s="14">
        <f>IF($A89="","",IF(INDEX('潜水記録'!$AD$5:$AD$3004,$AS89)="","",INDEX('潜水記録'!$AD$5:$AD$3004,$AS89)))</f>
        <v/>
      </c>
      <c r="AF89" s="14">
        <f>IF($A89="","",IF(INDEX('潜水記録'!$AE$5:$AE$3004,$AS89)="","",INDEX('潜水記録'!$AE$5:$AE$3004,$AS89)))</f>
        <v/>
      </c>
      <c r="AG89" s="14">
        <f>IF($A89="","",IF(INDEX('潜水記録'!$AL$5:$AL$3004,$AS89)="","",INDEX('潜水記録'!$AL$5:$AL$3004,$AS89)))</f>
        <v/>
      </c>
      <c r="AH89" s="14">
        <f>IF($A89="","",IF(INDEX('潜水記録'!$AM$5:$AM$3004,$AS89)="","",INDEX('潜水記録'!$AM$5:$AM$3004,$AS89)))</f>
        <v/>
      </c>
      <c r="AI89" s="46">
        <f>IF($A89="","",IF(INDEX('潜水記録'!$AN$5:$AN$3004,$AS89)="","",INDEX('潜水記録'!$AN$5:$AN$3004,$AS89)))</f>
        <v/>
      </c>
      <c r="AJ89" s="14">
        <f>IF($A89="","",IF(INDEX('潜水記録'!$AO$5:$AO$3004,$AS89)="","",INDEX('潜水記録'!$AO$5:$AO$3004,$AS89)))</f>
        <v/>
      </c>
      <c r="AK89" s="14">
        <f>IF($A89="","",IF(INDEX('潜水記録'!$AP$5:$AP$3004,$AS89)="","",INDEX('潜水記録'!$AP$5:$AP$3004,$AS89)))</f>
        <v/>
      </c>
      <c r="AL89" s="14">
        <f>IF($A89="","",IF(INDEX('潜水記録'!$AQ$5:$AQ$3004,$AS89)="","",INDEX('潜水記録'!$AQ$5:$AQ$3004,$AS89)))</f>
        <v/>
      </c>
      <c r="AM89" s="14">
        <f>IF($A89="","",IF(INDEX('潜水記録'!$AR$5:$AR$3004,$AS89)="","",INDEX('潜水記録'!$AR$5:$AR$3004,$AS89)))</f>
        <v/>
      </c>
      <c r="AN89" s="14">
        <f>IF($A89="","",IF(INDEX('潜水記録'!$AS$5:$AS$3004,$AS89)="","",INDEX('潜水記録'!$AS$5:$AS$3004,$AS89)))</f>
        <v/>
      </c>
      <c r="AO89" s="14">
        <f>IF($A89="","",IF(INDEX('潜水記録'!$AT$5:$AT$3004,$AS89)="","",INDEX('潜水記録'!$AT$5:$AT$3004,$AS89)))</f>
        <v/>
      </c>
      <c r="AP89" s="14">
        <f>IF($A89="","",IF(INDEX('潜水記録'!$AU$5:$AU$3004,$AS89)="","",INDEX('潜水記録'!$AU$5:$AU$3004,$AS89)))</f>
        <v/>
      </c>
      <c r="AQ89" s="14">
        <f>IF($A89="","",IF(INDEX('潜水記録'!$AV$5:$AV$3004,$AS89)="","",INDEX('潜水記録'!$AV$5:$AV$3004,$AS89)))</f>
        <v/>
      </c>
      <c r="AR89" s="14">
        <f>IF($A89="","",IF(INDEX('潜水記録'!$AW$5:$AW$3004,$AS89)="","",INDEX('潜水記録'!$AW$5:$AW$3004,$AS89)))</f>
        <v/>
      </c>
      <c r="AS89" s="20">
        <f>IF($A89="","",MATCH($A89,'潜水記録'!$AI$5:$AI$3004,0))</f>
        <v/>
      </c>
    </row>
    <row r="90">
      <c r="A90" s="14">
        <f>IF(80&lt;=$C$8,80,"")</f>
        <v/>
      </c>
      <c r="B90" s="16">
        <f>IF($A90="","",IF(INDEX('潜水記録'!$A$5:$A$3004,$AS90)="","",INDEX('潜水記録'!$A$5:$A$3004,$AS90)))</f>
        <v/>
      </c>
      <c r="C90" s="14">
        <f>IF($A90="","",IF(INDEX('潜水記録'!$B$5:$B$3004,$AS90)="","",INDEX('潜水記録'!$B$5:$B$3004,$AS90)))</f>
        <v/>
      </c>
      <c r="D90" s="14">
        <f>IF($A90="","",IF(INDEX('潜水記録'!$C$5:$C$3004,$AS90)="","",INDEX('潜水記録'!$C$5:$C$3004,$AS90)))</f>
        <v/>
      </c>
      <c r="E90" s="14">
        <f>IF($A90="","",IF(INDEX('潜水記録'!$D$5:$D$3004,$AS90)="","",INDEX('潜水記録'!$D$5:$D$3004,$AS90)))</f>
        <v/>
      </c>
      <c r="F90" s="14">
        <f>IF($A90="","",IF(INDEX('潜水記録'!$E$5:$E$3004,$AS90)="","",INDEX('潜水記録'!$E$5:$E$3004,$AS90)))</f>
        <v/>
      </c>
      <c r="G90" s="14">
        <f>IF($A90="","",IF(INDEX('潜水記録'!$F$5:$F$3004,$AS90)="","",INDEX('潜水記録'!$F$5:$F$3004,$AS90)))</f>
        <v/>
      </c>
      <c r="H90" s="14">
        <f>IF($A90="","",IF(INDEX('潜水記録'!$G$5:$G$3004,$AS90)="","",INDEX('潜水記録'!$G$5:$G$3004,$AS90)))</f>
        <v/>
      </c>
      <c r="I90" s="14">
        <f>IF($A90="","",IF(INDEX('潜水記録'!$H$5:$H$3004,$AS90)="","",INDEX('潜水記録'!$H$5:$H$3004,$AS90)))</f>
        <v/>
      </c>
      <c r="J90" s="14">
        <f>IF($A90="","",IF(INDEX('潜水記録'!$I$5:$I$3004,$AS90)="","",INDEX('潜水記録'!$I$5:$I$3004,$AS90)))</f>
        <v/>
      </c>
      <c r="K90" s="14">
        <f>IF($A90="","",IF(INDEX('潜水記録'!$J$5:$J$3004,$AS90)="","",INDEX('潜水記録'!$J$5:$J$3004,$AS90)))</f>
        <v/>
      </c>
      <c r="L90" s="14">
        <f>IF($A90="","",IF(INDEX('潜水記録'!$K$5:$K$3004,$AS90)="","",INDEX('潜水記録'!$K$5:$K$3004,$AS90)))</f>
        <v/>
      </c>
      <c r="M90" s="14">
        <f>IF($A90="","",IF(INDEX('潜水記録'!$L$5:$L$3004,$AS90)="","",INDEX('潜水記録'!$L$5:$L$3004,$AS90)))</f>
        <v/>
      </c>
      <c r="N90" s="14">
        <f>IF($A90="","",IF(INDEX('潜水記録'!$M$5:$M$3004,$AS90)="","",INDEX('潜水記録'!$M$5:$M$3004,$AS90)))</f>
        <v/>
      </c>
      <c r="O90" s="14">
        <f>IF($A90="","",IF(INDEX('潜水記録'!$N$5:$N$3004,$AS90)="","",INDEX('潜水記録'!$N$5:$N$3004,$AS90)))</f>
        <v/>
      </c>
      <c r="P90" s="14">
        <f>IF($A90="","",IF(INDEX('潜水記録'!$O$5:$O$3004,$AS90)="","",INDEX('潜水記録'!$O$5:$O$3004,$AS90)))</f>
        <v/>
      </c>
      <c r="Q90" s="14">
        <f>IF($A90="","",IF(INDEX('潜水記録'!$P$5:$P$3004,$AS90)="","",INDEX('潜水記録'!$P$5:$P$3004,$AS90)))</f>
        <v/>
      </c>
      <c r="R90" s="14">
        <f>IF($A90="","",IF(INDEX('潜水記録'!$Q$5:$Q$3004,$AS90)="","",INDEX('潜水記録'!$Q$5:$Q$3004,$AS90)))</f>
        <v/>
      </c>
      <c r="S90" s="14">
        <f>IF($A90="","",IF(INDEX('潜水記録'!$R$5:$R$3004,$AS90)="","",INDEX('潜水記録'!$R$5:$R$3004,$AS90)))</f>
        <v/>
      </c>
      <c r="T90" s="14">
        <f>IF($A90="","",IF(INDEX('潜水記録'!$S$5:$S$3004,$AS90)="","",INDEX('潜水記録'!$S$5:$S$3004,$AS90)))</f>
        <v/>
      </c>
      <c r="U90" s="14">
        <f>IF($A90="","",IF(INDEX('潜水記録'!$T$5:$T$3004,$AS90)="","",INDEX('潜水記録'!$T$5:$T$3004,$AS90)))</f>
        <v/>
      </c>
      <c r="V90" s="46">
        <f>IF($A90="","",IF(INDEX('潜水記録'!$U$5:$U$3004,$AS90)="","",INDEX('潜水記録'!$U$5:$U$3004,$AS90)))</f>
        <v/>
      </c>
      <c r="W90" s="46">
        <f>IF($A90="","",IF(INDEX('潜水記録'!$V$5:$V$3004,$AS90)="","",INDEX('潜水記録'!$V$5:$V$3004,$AS90)))</f>
        <v/>
      </c>
      <c r="X90" s="14">
        <f>IF($A90="","",IF(INDEX('潜水記録'!$W$5:$W$3004,$AS90)="","",INDEX('潜水記録'!$W$5:$W$3004,$AS90)))</f>
        <v/>
      </c>
      <c r="Y90" s="14">
        <f>IF($A90="","",IF(INDEX('潜水記録'!$X$5:$X$3004,$AS90)="","",INDEX('潜水記録'!$X$5:$X$3004,$AS90)))</f>
        <v/>
      </c>
      <c r="Z90" s="14">
        <f>IF($A90="","",IF(INDEX('潜水記録'!$Y$5:$Y$3004,$AS90)="","",INDEX('潜水記録'!$Y$5:$Y$3004,$AS90)))</f>
        <v/>
      </c>
      <c r="AA90" s="14">
        <f>IF($A90="","",IF(INDEX('潜水記録'!$Z$5:$Z$3004,$AS90)="","",INDEX('潜水記録'!$Z$5:$Z$3004,$AS90)))</f>
        <v/>
      </c>
      <c r="AB90" s="14">
        <f>IF($A90="","",IF(INDEX('潜水記録'!$AA$5:$AA$3004,$AS90)="","",INDEX('潜水記録'!$AA$5:$AA$3004,$AS90)))</f>
        <v/>
      </c>
      <c r="AC90" s="14">
        <f>IF($A90="","",IF(INDEX('潜水記録'!$AB$5:$AB$3004,$AS90)="","",INDEX('潜水記録'!$AB$5:$AB$3004,$AS90)))</f>
        <v/>
      </c>
      <c r="AD90" s="14">
        <f>IF($A90="","",IF(INDEX('潜水記録'!$AC$5:$AC$3004,$AS90)="","",INDEX('潜水記録'!$AC$5:$AC$3004,$AS90)))</f>
        <v/>
      </c>
      <c r="AE90" s="14">
        <f>IF($A90="","",IF(INDEX('潜水記録'!$AD$5:$AD$3004,$AS90)="","",INDEX('潜水記録'!$AD$5:$AD$3004,$AS90)))</f>
        <v/>
      </c>
      <c r="AF90" s="14">
        <f>IF($A90="","",IF(INDEX('潜水記録'!$AE$5:$AE$3004,$AS90)="","",INDEX('潜水記録'!$AE$5:$AE$3004,$AS90)))</f>
        <v/>
      </c>
      <c r="AG90" s="14">
        <f>IF($A90="","",IF(INDEX('潜水記録'!$AL$5:$AL$3004,$AS90)="","",INDEX('潜水記録'!$AL$5:$AL$3004,$AS90)))</f>
        <v/>
      </c>
      <c r="AH90" s="14">
        <f>IF($A90="","",IF(INDEX('潜水記録'!$AM$5:$AM$3004,$AS90)="","",INDEX('潜水記録'!$AM$5:$AM$3004,$AS90)))</f>
        <v/>
      </c>
      <c r="AI90" s="46">
        <f>IF($A90="","",IF(INDEX('潜水記録'!$AN$5:$AN$3004,$AS90)="","",INDEX('潜水記録'!$AN$5:$AN$3004,$AS90)))</f>
        <v/>
      </c>
      <c r="AJ90" s="14">
        <f>IF($A90="","",IF(INDEX('潜水記録'!$AO$5:$AO$3004,$AS90)="","",INDEX('潜水記録'!$AO$5:$AO$3004,$AS90)))</f>
        <v/>
      </c>
      <c r="AK90" s="14">
        <f>IF($A90="","",IF(INDEX('潜水記録'!$AP$5:$AP$3004,$AS90)="","",INDEX('潜水記録'!$AP$5:$AP$3004,$AS90)))</f>
        <v/>
      </c>
      <c r="AL90" s="14">
        <f>IF($A90="","",IF(INDEX('潜水記録'!$AQ$5:$AQ$3004,$AS90)="","",INDEX('潜水記録'!$AQ$5:$AQ$3004,$AS90)))</f>
        <v/>
      </c>
      <c r="AM90" s="14">
        <f>IF($A90="","",IF(INDEX('潜水記録'!$AR$5:$AR$3004,$AS90)="","",INDEX('潜水記録'!$AR$5:$AR$3004,$AS90)))</f>
        <v/>
      </c>
      <c r="AN90" s="14">
        <f>IF($A90="","",IF(INDEX('潜水記録'!$AS$5:$AS$3004,$AS90)="","",INDEX('潜水記録'!$AS$5:$AS$3004,$AS90)))</f>
        <v/>
      </c>
      <c r="AO90" s="14">
        <f>IF($A90="","",IF(INDEX('潜水記録'!$AT$5:$AT$3004,$AS90)="","",INDEX('潜水記録'!$AT$5:$AT$3004,$AS90)))</f>
        <v/>
      </c>
      <c r="AP90" s="14">
        <f>IF($A90="","",IF(INDEX('潜水記録'!$AU$5:$AU$3004,$AS90)="","",INDEX('潜水記録'!$AU$5:$AU$3004,$AS90)))</f>
        <v/>
      </c>
      <c r="AQ90" s="14">
        <f>IF($A90="","",IF(INDEX('潜水記録'!$AV$5:$AV$3004,$AS90)="","",INDEX('潜水記録'!$AV$5:$AV$3004,$AS90)))</f>
        <v/>
      </c>
      <c r="AR90" s="14">
        <f>IF($A90="","",IF(INDEX('潜水記録'!$AW$5:$AW$3004,$AS90)="","",INDEX('潜水記録'!$AW$5:$AW$3004,$AS90)))</f>
        <v/>
      </c>
      <c r="AS90" s="20">
        <f>IF($A90="","",MATCH($A90,'潜水記録'!$AI$5:$AI$3004,0))</f>
        <v/>
      </c>
    </row>
    <row r="91">
      <c r="A91" s="14">
        <f>IF(81&lt;=$C$8,81,"")</f>
        <v/>
      </c>
      <c r="B91" s="16">
        <f>IF($A91="","",IF(INDEX('潜水記録'!$A$5:$A$3004,$AS91)="","",INDEX('潜水記録'!$A$5:$A$3004,$AS91)))</f>
        <v/>
      </c>
      <c r="C91" s="14">
        <f>IF($A91="","",IF(INDEX('潜水記録'!$B$5:$B$3004,$AS91)="","",INDEX('潜水記録'!$B$5:$B$3004,$AS91)))</f>
        <v/>
      </c>
      <c r="D91" s="14">
        <f>IF($A91="","",IF(INDEX('潜水記録'!$C$5:$C$3004,$AS91)="","",INDEX('潜水記録'!$C$5:$C$3004,$AS91)))</f>
        <v/>
      </c>
      <c r="E91" s="14">
        <f>IF($A91="","",IF(INDEX('潜水記録'!$D$5:$D$3004,$AS91)="","",INDEX('潜水記録'!$D$5:$D$3004,$AS91)))</f>
        <v/>
      </c>
      <c r="F91" s="14">
        <f>IF($A91="","",IF(INDEX('潜水記録'!$E$5:$E$3004,$AS91)="","",INDEX('潜水記録'!$E$5:$E$3004,$AS91)))</f>
        <v/>
      </c>
      <c r="G91" s="14">
        <f>IF($A91="","",IF(INDEX('潜水記録'!$F$5:$F$3004,$AS91)="","",INDEX('潜水記録'!$F$5:$F$3004,$AS91)))</f>
        <v/>
      </c>
      <c r="H91" s="14">
        <f>IF($A91="","",IF(INDEX('潜水記録'!$G$5:$G$3004,$AS91)="","",INDEX('潜水記録'!$G$5:$G$3004,$AS91)))</f>
        <v/>
      </c>
      <c r="I91" s="14">
        <f>IF($A91="","",IF(INDEX('潜水記録'!$H$5:$H$3004,$AS91)="","",INDEX('潜水記録'!$H$5:$H$3004,$AS91)))</f>
        <v/>
      </c>
      <c r="J91" s="14">
        <f>IF($A91="","",IF(INDEX('潜水記録'!$I$5:$I$3004,$AS91)="","",INDEX('潜水記録'!$I$5:$I$3004,$AS91)))</f>
        <v/>
      </c>
      <c r="K91" s="14">
        <f>IF($A91="","",IF(INDEX('潜水記録'!$J$5:$J$3004,$AS91)="","",INDEX('潜水記録'!$J$5:$J$3004,$AS91)))</f>
        <v/>
      </c>
      <c r="L91" s="14">
        <f>IF($A91="","",IF(INDEX('潜水記録'!$K$5:$K$3004,$AS91)="","",INDEX('潜水記録'!$K$5:$K$3004,$AS91)))</f>
        <v/>
      </c>
      <c r="M91" s="14">
        <f>IF($A91="","",IF(INDEX('潜水記録'!$L$5:$L$3004,$AS91)="","",INDEX('潜水記録'!$L$5:$L$3004,$AS91)))</f>
        <v/>
      </c>
      <c r="N91" s="14">
        <f>IF($A91="","",IF(INDEX('潜水記録'!$M$5:$M$3004,$AS91)="","",INDEX('潜水記録'!$M$5:$M$3004,$AS91)))</f>
        <v/>
      </c>
      <c r="O91" s="14">
        <f>IF($A91="","",IF(INDEX('潜水記録'!$N$5:$N$3004,$AS91)="","",INDEX('潜水記録'!$N$5:$N$3004,$AS91)))</f>
        <v/>
      </c>
      <c r="P91" s="14">
        <f>IF($A91="","",IF(INDEX('潜水記録'!$O$5:$O$3004,$AS91)="","",INDEX('潜水記録'!$O$5:$O$3004,$AS91)))</f>
        <v/>
      </c>
      <c r="Q91" s="14">
        <f>IF($A91="","",IF(INDEX('潜水記録'!$P$5:$P$3004,$AS91)="","",INDEX('潜水記録'!$P$5:$P$3004,$AS91)))</f>
        <v/>
      </c>
      <c r="R91" s="14">
        <f>IF($A91="","",IF(INDEX('潜水記録'!$Q$5:$Q$3004,$AS91)="","",INDEX('潜水記録'!$Q$5:$Q$3004,$AS91)))</f>
        <v/>
      </c>
      <c r="S91" s="14">
        <f>IF($A91="","",IF(INDEX('潜水記録'!$R$5:$R$3004,$AS91)="","",INDEX('潜水記録'!$R$5:$R$3004,$AS91)))</f>
        <v/>
      </c>
      <c r="T91" s="14">
        <f>IF($A91="","",IF(INDEX('潜水記録'!$S$5:$S$3004,$AS91)="","",INDEX('潜水記録'!$S$5:$S$3004,$AS91)))</f>
        <v/>
      </c>
      <c r="U91" s="14">
        <f>IF($A91="","",IF(INDEX('潜水記録'!$T$5:$T$3004,$AS91)="","",INDEX('潜水記録'!$T$5:$T$3004,$AS91)))</f>
        <v/>
      </c>
      <c r="V91" s="46">
        <f>IF($A91="","",IF(INDEX('潜水記録'!$U$5:$U$3004,$AS91)="","",INDEX('潜水記録'!$U$5:$U$3004,$AS91)))</f>
        <v/>
      </c>
      <c r="W91" s="46">
        <f>IF($A91="","",IF(INDEX('潜水記録'!$V$5:$V$3004,$AS91)="","",INDEX('潜水記録'!$V$5:$V$3004,$AS91)))</f>
        <v/>
      </c>
      <c r="X91" s="14">
        <f>IF($A91="","",IF(INDEX('潜水記録'!$W$5:$W$3004,$AS91)="","",INDEX('潜水記録'!$W$5:$W$3004,$AS91)))</f>
        <v/>
      </c>
      <c r="Y91" s="14">
        <f>IF($A91="","",IF(INDEX('潜水記録'!$X$5:$X$3004,$AS91)="","",INDEX('潜水記録'!$X$5:$X$3004,$AS91)))</f>
        <v/>
      </c>
      <c r="Z91" s="14">
        <f>IF($A91="","",IF(INDEX('潜水記録'!$Y$5:$Y$3004,$AS91)="","",INDEX('潜水記録'!$Y$5:$Y$3004,$AS91)))</f>
        <v/>
      </c>
      <c r="AA91" s="14">
        <f>IF($A91="","",IF(INDEX('潜水記録'!$Z$5:$Z$3004,$AS91)="","",INDEX('潜水記録'!$Z$5:$Z$3004,$AS91)))</f>
        <v/>
      </c>
      <c r="AB91" s="14">
        <f>IF($A91="","",IF(INDEX('潜水記録'!$AA$5:$AA$3004,$AS91)="","",INDEX('潜水記録'!$AA$5:$AA$3004,$AS91)))</f>
        <v/>
      </c>
      <c r="AC91" s="14">
        <f>IF($A91="","",IF(INDEX('潜水記録'!$AB$5:$AB$3004,$AS91)="","",INDEX('潜水記録'!$AB$5:$AB$3004,$AS91)))</f>
        <v/>
      </c>
      <c r="AD91" s="14">
        <f>IF($A91="","",IF(INDEX('潜水記録'!$AC$5:$AC$3004,$AS91)="","",INDEX('潜水記録'!$AC$5:$AC$3004,$AS91)))</f>
        <v/>
      </c>
      <c r="AE91" s="14">
        <f>IF($A91="","",IF(INDEX('潜水記録'!$AD$5:$AD$3004,$AS91)="","",INDEX('潜水記録'!$AD$5:$AD$3004,$AS91)))</f>
        <v/>
      </c>
      <c r="AF91" s="14">
        <f>IF($A91="","",IF(INDEX('潜水記録'!$AE$5:$AE$3004,$AS91)="","",INDEX('潜水記録'!$AE$5:$AE$3004,$AS91)))</f>
        <v/>
      </c>
      <c r="AG91" s="14">
        <f>IF($A91="","",IF(INDEX('潜水記録'!$AL$5:$AL$3004,$AS91)="","",INDEX('潜水記録'!$AL$5:$AL$3004,$AS91)))</f>
        <v/>
      </c>
      <c r="AH91" s="14">
        <f>IF($A91="","",IF(INDEX('潜水記録'!$AM$5:$AM$3004,$AS91)="","",INDEX('潜水記録'!$AM$5:$AM$3004,$AS91)))</f>
        <v/>
      </c>
      <c r="AI91" s="46">
        <f>IF($A91="","",IF(INDEX('潜水記録'!$AN$5:$AN$3004,$AS91)="","",INDEX('潜水記録'!$AN$5:$AN$3004,$AS91)))</f>
        <v/>
      </c>
      <c r="AJ91" s="14">
        <f>IF($A91="","",IF(INDEX('潜水記録'!$AO$5:$AO$3004,$AS91)="","",INDEX('潜水記録'!$AO$5:$AO$3004,$AS91)))</f>
        <v/>
      </c>
      <c r="AK91" s="14">
        <f>IF($A91="","",IF(INDEX('潜水記録'!$AP$5:$AP$3004,$AS91)="","",INDEX('潜水記録'!$AP$5:$AP$3004,$AS91)))</f>
        <v/>
      </c>
      <c r="AL91" s="14">
        <f>IF($A91="","",IF(INDEX('潜水記録'!$AQ$5:$AQ$3004,$AS91)="","",INDEX('潜水記録'!$AQ$5:$AQ$3004,$AS91)))</f>
        <v/>
      </c>
      <c r="AM91" s="14">
        <f>IF($A91="","",IF(INDEX('潜水記録'!$AR$5:$AR$3004,$AS91)="","",INDEX('潜水記録'!$AR$5:$AR$3004,$AS91)))</f>
        <v/>
      </c>
      <c r="AN91" s="14">
        <f>IF($A91="","",IF(INDEX('潜水記録'!$AS$5:$AS$3004,$AS91)="","",INDEX('潜水記録'!$AS$5:$AS$3004,$AS91)))</f>
        <v/>
      </c>
      <c r="AO91" s="14">
        <f>IF($A91="","",IF(INDEX('潜水記録'!$AT$5:$AT$3004,$AS91)="","",INDEX('潜水記録'!$AT$5:$AT$3004,$AS91)))</f>
        <v/>
      </c>
      <c r="AP91" s="14">
        <f>IF($A91="","",IF(INDEX('潜水記録'!$AU$5:$AU$3004,$AS91)="","",INDEX('潜水記録'!$AU$5:$AU$3004,$AS91)))</f>
        <v/>
      </c>
      <c r="AQ91" s="14">
        <f>IF($A91="","",IF(INDEX('潜水記録'!$AV$5:$AV$3004,$AS91)="","",INDEX('潜水記録'!$AV$5:$AV$3004,$AS91)))</f>
        <v/>
      </c>
      <c r="AR91" s="14">
        <f>IF($A91="","",IF(INDEX('潜水記録'!$AW$5:$AW$3004,$AS91)="","",INDEX('潜水記録'!$AW$5:$AW$3004,$AS91)))</f>
        <v/>
      </c>
      <c r="AS91" s="20">
        <f>IF($A91="","",MATCH($A91,'潜水記録'!$AI$5:$AI$3004,0))</f>
        <v/>
      </c>
    </row>
    <row r="92">
      <c r="A92" s="14">
        <f>IF(82&lt;=$C$8,82,"")</f>
        <v/>
      </c>
      <c r="B92" s="16">
        <f>IF($A92="","",IF(INDEX('潜水記録'!$A$5:$A$3004,$AS92)="","",INDEX('潜水記録'!$A$5:$A$3004,$AS92)))</f>
        <v/>
      </c>
      <c r="C92" s="14">
        <f>IF($A92="","",IF(INDEX('潜水記録'!$B$5:$B$3004,$AS92)="","",INDEX('潜水記録'!$B$5:$B$3004,$AS92)))</f>
        <v/>
      </c>
      <c r="D92" s="14">
        <f>IF($A92="","",IF(INDEX('潜水記録'!$C$5:$C$3004,$AS92)="","",INDEX('潜水記録'!$C$5:$C$3004,$AS92)))</f>
        <v/>
      </c>
      <c r="E92" s="14">
        <f>IF($A92="","",IF(INDEX('潜水記録'!$D$5:$D$3004,$AS92)="","",INDEX('潜水記録'!$D$5:$D$3004,$AS92)))</f>
        <v/>
      </c>
      <c r="F92" s="14">
        <f>IF($A92="","",IF(INDEX('潜水記録'!$E$5:$E$3004,$AS92)="","",INDEX('潜水記録'!$E$5:$E$3004,$AS92)))</f>
        <v/>
      </c>
      <c r="G92" s="14">
        <f>IF($A92="","",IF(INDEX('潜水記録'!$F$5:$F$3004,$AS92)="","",INDEX('潜水記録'!$F$5:$F$3004,$AS92)))</f>
        <v/>
      </c>
      <c r="H92" s="14">
        <f>IF($A92="","",IF(INDEX('潜水記録'!$G$5:$G$3004,$AS92)="","",INDEX('潜水記録'!$G$5:$G$3004,$AS92)))</f>
        <v/>
      </c>
      <c r="I92" s="14">
        <f>IF($A92="","",IF(INDEX('潜水記録'!$H$5:$H$3004,$AS92)="","",INDEX('潜水記録'!$H$5:$H$3004,$AS92)))</f>
        <v/>
      </c>
      <c r="J92" s="14">
        <f>IF($A92="","",IF(INDEX('潜水記録'!$I$5:$I$3004,$AS92)="","",INDEX('潜水記録'!$I$5:$I$3004,$AS92)))</f>
        <v/>
      </c>
      <c r="K92" s="14">
        <f>IF($A92="","",IF(INDEX('潜水記録'!$J$5:$J$3004,$AS92)="","",INDEX('潜水記録'!$J$5:$J$3004,$AS92)))</f>
        <v/>
      </c>
      <c r="L92" s="14">
        <f>IF($A92="","",IF(INDEX('潜水記録'!$K$5:$K$3004,$AS92)="","",INDEX('潜水記録'!$K$5:$K$3004,$AS92)))</f>
        <v/>
      </c>
      <c r="M92" s="14">
        <f>IF($A92="","",IF(INDEX('潜水記録'!$L$5:$L$3004,$AS92)="","",INDEX('潜水記録'!$L$5:$L$3004,$AS92)))</f>
        <v/>
      </c>
      <c r="N92" s="14">
        <f>IF($A92="","",IF(INDEX('潜水記録'!$M$5:$M$3004,$AS92)="","",INDEX('潜水記録'!$M$5:$M$3004,$AS92)))</f>
        <v/>
      </c>
      <c r="O92" s="14">
        <f>IF($A92="","",IF(INDEX('潜水記録'!$N$5:$N$3004,$AS92)="","",INDEX('潜水記録'!$N$5:$N$3004,$AS92)))</f>
        <v/>
      </c>
      <c r="P92" s="14">
        <f>IF($A92="","",IF(INDEX('潜水記録'!$O$5:$O$3004,$AS92)="","",INDEX('潜水記録'!$O$5:$O$3004,$AS92)))</f>
        <v/>
      </c>
      <c r="Q92" s="14">
        <f>IF($A92="","",IF(INDEX('潜水記録'!$P$5:$P$3004,$AS92)="","",INDEX('潜水記録'!$P$5:$P$3004,$AS92)))</f>
        <v/>
      </c>
      <c r="R92" s="14">
        <f>IF($A92="","",IF(INDEX('潜水記録'!$Q$5:$Q$3004,$AS92)="","",INDEX('潜水記録'!$Q$5:$Q$3004,$AS92)))</f>
        <v/>
      </c>
      <c r="S92" s="14">
        <f>IF($A92="","",IF(INDEX('潜水記録'!$R$5:$R$3004,$AS92)="","",INDEX('潜水記録'!$R$5:$R$3004,$AS92)))</f>
        <v/>
      </c>
      <c r="T92" s="14">
        <f>IF($A92="","",IF(INDEX('潜水記録'!$S$5:$S$3004,$AS92)="","",INDEX('潜水記録'!$S$5:$S$3004,$AS92)))</f>
        <v/>
      </c>
      <c r="U92" s="14">
        <f>IF($A92="","",IF(INDEX('潜水記録'!$T$5:$T$3004,$AS92)="","",INDEX('潜水記録'!$T$5:$T$3004,$AS92)))</f>
        <v/>
      </c>
      <c r="V92" s="46">
        <f>IF($A92="","",IF(INDEX('潜水記録'!$U$5:$U$3004,$AS92)="","",INDEX('潜水記録'!$U$5:$U$3004,$AS92)))</f>
        <v/>
      </c>
      <c r="W92" s="46">
        <f>IF($A92="","",IF(INDEX('潜水記録'!$V$5:$V$3004,$AS92)="","",INDEX('潜水記録'!$V$5:$V$3004,$AS92)))</f>
        <v/>
      </c>
      <c r="X92" s="14">
        <f>IF($A92="","",IF(INDEX('潜水記録'!$W$5:$W$3004,$AS92)="","",INDEX('潜水記録'!$W$5:$W$3004,$AS92)))</f>
        <v/>
      </c>
      <c r="Y92" s="14">
        <f>IF($A92="","",IF(INDEX('潜水記録'!$X$5:$X$3004,$AS92)="","",INDEX('潜水記録'!$X$5:$X$3004,$AS92)))</f>
        <v/>
      </c>
      <c r="Z92" s="14">
        <f>IF($A92="","",IF(INDEX('潜水記録'!$Y$5:$Y$3004,$AS92)="","",INDEX('潜水記録'!$Y$5:$Y$3004,$AS92)))</f>
        <v/>
      </c>
      <c r="AA92" s="14">
        <f>IF($A92="","",IF(INDEX('潜水記録'!$Z$5:$Z$3004,$AS92)="","",INDEX('潜水記録'!$Z$5:$Z$3004,$AS92)))</f>
        <v/>
      </c>
      <c r="AB92" s="14">
        <f>IF($A92="","",IF(INDEX('潜水記録'!$AA$5:$AA$3004,$AS92)="","",INDEX('潜水記録'!$AA$5:$AA$3004,$AS92)))</f>
        <v/>
      </c>
      <c r="AC92" s="14">
        <f>IF($A92="","",IF(INDEX('潜水記録'!$AB$5:$AB$3004,$AS92)="","",INDEX('潜水記録'!$AB$5:$AB$3004,$AS92)))</f>
        <v/>
      </c>
      <c r="AD92" s="14">
        <f>IF($A92="","",IF(INDEX('潜水記録'!$AC$5:$AC$3004,$AS92)="","",INDEX('潜水記録'!$AC$5:$AC$3004,$AS92)))</f>
        <v/>
      </c>
      <c r="AE92" s="14">
        <f>IF($A92="","",IF(INDEX('潜水記録'!$AD$5:$AD$3004,$AS92)="","",INDEX('潜水記録'!$AD$5:$AD$3004,$AS92)))</f>
        <v/>
      </c>
      <c r="AF92" s="14">
        <f>IF($A92="","",IF(INDEX('潜水記録'!$AE$5:$AE$3004,$AS92)="","",INDEX('潜水記録'!$AE$5:$AE$3004,$AS92)))</f>
        <v/>
      </c>
      <c r="AG92" s="14">
        <f>IF($A92="","",IF(INDEX('潜水記録'!$AL$5:$AL$3004,$AS92)="","",INDEX('潜水記録'!$AL$5:$AL$3004,$AS92)))</f>
        <v/>
      </c>
      <c r="AH92" s="14">
        <f>IF($A92="","",IF(INDEX('潜水記録'!$AM$5:$AM$3004,$AS92)="","",INDEX('潜水記録'!$AM$5:$AM$3004,$AS92)))</f>
        <v/>
      </c>
      <c r="AI92" s="46">
        <f>IF($A92="","",IF(INDEX('潜水記録'!$AN$5:$AN$3004,$AS92)="","",INDEX('潜水記録'!$AN$5:$AN$3004,$AS92)))</f>
        <v/>
      </c>
      <c r="AJ92" s="14">
        <f>IF($A92="","",IF(INDEX('潜水記録'!$AO$5:$AO$3004,$AS92)="","",INDEX('潜水記録'!$AO$5:$AO$3004,$AS92)))</f>
        <v/>
      </c>
      <c r="AK92" s="14">
        <f>IF($A92="","",IF(INDEX('潜水記録'!$AP$5:$AP$3004,$AS92)="","",INDEX('潜水記録'!$AP$5:$AP$3004,$AS92)))</f>
        <v/>
      </c>
      <c r="AL92" s="14">
        <f>IF($A92="","",IF(INDEX('潜水記録'!$AQ$5:$AQ$3004,$AS92)="","",INDEX('潜水記録'!$AQ$5:$AQ$3004,$AS92)))</f>
        <v/>
      </c>
      <c r="AM92" s="14">
        <f>IF($A92="","",IF(INDEX('潜水記録'!$AR$5:$AR$3004,$AS92)="","",INDEX('潜水記録'!$AR$5:$AR$3004,$AS92)))</f>
        <v/>
      </c>
      <c r="AN92" s="14">
        <f>IF($A92="","",IF(INDEX('潜水記録'!$AS$5:$AS$3004,$AS92)="","",INDEX('潜水記録'!$AS$5:$AS$3004,$AS92)))</f>
        <v/>
      </c>
      <c r="AO92" s="14">
        <f>IF($A92="","",IF(INDEX('潜水記録'!$AT$5:$AT$3004,$AS92)="","",INDEX('潜水記録'!$AT$5:$AT$3004,$AS92)))</f>
        <v/>
      </c>
      <c r="AP92" s="14">
        <f>IF($A92="","",IF(INDEX('潜水記録'!$AU$5:$AU$3004,$AS92)="","",INDEX('潜水記録'!$AU$5:$AU$3004,$AS92)))</f>
        <v/>
      </c>
      <c r="AQ92" s="14">
        <f>IF($A92="","",IF(INDEX('潜水記録'!$AV$5:$AV$3004,$AS92)="","",INDEX('潜水記録'!$AV$5:$AV$3004,$AS92)))</f>
        <v/>
      </c>
      <c r="AR92" s="14">
        <f>IF($A92="","",IF(INDEX('潜水記録'!$AW$5:$AW$3004,$AS92)="","",INDEX('潜水記録'!$AW$5:$AW$3004,$AS92)))</f>
        <v/>
      </c>
      <c r="AS92" s="20">
        <f>IF($A92="","",MATCH($A92,'潜水記録'!$AI$5:$AI$3004,0))</f>
        <v/>
      </c>
    </row>
    <row r="93">
      <c r="A93" s="14">
        <f>IF(83&lt;=$C$8,83,"")</f>
        <v/>
      </c>
      <c r="B93" s="16">
        <f>IF($A93="","",IF(INDEX('潜水記録'!$A$5:$A$3004,$AS93)="","",INDEX('潜水記録'!$A$5:$A$3004,$AS93)))</f>
        <v/>
      </c>
      <c r="C93" s="14">
        <f>IF($A93="","",IF(INDEX('潜水記録'!$B$5:$B$3004,$AS93)="","",INDEX('潜水記録'!$B$5:$B$3004,$AS93)))</f>
        <v/>
      </c>
      <c r="D93" s="14">
        <f>IF($A93="","",IF(INDEX('潜水記録'!$C$5:$C$3004,$AS93)="","",INDEX('潜水記録'!$C$5:$C$3004,$AS93)))</f>
        <v/>
      </c>
      <c r="E93" s="14">
        <f>IF($A93="","",IF(INDEX('潜水記録'!$D$5:$D$3004,$AS93)="","",INDEX('潜水記録'!$D$5:$D$3004,$AS93)))</f>
        <v/>
      </c>
      <c r="F93" s="14">
        <f>IF($A93="","",IF(INDEX('潜水記録'!$E$5:$E$3004,$AS93)="","",INDEX('潜水記録'!$E$5:$E$3004,$AS93)))</f>
        <v/>
      </c>
      <c r="G93" s="14">
        <f>IF($A93="","",IF(INDEX('潜水記録'!$F$5:$F$3004,$AS93)="","",INDEX('潜水記録'!$F$5:$F$3004,$AS93)))</f>
        <v/>
      </c>
      <c r="H93" s="14">
        <f>IF($A93="","",IF(INDEX('潜水記録'!$G$5:$G$3004,$AS93)="","",INDEX('潜水記録'!$G$5:$G$3004,$AS93)))</f>
        <v/>
      </c>
      <c r="I93" s="14">
        <f>IF($A93="","",IF(INDEX('潜水記録'!$H$5:$H$3004,$AS93)="","",INDEX('潜水記録'!$H$5:$H$3004,$AS93)))</f>
        <v/>
      </c>
      <c r="J93" s="14">
        <f>IF($A93="","",IF(INDEX('潜水記録'!$I$5:$I$3004,$AS93)="","",INDEX('潜水記録'!$I$5:$I$3004,$AS93)))</f>
        <v/>
      </c>
      <c r="K93" s="14">
        <f>IF($A93="","",IF(INDEX('潜水記録'!$J$5:$J$3004,$AS93)="","",INDEX('潜水記録'!$J$5:$J$3004,$AS93)))</f>
        <v/>
      </c>
      <c r="L93" s="14">
        <f>IF($A93="","",IF(INDEX('潜水記録'!$K$5:$K$3004,$AS93)="","",INDEX('潜水記録'!$K$5:$K$3004,$AS93)))</f>
        <v/>
      </c>
      <c r="M93" s="14">
        <f>IF($A93="","",IF(INDEX('潜水記録'!$L$5:$L$3004,$AS93)="","",INDEX('潜水記録'!$L$5:$L$3004,$AS93)))</f>
        <v/>
      </c>
      <c r="N93" s="14">
        <f>IF($A93="","",IF(INDEX('潜水記録'!$M$5:$M$3004,$AS93)="","",INDEX('潜水記録'!$M$5:$M$3004,$AS93)))</f>
        <v/>
      </c>
      <c r="O93" s="14">
        <f>IF($A93="","",IF(INDEX('潜水記録'!$N$5:$N$3004,$AS93)="","",INDEX('潜水記録'!$N$5:$N$3004,$AS93)))</f>
        <v/>
      </c>
      <c r="P93" s="14">
        <f>IF($A93="","",IF(INDEX('潜水記録'!$O$5:$O$3004,$AS93)="","",INDEX('潜水記録'!$O$5:$O$3004,$AS93)))</f>
        <v/>
      </c>
      <c r="Q93" s="14">
        <f>IF($A93="","",IF(INDEX('潜水記録'!$P$5:$P$3004,$AS93)="","",INDEX('潜水記録'!$P$5:$P$3004,$AS93)))</f>
        <v/>
      </c>
      <c r="R93" s="14">
        <f>IF($A93="","",IF(INDEX('潜水記録'!$Q$5:$Q$3004,$AS93)="","",INDEX('潜水記録'!$Q$5:$Q$3004,$AS93)))</f>
        <v/>
      </c>
      <c r="S93" s="14">
        <f>IF($A93="","",IF(INDEX('潜水記録'!$R$5:$R$3004,$AS93)="","",INDEX('潜水記録'!$R$5:$R$3004,$AS93)))</f>
        <v/>
      </c>
      <c r="T93" s="14">
        <f>IF($A93="","",IF(INDEX('潜水記録'!$S$5:$S$3004,$AS93)="","",INDEX('潜水記録'!$S$5:$S$3004,$AS93)))</f>
        <v/>
      </c>
      <c r="U93" s="14">
        <f>IF($A93="","",IF(INDEX('潜水記録'!$T$5:$T$3004,$AS93)="","",INDEX('潜水記録'!$T$5:$T$3004,$AS93)))</f>
        <v/>
      </c>
      <c r="V93" s="46">
        <f>IF($A93="","",IF(INDEX('潜水記録'!$U$5:$U$3004,$AS93)="","",INDEX('潜水記録'!$U$5:$U$3004,$AS93)))</f>
        <v/>
      </c>
      <c r="W93" s="46">
        <f>IF($A93="","",IF(INDEX('潜水記録'!$V$5:$V$3004,$AS93)="","",INDEX('潜水記録'!$V$5:$V$3004,$AS93)))</f>
        <v/>
      </c>
      <c r="X93" s="14">
        <f>IF($A93="","",IF(INDEX('潜水記録'!$W$5:$W$3004,$AS93)="","",INDEX('潜水記録'!$W$5:$W$3004,$AS93)))</f>
        <v/>
      </c>
      <c r="Y93" s="14">
        <f>IF($A93="","",IF(INDEX('潜水記録'!$X$5:$X$3004,$AS93)="","",INDEX('潜水記録'!$X$5:$X$3004,$AS93)))</f>
        <v/>
      </c>
      <c r="Z93" s="14">
        <f>IF($A93="","",IF(INDEX('潜水記録'!$Y$5:$Y$3004,$AS93)="","",INDEX('潜水記録'!$Y$5:$Y$3004,$AS93)))</f>
        <v/>
      </c>
      <c r="AA93" s="14">
        <f>IF($A93="","",IF(INDEX('潜水記録'!$Z$5:$Z$3004,$AS93)="","",INDEX('潜水記録'!$Z$5:$Z$3004,$AS93)))</f>
        <v/>
      </c>
      <c r="AB93" s="14">
        <f>IF($A93="","",IF(INDEX('潜水記録'!$AA$5:$AA$3004,$AS93)="","",INDEX('潜水記録'!$AA$5:$AA$3004,$AS93)))</f>
        <v/>
      </c>
      <c r="AC93" s="14">
        <f>IF($A93="","",IF(INDEX('潜水記録'!$AB$5:$AB$3004,$AS93)="","",INDEX('潜水記録'!$AB$5:$AB$3004,$AS93)))</f>
        <v/>
      </c>
      <c r="AD93" s="14">
        <f>IF($A93="","",IF(INDEX('潜水記録'!$AC$5:$AC$3004,$AS93)="","",INDEX('潜水記録'!$AC$5:$AC$3004,$AS93)))</f>
        <v/>
      </c>
      <c r="AE93" s="14">
        <f>IF($A93="","",IF(INDEX('潜水記録'!$AD$5:$AD$3004,$AS93)="","",INDEX('潜水記録'!$AD$5:$AD$3004,$AS93)))</f>
        <v/>
      </c>
      <c r="AF93" s="14">
        <f>IF($A93="","",IF(INDEX('潜水記録'!$AE$5:$AE$3004,$AS93)="","",INDEX('潜水記録'!$AE$5:$AE$3004,$AS93)))</f>
        <v/>
      </c>
      <c r="AG93" s="14">
        <f>IF($A93="","",IF(INDEX('潜水記録'!$AL$5:$AL$3004,$AS93)="","",INDEX('潜水記録'!$AL$5:$AL$3004,$AS93)))</f>
        <v/>
      </c>
      <c r="AH93" s="14">
        <f>IF($A93="","",IF(INDEX('潜水記録'!$AM$5:$AM$3004,$AS93)="","",INDEX('潜水記録'!$AM$5:$AM$3004,$AS93)))</f>
        <v/>
      </c>
      <c r="AI93" s="46">
        <f>IF($A93="","",IF(INDEX('潜水記録'!$AN$5:$AN$3004,$AS93)="","",INDEX('潜水記録'!$AN$5:$AN$3004,$AS93)))</f>
        <v/>
      </c>
      <c r="AJ93" s="14">
        <f>IF($A93="","",IF(INDEX('潜水記録'!$AO$5:$AO$3004,$AS93)="","",INDEX('潜水記録'!$AO$5:$AO$3004,$AS93)))</f>
        <v/>
      </c>
      <c r="AK93" s="14">
        <f>IF($A93="","",IF(INDEX('潜水記録'!$AP$5:$AP$3004,$AS93)="","",INDEX('潜水記録'!$AP$5:$AP$3004,$AS93)))</f>
        <v/>
      </c>
      <c r="AL93" s="14">
        <f>IF($A93="","",IF(INDEX('潜水記録'!$AQ$5:$AQ$3004,$AS93)="","",INDEX('潜水記録'!$AQ$5:$AQ$3004,$AS93)))</f>
        <v/>
      </c>
      <c r="AM93" s="14">
        <f>IF($A93="","",IF(INDEX('潜水記録'!$AR$5:$AR$3004,$AS93)="","",INDEX('潜水記録'!$AR$5:$AR$3004,$AS93)))</f>
        <v/>
      </c>
      <c r="AN93" s="14">
        <f>IF($A93="","",IF(INDEX('潜水記録'!$AS$5:$AS$3004,$AS93)="","",INDEX('潜水記録'!$AS$5:$AS$3004,$AS93)))</f>
        <v/>
      </c>
      <c r="AO93" s="14">
        <f>IF($A93="","",IF(INDEX('潜水記録'!$AT$5:$AT$3004,$AS93)="","",INDEX('潜水記録'!$AT$5:$AT$3004,$AS93)))</f>
        <v/>
      </c>
      <c r="AP93" s="14">
        <f>IF($A93="","",IF(INDEX('潜水記録'!$AU$5:$AU$3004,$AS93)="","",INDEX('潜水記録'!$AU$5:$AU$3004,$AS93)))</f>
        <v/>
      </c>
      <c r="AQ93" s="14">
        <f>IF($A93="","",IF(INDEX('潜水記録'!$AV$5:$AV$3004,$AS93)="","",INDEX('潜水記録'!$AV$5:$AV$3004,$AS93)))</f>
        <v/>
      </c>
      <c r="AR93" s="14">
        <f>IF($A93="","",IF(INDEX('潜水記録'!$AW$5:$AW$3004,$AS93)="","",INDEX('潜水記録'!$AW$5:$AW$3004,$AS93)))</f>
        <v/>
      </c>
      <c r="AS93" s="20">
        <f>IF($A93="","",MATCH($A93,'潜水記録'!$AI$5:$AI$3004,0))</f>
        <v/>
      </c>
    </row>
    <row r="94">
      <c r="A94" s="14">
        <f>IF(84&lt;=$C$8,84,"")</f>
        <v/>
      </c>
      <c r="B94" s="16">
        <f>IF($A94="","",IF(INDEX('潜水記録'!$A$5:$A$3004,$AS94)="","",INDEX('潜水記録'!$A$5:$A$3004,$AS94)))</f>
        <v/>
      </c>
      <c r="C94" s="14">
        <f>IF($A94="","",IF(INDEX('潜水記録'!$B$5:$B$3004,$AS94)="","",INDEX('潜水記録'!$B$5:$B$3004,$AS94)))</f>
        <v/>
      </c>
      <c r="D94" s="14">
        <f>IF($A94="","",IF(INDEX('潜水記録'!$C$5:$C$3004,$AS94)="","",INDEX('潜水記録'!$C$5:$C$3004,$AS94)))</f>
        <v/>
      </c>
      <c r="E94" s="14">
        <f>IF($A94="","",IF(INDEX('潜水記録'!$D$5:$D$3004,$AS94)="","",INDEX('潜水記録'!$D$5:$D$3004,$AS94)))</f>
        <v/>
      </c>
      <c r="F94" s="14">
        <f>IF($A94="","",IF(INDEX('潜水記録'!$E$5:$E$3004,$AS94)="","",INDEX('潜水記録'!$E$5:$E$3004,$AS94)))</f>
        <v/>
      </c>
      <c r="G94" s="14">
        <f>IF($A94="","",IF(INDEX('潜水記録'!$F$5:$F$3004,$AS94)="","",INDEX('潜水記録'!$F$5:$F$3004,$AS94)))</f>
        <v/>
      </c>
      <c r="H94" s="14">
        <f>IF($A94="","",IF(INDEX('潜水記録'!$G$5:$G$3004,$AS94)="","",INDEX('潜水記録'!$G$5:$G$3004,$AS94)))</f>
        <v/>
      </c>
      <c r="I94" s="14">
        <f>IF($A94="","",IF(INDEX('潜水記録'!$H$5:$H$3004,$AS94)="","",INDEX('潜水記録'!$H$5:$H$3004,$AS94)))</f>
        <v/>
      </c>
      <c r="J94" s="14">
        <f>IF($A94="","",IF(INDEX('潜水記録'!$I$5:$I$3004,$AS94)="","",INDEX('潜水記録'!$I$5:$I$3004,$AS94)))</f>
        <v/>
      </c>
      <c r="K94" s="14">
        <f>IF($A94="","",IF(INDEX('潜水記録'!$J$5:$J$3004,$AS94)="","",INDEX('潜水記録'!$J$5:$J$3004,$AS94)))</f>
        <v/>
      </c>
      <c r="L94" s="14">
        <f>IF($A94="","",IF(INDEX('潜水記録'!$K$5:$K$3004,$AS94)="","",INDEX('潜水記録'!$K$5:$K$3004,$AS94)))</f>
        <v/>
      </c>
      <c r="M94" s="14">
        <f>IF($A94="","",IF(INDEX('潜水記録'!$L$5:$L$3004,$AS94)="","",INDEX('潜水記録'!$L$5:$L$3004,$AS94)))</f>
        <v/>
      </c>
      <c r="N94" s="14">
        <f>IF($A94="","",IF(INDEX('潜水記録'!$M$5:$M$3004,$AS94)="","",INDEX('潜水記録'!$M$5:$M$3004,$AS94)))</f>
        <v/>
      </c>
      <c r="O94" s="14">
        <f>IF($A94="","",IF(INDEX('潜水記録'!$N$5:$N$3004,$AS94)="","",INDEX('潜水記録'!$N$5:$N$3004,$AS94)))</f>
        <v/>
      </c>
      <c r="P94" s="14">
        <f>IF($A94="","",IF(INDEX('潜水記録'!$O$5:$O$3004,$AS94)="","",INDEX('潜水記録'!$O$5:$O$3004,$AS94)))</f>
        <v/>
      </c>
      <c r="Q94" s="14">
        <f>IF($A94="","",IF(INDEX('潜水記録'!$P$5:$P$3004,$AS94)="","",INDEX('潜水記録'!$P$5:$P$3004,$AS94)))</f>
        <v/>
      </c>
      <c r="R94" s="14">
        <f>IF($A94="","",IF(INDEX('潜水記録'!$Q$5:$Q$3004,$AS94)="","",INDEX('潜水記録'!$Q$5:$Q$3004,$AS94)))</f>
        <v/>
      </c>
      <c r="S94" s="14">
        <f>IF($A94="","",IF(INDEX('潜水記録'!$R$5:$R$3004,$AS94)="","",INDEX('潜水記録'!$R$5:$R$3004,$AS94)))</f>
        <v/>
      </c>
      <c r="T94" s="14">
        <f>IF($A94="","",IF(INDEX('潜水記録'!$S$5:$S$3004,$AS94)="","",INDEX('潜水記録'!$S$5:$S$3004,$AS94)))</f>
        <v/>
      </c>
      <c r="U94" s="14">
        <f>IF($A94="","",IF(INDEX('潜水記録'!$T$5:$T$3004,$AS94)="","",INDEX('潜水記録'!$T$5:$T$3004,$AS94)))</f>
        <v/>
      </c>
      <c r="V94" s="46">
        <f>IF($A94="","",IF(INDEX('潜水記録'!$U$5:$U$3004,$AS94)="","",INDEX('潜水記録'!$U$5:$U$3004,$AS94)))</f>
        <v/>
      </c>
      <c r="W94" s="46">
        <f>IF($A94="","",IF(INDEX('潜水記録'!$V$5:$V$3004,$AS94)="","",INDEX('潜水記録'!$V$5:$V$3004,$AS94)))</f>
        <v/>
      </c>
      <c r="X94" s="14">
        <f>IF($A94="","",IF(INDEX('潜水記録'!$W$5:$W$3004,$AS94)="","",INDEX('潜水記録'!$W$5:$W$3004,$AS94)))</f>
        <v/>
      </c>
      <c r="Y94" s="14">
        <f>IF($A94="","",IF(INDEX('潜水記録'!$X$5:$X$3004,$AS94)="","",INDEX('潜水記録'!$X$5:$X$3004,$AS94)))</f>
        <v/>
      </c>
      <c r="Z94" s="14">
        <f>IF($A94="","",IF(INDEX('潜水記録'!$Y$5:$Y$3004,$AS94)="","",INDEX('潜水記録'!$Y$5:$Y$3004,$AS94)))</f>
        <v/>
      </c>
      <c r="AA94" s="14">
        <f>IF($A94="","",IF(INDEX('潜水記録'!$Z$5:$Z$3004,$AS94)="","",INDEX('潜水記録'!$Z$5:$Z$3004,$AS94)))</f>
        <v/>
      </c>
      <c r="AB94" s="14">
        <f>IF($A94="","",IF(INDEX('潜水記録'!$AA$5:$AA$3004,$AS94)="","",INDEX('潜水記録'!$AA$5:$AA$3004,$AS94)))</f>
        <v/>
      </c>
      <c r="AC94" s="14">
        <f>IF($A94="","",IF(INDEX('潜水記録'!$AB$5:$AB$3004,$AS94)="","",INDEX('潜水記録'!$AB$5:$AB$3004,$AS94)))</f>
        <v/>
      </c>
      <c r="AD94" s="14">
        <f>IF($A94="","",IF(INDEX('潜水記録'!$AC$5:$AC$3004,$AS94)="","",INDEX('潜水記録'!$AC$5:$AC$3004,$AS94)))</f>
        <v/>
      </c>
      <c r="AE94" s="14">
        <f>IF($A94="","",IF(INDEX('潜水記録'!$AD$5:$AD$3004,$AS94)="","",INDEX('潜水記録'!$AD$5:$AD$3004,$AS94)))</f>
        <v/>
      </c>
      <c r="AF94" s="14">
        <f>IF($A94="","",IF(INDEX('潜水記録'!$AE$5:$AE$3004,$AS94)="","",INDEX('潜水記録'!$AE$5:$AE$3004,$AS94)))</f>
        <v/>
      </c>
      <c r="AG94" s="14">
        <f>IF($A94="","",IF(INDEX('潜水記録'!$AL$5:$AL$3004,$AS94)="","",INDEX('潜水記録'!$AL$5:$AL$3004,$AS94)))</f>
        <v/>
      </c>
      <c r="AH94" s="14">
        <f>IF($A94="","",IF(INDEX('潜水記録'!$AM$5:$AM$3004,$AS94)="","",INDEX('潜水記録'!$AM$5:$AM$3004,$AS94)))</f>
        <v/>
      </c>
      <c r="AI94" s="46">
        <f>IF($A94="","",IF(INDEX('潜水記録'!$AN$5:$AN$3004,$AS94)="","",INDEX('潜水記録'!$AN$5:$AN$3004,$AS94)))</f>
        <v/>
      </c>
      <c r="AJ94" s="14">
        <f>IF($A94="","",IF(INDEX('潜水記録'!$AO$5:$AO$3004,$AS94)="","",INDEX('潜水記録'!$AO$5:$AO$3004,$AS94)))</f>
        <v/>
      </c>
      <c r="AK94" s="14">
        <f>IF($A94="","",IF(INDEX('潜水記録'!$AP$5:$AP$3004,$AS94)="","",INDEX('潜水記録'!$AP$5:$AP$3004,$AS94)))</f>
        <v/>
      </c>
      <c r="AL94" s="14">
        <f>IF($A94="","",IF(INDEX('潜水記録'!$AQ$5:$AQ$3004,$AS94)="","",INDEX('潜水記録'!$AQ$5:$AQ$3004,$AS94)))</f>
        <v/>
      </c>
      <c r="AM94" s="14">
        <f>IF($A94="","",IF(INDEX('潜水記録'!$AR$5:$AR$3004,$AS94)="","",INDEX('潜水記録'!$AR$5:$AR$3004,$AS94)))</f>
        <v/>
      </c>
      <c r="AN94" s="14">
        <f>IF($A94="","",IF(INDEX('潜水記録'!$AS$5:$AS$3004,$AS94)="","",INDEX('潜水記録'!$AS$5:$AS$3004,$AS94)))</f>
        <v/>
      </c>
      <c r="AO94" s="14">
        <f>IF($A94="","",IF(INDEX('潜水記録'!$AT$5:$AT$3004,$AS94)="","",INDEX('潜水記録'!$AT$5:$AT$3004,$AS94)))</f>
        <v/>
      </c>
      <c r="AP94" s="14">
        <f>IF($A94="","",IF(INDEX('潜水記録'!$AU$5:$AU$3004,$AS94)="","",INDEX('潜水記録'!$AU$5:$AU$3004,$AS94)))</f>
        <v/>
      </c>
      <c r="AQ94" s="14">
        <f>IF($A94="","",IF(INDEX('潜水記録'!$AV$5:$AV$3004,$AS94)="","",INDEX('潜水記録'!$AV$5:$AV$3004,$AS94)))</f>
        <v/>
      </c>
      <c r="AR94" s="14">
        <f>IF($A94="","",IF(INDEX('潜水記録'!$AW$5:$AW$3004,$AS94)="","",INDEX('潜水記録'!$AW$5:$AW$3004,$AS94)))</f>
        <v/>
      </c>
      <c r="AS94" s="20">
        <f>IF($A94="","",MATCH($A94,'潜水記録'!$AI$5:$AI$3004,0))</f>
        <v/>
      </c>
    </row>
    <row r="95">
      <c r="A95" s="14">
        <f>IF(85&lt;=$C$8,85,"")</f>
        <v/>
      </c>
      <c r="B95" s="16">
        <f>IF($A95="","",IF(INDEX('潜水記録'!$A$5:$A$3004,$AS95)="","",INDEX('潜水記録'!$A$5:$A$3004,$AS95)))</f>
        <v/>
      </c>
      <c r="C95" s="14">
        <f>IF($A95="","",IF(INDEX('潜水記録'!$B$5:$B$3004,$AS95)="","",INDEX('潜水記録'!$B$5:$B$3004,$AS95)))</f>
        <v/>
      </c>
      <c r="D95" s="14">
        <f>IF($A95="","",IF(INDEX('潜水記録'!$C$5:$C$3004,$AS95)="","",INDEX('潜水記録'!$C$5:$C$3004,$AS95)))</f>
        <v/>
      </c>
      <c r="E95" s="14">
        <f>IF($A95="","",IF(INDEX('潜水記録'!$D$5:$D$3004,$AS95)="","",INDEX('潜水記録'!$D$5:$D$3004,$AS95)))</f>
        <v/>
      </c>
      <c r="F95" s="14">
        <f>IF($A95="","",IF(INDEX('潜水記録'!$E$5:$E$3004,$AS95)="","",INDEX('潜水記録'!$E$5:$E$3004,$AS95)))</f>
        <v/>
      </c>
      <c r="G95" s="14">
        <f>IF($A95="","",IF(INDEX('潜水記録'!$F$5:$F$3004,$AS95)="","",INDEX('潜水記録'!$F$5:$F$3004,$AS95)))</f>
        <v/>
      </c>
      <c r="H95" s="14">
        <f>IF($A95="","",IF(INDEX('潜水記録'!$G$5:$G$3004,$AS95)="","",INDEX('潜水記録'!$G$5:$G$3004,$AS95)))</f>
        <v/>
      </c>
      <c r="I95" s="14">
        <f>IF($A95="","",IF(INDEX('潜水記録'!$H$5:$H$3004,$AS95)="","",INDEX('潜水記録'!$H$5:$H$3004,$AS95)))</f>
        <v/>
      </c>
      <c r="J95" s="14">
        <f>IF($A95="","",IF(INDEX('潜水記録'!$I$5:$I$3004,$AS95)="","",INDEX('潜水記録'!$I$5:$I$3004,$AS95)))</f>
        <v/>
      </c>
      <c r="K95" s="14">
        <f>IF($A95="","",IF(INDEX('潜水記録'!$J$5:$J$3004,$AS95)="","",INDEX('潜水記録'!$J$5:$J$3004,$AS95)))</f>
        <v/>
      </c>
      <c r="L95" s="14">
        <f>IF($A95="","",IF(INDEX('潜水記録'!$K$5:$K$3004,$AS95)="","",INDEX('潜水記録'!$K$5:$K$3004,$AS95)))</f>
        <v/>
      </c>
      <c r="M95" s="14">
        <f>IF($A95="","",IF(INDEX('潜水記録'!$L$5:$L$3004,$AS95)="","",INDEX('潜水記録'!$L$5:$L$3004,$AS95)))</f>
        <v/>
      </c>
      <c r="N95" s="14">
        <f>IF($A95="","",IF(INDEX('潜水記録'!$M$5:$M$3004,$AS95)="","",INDEX('潜水記録'!$M$5:$M$3004,$AS95)))</f>
        <v/>
      </c>
      <c r="O95" s="14">
        <f>IF($A95="","",IF(INDEX('潜水記録'!$N$5:$N$3004,$AS95)="","",INDEX('潜水記録'!$N$5:$N$3004,$AS95)))</f>
        <v/>
      </c>
      <c r="P95" s="14">
        <f>IF($A95="","",IF(INDEX('潜水記録'!$O$5:$O$3004,$AS95)="","",INDEX('潜水記録'!$O$5:$O$3004,$AS95)))</f>
        <v/>
      </c>
      <c r="Q95" s="14">
        <f>IF($A95="","",IF(INDEX('潜水記録'!$P$5:$P$3004,$AS95)="","",INDEX('潜水記録'!$P$5:$P$3004,$AS95)))</f>
        <v/>
      </c>
      <c r="R95" s="14">
        <f>IF($A95="","",IF(INDEX('潜水記録'!$Q$5:$Q$3004,$AS95)="","",INDEX('潜水記録'!$Q$5:$Q$3004,$AS95)))</f>
        <v/>
      </c>
      <c r="S95" s="14">
        <f>IF($A95="","",IF(INDEX('潜水記録'!$R$5:$R$3004,$AS95)="","",INDEX('潜水記録'!$R$5:$R$3004,$AS95)))</f>
        <v/>
      </c>
      <c r="T95" s="14">
        <f>IF($A95="","",IF(INDEX('潜水記録'!$S$5:$S$3004,$AS95)="","",INDEX('潜水記録'!$S$5:$S$3004,$AS95)))</f>
        <v/>
      </c>
      <c r="U95" s="14">
        <f>IF($A95="","",IF(INDEX('潜水記録'!$T$5:$T$3004,$AS95)="","",INDEX('潜水記録'!$T$5:$T$3004,$AS95)))</f>
        <v/>
      </c>
      <c r="V95" s="46">
        <f>IF($A95="","",IF(INDEX('潜水記録'!$U$5:$U$3004,$AS95)="","",INDEX('潜水記録'!$U$5:$U$3004,$AS95)))</f>
        <v/>
      </c>
      <c r="W95" s="46">
        <f>IF($A95="","",IF(INDEX('潜水記録'!$V$5:$V$3004,$AS95)="","",INDEX('潜水記録'!$V$5:$V$3004,$AS95)))</f>
        <v/>
      </c>
      <c r="X95" s="14">
        <f>IF($A95="","",IF(INDEX('潜水記録'!$W$5:$W$3004,$AS95)="","",INDEX('潜水記録'!$W$5:$W$3004,$AS95)))</f>
        <v/>
      </c>
      <c r="Y95" s="14">
        <f>IF($A95="","",IF(INDEX('潜水記録'!$X$5:$X$3004,$AS95)="","",INDEX('潜水記録'!$X$5:$X$3004,$AS95)))</f>
        <v/>
      </c>
      <c r="Z95" s="14">
        <f>IF($A95="","",IF(INDEX('潜水記録'!$Y$5:$Y$3004,$AS95)="","",INDEX('潜水記録'!$Y$5:$Y$3004,$AS95)))</f>
        <v/>
      </c>
      <c r="AA95" s="14">
        <f>IF($A95="","",IF(INDEX('潜水記録'!$Z$5:$Z$3004,$AS95)="","",INDEX('潜水記録'!$Z$5:$Z$3004,$AS95)))</f>
        <v/>
      </c>
      <c r="AB95" s="14">
        <f>IF($A95="","",IF(INDEX('潜水記録'!$AA$5:$AA$3004,$AS95)="","",INDEX('潜水記録'!$AA$5:$AA$3004,$AS95)))</f>
        <v/>
      </c>
      <c r="AC95" s="14">
        <f>IF($A95="","",IF(INDEX('潜水記録'!$AB$5:$AB$3004,$AS95)="","",INDEX('潜水記録'!$AB$5:$AB$3004,$AS95)))</f>
        <v/>
      </c>
      <c r="AD95" s="14">
        <f>IF($A95="","",IF(INDEX('潜水記録'!$AC$5:$AC$3004,$AS95)="","",INDEX('潜水記録'!$AC$5:$AC$3004,$AS95)))</f>
        <v/>
      </c>
      <c r="AE95" s="14">
        <f>IF($A95="","",IF(INDEX('潜水記録'!$AD$5:$AD$3004,$AS95)="","",INDEX('潜水記録'!$AD$5:$AD$3004,$AS95)))</f>
        <v/>
      </c>
      <c r="AF95" s="14">
        <f>IF($A95="","",IF(INDEX('潜水記録'!$AE$5:$AE$3004,$AS95)="","",INDEX('潜水記録'!$AE$5:$AE$3004,$AS95)))</f>
        <v/>
      </c>
      <c r="AG95" s="14">
        <f>IF($A95="","",IF(INDEX('潜水記録'!$AL$5:$AL$3004,$AS95)="","",INDEX('潜水記録'!$AL$5:$AL$3004,$AS95)))</f>
        <v/>
      </c>
      <c r="AH95" s="14">
        <f>IF($A95="","",IF(INDEX('潜水記録'!$AM$5:$AM$3004,$AS95)="","",INDEX('潜水記録'!$AM$5:$AM$3004,$AS95)))</f>
        <v/>
      </c>
      <c r="AI95" s="46">
        <f>IF($A95="","",IF(INDEX('潜水記録'!$AN$5:$AN$3004,$AS95)="","",INDEX('潜水記録'!$AN$5:$AN$3004,$AS95)))</f>
        <v/>
      </c>
      <c r="AJ95" s="14">
        <f>IF($A95="","",IF(INDEX('潜水記録'!$AO$5:$AO$3004,$AS95)="","",INDEX('潜水記録'!$AO$5:$AO$3004,$AS95)))</f>
        <v/>
      </c>
      <c r="AK95" s="14">
        <f>IF($A95="","",IF(INDEX('潜水記録'!$AP$5:$AP$3004,$AS95)="","",INDEX('潜水記録'!$AP$5:$AP$3004,$AS95)))</f>
        <v/>
      </c>
      <c r="AL95" s="14">
        <f>IF($A95="","",IF(INDEX('潜水記録'!$AQ$5:$AQ$3004,$AS95)="","",INDEX('潜水記録'!$AQ$5:$AQ$3004,$AS95)))</f>
        <v/>
      </c>
      <c r="AM95" s="14">
        <f>IF($A95="","",IF(INDEX('潜水記録'!$AR$5:$AR$3004,$AS95)="","",INDEX('潜水記録'!$AR$5:$AR$3004,$AS95)))</f>
        <v/>
      </c>
      <c r="AN95" s="14">
        <f>IF($A95="","",IF(INDEX('潜水記録'!$AS$5:$AS$3004,$AS95)="","",INDEX('潜水記録'!$AS$5:$AS$3004,$AS95)))</f>
        <v/>
      </c>
      <c r="AO95" s="14">
        <f>IF($A95="","",IF(INDEX('潜水記録'!$AT$5:$AT$3004,$AS95)="","",INDEX('潜水記録'!$AT$5:$AT$3004,$AS95)))</f>
        <v/>
      </c>
      <c r="AP95" s="14">
        <f>IF($A95="","",IF(INDEX('潜水記録'!$AU$5:$AU$3004,$AS95)="","",INDEX('潜水記録'!$AU$5:$AU$3004,$AS95)))</f>
        <v/>
      </c>
      <c r="AQ95" s="14">
        <f>IF($A95="","",IF(INDEX('潜水記録'!$AV$5:$AV$3004,$AS95)="","",INDEX('潜水記録'!$AV$5:$AV$3004,$AS95)))</f>
        <v/>
      </c>
      <c r="AR95" s="14">
        <f>IF($A95="","",IF(INDEX('潜水記録'!$AW$5:$AW$3004,$AS95)="","",INDEX('潜水記録'!$AW$5:$AW$3004,$AS95)))</f>
        <v/>
      </c>
      <c r="AS95" s="20">
        <f>IF($A95="","",MATCH($A95,'潜水記録'!$AI$5:$AI$3004,0))</f>
        <v/>
      </c>
    </row>
    <row r="96">
      <c r="A96" s="14">
        <f>IF(86&lt;=$C$8,86,"")</f>
        <v/>
      </c>
      <c r="B96" s="16">
        <f>IF($A96="","",IF(INDEX('潜水記録'!$A$5:$A$3004,$AS96)="","",INDEX('潜水記録'!$A$5:$A$3004,$AS96)))</f>
        <v/>
      </c>
      <c r="C96" s="14">
        <f>IF($A96="","",IF(INDEX('潜水記録'!$B$5:$B$3004,$AS96)="","",INDEX('潜水記録'!$B$5:$B$3004,$AS96)))</f>
        <v/>
      </c>
      <c r="D96" s="14">
        <f>IF($A96="","",IF(INDEX('潜水記録'!$C$5:$C$3004,$AS96)="","",INDEX('潜水記録'!$C$5:$C$3004,$AS96)))</f>
        <v/>
      </c>
      <c r="E96" s="14">
        <f>IF($A96="","",IF(INDEX('潜水記録'!$D$5:$D$3004,$AS96)="","",INDEX('潜水記録'!$D$5:$D$3004,$AS96)))</f>
        <v/>
      </c>
      <c r="F96" s="14">
        <f>IF($A96="","",IF(INDEX('潜水記録'!$E$5:$E$3004,$AS96)="","",INDEX('潜水記録'!$E$5:$E$3004,$AS96)))</f>
        <v/>
      </c>
      <c r="G96" s="14">
        <f>IF($A96="","",IF(INDEX('潜水記録'!$F$5:$F$3004,$AS96)="","",INDEX('潜水記録'!$F$5:$F$3004,$AS96)))</f>
        <v/>
      </c>
      <c r="H96" s="14">
        <f>IF($A96="","",IF(INDEX('潜水記録'!$G$5:$G$3004,$AS96)="","",INDEX('潜水記録'!$G$5:$G$3004,$AS96)))</f>
        <v/>
      </c>
      <c r="I96" s="14">
        <f>IF($A96="","",IF(INDEX('潜水記録'!$H$5:$H$3004,$AS96)="","",INDEX('潜水記録'!$H$5:$H$3004,$AS96)))</f>
        <v/>
      </c>
      <c r="J96" s="14">
        <f>IF($A96="","",IF(INDEX('潜水記録'!$I$5:$I$3004,$AS96)="","",INDEX('潜水記録'!$I$5:$I$3004,$AS96)))</f>
        <v/>
      </c>
      <c r="K96" s="14">
        <f>IF($A96="","",IF(INDEX('潜水記録'!$J$5:$J$3004,$AS96)="","",INDEX('潜水記録'!$J$5:$J$3004,$AS96)))</f>
        <v/>
      </c>
      <c r="L96" s="14">
        <f>IF($A96="","",IF(INDEX('潜水記録'!$K$5:$K$3004,$AS96)="","",INDEX('潜水記録'!$K$5:$K$3004,$AS96)))</f>
        <v/>
      </c>
      <c r="M96" s="14">
        <f>IF($A96="","",IF(INDEX('潜水記録'!$L$5:$L$3004,$AS96)="","",INDEX('潜水記録'!$L$5:$L$3004,$AS96)))</f>
        <v/>
      </c>
      <c r="N96" s="14">
        <f>IF($A96="","",IF(INDEX('潜水記録'!$M$5:$M$3004,$AS96)="","",INDEX('潜水記録'!$M$5:$M$3004,$AS96)))</f>
        <v/>
      </c>
      <c r="O96" s="14">
        <f>IF($A96="","",IF(INDEX('潜水記録'!$N$5:$N$3004,$AS96)="","",INDEX('潜水記録'!$N$5:$N$3004,$AS96)))</f>
        <v/>
      </c>
      <c r="P96" s="14">
        <f>IF($A96="","",IF(INDEX('潜水記録'!$O$5:$O$3004,$AS96)="","",INDEX('潜水記録'!$O$5:$O$3004,$AS96)))</f>
        <v/>
      </c>
      <c r="Q96" s="14">
        <f>IF($A96="","",IF(INDEX('潜水記録'!$P$5:$P$3004,$AS96)="","",INDEX('潜水記録'!$P$5:$P$3004,$AS96)))</f>
        <v/>
      </c>
      <c r="R96" s="14">
        <f>IF($A96="","",IF(INDEX('潜水記録'!$Q$5:$Q$3004,$AS96)="","",INDEX('潜水記録'!$Q$5:$Q$3004,$AS96)))</f>
        <v/>
      </c>
      <c r="S96" s="14">
        <f>IF($A96="","",IF(INDEX('潜水記録'!$R$5:$R$3004,$AS96)="","",INDEX('潜水記録'!$R$5:$R$3004,$AS96)))</f>
        <v/>
      </c>
      <c r="T96" s="14">
        <f>IF($A96="","",IF(INDEX('潜水記録'!$S$5:$S$3004,$AS96)="","",INDEX('潜水記録'!$S$5:$S$3004,$AS96)))</f>
        <v/>
      </c>
      <c r="U96" s="14">
        <f>IF($A96="","",IF(INDEX('潜水記録'!$T$5:$T$3004,$AS96)="","",INDEX('潜水記録'!$T$5:$T$3004,$AS96)))</f>
        <v/>
      </c>
      <c r="V96" s="46">
        <f>IF($A96="","",IF(INDEX('潜水記録'!$U$5:$U$3004,$AS96)="","",INDEX('潜水記録'!$U$5:$U$3004,$AS96)))</f>
        <v/>
      </c>
      <c r="W96" s="46">
        <f>IF($A96="","",IF(INDEX('潜水記録'!$V$5:$V$3004,$AS96)="","",INDEX('潜水記録'!$V$5:$V$3004,$AS96)))</f>
        <v/>
      </c>
      <c r="X96" s="14">
        <f>IF($A96="","",IF(INDEX('潜水記録'!$W$5:$W$3004,$AS96)="","",INDEX('潜水記録'!$W$5:$W$3004,$AS96)))</f>
        <v/>
      </c>
      <c r="Y96" s="14">
        <f>IF($A96="","",IF(INDEX('潜水記録'!$X$5:$X$3004,$AS96)="","",INDEX('潜水記録'!$X$5:$X$3004,$AS96)))</f>
        <v/>
      </c>
      <c r="Z96" s="14">
        <f>IF($A96="","",IF(INDEX('潜水記録'!$Y$5:$Y$3004,$AS96)="","",INDEX('潜水記録'!$Y$5:$Y$3004,$AS96)))</f>
        <v/>
      </c>
      <c r="AA96" s="14">
        <f>IF($A96="","",IF(INDEX('潜水記録'!$Z$5:$Z$3004,$AS96)="","",INDEX('潜水記録'!$Z$5:$Z$3004,$AS96)))</f>
        <v/>
      </c>
      <c r="AB96" s="14">
        <f>IF($A96="","",IF(INDEX('潜水記録'!$AA$5:$AA$3004,$AS96)="","",INDEX('潜水記録'!$AA$5:$AA$3004,$AS96)))</f>
        <v/>
      </c>
      <c r="AC96" s="14">
        <f>IF($A96="","",IF(INDEX('潜水記録'!$AB$5:$AB$3004,$AS96)="","",INDEX('潜水記録'!$AB$5:$AB$3004,$AS96)))</f>
        <v/>
      </c>
      <c r="AD96" s="14">
        <f>IF($A96="","",IF(INDEX('潜水記録'!$AC$5:$AC$3004,$AS96)="","",INDEX('潜水記録'!$AC$5:$AC$3004,$AS96)))</f>
        <v/>
      </c>
      <c r="AE96" s="14">
        <f>IF($A96="","",IF(INDEX('潜水記録'!$AD$5:$AD$3004,$AS96)="","",INDEX('潜水記録'!$AD$5:$AD$3004,$AS96)))</f>
        <v/>
      </c>
      <c r="AF96" s="14">
        <f>IF($A96="","",IF(INDEX('潜水記録'!$AE$5:$AE$3004,$AS96)="","",INDEX('潜水記録'!$AE$5:$AE$3004,$AS96)))</f>
        <v/>
      </c>
      <c r="AG96" s="14">
        <f>IF($A96="","",IF(INDEX('潜水記録'!$AL$5:$AL$3004,$AS96)="","",INDEX('潜水記録'!$AL$5:$AL$3004,$AS96)))</f>
        <v/>
      </c>
      <c r="AH96" s="14">
        <f>IF($A96="","",IF(INDEX('潜水記録'!$AM$5:$AM$3004,$AS96)="","",INDEX('潜水記録'!$AM$5:$AM$3004,$AS96)))</f>
        <v/>
      </c>
      <c r="AI96" s="46">
        <f>IF($A96="","",IF(INDEX('潜水記録'!$AN$5:$AN$3004,$AS96)="","",INDEX('潜水記録'!$AN$5:$AN$3004,$AS96)))</f>
        <v/>
      </c>
      <c r="AJ96" s="14">
        <f>IF($A96="","",IF(INDEX('潜水記録'!$AO$5:$AO$3004,$AS96)="","",INDEX('潜水記録'!$AO$5:$AO$3004,$AS96)))</f>
        <v/>
      </c>
      <c r="AK96" s="14">
        <f>IF($A96="","",IF(INDEX('潜水記録'!$AP$5:$AP$3004,$AS96)="","",INDEX('潜水記録'!$AP$5:$AP$3004,$AS96)))</f>
        <v/>
      </c>
      <c r="AL96" s="14">
        <f>IF($A96="","",IF(INDEX('潜水記録'!$AQ$5:$AQ$3004,$AS96)="","",INDEX('潜水記録'!$AQ$5:$AQ$3004,$AS96)))</f>
        <v/>
      </c>
      <c r="AM96" s="14">
        <f>IF($A96="","",IF(INDEX('潜水記録'!$AR$5:$AR$3004,$AS96)="","",INDEX('潜水記録'!$AR$5:$AR$3004,$AS96)))</f>
        <v/>
      </c>
      <c r="AN96" s="14">
        <f>IF($A96="","",IF(INDEX('潜水記録'!$AS$5:$AS$3004,$AS96)="","",INDEX('潜水記録'!$AS$5:$AS$3004,$AS96)))</f>
        <v/>
      </c>
      <c r="AO96" s="14">
        <f>IF($A96="","",IF(INDEX('潜水記録'!$AT$5:$AT$3004,$AS96)="","",INDEX('潜水記録'!$AT$5:$AT$3004,$AS96)))</f>
        <v/>
      </c>
      <c r="AP96" s="14">
        <f>IF($A96="","",IF(INDEX('潜水記録'!$AU$5:$AU$3004,$AS96)="","",INDEX('潜水記録'!$AU$5:$AU$3004,$AS96)))</f>
        <v/>
      </c>
      <c r="AQ96" s="14">
        <f>IF($A96="","",IF(INDEX('潜水記録'!$AV$5:$AV$3004,$AS96)="","",INDEX('潜水記録'!$AV$5:$AV$3004,$AS96)))</f>
        <v/>
      </c>
      <c r="AR96" s="14">
        <f>IF($A96="","",IF(INDEX('潜水記録'!$AW$5:$AW$3004,$AS96)="","",INDEX('潜水記録'!$AW$5:$AW$3004,$AS96)))</f>
        <v/>
      </c>
      <c r="AS96" s="20">
        <f>IF($A96="","",MATCH($A96,'潜水記録'!$AI$5:$AI$3004,0))</f>
        <v/>
      </c>
    </row>
    <row r="97">
      <c r="A97" s="14">
        <f>IF(87&lt;=$C$8,87,"")</f>
        <v/>
      </c>
      <c r="B97" s="16">
        <f>IF($A97="","",IF(INDEX('潜水記録'!$A$5:$A$3004,$AS97)="","",INDEX('潜水記録'!$A$5:$A$3004,$AS97)))</f>
        <v/>
      </c>
      <c r="C97" s="14">
        <f>IF($A97="","",IF(INDEX('潜水記録'!$B$5:$B$3004,$AS97)="","",INDEX('潜水記録'!$B$5:$B$3004,$AS97)))</f>
        <v/>
      </c>
      <c r="D97" s="14">
        <f>IF($A97="","",IF(INDEX('潜水記録'!$C$5:$C$3004,$AS97)="","",INDEX('潜水記録'!$C$5:$C$3004,$AS97)))</f>
        <v/>
      </c>
      <c r="E97" s="14">
        <f>IF($A97="","",IF(INDEX('潜水記録'!$D$5:$D$3004,$AS97)="","",INDEX('潜水記録'!$D$5:$D$3004,$AS97)))</f>
        <v/>
      </c>
      <c r="F97" s="14">
        <f>IF($A97="","",IF(INDEX('潜水記録'!$E$5:$E$3004,$AS97)="","",INDEX('潜水記録'!$E$5:$E$3004,$AS97)))</f>
        <v/>
      </c>
      <c r="G97" s="14">
        <f>IF($A97="","",IF(INDEX('潜水記録'!$F$5:$F$3004,$AS97)="","",INDEX('潜水記録'!$F$5:$F$3004,$AS97)))</f>
        <v/>
      </c>
      <c r="H97" s="14">
        <f>IF($A97="","",IF(INDEX('潜水記録'!$G$5:$G$3004,$AS97)="","",INDEX('潜水記録'!$G$5:$G$3004,$AS97)))</f>
        <v/>
      </c>
      <c r="I97" s="14">
        <f>IF($A97="","",IF(INDEX('潜水記録'!$H$5:$H$3004,$AS97)="","",INDEX('潜水記録'!$H$5:$H$3004,$AS97)))</f>
        <v/>
      </c>
      <c r="J97" s="14">
        <f>IF($A97="","",IF(INDEX('潜水記録'!$I$5:$I$3004,$AS97)="","",INDEX('潜水記録'!$I$5:$I$3004,$AS97)))</f>
        <v/>
      </c>
      <c r="K97" s="14">
        <f>IF($A97="","",IF(INDEX('潜水記録'!$J$5:$J$3004,$AS97)="","",INDEX('潜水記録'!$J$5:$J$3004,$AS97)))</f>
        <v/>
      </c>
      <c r="L97" s="14">
        <f>IF($A97="","",IF(INDEX('潜水記録'!$K$5:$K$3004,$AS97)="","",INDEX('潜水記録'!$K$5:$K$3004,$AS97)))</f>
        <v/>
      </c>
      <c r="M97" s="14">
        <f>IF($A97="","",IF(INDEX('潜水記録'!$L$5:$L$3004,$AS97)="","",INDEX('潜水記録'!$L$5:$L$3004,$AS97)))</f>
        <v/>
      </c>
      <c r="N97" s="14">
        <f>IF($A97="","",IF(INDEX('潜水記録'!$M$5:$M$3004,$AS97)="","",INDEX('潜水記録'!$M$5:$M$3004,$AS97)))</f>
        <v/>
      </c>
      <c r="O97" s="14">
        <f>IF($A97="","",IF(INDEX('潜水記録'!$N$5:$N$3004,$AS97)="","",INDEX('潜水記録'!$N$5:$N$3004,$AS97)))</f>
        <v/>
      </c>
      <c r="P97" s="14">
        <f>IF($A97="","",IF(INDEX('潜水記録'!$O$5:$O$3004,$AS97)="","",INDEX('潜水記録'!$O$5:$O$3004,$AS97)))</f>
        <v/>
      </c>
      <c r="Q97" s="14">
        <f>IF($A97="","",IF(INDEX('潜水記録'!$P$5:$P$3004,$AS97)="","",INDEX('潜水記録'!$P$5:$P$3004,$AS97)))</f>
        <v/>
      </c>
      <c r="R97" s="14">
        <f>IF($A97="","",IF(INDEX('潜水記録'!$Q$5:$Q$3004,$AS97)="","",INDEX('潜水記録'!$Q$5:$Q$3004,$AS97)))</f>
        <v/>
      </c>
      <c r="S97" s="14">
        <f>IF($A97="","",IF(INDEX('潜水記録'!$R$5:$R$3004,$AS97)="","",INDEX('潜水記録'!$R$5:$R$3004,$AS97)))</f>
        <v/>
      </c>
      <c r="T97" s="14">
        <f>IF($A97="","",IF(INDEX('潜水記録'!$S$5:$S$3004,$AS97)="","",INDEX('潜水記録'!$S$5:$S$3004,$AS97)))</f>
        <v/>
      </c>
      <c r="U97" s="14">
        <f>IF($A97="","",IF(INDEX('潜水記録'!$T$5:$T$3004,$AS97)="","",INDEX('潜水記録'!$T$5:$T$3004,$AS97)))</f>
        <v/>
      </c>
      <c r="V97" s="46">
        <f>IF($A97="","",IF(INDEX('潜水記録'!$U$5:$U$3004,$AS97)="","",INDEX('潜水記録'!$U$5:$U$3004,$AS97)))</f>
        <v/>
      </c>
      <c r="W97" s="46">
        <f>IF($A97="","",IF(INDEX('潜水記録'!$V$5:$V$3004,$AS97)="","",INDEX('潜水記録'!$V$5:$V$3004,$AS97)))</f>
        <v/>
      </c>
      <c r="X97" s="14">
        <f>IF($A97="","",IF(INDEX('潜水記録'!$W$5:$W$3004,$AS97)="","",INDEX('潜水記録'!$W$5:$W$3004,$AS97)))</f>
        <v/>
      </c>
      <c r="Y97" s="14">
        <f>IF($A97="","",IF(INDEX('潜水記録'!$X$5:$X$3004,$AS97)="","",INDEX('潜水記録'!$X$5:$X$3004,$AS97)))</f>
        <v/>
      </c>
      <c r="Z97" s="14">
        <f>IF($A97="","",IF(INDEX('潜水記録'!$Y$5:$Y$3004,$AS97)="","",INDEX('潜水記録'!$Y$5:$Y$3004,$AS97)))</f>
        <v/>
      </c>
      <c r="AA97" s="14">
        <f>IF($A97="","",IF(INDEX('潜水記録'!$Z$5:$Z$3004,$AS97)="","",INDEX('潜水記録'!$Z$5:$Z$3004,$AS97)))</f>
        <v/>
      </c>
      <c r="AB97" s="14">
        <f>IF($A97="","",IF(INDEX('潜水記録'!$AA$5:$AA$3004,$AS97)="","",INDEX('潜水記録'!$AA$5:$AA$3004,$AS97)))</f>
        <v/>
      </c>
      <c r="AC97" s="14">
        <f>IF($A97="","",IF(INDEX('潜水記録'!$AB$5:$AB$3004,$AS97)="","",INDEX('潜水記録'!$AB$5:$AB$3004,$AS97)))</f>
        <v/>
      </c>
      <c r="AD97" s="14">
        <f>IF($A97="","",IF(INDEX('潜水記録'!$AC$5:$AC$3004,$AS97)="","",INDEX('潜水記録'!$AC$5:$AC$3004,$AS97)))</f>
        <v/>
      </c>
      <c r="AE97" s="14">
        <f>IF($A97="","",IF(INDEX('潜水記録'!$AD$5:$AD$3004,$AS97)="","",INDEX('潜水記録'!$AD$5:$AD$3004,$AS97)))</f>
        <v/>
      </c>
      <c r="AF97" s="14">
        <f>IF($A97="","",IF(INDEX('潜水記録'!$AE$5:$AE$3004,$AS97)="","",INDEX('潜水記録'!$AE$5:$AE$3004,$AS97)))</f>
        <v/>
      </c>
      <c r="AG97" s="14">
        <f>IF($A97="","",IF(INDEX('潜水記録'!$AL$5:$AL$3004,$AS97)="","",INDEX('潜水記録'!$AL$5:$AL$3004,$AS97)))</f>
        <v/>
      </c>
      <c r="AH97" s="14">
        <f>IF($A97="","",IF(INDEX('潜水記録'!$AM$5:$AM$3004,$AS97)="","",INDEX('潜水記録'!$AM$5:$AM$3004,$AS97)))</f>
        <v/>
      </c>
      <c r="AI97" s="46">
        <f>IF($A97="","",IF(INDEX('潜水記録'!$AN$5:$AN$3004,$AS97)="","",INDEX('潜水記録'!$AN$5:$AN$3004,$AS97)))</f>
        <v/>
      </c>
      <c r="AJ97" s="14">
        <f>IF($A97="","",IF(INDEX('潜水記録'!$AO$5:$AO$3004,$AS97)="","",INDEX('潜水記録'!$AO$5:$AO$3004,$AS97)))</f>
        <v/>
      </c>
      <c r="AK97" s="14">
        <f>IF($A97="","",IF(INDEX('潜水記録'!$AP$5:$AP$3004,$AS97)="","",INDEX('潜水記録'!$AP$5:$AP$3004,$AS97)))</f>
        <v/>
      </c>
      <c r="AL97" s="14">
        <f>IF($A97="","",IF(INDEX('潜水記録'!$AQ$5:$AQ$3004,$AS97)="","",INDEX('潜水記録'!$AQ$5:$AQ$3004,$AS97)))</f>
        <v/>
      </c>
      <c r="AM97" s="14">
        <f>IF($A97="","",IF(INDEX('潜水記録'!$AR$5:$AR$3004,$AS97)="","",INDEX('潜水記録'!$AR$5:$AR$3004,$AS97)))</f>
        <v/>
      </c>
      <c r="AN97" s="14">
        <f>IF($A97="","",IF(INDEX('潜水記録'!$AS$5:$AS$3004,$AS97)="","",INDEX('潜水記録'!$AS$5:$AS$3004,$AS97)))</f>
        <v/>
      </c>
      <c r="AO97" s="14">
        <f>IF($A97="","",IF(INDEX('潜水記録'!$AT$5:$AT$3004,$AS97)="","",INDEX('潜水記録'!$AT$5:$AT$3004,$AS97)))</f>
        <v/>
      </c>
      <c r="AP97" s="14">
        <f>IF($A97="","",IF(INDEX('潜水記録'!$AU$5:$AU$3004,$AS97)="","",INDEX('潜水記録'!$AU$5:$AU$3004,$AS97)))</f>
        <v/>
      </c>
      <c r="AQ97" s="14">
        <f>IF($A97="","",IF(INDEX('潜水記録'!$AV$5:$AV$3004,$AS97)="","",INDEX('潜水記録'!$AV$5:$AV$3004,$AS97)))</f>
        <v/>
      </c>
      <c r="AR97" s="14">
        <f>IF($A97="","",IF(INDEX('潜水記録'!$AW$5:$AW$3004,$AS97)="","",INDEX('潜水記録'!$AW$5:$AW$3004,$AS97)))</f>
        <v/>
      </c>
      <c r="AS97" s="20">
        <f>IF($A97="","",MATCH($A97,'潜水記録'!$AI$5:$AI$3004,0))</f>
        <v/>
      </c>
    </row>
    <row r="98">
      <c r="A98" s="14">
        <f>IF(88&lt;=$C$8,88,"")</f>
        <v/>
      </c>
      <c r="B98" s="16">
        <f>IF($A98="","",IF(INDEX('潜水記録'!$A$5:$A$3004,$AS98)="","",INDEX('潜水記録'!$A$5:$A$3004,$AS98)))</f>
        <v/>
      </c>
      <c r="C98" s="14">
        <f>IF($A98="","",IF(INDEX('潜水記録'!$B$5:$B$3004,$AS98)="","",INDEX('潜水記録'!$B$5:$B$3004,$AS98)))</f>
        <v/>
      </c>
      <c r="D98" s="14">
        <f>IF($A98="","",IF(INDEX('潜水記録'!$C$5:$C$3004,$AS98)="","",INDEX('潜水記録'!$C$5:$C$3004,$AS98)))</f>
        <v/>
      </c>
      <c r="E98" s="14">
        <f>IF($A98="","",IF(INDEX('潜水記録'!$D$5:$D$3004,$AS98)="","",INDEX('潜水記録'!$D$5:$D$3004,$AS98)))</f>
        <v/>
      </c>
      <c r="F98" s="14">
        <f>IF($A98="","",IF(INDEX('潜水記録'!$E$5:$E$3004,$AS98)="","",INDEX('潜水記録'!$E$5:$E$3004,$AS98)))</f>
        <v/>
      </c>
      <c r="G98" s="14">
        <f>IF($A98="","",IF(INDEX('潜水記録'!$F$5:$F$3004,$AS98)="","",INDEX('潜水記録'!$F$5:$F$3004,$AS98)))</f>
        <v/>
      </c>
      <c r="H98" s="14">
        <f>IF($A98="","",IF(INDEX('潜水記録'!$G$5:$G$3004,$AS98)="","",INDEX('潜水記録'!$G$5:$G$3004,$AS98)))</f>
        <v/>
      </c>
      <c r="I98" s="14">
        <f>IF($A98="","",IF(INDEX('潜水記録'!$H$5:$H$3004,$AS98)="","",INDEX('潜水記録'!$H$5:$H$3004,$AS98)))</f>
        <v/>
      </c>
      <c r="J98" s="14">
        <f>IF($A98="","",IF(INDEX('潜水記録'!$I$5:$I$3004,$AS98)="","",INDEX('潜水記録'!$I$5:$I$3004,$AS98)))</f>
        <v/>
      </c>
      <c r="K98" s="14">
        <f>IF($A98="","",IF(INDEX('潜水記録'!$J$5:$J$3004,$AS98)="","",INDEX('潜水記録'!$J$5:$J$3004,$AS98)))</f>
        <v/>
      </c>
      <c r="L98" s="14">
        <f>IF($A98="","",IF(INDEX('潜水記録'!$K$5:$K$3004,$AS98)="","",INDEX('潜水記録'!$K$5:$K$3004,$AS98)))</f>
        <v/>
      </c>
      <c r="M98" s="14">
        <f>IF($A98="","",IF(INDEX('潜水記録'!$L$5:$L$3004,$AS98)="","",INDEX('潜水記録'!$L$5:$L$3004,$AS98)))</f>
        <v/>
      </c>
      <c r="N98" s="14">
        <f>IF($A98="","",IF(INDEX('潜水記録'!$M$5:$M$3004,$AS98)="","",INDEX('潜水記録'!$M$5:$M$3004,$AS98)))</f>
        <v/>
      </c>
      <c r="O98" s="14">
        <f>IF($A98="","",IF(INDEX('潜水記録'!$N$5:$N$3004,$AS98)="","",INDEX('潜水記録'!$N$5:$N$3004,$AS98)))</f>
        <v/>
      </c>
      <c r="P98" s="14">
        <f>IF($A98="","",IF(INDEX('潜水記録'!$O$5:$O$3004,$AS98)="","",INDEX('潜水記録'!$O$5:$O$3004,$AS98)))</f>
        <v/>
      </c>
      <c r="Q98" s="14">
        <f>IF($A98="","",IF(INDEX('潜水記録'!$P$5:$P$3004,$AS98)="","",INDEX('潜水記録'!$P$5:$P$3004,$AS98)))</f>
        <v/>
      </c>
      <c r="R98" s="14">
        <f>IF($A98="","",IF(INDEX('潜水記録'!$Q$5:$Q$3004,$AS98)="","",INDEX('潜水記録'!$Q$5:$Q$3004,$AS98)))</f>
        <v/>
      </c>
      <c r="S98" s="14">
        <f>IF($A98="","",IF(INDEX('潜水記録'!$R$5:$R$3004,$AS98)="","",INDEX('潜水記録'!$R$5:$R$3004,$AS98)))</f>
        <v/>
      </c>
      <c r="T98" s="14">
        <f>IF($A98="","",IF(INDEX('潜水記録'!$S$5:$S$3004,$AS98)="","",INDEX('潜水記録'!$S$5:$S$3004,$AS98)))</f>
        <v/>
      </c>
      <c r="U98" s="14">
        <f>IF($A98="","",IF(INDEX('潜水記録'!$T$5:$T$3004,$AS98)="","",INDEX('潜水記録'!$T$5:$T$3004,$AS98)))</f>
        <v/>
      </c>
      <c r="V98" s="46">
        <f>IF($A98="","",IF(INDEX('潜水記録'!$U$5:$U$3004,$AS98)="","",INDEX('潜水記録'!$U$5:$U$3004,$AS98)))</f>
        <v/>
      </c>
      <c r="W98" s="46">
        <f>IF($A98="","",IF(INDEX('潜水記録'!$V$5:$V$3004,$AS98)="","",INDEX('潜水記録'!$V$5:$V$3004,$AS98)))</f>
        <v/>
      </c>
      <c r="X98" s="14">
        <f>IF($A98="","",IF(INDEX('潜水記録'!$W$5:$W$3004,$AS98)="","",INDEX('潜水記録'!$W$5:$W$3004,$AS98)))</f>
        <v/>
      </c>
      <c r="Y98" s="14">
        <f>IF($A98="","",IF(INDEX('潜水記録'!$X$5:$X$3004,$AS98)="","",INDEX('潜水記録'!$X$5:$X$3004,$AS98)))</f>
        <v/>
      </c>
      <c r="Z98" s="14">
        <f>IF($A98="","",IF(INDEX('潜水記録'!$Y$5:$Y$3004,$AS98)="","",INDEX('潜水記録'!$Y$5:$Y$3004,$AS98)))</f>
        <v/>
      </c>
      <c r="AA98" s="14">
        <f>IF($A98="","",IF(INDEX('潜水記録'!$Z$5:$Z$3004,$AS98)="","",INDEX('潜水記録'!$Z$5:$Z$3004,$AS98)))</f>
        <v/>
      </c>
      <c r="AB98" s="14">
        <f>IF($A98="","",IF(INDEX('潜水記録'!$AA$5:$AA$3004,$AS98)="","",INDEX('潜水記録'!$AA$5:$AA$3004,$AS98)))</f>
        <v/>
      </c>
      <c r="AC98" s="14">
        <f>IF($A98="","",IF(INDEX('潜水記録'!$AB$5:$AB$3004,$AS98)="","",INDEX('潜水記録'!$AB$5:$AB$3004,$AS98)))</f>
        <v/>
      </c>
      <c r="AD98" s="14">
        <f>IF($A98="","",IF(INDEX('潜水記録'!$AC$5:$AC$3004,$AS98)="","",INDEX('潜水記録'!$AC$5:$AC$3004,$AS98)))</f>
        <v/>
      </c>
      <c r="AE98" s="14">
        <f>IF($A98="","",IF(INDEX('潜水記録'!$AD$5:$AD$3004,$AS98)="","",INDEX('潜水記録'!$AD$5:$AD$3004,$AS98)))</f>
        <v/>
      </c>
      <c r="AF98" s="14">
        <f>IF($A98="","",IF(INDEX('潜水記録'!$AE$5:$AE$3004,$AS98)="","",INDEX('潜水記録'!$AE$5:$AE$3004,$AS98)))</f>
        <v/>
      </c>
      <c r="AG98" s="14">
        <f>IF($A98="","",IF(INDEX('潜水記録'!$AL$5:$AL$3004,$AS98)="","",INDEX('潜水記録'!$AL$5:$AL$3004,$AS98)))</f>
        <v/>
      </c>
      <c r="AH98" s="14">
        <f>IF($A98="","",IF(INDEX('潜水記録'!$AM$5:$AM$3004,$AS98)="","",INDEX('潜水記録'!$AM$5:$AM$3004,$AS98)))</f>
        <v/>
      </c>
      <c r="AI98" s="46">
        <f>IF($A98="","",IF(INDEX('潜水記録'!$AN$5:$AN$3004,$AS98)="","",INDEX('潜水記録'!$AN$5:$AN$3004,$AS98)))</f>
        <v/>
      </c>
      <c r="AJ98" s="14">
        <f>IF($A98="","",IF(INDEX('潜水記録'!$AO$5:$AO$3004,$AS98)="","",INDEX('潜水記録'!$AO$5:$AO$3004,$AS98)))</f>
        <v/>
      </c>
      <c r="AK98" s="14">
        <f>IF($A98="","",IF(INDEX('潜水記録'!$AP$5:$AP$3004,$AS98)="","",INDEX('潜水記録'!$AP$5:$AP$3004,$AS98)))</f>
        <v/>
      </c>
      <c r="AL98" s="14">
        <f>IF($A98="","",IF(INDEX('潜水記録'!$AQ$5:$AQ$3004,$AS98)="","",INDEX('潜水記録'!$AQ$5:$AQ$3004,$AS98)))</f>
        <v/>
      </c>
      <c r="AM98" s="14">
        <f>IF($A98="","",IF(INDEX('潜水記録'!$AR$5:$AR$3004,$AS98)="","",INDEX('潜水記録'!$AR$5:$AR$3004,$AS98)))</f>
        <v/>
      </c>
      <c r="AN98" s="14">
        <f>IF($A98="","",IF(INDEX('潜水記録'!$AS$5:$AS$3004,$AS98)="","",INDEX('潜水記録'!$AS$5:$AS$3004,$AS98)))</f>
        <v/>
      </c>
      <c r="AO98" s="14">
        <f>IF($A98="","",IF(INDEX('潜水記録'!$AT$5:$AT$3004,$AS98)="","",INDEX('潜水記録'!$AT$5:$AT$3004,$AS98)))</f>
        <v/>
      </c>
      <c r="AP98" s="14">
        <f>IF($A98="","",IF(INDEX('潜水記録'!$AU$5:$AU$3004,$AS98)="","",INDEX('潜水記録'!$AU$5:$AU$3004,$AS98)))</f>
        <v/>
      </c>
      <c r="AQ98" s="14">
        <f>IF($A98="","",IF(INDEX('潜水記録'!$AV$5:$AV$3004,$AS98)="","",INDEX('潜水記録'!$AV$5:$AV$3004,$AS98)))</f>
        <v/>
      </c>
      <c r="AR98" s="14">
        <f>IF($A98="","",IF(INDEX('潜水記録'!$AW$5:$AW$3004,$AS98)="","",INDEX('潜水記録'!$AW$5:$AW$3004,$AS98)))</f>
        <v/>
      </c>
      <c r="AS98" s="20">
        <f>IF($A98="","",MATCH($A98,'潜水記録'!$AI$5:$AI$3004,0))</f>
        <v/>
      </c>
    </row>
    <row r="99">
      <c r="A99" s="14">
        <f>IF(89&lt;=$C$8,89,"")</f>
        <v/>
      </c>
      <c r="B99" s="16">
        <f>IF($A99="","",IF(INDEX('潜水記録'!$A$5:$A$3004,$AS99)="","",INDEX('潜水記録'!$A$5:$A$3004,$AS99)))</f>
        <v/>
      </c>
      <c r="C99" s="14">
        <f>IF($A99="","",IF(INDEX('潜水記録'!$B$5:$B$3004,$AS99)="","",INDEX('潜水記録'!$B$5:$B$3004,$AS99)))</f>
        <v/>
      </c>
      <c r="D99" s="14">
        <f>IF($A99="","",IF(INDEX('潜水記録'!$C$5:$C$3004,$AS99)="","",INDEX('潜水記録'!$C$5:$C$3004,$AS99)))</f>
        <v/>
      </c>
      <c r="E99" s="14">
        <f>IF($A99="","",IF(INDEX('潜水記録'!$D$5:$D$3004,$AS99)="","",INDEX('潜水記録'!$D$5:$D$3004,$AS99)))</f>
        <v/>
      </c>
      <c r="F99" s="14">
        <f>IF($A99="","",IF(INDEX('潜水記録'!$E$5:$E$3004,$AS99)="","",INDEX('潜水記録'!$E$5:$E$3004,$AS99)))</f>
        <v/>
      </c>
      <c r="G99" s="14">
        <f>IF($A99="","",IF(INDEX('潜水記録'!$F$5:$F$3004,$AS99)="","",INDEX('潜水記録'!$F$5:$F$3004,$AS99)))</f>
        <v/>
      </c>
      <c r="H99" s="14">
        <f>IF($A99="","",IF(INDEX('潜水記録'!$G$5:$G$3004,$AS99)="","",INDEX('潜水記録'!$G$5:$G$3004,$AS99)))</f>
        <v/>
      </c>
      <c r="I99" s="14">
        <f>IF($A99="","",IF(INDEX('潜水記録'!$H$5:$H$3004,$AS99)="","",INDEX('潜水記録'!$H$5:$H$3004,$AS99)))</f>
        <v/>
      </c>
      <c r="J99" s="14">
        <f>IF($A99="","",IF(INDEX('潜水記録'!$I$5:$I$3004,$AS99)="","",INDEX('潜水記録'!$I$5:$I$3004,$AS99)))</f>
        <v/>
      </c>
      <c r="K99" s="14">
        <f>IF($A99="","",IF(INDEX('潜水記録'!$J$5:$J$3004,$AS99)="","",INDEX('潜水記録'!$J$5:$J$3004,$AS99)))</f>
        <v/>
      </c>
      <c r="L99" s="14">
        <f>IF($A99="","",IF(INDEX('潜水記録'!$K$5:$K$3004,$AS99)="","",INDEX('潜水記録'!$K$5:$K$3004,$AS99)))</f>
        <v/>
      </c>
      <c r="M99" s="14">
        <f>IF($A99="","",IF(INDEX('潜水記録'!$L$5:$L$3004,$AS99)="","",INDEX('潜水記録'!$L$5:$L$3004,$AS99)))</f>
        <v/>
      </c>
      <c r="N99" s="14">
        <f>IF($A99="","",IF(INDEX('潜水記録'!$M$5:$M$3004,$AS99)="","",INDEX('潜水記録'!$M$5:$M$3004,$AS99)))</f>
        <v/>
      </c>
      <c r="O99" s="14">
        <f>IF($A99="","",IF(INDEX('潜水記録'!$N$5:$N$3004,$AS99)="","",INDEX('潜水記録'!$N$5:$N$3004,$AS99)))</f>
        <v/>
      </c>
      <c r="P99" s="14">
        <f>IF($A99="","",IF(INDEX('潜水記録'!$O$5:$O$3004,$AS99)="","",INDEX('潜水記録'!$O$5:$O$3004,$AS99)))</f>
        <v/>
      </c>
      <c r="Q99" s="14">
        <f>IF($A99="","",IF(INDEX('潜水記録'!$P$5:$P$3004,$AS99)="","",INDEX('潜水記録'!$P$5:$P$3004,$AS99)))</f>
        <v/>
      </c>
      <c r="R99" s="14">
        <f>IF($A99="","",IF(INDEX('潜水記録'!$Q$5:$Q$3004,$AS99)="","",INDEX('潜水記録'!$Q$5:$Q$3004,$AS99)))</f>
        <v/>
      </c>
      <c r="S99" s="14">
        <f>IF($A99="","",IF(INDEX('潜水記録'!$R$5:$R$3004,$AS99)="","",INDEX('潜水記録'!$R$5:$R$3004,$AS99)))</f>
        <v/>
      </c>
      <c r="T99" s="14">
        <f>IF($A99="","",IF(INDEX('潜水記録'!$S$5:$S$3004,$AS99)="","",INDEX('潜水記録'!$S$5:$S$3004,$AS99)))</f>
        <v/>
      </c>
      <c r="U99" s="14">
        <f>IF($A99="","",IF(INDEX('潜水記録'!$T$5:$T$3004,$AS99)="","",INDEX('潜水記録'!$T$5:$T$3004,$AS99)))</f>
        <v/>
      </c>
      <c r="V99" s="46">
        <f>IF($A99="","",IF(INDEX('潜水記録'!$U$5:$U$3004,$AS99)="","",INDEX('潜水記録'!$U$5:$U$3004,$AS99)))</f>
        <v/>
      </c>
      <c r="W99" s="46">
        <f>IF($A99="","",IF(INDEX('潜水記録'!$V$5:$V$3004,$AS99)="","",INDEX('潜水記録'!$V$5:$V$3004,$AS99)))</f>
        <v/>
      </c>
      <c r="X99" s="14">
        <f>IF($A99="","",IF(INDEX('潜水記録'!$W$5:$W$3004,$AS99)="","",INDEX('潜水記録'!$W$5:$W$3004,$AS99)))</f>
        <v/>
      </c>
      <c r="Y99" s="14">
        <f>IF($A99="","",IF(INDEX('潜水記録'!$X$5:$X$3004,$AS99)="","",INDEX('潜水記録'!$X$5:$X$3004,$AS99)))</f>
        <v/>
      </c>
      <c r="Z99" s="14">
        <f>IF($A99="","",IF(INDEX('潜水記録'!$Y$5:$Y$3004,$AS99)="","",INDEX('潜水記録'!$Y$5:$Y$3004,$AS99)))</f>
        <v/>
      </c>
      <c r="AA99" s="14">
        <f>IF($A99="","",IF(INDEX('潜水記録'!$Z$5:$Z$3004,$AS99)="","",INDEX('潜水記録'!$Z$5:$Z$3004,$AS99)))</f>
        <v/>
      </c>
      <c r="AB99" s="14">
        <f>IF($A99="","",IF(INDEX('潜水記録'!$AA$5:$AA$3004,$AS99)="","",INDEX('潜水記録'!$AA$5:$AA$3004,$AS99)))</f>
        <v/>
      </c>
      <c r="AC99" s="14">
        <f>IF($A99="","",IF(INDEX('潜水記録'!$AB$5:$AB$3004,$AS99)="","",INDEX('潜水記録'!$AB$5:$AB$3004,$AS99)))</f>
        <v/>
      </c>
      <c r="AD99" s="14">
        <f>IF($A99="","",IF(INDEX('潜水記録'!$AC$5:$AC$3004,$AS99)="","",INDEX('潜水記録'!$AC$5:$AC$3004,$AS99)))</f>
        <v/>
      </c>
      <c r="AE99" s="14">
        <f>IF($A99="","",IF(INDEX('潜水記録'!$AD$5:$AD$3004,$AS99)="","",INDEX('潜水記録'!$AD$5:$AD$3004,$AS99)))</f>
        <v/>
      </c>
      <c r="AF99" s="14">
        <f>IF($A99="","",IF(INDEX('潜水記録'!$AE$5:$AE$3004,$AS99)="","",INDEX('潜水記録'!$AE$5:$AE$3004,$AS99)))</f>
        <v/>
      </c>
      <c r="AG99" s="14">
        <f>IF($A99="","",IF(INDEX('潜水記録'!$AL$5:$AL$3004,$AS99)="","",INDEX('潜水記録'!$AL$5:$AL$3004,$AS99)))</f>
        <v/>
      </c>
      <c r="AH99" s="14">
        <f>IF($A99="","",IF(INDEX('潜水記録'!$AM$5:$AM$3004,$AS99)="","",INDEX('潜水記録'!$AM$5:$AM$3004,$AS99)))</f>
        <v/>
      </c>
      <c r="AI99" s="46">
        <f>IF($A99="","",IF(INDEX('潜水記録'!$AN$5:$AN$3004,$AS99)="","",INDEX('潜水記録'!$AN$5:$AN$3004,$AS99)))</f>
        <v/>
      </c>
      <c r="AJ99" s="14">
        <f>IF($A99="","",IF(INDEX('潜水記録'!$AO$5:$AO$3004,$AS99)="","",INDEX('潜水記録'!$AO$5:$AO$3004,$AS99)))</f>
        <v/>
      </c>
      <c r="AK99" s="14">
        <f>IF($A99="","",IF(INDEX('潜水記録'!$AP$5:$AP$3004,$AS99)="","",INDEX('潜水記録'!$AP$5:$AP$3004,$AS99)))</f>
        <v/>
      </c>
      <c r="AL99" s="14">
        <f>IF($A99="","",IF(INDEX('潜水記録'!$AQ$5:$AQ$3004,$AS99)="","",INDEX('潜水記録'!$AQ$5:$AQ$3004,$AS99)))</f>
        <v/>
      </c>
      <c r="AM99" s="14">
        <f>IF($A99="","",IF(INDEX('潜水記録'!$AR$5:$AR$3004,$AS99)="","",INDEX('潜水記録'!$AR$5:$AR$3004,$AS99)))</f>
        <v/>
      </c>
      <c r="AN99" s="14">
        <f>IF($A99="","",IF(INDEX('潜水記録'!$AS$5:$AS$3004,$AS99)="","",INDEX('潜水記録'!$AS$5:$AS$3004,$AS99)))</f>
        <v/>
      </c>
      <c r="AO99" s="14">
        <f>IF($A99="","",IF(INDEX('潜水記録'!$AT$5:$AT$3004,$AS99)="","",INDEX('潜水記録'!$AT$5:$AT$3004,$AS99)))</f>
        <v/>
      </c>
      <c r="AP99" s="14">
        <f>IF($A99="","",IF(INDEX('潜水記録'!$AU$5:$AU$3004,$AS99)="","",INDEX('潜水記録'!$AU$5:$AU$3004,$AS99)))</f>
        <v/>
      </c>
      <c r="AQ99" s="14">
        <f>IF($A99="","",IF(INDEX('潜水記録'!$AV$5:$AV$3004,$AS99)="","",INDEX('潜水記録'!$AV$5:$AV$3004,$AS99)))</f>
        <v/>
      </c>
      <c r="AR99" s="14">
        <f>IF($A99="","",IF(INDEX('潜水記録'!$AW$5:$AW$3004,$AS99)="","",INDEX('潜水記録'!$AW$5:$AW$3004,$AS99)))</f>
        <v/>
      </c>
      <c r="AS99" s="20">
        <f>IF($A99="","",MATCH($A99,'潜水記録'!$AI$5:$AI$3004,0))</f>
        <v/>
      </c>
    </row>
    <row r="100">
      <c r="A100" s="14">
        <f>IF(90&lt;=$C$8,90,"")</f>
        <v/>
      </c>
      <c r="B100" s="16">
        <f>IF($A100="","",IF(INDEX('潜水記録'!$A$5:$A$3004,$AS100)="","",INDEX('潜水記録'!$A$5:$A$3004,$AS100)))</f>
        <v/>
      </c>
      <c r="C100" s="14">
        <f>IF($A100="","",IF(INDEX('潜水記録'!$B$5:$B$3004,$AS100)="","",INDEX('潜水記録'!$B$5:$B$3004,$AS100)))</f>
        <v/>
      </c>
      <c r="D100" s="14">
        <f>IF($A100="","",IF(INDEX('潜水記録'!$C$5:$C$3004,$AS100)="","",INDEX('潜水記録'!$C$5:$C$3004,$AS100)))</f>
        <v/>
      </c>
      <c r="E100" s="14">
        <f>IF($A100="","",IF(INDEX('潜水記録'!$D$5:$D$3004,$AS100)="","",INDEX('潜水記録'!$D$5:$D$3004,$AS100)))</f>
        <v/>
      </c>
      <c r="F100" s="14">
        <f>IF($A100="","",IF(INDEX('潜水記録'!$E$5:$E$3004,$AS100)="","",INDEX('潜水記録'!$E$5:$E$3004,$AS100)))</f>
        <v/>
      </c>
      <c r="G100" s="14">
        <f>IF($A100="","",IF(INDEX('潜水記録'!$F$5:$F$3004,$AS100)="","",INDEX('潜水記録'!$F$5:$F$3004,$AS100)))</f>
        <v/>
      </c>
      <c r="H100" s="14">
        <f>IF($A100="","",IF(INDEX('潜水記録'!$G$5:$G$3004,$AS100)="","",INDEX('潜水記録'!$G$5:$G$3004,$AS100)))</f>
        <v/>
      </c>
      <c r="I100" s="14">
        <f>IF($A100="","",IF(INDEX('潜水記録'!$H$5:$H$3004,$AS100)="","",INDEX('潜水記録'!$H$5:$H$3004,$AS100)))</f>
        <v/>
      </c>
      <c r="J100" s="14">
        <f>IF($A100="","",IF(INDEX('潜水記録'!$I$5:$I$3004,$AS100)="","",INDEX('潜水記録'!$I$5:$I$3004,$AS100)))</f>
        <v/>
      </c>
      <c r="K100" s="14">
        <f>IF($A100="","",IF(INDEX('潜水記録'!$J$5:$J$3004,$AS100)="","",INDEX('潜水記録'!$J$5:$J$3004,$AS100)))</f>
        <v/>
      </c>
      <c r="L100" s="14">
        <f>IF($A100="","",IF(INDEX('潜水記録'!$K$5:$K$3004,$AS100)="","",INDEX('潜水記録'!$K$5:$K$3004,$AS100)))</f>
        <v/>
      </c>
      <c r="M100" s="14">
        <f>IF($A100="","",IF(INDEX('潜水記録'!$L$5:$L$3004,$AS100)="","",INDEX('潜水記録'!$L$5:$L$3004,$AS100)))</f>
        <v/>
      </c>
      <c r="N100" s="14">
        <f>IF($A100="","",IF(INDEX('潜水記録'!$M$5:$M$3004,$AS100)="","",INDEX('潜水記録'!$M$5:$M$3004,$AS100)))</f>
        <v/>
      </c>
      <c r="O100" s="14">
        <f>IF($A100="","",IF(INDEX('潜水記録'!$N$5:$N$3004,$AS100)="","",INDEX('潜水記録'!$N$5:$N$3004,$AS100)))</f>
        <v/>
      </c>
      <c r="P100" s="14">
        <f>IF($A100="","",IF(INDEX('潜水記録'!$O$5:$O$3004,$AS100)="","",INDEX('潜水記録'!$O$5:$O$3004,$AS100)))</f>
        <v/>
      </c>
      <c r="Q100" s="14">
        <f>IF($A100="","",IF(INDEX('潜水記録'!$P$5:$P$3004,$AS100)="","",INDEX('潜水記録'!$P$5:$P$3004,$AS100)))</f>
        <v/>
      </c>
      <c r="R100" s="14">
        <f>IF($A100="","",IF(INDEX('潜水記録'!$Q$5:$Q$3004,$AS100)="","",INDEX('潜水記録'!$Q$5:$Q$3004,$AS100)))</f>
        <v/>
      </c>
      <c r="S100" s="14">
        <f>IF($A100="","",IF(INDEX('潜水記録'!$R$5:$R$3004,$AS100)="","",INDEX('潜水記録'!$R$5:$R$3004,$AS100)))</f>
        <v/>
      </c>
      <c r="T100" s="14">
        <f>IF($A100="","",IF(INDEX('潜水記録'!$S$5:$S$3004,$AS100)="","",INDEX('潜水記録'!$S$5:$S$3004,$AS100)))</f>
        <v/>
      </c>
      <c r="U100" s="14">
        <f>IF($A100="","",IF(INDEX('潜水記録'!$T$5:$T$3004,$AS100)="","",INDEX('潜水記録'!$T$5:$T$3004,$AS100)))</f>
        <v/>
      </c>
      <c r="V100" s="46">
        <f>IF($A100="","",IF(INDEX('潜水記録'!$U$5:$U$3004,$AS100)="","",INDEX('潜水記録'!$U$5:$U$3004,$AS100)))</f>
        <v/>
      </c>
      <c r="W100" s="46">
        <f>IF($A100="","",IF(INDEX('潜水記録'!$V$5:$V$3004,$AS100)="","",INDEX('潜水記録'!$V$5:$V$3004,$AS100)))</f>
        <v/>
      </c>
      <c r="X100" s="14">
        <f>IF($A100="","",IF(INDEX('潜水記録'!$W$5:$W$3004,$AS100)="","",INDEX('潜水記録'!$W$5:$W$3004,$AS100)))</f>
        <v/>
      </c>
      <c r="Y100" s="14">
        <f>IF($A100="","",IF(INDEX('潜水記録'!$X$5:$X$3004,$AS100)="","",INDEX('潜水記録'!$X$5:$X$3004,$AS100)))</f>
        <v/>
      </c>
      <c r="Z100" s="14">
        <f>IF($A100="","",IF(INDEX('潜水記録'!$Y$5:$Y$3004,$AS100)="","",INDEX('潜水記録'!$Y$5:$Y$3004,$AS100)))</f>
        <v/>
      </c>
      <c r="AA100" s="14">
        <f>IF($A100="","",IF(INDEX('潜水記録'!$Z$5:$Z$3004,$AS100)="","",INDEX('潜水記録'!$Z$5:$Z$3004,$AS100)))</f>
        <v/>
      </c>
      <c r="AB100" s="14">
        <f>IF($A100="","",IF(INDEX('潜水記録'!$AA$5:$AA$3004,$AS100)="","",INDEX('潜水記録'!$AA$5:$AA$3004,$AS100)))</f>
        <v/>
      </c>
      <c r="AC100" s="14">
        <f>IF($A100="","",IF(INDEX('潜水記録'!$AB$5:$AB$3004,$AS100)="","",INDEX('潜水記録'!$AB$5:$AB$3004,$AS100)))</f>
        <v/>
      </c>
      <c r="AD100" s="14">
        <f>IF($A100="","",IF(INDEX('潜水記録'!$AC$5:$AC$3004,$AS100)="","",INDEX('潜水記録'!$AC$5:$AC$3004,$AS100)))</f>
        <v/>
      </c>
      <c r="AE100" s="14">
        <f>IF($A100="","",IF(INDEX('潜水記録'!$AD$5:$AD$3004,$AS100)="","",INDEX('潜水記録'!$AD$5:$AD$3004,$AS100)))</f>
        <v/>
      </c>
      <c r="AF100" s="14">
        <f>IF($A100="","",IF(INDEX('潜水記録'!$AE$5:$AE$3004,$AS100)="","",INDEX('潜水記録'!$AE$5:$AE$3004,$AS100)))</f>
        <v/>
      </c>
      <c r="AG100" s="14">
        <f>IF($A100="","",IF(INDEX('潜水記録'!$AL$5:$AL$3004,$AS100)="","",INDEX('潜水記録'!$AL$5:$AL$3004,$AS100)))</f>
        <v/>
      </c>
      <c r="AH100" s="14">
        <f>IF($A100="","",IF(INDEX('潜水記録'!$AM$5:$AM$3004,$AS100)="","",INDEX('潜水記録'!$AM$5:$AM$3004,$AS100)))</f>
        <v/>
      </c>
      <c r="AI100" s="46">
        <f>IF($A100="","",IF(INDEX('潜水記録'!$AN$5:$AN$3004,$AS100)="","",INDEX('潜水記録'!$AN$5:$AN$3004,$AS100)))</f>
        <v/>
      </c>
      <c r="AJ100" s="14">
        <f>IF($A100="","",IF(INDEX('潜水記録'!$AO$5:$AO$3004,$AS100)="","",INDEX('潜水記録'!$AO$5:$AO$3004,$AS100)))</f>
        <v/>
      </c>
      <c r="AK100" s="14">
        <f>IF($A100="","",IF(INDEX('潜水記録'!$AP$5:$AP$3004,$AS100)="","",INDEX('潜水記録'!$AP$5:$AP$3004,$AS100)))</f>
        <v/>
      </c>
      <c r="AL100" s="14">
        <f>IF($A100="","",IF(INDEX('潜水記録'!$AQ$5:$AQ$3004,$AS100)="","",INDEX('潜水記録'!$AQ$5:$AQ$3004,$AS100)))</f>
        <v/>
      </c>
      <c r="AM100" s="14">
        <f>IF($A100="","",IF(INDEX('潜水記録'!$AR$5:$AR$3004,$AS100)="","",INDEX('潜水記録'!$AR$5:$AR$3004,$AS100)))</f>
        <v/>
      </c>
      <c r="AN100" s="14">
        <f>IF($A100="","",IF(INDEX('潜水記録'!$AS$5:$AS$3004,$AS100)="","",INDEX('潜水記録'!$AS$5:$AS$3004,$AS100)))</f>
        <v/>
      </c>
      <c r="AO100" s="14">
        <f>IF($A100="","",IF(INDEX('潜水記録'!$AT$5:$AT$3004,$AS100)="","",INDEX('潜水記録'!$AT$5:$AT$3004,$AS100)))</f>
        <v/>
      </c>
      <c r="AP100" s="14">
        <f>IF($A100="","",IF(INDEX('潜水記録'!$AU$5:$AU$3004,$AS100)="","",INDEX('潜水記録'!$AU$5:$AU$3004,$AS100)))</f>
        <v/>
      </c>
      <c r="AQ100" s="14">
        <f>IF($A100="","",IF(INDEX('潜水記録'!$AV$5:$AV$3004,$AS100)="","",INDEX('潜水記録'!$AV$5:$AV$3004,$AS100)))</f>
        <v/>
      </c>
      <c r="AR100" s="14">
        <f>IF($A100="","",IF(INDEX('潜水記録'!$AW$5:$AW$3004,$AS100)="","",INDEX('潜水記録'!$AW$5:$AW$3004,$AS100)))</f>
        <v/>
      </c>
      <c r="AS100" s="20">
        <f>IF($A100="","",MATCH($A100,'潜水記録'!$AI$5:$AI$3004,0))</f>
        <v/>
      </c>
    </row>
    <row r="101">
      <c r="A101" s="14">
        <f>IF(91&lt;=$C$8,91,"")</f>
        <v/>
      </c>
      <c r="B101" s="16">
        <f>IF($A101="","",IF(INDEX('潜水記録'!$A$5:$A$3004,$AS101)="","",INDEX('潜水記録'!$A$5:$A$3004,$AS101)))</f>
        <v/>
      </c>
      <c r="C101" s="14">
        <f>IF($A101="","",IF(INDEX('潜水記録'!$B$5:$B$3004,$AS101)="","",INDEX('潜水記録'!$B$5:$B$3004,$AS101)))</f>
        <v/>
      </c>
      <c r="D101" s="14">
        <f>IF($A101="","",IF(INDEX('潜水記録'!$C$5:$C$3004,$AS101)="","",INDEX('潜水記録'!$C$5:$C$3004,$AS101)))</f>
        <v/>
      </c>
      <c r="E101" s="14">
        <f>IF($A101="","",IF(INDEX('潜水記録'!$D$5:$D$3004,$AS101)="","",INDEX('潜水記録'!$D$5:$D$3004,$AS101)))</f>
        <v/>
      </c>
      <c r="F101" s="14">
        <f>IF($A101="","",IF(INDEX('潜水記録'!$E$5:$E$3004,$AS101)="","",INDEX('潜水記録'!$E$5:$E$3004,$AS101)))</f>
        <v/>
      </c>
      <c r="G101" s="14">
        <f>IF($A101="","",IF(INDEX('潜水記録'!$F$5:$F$3004,$AS101)="","",INDEX('潜水記録'!$F$5:$F$3004,$AS101)))</f>
        <v/>
      </c>
      <c r="H101" s="14">
        <f>IF($A101="","",IF(INDEX('潜水記録'!$G$5:$G$3004,$AS101)="","",INDEX('潜水記録'!$G$5:$G$3004,$AS101)))</f>
        <v/>
      </c>
      <c r="I101" s="14">
        <f>IF($A101="","",IF(INDEX('潜水記録'!$H$5:$H$3004,$AS101)="","",INDEX('潜水記録'!$H$5:$H$3004,$AS101)))</f>
        <v/>
      </c>
      <c r="J101" s="14">
        <f>IF($A101="","",IF(INDEX('潜水記録'!$I$5:$I$3004,$AS101)="","",INDEX('潜水記録'!$I$5:$I$3004,$AS101)))</f>
        <v/>
      </c>
      <c r="K101" s="14">
        <f>IF($A101="","",IF(INDEX('潜水記録'!$J$5:$J$3004,$AS101)="","",INDEX('潜水記録'!$J$5:$J$3004,$AS101)))</f>
        <v/>
      </c>
      <c r="L101" s="14">
        <f>IF($A101="","",IF(INDEX('潜水記録'!$K$5:$K$3004,$AS101)="","",INDEX('潜水記録'!$K$5:$K$3004,$AS101)))</f>
        <v/>
      </c>
      <c r="M101" s="14">
        <f>IF($A101="","",IF(INDEX('潜水記録'!$L$5:$L$3004,$AS101)="","",INDEX('潜水記録'!$L$5:$L$3004,$AS101)))</f>
        <v/>
      </c>
      <c r="N101" s="14">
        <f>IF($A101="","",IF(INDEX('潜水記録'!$M$5:$M$3004,$AS101)="","",INDEX('潜水記録'!$M$5:$M$3004,$AS101)))</f>
        <v/>
      </c>
      <c r="O101" s="14">
        <f>IF($A101="","",IF(INDEX('潜水記録'!$N$5:$N$3004,$AS101)="","",INDEX('潜水記録'!$N$5:$N$3004,$AS101)))</f>
        <v/>
      </c>
      <c r="P101" s="14">
        <f>IF($A101="","",IF(INDEX('潜水記録'!$O$5:$O$3004,$AS101)="","",INDEX('潜水記録'!$O$5:$O$3004,$AS101)))</f>
        <v/>
      </c>
      <c r="Q101" s="14">
        <f>IF($A101="","",IF(INDEX('潜水記録'!$P$5:$P$3004,$AS101)="","",INDEX('潜水記録'!$P$5:$P$3004,$AS101)))</f>
        <v/>
      </c>
      <c r="R101" s="14">
        <f>IF($A101="","",IF(INDEX('潜水記録'!$Q$5:$Q$3004,$AS101)="","",INDEX('潜水記録'!$Q$5:$Q$3004,$AS101)))</f>
        <v/>
      </c>
      <c r="S101" s="14">
        <f>IF($A101="","",IF(INDEX('潜水記録'!$R$5:$R$3004,$AS101)="","",INDEX('潜水記録'!$R$5:$R$3004,$AS101)))</f>
        <v/>
      </c>
      <c r="T101" s="14">
        <f>IF($A101="","",IF(INDEX('潜水記録'!$S$5:$S$3004,$AS101)="","",INDEX('潜水記録'!$S$5:$S$3004,$AS101)))</f>
        <v/>
      </c>
      <c r="U101" s="14">
        <f>IF($A101="","",IF(INDEX('潜水記録'!$T$5:$T$3004,$AS101)="","",INDEX('潜水記録'!$T$5:$T$3004,$AS101)))</f>
        <v/>
      </c>
      <c r="V101" s="46">
        <f>IF($A101="","",IF(INDEX('潜水記録'!$U$5:$U$3004,$AS101)="","",INDEX('潜水記録'!$U$5:$U$3004,$AS101)))</f>
        <v/>
      </c>
      <c r="W101" s="46">
        <f>IF($A101="","",IF(INDEX('潜水記録'!$V$5:$V$3004,$AS101)="","",INDEX('潜水記録'!$V$5:$V$3004,$AS101)))</f>
        <v/>
      </c>
      <c r="X101" s="14">
        <f>IF($A101="","",IF(INDEX('潜水記録'!$W$5:$W$3004,$AS101)="","",INDEX('潜水記録'!$W$5:$W$3004,$AS101)))</f>
        <v/>
      </c>
      <c r="Y101" s="14">
        <f>IF($A101="","",IF(INDEX('潜水記録'!$X$5:$X$3004,$AS101)="","",INDEX('潜水記録'!$X$5:$X$3004,$AS101)))</f>
        <v/>
      </c>
      <c r="Z101" s="14">
        <f>IF($A101="","",IF(INDEX('潜水記録'!$Y$5:$Y$3004,$AS101)="","",INDEX('潜水記録'!$Y$5:$Y$3004,$AS101)))</f>
        <v/>
      </c>
      <c r="AA101" s="14">
        <f>IF($A101="","",IF(INDEX('潜水記録'!$Z$5:$Z$3004,$AS101)="","",INDEX('潜水記録'!$Z$5:$Z$3004,$AS101)))</f>
        <v/>
      </c>
      <c r="AB101" s="14">
        <f>IF($A101="","",IF(INDEX('潜水記録'!$AA$5:$AA$3004,$AS101)="","",INDEX('潜水記録'!$AA$5:$AA$3004,$AS101)))</f>
        <v/>
      </c>
      <c r="AC101" s="14">
        <f>IF($A101="","",IF(INDEX('潜水記録'!$AB$5:$AB$3004,$AS101)="","",INDEX('潜水記録'!$AB$5:$AB$3004,$AS101)))</f>
        <v/>
      </c>
      <c r="AD101" s="14">
        <f>IF($A101="","",IF(INDEX('潜水記録'!$AC$5:$AC$3004,$AS101)="","",INDEX('潜水記録'!$AC$5:$AC$3004,$AS101)))</f>
        <v/>
      </c>
      <c r="AE101" s="14">
        <f>IF($A101="","",IF(INDEX('潜水記録'!$AD$5:$AD$3004,$AS101)="","",INDEX('潜水記録'!$AD$5:$AD$3004,$AS101)))</f>
        <v/>
      </c>
      <c r="AF101" s="14">
        <f>IF($A101="","",IF(INDEX('潜水記録'!$AE$5:$AE$3004,$AS101)="","",INDEX('潜水記録'!$AE$5:$AE$3004,$AS101)))</f>
        <v/>
      </c>
      <c r="AG101" s="14">
        <f>IF($A101="","",IF(INDEX('潜水記録'!$AL$5:$AL$3004,$AS101)="","",INDEX('潜水記録'!$AL$5:$AL$3004,$AS101)))</f>
        <v/>
      </c>
      <c r="AH101" s="14">
        <f>IF($A101="","",IF(INDEX('潜水記録'!$AM$5:$AM$3004,$AS101)="","",INDEX('潜水記録'!$AM$5:$AM$3004,$AS101)))</f>
        <v/>
      </c>
      <c r="AI101" s="46">
        <f>IF($A101="","",IF(INDEX('潜水記録'!$AN$5:$AN$3004,$AS101)="","",INDEX('潜水記録'!$AN$5:$AN$3004,$AS101)))</f>
        <v/>
      </c>
      <c r="AJ101" s="14">
        <f>IF($A101="","",IF(INDEX('潜水記録'!$AO$5:$AO$3004,$AS101)="","",INDEX('潜水記録'!$AO$5:$AO$3004,$AS101)))</f>
        <v/>
      </c>
      <c r="AK101" s="14">
        <f>IF($A101="","",IF(INDEX('潜水記録'!$AP$5:$AP$3004,$AS101)="","",INDEX('潜水記録'!$AP$5:$AP$3004,$AS101)))</f>
        <v/>
      </c>
      <c r="AL101" s="14">
        <f>IF($A101="","",IF(INDEX('潜水記録'!$AQ$5:$AQ$3004,$AS101)="","",INDEX('潜水記録'!$AQ$5:$AQ$3004,$AS101)))</f>
        <v/>
      </c>
      <c r="AM101" s="14">
        <f>IF($A101="","",IF(INDEX('潜水記録'!$AR$5:$AR$3004,$AS101)="","",INDEX('潜水記録'!$AR$5:$AR$3004,$AS101)))</f>
        <v/>
      </c>
      <c r="AN101" s="14">
        <f>IF($A101="","",IF(INDEX('潜水記録'!$AS$5:$AS$3004,$AS101)="","",INDEX('潜水記録'!$AS$5:$AS$3004,$AS101)))</f>
        <v/>
      </c>
      <c r="AO101" s="14">
        <f>IF($A101="","",IF(INDEX('潜水記録'!$AT$5:$AT$3004,$AS101)="","",INDEX('潜水記録'!$AT$5:$AT$3004,$AS101)))</f>
        <v/>
      </c>
      <c r="AP101" s="14">
        <f>IF($A101="","",IF(INDEX('潜水記録'!$AU$5:$AU$3004,$AS101)="","",INDEX('潜水記録'!$AU$5:$AU$3004,$AS101)))</f>
        <v/>
      </c>
      <c r="AQ101" s="14">
        <f>IF($A101="","",IF(INDEX('潜水記録'!$AV$5:$AV$3004,$AS101)="","",INDEX('潜水記録'!$AV$5:$AV$3004,$AS101)))</f>
        <v/>
      </c>
      <c r="AR101" s="14">
        <f>IF($A101="","",IF(INDEX('潜水記録'!$AW$5:$AW$3004,$AS101)="","",INDEX('潜水記録'!$AW$5:$AW$3004,$AS101)))</f>
        <v/>
      </c>
      <c r="AS101" s="20">
        <f>IF($A101="","",MATCH($A101,'潜水記録'!$AI$5:$AI$3004,0))</f>
        <v/>
      </c>
    </row>
    <row r="102">
      <c r="A102" s="14">
        <f>IF(92&lt;=$C$8,92,"")</f>
        <v/>
      </c>
      <c r="B102" s="16">
        <f>IF($A102="","",IF(INDEX('潜水記録'!$A$5:$A$3004,$AS102)="","",INDEX('潜水記録'!$A$5:$A$3004,$AS102)))</f>
        <v/>
      </c>
      <c r="C102" s="14">
        <f>IF($A102="","",IF(INDEX('潜水記録'!$B$5:$B$3004,$AS102)="","",INDEX('潜水記録'!$B$5:$B$3004,$AS102)))</f>
        <v/>
      </c>
      <c r="D102" s="14">
        <f>IF($A102="","",IF(INDEX('潜水記録'!$C$5:$C$3004,$AS102)="","",INDEX('潜水記録'!$C$5:$C$3004,$AS102)))</f>
        <v/>
      </c>
      <c r="E102" s="14">
        <f>IF($A102="","",IF(INDEX('潜水記録'!$D$5:$D$3004,$AS102)="","",INDEX('潜水記録'!$D$5:$D$3004,$AS102)))</f>
        <v/>
      </c>
      <c r="F102" s="14">
        <f>IF($A102="","",IF(INDEX('潜水記録'!$E$5:$E$3004,$AS102)="","",INDEX('潜水記録'!$E$5:$E$3004,$AS102)))</f>
        <v/>
      </c>
      <c r="G102" s="14">
        <f>IF($A102="","",IF(INDEX('潜水記録'!$F$5:$F$3004,$AS102)="","",INDEX('潜水記録'!$F$5:$F$3004,$AS102)))</f>
        <v/>
      </c>
      <c r="H102" s="14">
        <f>IF($A102="","",IF(INDEX('潜水記録'!$G$5:$G$3004,$AS102)="","",INDEX('潜水記録'!$G$5:$G$3004,$AS102)))</f>
        <v/>
      </c>
      <c r="I102" s="14">
        <f>IF($A102="","",IF(INDEX('潜水記録'!$H$5:$H$3004,$AS102)="","",INDEX('潜水記録'!$H$5:$H$3004,$AS102)))</f>
        <v/>
      </c>
      <c r="J102" s="14">
        <f>IF($A102="","",IF(INDEX('潜水記録'!$I$5:$I$3004,$AS102)="","",INDEX('潜水記録'!$I$5:$I$3004,$AS102)))</f>
        <v/>
      </c>
      <c r="K102" s="14">
        <f>IF($A102="","",IF(INDEX('潜水記録'!$J$5:$J$3004,$AS102)="","",INDEX('潜水記録'!$J$5:$J$3004,$AS102)))</f>
        <v/>
      </c>
      <c r="L102" s="14">
        <f>IF($A102="","",IF(INDEX('潜水記録'!$K$5:$K$3004,$AS102)="","",INDEX('潜水記録'!$K$5:$K$3004,$AS102)))</f>
        <v/>
      </c>
      <c r="M102" s="14">
        <f>IF($A102="","",IF(INDEX('潜水記録'!$L$5:$L$3004,$AS102)="","",INDEX('潜水記録'!$L$5:$L$3004,$AS102)))</f>
        <v/>
      </c>
      <c r="N102" s="14">
        <f>IF($A102="","",IF(INDEX('潜水記録'!$M$5:$M$3004,$AS102)="","",INDEX('潜水記録'!$M$5:$M$3004,$AS102)))</f>
        <v/>
      </c>
      <c r="O102" s="14">
        <f>IF($A102="","",IF(INDEX('潜水記録'!$N$5:$N$3004,$AS102)="","",INDEX('潜水記録'!$N$5:$N$3004,$AS102)))</f>
        <v/>
      </c>
      <c r="P102" s="14">
        <f>IF($A102="","",IF(INDEX('潜水記録'!$O$5:$O$3004,$AS102)="","",INDEX('潜水記録'!$O$5:$O$3004,$AS102)))</f>
        <v/>
      </c>
      <c r="Q102" s="14">
        <f>IF($A102="","",IF(INDEX('潜水記録'!$P$5:$P$3004,$AS102)="","",INDEX('潜水記録'!$P$5:$P$3004,$AS102)))</f>
        <v/>
      </c>
      <c r="R102" s="14">
        <f>IF($A102="","",IF(INDEX('潜水記録'!$Q$5:$Q$3004,$AS102)="","",INDEX('潜水記録'!$Q$5:$Q$3004,$AS102)))</f>
        <v/>
      </c>
      <c r="S102" s="14">
        <f>IF($A102="","",IF(INDEX('潜水記録'!$R$5:$R$3004,$AS102)="","",INDEX('潜水記録'!$R$5:$R$3004,$AS102)))</f>
        <v/>
      </c>
      <c r="T102" s="14">
        <f>IF($A102="","",IF(INDEX('潜水記録'!$S$5:$S$3004,$AS102)="","",INDEX('潜水記録'!$S$5:$S$3004,$AS102)))</f>
        <v/>
      </c>
      <c r="U102" s="14">
        <f>IF($A102="","",IF(INDEX('潜水記録'!$T$5:$T$3004,$AS102)="","",INDEX('潜水記録'!$T$5:$T$3004,$AS102)))</f>
        <v/>
      </c>
      <c r="V102" s="46">
        <f>IF($A102="","",IF(INDEX('潜水記録'!$U$5:$U$3004,$AS102)="","",INDEX('潜水記録'!$U$5:$U$3004,$AS102)))</f>
        <v/>
      </c>
      <c r="W102" s="46">
        <f>IF($A102="","",IF(INDEX('潜水記録'!$V$5:$V$3004,$AS102)="","",INDEX('潜水記録'!$V$5:$V$3004,$AS102)))</f>
        <v/>
      </c>
      <c r="X102" s="14">
        <f>IF($A102="","",IF(INDEX('潜水記録'!$W$5:$W$3004,$AS102)="","",INDEX('潜水記録'!$W$5:$W$3004,$AS102)))</f>
        <v/>
      </c>
      <c r="Y102" s="14">
        <f>IF($A102="","",IF(INDEX('潜水記録'!$X$5:$X$3004,$AS102)="","",INDEX('潜水記録'!$X$5:$X$3004,$AS102)))</f>
        <v/>
      </c>
      <c r="Z102" s="14">
        <f>IF($A102="","",IF(INDEX('潜水記録'!$Y$5:$Y$3004,$AS102)="","",INDEX('潜水記録'!$Y$5:$Y$3004,$AS102)))</f>
        <v/>
      </c>
      <c r="AA102" s="14">
        <f>IF($A102="","",IF(INDEX('潜水記録'!$Z$5:$Z$3004,$AS102)="","",INDEX('潜水記録'!$Z$5:$Z$3004,$AS102)))</f>
        <v/>
      </c>
      <c r="AB102" s="14">
        <f>IF($A102="","",IF(INDEX('潜水記録'!$AA$5:$AA$3004,$AS102)="","",INDEX('潜水記録'!$AA$5:$AA$3004,$AS102)))</f>
        <v/>
      </c>
      <c r="AC102" s="14">
        <f>IF($A102="","",IF(INDEX('潜水記録'!$AB$5:$AB$3004,$AS102)="","",INDEX('潜水記録'!$AB$5:$AB$3004,$AS102)))</f>
        <v/>
      </c>
      <c r="AD102" s="14">
        <f>IF($A102="","",IF(INDEX('潜水記録'!$AC$5:$AC$3004,$AS102)="","",INDEX('潜水記録'!$AC$5:$AC$3004,$AS102)))</f>
        <v/>
      </c>
      <c r="AE102" s="14">
        <f>IF($A102="","",IF(INDEX('潜水記録'!$AD$5:$AD$3004,$AS102)="","",INDEX('潜水記録'!$AD$5:$AD$3004,$AS102)))</f>
        <v/>
      </c>
      <c r="AF102" s="14">
        <f>IF($A102="","",IF(INDEX('潜水記録'!$AE$5:$AE$3004,$AS102)="","",INDEX('潜水記録'!$AE$5:$AE$3004,$AS102)))</f>
        <v/>
      </c>
      <c r="AG102" s="14">
        <f>IF($A102="","",IF(INDEX('潜水記録'!$AL$5:$AL$3004,$AS102)="","",INDEX('潜水記録'!$AL$5:$AL$3004,$AS102)))</f>
        <v/>
      </c>
      <c r="AH102" s="14">
        <f>IF($A102="","",IF(INDEX('潜水記録'!$AM$5:$AM$3004,$AS102)="","",INDEX('潜水記録'!$AM$5:$AM$3004,$AS102)))</f>
        <v/>
      </c>
      <c r="AI102" s="46">
        <f>IF($A102="","",IF(INDEX('潜水記録'!$AN$5:$AN$3004,$AS102)="","",INDEX('潜水記録'!$AN$5:$AN$3004,$AS102)))</f>
        <v/>
      </c>
      <c r="AJ102" s="14">
        <f>IF($A102="","",IF(INDEX('潜水記録'!$AO$5:$AO$3004,$AS102)="","",INDEX('潜水記録'!$AO$5:$AO$3004,$AS102)))</f>
        <v/>
      </c>
      <c r="AK102" s="14">
        <f>IF($A102="","",IF(INDEX('潜水記録'!$AP$5:$AP$3004,$AS102)="","",INDEX('潜水記録'!$AP$5:$AP$3004,$AS102)))</f>
        <v/>
      </c>
      <c r="AL102" s="14">
        <f>IF($A102="","",IF(INDEX('潜水記録'!$AQ$5:$AQ$3004,$AS102)="","",INDEX('潜水記録'!$AQ$5:$AQ$3004,$AS102)))</f>
        <v/>
      </c>
      <c r="AM102" s="14">
        <f>IF($A102="","",IF(INDEX('潜水記録'!$AR$5:$AR$3004,$AS102)="","",INDEX('潜水記録'!$AR$5:$AR$3004,$AS102)))</f>
        <v/>
      </c>
      <c r="AN102" s="14">
        <f>IF($A102="","",IF(INDEX('潜水記録'!$AS$5:$AS$3004,$AS102)="","",INDEX('潜水記録'!$AS$5:$AS$3004,$AS102)))</f>
        <v/>
      </c>
      <c r="AO102" s="14">
        <f>IF($A102="","",IF(INDEX('潜水記録'!$AT$5:$AT$3004,$AS102)="","",INDEX('潜水記録'!$AT$5:$AT$3004,$AS102)))</f>
        <v/>
      </c>
      <c r="AP102" s="14">
        <f>IF($A102="","",IF(INDEX('潜水記録'!$AU$5:$AU$3004,$AS102)="","",INDEX('潜水記録'!$AU$5:$AU$3004,$AS102)))</f>
        <v/>
      </c>
      <c r="AQ102" s="14">
        <f>IF($A102="","",IF(INDEX('潜水記録'!$AV$5:$AV$3004,$AS102)="","",INDEX('潜水記録'!$AV$5:$AV$3004,$AS102)))</f>
        <v/>
      </c>
      <c r="AR102" s="14">
        <f>IF($A102="","",IF(INDEX('潜水記録'!$AW$5:$AW$3004,$AS102)="","",INDEX('潜水記録'!$AW$5:$AW$3004,$AS102)))</f>
        <v/>
      </c>
      <c r="AS102" s="20">
        <f>IF($A102="","",MATCH($A102,'潜水記録'!$AI$5:$AI$3004,0))</f>
        <v/>
      </c>
    </row>
    <row r="103">
      <c r="A103" s="14">
        <f>IF(93&lt;=$C$8,93,"")</f>
        <v/>
      </c>
      <c r="B103" s="16">
        <f>IF($A103="","",IF(INDEX('潜水記録'!$A$5:$A$3004,$AS103)="","",INDEX('潜水記録'!$A$5:$A$3004,$AS103)))</f>
        <v/>
      </c>
      <c r="C103" s="14">
        <f>IF($A103="","",IF(INDEX('潜水記録'!$B$5:$B$3004,$AS103)="","",INDEX('潜水記録'!$B$5:$B$3004,$AS103)))</f>
        <v/>
      </c>
      <c r="D103" s="14">
        <f>IF($A103="","",IF(INDEX('潜水記録'!$C$5:$C$3004,$AS103)="","",INDEX('潜水記録'!$C$5:$C$3004,$AS103)))</f>
        <v/>
      </c>
      <c r="E103" s="14">
        <f>IF($A103="","",IF(INDEX('潜水記録'!$D$5:$D$3004,$AS103)="","",INDEX('潜水記録'!$D$5:$D$3004,$AS103)))</f>
        <v/>
      </c>
      <c r="F103" s="14">
        <f>IF($A103="","",IF(INDEX('潜水記録'!$E$5:$E$3004,$AS103)="","",INDEX('潜水記録'!$E$5:$E$3004,$AS103)))</f>
        <v/>
      </c>
      <c r="G103" s="14">
        <f>IF($A103="","",IF(INDEX('潜水記録'!$F$5:$F$3004,$AS103)="","",INDEX('潜水記録'!$F$5:$F$3004,$AS103)))</f>
        <v/>
      </c>
      <c r="H103" s="14">
        <f>IF($A103="","",IF(INDEX('潜水記録'!$G$5:$G$3004,$AS103)="","",INDEX('潜水記録'!$G$5:$G$3004,$AS103)))</f>
        <v/>
      </c>
      <c r="I103" s="14">
        <f>IF($A103="","",IF(INDEX('潜水記録'!$H$5:$H$3004,$AS103)="","",INDEX('潜水記録'!$H$5:$H$3004,$AS103)))</f>
        <v/>
      </c>
      <c r="J103" s="14">
        <f>IF($A103="","",IF(INDEX('潜水記録'!$I$5:$I$3004,$AS103)="","",INDEX('潜水記録'!$I$5:$I$3004,$AS103)))</f>
        <v/>
      </c>
      <c r="K103" s="14">
        <f>IF($A103="","",IF(INDEX('潜水記録'!$J$5:$J$3004,$AS103)="","",INDEX('潜水記録'!$J$5:$J$3004,$AS103)))</f>
        <v/>
      </c>
      <c r="L103" s="14">
        <f>IF($A103="","",IF(INDEX('潜水記録'!$K$5:$K$3004,$AS103)="","",INDEX('潜水記録'!$K$5:$K$3004,$AS103)))</f>
        <v/>
      </c>
      <c r="M103" s="14">
        <f>IF($A103="","",IF(INDEX('潜水記録'!$L$5:$L$3004,$AS103)="","",INDEX('潜水記録'!$L$5:$L$3004,$AS103)))</f>
        <v/>
      </c>
      <c r="N103" s="14">
        <f>IF($A103="","",IF(INDEX('潜水記録'!$M$5:$M$3004,$AS103)="","",INDEX('潜水記録'!$M$5:$M$3004,$AS103)))</f>
        <v/>
      </c>
      <c r="O103" s="14">
        <f>IF($A103="","",IF(INDEX('潜水記録'!$N$5:$N$3004,$AS103)="","",INDEX('潜水記録'!$N$5:$N$3004,$AS103)))</f>
        <v/>
      </c>
      <c r="P103" s="14">
        <f>IF($A103="","",IF(INDEX('潜水記録'!$O$5:$O$3004,$AS103)="","",INDEX('潜水記録'!$O$5:$O$3004,$AS103)))</f>
        <v/>
      </c>
      <c r="Q103" s="14">
        <f>IF($A103="","",IF(INDEX('潜水記録'!$P$5:$P$3004,$AS103)="","",INDEX('潜水記録'!$P$5:$P$3004,$AS103)))</f>
        <v/>
      </c>
      <c r="R103" s="14">
        <f>IF($A103="","",IF(INDEX('潜水記録'!$Q$5:$Q$3004,$AS103)="","",INDEX('潜水記録'!$Q$5:$Q$3004,$AS103)))</f>
        <v/>
      </c>
      <c r="S103" s="14">
        <f>IF($A103="","",IF(INDEX('潜水記録'!$R$5:$R$3004,$AS103)="","",INDEX('潜水記録'!$R$5:$R$3004,$AS103)))</f>
        <v/>
      </c>
      <c r="T103" s="14">
        <f>IF($A103="","",IF(INDEX('潜水記録'!$S$5:$S$3004,$AS103)="","",INDEX('潜水記録'!$S$5:$S$3004,$AS103)))</f>
        <v/>
      </c>
      <c r="U103" s="14">
        <f>IF($A103="","",IF(INDEX('潜水記録'!$T$5:$T$3004,$AS103)="","",INDEX('潜水記録'!$T$5:$T$3004,$AS103)))</f>
        <v/>
      </c>
      <c r="V103" s="46">
        <f>IF($A103="","",IF(INDEX('潜水記録'!$U$5:$U$3004,$AS103)="","",INDEX('潜水記録'!$U$5:$U$3004,$AS103)))</f>
        <v/>
      </c>
      <c r="W103" s="46">
        <f>IF($A103="","",IF(INDEX('潜水記録'!$V$5:$V$3004,$AS103)="","",INDEX('潜水記録'!$V$5:$V$3004,$AS103)))</f>
        <v/>
      </c>
      <c r="X103" s="14">
        <f>IF($A103="","",IF(INDEX('潜水記録'!$W$5:$W$3004,$AS103)="","",INDEX('潜水記録'!$W$5:$W$3004,$AS103)))</f>
        <v/>
      </c>
      <c r="Y103" s="14">
        <f>IF($A103="","",IF(INDEX('潜水記録'!$X$5:$X$3004,$AS103)="","",INDEX('潜水記録'!$X$5:$X$3004,$AS103)))</f>
        <v/>
      </c>
      <c r="Z103" s="14">
        <f>IF($A103="","",IF(INDEX('潜水記録'!$Y$5:$Y$3004,$AS103)="","",INDEX('潜水記録'!$Y$5:$Y$3004,$AS103)))</f>
        <v/>
      </c>
      <c r="AA103" s="14">
        <f>IF($A103="","",IF(INDEX('潜水記録'!$Z$5:$Z$3004,$AS103)="","",INDEX('潜水記録'!$Z$5:$Z$3004,$AS103)))</f>
        <v/>
      </c>
      <c r="AB103" s="14">
        <f>IF($A103="","",IF(INDEX('潜水記録'!$AA$5:$AA$3004,$AS103)="","",INDEX('潜水記録'!$AA$5:$AA$3004,$AS103)))</f>
        <v/>
      </c>
      <c r="AC103" s="14">
        <f>IF($A103="","",IF(INDEX('潜水記録'!$AB$5:$AB$3004,$AS103)="","",INDEX('潜水記録'!$AB$5:$AB$3004,$AS103)))</f>
        <v/>
      </c>
      <c r="AD103" s="14">
        <f>IF($A103="","",IF(INDEX('潜水記録'!$AC$5:$AC$3004,$AS103)="","",INDEX('潜水記録'!$AC$5:$AC$3004,$AS103)))</f>
        <v/>
      </c>
      <c r="AE103" s="14">
        <f>IF($A103="","",IF(INDEX('潜水記録'!$AD$5:$AD$3004,$AS103)="","",INDEX('潜水記録'!$AD$5:$AD$3004,$AS103)))</f>
        <v/>
      </c>
      <c r="AF103" s="14">
        <f>IF($A103="","",IF(INDEX('潜水記録'!$AE$5:$AE$3004,$AS103)="","",INDEX('潜水記録'!$AE$5:$AE$3004,$AS103)))</f>
        <v/>
      </c>
      <c r="AG103" s="14">
        <f>IF($A103="","",IF(INDEX('潜水記録'!$AL$5:$AL$3004,$AS103)="","",INDEX('潜水記録'!$AL$5:$AL$3004,$AS103)))</f>
        <v/>
      </c>
      <c r="AH103" s="14">
        <f>IF($A103="","",IF(INDEX('潜水記録'!$AM$5:$AM$3004,$AS103)="","",INDEX('潜水記録'!$AM$5:$AM$3004,$AS103)))</f>
        <v/>
      </c>
      <c r="AI103" s="46">
        <f>IF($A103="","",IF(INDEX('潜水記録'!$AN$5:$AN$3004,$AS103)="","",INDEX('潜水記録'!$AN$5:$AN$3004,$AS103)))</f>
        <v/>
      </c>
      <c r="AJ103" s="14">
        <f>IF($A103="","",IF(INDEX('潜水記録'!$AO$5:$AO$3004,$AS103)="","",INDEX('潜水記録'!$AO$5:$AO$3004,$AS103)))</f>
        <v/>
      </c>
      <c r="AK103" s="14">
        <f>IF($A103="","",IF(INDEX('潜水記録'!$AP$5:$AP$3004,$AS103)="","",INDEX('潜水記録'!$AP$5:$AP$3004,$AS103)))</f>
        <v/>
      </c>
      <c r="AL103" s="14">
        <f>IF($A103="","",IF(INDEX('潜水記録'!$AQ$5:$AQ$3004,$AS103)="","",INDEX('潜水記録'!$AQ$5:$AQ$3004,$AS103)))</f>
        <v/>
      </c>
      <c r="AM103" s="14">
        <f>IF($A103="","",IF(INDEX('潜水記録'!$AR$5:$AR$3004,$AS103)="","",INDEX('潜水記録'!$AR$5:$AR$3004,$AS103)))</f>
        <v/>
      </c>
      <c r="AN103" s="14">
        <f>IF($A103="","",IF(INDEX('潜水記録'!$AS$5:$AS$3004,$AS103)="","",INDEX('潜水記録'!$AS$5:$AS$3004,$AS103)))</f>
        <v/>
      </c>
      <c r="AO103" s="14">
        <f>IF($A103="","",IF(INDEX('潜水記録'!$AT$5:$AT$3004,$AS103)="","",INDEX('潜水記録'!$AT$5:$AT$3004,$AS103)))</f>
        <v/>
      </c>
      <c r="AP103" s="14">
        <f>IF($A103="","",IF(INDEX('潜水記録'!$AU$5:$AU$3004,$AS103)="","",INDEX('潜水記録'!$AU$5:$AU$3004,$AS103)))</f>
        <v/>
      </c>
      <c r="AQ103" s="14">
        <f>IF($A103="","",IF(INDEX('潜水記録'!$AV$5:$AV$3004,$AS103)="","",INDEX('潜水記録'!$AV$5:$AV$3004,$AS103)))</f>
        <v/>
      </c>
      <c r="AR103" s="14">
        <f>IF($A103="","",IF(INDEX('潜水記録'!$AW$5:$AW$3004,$AS103)="","",INDEX('潜水記録'!$AW$5:$AW$3004,$AS103)))</f>
        <v/>
      </c>
      <c r="AS103" s="20">
        <f>IF($A103="","",MATCH($A103,'潜水記録'!$AI$5:$AI$3004,0))</f>
        <v/>
      </c>
    </row>
    <row r="104">
      <c r="A104" s="14">
        <f>IF(94&lt;=$C$8,94,"")</f>
        <v/>
      </c>
      <c r="B104" s="16">
        <f>IF($A104="","",IF(INDEX('潜水記録'!$A$5:$A$3004,$AS104)="","",INDEX('潜水記録'!$A$5:$A$3004,$AS104)))</f>
        <v/>
      </c>
      <c r="C104" s="14">
        <f>IF($A104="","",IF(INDEX('潜水記録'!$B$5:$B$3004,$AS104)="","",INDEX('潜水記録'!$B$5:$B$3004,$AS104)))</f>
        <v/>
      </c>
      <c r="D104" s="14">
        <f>IF($A104="","",IF(INDEX('潜水記録'!$C$5:$C$3004,$AS104)="","",INDEX('潜水記録'!$C$5:$C$3004,$AS104)))</f>
        <v/>
      </c>
      <c r="E104" s="14">
        <f>IF($A104="","",IF(INDEX('潜水記録'!$D$5:$D$3004,$AS104)="","",INDEX('潜水記録'!$D$5:$D$3004,$AS104)))</f>
        <v/>
      </c>
      <c r="F104" s="14">
        <f>IF($A104="","",IF(INDEX('潜水記録'!$E$5:$E$3004,$AS104)="","",INDEX('潜水記録'!$E$5:$E$3004,$AS104)))</f>
        <v/>
      </c>
      <c r="G104" s="14">
        <f>IF($A104="","",IF(INDEX('潜水記録'!$F$5:$F$3004,$AS104)="","",INDEX('潜水記録'!$F$5:$F$3004,$AS104)))</f>
        <v/>
      </c>
      <c r="H104" s="14">
        <f>IF($A104="","",IF(INDEX('潜水記録'!$G$5:$G$3004,$AS104)="","",INDEX('潜水記録'!$G$5:$G$3004,$AS104)))</f>
        <v/>
      </c>
      <c r="I104" s="14">
        <f>IF($A104="","",IF(INDEX('潜水記録'!$H$5:$H$3004,$AS104)="","",INDEX('潜水記録'!$H$5:$H$3004,$AS104)))</f>
        <v/>
      </c>
      <c r="J104" s="14">
        <f>IF($A104="","",IF(INDEX('潜水記録'!$I$5:$I$3004,$AS104)="","",INDEX('潜水記録'!$I$5:$I$3004,$AS104)))</f>
        <v/>
      </c>
      <c r="K104" s="14">
        <f>IF($A104="","",IF(INDEX('潜水記録'!$J$5:$J$3004,$AS104)="","",INDEX('潜水記録'!$J$5:$J$3004,$AS104)))</f>
        <v/>
      </c>
      <c r="L104" s="14">
        <f>IF($A104="","",IF(INDEX('潜水記録'!$K$5:$K$3004,$AS104)="","",INDEX('潜水記録'!$K$5:$K$3004,$AS104)))</f>
        <v/>
      </c>
      <c r="M104" s="14">
        <f>IF($A104="","",IF(INDEX('潜水記録'!$L$5:$L$3004,$AS104)="","",INDEX('潜水記録'!$L$5:$L$3004,$AS104)))</f>
        <v/>
      </c>
      <c r="N104" s="14">
        <f>IF($A104="","",IF(INDEX('潜水記録'!$M$5:$M$3004,$AS104)="","",INDEX('潜水記録'!$M$5:$M$3004,$AS104)))</f>
        <v/>
      </c>
      <c r="O104" s="14">
        <f>IF($A104="","",IF(INDEX('潜水記録'!$N$5:$N$3004,$AS104)="","",INDEX('潜水記録'!$N$5:$N$3004,$AS104)))</f>
        <v/>
      </c>
      <c r="P104" s="14">
        <f>IF($A104="","",IF(INDEX('潜水記録'!$O$5:$O$3004,$AS104)="","",INDEX('潜水記録'!$O$5:$O$3004,$AS104)))</f>
        <v/>
      </c>
      <c r="Q104" s="14">
        <f>IF($A104="","",IF(INDEX('潜水記録'!$P$5:$P$3004,$AS104)="","",INDEX('潜水記録'!$P$5:$P$3004,$AS104)))</f>
        <v/>
      </c>
      <c r="R104" s="14">
        <f>IF($A104="","",IF(INDEX('潜水記録'!$Q$5:$Q$3004,$AS104)="","",INDEX('潜水記録'!$Q$5:$Q$3004,$AS104)))</f>
        <v/>
      </c>
      <c r="S104" s="14">
        <f>IF($A104="","",IF(INDEX('潜水記録'!$R$5:$R$3004,$AS104)="","",INDEX('潜水記録'!$R$5:$R$3004,$AS104)))</f>
        <v/>
      </c>
      <c r="T104" s="14">
        <f>IF($A104="","",IF(INDEX('潜水記録'!$S$5:$S$3004,$AS104)="","",INDEX('潜水記録'!$S$5:$S$3004,$AS104)))</f>
        <v/>
      </c>
      <c r="U104" s="14">
        <f>IF($A104="","",IF(INDEX('潜水記録'!$T$5:$T$3004,$AS104)="","",INDEX('潜水記録'!$T$5:$T$3004,$AS104)))</f>
        <v/>
      </c>
      <c r="V104" s="46">
        <f>IF($A104="","",IF(INDEX('潜水記録'!$U$5:$U$3004,$AS104)="","",INDEX('潜水記録'!$U$5:$U$3004,$AS104)))</f>
        <v/>
      </c>
      <c r="W104" s="46">
        <f>IF($A104="","",IF(INDEX('潜水記録'!$V$5:$V$3004,$AS104)="","",INDEX('潜水記録'!$V$5:$V$3004,$AS104)))</f>
        <v/>
      </c>
      <c r="X104" s="14">
        <f>IF($A104="","",IF(INDEX('潜水記録'!$W$5:$W$3004,$AS104)="","",INDEX('潜水記録'!$W$5:$W$3004,$AS104)))</f>
        <v/>
      </c>
      <c r="Y104" s="14">
        <f>IF($A104="","",IF(INDEX('潜水記録'!$X$5:$X$3004,$AS104)="","",INDEX('潜水記録'!$X$5:$X$3004,$AS104)))</f>
        <v/>
      </c>
      <c r="Z104" s="14">
        <f>IF($A104="","",IF(INDEX('潜水記録'!$Y$5:$Y$3004,$AS104)="","",INDEX('潜水記録'!$Y$5:$Y$3004,$AS104)))</f>
        <v/>
      </c>
      <c r="AA104" s="14">
        <f>IF($A104="","",IF(INDEX('潜水記録'!$Z$5:$Z$3004,$AS104)="","",INDEX('潜水記録'!$Z$5:$Z$3004,$AS104)))</f>
        <v/>
      </c>
      <c r="AB104" s="14">
        <f>IF($A104="","",IF(INDEX('潜水記録'!$AA$5:$AA$3004,$AS104)="","",INDEX('潜水記録'!$AA$5:$AA$3004,$AS104)))</f>
        <v/>
      </c>
      <c r="AC104" s="14">
        <f>IF($A104="","",IF(INDEX('潜水記録'!$AB$5:$AB$3004,$AS104)="","",INDEX('潜水記録'!$AB$5:$AB$3004,$AS104)))</f>
        <v/>
      </c>
      <c r="AD104" s="14">
        <f>IF($A104="","",IF(INDEX('潜水記録'!$AC$5:$AC$3004,$AS104)="","",INDEX('潜水記録'!$AC$5:$AC$3004,$AS104)))</f>
        <v/>
      </c>
      <c r="AE104" s="14">
        <f>IF($A104="","",IF(INDEX('潜水記録'!$AD$5:$AD$3004,$AS104)="","",INDEX('潜水記録'!$AD$5:$AD$3004,$AS104)))</f>
        <v/>
      </c>
      <c r="AF104" s="14">
        <f>IF($A104="","",IF(INDEX('潜水記録'!$AE$5:$AE$3004,$AS104)="","",INDEX('潜水記録'!$AE$5:$AE$3004,$AS104)))</f>
        <v/>
      </c>
      <c r="AG104" s="14">
        <f>IF($A104="","",IF(INDEX('潜水記録'!$AL$5:$AL$3004,$AS104)="","",INDEX('潜水記録'!$AL$5:$AL$3004,$AS104)))</f>
        <v/>
      </c>
      <c r="AH104" s="14">
        <f>IF($A104="","",IF(INDEX('潜水記録'!$AM$5:$AM$3004,$AS104)="","",INDEX('潜水記録'!$AM$5:$AM$3004,$AS104)))</f>
        <v/>
      </c>
      <c r="AI104" s="46">
        <f>IF($A104="","",IF(INDEX('潜水記録'!$AN$5:$AN$3004,$AS104)="","",INDEX('潜水記録'!$AN$5:$AN$3004,$AS104)))</f>
        <v/>
      </c>
      <c r="AJ104" s="14">
        <f>IF($A104="","",IF(INDEX('潜水記録'!$AO$5:$AO$3004,$AS104)="","",INDEX('潜水記録'!$AO$5:$AO$3004,$AS104)))</f>
        <v/>
      </c>
      <c r="AK104" s="14">
        <f>IF($A104="","",IF(INDEX('潜水記録'!$AP$5:$AP$3004,$AS104)="","",INDEX('潜水記録'!$AP$5:$AP$3004,$AS104)))</f>
        <v/>
      </c>
      <c r="AL104" s="14">
        <f>IF($A104="","",IF(INDEX('潜水記録'!$AQ$5:$AQ$3004,$AS104)="","",INDEX('潜水記録'!$AQ$5:$AQ$3004,$AS104)))</f>
        <v/>
      </c>
      <c r="AM104" s="14">
        <f>IF($A104="","",IF(INDEX('潜水記録'!$AR$5:$AR$3004,$AS104)="","",INDEX('潜水記録'!$AR$5:$AR$3004,$AS104)))</f>
        <v/>
      </c>
      <c r="AN104" s="14">
        <f>IF($A104="","",IF(INDEX('潜水記録'!$AS$5:$AS$3004,$AS104)="","",INDEX('潜水記録'!$AS$5:$AS$3004,$AS104)))</f>
        <v/>
      </c>
      <c r="AO104" s="14">
        <f>IF($A104="","",IF(INDEX('潜水記録'!$AT$5:$AT$3004,$AS104)="","",INDEX('潜水記録'!$AT$5:$AT$3004,$AS104)))</f>
        <v/>
      </c>
      <c r="AP104" s="14">
        <f>IF($A104="","",IF(INDEX('潜水記録'!$AU$5:$AU$3004,$AS104)="","",INDEX('潜水記録'!$AU$5:$AU$3004,$AS104)))</f>
        <v/>
      </c>
      <c r="AQ104" s="14">
        <f>IF($A104="","",IF(INDEX('潜水記録'!$AV$5:$AV$3004,$AS104)="","",INDEX('潜水記録'!$AV$5:$AV$3004,$AS104)))</f>
        <v/>
      </c>
      <c r="AR104" s="14">
        <f>IF($A104="","",IF(INDEX('潜水記録'!$AW$5:$AW$3004,$AS104)="","",INDEX('潜水記録'!$AW$5:$AW$3004,$AS104)))</f>
        <v/>
      </c>
      <c r="AS104" s="20">
        <f>IF($A104="","",MATCH($A104,'潜水記録'!$AI$5:$AI$3004,0))</f>
        <v/>
      </c>
    </row>
    <row r="105">
      <c r="A105" s="14">
        <f>IF(95&lt;=$C$8,95,"")</f>
        <v/>
      </c>
      <c r="B105" s="16">
        <f>IF($A105="","",IF(INDEX('潜水記録'!$A$5:$A$3004,$AS105)="","",INDEX('潜水記録'!$A$5:$A$3004,$AS105)))</f>
        <v/>
      </c>
      <c r="C105" s="14">
        <f>IF($A105="","",IF(INDEX('潜水記録'!$B$5:$B$3004,$AS105)="","",INDEX('潜水記録'!$B$5:$B$3004,$AS105)))</f>
        <v/>
      </c>
      <c r="D105" s="14">
        <f>IF($A105="","",IF(INDEX('潜水記録'!$C$5:$C$3004,$AS105)="","",INDEX('潜水記録'!$C$5:$C$3004,$AS105)))</f>
        <v/>
      </c>
      <c r="E105" s="14">
        <f>IF($A105="","",IF(INDEX('潜水記録'!$D$5:$D$3004,$AS105)="","",INDEX('潜水記録'!$D$5:$D$3004,$AS105)))</f>
        <v/>
      </c>
      <c r="F105" s="14">
        <f>IF($A105="","",IF(INDEX('潜水記録'!$E$5:$E$3004,$AS105)="","",INDEX('潜水記録'!$E$5:$E$3004,$AS105)))</f>
        <v/>
      </c>
      <c r="G105" s="14">
        <f>IF($A105="","",IF(INDEX('潜水記録'!$F$5:$F$3004,$AS105)="","",INDEX('潜水記録'!$F$5:$F$3004,$AS105)))</f>
        <v/>
      </c>
      <c r="H105" s="14">
        <f>IF($A105="","",IF(INDEX('潜水記録'!$G$5:$G$3004,$AS105)="","",INDEX('潜水記録'!$G$5:$G$3004,$AS105)))</f>
        <v/>
      </c>
      <c r="I105" s="14">
        <f>IF($A105="","",IF(INDEX('潜水記録'!$H$5:$H$3004,$AS105)="","",INDEX('潜水記録'!$H$5:$H$3004,$AS105)))</f>
        <v/>
      </c>
      <c r="J105" s="14">
        <f>IF($A105="","",IF(INDEX('潜水記録'!$I$5:$I$3004,$AS105)="","",INDEX('潜水記録'!$I$5:$I$3004,$AS105)))</f>
        <v/>
      </c>
      <c r="K105" s="14">
        <f>IF($A105="","",IF(INDEX('潜水記録'!$J$5:$J$3004,$AS105)="","",INDEX('潜水記録'!$J$5:$J$3004,$AS105)))</f>
        <v/>
      </c>
      <c r="L105" s="14">
        <f>IF($A105="","",IF(INDEX('潜水記録'!$K$5:$K$3004,$AS105)="","",INDEX('潜水記録'!$K$5:$K$3004,$AS105)))</f>
        <v/>
      </c>
      <c r="M105" s="14">
        <f>IF($A105="","",IF(INDEX('潜水記録'!$L$5:$L$3004,$AS105)="","",INDEX('潜水記録'!$L$5:$L$3004,$AS105)))</f>
        <v/>
      </c>
      <c r="N105" s="14">
        <f>IF($A105="","",IF(INDEX('潜水記録'!$M$5:$M$3004,$AS105)="","",INDEX('潜水記録'!$M$5:$M$3004,$AS105)))</f>
        <v/>
      </c>
      <c r="O105" s="14">
        <f>IF($A105="","",IF(INDEX('潜水記録'!$N$5:$N$3004,$AS105)="","",INDEX('潜水記録'!$N$5:$N$3004,$AS105)))</f>
        <v/>
      </c>
      <c r="P105" s="14">
        <f>IF($A105="","",IF(INDEX('潜水記録'!$O$5:$O$3004,$AS105)="","",INDEX('潜水記録'!$O$5:$O$3004,$AS105)))</f>
        <v/>
      </c>
      <c r="Q105" s="14">
        <f>IF($A105="","",IF(INDEX('潜水記録'!$P$5:$P$3004,$AS105)="","",INDEX('潜水記録'!$P$5:$P$3004,$AS105)))</f>
        <v/>
      </c>
      <c r="R105" s="14">
        <f>IF($A105="","",IF(INDEX('潜水記録'!$Q$5:$Q$3004,$AS105)="","",INDEX('潜水記録'!$Q$5:$Q$3004,$AS105)))</f>
        <v/>
      </c>
      <c r="S105" s="14">
        <f>IF($A105="","",IF(INDEX('潜水記録'!$R$5:$R$3004,$AS105)="","",INDEX('潜水記録'!$R$5:$R$3004,$AS105)))</f>
        <v/>
      </c>
      <c r="T105" s="14">
        <f>IF($A105="","",IF(INDEX('潜水記録'!$S$5:$S$3004,$AS105)="","",INDEX('潜水記録'!$S$5:$S$3004,$AS105)))</f>
        <v/>
      </c>
      <c r="U105" s="14">
        <f>IF($A105="","",IF(INDEX('潜水記録'!$T$5:$T$3004,$AS105)="","",INDEX('潜水記録'!$T$5:$T$3004,$AS105)))</f>
        <v/>
      </c>
      <c r="V105" s="46">
        <f>IF($A105="","",IF(INDEX('潜水記録'!$U$5:$U$3004,$AS105)="","",INDEX('潜水記録'!$U$5:$U$3004,$AS105)))</f>
        <v/>
      </c>
      <c r="W105" s="46">
        <f>IF($A105="","",IF(INDEX('潜水記録'!$V$5:$V$3004,$AS105)="","",INDEX('潜水記録'!$V$5:$V$3004,$AS105)))</f>
        <v/>
      </c>
      <c r="X105" s="14">
        <f>IF($A105="","",IF(INDEX('潜水記録'!$W$5:$W$3004,$AS105)="","",INDEX('潜水記録'!$W$5:$W$3004,$AS105)))</f>
        <v/>
      </c>
      <c r="Y105" s="14">
        <f>IF($A105="","",IF(INDEX('潜水記録'!$X$5:$X$3004,$AS105)="","",INDEX('潜水記録'!$X$5:$X$3004,$AS105)))</f>
        <v/>
      </c>
      <c r="Z105" s="14">
        <f>IF($A105="","",IF(INDEX('潜水記録'!$Y$5:$Y$3004,$AS105)="","",INDEX('潜水記録'!$Y$5:$Y$3004,$AS105)))</f>
        <v/>
      </c>
      <c r="AA105" s="14">
        <f>IF($A105="","",IF(INDEX('潜水記録'!$Z$5:$Z$3004,$AS105)="","",INDEX('潜水記録'!$Z$5:$Z$3004,$AS105)))</f>
        <v/>
      </c>
      <c r="AB105" s="14">
        <f>IF($A105="","",IF(INDEX('潜水記録'!$AA$5:$AA$3004,$AS105)="","",INDEX('潜水記録'!$AA$5:$AA$3004,$AS105)))</f>
        <v/>
      </c>
      <c r="AC105" s="14">
        <f>IF($A105="","",IF(INDEX('潜水記録'!$AB$5:$AB$3004,$AS105)="","",INDEX('潜水記録'!$AB$5:$AB$3004,$AS105)))</f>
        <v/>
      </c>
      <c r="AD105" s="14">
        <f>IF($A105="","",IF(INDEX('潜水記録'!$AC$5:$AC$3004,$AS105)="","",INDEX('潜水記録'!$AC$5:$AC$3004,$AS105)))</f>
        <v/>
      </c>
      <c r="AE105" s="14">
        <f>IF($A105="","",IF(INDEX('潜水記録'!$AD$5:$AD$3004,$AS105)="","",INDEX('潜水記録'!$AD$5:$AD$3004,$AS105)))</f>
        <v/>
      </c>
      <c r="AF105" s="14">
        <f>IF($A105="","",IF(INDEX('潜水記録'!$AE$5:$AE$3004,$AS105)="","",INDEX('潜水記録'!$AE$5:$AE$3004,$AS105)))</f>
        <v/>
      </c>
      <c r="AG105" s="14">
        <f>IF($A105="","",IF(INDEX('潜水記録'!$AL$5:$AL$3004,$AS105)="","",INDEX('潜水記録'!$AL$5:$AL$3004,$AS105)))</f>
        <v/>
      </c>
      <c r="AH105" s="14">
        <f>IF($A105="","",IF(INDEX('潜水記録'!$AM$5:$AM$3004,$AS105)="","",INDEX('潜水記録'!$AM$5:$AM$3004,$AS105)))</f>
        <v/>
      </c>
      <c r="AI105" s="46">
        <f>IF($A105="","",IF(INDEX('潜水記録'!$AN$5:$AN$3004,$AS105)="","",INDEX('潜水記録'!$AN$5:$AN$3004,$AS105)))</f>
        <v/>
      </c>
      <c r="AJ105" s="14">
        <f>IF($A105="","",IF(INDEX('潜水記録'!$AO$5:$AO$3004,$AS105)="","",INDEX('潜水記録'!$AO$5:$AO$3004,$AS105)))</f>
        <v/>
      </c>
      <c r="AK105" s="14">
        <f>IF($A105="","",IF(INDEX('潜水記録'!$AP$5:$AP$3004,$AS105)="","",INDEX('潜水記録'!$AP$5:$AP$3004,$AS105)))</f>
        <v/>
      </c>
      <c r="AL105" s="14">
        <f>IF($A105="","",IF(INDEX('潜水記録'!$AQ$5:$AQ$3004,$AS105)="","",INDEX('潜水記録'!$AQ$5:$AQ$3004,$AS105)))</f>
        <v/>
      </c>
      <c r="AM105" s="14">
        <f>IF($A105="","",IF(INDEX('潜水記録'!$AR$5:$AR$3004,$AS105)="","",INDEX('潜水記録'!$AR$5:$AR$3004,$AS105)))</f>
        <v/>
      </c>
      <c r="AN105" s="14">
        <f>IF($A105="","",IF(INDEX('潜水記録'!$AS$5:$AS$3004,$AS105)="","",INDEX('潜水記録'!$AS$5:$AS$3004,$AS105)))</f>
        <v/>
      </c>
      <c r="AO105" s="14">
        <f>IF($A105="","",IF(INDEX('潜水記録'!$AT$5:$AT$3004,$AS105)="","",INDEX('潜水記録'!$AT$5:$AT$3004,$AS105)))</f>
        <v/>
      </c>
      <c r="AP105" s="14">
        <f>IF($A105="","",IF(INDEX('潜水記録'!$AU$5:$AU$3004,$AS105)="","",INDEX('潜水記録'!$AU$5:$AU$3004,$AS105)))</f>
        <v/>
      </c>
      <c r="AQ105" s="14">
        <f>IF($A105="","",IF(INDEX('潜水記録'!$AV$5:$AV$3004,$AS105)="","",INDEX('潜水記録'!$AV$5:$AV$3004,$AS105)))</f>
        <v/>
      </c>
      <c r="AR105" s="14">
        <f>IF($A105="","",IF(INDEX('潜水記録'!$AW$5:$AW$3004,$AS105)="","",INDEX('潜水記録'!$AW$5:$AW$3004,$AS105)))</f>
        <v/>
      </c>
      <c r="AS105" s="20">
        <f>IF($A105="","",MATCH($A105,'潜水記録'!$AI$5:$AI$3004,0))</f>
        <v/>
      </c>
    </row>
    <row r="106">
      <c r="A106" s="14">
        <f>IF(96&lt;=$C$8,96,"")</f>
        <v/>
      </c>
      <c r="B106" s="16">
        <f>IF($A106="","",IF(INDEX('潜水記録'!$A$5:$A$3004,$AS106)="","",INDEX('潜水記録'!$A$5:$A$3004,$AS106)))</f>
        <v/>
      </c>
      <c r="C106" s="14">
        <f>IF($A106="","",IF(INDEX('潜水記録'!$B$5:$B$3004,$AS106)="","",INDEX('潜水記録'!$B$5:$B$3004,$AS106)))</f>
        <v/>
      </c>
      <c r="D106" s="14">
        <f>IF($A106="","",IF(INDEX('潜水記録'!$C$5:$C$3004,$AS106)="","",INDEX('潜水記録'!$C$5:$C$3004,$AS106)))</f>
        <v/>
      </c>
      <c r="E106" s="14">
        <f>IF($A106="","",IF(INDEX('潜水記録'!$D$5:$D$3004,$AS106)="","",INDEX('潜水記録'!$D$5:$D$3004,$AS106)))</f>
        <v/>
      </c>
      <c r="F106" s="14">
        <f>IF($A106="","",IF(INDEX('潜水記録'!$E$5:$E$3004,$AS106)="","",INDEX('潜水記録'!$E$5:$E$3004,$AS106)))</f>
        <v/>
      </c>
      <c r="G106" s="14">
        <f>IF($A106="","",IF(INDEX('潜水記録'!$F$5:$F$3004,$AS106)="","",INDEX('潜水記録'!$F$5:$F$3004,$AS106)))</f>
        <v/>
      </c>
      <c r="H106" s="14">
        <f>IF($A106="","",IF(INDEX('潜水記録'!$G$5:$G$3004,$AS106)="","",INDEX('潜水記録'!$G$5:$G$3004,$AS106)))</f>
        <v/>
      </c>
      <c r="I106" s="14">
        <f>IF($A106="","",IF(INDEX('潜水記録'!$H$5:$H$3004,$AS106)="","",INDEX('潜水記録'!$H$5:$H$3004,$AS106)))</f>
        <v/>
      </c>
      <c r="J106" s="14">
        <f>IF($A106="","",IF(INDEX('潜水記録'!$I$5:$I$3004,$AS106)="","",INDEX('潜水記録'!$I$5:$I$3004,$AS106)))</f>
        <v/>
      </c>
      <c r="K106" s="14">
        <f>IF($A106="","",IF(INDEX('潜水記録'!$J$5:$J$3004,$AS106)="","",INDEX('潜水記録'!$J$5:$J$3004,$AS106)))</f>
        <v/>
      </c>
      <c r="L106" s="14">
        <f>IF($A106="","",IF(INDEX('潜水記録'!$K$5:$K$3004,$AS106)="","",INDEX('潜水記録'!$K$5:$K$3004,$AS106)))</f>
        <v/>
      </c>
      <c r="M106" s="14">
        <f>IF($A106="","",IF(INDEX('潜水記録'!$L$5:$L$3004,$AS106)="","",INDEX('潜水記録'!$L$5:$L$3004,$AS106)))</f>
        <v/>
      </c>
      <c r="N106" s="14">
        <f>IF($A106="","",IF(INDEX('潜水記録'!$M$5:$M$3004,$AS106)="","",INDEX('潜水記録'!$M$5:$M$3004,$AS106)))</f>
        <v/>
      </c>
      <c r="O106" s="14">
        <f>IF($A106="","",IF(INDEX('潜水記録'!$N$5:$N$3004,$AS106)="","",INDEX('潜水記録'!$N$5:$N$3004,$AS106)))</f>
        <v/>
      </c>
      <c r="P106" s="14">
        <f>IF($A106="","",IF(INDEX('潜水記録'!$O$5:$O$3004,$AS106)="","",INDEX('潜水記録'!$O$5:$O$3004,$AS106)))</f>
        <v/>
      </c>
      <c r="Q106" s="14">
        <f>IF($A106="","",IF(INDEX('潜水記録'!$P$5:$P$3004,$AS106)="","",INDEX('潜水記録'!$P$5:$P$3004,$AS106)))</f>
        <v/>
      </c>
      <c r="R106" s="14">
        <f>IF($A106="","",IF(INDEX('潜水記録'!$Q$5:$Q$3004,$AS106)="","",INDEX('潜水記録'!$Q$5:$Q$3004,$AS106)))</f>
        <v/>
      </c>
      <c r="S106" s="14">
        <f>IF($A106="","",IF(INDEX('潜水記録'!$R$5:$R$3004,$AS106)="","",INDEX('潜水記録'!$R$5:$R$3004,$AS106)))</f>
        <v/>
      </c>
      <c r="T106" s="14">
        <f>IF($A106="","",IF(INDEX('潜水記録'!$S$5:$S$3004,$AS106)="","",INDEX('潜水記録'!$S$5:$S$3004,$AS106)))</f>
        <v/>
      </c>
      <c r="U106" s="14">
        <f>IF($A106="","",IF(INDEX('潜水記録'!$T$5:$T$3004,$AS106)="","",INDEX('潜水記録'!$T$5:$T$3004,$AS106)))</f>
        <v/>
      </c>
      <c r="V106" s="46">
        <f>IF($A106="","",IF(INDEX('潜水記録'!$U$5:$U$3004,$AS106)="","",INDEX('潜水記録'!$U$5:$U$3004,$AS106)))</f>
        <v/>
      </c>
      <c r="W106" s="46">
        <f>IF($A106="","",IF(INDEX('潜水記録'!$V$5:$V$3004,$AS106)="","",INDEX('潜水記録'!$V$5:$V$3004,$AS106)))</f>
        <v/>
      </c>
      <c r="X106" s="14">
        <f>IF($A106="","",IF(INDEX('潜水記録'!$W$5:$W$3004,$AS106)="","",INDEX('潜水記録'!$W$5:$W$3004,$AS106)))</f>
        <v/>
      </c>
      <c r="Y106" s="14">
        <f>IF($A106="","",IF(INDEX('潜水記録'!$X$5:$X$3004,$AS106)="","",INDEX('潜水記録'!$X$5:$X$3004,$AS106)))</f>
        <v/>
      </c>
      <c r="Z106" s="14">
        <f>IF($A106="","",IF(INDEX('潜水記録'!$Y$5:$Y$3004,$AS106)="","",INDEX('潜水記録'!$Y$5:$Y$3004,$AS106)))</f>
        <v/>
      </c>
      <c r="AA106" s="14">
        <f>IF($A106="","",IF(INDEX('潜水記録'!$Z$5:$Z$3004,$AS106)="","",INDEX('潜水記録'!$Z$5:$Z$3004,$AS106)))</f>
        <v/>
      </c>
      <c r="AB106" s="14">
        <f>IF($A106="","",IF(INDEX('潜水記録'!$AA$5:$AA$3004,$AS106)="","",INDEX('潜水記録'!$AA$5:$AA$3004,$AS106)))</f>
        <v/>
      </c>
      <c r="AC106" s="14">
        <f>IF($A106="","",IF(INDEX('潜水記録'!$AB$5:$AB$3004,$AS106)="","",INDEX('潜水記録'!$AB$5:$AB$3004,$AS106)))</f>
        <v/>
      </c>
      <c r="AD106" s="14">
        <f>IF($A106="","",IF(INDEX('潜水記録'!$AC$5:$AC$3004,$AS106)="","",INDEX('潜水記録'!$AC$5:$AC$3004,$AS106)))</f>
        <v/>
      </c>
      <c r="AE106" s="14">
        <f>IF($A106="","",IF(INDEX('潜水記録'!$AD$5:$AD$3004,$AS106)="","",INDEX('潜水記録'!$AD$5:$AD$3004,$AS106)))</f>
        <v/>
      </c>
      <c r="AF106" s="14">
        <f>IF($A106="","",IF(INDEX('潜水記録'!$AE$5:$AE$3004,$AS106)="","",INDEX('潜水記録'!$AE$5:$AE$3004,$AS106)))</f>
        <v/>
      </c>
      <c r="AG106" s="14">
        <f>IF($A106="","",IF(INDEX('潜水記録'!$AL$5:$AL$3004,$AS106)="","",INDEX('潜水記録'!$AL$5:$AL$3004,$AS106)))</f>
        <v/>
      </c>
      <c r="AH106" s="14">
        <f>IF($A106="","",IF(INDEX('潜水記録'!$AM$5:$AM$3004,$AS106)="","",INDEX('潜水記録'!$AM$5:$AM$3004,$AS106)))</f>
        <v/>
      </c>
      <c r="AI106" s="46">
        <f>IF($A106="","",IF(INDEX('潜水記録'!$AN$5:$AN$3004,$AS106)="","",INDEX('潜水記録'!$AN$5:$AN$3004,$AS106)))</f>
        <v/>
      </c>
      <c r="AJ106" s="14">
        <f>IF($A106="","",IF(INDEX('潜水記録'!$AO$5:$AO$3004,$AS106)="","",INDEX('潜水記録'!$AO$5:$AO$3004,$AS106)))</f>
        <v/>
      </c>
      <c r="AK106" s="14">
        <f>IF($A106="","",IF(INDEX('潜水記録'!$AP$5:$AP$3004,$AS106)="","",INDEX('潜水記録'!$AP$5:$AP$3004,$AS106)))</f>
        <v/>
      </c>
      <c r="AL106" s="14">
        <f>IF($A106="","",IF(INDEX('潜水記録'!$AQ$5:$AQ$3004,$AS106)="","",INDEX('潜水記録'!$AQ$5:$AQ$3004,$AS106)))</f>
        <v/>
      </c>
      <c r="AM106" s="14">
        <f>IF($A106="","",IF(INDEX('潜水記録'!$AR$5:$AR$3004,$AS106)="","",INDEX('潜水記録'!$AR$5:$AR$3004,$AS106)))</f>
        <v/>
      </c>
      <c r="AN106" s="14">
        <f>IF($A106="","",IF(INDEX('潜水記録'!$AS$5:$AS$3004,$AS106)="","",INDEX('潜水記録'!$AS$5:$AS$3004,$AS106)))</f>
        <v/>
      </c>
      <c r="AO106" s="14">
        <f>IF($A106="","",IF(INDEX('潜水記録'!$AT$5:$AT$3004,$AS106)="","",INDEX('潜水記録'!$AT$5:$AT$3004,$AS106)))</f>
        <v/>
      </c>
      <c r="AP106" s="14">
        <f>IF($A106="","",IF(INDEX('潜水記録'!$AU$5:$AU$3004,$AS106)="","",INDEX('潜水記録'!$AU$5:$AU$3004,$AS106)))</f>
        <v/>
      </c>
      <c r="AQ106" s="14">
        <f>IF($A106="","",IF(INDEX('潜水記録'!$AV$5:$AV$3004,$AS106)="","",INDEX('潜水記録'!$AV$5:$AV$3004,$AS106)))</f>
        <v/>
      </c>
      <c r="AR106" s="14">
        <f>IF($A106="","",IF(INDEX('潜水記録'!$AW$5:$AW$3004,$AS106)="","",INDEX('潜水記録'!$AW$5:$AW$3004,$AS106)))</f>
        <v/>
      </c>
      <c r="AS106" s="20">
        <f>IF($A106="","",MATCH($A106,'潜水記録'!$AI$5:$AI$3004,0))</f>
        <v/>
      </c>
    </row>
    <row r="107">
      <c r="A107" s="14">
        <f>IF(97&lt;=$C$8,97,"")</f>
        <v/>
      </c>
      <c r="B107" s="16">
        <f>IF($A107="","",IF(INDEX('潜水記録'!$A$5:$A$3004,$AS107)="","",INDEX('潜水記録'!$A$5:$A$3004,$AS107)))</f>
        <v/>
      </c>
      <c r="C107" s="14">
        <f>IF($A107="","",IF(INDEX('潜水記録'!$B$5:$B$3004,$AS107)="","",INDEX('潜水記録'!$B$5:$B$3004,$AS107)))</f>
        <v/>
      </c>
      <c r="D107" s="14">
        <f>IF($A107="","",IF(INDEX('潜水記録'!$C$5:$C$3004,$AS107)="","",INDEX('潜水記録'!$C$5:$C$3004,$AS107)))</f>
        <v/>
      </c>
      <c r="E107" s="14">
        <f>IF($A107="","",IF(INDEX('潜水記録'!$D$5:$D$3004,$AS107)="","",INDEX('潜水記録'!$D$5:$D$3004,$AS107)))</f>
        <v/>
      </c>
      <c r="F107" s="14">
        <f>IF($A107="","",IF(INDEX('潜水記録'!$E$5:$E$3004,$AS107)="","",INDEX('潜水記録'!$E$5:$E$3004,$AS107)))</f>
        <v/>
      </c>
      <c r="G107" s="14">
        <f>IF($A107="","",IF(INDEX('潜水記録'!$F$5:$F$3004,$AS107)="","",INDEX('潜水記録'!$F$5:$F$3004,$AS107)))</f>
        <v/>
      </c>
      <c r="H107" s="14">
        <f>IF($A107="","",IF(INDEX('潜水記録'!$G$5:$G$3004,$AS107)="","",INDEX('潜水記録'!$G$5:$G$3004,$AS107)))</f>
        <v/>
      </c>
      <c r="I107" s="14">
        <f>IF($A107="","",IF(INDEX('潜水記録'!$H$5:$H$3004,$AS107)="","",INDEX('潜水記録'!$H$5:$H$3004,$AS107)))</f>
        <v/>
      </c>
      <c r="J107" s="14">
        <f>IF($A107="","",IF(INDEX('潜水記録'!$I$5:$I$3004,$AS107)="","",INDEX('潜水記録'!$I$5:$I$3004,$AS107)))</f>
        <v/>
      </c>
      <c r="K107" s="14">
        <f>IF($A107="","",IF(INDEX('潜水記録'!$J$5:$J$3004,$AS107)="","",INDEX('潜水記録'!$J$5:$J$3004,$AS107)))</f>
        <v/>
      </c>
      <c r="L107" s="14">
        <f>IF($A107="","",IF(INDEX('潜水記録'!$K$5:$K$3004,$AS107)="","",INDEX('潜水記録'!$K$5:$K$3004,$AS107)))</f>
        <v/>
      </c>
      <c r="M107" s="14">
        <f>IF($A107="","",IF(INDEX('潜水記録'!$L$5:$L$3004,$AS107)="","",INDEX('潜水記録'!$L$5:$L$3004,$AS107)))</f>
        <v/>
      </c>
      <c r="N107" s="14">
        <f>IF($A107="","",IF(INDEX('潜水記録'!$M$5:$M$3004,$AS107)="","",INDEX('潜水記録'!$M$5:$M$3004,$AS107)))</f>
        <v/>
      </c>
      <c r="O107" s="14">
        <f>IF($A107="","",IF(INDEX('潜水記録'!$N$5:$N$3004,$AS107)="","",INDEX('潜水記録'!$N$5:$N$3004,$AS107)))</f>
        <v/>
      </c>
      <c r="P107" s="14">
        <f>IF($A107="","",IF(INDEX('潜水記録'!$O$5:$O$3004,$AS107)="","",INDEX('潜水記録'!$O$5:$O$3004,$AS107)))</f>
        <v/>
      </c>
      <c r="Q107" s="14">
        <f>IF($A107="","",IF(INDEX('潜水記録'!$P$5:$P$3004,$AS107)="","",INDEX('潜水記録'!$P$5:$P$3004,$AS107)))</f>
        <v/>
      </c>
      <c r="R107" s="14">
        <f>IF($A107="","",IF(INDEX('潜水記録'!$Q$5:$Q$3004,$AS107)="","",INDEX('潜水記録'!$Q$5:$Q$3004,$AS107)))</f>
        <v/>
      </c>
      <c r="S107" s="14">
        <f>IF($A107="","",IF(INDEX('潜水記録'!$R$5:$R$3004,$AS107)="","",INDEX('潜水記録'!$R$5:$R$3004,$AS107)))</f>
        <v/>
      </c>
      <c r="T107" s="14">
        <f>IF($A107="","",IF(INDEX('潜水記録'!$S$5:$S$3004,$AS107)="","",INDEX('潜水記録'!$S$5:$S$3004,$AS107)))</f>
        <v/>
      </c>
      <c r="U107" s="14">
        <f>IF($A107="","",IF(INDEX('潜水記録'!$T$5:$T$3004,$AS107)="","",INDEX('潜水記録'!$T$5:$T$3004,$AS107)))</f>
        <v/>
      </c>
      <c r="V107" s="46">
        <f>IF($A107="","",IF(INDEX('潜水記録'!$U$5:$U$3004,$AS107)="","",INDEX('潜水記録'!$U$5:$U$3004,$AS107)))</f>
        <v/>
      </c>
      <c r="W107" s="46">
        <f>IF($A107="","",IF(INDEX('潜水記録'!$V$5:$V$3004,$AS107)="","",INDEX('潜水記録'!$V$5:$V$3004,$AS107)))</f>
        <v/>
      </c>
      <c r="X107" s="14">
        <f>IF($A107="","",IF(INDEX('潜水記録'!$W$5:$W$3004,$AS107)="","",INDEX('潜水記録'!$W$5:$W$3004,$AS107)))</f>
        <v/>
      </c>
      <c r="Y107" s="14">
        <f>IF($A107="","",IF(INDEX('潜水記録'!$X$5:$X$3004,$AS107)="","",INDEX('潜水記録'!$X$5:$X$3004,$AS107)))</f>
        <v/>
      </c>
      <c r="Z107" s="14">
        <f>IF($A107="","",IF(INDEX('潜水記録'!$Y$5:$Y$3004,$AS107)="","",INDEX('潜水記録'!$Y$5:$Y$3004,$AS107)))</f>
        <v/>
      </c>
      <c r="AA107" s="14">
        <f>IF($A107="","",IF(INDEX('潜水記録'!$Z$5:$Z$3004,$AS107)="","",INDEX('潜水記録'!$Z$5:$Z$3004,$AS107)))</f>
        <v/>
      </c>
      <c r="AB107" s="14">
        <f>IF($A107="","",IF(INDEX('潜水記録'!$AA$5:$AA$3004,$AS107)="","",INDEX('潜水記録'!$AA$5:$AA$3004,$AS107)))</f>
        <v/>
      </c>
      <c r="AC107" s="14">
        <f>IF($A107="","",IF(INDEX('潜水記録'!$AB$5:$AB$3004,$AS107)="","",INDEX('潜水記録'!$AB$5:$AB$3004,$AS107)))</f>
        <v/>
      </c>
      <c r="AD107" s="14">
        <f>IF($A107="","",IF(INDEX('潜水記録'!$AC$5:$AC$3004,$AS107)="","",INDEX('潜水記録'!$AC$5:$AC$3004,$AS107)))</f>
        <v/>
      </c>
      <c r="AE107" s="14">
        <f>IF($A107="","",IF(INDEX('潜水記録'!$AD$5:$AD$3004,$AS107)="","",INDEX('潜水記録'!$AD$5:$AD$3004,$AS107)))</f>
        <v/>
      </c>
      <c r="AF107" s="14">
        <f>IF($A107="","",IF(INDEX('潜水記録'!$AE$5:$AE$3004,$AS107)="","",INDEX('潜水記録'!$AE$5:$AE$3004,$AS107)))</f>
        <v/>
      </c>
      <c r="AG107" s="14">
        <f>IF($A107="","",IF(INDEX('潜水記録'!$AL$5:$AL$3004,$AS107)="","",INDEX('潜水記録'!$AL$5:$AL$3004,$AS107)))</f>
        <v/>
      </c>
      <c r="AH107" s="14">
        <f>IF($A107="","",IF(INDEX('潜水記録'!$AM$5:$AM$3004,$AS107)="","",INDEX('潜水記録'!$AM$5:$AM$3004,$AS107)))</f>
        <v/>
      </c>
      <c r="AI107" s="46">
        <f>IF($A107="","",IF(INDEX('潜水記録'!$AN$5:$AN$3004,$AS107)="","",INDEX('潜水記録'!$AN$5:$AN$3004,$AS107)))</f>
        <v/>
      </c>
      <c r="AJ107" s="14">
        <f>IF($A107="","",IF(INDEX('潜水記録'!$AO$5:$AO$3004,$AS107)="","",INDEX('潜水記録'!$AO$5:$AO$3004,$AS107)))</f>
        <v/>
      </c>
      <c r="AK107" s="14">
        <f>IF($A107="","",IF(INDEX('潜水記録'!$AP$5:$AP$3004,$AS107)="","",INDEX('潜水記録'!$AP$5:$AP$3004,$AS107)))</f>
        <v/>
      </c>
      <c r="AL107" s="14">
        <f>IF($A107="","",IF(INDEX('潜水記録'!$AQ$5:$AQ$3004,$AS107)="","",INDEX('潜水記録'!$AQ$5:$AQ$3004,$AS107)))</f>
        <v/>
      </c>
      <c r="AM107" s="14">
        <f>IF($A107="","",IF(INDEX('潜水記録'!$AR$5:$AR$3004,$AS107)="","",INDEX('潜水記録'!$AR$5:$AR$3004,$AS107)))</f>
        <v/>
      </c>
      <c r="AN107" s="14">
        <f>IF($A107="","",IF(INDEX('潜水記録'!$AS$5:$AS$3004,$AS107)="","",INDEX('潜水記録'!$AS$5:$AS$3004,$AS107)))</f>
        <v/>
      </c>
      <c r="AO107" s="14">
        <f>IF($A107="","",IF(INDEX('潜水記録'!$AT$5:$AT$3004,$AS107)="","",INDEX('潜水記録'!$AT$5:$AT$3004,$AS107)))</f>
        <v/>
      </c>
      <c r="AP107" s="14">
        <f>IF($A107="","",IF(INDEX('潜水記録'!$AU$5:$AU$3004,$AS107)="","",INDEX('潜水記録'!$AU$5:$AU$3004,$AS107)))</f>
        <v/>
      </c>
      <c r="AQ107" s="14">
        <f>IF($A107="","",IF(INDEX('潜水記録'!$AV$5:$AV$3004,$AS107)="","",INDEX('潜水記録'!$AV$5:$AV$3004,$AS107)))</f>
        <v/>
      </c>
      <c r="AR107" s="14">
        <f>IF($A107="","",IF(INDEX('潜水記録'!$AW$5:$AW$3004,$AS107)="","",INDEX('潜水記録'!$AW$5:$AW$3004,$AS107)))</f>
        <v/>
      </c>
      <c r="AS107" s="20">
        <f>IF($A107="","",MATCH($A107,'潜水記録'!$AI$5:$AI$3004,0))</f>
        <v/>
      </c>
    </row>
    <row r="108">
      <c r="A108" s="14">
        <f>IF(98&lt;=$C$8,98,"")</f>
        <v/>
      </c>
      <c r="B108" s="16">
        <f>IF($A108="","",IF(INDEX('潜水記録'!$A$5:$A$3004,$AS108)="","",INDEX('潜水記録'!$A$5:$A$3004,$AS108)))</f>
        <v/>
      </c>
      <c r="C108" s="14">
        <f>IF($A108="","",IF(INDEX('潜水記録'!$B$5:$B$3004,$AS108)="","",INDEX('潜水記録'!$B$5:$B$3004,$AS108)))</f>
        <v/>
      </c>
      <c r="D108" s="14">
        <f>IF($A108="","",IF(INDEX('潜水記録'!$C$5:$C$3004,$AS108)="","",INDEX('潜水記録'!$C$5:$C$3004,$AS108)))</f>
        <v/>
      </c>
      <c r="E108" s="14">
        <f>IF($A108="","",IF(INDEX('潜水記録'!$D$5:$D$3004,$AS108)="","",INDEX('潜水記録'!$D$5:$D$3004,$AS108)))</f>
        <v/>
      </c>
      <c r="F108" s="14">
        <f>IF($A108="","",IF(INDEX('潜水記録'!$E$5:$E$3004,$AS108)="","",INDEX('潜水記録'!$E$5:$E$3004,$AS108)))</f>
        <v/>
      </c>
      <c r="G108" s="14">
        <f>IF($A108="","",IF(INDEX('潜水記録'!$F$5:$F$3004,$AS108)="","",INDEX('潜水記録'!$F$5:$F$3004,$AS108)))</f>
        <v/>
      </c>
      <c r="H108" s="14">
        <f>IF($A108="","",IF(INDEX('潜水記録'!$G$5:$G$3004,$AS108)="","",INDEX('潜水記録'!$G$5:$G$3004,$AS108)))</f>
        <v/>
      </c>
      <c r="I108" s="14">
        <f>IF($A108="","",IF(INDEX('潜水記録'!$H$5:$H$3004,$AS108)="","",INDEX('潜水記録'!$H$5:$H$3004,$AS108)))</f>
        <v/>
      </c>
      <c r="J108" s="14">
        <f>IF($A108="","",IF(INDEX('潜水記録'!$I$5:$I$3004,$AS108)="","",INDEX('潜水記録'!$I$5:$I$3004,$AS108)))</f>
        <v/>
      </c>
      <c r="K108" s="14">
        <f>IF($A108="","",IF(INDEX('潜水記録'!$J$5:$J$3004,$AS108)="","",INDEX('潜水記録'!$J$5:$J$3004,$AS108)))</f>
        <v/>
      </c>
      <c r="L108" s="14">
        <f>IF($A108="","",IF(INDEX('潜水記録'!$K$5:$K$3004,$AS108)="","",INDEX('潜水記録'!$K$5:$K$3004,$AS108)))</f>
        <v/>
      </c>
      <c r="M108" s="14">
        <f>IF($A108="","",IF(INDEX('潜水記録'!$L$5:$L$3004,$AS108)="","",INDEX('潜水記録'!$L$5:$L$3004,$AS108)))</f>
        <v/>
      </c>
      <c r="N108" s="14">
        <f>IF($A108="","",IF(INDEX('潜水記録'!$M$5:$M$3004,$AS108)="","",INDEX('潜水記録'!$M$5:$M$3004,$AS108)))</f>
        <v/>
      </c>
      <c r="O108" s="14">
        <f>IF($A108="","",IF(INDEX('潜水記録'!$N$5:$N$3004,$AS108)="","",INDEX('潜水記録'!$N$5:$N$3004,$AS108)))</f>
        <v/>
      </c>
      <c r="P108" s="14">
        <f>IF($A108="","",IF(INDEX('潜水記録'!$O$5:$O$3004,$AS108)="","",INDEX('潜水記録'!$O$5:$O$3004,$AS108)))</f>
        <v/>
      </c>
      <c r="Q108" s="14">
        <f>IF($A108="","",IF(INDEX('潜水記録'!$P$5:$P$3004,$AS108)="","",INDEX('潜水記録'!$P$5:$P$3004,$AS108)))</f>
        <v/>
      </c>
      <c r="R108" s="14">
        <f>IF($A108="","",IF(INDEX('潜水記録'!$Q$5:$Q$3004,$AS108)="","",INDEX('潜水記録'!$Q$5:$Q$3004,$AS108)))</f>
        <v/>
      </c>
      <c r="S108" s="14">
        <f>IF($A108="","",IF(INDEX('潜水記録'!$R$5:$R$3004,$AS108)="","",INDEX('潜水記録'!$R$5:$R$3004,$AS108)))</f>
        <v/>
      </c>
      <c r="T108" s="14">
        <f>IF($A108="","",IF(INDEX('潜水記録'!$S$5:$S$3004,$AS108)="","",INDEX('潜水記録'!$S$5:$S$3004,$AS108)))</f>
        <v/>
      </c>
      <c r="U108" s="14">
        <f>IF($A108="","",IF(INDEX('潜水記録'!$T$5:$T$3004,$AS108)="","",INDEX('潜水記録'!$T$5:$T$3004,$AS108)))</f>
        <v/>
      </c>
      <c r="V108" s="46">
        <f>IF($A108="","",IF(INDEX('潜水記録'!$U$5:$U$3004,$AS108)="","",INDEX('潜水記録'!$U$5:$U$3004,$AS108)))</f>
        <v/>
      </c>
      <c r="W108" s="46">
        <f>IF($A108="","",IF(INDEX('潜水記録'!$V$5:$V$3004,$AS108)="","",INDEX('潜水記録'!$V$5:$V$3004,$AS108)))</f>
        <v/>
      </c>
      <c r="X108" s="14">
        <f>IF($A108="","",IF(INDEX('潜水記録'!$W$5:$W$3004,$AS108)="","",INDEX('潜水記録'!$W$5:$W$3004,$AS108)))</f>
        <v/>
      </c>
      <c r="Y108" s="14">
        <f>IF($A108="","",IF(INDEX('潜水記録'!$X$5:$X$3004,$AS108)="","",INDEX('潜水記録'!$X$5:$X$3004,$AS108)))</f>
        <v/>
      </c>
      <c r="Z108" s="14">
        <f>IF($A108="","",IF(INDEX('潜水記録'!$Y$5:$Y$3004,$AS108)="","",INDEX('潜水記録'!$Y$5:$Y$3004,$AS108)))</f>
        <v/>
      </c>
      <c r="AA108" s="14">
        <f>IF($A108="","",IF(INDEX('潜水記録'!$Z$5:$Z$3004,$AS108)="","",INDEX('潜水記録'!$Z$5:$Z$3004,$AS108)))</f>
        <v/>
      </c>
      <c r="AB108" s="14">
        <f>IF($A108="","",IF(INDEX('潜水記録'!$AA$5:$AA$3004,$AS108)="","",INDEX('潜水記録'!$AA$5:$AA$3004,$AS108)))</f>
        <v/>
      </c>
      <c r="AC108" s="14">
        <f>IF($A108="","",IF(INDEX('潜水記録'!$AB$5:$AB$3004,$AS108)="","",INDEX('潜水記録'!$AB$5:$AB$3004,$AS108)))</f>
        <v/>
      </c>
      <c r="AD108" s="14">
        <f>IF($A108="","",IF(INDEX('潜水記録'!$AC$5:$AC$3004,$AS108)="","",INDEX('潜水記録'!$AC$5:$AC$3004,$AS108)))</f>
        <v/>
      </c>
      <c r="AE108" s="14">
        <f>IF($A108="","",IF(INDEX('潜水記録'!$AD$5:$AD$3004,$AS108)="","",INDEX('潜水記録'!$AD$5:$AD$3004,$AS108)))</f>
        <v/>
      </c>
      <c r="AF108" s="14">
        <f>IF($A108="","",IF(INDEX('潜水記録'!$AE$5:$AE$3004,$AS108)="","",INDEX('潜水記録'!$AE$5:$AE$3004,$AS108)))</f>
        <v/>
      </c>
      <c r="AG108" s="14">
        <f>IF($A108="","",IF(INDEX('潜水記録'!$AL$5:$AL$3004,$AS108)="","",INDEX('潜水記録'!$AL$5:$AL$3004,$AS108)))</f>
        <v/>
      </c>
      <c r="AH108" s="14">
        <f>IF($A108="","",IF(INDEX('潜水記録'!$AM$5:$AM$3004,$AS108)="","",INDEX('潜水記録'!$AM$5:$AM$3004,$AS108)))</f>
        <v/>
      </c>
      <c r="AI108" s="46">
        <f>IF($A108="","",IF(INDEX('潜水記録'!$AN$5:$AN$3004,$AS108)="","",INDEX('潜水記録'!$AN$5:$AN$3004,$AS108)))</f>
        <v/>
      </c>
      <c r="AJ108" s="14">
        <f>IF($A108="","",IF(INDEX('潜水記録'!$AO$5:$AO$3004,$AS108)="","",INDEX('潜水記録'!$AO$5:$AO$3004,$AS108)))</f>
        <v/>
      </c>
      <c r="AK108" s="14">
        <f>IF($A108="","",IF(INDEX('潜水記録'!$AP$5:$AP$3004,$AS108)="","",INDEX('潜水記録'!$AP$5:$AP$3004,$AS108)))</f>
        <v/>
      </c>
      <c r="AL108" s="14">
        <f>IF($A108="","",IF(INDEX('潜水記録'!$AQ$5:$AQ$3004,$AS108)="","",INDEX('潜水記録'!$AQ$5:$AQ$3004,$AS108)))</f>
        <v/>
      </c>
      <c r="AM108" s="14">
        <f>IF($A108="","",IF(INDEX('潜水記録'!$AR$5:$AR$3004,$AS108)="","",INDEX('潜水記録'!$AR$5:$AR$3004,$AS108)))</f>
        <v/>
      </c>
      <c r="AN108" s="14">
        <f>IF($A108="","",IF(INDEX('潜水記録'!$AS$5:$AS$3004,$AS108)="","",INDEX('潜水記録'!$AS$5:$AS$3004,$AS108)))</f>
        <v/>
      </c>
      <c r="AO108" s="14">
        <f>IF($A108="","",IF(INDEX('潜水記録'!$AT$5:$AT$3004,$AS108)="","",INDEX('潜水記録'!$AT$5:$AT$3004,$AS108)))</f>
        <v/>
      </c>
      <c r="AP108" s="14">
        <f>IF($A108="","",IF(INDEX('潜水記録'!$AU$5:$AU$3004,$AS108)="","",INDEX('潜水記録'!$AU$5:$AU$3004,$AS108)))</f>
        <v/>
      </c>
      <c r="AQ108" s="14">
        <f>IF($A108="","",IF(INDEX('潜水記録'!$AV$5:$AV$3004,$AS108)="","",INDEX('潜水記録'!$AV$5:$AV$3004,$AS108)))</f>
        <v/>
      </c>
      <c r="AR108" s="14">
        <f>IF($A108="","",IF(INDEX('潜水記録'!$AW$5:$AW$3004,$AS108)="","",INDEX('潜水記録'!$AW$5:$AW$3004,$AS108)))</f>
        <v/>
      </c>
      <c r="AS108" s="20">
        <f>IF($A108="","",MATCH($A108,'潜水記録'!$AI$5:$AI$3004,0))</f>
        <v/>
      </c>
    </row>
    <row r="109">
      <c r="A109" s="14">
        <f>IF(99&lt;=$C$8,99,"")</f>
        <v/>
      </c>
      <c r="B109" s="16">
        <f>IF($A109="","",IF(INDEX('潜水記録'!$A$5:$A$3004,$AS109)="","",INDEX('潜水記録'!$A$5:$A$3004,$AS109)))</f>
        <v/>
      </c>
      <c r="C109" s="14">
        <f>IF($A109="","",IF(INDEX('潜水記録'!$B$5:$B$3004,$AS109)="","",INDEX('潜水記録'!$B$5:$B$3004,$AS109)))</f>
        <v/>
      </c>
      <c r="D109" s="14">
        <f>IF($A109="","",IF(INDEX('潜水記録'!$C$5:$C$3004,$AS109)="","",INDEX('潜水記録'!$C$5:$C$3004,$AS109)))</f>
        <v/>
      </c>
      <c r="E109" s="14">
        <f>IF($A109="","",IF(INDEX('潜水記録'!$D$5:$D$3004,$AS109)="","",INDEX('潜水記録'!$D$5:$D$3004,$AS109)))</f>
        <v/>
      </c>
      <c r="F109" s="14">
        <f>IF($A109="","",IF(INDEX('潜水記録'!$E$5:$E$3004,$AS109)="","",INDEX('潜水記録'!$E$5:$E$3004,$AS109)))</f>
        <v/>
      </c>
      <c r="G109" s="14">
        <f>IF($A109="","",IF(INDEX('潜水記録'!$F$5:$F$3004,$AS109)="","",INDEX('潜水記録'!$F$5:$F$3004,$AS109)))</f>
        <v/>
      </c>
      <c r="H109" s="14">
        <f>IF($A109="","",IF(INDEX('潜水記録'!$G$5:$G$3004,$AS109)="","",INDEX('潜水記録'!$G$5:$G$3004,$AS109)))</f>
        <v/>
      </c>
      <c r="I109" s="14">
        <f>IF($A109="","",IF(INDEX('潜水記録'!$H$5:$H$3004,$AS109)="","",INDEX('潜水記録'!$H$5:$H$3004,$AS109)))</f>
        <v/>
      </c>
      <c r="J109" s="14">
        <f>IF($A109="","",IF(INDEX('潜水記録'!$I$5:$I$3004,$AS109)="","",INDEX('潜水記録'!$I$5:$I$3004,$AS109)))</f>
        <v/>
      </c>
      <c r="K109" s="14">
        <f>IF($A109="","",IF(INDEX('潜水記録'!$J$5:$J$3004,$AS109)="","",INDEX('潜水記録'!$J$5:$J$3004,$AS109)))</f>
        <v/>
      </c>
      <c r="L109" s="14">
        <f>IF($A109="","",IF(INDEX('潜水記録'!$K$5:$K$3004,$AS109)="","",INDEX('潜水記録'!$K$5:$K$3004,$AS109)))</f>
        <v/>
      </c>
      <c r="M109" s="14">
        <f>IF($A109="","",IF(INDEX('潜水記録'!$L$5:$L$3004,$AS109)="","",INDEX('潜水記録'!$L$5:$L$3004,$AS109)))</f>
        <v/>
      </c>
      <c r="N109" s="14">
        <f>IF($A109="","",IF(INDEX('潜水記録'!$M$5:$M$3004,$AS109)="","",INDEX('潜水記録'!$M$5:$M$3004,$AS109)))</f>
        <v/>
      </c>
      <c r="O109" s="14">
        <f>IF($A109="","",IF(INDEX('潜水記録'!$N$5:$N$3004,$AS109)="","",INDEX('潜水記録'!$N$5:$N$3004,$AS109)))</f>
        <v/>
      </c>
      <c r="P109" s="14">
        <f>IF($A109="","",IF(INDEX('潜水記録'!$O$5:$O$3004,$AS109)="","",INDEX('潜水記録'!$O$5:$O$3004,$AS109)))</f>
        <v/>
      </c>
      <c r="Q109" s="14">
        <f>IF($A109="","",IF(INDEX('潜水記録'!$P$5:$P$3004,$AS109)="","",INDEX('潜水記録'!$P$5:$P$3004,$AS109)))</f>
        <v/>
      </c>
      <c r="R109" s="14">
        <f>IF($A109="","",IF(INDEX('潜水記録'!$Q$5:$Q$3004,$AS109)="","",INDEX('潜水記録'!$Q$5:$Q$3004,$AS109)))</f>
        <v/>
      </c>
      <c r="S109" s="14">
        <f>IF($A109="","",IF(INDEX('潜水記録'!$R$5:$R$3004,$AS109)="","",INDEX('潜水記録'!$R$5:$R$3004,$AS109)))</f>
        <v/>
      </c>
      <c r="T109" s="14">
        <f>IF($A109="","",IF(INDEX('潜水記録'!$S$5:$S$3004,$AS109)="","",INDEX('潜水記録'!$S$5:$S$3004,$AS109)))</f>
        <v/>
      </c>
      <c r="U109" s="14">
        <f>IF($A109="","",IF(INDEX('潜水記録'!$T$5:$T$3004,$AS109)="","",INDEX('潜水記録'!$T$5:$T$3004,$AS109)))</f>
        <v/>
      </c>
      <c r="V109" s="46">
        <f>IF($A109="","",IF(INDEX('潜水記録'!$U$5:$U$3004,$AS109)="","",INDEX('潜水記録'!$U$5:$U$3004,$AS109)))</f>
        <v/>
      </c>
      <c r="W109" s="46">
        <f>IF($A109="","",IF(INDEX('潜水記録'!$V$5:$V$3004,$AS109)="","",INDEX('潜水記録'!$V$5:$V$3004,$AS109)))</f>
        <v/>
      </c>
      <c r="X109" s="14">
        <f>IF($A109="","",IF(INDEX('潜水記録'!$W$5:$W$3004,$AS109)="","",INDEX('潜水記録'!$W$5:$W$3004,$AS109)))</f>
        <v/>
      </c>
      <c r="Y109" s="14">
        <f>IF($A109="","",IF(INDEX('潜水記録'!$X$5:$X$3004,$AS109)="","",INDEX('潜水記録'!$X$5:$X$3004,$AS109)))</f>
        <v/>
      </c>
      <c r="Z109" s="14">
        <f>IF($A109="","",IF(INDEX('潜水記録'!$Y$5:$Y$3004,$AS109)="","",INDEX('潜水記録'!$Y$5:$Y$3004,$AS109)))</f>
        <v/>
      </c>
      <c r="AA109" s="14">
        <f>IF($A109="","",IF(INDEX('潜水記録'!$Z$5:$Z$3004,$AS109)="","",INDEX('潜水記録'!$Z$5:$Z$3004,$AS109)))</f>
        <v/>
      </c>
      <c r="AB109" s="14">
        <f>IF($A109="","",IF(INDEX('潜水記録'!$AA$5:$AA$3004,$AS109)="","",INDEX('潜水記録'!$AA$5:$AA$3004,$AS109)))</f>
        <v/>
      </c>
      <c r="AC109" s="14">
        <f>IF($A109="","",IF(INDEX('潜水記録'!$AB$5:$AB$3004,$AS109)="","",INDEX('潜水記録'!$AB$5:$AB$3004,$AS109)))</f>
        <v/>
      </c>
      <c r="AD109" s="14">
        <f>IF($A109="","",IF(INDEX('潜水記録'!$AC$5:$AC$3004,$AS109)="","",INDEX('潜水記録'!$AC$5:$AC$3004,$AS109)))</f>
        <v/>
      </c>
      <c r="AE109" s="14">
        <f>IF($A109="","",IF(INDEX('潜水記録'!$AD$5:$AD$3004,$AS109)="","",INDEX('潜水記録'!$AD$5:$AD$3004,$AS109)))</f>
        <v/>
      </c>
      <c r="AF109" s="14">
        <f>IF($A109="","",IF(INDEX('潜水記録'!$AE$5:$AE$3004,$AS109)="","",INDEX('潜水記録'!$AE$5:$AE$3004,$AS109)))</f>
        <v/>
      </c>
      <c r="AG109" s="14">
        <f>IF($A109="","",IF(INDEX('潜水記録'!$AL$5:$AL$3004,$AS109)="","",INDEX('潜水記録'!$AL$5:$AL$3004,$AS109)))</f>
        <v/>
      </c>
      <c r="AH109" s="14">
        <f>IF($A109="","",IF(INDEX('潜水記録'!$AM$5:$AM$3004,$AS109)="","",INDEX('潜水記録'!$AM$5:$AM$3004,$AS109)))</f>
        <v/>
      </c>
      <c r="AI109" s="46">
        <f>IF($A109="","",IF(INDEX('潜水記録'!$AN$5:$AN$3004,$AS109)="","",INDEX('潜水記録'!$AN$5:$AN$3004,$AS109)))</f>
        <v/>
      </c>
      <c r="AJ109" s="14">
        <f>IF($A109="","",IF(INDEX('潜水記録'!$AO$5:$AO$3004,$AS109)="","",INDEX('潜水記録'!$AO$5:$AO$3004,$AS109)))</f>
        <v/>
      </c>
      <c r="AK109" s="14">
        <f>IF($A109="","",IF(INDEX('潜水記録'!$AP$5:$AP$3004,$AS109)="","",INDEX('潜水記録'!$AP$5:$AP$3004,$AS109)))</f>
        <v/>
      </c>
      <c r="AL109" s="14">
        <f>IF($A109="","",IF(INDEX('潜水記録'!$AQ$5:$AQ$3004,$AS109)="","",INDEX('潜水記録'!$AQ$5:$AQ$3004,$AS109)))</f>
        <v/>
      </c>
      <c r="AM109" s="14">
        <f>IF($A109="","",IF(INDEX('潜水記録'!$AR$5:$AR$3004,$AS109)="","",INDEX('潜水記録'!$AR$5:$AR$3004,$AS109)))</f>
        <v/>
      </c>
      <c r="AN109" s="14">
        <f>IF($A109="","",IF(INDEX('潜水記録'!$AS$5:$AS$3004,$AS109)="","",INDEX('潜水記録'!$AS$5:$AS$3004,$AS109)))</f>
        <v/>
      </c>
      <c r="AO109" s="14">
        <f>IF($A109="","",IF(INDEX('潜水記録'!$AT$5:$AT$3004,$AS109)="","",INDEX('潜水記録'!$AT$5:$AT$3004,$AS109)))</f>
        <v/>
      </c>
      <c r="AP109" s="14">
        <f>IF($A109="","",IF(INDEX('潜水記録'!$AU$5:$AU$3004,$AS109)="","",INDEX('潜水記録'!$AU$5:$AU$3004,$AS109)))</f>
        <v/>
      </c>
      <c r="AQ109" s="14">
        <f>IF($A109="","",IF(INDEX('潜水記録'!$AV$5:$AV$3004,$AS109)="","",INDEX('潜水記録'!$AV$5:$AV$3004,$AS109)))</f>
        <v/>
      </c>
      <c r="AR109" s="14">
        <f>IF($A109="","",IF(INDEX('潜水記録'!$AW$5:$AW$3004,$AS109)="","",INDEX('潜水記録'!$AW$5:$AW$3004,$AS109)))</f>
        <v/>
      </c>
      <c r="AS109" s="20">
        <f>IF($A109="","",MATCH($A109,'潜水記録'!$AI$5:$AI$3004,0))</f>
        <v/>
      </c>
    </row>
    <row r="110">
      <c r="A110" s="14">
        <f>IF(100&lt;=$C$8,100,"")</f>
        <v/>
      </c>
      <c r="B110" s="16">
        <f>IF($A110="","",IF(INDEX('潜水記録'!$A$5:$A$3004,$AS110)="","",INDEX('潜水記録'!$A$5:$A$3004,$AS110)))</f>
        <v/>
      </c>
      <c r="C110" s="14">
        <f>IF($A110="","",IF(INDEX('潜水記録'!$B$5:$B$3004,$AS110)="","",INDEX('潜水記録'!$B$5:$B$3004,$AS110)))</f>
        <v/>
      </c>
      <c r="D110" s="14">
        <f>IF($A110="","",IF(INDEX('潜水記録'!$C$5:$C$3004,$AS110)="","",INDEX('潜水記録'!$C$5:$C$3004,$AS110)))</f>
        <v/>
      </c>
      <c r="E110" s="14">
        <f>IF($A110="","",IF(INDEX('潜水記録'!$D$5:$D$3004,$AS110)="","",INDEX('潜水記録'!$D$5:$D$3004,$AS110)))</f>
        <v/>
      </c>
      <c r="F110" s="14">
        <f>IF($A110="","",IF(INDEX('潜水記録'!$E$5:$E$3004,$AS110)="","",INDEX('潜水記録'!$E$5:$E$3004,$AS110)))</f>
        <v/>
      </c>
      <c r="G110" s="14">
        <f>IF($A110="","",IF(INDEX('潜水記録'!$F$5:$F$3004,$AS110)="","",INDEX('潜水記録'!$F$5:$F$3004,$AS110)))</f>
        <v/>
      </c>
      <c r="H110" s="14">
        <f>IF($A110="","",IF(INDEX('潜水記録'!$G$5:$G$3004,$AS110)="","",INDEX('潜水記録'!$G$5:$G$3004,$AS110)))</f>
        <v/>
      </c>
      <c r="I110" s="14">
        <f>IF($A110="","",IF(INDEX('潜水記録'!$H$5:$H$3004,$AS110)="","",INDEX('潜水記録'!$H$5:$H$3004,$AS110)))</f>
        <v/>
      </c>
      <c r="J110" s="14">
        <f>IF($A110="","",IF(INDEX('潜水記録'!$I$5:$I$3004,$AS110)="","",INDEX('潜水記録'!$I$5:$I$3004,$AS110)))</f>
        <v/>
      </c>
      <c r="K110" s="14">
        <f>IF($A110="","",IF(INDEX('潜水記録'!$J$5:$J$3004,$AS110)="","",INDEX('潜水記録'!$J$5:$J$3004,$AS110)))</f>
        <v/>
      </c>
      <c r="L110" s="14">
        <f>IF($A110="","",IF(INDEX('潜水記録'!$K$5:$K$3004,$AS110)="","",INDEX('潜水記録'!$K$5:$K$3004,$AS110)))</f>
        <v/>
      </c>
      <c r="M110" s="14">
        <f>IF($A110="","",IF(INDEX('潜水記録'!$L$5:$L$3004,$AS110)="","",INDEX('潜水記録'!$L$5:$L$3004,$AS110)))</f>
        <v/>
      </c>
      <c r="N110" s="14">
        <f>IF($A110="","",IF(INDEX('潜水記録'!$M$5:$M$3004,$AS110)="","",INDEX('潜水記録'!$M$5:$M$3004,$AS110)))</f>
        <v/>
      </c>
      <c r="O110" s="14">
        <f>IF($A110="","",IF(INDEX('潜水記録'!$N$5:$N$3004,$AS110)="","",INDEX('潜水記録'!$N$5:$N$3004,$AS110)))</f>
        <v/>
      </c>
      <c r="P110" s="14">
        <f>IF($A110="","",IF(INDEX('潜水記録'!$O$5:$O$3004,$AS110)="","",INDEX('潜水記録'!$O$5:$O$3004,$AS110)))</f>
        <v/>
      </c>
      <c r="Q110" s="14">
        <f>IF($A110="","",IF(INDEX('潜水記録'!$P$5:$P$3004,$AS110)="","",INDEX('潜水記録'!$P$5:$P$3004,$AS110)))</f>
        <v/>
      </c>
      <c r="R110" s="14">
        <f>IF($A110="","",IF(INDEX('潜水記録'!$Q$5:$Q$3004,$AS110)="","",INDEX('潜水記録'!$Q$5:$Q$3004,$AS110)))</f>
        <v/>
      </c>
      <c r="S110" s="14">
        <f>IF($A110="","",IF(INDEX('潜水記録'!$R$5:$R$3004,$AS110)="","",INDEX('潜水記録'!$R$5:$R$3004,$AS110)))</f>
        <v/>
      </c>
      <c r="T110" s="14">
        <f>IF($A110="","",IF(INDEX('潜水記録'!$S$5:$S$3004,$AS110)="","",INDEX('潜水記録'!$S$5:$S$3004,$AS110)))</f>
        <v/>
      </c>
      <c r="U110" s="14">
        <f>IF($A110="","",IF(INDEX('潜水記録'!$T$5:$T$3004,$AS110)="","",INDEX('潜水記録'!$T$5:$T$3004,$AS110)))</f>
        <v/>
      </c>
      <c r="V110" s="46">
        <f>IF($A110="","",IF(INDEX('潜水記録'!$U$5:$U$3004,$AS110)="","",INDEX('潜水記録'!$U$5:$U$3004,$AS110)))</f>
        <v/>
      </c>
      <c r="W110" s="46">
        <f>IF($A110="","",IF(INDEX('潜水記録'!$V$5:$V$3004,$AS110)="","",INDEX('潜水記録'!$V$5:$V$3004,$AS110)))</f>
        <v/>
      </c>
      <c r="X110" s="14">
        <f>IF($A110="","",IF(INDEX('潜水記録'!$W$5:$W$3004,$AS110)="","",INDEX('潜水記録'!$W$5:$W$3004,$AS110)))</f>
        <v/>
      </c>
      <c r="Y110" s="14">
        <f>IF($A110="","",IF(INDEX('潜水記録'!$X$5:$X$3004,$AS110)="","",INDEX('潜水記録'!$X$5:$X$3004,$AS110)))</f>
        <v/>
      </c>
      <c r="Z110" s="14">
        <f>IF($A110="","",IF(INDEX('潜水記録'!$Y$5:$Y$3004,$AS110)="","",INDEX('潜水記録'!$Y$5:$Y$3004,$AS110)))</f>
        <v/>
      </c>
      <c r="AA110" s="14">
        <f>IF($A110="","",IF(INDEX('潜水記録'!$Z$5:$Z$3004,$AS110)="","",INDEX('潜水記録'!$Z$5:$Z$3004,$AS110)))</f>
        <v/>
      </c>
      <c r="AB110" s="14">
        <f>IF($A110="","",IF(INDEX('潜水記録'!$AA$5:$AA$3004,$AS110)="","",INDEX('潜水記録'!$AA$5:$AA$3004,$AS110)))</f>
        <v/>
      </c>
      <c r="AC110" s="14">
        <f>IF($A110="","",IF(INDEX('潜水記録'!$AB$5:$AB$3004,$AS110)="","",INDEX('潜水記録'!$AB$5:$AB$3004,$AS110)))</f>
        <v/>
      </c>
      <c r="AD110" s="14">
        <f>IF($A110="","",IF(INDEX('潜水記録'!$AC$5:$AC$3004,$AS110)="","",INDEX('潜水記録'!$AC$5:$AC$3004,$AS110)))</f>
        <v/>
      </c>
      <c r="AE110" s="14">
        <f>IF($A110="","",IF(INDEX('潜水記録'!$AD$5:$AD$3004,$AS110)="","",INDEX('潜水記録'!$AD$5:$AD$3004,$AS110)))</f>
        <v/>
      </c>
      <c r="AF110" s="14">
        <f>IF($A110="","",IF(INDEX('潜水記録'!$AE$5:$AE$3004,$AS110)="","",INDEX('潜水記録'!$AE$5:$AE$3004,$AS110)))</f>
        <v/>
      </c>
      <c r="AG110" s="14">
        <f>IF($A110="","",IF(INDEX('潜水記録'!$AL$5:$AL$3004,$AS110)="","",INDEX('潜水記録'!$AL$5:$AL$3004,$AS110)))</f>
        <v/>
      </c>
      <c r="AH110" s="14">
        <f>IF($A110="","",IF(INDEX('潜水記録'!$AM$5:$AM$3004,$AS110)="","",INDEX('潜水記録'!$AM$5:$AM$3004,$AS110)))</f>
        <v/>
      </c>
      <c r="AI110" s="46">
        <f>IF($A110="","",IF(INDEX('潜水記録'!$AN$5:$AN$3004,$AS110)="","",INDEX('潜水記録'!$AN$5:$AN$3004,$AS110)))</f>
        <v/>
      </c>
      <c r="AJ110" s="14">
        <f>IF($A110="","",IF(INDEX('潜水記録'!$AO$5:$AO$3004,$AS110)="","",INDEX('潜水記録'!$AO$5:$AO$3004,$AS110)))</f>
        <v/>
      </c>
      <c r="AK110" s="14">
        <f>IF($A110="","",IF(INDEX('潜水記録'!$AP$5:$AP$3004,$AS110)="","",INDEX('潜水記録'!$AP$5:$AP$3004,$AS110)))</f>
        <v/>
      </c>
      <c r="AL110" s="14">
        <f>IF($A110="","",IF(INDEX('潜水記録'!$AQ$5:$AQ$3004,$AS110)="","",INDEX('潜水記録'!$AQ$5:$AQ$3004,$AS110)))</f>
        <v/>
      </c>
      <c r="AM110" s="14">
        <f>IF($A110="","",IF(INDEX('潜水記録'!$AR$5:$AR$3004,$AS110)="","",INDEX('潜水記録'!$AR$5:$AR$3004,$AS110)))</f>
        <v/>
      </c>
      <c r="AN110" s="14">
        <f>IF($A110="","",IF(INDEX('潜水記録'!$AS$5:$AS$3004,$AS110)="","",INDEX('潜水記録'!$AS$5:$AS$3004,$AS110)))</f>
        <v/>
      </c>
      <c r="AO110" s="14">
        <f>IF($A110="","",IF(INDEX('潜水記録'!$AT$5:$AT$3004,$AS110)="","",INDEX('潜水記録'!$AT$5:$AT$3004,$AS110)))</f>
        <v/>
      </c>
      <c r="AP110" s="14">
        <f>IF($A110="","",IF(INDEX('潜水記録'!$AU$5:$AU$3004,$AS110)="","",INDEX('潜水記録'!$AU$5:$AU$3004,$AS110)))</f>
        <v/>
      </c>
      <c r="AQ110" s="14">
        <f>IF($A110="","",IF(INDEX('潜水記録'!$AV$5:$AV$3004,$AS110)="","",INDEX('潜水記録'!$AV$5:$AV$3004,$AS110)))</f>
        <v/>
      </c>
      <c r="AR110" s="14">
        <f>IF($A110="","",IF(INDEX('潜水記録'!$AW$5:$AW$3004,$AS110)="","",INDEX('潜水記録'!$AW$5:$AW$3004,$AS110)))</f>
        <v/>
      </c>
      <c r="AS110" s="20">
        <f>IF($A110="","",MATCH($A110,'潜水記録'!$AI$5:$AI$3004,0))</f>
        <v/>
      </c>
    </row>
    <row r="111">
      <c r="A111" s="14">
        <f>IF(101&lt;=$C$8,101,"")</f>
        <v/>
      </c>
      <c r="B111" s="16">
        <f>IF($A111="","",IF(INDEX('潜水記録'!$A$5:$A$3004,$AS111)="","",INDEX('潜水記録'!$A$5:$A$3004,$AS111)))</f>
        <v/>
      </c>
      <c r="C111" s="14">
        <f>IF($A111="","",IF(INDEX('潜水記録'!$B$5:$B$3004,$AS111)="","",INDEX('潜水記録'!$B$5:$B$3004,$AS111)))</f>
        <v/>
      </c>
      <c r="D111" s="14">
        <f>IF($A111="","",IF(INDEX('潜水記録'!$C$5:$C$3004,$AS111)="","",INDEX('潜水記録'!$C$5:$C$3004,$AS111)))</f>
        <v/>
      </c>
      <c r="E111" s="14">
        <f>IF($A111="","",IF(INDEX('潜水記録'!$D$5:$D$3004,$AS111)="","",INDEX('潜水記録'!$D$5:$D$3004,$AS111)))</f>
        <v/>
      </c>
      <c r="F111" s="14">
        <f>IF($A111="","",IF(INDEX('潜水記録'!$E$5:$E$3004,$AS111)="","",INDEX('潜水記録'!$E$5:$E$3004,$AS111)))</f>
        <v/>
      </c>
      <c r="G111" s="14">
        <f>IF($A111="","",IF(INDEX('潜水記録'!$F$5:$F$3004,$AS111)="","",INDEX('潜水記録'!$F$5:$F$3004,$AS111)))</f>
        <v/>
      </c>
      <c r="H111" s="14">
        <f>IF($A111="","",IF(INDEX('潜水記録'!$G$5:$G$3004,$AS111)="","",INDEX('潜水記録'!$G$5:$G$3004,$AS111)))</f>
        <v/>
      </c>
      <c r="I111" s="14">
        <f>IF($A111="","",IF(INDEX('潜水記録'!$H$5:$H$3004,$AS111)="","",INDEX('潜水記録'!$H$5:$H$3004,$AS111)))</f>
        <v/>
      </c>
      <c r="J111" s="14">
        <f>IF($A111="","",IF(INDEX('潜水記録'!$I$5:$I$3004,$AS111)="","",INDEX('潜水記録'!$I$5:$I$3004,$AS111)))</f>
        <v/>
      </c>
      <c r="K111" s="14">
        <f>IF($A111="","",IF(INDEX('潜水記録'!$J$5:$J$3004,$AS111)="","",INDEX('潜水記録'!$J$5:$J$3004,$AS111)))</f>
        <v/>
      </c>
      <c r="L111" s="14">
        <f>IF($A111="","",IF(INDEX('潜水記録'!$K$5:$K$3004,$AS111)="","",INDEX('潜水記録'!$K$5:$K$3004,$AS111)))</f>
        <v/>
      </c>
      <c r="M111" s="14">
        <f>IF($A111="","",IF(INDEX('潜水記録'!$L$5:$L$3004,$AS111)="","",INDEX('潜水記録'!$L$5:$L$3004,$AS111)))</f>
        <v/>
      </c>
      <c r="N111" s="14">
        <f>IF($A111="","",IF(INDEX('潜水記録'!$M$5:$M$3004,$AS111)="","",INDEX('潜水記録'!$M$5:$M$3004,$AS111)))</f>
        <v/>
      </c>
      <c r="O111" s="14">
        <f>IF($A111="","",IF(INDEX('潜水記録'!$N$5:$N$3004,$AS111)="","",INDEX('潜水記録'!$N$5:$N$3004,$AS111)))</f>
        <v/>
      </c>
      <c r="P111" s="14">
        <f>IF($A111="","",IF(INDEX('潜水記録'!$O$5:$O$3004,$AS111)="","",INDEX('潜水記録'!$O$5:$O$3004,$AS111)))</f>
        <v/>
      </c>
      <c r="Q111" s="14">
        <f>IF($A111="","",IF(INDEX('潜水記録'!$P$5:$P$3004,$AS111)="","",INDEX('潜水記録'!$P$5:$P$3004,$AS111)))</f>
        <v/>
      </c>
      <c r="R111" s="14">
        <f>IF($A111="","",IF(INDEX('潜水記録'!$Q$5:$Q$3004,$AS111)="","",INDEX('潜水記録'!$Q$5:$Q$3004,$AS111)))</f>
        <v/>
      </c>
      <c r="S111" s="14">
        <f>IF($A111="","",IF(INDEX('潜水記録'!$R$5:$R$3004,$AS111)="","",INDEX('潜水記録'!$R$5:$R$3004,$AS111)))</f>
        <v/>
      </c>
      <c r="T111" s="14">
        <f>IF($A111="","",IF(INDEX('潜水記録'!$S$5:$S$3004,$AS111)="","",INDEX('潜水記録'!$S$5:$S$3004,$AS111)))</f>
        <v/>
      </c>
      <c r="U111" s="14">
        <f>IF($A111="","",IF(INDEX('潜水記録'!$T$5:$T$3004,$AS111)="","",INDEX('潜水記録'!$T$5:$T$3004,$AS111)))</f>
        <v/>
      </c>
      <c r="V111" s="46">
        <f>IF($A111="","",IF(INDEX('潜水記録'!$U$5:$U$3004,$AS111)="","",INDEX('潜水記録'!$U$5:$U$3004,$AS111)))</f>
        <v/>
      </c>
      <c r="W111" s="46">
        <f>IF($A111="","",IF(INDEX('潜水記録'!$V$5:$V$3004,$AS111)="","",INDEX('潜水記録'!$V$5:$V$3004,$AS111)))</f>
        <v/>
      </c>
      <c r="X111" s="14">
        <f>IF($A111="","",IF(INDEX('潜水記録'!$W$5:$W$3004,$AS111)="","",INDEX('潜水記録'!$W$5:$W$3004,$AS111)))</f>
        <v/>
      </c>
      <c r="Y111" s="14">
        <f>IF($A111="","",IF(INDEX('潜水記録'!$X$5:$X$3004,$AS111)="","",INDEX('潜水記録'!$X$5:$X$3004,$AS111)))</f>
        <v/>
      </c>
      <c r="Z111" s="14">
        <f>IF($A111="","",IF(INDEX('潜水記録'!$Y$5:$Y$3004,$AS111)="","",INDEX('潜水記録'!$Y$5:$Y$3004,$AS111)))</f>
        <v/>
      </c>
      <c r="AA111" s="14">
        <f>IF($A111="","",IF(INDEX('潜水記録'!$Z$5:$Z$3004,$AS111)="","",INDEX('潜水記録'!$Z$5:$Z$3004,$AS111)))</f>
        <v/>
      </c>
      <c r="AB111" s="14">
        <f>IF($A111="","",IF(INDEX('潜水記録'!$AA$5:$AA$3004,$AS111)="","",INDEX('潜水記録'!$AA$5:$AA$3004,$AS111)))</f>
        <v/>
      </c>
      <c r="AC111" s="14">
        <f>IF($A111="","",IF(INDEX('潜水記録'!$AB$5:$AB$3004,$AS111)="","",INDEX('潜水記録'!$AB$5:$AB$3004,$AS111)))</f>
        <v/>
      </c>
      <c r="AD111" s="14">
        <f>IF($A111="","",IF(INDEX('潜水記録'!$AC$5:$AC$3004,$AS111)="","",INDEX('潜水記録'!$AC$5:$AC$3004,$AS111)))</f>
        <v/>
      </c>
      <c r="AE111" s="14">
        <f>IF($A111="","",IF(INDEX('潜水記録'!$AD$5:$AD$3004,$AS111)="","",INDEX('潜水記録'!$AD$5:$AD$3004,$AS111)))</f>
        <v/>
      </c>
      <c r="AF111" s="14">
        <f>IF($A111="","",IF(INDEX('潜水記録'!$AE$5:$AE$3004,$AS111)="","",INDEX('潜水記録'!$AE$5:$AE$3004,$AS111)))</f>
        <v/>
      </c>
      <c r="AG111" s="14">
        <f>IF($A111="","",IF(INDEX('潜水記録'!$AL$5:$AL$3004,$AS111)="","",INDEX('潜水記録'!$AL$5:$AL$3004,$AS111)))</f>
        <v/>
      </c>
      <c r="AH111" s="14">
        <f>IF($A111="","",IF(INDEX('潜水記録'!$AM$5:$AM$3004,$AS111)="","",INDEX('潜水記録'!$AM$5:$AM$3004,$AS111)))</f>
        <v/>
      </c>
      <c r="AI111" s="46">
        <f>IF($A111="","",IF(INDEX('潜水記録'!$AN$5:$AN$3004,$AS111)="","",INDEX('潜水記録'!$AN$5:$AN$3004,$AS111)))</f>
        <v/>
      </c>
      <c r="AJ111" s="14">
        <f>IF($A111="","",IF(INDEX('潜水記録'!$AO$5:$AO$3004,$AS111)="","",INDEX('潜水記録'!$AO$5:$AO$3004,$AS111)))</f>
        <v/>
      </c>
      <c r="AK111" s="14">
        <f>IF($A111="","",IF(INDEX('潜水記録'!$AP$5:$AP$3004,$AS111)="","",INDEX('潜水記録'!$AP$5:$AP$3004,$AS111)))</f>
        <v/>
      </c>
      <c r="AL111" s="14">
        <f>IF($A111="","",IF(INDEX('潜水記録'!$AQ$5:$AQ$3004,$AS111)="","",INDEX('潜水記録'!$AQ$5:$AQ$3004,$AS111)))</f>
        <v/>
      </c>
      <c r="AM111" s="14">
        <f>IF($A111="","",IF(INDEX('潜水記録'!$AR$5:$AR$3004,$AS111)="","",INDEX('潜水記録'!$AR$5:$AR$3004,$AS111)))</f>
        <v/>
      </c>
      <c r="AN111" s="14">
        <f>IF($A111="","",IF(INDEX('潜水記録'!$AS$5:$AS$3004,$AS111)="","",INDEX('潜水記録'!$AS$5:$AS$3004,$AS111)))</f>
        <v/>
      </c>
      <c r="AO111" s="14">
        <f>IF($A111="","",IF(INDEX('潜水記録'!$AT$5:$AT$3004,$AS111)="","",INDEX('潜水記録'!$AT$5:$AT$3004,$AS111)))</f>
        <v/>
      </c>
      <c r="AP111" s="14">
        <f>IF($A111="","",IF(INDEX('潜水記録'!$AU$5:$AU$3004,$AS111)="","",INDEX('潜水記録'!$AU$5:$AU$3004,$AS111)))</f>
        <v/>
      </c>
      <c r="AQ111" s="14">
        <f>IF($A111="","",IF(INDEX('潜水記録'!$AV$5:$AV$3004,$AS111)="","",INDEX('潜水記録'!$AV$5:$AV$3004,$AS111)))</f>
        <v/>
      </c>
      <c r="AR111" s="14">
        <f>IF($A111="","",IF(INDEX('潜水記録'!$AW$5:$AW$3004,$AS111)="","",INDEX('潜水記録'!$AW$5:$AW$3004,$AS111)))</f>
        <v/>
      </c>
      <c r="AS111" s="20">
        <f>IF($A111="","",MATCH($A111,'潜水記録'!$AI$5:$AI$3004,0))</f>
        <v/>
      </c>
    </row>
    <row r="112">
      <c r="A112" s="14">
        <f>IF(102&lt;=$C$8,102,"")</f>
        <v/>
      </c>
      <c r="B112" s="16">
        <f>IF($A112="","",IF(INDEX('潜水記録'!$A$5:$A$3004,$AS112)="","",INDEX('潜水記録'!$A$5:$A$3004,$AS112)))</f>
        <v/>
      </c>
      <c r="C112" s="14">
        <f>IF($A112="","",IF(INDEX('潜水記録'!$B$5:$B$3004,$AS112)="","",INDEX('潜水記録'!$B$5:$B$3004,$AS112)))</f>
        <v/>
      </c>
      <c r="D112" s="14">
        <f>IF($A112="","",IF(INDEX('潜水記録'!$C$5:$C$3004,$AS112)="","",INDEX('潜水記録'!$C$5:$C$3004,$AS112)))</f>
        <v/>
      </c>
      <c r="E112" s="14">
        <f>IF($A112="","",IF(INDEX('潜水記録'!$D$5:$D$3004,$AS112)="","",INDEX('潜水記録'!$D$5:$D$3004,$AS112)))</f>
        <v/>
      </c>
      <c r="F112" s="14">
        <f>IF($A112="","",IF(INDEX('潜水記録'!$E$5:$E$3004,$AS112)="","",INDEX('潜水記録'!$E$5:$E$3004,$AS112)))</f>
        <v/>
      </c>
      <c r="G112" s="14">
        <f>IF($A112="","",IF(INDEX('潜水記録'!$F$5:$F$3004,$AS112)="","",INDEX('潜水記録'!$F$5:$F$3004,$AS112)))</f>
        <v/>
      </c>
      <c r="H112" s="14">
        <f>IF($A112="","",IF(INDEX('潜水記録'!$G$5:$G$3004,$AS112)="","",INDEX('潜水記録'!$G$5:$G$3004,$AS112)))</f>
        <v/>
      </c>
      <c r="I112" s="14">
        <f>IF($A112="","",IF(INDEX('潜水記録'!$H$5:$H$3004,$AS112)="","",INDEX('潜水記録'!$H$5:$H$3004,$AS112)))</f>
        <v/>
      </c>
      <c r="J112" s="14">
        <f>IF($A112="","",IF(INDEX('潜水記録'!$I$5:$I$3004,$AS112)="","",INDEX('潜水記録'!$I$5:$I$3004,$AS112)))</f>
        <v/>
      </c>
      <c r="K112" s="14">
        <f>IF($A112="","",IF(INDEX('潜水記録'!$J$5:$J$3004,$AS112)="","",INDEX('潜水記録'!$J$5:$J$3004,$AS112)))</f>
        <v/>
      </c>
      <c r="L112" s="14">
        <f>IF($A112="","",IF(INDEX('潜水記録'!$K$5:$K$3004,$AS112)="","",INDEX('潜水記録'!$K$5:$K$3004,$AS112)))</f>
        <v/>
      </c>
      <c r="M112" s="14">
        <f>IF($A112="","",IF(INDEX('潜水記録'!$L$5:$L$3004,$AS112)="","",INDEX('潜水記録'!$L$5:$L$3004,$AS112)))</f>
        <v/>
      </c>
      <c r="N112" s="14">
        <f>IF($A112="","",IF(INDEX('潜水記録'!$M$5:$M$3004,$AS112)="","",INDEX('潜水記録'!$M$5:$M$3004,$AS112)))</f>
        <v/>
      </c>
      <c r="O112" s="14">
        <f>IF($A112="","",IF(INDEX('潜水記録'!$N$5:$N$3004,$AS112)="","",INDEX('潜水記録'!$N$5:$N$3004,$AS112)))</f>
        <v/>
      </c>
      <c r="P112" s="14">
        <f>IF($A112="","",IF(INDEX('潜水記録'!$O$5:$O$3004,$AS112)="","",INDEX('潜水記録'!$O$5:$O$3004,$AS112)))</f>
        <v/>
      </c>
      <c r="Q112" s="14">
        <f>IF($A112="","",IF(INDEX('潜水記録'!$P$5:$P$3004,$AS112)="","",INDEX('潜水記録'!$P$5:$P$3004,$AS112)))</f>
        <v/>
      </c>
      <c r="R112" s="14">
        <f>IF($A112="","",IF(INDEX('潜水記録'!$Q$5:$Q$3004,$AS112)="","",INDEX('潜水記録'!$Q$5:$Q$3004,$AS112)))</f>
        <v/>
      </c>
      <c r="S112" s="14">
        <f>IF($A112="","",IF(INDEX('潜水記録'!$R$5:$R$3004,$AS112)="","",INDEX('潜水記録'!$R$5:$R$3004,$AS112)))</f>
        <v/>
      </c>
      <c r="T112" s="14">
        <f>IF($A112="","",IF(INDEX('潜水記録'!$S$5:$S$3004,$AS112)="","",INDEX('潜水記録'!$S$5:$S$3004,$AS112)))</f>
        <v/>
      </c>
      <c r="U112" s="14">
        <f>IF($A112="","",IF(INDEX('潜水記録'!$T$5:$T$3004,$AS112)="","",INDEX('潜水記録'!$T$5:$T$3004,$AS112)))</f>
        <v/>
      </c>
      <c r="V112" s="46">
        <f>IF($A112="","",IF(INDEX('潜水記録'!$U$5:$U$3004,$AS112)="","",INDEX('潜水記録'!$U$5:$U$3004,$AS112)))</f>
        <v/>
      </c>
      <c r="W112" s="46">
        <f>IF($A112="","",IF(INDEX('潜水記録'!$V$5:$V$3004,$AS112)="","",INDEX('潜水記録'!$V$5:$V$3004,$AS112)))</f>
        <v/>
      </c>
      <c r="X112" s="14">
        <f>IF($A112="","",IF(INDEX('潜水記録'!$W$5:$W$3004,$AS112)="","",INDEX('潜水記録'!$W$5:$W$3004,$AS112)))</f>
        <v/>
      </c>
      <c r="Y112" s="14">
        <f>IF($A112="","",IF(INDEX('潜水記録'!$X$5:$X$3004,$AS112)="","",INDEX('潜水記録'!$X$5:$X$3004,$AS112)))</f>
        <v/>
      </c>
      <c r="Z112" s="14">
        <f>IF($A112="","",IF(INDEX('潜水記録'!$Y$5:$Y$3004,$AS112)="","",INDEX('潜水記録'!$Y$5:$Y$3004,$AS112)))</f>
        <v/>
      </c>
      <c r="AA112" s="14">
        <f>IF($A112="","",IF(INDEX('潜水記録'!$Z$5:$Z$3004,$AS112)="","",INDEX('潜水記録'!$Z$5:$Z$3004,$AS112)))</f>
        <v/>
      </c>
      <c r="AB112" s="14">
        <f>IF($A112="","",IF(INDEX('潜水記録'!$AA$5:$AA$3004,$AS112)="","",INDEX('潜水記録'!$AA$5:$AA$3004,$AS112)))</f>
        <v/>
      </c>
      <c r="AC112" s="14">
        <f>IF($A112="","",IF(INDEX('潜水記録'!$AB$5:$AB$3004,$AS112)="","",INDEX('潜水記録'!$AB$5:$AB$3004,$AS112)))</f>
        <v/>
      </c>
      <c r="AD112" s="14">
        <f>IF($A112="","",IF(INDEX('潜水記録'!$AC$5:$AC$3004,$AS112)="","",INDEX('潜水記録'!$AC$5:$AC$3004,$AS112)))</f>
        <v/>
      </c>
      <c r="AE112" s="14">
        <f>IF($A112="","",IF(INDEX('潜水記録'!$AD$5:$AD$3004,$AS112)="","",INDEX('潜水記録'!$AD$5:$AD$3004,$AS112)))</f>
        <v/>
      </c>
      <c r="AF112" s="14">
        <f>IF($A112="","",IF(INDEX('潜水記録'!$AE$5:$AE$3004,$AS112)="","",INDEX('潜水記録'!$AE$5:$AE$3004,$AS112)))</f>
        <v/>
      </c>
      <c r="AG112" s="14">
        <f>IF($A112="","",IF(INDEX('潜水記録'!$AL$5:$AL$3004,$AS112)="","",INDEX('潜水記録'!$AL$5:$AL$3004,$AS112)))</f>
        <v/>
      </c>
      <c r="AH112" s="14">
        <f>IF($A112="","",IF(INDEX('潜水記録'!$AM$5:$AM$3004,$AS112)="","",INDEX('潜水記録'!$AM$5:$AM$3004,$AS112)))</f>
        <v/>
      </c>
      <c r="AI112" s="46">
        <f>IF($A112="","",IF(INDEX('潜水記録'!$AN$5:$AN$3004,$AS112)="","",INDEX('潜水記録'!$AN$5:$AN$3004,$AS112)))</f>
        <v/>
      </c>
      <c r="AJ112" s="14">
        <f>IF($A112="","",IF(INDEX('潜水記録'!$AO$5:$AO$3004,$AS112)="","",INDEX('潜水記録'!$AO$5:$AO$3004,$AS112)))</f>
        <v/>
      </c>
      <c r="AK112" s="14">
        <f>IF($A112="","",IF(INDEX('潜水記録'!$AP$5:$AP$3004,$AS112)="","",INDEX('潜水記録'!$AP$5:$AP$3004,$AS112)))</f>
        <v/>
      </c>
      <c r="AL112" s="14">
        <f>IF($A112="","",IF(INDEX('潜水記録'!$AQ$5:$AQ$3004,$AS112)="","",INDEX('潜水記録'!$AQ$5:$AQ$3004,$AS112)))</f>
        <v/>
      </c>
      <c r="AM112" s="14">
        <f>IF($A112="","",IF(INDEX('潜水記録'!$AR$5:$AR$3004,$AS112)="","",INDEX('潜水記録'!$AR$5:$AR$3004,$AS112)))</f>
        <v/>
      </c>
      <c r="AN112" s="14">
        <f>IF($A112="","",IF(INDEX('潜水記録'!$AS$5:$AS$3004,$AS112)="","",INDEX('潜水記録'!$AS$5:$AS$3004,$AS112)))</f>
        <v/>
      </c>
      <c r="AO112" s="14">
        <f>IF($A112="","",IF(INDEX('潜水記録'!$AT$5:$AT$3004,$AS112)="","",INDEX('潜水記録'!$AT$5:$AT$3004,$AS112)))</f>
        <v/>
      </c>
      <c r="AP112" s="14">
        <f>IF($A112="","",IF(INDEX('潜水記録'!$AU$5:$AU$3004,$AS112)="","",INDEX('潜水記録'!$AU$5:$AU$3004,$AS112)))</f>
        <v/>
      </c>
      <c r="AQ112" s="14">
        <f>IF($A112="","",IF(INDEX('潜水記録'!$AV$5:$AV$3004,$AS112)="","",INDEX('潜水記録'!$AV$5:$AV$3004,$AS112)))</f>
        <v/>
      </c>
      <c r="AR112" s="14">
        <f>IF($A112="","",IF(INDEX('潜水記録'!$AW$5:$AW$3004,$AS112)="","",INDEX('潜水記録'!$AW$5:$AW$3004,$AS112)))</f>
        <v/>
      </c>
      <c r="AS112" s="20">
        <f>IF($A112="","",MATCH($A112,'潜水記録'!$AI$5:$AI$3004,0))</f>
        <v/>
      </c>
    </row>
    <row r="113">
      <c r="A113" s="14">
        <f>IF(103&lt;=$C$8,103,"")</f>
        <v/>
      </c>
      <c r="B113" s="16">
        <f>IF($A113="","",IF(INDEX('潜水記録'!$A$5:$A$3004,$AS113)="","",INDEX('潜水記録'!$A$5:$A$3004,$AS113)))</f>
        <v/>
      </c>
      <c r="C113" s="14">
        <f>IF($A113="","",IF(INDEX('潜水記録'!$B$5:$B$3004,$AS113)="","",INDEX('潜水記録'!$B$5:$B$3004,$AS113)))</f>
        <v/>
      </c>
      <c r="D113" s="14">
        <f>IF($A113="","",IF(INDEX('潜水記録'!$C$5:$C$3004,$AS113)="","",INDEX('潜水記録'!$C$5:$C$3004,$AS113)))</f>
        <v/>
      </c>
      <c r="E113" s="14">
        <f>IF($A113="","",IF(INDEX('潜水記録'!$D$5:$D$3004,$AS113)="","",INDEX('潜水記録'!$D$5:$D$3004,$AS113)))</f>
        <v/>
      </c>
      <c r="F113" s="14">
        <f>IF($A113="","",IF(INDEX('潜水記録'!$E$5:$E$3004,$AS113)="","",INDEX('潜水記録'!$E$5:$E$3004,$AS113)))</f>
        <v/>
      </c>
      <c r="G113" s="14">
        <f>IF($A113="","",IF(INDEX('潜水記録'!$F$5:$F$3004,$AS113)="","",INDEX('潜水記録'!$F$5:$F$3004,$AS113)))</f>
        <v/>
      </c>
      <c r="H113" s="14">
        <f>IF($A113="","",IF(INDEX('潜水記録'!$G$5:$G$3004,$AS113)="","",INDEX('潜水記録'!$G$5:$G$3004,$AS113)))</f>
        <v/>
      </c>
      <c r="I113" s="14">
        <f>IF($A113="","",IF(INDEX('潜水記録'!$H$5:$H$3004,$AS113)="","",INDEX('潜水記録'!$H$5:$H$3004,$AS113)))</f>
        <v/>
      </c>
      <c r="J113" s="14">
        <f>IF($A113="","",IF(INDEX('潜水記録'!$I$5:$I$3004,$AS113)="","",INDEX('潜水記録'!$I$5:$I$3004,$AS113)))</f>
        <v/>
      </c>
      <c r="K113" s="14">
        <f>IF($A113="","",IF(INDEX('潜水記録'!$J$5:$J$3004,$AS113)="","",INDEX('潜水記録'!$J$5:$J$3004,$AS113)))</f>
        <v/>
      </c>
      <c r="L113" s="14">
        <f>IF($A113="","",IF(INDEX('潜水記録'!$K$5:$K$3004,$AS113)="","",INDEX('潜水記録'!$K$5:$K$3004,$AS113)))</f>
        <v/>
      </c>
      <c r="M113" s="14">
        <f>IF($A113="","",IF(INDEX('潜水記録'!$L$5:$L$3004,$AS113)="","",INDEX('潜水記録'!$L$5:$L$3004,$AS113)))</f>
        <v/>
      </c>
      <c r="N113" s="14">
        <f>IF($A113="","",IF(INDEX('潜水記録'!$M$5:$M$3004,$AS113)="","",INDEX('潜水記録'!$M$5:$M$3004,$AS113)))</f>
        <v/>
      </c>
      <c r="O113" s="14">
        <f>IF($A113="","",IF(INDEX('潜水記録'!$N$5:$N$3004,$AS113)="","",INDEX('潜水記録'!$N$5:$N$3004,$AS113)))</f>
        <v/>
      </c>
      <c r="P113" s="14">
        <f>IF($A113="","",IF(INDEX('潜水記録'!$O$5:$O$3004,$AS113)="","",INDEX('潜水記録'!$O$5:$O$3004,$AS113)))</f>
        <v/>
      </c>
      <c r="Q113" s="14">
        <f>IF($A113="","",IF(INDEX('潜水記録'!$P$5:$P$3004,$AS113)="","",INDEX('潜水記録'!$P$5:$P$3004,$AS113)))</f>
        <v/>
      </c>
      <c r="R113" s="14">
        <f>IF($A113="","",IF(INDEX('潜水記録'!$Q$5:$Q$3004,$AS113)="","",INDEX('潜水記録'!$Q$5:$Q$3004,$AS113)))</f>
        <v/>
      </c>
      <c r="S113" s="14">
        <f>IF($A113="","",IF(INDEX('潜水記録'!$R$5:$R$3004,$AS113)="","",INDEX('潜水記録'!$R$5:$R$3004,$AS113)))</f>
        <v/>
      </c>
      <c r="T113" s="14">
        <f>IF($A113="","",IF(INDEX('潜水記録'!$S$5:$S$3004,$AS113)="","",INDEX('潜水記録'!$S$5:$S$3004,$AS113)))</f>
        <v/>
      </c>
      <c r="U113" s="14">
        <f>IF($A113="","",IF(INDEX('潜水記録'!$T$5:$T$3004,$AS113)="","",INDEX('潜水記録'!$T$5:$T$3004,$AS113)))</f>
        <v/>
      </c>
      <c r="V113" s="46">
        <f>IF($A113="","",IF(INDEX('潜水記録'!$U$5:$U$3004,$AS113)="","",INDEX('潜水記録'!$U$5:$U$3004,$AS113)))</f>
        <v/>
      </c>
      <c r="W113" s="46">
        <f>IF($A113="","",IF(INDEX('潜水記録'!$V$5:$V$3004,$AS113)="","",INDEX('潜水記録'!$V$5:$V$3004,$AS113)))</f>
        <v/>
      </c>
      <c r="X113" s="14">
        <f>IF($A113="","",IF(INDEX('潜水記録'!$W$5:$W$3004,$AS113)="","",INDEX('潜水記録'!$W$5:$W$3004,$AS113)))</f>
        <v/>
      </c>
      <c r="Y113" s="14">
        <f>IF($A113="","",IF(INDEX('潜水記録'!$X$5:$X$3004,$AS113)="","",INDEX('潜水記録'!$X$5:$X$3004,$AS113)))</f>
        <v/>
      </c>
      <c r="Z113" s="14">
        <f>IF($A113="","",IF(INDEX('潜水記録'!$Y$5:$Y$3004,$AS113)="","",INDEX('潜水記録'!$Y$5:$Y$3004,$AS113)))</f>
        <v/>
      </c>
      <c r="AA113" s="14">
        <f>IF($A113="","",IF(INDEX('潜水記録'!$Z$5:$Z$3004,$AS113)="","",INDEX('潜水記録'!$Z$5:$Z$3004,$AS113)))</f>
        <v/>
      </c>
      <c r="AB113" s="14">
        <f>IF($A113="","",IF(INDEX('潜水記録'!$AA$5:$AA$3004,$AS113)="","",INDEX('潜水記録'!$AA$5:$AA$3004,$AS113)))</f>
        <v/>
      </c>
      <c r="AC113" s="14">
        <f>IF($A113="","",IF(INDEX('潜水記録'!$AB$5:$AB$3004,$AS113)="","",INDEX('潜水記録'!$AB$5:$AB$3004,$AS113)))</f>
        <v/>
      </c>
      <c r="AD113" s="14">
        <f>IF($A113="","",IF(INDEX('潜水記録'!$AC$5:$AC$3004,$AS113)="","",INDEX('潜水記録'!$AC$5:$AC$3004,$AS113)))</f>
        <v/>
      </c>
      <c r="AE113" s="14">
        <f>IF($A113="","",IF(INDEX('潜水記録'!$AD$5:$AD$3004,$AS113)="","",INDEX('潜水記録'!$AD$5:$AD$3004,$AS113)))</f>
        <v/>
      </c>
      <c r="AF113" s="14">
        <f>IF($A113="","",IF(INDEX('潜水記録'!$AE$5:$AE$3004,$AS113)="","",INDEX('潜水記録'!$AE$5:$AE$3004,$AS113)))</f>
        <v/>
      </c>
      <c r="AG113" s="14">
        <f>IF($A113="","",IF(INDEX('潜水記録'!$AL$5:$AL$3004,$AS113)="","",INDEX('潜水記録'!$AL$5:$AL$3004,$AS113)))</f>
        <v/>
      </c>
      <c r="AH113" s="14">
        <f>IF($A113="","",IF(INDEX('潜水記録'!$AM$5:$AM$3004,$AS113)="","",INDEX('潜水記録'!$AM$5:$AM$3004,$AS113)))</f>
        <v/>
      </c>
      <c r="AI113" s="46">
        <f>IF($A113="","",IF(INDEX('潜水記録'!$AN$5:$AN$3004,$AS113)="","",INDEX('潜水記録'!$AN$5:$AN$3004,$AS113)))</f>
        <v/>
      </c>
      <c r="AJ113" s="14">
        <f>IF($A113="","",IF(INDEX('潜水記録'!$AO$5:$AO$3004,$AS113)="","",INDEX('潜水記録'!$AO$5:$AO$3004,$AS113)))</f>
        <v/>
      </c>
      <c r="AK113" s="14">
        <f>IF($A113="","",IF(INDEX('潜水記録'!$AP$5:$AP$3004,$AS113)="","",INDEX('潜水記録'!$AP$5:$AP$3004,$AS113)))</f>
        <v/>
      </c>
      <c r="AL113" s="14">
        <f>IF($A113="","",IF(INDEX('潜水記録'!$AQ$5:$AQ$3004,$AS113)="","",INDEX('潜水記録'!$AQ$5:$AQ$3004,$AS113)))</f>
        <v/>
      </c>
      <c r="AM113" s="14">
        <f>IF($A113="","",IF(INDEX('潜水記録'!$AR$5:$AR$3004,$AS113)="","",INDEX('潜水記録'!$AR$5:$AR$3004,$AS113)))</f>
        <v/>
      </c>
      <c r="AN113" s="14">
        <f>IF($A113="","",IF(INDEX('潜水記録'!$AS$5:$AS$3004,$AS113)="","",INDEX('潜水記録'!$AS$5:$AS$3004,$AS113)))</f>
        <v/>
      </c>
      <c r="AO113" s="14">
        <f>IF($A113="","",IF(INDEX('潜水記録'!$AT$5:$AT$3004,$AS113)="","",INDEX('潜水記録'!$AT$5:$AT$3004,$AS113)))</f>
        <v/>
      </c>
      <c r="AP113" s="14">
        <f>IF($A113="","",IF(INDEX('潜水記録'!$AU$5:$AU$3004,$AS113)="","",INDEX('潜水記録'!$AU$5:$AU$3004,$AS113)))</f>
        <v/>
      </c>
      <c r="AQ113" s="14">
        <f>IF($A113="","",IF(INDEX('潜水記録'!$AV$5:$AV$3004,$AS113)="","",INDEX('潜水記録'!$AV$5:$AV$3004,$AS113)))</f>
        <v/>
      </c>
      <c r="AR113" s="14">
        <f>IF($A113="","",IF(INDEX('潜水記録'!$AW$5:$AW$3004,$AS113)="","",INDEX('潜水記録'!$AW$5:$AW$3004,$AS113)))</f>
        <v/>
      </c>
      <c r="AS113" s="20">
        <f>IF($A113="","",MATCH($A113,'潜水記録'!$AI$5:$AI$3004,0))</f>
        <v/>
      </c>
    </row>
    <row r="114">
      <c r="A114" s="14">
        <f>IF(104&lt;=$C$8,104,"")</f>
        <v/>
      </c>
      <c r="B114" s="16">
        <f>IF($A114="","",IF(INDEX('潜水記録'!$A$5:$A$3004,$AS114)="","",INDEX('潜水記録'!$A$5:$A$3004,$AS114)))</f>
        <v/>
      </c>
      <c r="C114" s="14">
        <f>IF($A114="","",IF(INDEX('潜水記録'!$B$5:$B$3004,$AS114)="","",INDEX('潜水記録'!$B$5:$B$3004,$AS114)))</f>
        <v/>
      </c>
      <c r="D114" s="14">
        <f>IF($A114="","",IF(INDEX('潜水記録'!$C$5:$C$3004,$AS114)="","",INDEX('潜水記録'!$C$5:$C$3004,$AS114)))</f>
        <v/>
      </c>
      <c r="E114" s="14">
        <f>IF($A114="","",IF(INDEX('潜水記録'!$D$5:$D$3004,$AS114)="","",INDEX('潜水記録'!$D$5:$D$3004,$AS114)))</f>
        <v/>
      </c>
      <c r="F114" s="14">
        <f>IF($A114="","",IF(INDEX('潜水記録'!$E$5:$E$3004,$AS114)="","",INDEX('潜水記録'!$E$5:$E$3004,$AS114)))</f>
        <v/>
      </c>
      <c r="G114" s="14">
        <f>IF($A114="","",IF(INDEX('潜水記録'!$F$5:$F$3004,$AS114)="","",INDEX('潜水記録'!$F$5:$F$3004,$AS114)))</f>
        <v/>
      </c>
      <c r="H114" s="14">
        <f>IF($A114="","",IF(INDEX('潜水記録'!$G$5:$G$3004,$AS114)="","",INDEX('潜水記録'!$G$5:$G$3004,$AS114)))</f>
        <v/>
      </c>
      <c r="I114" s="14">
        <f>IF($A114="","",IF(INDEX('潜水記録'!$H$5:$H$3004,$AS114)="","",INDEX('潜水記録'!$H$5:$H$3004,$AS114)))</f>
        <v/>
      </c>
      <c r="J114" s="14">
        <f>IF($A114="","",IF(INDEX('潜水記録'!$I$5:$I$3004,$AS114)="","",INDEX('潜水記録'!$I$5:$I$3004,$AS114)))</f>
        <v/>
      </c>
      <c r="K114" s="14">
        <f>IF($A114="","",IF(INDEX('潜水記録'!$J$5:$J$3004,$AS114)="","",INDEX('潜水記録'!$J$5:$J$3004,$AS114)))</f>
        <v/>
      </c>
      <c r="L114" s="14">
        <f>IF($A114="","",IF(INDEX('潜水記録'!$K$5:$K$3004,$AS114)="","",INDEX('潜水記録'!$K$5:$K$3004,$AS114)))</f>
        <v/>
      </c>
      <c r="M114" s="14">
        <f>IF($A114="","",IF(INDEX('潜水記録'!$L$5:$L$3004,$AS114)="","",INDEX('潜水記録'!$L$5:$L$3004,$AS114)))</f>
        <v/>
      </c>
      <c r="N114" s="14">
        <f>IF($A114="","",IF(INDEX('潜水記録'!$M$5:$M$3004,$AS114)="","",INDEX('潜水記録'!$M$5:$M$3004,$AS114)))</f>
        <v/>
      </c>
      <c r="O114" s="14">
        <f>IF($A114="","",IF(INDEX('潜水記録'!$N$5:$N$3004,$AS114)="","",INDEX('潜水記録'!$N$5:$N$3004,$AS114)))</f>
        <v/>
      </c>
      <c r="P114" s="14">
        <f>IF($A114="","",IF(INDEX('潜水記録'!$O$5:$O$3004,$AS114)="","",INDEX('潜水記録'!$O$5:$O$3004,$AS114)))</f>
        <v/>
      </c>
      <c r="Q114" s="14">
        <f>IF($A114="","",IF(INDEX('潜水記録'!$P$5:$P$3004,$AS114)="","",INDEX('潜水記録'!$P$5:$P$3004,$AS114)))</f>
        <v/>
      </c>
      <c r="R114" s="14">
        <f>IF($A114="","",IF(INDEX('潜水記録'!$Q$5:$Q$3004,$AS114)="","",INDEX('潜水記録'!$Q$5:$Q$3004,$AS114)))</f>
        <v/>
      </c>
      <c r="S114" s="14">
        <f>IF($A114="","",IF(INDEX('潜水記録'!$R$5:$R$3004,$AS114)="","",INDEX('潜水記録'!$R$5:$R$3004,$AS114)))</f>
        <v/>
      </c>
      <c r="T114" s="14">
        <f>IF($A114="","",IF(INDEX('潜水記録'!$S$5:$S$3004,$AS114)="","",INDEX('潜水記録'!$S$5:$S$3004,$AS114)))</f>
        <v/>
      </c>
      <c r="U114" s="14">
        <f>IF($A114="","",IF(INDEX('潜水記録'!$T$5:$T$3004,$AS114)="","",INDEX('潜水記録'!$T$5:$T$3004,$AS114)))</f>
        <v/>
      </c>
      <c r="V114" s="46">
        <f>IF($A114="","",IF(INDEX('潜水記録'!$U$5:$U$3004,$AS114)="","",INDEX('潜水記録'!$U$5:$U$3004,$AS114)))</f>
        <v/>
      </c>
      <c r="W114" s="46">
        <f>IF($A114="","",IF(INDEX('潜水記録'!$V$5:$V$3004,$AS114)="","",INDEX('潜水記録'!$V$5:$V$3004,$AS114)))</f>
        <v/>
      </c>
      <c r="X114" s="14">
        <f>IF($A114="","",IF(INDEX('潜水記録'!$W$5:$W$3004,$AS114)="","",INDEX('潜水記録'!$W$5:$W$3004,$AS114)))</f>
        <v/>
      </c>
      <c r="Y114" s="14">
        <f>IF($A114="","",IF(INDEX('潜水記録'!$X$5:$X$3004,$AS114)="","",INDEX('潜水記録'!$X$5:$X$3004,$AS114)))</f>
        <v/>
      </c>
      <c r="Z114" s="14">
        <f>IF($A114="","",IF(INDEX('潜水記録'!$Y$5:$Y$3004,$AS114)="","",INDEX('潜水記録'!$Y$5:$Y$3004,$AS114)))</f>
        <v/>
      </c>
      <c r="AA114" s="14">
        <f>IF($A114="","",IF(INDEX('潜水記録'!$Z$5:$Z$3004,$AS114)="","",INDEX('潜水記録'!$Z$5:$Z$3004,$AS114)))</f>
        <v/>
      </c>
      <c r="AB114" s="14">
        <f>IF($A114="","",IF(INDEX('潜水記録'!$AA$5:$AA$3004,$AS114)="","",INDEX('潜水記録'!$AA$5:$AA$3004,$AS114)))</f>
        <v/>
      </c>
      <c r="AC114" s="14">
        <f>IF($A114="","",IF(INDEX('潜水記録'!$AB$5:$AB$3004,$AS114)="","",INDEX('潜水記録'!$AB$5:$AB$3004,$AS114)))</f>
        <v/>
      </c>
      <c r="AD114" s="14">
        <f>IF($A114="","",IF(INDEX('潜水記録'!$AC$5:$AC$3004,$AS114)="","",INDEX('潜水記録'!$AC$5:$AC$3004,$AS114)))</f>
        <v/>
      </c>
      <c r="AE114" s="14">
        <f>IF($A114="","",IF(INDEX('潜水記録'!$AD$5:$AD$3004,$AS114)="","",INDEX('潜水記録'!$AD$5:$AD$3004,$AS114)))</f>
        <v/>
      </c>
      <c r="AF114" s="14">
        <f>IF($A114="","",IF(INDEX('潜水記録'!$AE$5:$AE$3004,$AS114)="","",INDEX('潜水記録'!$AE$5:$AE$3004,$AS114)))</f>
        <v/>
      </c>
      <c r="AG114" s="14">
        <f>IF($A114="","",IF(INDEX('潜水記録'!$AL$5:$AL$3004,$AS114)="","",INDEX('潜水記録'!$AL$5:$AL$3004,$AS114)))</f>
        <v/>
      </c>
      <c r="AH114" s="14">
        <f>IF($A114="","",IF(INDEX('潜水記録'!$AM$5:$AM$3004,$AS114)="","",INDEX('潜水記録'!$AM$5:$AM$3004,$AS114)))</f>
        <v/>
      </c>
      <c r="AI114" s="46">
        <f>IF($A114="","",IF(INDEX('潜水記録'!$AN$5:$AN$3004,$AS114)="","",INDEX('潜水記録'!$AN$5:$AN$3004,$AS114)))</f>
        <v/>
      </c>
      <c r="AJ114" s="14">
        <f>IF($A114="","",IF(INDEX('潜水記録'!$AO$5:$AO$3004,$AS114)="","",INDEX('潜水記録'!$AO$5:$AO$3004,$AS114)))</f>
        <v/>
      </c>
      <c r="AK114" s="14">
        <f>IF($A114="","",IF(INDEX('潜水記録'!$AP$5:$AP$3004,$AS114)="","",INDEX('潜水記録'!$AP$5:$AP$3004,$AS114)))</f>
        <v/>
      </c>
      <c r="AL114" s="14">
        <f>IF($A114="","",IF(INDEX('潜水記録'!$AQ$5:$AQ$3004,$AS114)="","",INDEX('潜水記録'!$AQ$5:$AQ$3004,$AS114)))</f>
        <v/>
      </c>
      <c r="AM114" s="14">
        <f>IF($A114="","",IF(INDEX('潜水記録'!$AR$5:$AR$3004,$AS114)="","",INDEX('潜水記録'!$AR$5:$AR$3004,$AS114)))</f>
        <v/>
      </c>
      <c r="AN114" s="14">
        <f>IF($A114="","",IF(INDEX('潜水記録'!$AS$5:$AS$3004,$AS114)="","",INDEX('潜水記録'!$AS$5:$AS$3004,$AS114)))</f>
        <v/>
      </c>
      <c r="AO114" s="14">
        <f>IF($A114="","",IF(INDEX('潜水記録'!$AT$5:$AT$3004,$AS114)="","",INDEX('潜水記録'!$AT$5:$AT$3004,$AS114)))</f>
        <v/>
      </c>
      <c r="AP114" s="14">
        <f>IF($A114="","",IF(INDEX('潜水記録'!$AU$5:$AU$3004,$AS114)="","",INDEX('潜水記録'!$AU$5:$AU$3004,$AS114)))</f>
        <v/>
      </c>
      <c r="AQ114" s="14">
        <f>IF($A114="","",IF(INDEX('潜水記録'!$AV$5:$AV$3004,$AS114)="","",INDEX('潜水記録'!$AV$5:$AV$3004,$AS114)))</f>
        <v/>
      </c>
      <c r="AR114" s="14">
        <f>IF($A114="","",IF(INDEX('潜水記録'!$AW$5:$AW$3004,$AS114)="","",INDEX('潜水記録'!$AW$5:$AW$3004,$AS114)))</f>
        <v/>
      </c>
      <c r="AS114" s="20">
        <f>IF($A114="","",MATCH($A114,'潜水記録'!$AI$5:$AI$3004,0))</f>
        <v/>
      </c>
    </row>
    <row r="115">
      <c r="A115" s="14">
        <f>IF(105&lt;=$C$8,105,"")</f>
        <v/>
      </c>
      <c r="B115" s="16">
        <f>IF($A115="","",IF(INDEX('潜水記録'!$A$5:$A$3004,$AS115)="","",INDEX('潜水記録'!$A$5:$A$3004,$AS115)))</f>
        <v/>
      </c>
      <c r="C115" s="14">
        <f>IF($A115="","",IF(INDEX('潜水記録'!$B$5:$B$3004,$AS115)="","",INDEX('潜水記録'!$B$5:$B$3004,$AS115)))</f>
        <v/>
      </c>
      <c r="D115" s="14">
        <f>IF($A115="","",IF(INDEX('潜水記録'!$C$5:$C$3004,$AS115)="","",INDEX('潜水記録'!$C$5:$C$3004,$AS115)))</f>
        <v/>
      </c>
      <c r="E115" s="14">
        <f>IF($A115="","",IF(INDEX('潜水記録'!$D$5:$D$3004,$AS115)="","",INDEX('潜水記録'!$D$5:$D$3004,$AS115)))</f>
        <v/>
      </c>
      <c r="F115" s="14">
        <f>IF($A115="","",IF(INDEX('潜水記録'!$E$5:$E$3004,$AS115)="","",INDEX('潜水記録'!$E$5:$E$3004,$AS115)))</f>
        <v/>
      </c>
      <c r="G115" s="14">
        <f>IF($A115="","",IF(INDEX('潜水記録'!$F$5:$F$3004,$AS115)="","",INDEX('潜水記録'!$F$5:$F$3004,$AS115)))</f>
        <v/>
      </c>
      <c r="H115" s="14">
        <f>IF($A115="","",IF(INDEX('潜水記録'!$G$5:$G$3004,$AS115)="","",INDEX('潜水記録'!$G$5:$G$3004,$AS115)))</f>
        <v/>
      </c>
      <c r="I115" s="14">
        <f>IF($A115="","",IF(INDEX('潜水記録'!$H$5:$H$3004,$AS115)="","",INDEX('潜水記録'!$H$5:$H$3004,$AS115)))</f>
        <v/>
      </c>
      <c r="J115" s="14">
        <f>IF($A115="","",IF(INDEX('潜水記録'!$I$5:$I$3004,$AS115)="","",INDEX('潜水記録'!$I$5:$I$3004,$AS115)))</f>
        <v/>
      </c>
      <c r="K115" s="14">
        <f>IF($A115="","",IF(INDEX('潜水記録'!$J$5:$J$3004,$AS115)="","",INDEX('潜水記録'!$J$5:$J$3004,$AS115)))</f>
        <v/>
      </c>
      <c r="L115" s="14">
        <f>IF($A115="","",IF(INDEX('潜水記録'!$K$5:$K$3004,$AS115)="","",INDEX('潜水記録'!$K$5:$K$3004,$AS115)))</f>
        <v/>
      </c>
      <c r="M115" s="14">
        <f>IF($A115="","",IF(INDEX('潜水記録'!$L$5:$L$3004,$AS115)="","",INDEX('潜水記録'!$L$5:$L$3004,$AS115)))</f>
        <v/>
      </c>
      <c r="N115" s="14">
        <f>IF($A115="","",IF(INDEX('潜水記録'!$M$5:$M$3004,$AS115)="","",INDEX('潜水記録'!$M$5:$M$3004,$AS115)))</f>
        <v/>
      </c>
      <c r="O115" s="14">
        <f>IF($A115="","",IF(INDEX('潜水記録'!$N$5:$N$3004,$AS115)="","",INDEX('潜水記録'!$N$5:$N$3004,$AS115)))</f>
        <v/>
      </c>
      <c r="P115" s="14">
        <f>IF($A115="","",IF(INDEX('潜水記録'!$O$5:$O$3004,$AS115)="","",INDEX('潜水記録'!$O$5:$O$3004,$AS115)))</f>
        <v/>
      </c>
      <c r="Q115" s="14">
        <f>IF($A115="","",IF(INDEX('潜水記録'!$P$5:$P$3004,$AS115)="","",INDEX('潜水記録'!$P$5:$P$3004,$AS115)))</f>
        <v/>
      </c>
      <c r="R115" s="14">
        <f>IF($A115="","",IF(INDEX('潜水記録'!$Q$5:$Q$3004,$AS115)="","",INDEX('潜水記録'!$Q$5:$Q$3004,$AS115)))</f>
        <v/>
      </c>
      <c r="S115" s="14">
        <f>IF($A115="","",IF(INDEX('潜水記録'!$R$5:$R$3004,$AS115)="","",INDEX('潜水記録'!$R$5:$R$3004,$AS115)))</f>
        <v/>
      </c>
      <c r="T115" s="14">
        <f>IF($A115="","",IF(INDEX('潜水記録'!$S$5:$S$3004,$AS115)="","",INDEX('潜水記録'!$S$5:$S$3004,$AS115)))</f>
        <v/>
      </c>
      <c r="U115" s="14">
        <f>IF($A115="","",IF(INDEX('潜水記録'!$T$5:$T$3004,$AS115)="","",INDEX('潜水記録'!$T$5:$T$3004,$AS115)))</f>
        <v/>
      </c>
      <c r="V115" s="46">
        <f>IF($A115="","",IF(INDEX('潜水記録'!$U$5:$U$3004,$AS115)="","",INDEX('潜水記録'!$U$5:$U$3004,$AS115)))</f>
        <v/>
      </c>
      <c r="W115" s="46">
        <f>IF($A115="","",IF(INDEX('潜水記録'!$V$5:$V$3004,$AS115)="","",INDEX('潜水記録'!$V$5:$V$3004,$AS115)))</f>
        <v/>
      </c>
      <c r="X115" s="14">
        <f>IF($A115="","",IF(INDEX('潜水記録'!$W$5:$W$3004,$AS115)="","",INDEX('潜水記録'!$W$5:$W$3004,$AS115)))</f>
        <v/>
      </c>
      <c r="Y115" s="14">
        <f>IF($A115="","",IF(INDEX('潜水記録'!$X$5:$X$3004,$AS115)="","",INDEX('潜水記録'!$X$5:$X$3004,$AS115)))</f>
        <v/>
      </c>
      <c r="Z115" s="14">
        <f>IF($A115="","",IF(INDEX('潜水記録'!$Y$5:$Y$3004,$AS115)="","",INDEX('潜水記録'!$Y$5:$Y$3004,$AS115)))</f>
        <v/>
      </c>
      <c r="AA115" s="14">
        <f>IF($A115="","",IF(INDEX('潜水記録'!$Z$5:$Z$3004,$AS115)="","",INDEX('潜水記録'!$Z$5:$Z$3004,$AS115)))</f>
        <v/>
      </c>
      <c r="AB115" s="14">
        <f>IF($A115="","",IF(INDEX('潜水記録'!$AA$5:$AA$3004,$AS115)="","",INDEX('潜水記録'!$AA$5:$AA$3004,$AS115)))</f>
        <v/>
      </c>
      <c r="AC115" s="14">
        <f>IF($A115="","",IF(INDEX('潜水記録'!$AB$5:$AB$3004,$AS115)="","",INDEX('潜水記録'!$AB$5:$AB$3004,$AS115)))</f>
        <v/>
      </c>
      <c r="AD115" s="14">
        <f>IF($A115="","",IF(INDEX('潜水記録'!$AC$5:$AC$3004,$AS115)="","",INDEX('潜水記録'!$AC$5:$AC$3004,$AS115)))</f>
        <v/>
      </c>
      <c r="AE115" s="14">
        <f>IF($A115="","",IF(INDEX('潜水記録'!$AD$5:$AD$3004,$AS115)="","",INDEX('潜水記録'!$AD$5:$AD$3004,$AS115)))</f>
        <v/>
      </c>
      <c r="AF115" s="14">
        <f>IF($A115="","",IF(INDEX('潜水記録'!$AE$5:$AE$3004,$AS115)="","",INDEX('潜水記録'!$AE$5:$AE$3004,$AS115)))</f>
        <v/>
      </c>
      <c r="AG115" s="14">
        <f>IF($A115="","",IF(INDEX('潜水記録'!$AL$5:$AL$3004,$AS115)="","",INDEX('潜水記録'!$AL$5:$AL$3004,$AS115)))</f>
        <v/>
      </c>
      <c r="AH115" s="14">
        <f>IF($A115="","",IF(INDEX('潜水記録'!$AM$5:$AM$3004,$AS115)="","",INDEX('潜水記録'!$AM$5:$AM$3004,$AS115)))</f>
        <v/>
      </c>
      <c r="AI115" s="46">
        <f>IF($A115="","",IF(INDEX('潜水記録'!$AN$5:$AN$3004,$AS115)="","",INDEX('潜水記録'!$AN$5:$AN$3004,$AS115)))</f>
        <v/>
      </c>
      <c r="AJ115" s="14">
        <f>IF($A115="","",IF(INDEX('潜水記録'!$AO$5:$AO$3004,$AS115)="","",INDEX('潜水記録'!$AO$5:$AO$3004,$AS115)))</f>
        <v/>
      </c>
      <c r="AK115" s="14">
        <f>IF($A115="","",IF(INDEX('潜水記録'!$AP$5:$AP$3004,$AS115)="","",INDEX('潜水記録'!$AP$5:$AP$3004,$AS115)))</f>
        <v/>
      </c>
      <c r="AL115" s="14">
        <f>IF($A115="","",IF(INDEX('潜水記録'!$AQ$5:$AQ$3004,$AS115)="","",INDEX('潜水記録'!$AQ$5:$AQ$3004,$AS115)))</f>
        <v/>
      </c>
      <c r="AM115" s="14">
        <f>IF($A115="","",IF(INDEX('潜水記録'!$AR$5:$AR$3004,$AS115)="","",INDEX('潜水記録'!$AR$5:$AR$3004,$AS115)))</f>
        <v/>
      </c>
      <c r="AN115" s="14">
        <f>IF($A115="","",IF(INDEX('潜水記録'!$AS$5:$AS$3004,$AS115)="","",INDEX('潜水記録'!$AS$5:$AS$3004,$AS115)))</f>
        <v/>
      </c>
      <c r="AO115" s="14">
        <f>IF($A115="","",IF(INDEX('潜水記録'!$AT$5:$AT$3004,$AS115)="","",INDEX('潜水記録'!$AT$5:$AT$3004,$AS115)))</f>
        <v/>
      </c>
      <c r="AP115" s="14">
        <f>IF($A115="","",IF(INDEX('潜水記録'!$AU$5:$AU$3004,$AS115)="","",INDEX('潜水記録'!$AU$5:$AU$3004,$AS115)))</f>
        <v/>
      </c>
      <c r="AQ115" s="14">
        <f>IF($A115="","",IF(INDEX('潜水記録'!$AV$5:$AV$3004,$AS115)="","",INDEX('潜水記録'!$AV$5:$AV$3004,$AS115)))</f>
        <v/>
      </c>
      <c r="AR115" s="14">
        <f>IF($A115="","",IF(INDEX('潜水記録'!$AW$5:$AW$3004,$AS115)="","",INDEX('潜水記録'!$AW$5:$AW$3004,$AS115)))</f>
        <v/>
      </c>
      <c r="AS115" s="20">
        <f>IF($A115="","",MATCH($A115,'潜水記録'!$AI$5:$AI$3004,0))</f>
        <v/>
      </c>
    </row>
    <row r="116">
      <c r="A116" s="14">
        <f>IF(106&lt;=$C$8,106,"")</f>
        <v/>
      </c>
      <c r="B116" s="16">
        <f>IF($A116="","",IF(INDEX('潜水記録'!$A$5:$A$3004,$AS116)="","",INDEX('潜水記録'!$A$5:$A$3004,$AS116)))</f>
        <v/>
      </c>
      <c r="C116" s="14">
        <f>IF($A116="","",IF(INDEX('潜水記録'!$B$5:$B$3004,$AS116)="","",INDEX('潜水記録'!$B$5:$B$3004,$AS116)))</f>
        <v/>
      </c>
      <c r="D116" s="14">
        <f>IF($A116="","",IF(INDEX('潜水記録'!$C$5:$C$3004,$AS116)="","",INDEX('潜水記録'!$C$5:$C$3004,$AS116)))</f>
        <v/>
      </c>
      <c r="E116" s="14">
        <f>IF($A116="","",IF(INDEX('潜水記録'!$D$5:$D$3004,$AS116)="","",INDEX('潜水記録'!$D$5:$D$3004,$AS116)))</f>
        <v/>
      </c>
      <c r="F116" s="14">
        <f>IF($A116="","",IF(INDEX('潜水記録'!$E$5:$E$3004,$AS116)="","",INDEX('潜水記録'!$E$5:$E$3004,$AS116)))</f>
        <v/>
      </c>
      <c r="G116" s="14">
        <f>IF($A116="","",IF(INDEX('潜水記録'!$F$5:$F$3004,$AS116)="","",INDEX('潜水記録'!$F$5:$F$3004,$AS116)))</f>
        <v/>
      </c>
      <c r="H116" s="14">
        <f>IF($A116="","",IF(INDEX('潜水記録'!$G$5:$G$3004,$AS116)="","",INDEX('潜水記録'!$G$5:$G$3004,$AS116)))</f>
        <v/>
      </c>
      <c r="I116" s="14">
        <f>IF($A116="","",IF(INDEX('潜水記録'!$H$5:$H$3004,$AS116)="","",INDEX('潜水記録'!$H$5:$H$3004,$AS116)))</f>
        <v/>
      </c>
      <c r="J116" s="14">
        <f>IF($A116="","",IF(INDEX('潜水記録'!$I$5:$I$3004,$AS116)="","",INDEX('潜水記録'!$I$5:$I$3004,$AS116)))</f>
        <v/>
      </c>
      <c r="K116" s="14">
        <f>IF($A116="","",IF(INDEX('潜水記録'!$J$5:$J$3004,$AS116)="","",INDEX('潜水記録'!$J$5:$J$3004,$AS116)))</f>
        <v/>
      </c>
      <c r="L116" s="14">
        <f>IF($A116="","",IF(INDEX('潜水記録'!$K$5:$K$3004,$AS116)="","",INDEX('潜水記録'!$K$5:$K$3004,$AS116)))</f>
        <v/>
      </c>
      <c r="M116" s="14">
        <f>IF($A116="","",IF(INDEX('潜水記録'!$L$5:$L$3004,$AS116)="","",INDEX('潜水記録'!$L$5:$L$3004,$AS116)))</f>
        <v/>
      </c>
      <c r="N116" s="14">
        <f>IF($A116="","",IF(INDEX('潜水記録'!$M$5:$M$3004,$AS116)="","",INDEX('潜水記録'!$M$5:$M$3004,$AS116)))</f>
        <v/>
      </c>
      <c r="O116" s="14">
        <f>IF($A116="","",IF(INDEX('潜水記録'!$N$5:$N$3004,$AS116)="","",INDEX('潜水記録'!$N$5:$N$3004,$AS116)))</f>
        <v/>
      </c>
      <c r="P116" s="14">
        <f>IF($A116="","",IF(INDEX('潜水記録'!$O$5:$O$3004,$AS116)="","",INDEX('潜水記録'!$O$5:$O$3004,$AS116)))</f>
        <v/>
      </c>
      <c r="Q116" s="14">
        <f>IF($A116="","",IF(INDEX('潜水記録'!$P$5:$P$3004,$AS116)="","",INDEX('潜水記録'!$P$5:$P$3004,$AS116)))</f>
        <v/>
      </c>
      <c r="R116" s="14">
        <f>IF($A116="","",IF(INDEX('潜水記録'!$Q$5:$Q$3004,$AS116)="","",INDEX('潜水記録'!$Q$5:$Q$3004,$AS116)))</f>
        <v/>
      </c>
      <c r="S116" s="14">
        <f>IF($A116="","",IF(INDEX('潜水記録'!$R$5:$R$3004,$AS116)="","",INDEX('潜水記録'!$R$5:$R$3004,$AS116)))</f>
        <v/>
      </c>
      <c r="T116" s="14">
        <f>IF($A116="","",IF(INDEX('潜水記録'!$S$5:$S$3004,$AS116)="","",INDEX('潜水記録'!$S$5:$S$3004,$AS116)))</f>
        <v/>
      </c>
      <c r="U116" s="14">
        <f>IF($A116="","",IF(INDEX('潜水記録'!$T$5:$T$3004,$AS116)="","",INDEX('潜水記録'!$T$5:$T$3004,$AS116)))</f>
        <v/>
      </c>
      <c r="V116" s="46">
        <f>IF($A116="","",IF(INDEX('潜水記録'!$U$5:$U$3004,$AS116)="","",INDEX('潜水記録'!$U$5:$U$3004,$AS116)))</f>
        <v/>
      </c>
      <c r="W116" s="46">
        <f>IF($A116="","",IF(INDEX('潜水記録'!$V$5:$V$3004,$AS116)="","",INDEX('潜水記録'!$V$5:$V$3004,$AS116)))</f>
        <v/>
      </c>
      <c r="X116" s="14">
        <f>IF($A116="","",IF(INDEX('潜水記録'!$W$5:$W$3004,$AS116)="","",INDEX('潜水記録'!$W$5:$W$3004,$AS116)))</f>
        <v/>
      </c>
      <c r="Y116" s="14">
        <f>IF($A116="","",IF(INDEX('潜水記録'!$X$5:$X$3004,$AS116)="","",INDEX('潜水記録'!$X$5:$X$3004,$AS116)))</f>
        <v/>
      </c>
      <c r="Z116" s="14">
        <f>IF($A116="","",IF(INDEX('潜水記録'!$Y$5:$Y$3004,$AS116)="","",INDEX('潜水記録'!$Y$5:$Y$3004,$AS116)))</f>
        <v/>
      </c>
      <c r="AA116" s="14">
        <f>IF($A116="","",IF(INDEX('潜水記録'!$Z$5:$Z$3004,$AS116)="","",INDEX('潜水記録'!$Z$5:$Z$3004,$AS116)))</f>
        <v/>
      </c>
      <c r="AB116" s="14">
        <f>IF($A116="","",IF(INDEX('潜水記録'!$AA$5:$AA$3004,$AS116)="","",INDEX('潜水記録'!$AA$5:$AA$3004,$AS116)))</f>
        <v/>
      </c>
      <c r="AC116" s="14">
        <f>IF($A116="","",IF(INDEX('潜水記録'!$AB$5:$AB$3004,$AS116)="","",INDEX('潜水記録'!$AB$5:$AB$3004,$AS116)))</f>
        <v/>
      </c>
      <c r="AD116" s="14">
        <f>IF($A116="","",IF(INDEX('潜水記録'!$AC$5:$AC$3004,$AS116)="","",INDEX('潜水記録'!$AC$5:$AC$3004,$AS116)))</f>
        <v/>
      </c>
      <c r="AE116" s="14">
        <f>IF($A116="","",IF(INDEX('潜水記録'!$AD$5:$AD$3004,$AS116)="","",INDEX('潜水記録'!$AD$5:$AD$3004,$AS116)))</f>
        <v/>
      </c>
      <c r="AF116" s="14">
        <f>IF($A116="","",IF(INDEX('潜水記録'!$AE$5:$AE$3004,$AS116)="","",INDEX('潜水記録'!$AE$5:$AE$3004,$AS116)))</f>
        <v/>
      </c>
      <c r="AG116" s="14">
        <f>IF($A116="","",IF(INDEX('潜水記録'!$AL$5:$AL$3004,$AS116)="","",INDEX('潜水記録'!$AL$5:$AL$3004,$AS116)))</f>
        <v/>
      </c>
      <c r="AH116" s="14">
        <f>IF($A116="","",IF(INDEX('潜水記録'!$AM$5:$AM$3004,$AS116)="","",INDEX('潜水記録'!$AM$5:$AM$3004,$AS116)))</f>
        <v/>
      </c>
      <c r="AI116" s="46">
        <f>IF($A116="","",IF(INDEX('潜水記録'!$AN$5:$AN$3004,$AS116)="","",INDEX('潜水記録'!$AN$5:$AN$3004,$AS116)))</f>
        <v/>
      </c>
      <c r="AJ116" s="14">
        <f>IF($A116="","",IF(INDEX('潜水記録'!$AO$5:$AO$3004,$AS116)="","",INDEX('潜水記録'!$AO$5:$AO$3004,$AS116)))</f>
        <v/>
      </c>
      <c r="AK116" s="14">
        <f>IF($A116="","",IF(INDEX('潜水記録'!$AP$5:$AP$3004,$AS116)="","",INDEX('潜水記録'!$AP$5:$AP$3004,$AS116)))</f>
        <v/>
      </c>
      <c r="AL116" s="14">
        <f>IF($A116="","",IF(INDEX('潜水記録'!$AQ$5:$AQ$3004,$AS116)="","",INDEX('潜水記録'!$AQ$5:$AQ$3004,$AS116)))</f>
        <v/>
      </c>
      <c r="AM116" s="14">
        <f>IF($A116="","",IF(INDEX('潜水記録'!$AR$5:$AR$3004,$AS116)="","",INDEX('潜水記録'!$AR$5:$AR$3004,$AS116)))</f>
        <v/>
      </c>
      <c r="AN116" s="14">
        <f>IF($A116="","",IF(INDEX('潜水記録'!$AS$5:$AS$3004,$AS116)="","",INDEX('潜水記録'!$AS$5:$AS$3004,$AS116)))</f>
        <v/>
      </c>
      <c r="AO116" s="14">
        <f>IF($A116="","",IF(INDEX('潜水記録'!$AT$5:$AT$3004,$AS116)="","",INDEX('潜水記録'!$AT$5:$AT$3004,$AS116)))</f>
        <v/>
      </c>
      <c r="AP116" s="14">
        <f>IF($A116="","",IF(INDEX('潜水記録'!$AU$5:$AU$3004,$AS116)="","",INDEX('潜水記録'!$AU$5:$AU$3004,$AS116)))</f>
        <v/>
      </c>
      <c r="AQ116" s="14">
        <f>IF($A116="","",IF(INDEX('潜水記録'!$AV$5:$AV$3004,$AS116)="","",INDEX('潜水記録'!$AV$5:$AV$3004,$AS116)))</f>
        <v/>
      </c>
      <c r="AR116" s="14">
        <f>IF($A116="","",IF(INDEX('潜水記録'!$AW$5:$AW$3004,$AS116)="","",INDEX('潜水記録'!$AW$5:$AW$3004,$AS116)))</f>
        <v/>
      </c>
      <c r="AS116" s="20">
        <f>IF($A116="","",MATCH($A116,'潜水記録'!$AI$5:$AI$3004,0))</f>
        <v/>
      </c>
    </row>
    <row r="117">
      <c r="A117" s="14">
        <f>IF(107&lt;=$C$8,107,"")</f>
        <v/>
      </c>
      <c r="B117" s="16">
        <f>IF($A117="","",IF(INDEX('潜水記録'!$A$5:$A$3004,$AS117)="","",INDEX('潜水記録'!$A$5:$A$3004,$AS117)))</f>
        <v/>
      </c>
      <c r="C117" s="14">
        <f>IF($A117="","",IF(INDEX('潜水記録'!$B$5:$B$3004,$AS117)="","",INDEX('潜水記録'!$B$5:$B$3004,$AS117)))</f>
        <v/>
      </c>
      <c r="D117" s="14">
        <f>IF($A117="","",IF(INDEX('潜水記録'!$C$5:$C$3004,$AS117)="","",INDEX('潜水記録'!$C$5:$C$3004,$AS117)))</f>
        <v/>
      </c>
      <c r="E117" s="14">
        <f>IF($A117="","",IF(INDEX('潜水記録'!$D$5:$D$3004,$AS117)="","",INDEX('潜水記録'!$D$5:$D$3004,$AS117)))</f>
        <v/>
      </c>
      <c r="F117" s="14">
        <f>IF($A117="","",IF(INDEX('潜水記録'!$E$5:$E$3004,$AS117)="","",INDEX('潜水記録'!$E$5:$E$3004,$AS117)))</f>
        <v/>
      </c>
      <c r="G117" s="14">
        <f>IF($A117="","",IF(INDEX('潜水記録'!$F$5:$F$3004,$AS117)="","",INDEX('潜水記録'!$F$5:$F$3004,$AS117)))</f>
        <v/>
      </c>
      <c r="H117" s="14">
        <f>IF($A117="","",IF(INDEX('潜水記録'!$G$5:$G$3004,$AS117)="","",INDEX('潜水記録'!$G$5:$G$3004,$AS117)))</f>
        <v/>
      </c>
      <c r="I117" s="14">
        <f>IF($A117="","",IF(INDEX('潜水記録'!$H$5:$H$3004,$AS117)="","",INDEX('潜水記録'!$H$5:$H$3004,$AS117)))</f>
        <v/>
      </c>
      <c r="J117" s="14">
        <f>IF($A117="","",IF(INDEX('潜水記録'!$I$5:$I$3004,$AS117)="","",INDEX('潜水記録'!$I$5:$I$3004,$AS117)))</f>
        <v/>
      </c>
      <c r="K117" s="14">
        <f>IF($A117="","",IF(INDEX('潜水記録'!$J$5:$J$3004,$AS117)="","",INDEX('潜水記録'!$J$5:$J$3004,$AS117)))</f>
        <v/>
      </c>
      <c r="L117" s="14">
        <f>IF($A117="","",IF(INDEX('潜水記録'!$K$5:$K$3004,$AS117)="","",INDEX('潜水記録'!$K$5:$K$3004,$AS117)))</f>
        <v/>
      </c>
      <c r="M117" s="14">
        <f>IF($A117="","",IF(INDEX('潜水記録'!$L$5:$L$3004,$AS117)="","",INDEX('潜水記録'!$L$5:$L$3004,$AS117)))</f>
        <v/>
      </c>
      <c r="N117" s="14">
        <f>IF($A117="","",IF(INDEX('潜水記録'!$M$5:$M$3004,$AS117)="","",INDEX('潜水記録'!$M$5:$M$3004,$AS117)))</f>
        <v/>
      </c>
      <c r="O117" s="14">
        <f>IF($A117="","",IF(INDEX('潜水記録'!$N$5:$N$3004,$AS117)="","",INDEX('潜水記録'!$N$5:$N$3004,$AS117)))</f>
        <v/>
      </c>
      <c r="P117" s="14">
        <f>IF($A117="","",IF(INDEX('潜水記録'!$O$5:$O$3004,$AS117)="","",INDEX('潜水記録'!$O$5:$O$3004,$AS117)))</f>
        <v/>
      </c>
      <c r="Q117" s="14">
        <f>IF($A117="","",IF(INDEX('潜水記録'!$P$5:$P$3004,$AS117)="","",INDEX('潜水記録'!$P$5:$P$3004,$AS117)))</f>
        <v/>
      </c>
      <c r="R117" s="14">
        <f>IF($A117="","",IF(INDEX('潜水記録'!$Q$5:$Q$3004,$AS117)="","",INDEX('潜水記録'!$Q$5:$Q$3004,$AS117)))</f>
        <v/>
      </c>
      <c r="S117" s="14">
        <f>IF($A117="","",IF(INDEX('潜水記録'!$R$5:$R$3004,$AS117)="","",INDEX('潜水記録'!$R$5:$R$3004,$AS117)))</f>
        <v/>
      </c>
      <c r="T117" s="14">
        <f>IF($A117="","",IF(INDEX('潜水記録'!$S$5:$S$3004,$AS117)="","",INDEX('潜水記録'!$S$5:$S$3004,$AS117)))</f>
        <v/>
      </c>
      <c r="U117" s="14">
        <f>IF($A117="","",IF(INDEX('潜水記録'!$T$5:$T$3004,$AS117)="","",INDEX('潜水記録'!$T$5:$T$3004,$AS117)))</f>
        <v/>
      </c>
      <c r="V117" s="46">
        <f>IF($A117="","",IF(INDEX('潜水記録'!$U$5:$U$3004,$AS117)="","",INDEX('潜水記録'!$U$5:$U$3004,$AS117)))</f>
        <v/>
      </c>
      <c r="W117" s="46">
        <f>IF($A117="","",IF(INDEX('潜水記録'!$V$5:$V$3004,$AS117)="","",INDEX('潜水記録'!$V$5:$V$3004,$AS117)))</f>
        <v/>
      </c>
      <c r="X117" s="14">
        <f>IF($A117="","",IF(INDEX('潜水記録'!$W$5:$W$3004,$AS117)="","",INDEX('潜水記録'!$W$5:$W$3004,$AS117)))</f>
        <v/>
      </c>
      <c r="Y117" s="14">
        <f>IF($A117="","",IF(INDEX('潜水記録'!$X$5:$X$3004,$AS117)="","",INDEX('潜水記録'!$X$5:$X$3004,$AS117)))</f>
        <v/>
      </c>
      <c r="Z117" s="14">
        <f>IF($A117="","",IF(INDEX('潜水記録'!$Y$5:$Y$3004,$AS117)="","",INDEX('潜水記録'!$Y$5:$Y$3004,$AS117)))</f>
        <v/>
      </c>
      <c r="AA117" s="14">
        <f>IF($A117="","",IF(INDEX('潜水記録'!$Z$5:$Z$3004,$AS117)="","",INDEX('潜水記録'!$Z$5:$Z$3004,$AS117)))</f>
        <v/>
      </c>
      <c r="AB117" s="14">
        <f>IF($A117="","",IF(INDEX('潜水記録'!$AA$5:$AA$3004,$AS117)="","",INDEX('潜水記録'!$AA$5:$AA$3004,$AS117)))</f>
        <v/>
      </c>
      <c r="AC117" s="14">
        <f>IF($A117="","",IF(INDEX('潜水記録'!$AB$5:$AB$3004,$AS117)="","",INDEX('潜水記録'!$AB$5:$AB$3004,$AS117)))</f>
        <v/>
      </c>
      <c r="AD117" s="14">
        <f>IF($A117="","",IF(INDEX('潜水記録'!$AC$5:$AC$3004,$AS117)="","",INDEX('潜水記録'!$AC$5:$AC$3004,$AS117)))</f>
        <v/>
      </c>
      <c r="AE117" s="14">
        <f>IF($A117="","",IF(INDEX('潜水記録'!$AD$5:$AD$3004,$AS117)="","",INDEX('潜水記録'!$AD$5:$AD$3004,$AS117)))</f>
        <v/>
      </c>
      <c r="AF117" s="14">
        <f>IF($A117="","",IF(INDEX('潜水記録'!$AE$5:$AE$3004,$AS117)="","",INDEX('潜水記録'!$AE$5:$AE$3004,$AS117)))</f>
        <v/>
      </c>
      <c r="AG117" s="14">
        <f>IF($A117="","",IF(INDEX('潜水記録'!$AL$5:$AL$3004,$AS117)="","",INDEX('潜水記録'!$AL$5:$AL$3004,$AS117)))</f>
        <v/>
      </c>
      <c r="AH117" s="14">
        <f>IF($A117="","",IF(INDEX('潜水記録'!$AM$5:$AM$3004,$AS117)="","",INDEX('潜水記録'!$AM$5:$AM$3004,$AS117)))</f>
        <v/>
      </c>
      <c r="AI117" s="46">
        <f>IF($A117="","",IF(INDEX('潜水記録'!$AN$5:$AN$3004,$AS117)="","",INDEX('潜水記録'!$AN$5:$AN$3004,$AS117)))</f>
        <v/>
      </c>
      <c r="AJ117" s="14">
        <f>IF($A117="","",IF(INDEX('潜水記録'!$AO$5:$AO$3004,$AS117)="","",INDEX('潜水記録'!$AO$5:$AO$3004,$AS117)))</f>
        <v/>
      </c>
      <c r="AK117" s="14">
        <f>IF($A117="","",IF(INDEX('潜水記録'!$AP$5:$AP$3004,$AS117)="","",INDEX('潜水記録'!$AP$5:$AP$3004,$AS117)))</f>
        <v/>
      </c>
      <c r="AL117" s="14">
        <f>IF($A117="","",IF(INDEX('潜水記録'!$AQ$5:$AQ$3004,$AS117)="","",INDEX('潜水記録'!$AQ$5:$AQ$3004,$AS117)))</f>
        <v/>
      </c>
      <c r="AM117" s="14">
        <f>IF($A117="","",IF(INDEX('潜水記録'!$AR$5:$AR$3004,$AS117)="","",INDEX('潜水記録'!$AR$5:$AR$3004,$AS117)))</f>
        <v/>
      </c>
      <c r="AN117" s="14">
        <f>IF($A117="","",IF(INDEX('潜水記録'!$AS$5:$AS$3004,$AS117)="","",INDEX('潜水記録'!$AS$5:$AS$3004,$AS117)))</f>
        <v/>
      </c>
      <c r="AO117" s="14">
        <f>IF($A117="","",IF(INDEX('潜水記録'!$AT$5:$AT$3004,$AS117)="","",INDEX('潜水記録'!$AT$5:$AT$3004,$AS117)))</f>
        <v/>
      </c>
      <c r="AP117" s="14">
        <f>IF($A117="","",IF(INDEX('潜水記録'!$AU$5:$AU$3004,$AS117)="","",INDEX('潜水記録'!$AU$5:$AU$3004,$AS117)))</f>
        <v/>
      </c>
      <c r="AQ117" s="14">
        <f>IF($A117="","",IF(INDEX('潜水記録'!$AV$5:$AV$3004,$AS117)="","",INDEX('潜水記録'!$AV$5:$AV$3004,$AS117)))</f>
        <v/>
      </c>
      <c r="AR117" s="14">
        <f>IF($A117="","",IF(INDEX('潜水記録'!$AW$5:$AW$3004,$AS117)="","",INDEX('潜水記録'!$AW$5:$AW$3004,$AS117)))</f>
        <v/>
      </c>
      <c r="AS117" s="20">
        <f>IF($A117="","",MATCH($A117,'潜水記録'!$AI$5:$AI$3004,0))</f>
        <v/>
      </c>
    </row>
    <row r="118">
      <c r="A118" s="14">
        <f>IF(108&lt;=$C$8,108,"")</f>
        <v/>
      </c>
      <c r="B118" s="16">
        <f>IF($A118="","",IF(INDEX('潜水記録'!$A$5:$A$3004,$AS118)="","",INDEX('潜水記録'!$A$5:$A$3004,$AS118)))</f>
        <v/>
      </c>
      <c r="C118" s="14">
        <f>IF($A118="","",IF(INDEX('潜水記録'!$B$5:$B$3004,$AS118)="","",INDEX('潜水記録'!$B$5:$B$3004,$AS118)))</f>
        <v/>
      </c>
      <c r="D118" s="14">
        <f>IF($A118="","",IF(INDEX('潜水記録'!$C$5:$C$3004,$AS118)="","",INDEX('潜水記録'!$C$5:$C$3004,$AS118)))</f>
        <v/>
      </c>
      <c r="E118" s="14">
        <f>IF($A118="","",IF(INDEX('潜水記録'!$D$5:$D$3004,$AS118)="","",INDEX('潜水記録'!$D$5:$D$3004,$AS118)))</f>
        <v/>
      </c>
      <c r="F118" s="14">
        <f>IF($A118="","",IF(INDEX('潜水記録'!$E$5:$E$3004,$AS118)="","",INDEX('潜水記録'!$E$5:$E$3004,$AS118)))</f>
        <v/>
      </c>
      <c r="G118" s="14">
        <f>IF($A118="","",IF(INDEX('潜水記録'!$F$5:$F$3004,$AS118)="","",INDEX('潜水記録'!$F$5:$F$3004,$AS118)))</f>
        <v/>
      </c>
      <c r="H118" s="14">
        <f>IF($A118="","",IF(INDEX('潜水記録'!$G$5:$G$3004,$AS118)="","",INDEX('潜水記録'!$G$5:$G$3004,$AS118)))</f>
        <v/>
      </c>
      <c r="I118" s="14">
        <f>IF($A118="","",IF(INDEX('潜水記録'!$H$5:$H$3004,$AS118)="","",INDEX('潜水記録'!$H$5:$H$3004,$AS118)))</f>
        <v/>
      </c>
      <c r="J118" s="14">
        <f>IF($A118="","",IF(INDEX('潜水記録'!$I$5:$I$3004,$AS118)="","",INDEX('潜水記録'!$I$5:$I$3004,$AS118)))</f>
        <v/>
      </c>
      <c r="K118" s="14">
        <f>IF($A118="","",IF(INDEX('潜水記録'!$J$5:$J$3004,$AS118)="","",INDEX('潜水記録'!$J$5:$J$3004,$AS118)))</f>
        <v/>
      </c>
      <c r="L118" s="14">
        <f>IF($A118="","",IF(INDEX('潜水記録'!$K$5:$K$3004,$AS118)="","",INDEX('潜水記録'!$K$5:$K$3004,$AS118)))</f>
        <v/>
      </c>
      <c r="M118" s="14">
        <f>IF($A118="","",IF(INDEX('潜水記録'!$L$5:$L$3004,$AS118)="","",INDEX('潜水記録'!$L$5:$L$3004,$AS118)))</f>
        <v/>
      </c>
      <c r="N118" s="14">
        <f>IF($A118="","",IF(INDEX('潜水記録'!$M$5:$M$3004,$AS118)="","",INDEX('潜水記録'!$M$5:$M$3004,$AS118)))</f>
        <v/>
      </c>
      <c r="O118" s="14">
        <f>IF($A118="","",IF(INDEX('潜水記録'!$N$5:$N$3004,$AS118)="","",INDEX('潜水記録'!$N$5:$N$3004,$AS118)))</f>
        <v/>
      </c>
      <c r="P118" s="14">
        <f>IF($A118="","",IF(INDEX('潜水記録'!$O$5:$O$3004,$AS118)="","",INDEX('潜水記録'!$O$5:$O$3004,$AS118)))</f>
        <v/>
      </c>
      <c r="Q118" s="14">
        <f>IF($A118="","",IF(INDEX('潜水記録'!$P$5:$P$3004,$AS118)="","",INDEX('潜水記録'!$P$5:$P$3004,$AS118)))</f>
        <v/>
      </c>
      <c r="R118" s="14">
        <f>IF($A118="","",IF(INDEX('潜水記録'!$Q$5:$Q$3004,$AS118)="","",INDEX('潜水記録'!$Q$5:$Q$3004,$AS118)))</f>
        <v/>
      </c>
      <c r="S118" s="14">
        <f>IF($A118="","",IF(INDEX('潜水記録'!$R$5:$R$3004,$AS118)="","",INDEX('潜水記録'!$R$5:$R$3004,$AS118)))</f>
        <v/>
      </c>
      <c r="T118" s="14">
        <f>IF($A118="","",IF(INDEX('潜水記録'!$S$5:$S$3004,$AS118)="","",INDEX('潜水記録'!$S$5:$S$3004,$AS118)))</f>
        <v/>
      </c>
      <c r="U118" s="14">
        <f>IF($A118="","",IF(INDEX('潜水記録'!$T$5:$T$3004,$AS118)="","",INDEX('潜水記録'!$T$5:$T$3004,$AS118)))</f>
        <v/>
      </c>
      <c r="V118" s="46">
        <f>IF($A118="","",IF(INDEX('潜水記録'!$U$5:$U$3004,$AS118)="","",INDEX('潜水記録'!$U$5:$U$3004,$AS118)))</f>
        <v/>
      </c>
      <c r="W118" s="46">
        <f>IF($A118="","",IF(INDEX('潜水記録'!$V$5:$V$3004,$AS118)="","",INDEX('潜水記録'!$V$5:$V$3004,$AS118)))</f>
        <v/>
      </c>
      <c r="X118" s="14">
        <f>IF($A118="","",IF(INDEX('潜水記録'!$W$5:$W$3004,$AS118)="","",INDEX('潜水記録'!$W$5:$W$3004,$AS118)))</f>
        <v/>
      </c>
      <c r="Y118" s="14">
        <f>IF($A118="","",IF(INDEX('潜水記録'!$X$5:$X$3004,$AS118)="","",INDEX('潜水記録'!$X$5:$X$3004,$AS118)))</f>
        <v/>
      </c>
      <c r="Z118" s="14">
        <f>IF($A118="","",IF(INDEX('潜水記録'!$Y$5:$Y$3004,$AS118)="","",INDEX('潜水記録'!$Y$5:$Y$3004,$AS118)))</f>
        <v/>
      </c>
      <c r="AA118" s="14">
        <f>IF($A118="","",IF(INDEX('潜水記録'!$Z$5:$Z$3004,$AS118)="","",INDEX('潜水記録'!$Z$5:$Z$3004,$AS118)))</f>
        <v/>
      </c>
      <c r="AB118" s="14">
        <f>IF($A118="","",IF(INDEX('潜水記録'!$AA$5:$AA$3004,$AS118)="","",INDEX('潜水記録'!$AA$5:$AA$3004,$AS118)))</f>
        <v/>
      </c>
      <c r="AC118" s="14">
        <f>IF($A118="","",IF(INDEX('潜水記録'!$AB$5:$AB$3004,$AS118)="","",INDEX('潜水記録'!$AB$5:$AB$3004,$AS118)))</f>
        <v/>
      </c>
      <c r="AD118" s="14">
        <f>IF($A118="","",IF(INDEX('潜水記録'!$AC$5:$AC$3004,$AS118)="","",INDEX('潜水記録'!$AC$5:$AC$3004,$AS118)))</f>
        <v/>
      </c>
      <c r="AE118" s="14">
        <f>IF($A118="","",IF(INDEX('潜水記録'!$AD$5:$AD$3004,$AS118)="","",INDEX('潜水記録'!$AD$5:$AD$3004,$AS118)))</f>
        <v/>
      </c>
      <c r="AF118" s="14">
        <f>IF($A118="","",IF(INDEX('潜水記録'!$AE$5:$AE$3004,$AS118)="","",INDEX('潜水記録'!$AE$5:$AE$3004,$AS118)))</f>
        <v/>
      </c>
      <c r="AG118" s="14">
        <f>IF($A118="","",IF(INDEX('潜水記録'!$AL$5:$AL$3004,$AS118)="","",INDEX('潜水記録'!$AL$5:$AL$3004,$AS118)))</f>
        <v/>
      </c>
      <c r="AH118" s="14">
        <f>IF($A118="","",IF(INDEX('潜水記録'!$AM$5:$AM$3004,$AS118)="","",INDEX('潜水記録'!$AM$5:$AM$3004,$AS118)))</f>
        <v/>
      </c>
      <c r="AI118" s="46">
        <f>IF($A118="","",IF(INDEX('潜水記録'!$AN$5:$AN$3004,$AS118)="","",INDEX('潜水記録'!$AN$5:$AN$3004,$AS118)))</f>
        <v/>
      </c>
      <c r="AJ118" s="14">
        <f>IF($A118="","",IF(INDEX('潜水記録'!$AO$5:$AO$3004,$AS118)="","",INDEX('潜水記録'!$AO$5:$AO$3004,$AS118)))</f>
        <v/>
      </c>
      <c r="AK118" s="14">
        <f>IF($A118="","",IF(INDEX('潜水記録'!$AP$5:$AP$3004,$AS118)="","",INDEX('潜水記録'!$AP$5:$AP$3004,$AS118)))</f>
        <v/>
      </c>
      <c r="AL118" s="14">
        <f>IF($A118="","",IF(INDEX('潜水記録'!$AQ$5:$AQ$3004,$AS118)="","",INDEX('潜水記録'!$AQ$5:$AQ$3004,$AS118)))</f>
        <v/>
      </c>
      <c r="AM118" s="14">
        <f>IF($A118="","",IF(INDEX('潜水記録'!$AR$5:$AR$3004,$AS118)="","",INDEX('潜水記録'!$AR$5:$AR$3004,$AS118)))</f>
        <v/>
      </c>
      <c r="AN118" s="14">
        <f>IF($A118="","",IF(INDEX('潜水記録'!$AS$5:$AS$3004,$AS118)="","",INDEX('潜水記録'!$AS$5:$AS$3004,$AS118)))</f>
        <v/>
      </c>
      <c r="AO118" s="14">
        <f>IF($A118="","",IF(INDEX('潜水記録'!$AT$5:$AT$3004,$AS118)="","",INDEX('潜水記録'!$AT$5:$AT$3004,$AS118)))</f>
        <v/>
      </c>
      <c r="AP118" s="14">
        <f>IF($A118="","",IF(INDEX('潜水記録'!$AU$5:$AU$3004,$AS118)="","",INDEX('潜水記録'!$AU$5:$AU$3004,$AS118)))</f>
        <v/>
      </c>
      <c r="AQ118" s="14">
        <f>IF($A118="","",IF(INDEX('潜水記録'!$AV$5:$AV$3004,$AS118)="","",INDEX('潜水記録'!$AV$5:$AV$3004,$AS118)))</f>
        <v/>
      </c>
      <c r="AR118" s="14">
        <f>IF($A118="","",IF(INDEX('潜水記録'!$AW$5:$AW$3004,$AS118)="","",INDEX('潜水記録'!$AW$5:$AW$3004,$AS118)))</f>
        <v/>
      </c>
      <c r="AS118" s="20">
        <f>IF($A118="","",MATCH($A118,'潜水記録'!$AI$5:$AI$3004,0))</f>
        <v/>
      </c>
    </row>
    <row r="119">
      <c r="A119" s="14">
        <f>IF(109&lt;=$C$8,109,"")</f>
        <v/>
      </c>
      <c r="B119" s="16">
        <f>IF($A119="","",IF(INDEX('潜水記録'!$A$5:$A$3004,$AS119)="","",INDEX('潜水記録'!$A$5:$A$3004,$AS119)))</f>
        <v/>
      </c>
      <c r="C119" s="14">
        <f>IF($A119="","",IF(INDEX('潜水記録'!$B$5:$B$3004,$AS119)="","",INDEX('潜水記録'!$B$5:$B$3004,$AS119)))</f>
        <v/>
      </c>
      <c r="D119" s="14">
        <f>IF($A119="","",IF(INDEX('潜水記録'!$C$5:$C$3004,$AS119)="","",INDEX('潜水記録'!$C$5:$C$3004,$AS119)))</f>
        <v/>
      </c>
      <c r="E119" s="14">
        <f>IF($A119="","",IF(INDEX('潜水記録'!$D$5:$D$3004,$AS119)="","",INDEX('潜水記録'!$D$5:$D$3004,$AS119)))</f>
        <v/>
      </c>
      <c r="F119" s="14">
        <f>IF($A119="","",IF(INDEX('潜水記録'!$E$5:$E$3004,$AS119)="","",INDEX('潜水記録'!$E$5:$E$3004,$AS119)))</f>
        <v/>
      </c>
      <c r="G119" s="14">
        <f>IF($A119="","",IF(INDEX('潜水記録'!$F$5:$F$3004,$AS119)="","",INDEX('潜水記録'!$F$5:$F$3004,$AS119)))</f>
        <v/>
      </c>
      <c r="H119" s="14">
        <f>IF($A119="","",IF(INDEX('潜水記録'!$G$5:$G$3004,$AS119)="","",INDEX('潜水記録'!$G$5:$G$3004,$AS119)))</f>
        <v/>
      </c>
      <c r="I119" s="14">
        <f>IF($A119="","",IF(INDEX('潜水記録'!$H$5:$H$3004,$AS119)="","",INDEX('潜水記録'!$H$5:$H$3004,$AS119)))</f>
        <v/>
      </c>
      <c r="J119" s="14">
        <f>IF($A119="","",IF(INDEX('潜水記録'!$I$5:$I$3004,$AS119)="","",INDEX('潜水記録'!$I$5:$I$3004,$AS119)))</f>
        <v/>
      </c>
      <c r="K119" s="14">
        <f>IF($A119="","",IF(INDEX('潜水記録'!$J$5:$J$3004,$AS119)="","",INDEX('潜水記録'!$J$5:$J$3004,$AS119)))</f>
        <v/>
      </c>
      <c r="L119" s="14">
        <f>IF($A119="","",IF(INDEX('潜水記録'!$K$5:$K$3004,$AS119)="","",INDEX('潜水記録'!$K$5:$K$3004,$AS119)))</f>
        <v/>
      </c>
      <c r="M119" s="14">
        <f>IF($A119="","",IF(INDEX('潜水記録'!$L$5:$L$3004,$AS119)="","",INDEX('潜水記録'!$L$5:$L$3004,$AS119)))</f>
        <v/>
      </c>
      <c r="N119" s="14">
        <f>IF($A119="","",IF(INDEX('潜水記録'!$M$5:$M$3004,$AS119)="","",INDEX('潜水記録'!$M$5:$M$3004,$AS119)))</f>
        <v/>
      </c>
      <c r="O119" s="14">
        <f>IF($A119="","",IF(INDEX('潜水記録'!$N$5:$N$3004,$AS119)="","",INDEX('潜水記録'!$N$5:$N$3004,$AS119)))</f>
        <v/>
      </c>
      <c r="P119" s="14">
        <f>IF($A119="","",IF(INDEX('潜水記録'!$O$5:$O$3004,$AS119)="","",INDEX('潜水記録'!$O$5:$O$3004,$AS119)))</f>
        <v/>
      </c>
      <c r="Q119" s="14">
        <f>IF($A119="","",IF(INDEX('潜水記録'!$P$5:$P$3004,$AS119)="","",INDEX('潜水記録'!$P$5:$P$3004,$AS119)))</f>
        <v/>
      </c>
      <c r="R119" s="14">
        <f>IF($A119="","",IF(INDEX('潜水記録'!$Q$5:$Q$3004,$AS119)="","",INDEX('潜水記録'!$Q$5:$Q$3004,$AS119)))</f>
        <v/>
      </c>
      <c r="S119" s="14">
        <f>IF($A119="","",IF(INDEX('潜水記録'!$R$5:$R$3004,$AS119)="","",INDEX('潜水記録'!$R$5:$R$3004,$AS119)))</f>
        <v/>
      </c>
      <c r="T119" s="14">
        <f>IF($A119="","",IF(INDEX('潜水記録'!$S$5:$S$3004,$AS119)="","",INDEX('潜水記録'!$S$5:$S$3004,$AS119)))</f>
        <v/>
      </c>
      <c r="U119" s="14">
        <f>IF($A119="","",IF(INDEX('潜水記録'!$T$5:$T$3004,$AS119)="","",INDEX('潜水記録'!$T$5:$T$3004,$AS119)))</f>
        <v/>
      </c>
      <c r="V119" s="46">
        <f>IF($A119="","",IF(INDEX('潜水記録'!$U$5:$U$3004,$AS119)="","",INDEX('潜水記録'!$U$5:$U$3004,$AS119)))</f>
        <v/>
      </c>
      <c r="W119" s="46">
        <f>IF($A119="","",IF(INDEX('潜水記録'!$V$5:$V$3004,$AS119)="","",INDEX('潜水記録'!$V$5:$V$3004,$AS119)))</f>
        <v/>
      </c>
      <c r="X119" s="14">
        <f>IF($A119="","",IF(INDEX('潜水記録'!$W$5:$W$3004,$AS119)="","",INDEX('潜水記録'!$W$5:$W$3004,$AS119)))</f>
        <v/>
      </c>
      <c r="Y119" s="14">
        <f>IF($A119="","",IF(INDEX('潜水記録'!$X$5:$X$3004,$AS119)="","",INDEX('潜水記録'!$X$5:$X$3004,$AS119)))</f>
        <v/>
      </c>
      <c r="Z119" s="14">
        <f>IF($A119="","",IF(INDEX('潜水記録'!$Y$5:$Y$3004,$AS119)="","",INDEX('潜水記録'!$Y$5:$Y$3004,$AS119)))</f>
        <v/>
      </c>
      <c r="AA119" s="14">
        <f>IF($A119="","",IF(INDEX('潜水記録'!$Z$5:$Z$3004,$AS119)="","",INDEX('潜水記録'!$Z$5:$Z$3004,$AS119)))</f>
        <v/>
      </c>
      <c r="AB119" s="14">
        <f>IF($A119="","",IF(INDEX('潜水記録'!$AA$5:$AA$3004,$AS119)="","",INDEX('潜水記録'!$AA$5:$AA$3004,$AS119)))</f>
        <v/>
      </c>
      <c r="AC119" s="14">
        <f>IF($A119="","",IF(INDEX('潜水記録'!$AB$5:$AB$3004,$AS119)="","",INDEX('潜水記録'!$AB$5:$AB$3004,$AS119)))</f>
        <v/>
      </c>
      <c r="AD119" s="14">
        <f>IF($A119="","",IF(INDEX('潜水記録'!$AC$5:$AC$3004,$AS119)="","",INDEX('潜水記録'!$AC$5:$AC$3004,$AS119)))</f>
        <v/>
      </c>
      <c r="AE119" s="14">
        <f>IF($A119="","",IF(INDEX('潜水記録'!$AD$5:$AD$3004,$AS119)="","",INDEX('潜水記録'!$AD$5:$AD$3004,$AS119)))</f>
        <v/>
      </c>
      <c r="AF119" s="14">
        <f>IF($A119="","",IF(INDEX('潜水記録'!$AE$5:$AE$3004,$AS119)="","",INDEX('潜水記録'!$AE$5:$AE$3004,$AS119)))</f>
        <v/>
      </c>
      <c r="AG119" s="14">
        <f>IF($A119="","",IF(INDEX('潜水記録'!$AL$5:$AL$3004,$AS119)="","",INDEX('潜水記録'!$AL$5:$AL$3004,$AS119)))</f>
        <v/>
      </c>
      <c r="AH119" s="14">
        <f>IF($A119="","",IF(INDEX('潜水記録'!$AM$5:$AM$3004,$AS119)="","",INDEX('潜水記録'!$AM$5:$AM$3004,$AS119)))</f>
        <v/>
      </c>
      <c r="AI119" s="46">
        <f>IF($A119="","",IF(INDEX('潜水記録'!$AN$5:$AN$3004,$AS119)="","",INDEX('潜水記録'!$AN$5:$AN$3004,$AS119)))</f>
        <v/>
      </c>
      <c r="AJ119" s="14">
        <f>IF($A119="","",IF(INDEX('潜水記録'!$AO$5:$AO$3004,$AS119)="","",INDEX('潜水記録'!$AO$5:$AO$3004,$AS119)))</f>
        <v/>
      </c>
      <c r="AK119" s="14">
        <f>IF($A119="","",IF(INDEX('潜水記録'!$AP$5:$AP$3004,$AS119)="","",INDEX('潜水記録'!$AP$5:$AP$3004,$AS119)))</f>
        <v/>
      </c>
      <c r="AL119" s="14">
        <f>IF($A119="","",IF(INDEX('潜水記録'!$AQ$5:$AQ$3004,$AS119)="","",INDEX('潜水記録'!$AQ$5:$AQ$3004,$AS119)))</f>
        <v/>
      </c>
      <c r="AM119" s="14">
        <f>IF($A119="","",IF(INDEX('潜水記録'!$AR$5:$AR$3004,$AS119)="","",INDEX('潜水記録'!$AR$5:$AR$3004,$AS119)))</f>
        <v/>
      </c>
      <c r="AN119" s="14">
        <f>IF($A119="","",IF(INDEX('潜水記録'!$AS$5:$AS$3004,$AS119)="","",INDEX('潜水記録'!$AS$5:$AS$3004,$AS119)))</f>
        <v/>
      </c>
      <c r="AO119" s="14">
        <f>IF($A119="","",IF(INDEX('潜水記録'!$AT$5:$AT$3004,$AS119)="","",INDEX('潜水記録'!$AT$5:$AT$3004,$AS119)))</f>
        <v/>
      </c>
      <c r="AP119" s="14">
        <f>IF($A119="","",IF(INDEX('潜水記録'!$AU$5:$AU$3004,$AS119)="","",INDEX('潜水記録'!$AU$5:$AU$3004,$AS119)))</f>
        <v/>
      </c>
      <c r="AQ119" s="14">
        <f>IF($A119="","",IF(INDEX('潜水記録'!$AV$5:$AV$3004,$AS119)="","",INDEX('潜水記録'!$AV$5:$AV$3004,$AS119)))</f>
        <v/>
      </c>
      <c r="AR119" s="14">
        <f>IF($A119="","",IF(INDEX('潜水記録'!$AW$5:$AW$3004,$AS119)="","",INDEX('潜水記録'!$AW$5:$AW$3004,$AS119)))</f>
        <v/>
      </c>
      <c r="AS119" s="20">
        <f>IF($A119="","",MATCH($A119,'潜水記録'!$AI$5:$AI$3004,0))</f>
        <v/>
      </c>
    </row>
    <row r="120">
      <c r="A120" s="14">
        <f>IF(110&lt;=$C$8,110,"")</f>
        <v/>
      </c>
      <c r="B120" s="16">
        <f>IF($A120="","",IF(INDEX('潜水記録'!$A$5:$A$3004,$AS120)="","",INDEX('潜水記録'!$A$5:$A$3004,$AS120)))</f>
        <v/>
      </c>
      <c r="C120" s="14">
        <f>IF($A120="","",IF(INDEX('潜水記録'!$B$5:$B$3004,$AS120)="","",INDEX('潜水記録'!$B$5:$B$3004,$AS120)))</f>
        <v/>
      </c>
      <c r="D120" s="14">
        <f>IF($A120="","",IF(INDEX('潜水記録'!$C$5:$C$3004,$AS120)="","",INDEX('潜水記録'!$C$5:$C$3004,$AS120)))</f>
        <v/>
      </c>
      <c r="E120" s="14">
        <f>IF($A120="","",IF(INDEX('潜水記録'!$D$5:$D$3004,$AS120)="","",INDEX('潜水記録'!$D$5:$D$3004,$AS120)))</f>
        <v/>
      </c>
      <c r="F120" s="14">
        <f>IF($A120="","",IF(INDEX('潜水記録'!$E$5:$E$3004,$AS120)="","",INDEX('潜水記録'!$E$5:$E$3004,$AS120)))</f>
        <v/>
      </c>
      <c r="G120" s="14">
        <f>IF($A120="","",IF(INDEX('潜水記録'!$F$5:$F$3004,$AS120)="","",INDEX('潜水記録'!$F$5:$F$3004,$AS120)))</f>
        <v/>
      </c>
      <c r="H120" s="14">
        <f>IF($A120="","",IF(INDEX('潜水記録'!$G$5:$G$3004,$AS120)="","",INDEX('潜水記録'!$G$5:$G$3004,$AS120)))</f>
        <v/>
      </c>
      <c r="I120" s="14">
        <f>IF($A120="","",IF(INDEX('潜水記録'!$H$5:$H$3004,$AS120)="","",INDEX('潜水記録'!$H$5:$H$3004,$AS120)))</f>
        <v/>
      </c>
      <c r="J120" s="14">
        <f>IF($A120="","",IF(INDEX('潜水記録'!$I$5:$I$3004,$AS120)="","",INDEX('潜水記録'!$I$5:$I$3004,$AS120)))</f>
        <v/>
      </c>
      <c r="K120" s="14">
        <f>IF($A120="","",IF(INDEX('潜水記録'!$J$5:$J$3004,$AS120)="","",INDEX('潜水記録'!$J$5:$J$3004,$AS120)))</f>
        <v/>
      </c>
      <c r="L120" s="14">
        <f>IF($A120="","",IF(INDEX('潜水記録'!$K$5:$K$3004,$AS120)="","",INDEX('潜水記録'!$K$5:$K$3004,$AS120)))</f>
        <v/>
      </c>
      <c r="M120" s="14">
        <f>IF($A120="","",IF(INDEX('潜水記録'!$L$5:$L$3004,$AS120)="","",INDEX('潜水記録'!$L$5:$L$3004,$AS120)))</f>
        <v/>
      </c>
      <c r="N120" s="14">
        <f>IF($A120="","",IF(INDEX('潜水記録'!$M$5:$M$3004,$AS120)="","",INDEX('潜水記録'!$M$5:$M$3004,$AS120)))</f>
        <v/>
      </c>
      <c r="O120" s="14">
        <f>IF($A120="","",IF(INDEX('潜水記録'!$N$5:$N$3004,$AS120)="","",INDEX('潜水記録'!$N$5:$N$3004,$AS120)))</f>
        <v/>
      </c>
      <c r="P120" s="14">
        <f>IF($A120="","",IF(INDEX('潜水記録'!$O$5:$O$3004,$AS120)="","",INDEX('潜水記録'!$O$5:$O$3004,$AS120)))</f>
        <v/>
      </c>
      <c r="Q120" s="14">
        <f>IF($A120="","",IF(INDEX('潜水記録'!$P$5:$P$3004,$AS120)="","",INDEX('潜水記録'!$P$5:$P$3004,$AS120)))</f>
        <v/>
      </c>
      <c r="R120" s="14">
        <f>IF($A120="","",IF(INDEX('潜水記録'!$Q$5:$Q$3004,$AS120)="","",INDEX('潜水記録'!$Q$5:$Q$3004,$AS120)))</f>
        <v/>
      </c>
      <c r="S120" s="14">
        <f>IF($A120="","",IF(INDEX('潜水記録'!$R$5:$R$3004,$AS120)="","",INDEX('潜水記録'!$R$5:$R$3004,$AS120)))</f>
        <v/>
      </c>
      <c r="T120" s="14">
        <f>IF($A120="","",IF(INDEX('潜水記録'!$S$5:$S$3004,$AS120)="","",INDEX('潜水記録'!$S$5:$S$3004,$AS120)))</f>
        <v/>
      </c>
      <c r="U120" s="14">
        <f>IF($A120="","",IF(INDEX('潜水記録'!$T$5:$T$3004,$AS120)="","",INDEX('潜水記録'!$T$5:$T$3004,$AS120)))</f>
        <v/>
      </c>
      <c r="V120" s="46">
        <f>IF($A120="","",IF(INDEX('潜水記録'!$U$5:$U$3004,$AS120)="","",INDEX('潜水記録'!$U$5:$U$3004,$AS120)))</f>
        <v/>
      </c>
      <c r="W120" s="46">
        <f>IF($A120="","",IF(INDEX('潜水記録'!$V$5:$V$3004,$AS120)="","",INDEX('潜水記録'!$V$5:$V$3004,$AS120)))</f>
        <v/>
      </c>
      <c r="X120" s="14">
        <f>IF($A120="","",IF(INDEX('潜水記録'!$W$5:$W$3004,$AS120)="","",INDEX('潜水記録'!$W$5:$W$3004,$AS120)))</f>
        <v/>
      </c>
      <c r="Y120" s="14">
        <f>IF($A120="","",IF(INDEX('潜水記録'!$X$5:$X$3004,$AS120)="","",INDEX('潜水記録'!$X$5:$X$3004,$AS120)))</f>
        <v/>
      </c>
      <c r="Z120" s="14">
        <f>IF($A120="","",IF(INDEX('潜水記録'!$Y$5:$Y$3004,$AS120)="","",INDEX('潜水記録'!$Y$5:$Y$3004,$AS120)))</f>
        <v/>
      </c>
      <c r="AA120" s="14">
        <f>IF($A120="","",IF(INDEX('潜水記録'!$Z$5:$Z$3004,$AS120)="","",INDEX('潜水記録'!$Z$5:$Z$3004,$AS120)))</f>
        <v/>
      </c>
      <c r="AB120" s="14">
        <f>IF($A120="","",IF(INDEX('潜水記録'!$AA$5:$AA$3004,$AS120)="","",INDEX('潜水記録'!$AA$5:$AA$3004,$AS120)))</f>
        <v/>
      </c>
      <c r="AC120" s="14">
        <f>IF($A120="","",IF(INDEX('潜水記録'!$AB$5:$AB$3004,$AS120)="","",INDEX('潜水記録'!$AB$5:$AB$3004,$AS120)))</f>
        <v/>
      </c>
      <c r="AD120" s="14">
        <f>IF($A120="","",IF(INDEX('潜水記録'!$AC$5:$AC$3004,$AS120)="","",INDEX('潜水記録'!$AC$5:$AC$3004,$AS120)))</f>
        <v/>
      </c>
      <c r="AE120" s="14">
        <f>IF($A120="","",IF(INDEX('潜水記録'!$AD$5:$AD$3004,$AS120)="","",INDEX('潜水記録'!$AD$5:$AD$3004,$AS120)))</f>
        <v/>
      </c>
      <c r="AF120" s="14">
        <f>IF($A120="","",IF(INDEX('潜水記録'!$AE$5:$AE$3004,$AS120)="","",INDEX('潜水記録'!$AE$5:$AE$3004,$AS120)))</f>
        <v/>
      </c>
      <c r="AG120" s="14">
        <f>IF($A120="","",IF(INDEX('潜水記録'!$AL$5:$AL$3004,$AS120)="","",INDEX('潜水記録'!$AL$5:$AL$3004,$AS120)))</f>
        <v/>
      </c>
      <c r="AH120" s="14">
        <f>IF($A120="","",IF(INDEX('潜水記録'!$AM$5:$AM$3004,$AS120)="","",INDEX('潜水記録'!$AM$5:$AM$3004,$AS120)))</f>
        <v/>
      </c>
      <c r="AI120" s="46">
        <f>IF($A120="","",IF(INDEX('潜水記録'!$AN$5:$AN$3004,$AS120)="","",INDEX('潜水記録'!$AN$5:$AN$3004,$AS120)))</f>
        <v/>
      </c>
      <c r="AJ120" s="14">
        <f>IF($A120="","",IF(INDEX('潜水記録'!$AO$5:$AO$3004,$AS120)="","",INDEX('潜水記録'!$AO$5:$AO$3004,$AS120)))</f>
        <v/>
      </c>
      <c r="AK120" s="14">
        <f>IF($A120="","",IF(INDEX('潜水記録'!$AP$5:$AP$3004,$AS120)="","",INDEX('潜水記録'!$AP$5:$AP$3004,$AS120)))</f>
        <v/>
      </c>
      <c r="AL120" s="14">
        <f>IF($A120="","",IF(INDEX('潜水記録'!$AQ$5:$AQ$3004,$AS120)="","",INDEX('潜水記録'!$AQ$5:$AQ$3004,$AS120)))</f>
        <v/>
      </c>
      <c r="AM120" s="14">
        <f>IF($A120="","",IF(INDEX('潜水記録'!$AR$5:$AR$3004,$AS120)="","",INDEX('潜水記録'!$AR$5:$AR$3004,$AS120)))</f>
        <v/>
      </c>
      <c r="AN120" s="14">
        <f>IF($A120="","",IF(INDEX('潜水記録'!$AS$5:$AS$3004,$AS120)="","",INDEX('潜水記録'!$AS$5:$AS$3004,$AS120)))</f>
        <v/>
      </c>
      <c r="AO120" s="14">
        <f>IF($A120="","",IF(INDEX('潜水記録'!$AT$5:$AT$3004,$AS120)="","",INDEX('潜水記録'!$AT$5:$AT$3004,$AS120)))</f>
        <v/>
      </c>
      <c r="AP120" s="14">
        <f>IF($A120="","",IF(INDEX('潜水記録'!$AU$5:$AU$3004,$AS120)="","",INDEX('潜水記録'!$AU$5:$AU$3004,$AS120)))</f>
        <v/>
      </c>
      <c r="AQ120" s="14">
        <f>IF($A120="","",IF(INDEX('潜水記録'!$AV$5:$AV$3004,$AS120)="","",INDEX('潜水記録'!$AV$5:$AV$3004,$AS120)))</f>
        <v/>
      </c>
      <c r="AR120" s="14">
        <f>IF($A120="","",IF(INDEX('潜水記録'!$AW$5:$AW$3004,$AS120)="","",INDEX('潜水記録'!$AW$5:$AW$3004,$AS120)))</f>
        <v/>
      </c>
      <c r="AS120" s="20">
        <f>IF($A120="","",MATCH($A120,'潜水記録'!$AI$5:$AI$3004,0))</f>
        <v/>
      </c>
    </row>
    <row r="121">
      <c r="A121" s="14">
        <f>IF(111&lt;=$C$8,111,"")</f>
        <v/>
      </c>
      <c r="B121" s="16">
        <f>IF($A121="","",IF(INDEX('潜水記録'!$A$5:$A$3004,$AS121)="","",INDEX('潜水記録'!$A$5:$A$3004,$AS121)))</f>
        <v/>
      </c>
      <c r="C121" s="14">
        <f>IF($A121="","",IF(INDEX('潜水記録'!$B$5:$B$3004,$AS121)="","",INDEX('潜水記録'!$B$5:$B$3004,$AS121)))</f>
        <v/>
      </c>
      <c r="D121" s="14">
        <f>IF($A121="","",IF(INDEX('潜水記録'!$C$5:$C$3004,$AS121)="","",INDEX('潜水記録'!$C$5:$C$3004,$AS121)))</f>
        <v/>
      </c>
      <c r="E121" s="14">
        <f>IF($A121="","",IF(INDEX('潜水記録'!$D$5:$D$3004,$AS121)="","",INDEX('潜水記録'!$D$5:$D$3004,$AS121)))</f>
        <v/>
      </c>
      <c r="F121" s="14">
        <f>IF($A121="","",IF(INDEX('潜水記録'!$E$5:$E$3004,$AS121)="","",INDEX('潜水記録'!$E$5:$E$3004,$AS121)))</f>
        <v/>
      </c>
      <c r="G121" s="14">
        <f>IF($A121="","",IF(INDEX('潜水記録'!$F$5:$F$3004,$AS121)="","",INDEX('潜水記録'!$F$5:$F$3004,$AS121)))</f>
        <v/>
      </c>
      <c r="H121" s="14">
        <f>IF($A121="","",IF(INDEX('潜水記録'!$G$5:$G$3004,$AS121)="","",INDEX('潜水記録'!$G$5:$G$3004,$AS121)))</f>
        <v/>
      </c>
      <c r="I121" s="14">
        <f>IF($A121="","",IF(INDEX('潜水記録'!$H$5:$H$3004,$AS121)="","",INDEX('潜水記録'!$H$5:$H$3004,$AS121)))</f>
        <v/>
      </c>
      <c r="J121" s="14">
        <f>IF($A121="","",IF(INDEX('潜水記録'!$I$5:$I$3004,$AS121)="","",INDEX('潜水記録'!$I$5:$I$3004,$AS121)))</f>
        <v/>
      </c>
      <c r="K121" s="14">
        <f>IF($A121="","",IF(INDEX('潜水記録'!$J$5:$J$3004,$AS121)="","",INDEX('潜水記録'!$J$5:$J$3004,$AS121)))</f>
        <v/>
      </c>
      <c r="L121" s="14">
        <f>IF($A121="","",IF(INDEX('潜水記録'!$K$5:$K$3004,$AS121)="","",INDEX('潜水記録'!$K$5:$K$3004,$AS121)))</f>
        <v/>
      </c>
      <c r="M121" s="14">
        <f>IF($A121="","",IF(INDEX('潜水記録'!$L$5:$L$3004,$AS121)="","",INDEX('潜水記録'!$L$5:$L$3004,$AS121)))</f>
        <v/>
      </c>
      <c r="N121" s="14">
        <f>IF($A121="","",IF(INDEX('潜水記録'!$M$5:$M$3004,$AS121)="","",INDEX('潜水記録'!$M$5:$M$3004,$AS121)))</f>
        <v/>
      </c>
      <c r="O121" s="14">
        <f>IF($A121="","",IF(INDEX('潜水記録'!$N$5:$N$3004,$AS121)="","",INDEX('潜水記録'!$N$5:$N$3004,$AS121)))</f>
        <v/>
      </c>
      <c r="P121" s="14">
        <f>IF($A121="","",IF(INDEX('潜水記録'!$O$5:$O$3004,$AS121)="","",INDEX('潜水記録'!$O$5:$O$3004,$AS121)))</f>
        <v/>
      </c>
      <c r="Q121" s="14">
        <f>IF($A121="","",IF(INDEX('潜水記録'!$P$5:$P$3004,$AS121)="","",INDEX('潜水記録'!$P$5:$P$3004,$AS121)))</f>
        <v/>
      </c>
      <c r="R121" s="14">
        <f>IF($A121="","",IF(INDEX('潜水記録'!$Q$5:$Q$3004,$AS121)="","",INDEX('潜水記録'!$Q$5:$Q$3004,$AS121)))</f>
        <v/>
      </c>
      <c r="S121" s="14">
        <f>IF($A121="","",IF(INDEX('潜水記録'!$R$5:$R$3004,$AS121)="","",INDEX('潜水記録'!$R$5:$R$3004,$AS121)))</f>
        <v/>
      </c>
      <c r="T121" s="14">
        <f>IF($A121="","",IF(INDEX('潜水記録'!$S$5:$S$3004,$AS121)="","",INDEX('潜水記録'!$S$5:$S$3004,$AS121)))</f>
        <v/>
      </c>
      <c r="U121" s="14">
        <f>IF($A121="","",IF(INDEX('潜水記録'!$T$5:$T$3004,$AS121)="","",INDEX('潜水記録'!$T$5:$T$3004,$AS121)))</f>
        <v/>
      </c>
      <c r="V121" s="46">
        <f>IF($A121="","",IF(INDEX('潜水記録'!$U$5:$U$3004,$AS121)="","",INDEX('潜水記録'!$U$5:$U$3004,$AS121)))</f>
        <v/>
      </c>
      <c r="W121" s="46">
        <f>IF($A121="","",IF(INDEX('潜水記録'!$V$5:$V$3004,$AS121)="","",INDEX('潜水記録'!$V$5:$V$3004,$AS121)))</f>
        <v/>
      </c>
      <c r="X121" s="14">
        <f>IF($A121="","",IF(INDEX('潜水記録'!$W$5:$W$3004,$AS121)="","",INDEX('潜水記録'!$W$5:$W$3004,$AS121)))</f>
        <v/>
      </c>
      <c r="Y121" s="14">
        <f>IF($A121="","",IF(INDEX('潜水記録'!$X$5:$X$3004,$AS121)="","",INDEX('潜水記録'!$X$5:$X$3004,$AS121)))</f>
        <v/>
      </c>
      <c r="Z121" s="14">
        <f>IF($A121="","",IF(INDEX('潜水記録'!$Y$5:$Y$3004,$AS121)="","",INDEX('潜水記録'!$Y$5:$Y$3004,$AS121)))</f>
        <v/>
      </c>
      <c r="AA121" s="14">
        <f>IF($A121="","",IF(INDEX('潜水記録'!$Z$5:$Z$3004,$AS121)="","",INDEX('潜水記録'!$Z$5:$Z$3004,$AS121)))</f>
        <v/>
      </c>
      <c r="AB121" s="14">
        <f>IF($A121="","",IF(INDEX('潜水記録'!$AA$5:$AA$3004,$AS121)="","",INDEX('潜水記録'!$AA$5:$AA$3004,$AS121)))</f>
        <v/>
      </c>
      <c r="AC121" s="14">
        <f>IF($A121="","",IF(INDEX('潜水記録'!$AB$5:$AB$3004,$AS121)="","",INDEX('潜水記録'!$AB$5:$AB$3004,$AS121)))</f>
        <v/>
      </c>
      <c r="AD121" s="14">
        <f>IF($A121="","",IF(INDEX('潜水記録'!$AC$5:$AC$3004,$AS121)="","",INDEX('潜水記録'!$AC$5:$AC$3004,$AS121)))</f>
        <v/>
      </c>
      <c r="AE121" s="14">
        <f>IF($A121="","",IF(INDEX('潜水記録'!$AD$5:$AD$3004,$AS121)="","",INDEX('潜水記録'!$AD$5:$AD$3004,$AS121)))</f>
        <v/>
      </c>
      <c r="AF121" s="14">
        <f>IF($A121="","",IF(INDEX('潜水記録'!$AE$5:$AE$3004,$AS121)="","",INDEX('潜水記録'!$AE$5:$AE$3004,$AS121)))</f>
        <v/>
      </c>
      <c r="AG121" s="14">
        <f>IF($A121="","",IF(INDEX('潜水記録'!$AL$5:$AL$3004,$AS121)="","",INDEX('潜水記録'!$AL$5:$AL$3004,$AS121)))</f>
        <v/>
      </c>
      <c r="AH121" s="14">
        <f>IF($A121="","",IF(INDEX('潜水記録'!$AM$5:$AM$3004,$AS121)="","",INDEX('潜水記録'!$AM$5:$AM$3004,$AS121)))</f>
        <v/>
      </c>
      <c r="AI121" s="46">
        <f>IF($A121="","",IF(INDEX('潜水記録'!$AN$5:$AN$3004,$AS121)="","",INDEX('潜水記録'!$AN$5:$AN$3004,$AS121)))</f>
        <v/>
      </c>
      <c r="AJ121" s="14">
        <f>IF($A121="","",IF(INDEX('潜水記録'!$AO$5:$AO$3004,$AS121)="","",INDEX('潜水記録'!$AO$5:$AO$3004,$AS121)))</f>
        <v/>
      </c>
      <c r="AK121" s="14">
        <f>IF($A121="","",IF(INDEX('潜水記録'!$AP$5:$AP$3004,$AS121)="","",INDEX('潜水記録'!$AP$5:$AP$3004,$AS121)))</f>
        <v/>
      </c>
      <c r="AL121" s="14">
        <f>IF($A121="","",IF(INDEX('潜水記録'!$AQ$5:$AQ$3004,$AS121)="","",INDEX('潜水記録'!$AQ$5:$AQ$3004,$AS121)))</f>
        <v/>
      </c>
      <c r="AM121" s="14">
        <f>IF($A121="","",IF(INDEX('潜水記録'!$AR$5:$AR$3004,$AS121)="","",INDEX('潜水記録'!$AR$5:$AR$3004,$AS121)))</f>
        <v/>
      </c>
      <c r="AN121" s="14">
        <f>IF($A121="","",IF(INDEX('潜水記録'!$AS$5:$AS$3004,$AS121)="","",INDEX('潜水記録'!$AS$5:$AS$3004,$AS121)))</f>
        <v/>
      </c>
      <c r="AO121" s="14">
        <f>IF($A121="","",IF(INDEX('潜水記録'!$AT$5:$AT$3004,$AS121)="","",INDEX('潜水記録'!$AT$5:$AT$3004,$AS121)))</f>
        <v/>
      </c>
      <c r="AP121" s="14">
        <f>IF($A121="","",IF(INDEX('潜水記録'!$AU$5:$AU$3004,$AS121)="","",INDEX('潜水記録'!$AU$5:$AU$3004,$AS121)))</f>
        <v/>
      </c>
      <c r="AQ121" s="14">
        <f>IF($A121="","",IF(INDEX('潜水記録'!$AV$5:$AV$3004,$AS121)="","",INDEX('潜水記録'!$AV$5:$AV$3004,$AS121)))</f>
        <v/>
      </c>
      <c r="AR121" s="14">
        <f>IF($A121="","",IF(INDEX('潜水記録'!$AW$5:$AW$3004,$AS121)="","",INDEX('潜水記録'!$AW$5:$AW$3004,$AS121)))</f>
        <v/>
      </c>
      <c r="AS121" s="20">
        <f>IF($A121="","",MATCH($A121,'潜水記録'!$AI$5:$AI$3004,0))</f>
        <v/>
      </c>
    </row>
    <row r="122">
      <c r="A122" s="14">
        <f>IF(112&lt;=$C$8,112,"")</f>
        <v/>
      </c>
      <c r="B122" s="16">
        <f>IF($A122="","",IF(INDEX('潜水記録'!$A$5:$A$3004,$AS122)="","",INDEX('潜水記録'!$A$5:$A$3004,$AS122)))</f>
        <v/>
      </c>
      <c r="C122" s="14">
        <f>IF($A122="","",IF(INDEX('潜水記録'!$B$5:$B$3004,$AS122)="","",INDEX('潜水記録'!$B$5:$B$3004,$AS122)))</f>
        <v/>
      </c>
      <c r="D122" s="14">
        <f>IF($A122="","",IF(INDEX('潜水記録'!$C$5:$C$3004,$AS122)="","",INDEX('潜水記録'!$C$5:$C$3004,$AS122)))</f>
        <v/>
      </c>
      <c r="E122" s="14">
        <f>IF($A122="","",IF(INDEX('潜水記録'!$D$5:$D$3004,$AS122)="","",INDEX('潜水記録'!$D$5:$D$3004,$AS122)))</f>
        <v/>
      </c>
      <c r="F122" s="14">
        <f>IF($A122="","",IF(INDEX('潜水記録'!$E$5:$E$3004,$AS122)="","",INDEX('潜水記録'!$E$5:$E$3004,$AS122)))</f>
        <v/>
      </c>
      <c r="G122" s="14">
        <f>IF($A122="","",IF(INDEX('潜水記録'!$F$5:$F$3004,$AS122)="","",INDEX('潜水記録'!$F$5:$F$3004,$AS122)))</f>
        <v/>
      </c>
      <c r="H122" s="14">
        <f>IF($A122="","",IF(INDEX('潜水記録'!$G$5:$G$3004,$AS122)="","",INDEX('潜水記録'!$G$5:$G$3004,$AS122)))</f>
        <v/>
      </c>
      <c r="I122" s="14">
        <f>IF($A122="","",IF(INDEX('潜水記録'!$H$5:$H$3004,$AS122)="","",INDEX('潜水記録'!$H$5:$H$3004,$AS122)))</f>
        <v/>
      </c>
      <c r="J122" s="14">
        <f>IF($A122="","",IF(INDEX('潜水記録'!$I$5:$I$3004,$AS122)="","",INDEX('潜水記録'!$I$5:$I$3004,$AS122)))</f>
        <v/>
      </c>
      <c r="K122" s="14">
        <f>IF($A122="","",IF(INDEX('潜水記録'!$J$5:$J$3004,$AS122)="","",INDEX('潜水記録'!$J$5:$J$3004,$AS122)))</f>
        <v/>
      </c>
      <c r="L122" s="14">
        <f>IF($A122="","",IF(INDEX('潜水記録'!$K$5:$K$3004,$AS122)="","",INDEX('潜水記録'!$K$5:$K$3004,$AS122)))</f>
        <v/>
      </c>
      <c r="M122" s="14">
        <f>IF($A122="","",IF(INDEX('潜水記録'!$L$5:$L$3004,$AS122)="","",INDEX('潜水記録'!$L$5:$L$3004,$AS122)))</f>
        <v/>
      </c>
      <c r="N122" s="14">
        <f>IF($A122="","",IF(INDEX('潜水記録'!$M$5:$M$3004,$AS122)="","",INDEX('潜水記録'!$M$5:$M$3004,$AS122)))</f>
        <v/>
      </c>
      <c r="O122" s="14">
        <f>IF($A122="","",IF(INDEX('潜水記録'!$N$5:$N$3004,$AS122)="","",INDEX('潜水記録'!$N$5:$N$3004,$AS122)))</f>
        <v/>
      </c>
      <c r="P122" s="14">
        <f>IF($A122="","",IF(INDEX('潜水記録'!$O$5:$O$3004,$AS122)="","",INDEX('潜水記録'!$O$5:$O$3004,$AS122)))</f>
        <v/>
      </c>
      <c r="Q122" s="14">
        <f>IF($A122="","",IF(INDEX('潜水記録'!$P$5:$P$3004,$AS122)="","",INDEX('潜水記録'!$P$5:$P$3004,$AS122)))</f>
        <v/>
      </c>
      <c r="R122" s="14">
        <f>IF($A122="","",IF(INDEX('潜水記録'!$Q$5:$Q$3004,$AS122)="","",INDEX('潜水記録'!$Q$5:$Q$3004,$AS122)))</f>
        <v/>
      </c>
      <c r="S122" s="14">
        <f>IF($A122="","",IF(INDEX('潜水記録'!$R$5:$R$3004,$AS122)="","",INDEX('潜水記録'!$R$5:$R$3004,$AS122)))</f>
        <v/>
      </c>
      <c r="T122" s="14">
        <f>IF($A122="","",IF(INDEX('潜水記録'!$S$5:$S$3004,$AS122)="","",INDEX('潜水記録'!$S$5:$S$3004,$AS122)))</f>
        <v/>
      </c>
      <c r="U122" s="14">
        <f>IF($A122="","",IF(INDEX('潜水記録'!$T$5:$T$3004,$AS122)="","",INDEX('潜水記録'!$T$5:$T$3004,$AS122)))</f>
        <v/>
      </c>
      <c r="V122" s="46">
        <f>IF($A122="","",IF(INDEX('潜水記録'!$U$5:$U$3004,$AS122)="","",INDEX('潜水記録'!$U$5:$U$3004,$AS122)))</f>
        <v/>
      </c>
      <c r="W122" s="46">
        <f>IF($A122="","",IF(INDEX('潜水記録'!$V$5:$V$3004,$AS122)="","",INDEX('潜水記録'!$V$5:$V$3004,$AS122)))</f>
        <v/>
      </c>
      <c r="X122" s="14">
        <f>IF($A122="","",IF(INDEX('潜水記録'!$W$5:$W$3004,$AS122)="","",INDEX('潜水記録'!$W$5:$W$3004,$AS122)))</f>
        <v/>
      </c>
      <c r="Y122" s="14">
        <f>IF($A122="","",IF(INDEX('潜水記録'!$X$5:$X$3004,$AS122)="","",INDEX('潜水記録'!$X$5:$X$3004,$AS122)))</f>
        <v/>
      </c>
      <c r="Z122" s="14">
        <f>IF($A122="","",IF(INDEX('潜水記録'!$Y$5:$Y$3004,$AS122)="","",INDEX('潜水記録'!$Y$5:$Y$3004,$AS122)))</f>
        <v/>
      </c>
      <c r="AA122" s="14">
        <f>IF($A122="","",IF(INDEX('潜水記録'!$Z$5:$Z$3004,$AS122)="","",INDEX('潜水記録'!$Z$5:$Z$3004,$AS122)))</f>
        <v/>
      </c>
      <c r="AB122" s="14">
        <f>IF($A122="","",IF(INDEX('潜水記録'!$AA$5:$AA$3004,$AS122)="","",INDEX('潜水記録'!$AA$5:$AA$3004,$AS122)))</f>
        <v/>
      </c>
      <c r="AC122" s="14">
        <f>IF($A122="","",IF(INDEX('潜水記録'!$AB$5:$AB$3004,$AS122)="","",INDEX('潜水記録'!$AB$5:$AB$3004,$AS122)))</f>
        <v/>
      </c>
      <c r="AD122" s="14">
        <f>IF($A122="","",IF(INDEX('潜水記録'!$AC$5:$AC$3004,$AS122)="","",INDEX('潜水記録'!$AC$5:$AC$3004,$AS122)))</f>
        <v/>
      </c>
      <c r="AE122" s="14">
        <f>IF($A122="","",IF(INDEX('潜水記録'!$AD$5:$AD$3004,$AS122)="","",INDEX('潜水記録'!$AD$5:$AD$3004,$AS122)))</f>
        <v/>
      </c>
      <c r="AF122" s="14">
        <f>IF($A122="","",IF(INDEX('潜水記録'!$AE$5:$AE$3004,$AS122)="","",INDEX('潜水記録'!$AE$5:$AE$3004,$AS122)))</f>
        <v/>
      </c>
      <c r="AG122" s="14">
        <f>IF($A122="","",IF(INDEX('潜水記録'!$AL$5:$AL$3004,$AS122)="","",INDEX('潜水記録'!$AL$5:$AL$3004,$AS122)))</f>
        <v/>
      </c>
      <c r="AH122" s="14">
        <f>IF($A122="","",IF(INDEX('潜水記録'!$AM$5:$AM$3004,$AS122)="","",INDEX('潜水記録'!$AM$5:$AM$3004,$AS122)))</f>
        <v/>
      </c>
      <c r="AI122" s="46">
        <f>IF($A122="","",IF(INDEX('潜水記録'!$AN$5:$AN$3004,$AS122)="","",INDEX('潜水記録'!$AN$5:$AN$3004,$AS122)))</f>
        <v/>
      </c>
      <c r="AJ122" s="14">
        <f>IF($A122="","",IF(INDEX('潜水記録'!$AO$5:$AO$3004,$AS122)="","",INDEX('潜水記録'!$AO$5:$AO$3004,$AS122)))</f>
        <v/>
      </c>
      <c r="AK122" s="14">
        <f>IF($A122="","",IF(INDEX('潜水記録'!$AP$5:$AP$3004,$AS122)="","",INDEX('潜水記録'!$AP$5:$AP$3004,$AS122)))</f>
        <v/>
      </c>
      <c r="AL122" s="14">
        <f>IF($A122="","",IF(INDEX('潜水記録'!$AQ$5:$AQ$3004,$AS122)="","",INDEX('潜水記録'!$AQ$5:$AQ$3004,$AS122)))</f>
        <v/>
      </c>
      <c r="AM122" s="14">
        <f>IF($A122="","",IF(INDEX('潜水記録'!$AR$5:$AR$3004,$AS122)="","",INDEX('潜水記録'!$AR$5:$AR$3004,$AS122)))</f>
        <v/>
      </c>
      <c r="AN122" s="14">
        <f>IF($A122="","",IF(INDEX('潜水記録'!$AS$5:$AS$3004,$AS122)="","",INDEX('潜水記録'!$AS$5:$AS$3004,$AS122)))</f>
        <v/>
      </c>
      <c r="AO122" s="14">
        <f>IF($A122="","",IF(INDEX('潜水記録'!$AT$5:$AT$3004,$AS122)="","",INDEX('潜水記録'!$AT$5:$AT$3004,$AS122)))</f>
        <v/>
      </c>
      <c r="AP122" s="14">
        <f>IF($A122="","",IF(INDEX('潜水記録'!$AU$5:$AU$3004,$AS122)="","",INDEX('潜水記録'!$AU$5:$AU$3004,$AS122)))</f>
        <v/>
      </c>
      <c r="AQ122" s="14">
        <f>IF($A122="","",IF(INDEX('潜水記録'!$AV$5:$AV$3004,$AS122)="","",INDEX('潜水記録'!$AV$5:$AV$3004,$AS122)))</f>
        <v/>
      </c>
      <c r="AR122" s="14">
        <f>IF($A122="","",IF(INDEX('潜水記録'!$AW$5:$AW$3004,$AS122)="","",INDEX('潜水記録'!$AW$5:$AW$3004,$AS122)))</f>
        <v/>
      </c>
      <c r="AS122" s="20">
        <f>IF($A122="","",MATCH($A122,'潜水記録'!$AI$5:$AI$3004,0))</f>
        <v/>
      </c>
    </row>
    <row r="123">
      <c r="A123" s="14">
        <f>IF(113&lt;=$C$8,113,"")</f>
        <v/>
      </c>
      <c r="B123" s="16">
        <f>IF($A123="","",IF(INDEX('潜水記録'!$A$5:$A$3004,$AS123)="","",INDEX('潜水記録'!$A$5:$A$3004,$AS123)))</f>
        <v/>
      </c>
      <c r="C123" s="14">
        <f>IF($A123="","",IF(INDEX('潜水記録'!$B$5:$B$3004,$AS123)="","",INDEX('潜水記録'!$B$5:$B$3004,$AS123)))</f>
        <v/>
      </c>
      <c r="D123" s="14">
        <f>IF($A123="","",IF(INDEX('潜水記録'!$C$5:$C$3004,$AS123)="","",INDEX('潜水記録'!$C$5:$C$3004,$AS123)))</f>
        <v/>
      </c>
      <c r="E123" s="14">
        <f>IF($A123="","",IF(INDEX('潜水記録'!$D$5:$D$3004,$AS123)="","",INDEX('潜水記録'!$D$5:$D$3004,$AS123)))</f>
        <v/>
      </c>
      <c r="F123" s="14">
        <f>IF($A123="","",IF(INDEX('潜水記録'!$E$5:$E$3004,$AS123)="","",INDEX('潜水記録'!$E$5:$E$3004,$AS123)))</f>
        <v/>
      </c>
      <c r="G123" s="14">
        <f>IF($A123="","",IF(INDEX('潜水記録'!$F$5:$F$3004,$AS123)="","",INDEX('潜水記録'!$F$5:$F$3004,$AS123)))</f>
        <v/>
      </c>
      <c r="H123" s="14">
        <f>IF($A123="","",IF(INDEX('潜水記録'!$G$5:$G$3004,$AS123)="","",INDEX('潜水記録'!$G$5:$G$3004,$AS123)))</f>
        <v/>
      </c>
      <c r="I123" s="14">
        <f>IF($A123="","",IF(INDEX('潜水記録'!$H$5:$H$3004,$AS123)="","",INDEX('潜水記録'!$H$5:$H$3004,$AS123)))</f>
        <v/>
      </c>
      <c r="J123" s="14">
        <f>IF($A123="","",IF(INDEX('潜水記録'!$I$5:$I$3004,$AS123)="","",INDEX('潜水記録'!$I$5:$I$3004,$AS123)))</f>
        <v/>
      </c>
      <c r="K123" s="14">
        <f>IF($A123="","",IF(INDEX('潜水記録'!$J$5:$J$3004,$AS123)="","",INDEX('潜水記録'!$J$5:$J$3004,$AS123)))</f>
        <v/>
      </c>
      <c r="L123" s="14">
        <f>IF($A123="","",IF(INDEX('潜水記録'!$K$5:$K$3004,$AS123)="","",INDEX('潜水記録'!$K$5:$K$3004,$AS123)))</f>
        <v/>
      </c>
      <c r="M123" s="14">
        <f>IF($A123="","",IF(INDEX('潜水記録'!$L$5:$L$3004,$AS123)="","",INDEX('潜水記録'!$L$5:$L$3004,$AS123)))</f>
        <v/>
      </c>
      <c r="N123" s="14">
        <f>IF($A123="","",IF(INDEX('潜水記録'!$M$5:$M$3004,$AS123)="","",INDEX('潜水記録'!$M$5:$M$3004,$AS123)))</f>
        <v/>
      </c>
      <c r="O123" s="14">
        <f>IF($A123="","",IF(INDEX('潜水記録'!$N$5:$N$3004,$AS123)="","",INDEX('潜水記録'!$N$5:$N$3004,$AS123)))</f>
        <v/>
      </c>
      <c r="P123" s="14">
        <f>IF($A123="","",IF(INDEX('潜水記録'!$O$5:$O$3004,$AS123)="","",INDEX('潜水記録'!$O$5:$O$3004,$AS123)))</f>
        <v/>
      </c>
      <c r="Q123" s="14">
        <f>IF($A123="","",IF(INDEX('潜水記録'!$P$5:$P$3004,$AS123)="","",INDEX('潜水記録'!$P$5:$P$3004,$AS123)))</f>
        <v/>
      </c>
      <c r="R123" s="14">
        <f>IF($A123="","",IF(INDEX('潜水記録'!$Q$5:$Q$3004,$AS123)="","",INDEX('潜水記録'!$Q$5:$Q$3004,$AS123)))</f>
        <v/>
      </c>
      <c r="S123" s="14">
        <f>IF($A123="","",IF(INDEX('潜水記録'!$R$5:$R$3004,$AS123)="","",INDEX('潜水記録'!$R$5:$R$3004,$AS123)))</f>
        <v/>
      </c>
      <c r="T123" s="14">
        <f>IF($A123="","",IF(INDEX('潜水記録'!$S$5:$S$3004,$AS123)="","",INDEX('潜水記録'!$S$5:$S$3004,$AS123)))</f>
        <v/>
      </c>
      <c r="U123" s="14">
        <f>IF($A123="","",IF(INDEX('潜水記録'!$T$5:$T$3004,$AS123)="","",INDEX('潜水記録'!$T$5:$T$3004,$AS123)))</f>
        <v/>
      </c>
      <c r="V123" s="46">
        <f>IF($A123="","",IF(INDEX('潜水記録'!$U$5:$U$3004,$AS123)="","",INDEX('潜水記録'!$U$5:$U$3004,$AS123)))</f>
        <v/>
      </c>
      <c r="W123" s="46">
        <f>IF($A123="","",IF(INDEX('潜水記録'!$V$5:$V$3004,$AS123)="","",INDEX('潜水記録'!$V$5:$V$3004,$AS123)))</f>
        <v/>
      </c>
      <c r="X123" s="14">
        <f>IF($A123="","",IF(INDEX('潜水記録'!$W$5:$W$3004,$AS123)="","",INDEX('潜水記録'!$W$5:$W$3004,$AS123)))</f>
        <v/>
      </c>
      <c r="Y123" s="14">
        <f>IF($A123="","",IF(INDEX('潜水記録'!$X$5:$X$3004,$AS123)="","",INDEX('潜水記録'!$X$5:$X$3004,$AS123)))</f>
        <v/>
      </c>
      <c r="Z123" s="14">
        <f>IF($A123="","",IF(INDEX('潜水記録'!$Y$5:$Y$3004,$AS123)="","",INDEX('潜水記録'!$Y$5:$Y$3004,$AS123)))</f>
        <v/>
      </c>
      <c r="AA123" s="14">
        <f>IF($A123="","",IF(INDEX('潜水記録'!$Z$5:$Z$3004,$AS123)="","",INDEX('潜水記録'!$Z$5:$Z$3004,$AS123)))</f>
        <v/>
      </c>
      <c r="AB123" s="14">
        <f>IF($A123="","",IF(INDEX('潜水記録'!$AA$5:$AA$3004,$AS123)="","",INDEX('潜水記録'!$AA$5:$AA$3004,$AS123)))</f>
        <v/>
      </c>
      <c r="AC123" s="14">
        <f>IF($A123="","",IF(INDEX('潜水記録'!$AB$5:$AB$3004,$AS123)="","",INDEX('潜水記録'!$AB$5:$AB$3004,$AS123)))</f>
        <v/>
      </c>
      <c r="AD123" s="14">
        <f>IF($A123="","",IF(INDEX('潜水記録'!$AC$5:$AC$3004,$AS123)="","",INDEX('潜水記録'!$AC$5:$AC$3004,$AS123)))</f>
        <v/>
      </c>
      <c r="AE123" s="14">
        <f>IF($A123="","",IF(INDEX('潜水記録'!$AD$5:$AD$3004,$AS123)="","",INDEX('潜水記録'!$AD$5:$AD$3004,$AS123)))</f>
        <v/>
      </c>
      <c r="AF123" s="14">
        <f>IF($A123="","",IF(INDEX('潜水記録'!$AE$5:$AE$3004,$AS123)="","",INDEX('潜水記録'!$AE$5:$AE$3004,$AS123)))</f>
        <v/>
      </c>
      <c r="AG123" s="14">
        <f>IF($A123="","",IF(INDEX('潜水記録'!$AL$5:$AL$3004,$AS123)="","",INDEX('潜水記録'!$AL$5:$AL$3004,$AS123)))</f>
        <v/>
      </c>
      <c r="AH123" s="14">
        <f>IF($A123="","",IF(INDEX('潜水記録'!$AM$5:$AM$3004,$AS123)="","",INDEX('潜水記録'!$AM$5:$AM$3004,$AS123)))</f>
        <v/>
      </c>
      <c r="AI123" s="46">
        <f>IF($A123="","",IF(INDEX('潜水記録'!$AN$5:$AN$3004,$AS123)="","",INDEX('潜水記録'!$AN$5:$AN$3004,$AS123)))</f>
        <v/>
      </c>
      <c r="AJ123" s="14">
        <f>IF($A123="","",IF(INDEX('潜水記録'!$AO$5:$AO$3004,$AS123)="","",INDEX('潜水記録'!$AO$5:$AO$3004,$AS123)))</f>
        <v/>
      </c>
      <c r="AK123" s="14">
        <f>IF($A123="","",IF(INDEX('潜水記録'!$AP$5:$AP$3004,$AS123)="","",INDEX('潜水記録'!$AP$5:$AP$3004,$AS123)))</f>
        <v/>
      </c>
      <c r="AL123" s="14">
        <f>IF($A123="","",IF(INDEX('潜水記録'!$AQ$5:$AQ$3004,$AS123)="","",INDEX('潜水記録'!$AQ$5:$AQ$3004,$AS123)))</f>
        <v/>
      </c>
      <c r="AM123" s="14">
        <f>IF($A123="","",IF(INDEX('潜水記録'!$AR$5:$AR$3004,$AS123)="","",INDEX('潜水記録'!$AR$5:$AR$3004,$AS123)))</f>
        <v/>
      </c>
      <c r="AN123" s="14">
        <f>IF($A123="","",IF(INDEX('潜水記録'!$AS$5:$AS$3004,$AS123)="","",INDEX('潜水記録'!$AS$5:$AS$3004,$AS123)))</f>
        <v/>
      </c>
      <c r="AO123" s="14">
        <f>IF($A123="","",IF(INDEX('潜水記録'!$AT$5:$AT$3004,$AS123)="","",INDEX('潜水記録'!$AT$5:$AT$3004,$AS123)))</f>
        <v/>
      </c>
      <c r="AP123" s="14">
        <f>IF($A123="","",IF(INDEX('潜水記録'!$AU$5:$AU$3004,$AS123)="","",INDEX('潜水記録'!$AU$5:$AU$3004,$AS123)))</f>
        <v/>
      </c>
      <c r="AQ123" s="14">
        <f>IF($A123="","",IF(INDEX('潜水記録'!$AV$5:$AV$3004,$AS123)="","",INDEX('潜水記録'!$AV$5:$AV$3004,$AS123)))</f>
        <v/>
      </c>
      <c r="AR123" s="14">
        <f>IF($A123="","",IF(INDEX('潜水記録'!$AW$5:$AW$3004,$AS123)="","",INDEX('潜水記録'!$AW$5:$AW$3004,$AS123)))</f>
        <v/>
      </c>
      <c r="AS123" s="20">
        <f>IF($A123="","",MATCH($A123,'潜水記録'!$AI$5:$AI$3004,0))</f>
        <v/>
      </c>
    </row>
    <row r="124">
      <c r="A124" s="14">
        <f>IF(114&lt;=$C$8,114,"")</f>
        <v/>
      </c>
      <c r="B124" s="16">
        <f>IF($A124="","",IF(INDEX('潜水記録'!$A$5:$A$3004,$AS124)="","",INDEX('潜水記録'!$A$5:$A$3004,$AS124)))</f>
        <v/>
      </c>
      <c r="C124" s="14">
        <f>IF($A124="","",IF(INDEX('潜水記録'!$B$5:$B$3004,$AS124)="","",INDEX('潜水記録'!$B$5:$B$3004,$AS124)))</f>
        <v/>
      </c>
      <c r="D124" s="14">
        <f>IF($A124="","",IF(INDEX('潜水記録'!$C$5:$C$3004,$AS124)="","",INDEX('潜水記録'!$C$5:$C$3004,$AS124)))</f>
        <v/>
      </c>
      <c r="E124" s="14">
        <f>IF($A124="","",IF(INDEX('潜水記録'!$D$5:$D$3004,$AS124)="","",INDEX('潜水記録'!$D$5:$D$3004,$AS124)))</f>
        <v/>
      </c>
      <c r="F124" s="14">
        <f>IF($A124="","",IF(INDEX('潜水記録'!$E$5:$E$3004,$AS124)="","",INDEX('潜水記録'!$E$5:$E$3004,$AS124)))</f>
        <v/>
      </c>
      <c r="G124" s="14">
        <f>IF($A124="","",IF(INDEX('潜水記録'!$F$5:$F$3004,$AS124)="","",INDEX('潜水記録'!$F$5:$F$3004,$AS124)))</f>
        <v/>
      </c>
      <c r="H124" s="14">
        <f>IF($A124="","",IF(INDEX('潜水記録'!$G$5:$G$3004,$AS124)="","",INDEX('潜水記録'!$G$5:$G$3004,$AS124)))</f>
        <v/>
      </c>
      <c r="I124" s="14">
        <f>IF($A124="","",IF(INDEX('潜水記録'!$H$5:$H$3004,$AS124)="","",INDEX('潜水記録'!$H$5:$H$3004,$AS124)))</f>
        <v/>
      </c>
      <c r="J124" s="14">
        <f>IF($A124="","",IF(INDEX('潜水記録'!$I$5:$I$3004,$AS124)="","",INDEX('潜水記録'!$I$5:$I$3004,$AS124)))</f>
        <v/>
      </c>
      <c r="K124" s="14">
        <f>IF($A124="","",IF(INDEX('潜水記録'!$J$5:$J$3004,$AS124)="","",INDEX('潜水記録'!$J$5:$J$3004,$AS124)))</f>
        <v/>
      </c>
      <c r="L124" s="14">
        <f>IF($A124="","",IF(INDEX('潜水記録'!$K$5:$K$3004,$AS124)="","",INDEX('潜水記録'!$K$5:$K$3004,$AS124)))</f>
        <v/>
      </c>
      <c r="M124" s="14">
        <f>IF($A124="","",IF(INDEX('潜水記録'!$L$5:$L$3004,$AS124)="","",INDEX('潜水記録'!$L$5:$L$3004,$AS124)))</f>
        <v/>
      </c>
      <c r="N124" s="14">
        <f>IF($A124="","",IF(INDEX('潜水記録'!$M$5:$M$3004,$AS124)="","",INDEX('潜水記録'!$M$5:$M$3004,$AS124)))</f>
        <v/>
      </c>
      <c r="O124" s="14">
        <f>IF($A124="","",IF(INDEX('潜水記録'!$N$5:$N$3004,$AS124)="","",INDEX('潜水記録'!$N$5:$N$3004,$AS124)))</f>
        <v/>
      </c>
      <c r="P124" s="14">
        <f>IF($A124="","",IF(INDEX('潜水記録'!$O$5:$O$3004,$AS124)="","",INDEX('潜水記録'!$O$5:$O$3004,$AS124)))</f>
        <v/>
      </c>
      <c r="Q124" s="14">
        <f>IF($A124="","",IF(INDEX('潜水記録'!$P$5:$P$3004,$AS124)="","",INDEX('潜水記録'!$P$5:$P$3004,$AS124)))</f>
        <v/>
      </c>
      <c r="R124" s="14">
        <f>IF($A124="","",IF(INDEX('潜水記録'!$Q$5:$Q$3004,$AS124)="","",INDEX('潜水記録'!$Q$5:$Q$3004,$AS124)))</f>
        <v/>
      </c>
      <c r="S124" s="14">
        <f>IF($A124="","",IF(INDEX('潜水記録'!$R$5:$R$3004,$AS124)="","",INDEX('潜水記録'!$R$5:$R$3004,$AS124)))</f>
        <v/>
      </c>
      <c r="T124" s="14">
        <f>IF($A124="","",IF(INDEX('潜水記録'!$S$5:$S$3004,$AS124)="","",INDEX('潜水記録'!$S$5:$S$3004,$AS124)))</f>
        <v/>
      </c>
      <c r="U124" s="14">
        <f>IF($A124="","",IF(INDEX('潜水記録'!$T$5:$T$3004,$AS124)="","",INDEX('潜水記録'!$T$5:$T$3004,$AS124)))</f>
        <v/>
      </c>
      <c r="V124" s="46">
        <f>IF($A124="","",IF(INDEX('潜水記録'!$U$5:$U$3004,$AS124)="","",INDEX('潜水記録'!$U$5:$U$3004,$AS124)))</f>
        <v/>
      </c>
      <c r="W124" s="46">
        <f>IF($A124="","",IF(INDEX('潜水記録'!$V$5:$V$3004,$AS124)="","",INDEX('潜水記録'!$V$5:$V$3004,$AS124)))</f>
        <v/>
      </c>
      <c r="X124" s="14">
        <f>IF($A124="","",IF(INDEX('潜水記録'!$W$5:$W$3004,$AS124)="","",INDEX('潜水記録'!$W$5:$W$3004,$AS124)))</f>
        <v/>
      </c>
      <c r="Y124" s="14">
        <f>IF($A124="","",IF(INDEX('潜水記録'!$X$5:$X$3004,$AS124)="","",INDEX('潜水記録'!$X$5:$X$3004,$AS124)))</f>
        <v/>
      </c>
      <c r="Z124" s="14">
        <f>IF($A124="","",IF(INDEX('潜水記録'!$Y$5:$Y$3004,$AS124)="","",INDEX('潜水記録'!$Y$5:$Y$3004,$AS124)))</f>
        <v/>
      </c>
      <c r="AA124" s="14">
        <f>IF($A124="","",IF(INDEX('潜水記録'!$Z$5:$Z$3004,$AS124)="","",INDEX('潜水記録'!$Z$5:$Z$3004,$AS124)))</f>
        <v/>
      </c>
      <c r="AB124" s="14">
        <f>IF($A124="","",IF(INDEX('潜水記録'!$AA$5:$AA$3004,$AS124)="","",INDEX('潜水記録'!$AA$5:$AA$3004,$AS124)))</f>
        <v/>
      </c>
      <c r="AC124" s="14">
        <f>IF($A124="","",IF(INDEX('潜水記録'!$AB$5:$AB$3004,$AS124)="","",INDEX('潜水記録'!$AB$5:$AB$3004,$AS124)))</f>
        <v/>
      </c>
      <c r="AD124" s="14">
        <f>IF($A124="","",IF(INDEX('潜水記録'!$AC$5:$AC$3004,$AS124)="","",INDEX('潜水記録'!$AC$5:$AC$3004,$AS124)))</f>
        <v/>
      </c>
      <c r="AE124" s="14">
        <f>IF($A124="","",IF(INDEX('潜水記録'!$AD$5:$AD$3004,$AS124)="","",INDEX('潜水記録'!$AD$5:$AD$3004,$AS124)))</f>
        <v/>
      </c>
      <c r="AF124" s="14">
        <f>IF($A124="","",IF(INDEX('潜水記録'!$AE$5:$AE$3004,$AS124)="","",INDEX('潜水記録'!$AE$5:$AE$3004,$AS124)))</f>
        <v/>
      </c>
      <c r="AG124" s="14">
        <f>IF($A124="","",IF(INDEX('潜水記録'!$AL$5:$AL$3004,$AS124)="","",INDEX('潜水記録'!$AL$5:$AL$3004,$AS124)))</f>
        <v/>
      </c>
      <c r="AH124" s="14">
        <f>IF($A124="","",IF(INDEX('潜水記録'!$AM$5:$AM$3004,$AS124)="","",INDEX('潜水記録'!$AM$5:$AM$3004,$AS124)))</f>
        <v/>
      </c>
      <c r="AI124" s="46">
        <f>IF($A124="","",IF(INDEX('潜水記録'!$AN$5:$AN$3004,$AS124)="","",INDEX('潜水記録'!$AN$5:$AN$3004,$AS124)))</f>
        <v/>
      </c>
      <c r="AJ124" s="14">
        <f>IF($A124="","",IF(INDEX('潜水記録'!$AO$5:$AO$3004,$AS124)="","",INDEX('潜水記録'!$AO$5:$AO$3004,$AS124)))</f>
        <v/>
      </c>
      <c r="AK124" s="14">
        <f>IF($A124="","",IF(INDEX('潜水記録'!$AP$5:$AP$3004,$AS124)="","",INDEX('潜水記録'!$AP$5:$AP$3004,$AS124)))</f>
        <v/>
      </c>
      <c r="AL124" s="14">
        <f>IF($A124="","",IF(INDEX('潜水記録'!$AQ$5:$AQ$3004,$AS124)="","",INDEX('潜水記録'!$AQ$5:$AQ$3004,$AS124)))</f>
        <v/>
      </c>
      <c r="AM124" s="14">
        <f>IF($A124="","",IF(INDEX('潜水記録'!$AR$5:$AR$3004,$AS124)="","",INDEX('潜水記録'!$AR$5:$AR$3004,$AS124)))</f>
        <v/>
      </c>
      <c r="AN124" s="14">
        <f>IF($A124="","",IF(INDEX('潜水記録'!$AS$5:$AS$3004,$AS124)="","",INDEX('潜水記録'!$AS$5:$AS$3004,$AS124)))</f>
        <v/>
      </c>
      <c r="AO124" s="14">
        <f>IF($A124="","",IF(INDEX('潜水記録'!$AT$5:$AT$3004,$AS124)="","",INDEX('潜水記録'!$AT$5:$AT$3004,$AS124)))</f>
        <v/>
      </c>
      <c r="AP124" s="14">
        <f>IF($A124="","",IF(INDEX('潜水記録'!$AU$5:$AU$3004,$AS124)="","",INDEX('潜水記録'!$AU$5:$AU$3004,$AS124)))</f>
        <v/>
      </c>
      <c r="AQ124" s="14">
        <f>IF($A124="","",IF(INDEX('潜水記録'!$AV$5:$AV$3004,$AS124)="","",INDEX('潜水記録'!$AV$5:$AV$3004,$AS124)))</f>
        <v/>
      </c>
      <c r="AR124" s="14">
        <f>IF($A124="","",IF(INDEX('潜水記録'!$AW$5:$AW$3004,$AS124)="","",INDEX('潜水記録'!$AW$5:$AW$3004,$AS124)))</f>
        <v/>
      </c>
      <c r="AS124" s="20">
        <f>IF($A124="","",MATCH($A124,'潜水記録'!$AI$5:$AI$3004,0))</f>
        <v/>
      </c>
    </row>
    <row r="125">
      <c r="A125" s="14">
        <f>IF(115&lt;=$C$8,115,"")</f>
        <v/>
      </c>
      <c r="B125" s="16">
        <f>IF($A125="","",IF(INDEX('潜水記録'!$A$5:$A$3004,$AS125)="","",INDEX('潜水記録'!$A$5:$A$3004,$AS125)))</f>
        <v/>
      </c>
      <c r="C125" s="14">
        <f>IF($A125="","",IF(INDEX('潜水記録'!$B$5:$B$3004,$AS125)="","",INDEX('潜水記録'!$B$5:$B$3004,$AS125)))</f>
        <v/>
      </c>
      <c r="D125" s="14">
        <f>IF($A125="","",IF(INDEX('潜水記録'!$C$5:$C$3004,$AS125)="","",INDEX('潜水記録'!$C$5:$C$3004,$AS125)))</f>
        <v/>
      </c>
      <c r="E125" s="14">
        <f>IF($A125="","",IF(INDEX('潜水記録'!$D$5:$D$3004,$AS125)="","",INDEX('潜水記録'!$D$5:$D$3004,$AS125)))</f>
        <v/>
      </c>
      <c r="F125" s="14">
        <f>IF($A125="","",IF(INDEX('潜水記録'!$E$5:$E$3004,$AS125)="","",INDEX('潜水記録'!$E$5:$E$3004,$AS125)))</f>
        <v/>
      </c>
      <c r="G125" s="14">
        <f>IF($A125="","",IF(INDEX('潜水記録'!$F$5:$F$3004,$AS125)="","",INDEX('潜水記録'!$F$5:$F$3004,$AS125)))</f>
        <v/>
      </c>
      <c r="H125" s="14">
        <f>IF($A125="","",IF(INDEX('潜水記録'!$G$5:$G$3004,$AS125)="","",INDEX('潜水記録'!$G$5:$G$3004,$AS125)))</f>
        <v/>
      </c>
      <c r="I125" s="14">
        <f>IF($A125="","",IF(INDEX('潜水記録'!$H$5:$H$3004,$AS125)="","",INDEX('潜水記録'!$H$5:$H$3004,$AS125)))</f>
        <v/>
      </c>
      <c r="J125" s="14">
        <f>IF($A125="","",IF(INDEX('潜水記録'!$I$5:$I$3004,$AS125)="","",INDEX('潜水記録'!$I$5:$I$3004,$AS125)))</f>
        <v/>
      </c>
      <c r="K125" s="14">
        <f>IF($A125="","",IF(INDEX('潜水記録'!$J$5:$J$3004,$AS125)="","",INDEX('潜水記録'!$J$5:$J$3004,$AS125)))</f>
        <v/>
      </c>
      <c r="L125" s="14">
        <f>IF($A125="","",IF(INDEX('潜水記録'!$K$5:$K$3004,$AS125)="","",INDEX('潜水記録'!$K$5:$K$3004,$AS125)))</f>
        <v/>
      </c>
      <c r="M125" s="14">
        <f>IF($A125="","",IF(INDEX('潜水記録'!$L$5:$L$3004,$AS125)="","",INDEX('潜水記録'!$L$5:$L$3004,$AS125)))</f>
        <v/>
      </c>
      <c r="N125" s="14">
        <f>IF($A125="","",IF(INDEX('潜水記録'!$M$5:$M$3004,$AS125)="","",INDEX('潜水記録'!$M$5:$M$3004,$AS125)))</f>
        <v/>
      </c>
      <c r="O125" s="14">
        <f>IF($A125="","",IF(INDEX('潜水記録'!$N$5:$N$3004,$AS125)="","",INDEX('潜水記録'!$N$5:$N$3004,$AS125)))</f>
        <v/>
      </c>
      <c r="P125" s="14">
        <f>IF($A125="","",IF(INDEX('潜水記録'!$O$5:$O$3004,$AS125)="","",INDEX('潜水記録'!$O$5:$O$3004,$AS125)))</f>
        <v/>
      </c>
      <c r="Q125" s="14">
        <f>IF($A125="","",IF(INDEX('潜水記録'!$P$5:$P$3004,$AS125)="","",INDEX('潜水記録'!$P$5:$P$3004,$AS125)))</f>
        <v/>
      </c>
      <c r="R125" s="14">
        <f>IF($A125="","",IF(INDEX('潜水記録'!$Q$5:$Q$3004,$AS125)="","",INDEX('潜水記録'!$Q$5:$Q$3004,$AS125)))</f>
        <v/>
      </c>
      <c r="S125" s="14">
        <f>IF($A125="","",IF(INDEX('潜水記録'!$R$5:$R$3004,$AS125)="","",INDEX('潜水記録'!$R$5:$R$3004,$AS125)))</f>
        <v/>
      </c>
      <c r="T125" s="14">
        <f>IF($A125="","",IF(INDEX('潜水記録'!$S$5:$S$3004,$AS125)="","",INDEX('潜水記録'!$S$5:$S$3004,$AS125)))</f>
        <v/>
      </c>
      <c r="U125" s="14">
        <f>IF($A125="","",IF(INDEX('潜水記録'!$T$5:$T$3004,$AS125)="","",INDEX('潜水記録'!$T$5:$T$3004,$AS125)))</f>
        <v/>
      </c>
      <c r="V125" s="46">
        <f>IF($A125="","",IF(INDEX('潜水記録'!$U$5:$U$3004,$AS125)="","",INDEX('潜水記録'!$U$5:$U$3004,$AS125)))</f>
        <v/>
      </c>
      <c r="W125" s="46">
        <f>IF($A125="","",IF(INDEX('潜水記録'!$V$5:$V$3004,$AS125)="","",INDEX('潜水記録'!$V$5:$V$3004,$AS125)))</f>
        <v/>
      </c>
      <c r="X125" s="14">
        <f>IF($A125="","",IF(INDEX('潜水記録'!$W$5:$W$3004,$AS125)="","",INDEX('潜水記録'!$W$5:$W$3004,$AS125)))</f>
        <v/>
      </c>
      <c r="Y125" s="14">
        <f>IF($A125="","",IF(INDEX('潜水記録'!$X$5:$X$3004,$AS125)="","",INDEX('潜水記録'!$X$5:$X$3004,$AS125)))</f>
        <v/>
      </c>
      <c r="Z125" s="14">
        <f>IF($A125="","",IF(INDEX('潜水記録'!$Y$5:$Y$3004,$AS125)="","",INDEX('潜水記録'!$Y$5:$Y$3004,$AS125)))</f>
        <v/>
      </c>
      <c r="AA125" s="14">
        <f>IF($A125="","",IF(INDEX('潜水記録'!$Z$5:$Z$3004,$AS125)="","",INDEX('潜水記録'!$Z$5:$Z$3004,$AS125)))</f>
        <v/>
      </c>
      <c r="AB125" s="14">
        <f>IF($A125="","",IF(INDEX('潜水記録'!$AA$5:$AA$3004,$AS125)="","",INDEX('潜水記録'!$AA$5:$AA$3004,$AS125)))</f>
        <v/>
      </c>
      <c r="AC125" s="14">
        <f>IF($A125="","",IF(INDEX('潜水記録'!$AB$5:$AB$3004,$AS125)="","",INDEX('潜水記録'!$AB$5:$AB$3004,$AS125)))</f>
        <v/>
      </c>
      <c r="AD125" s="14">
        <f>IF($A125="","",IF(INDEX('潜水記録'!$AC$5:$AC$3004,$AS125)="","",INDEX('潜水記録'!$AC$5:$AC$3004,$AS125)))</f>
        <v/>
      </c>
      <c r="AE125" s="14">
        <f>IF($A125="","",IF(INDEX('潜水記録'!$AD$5:$AD$3004,$AS125)="","",INDEX('潜水記録'!$AD$5:$AD$3004,$AS125)))</f>
        <v/>
      </c>
      <c r="AF125" s="14">
        <f>IF($A125="","",IF(INDEX('潜水記録'!$AE$5:$AE$3004,$AS125)="","",INDEX('潜水記録'!$AE$5:$AE$3004,$AS125)))</f>
        <v/>
      </c>
      <c r="AG125" s="14">
        <f>IF($A125="","",IF(INDEX('潜水記録'!$AL$5:$AL$3004,$AS125)="","",INDEX('潜水記録'!$AL$5:$AL$3004,$AS125)))</f>
        <v/>
      </c>
      <c r="AH125" s="14">
        <f>IF($A125="","",IF(INDEX('潜水記録'!$AM$5:$AM$3004,$AS125)="","",INDEX('潜水記録'!$AM$5:$AM$3004,$AS125)))</f>
        <v/>
      </c>
      <c r="AI125" s="46">
        <f>IF($A125="","",IF(INDEX('潜水記録'!$AN$5:$AN$3004,$AS125)="","",INDEX('潜水記録'!$AN$5:$AN$3004,$AS125)))</f>
        <v/>
      </c>
      <c r="AJ125" s="14">
        <f>IF($A125="","",IF(INDEX('潜水記録'!$AO$5:$AO$3004,$AS125)="","",INDEX('潜水記録'!$AO$5:$AO$3004,$AS125)))</f>
        <v/>
      </c>
      <c r="AK125" s="14">
        <f>IF($A125="","",IF(INDEX('潜水記録'!$AP$5:$AP$3004,$AS125)="","",INDEX('潜水記録'!$AP$5:$AP$3004,$AS125)))</f>
        <v/>
      </c>
      <c r="AL125" s="14">
        <f>IF($A125="","",IF(INDEX('潜水記録'!$AQ$5:$AQ$3004,$AS125)="","",INDEX('潜水記録'!$AQ$5:$AQ$3004,$AS125)))</f>
        <v/>
      </c>
      <c r="AM125" s="14">
        <f>IF($A125="","",IF(INDEX('潜水記録'!$AR$5:$AR$3004,$AS125)="","",INDEX('潜水記録'!$AR$5:$AR$3004,$AS125)))</f>
        <v/>
      </c>
      <c r="AN125" s="14">
        <f>IF($A125="","",IF(INDEX('潜水記録'!$AS$5:$AS$3004,$AS125)="","",INDEX('潜水記録'!$AS$5:$AS$3004,$AS125)))</f>
        <v/>
      </c>
      <c r="AO125" s="14">
        <f>IF($A125="","",IF(INDEX('潜水記録'!$AT$5:$AT$3004,$AS125)="","",INDEX('潜水記録'!$AT$5:$AT$3004,$AS125)))</f>
        <v/>
      </c>
      <c r="AP125" s="14">
        <f>IF($A125="","",IF(INDEX('潜水記録'!$AU$5:$AU$3004,$AS125)="","",INDEX('潜水記録'!$AU$5:$AU$3004,$AS125)))</f>
        <v/>
      </c>
      <c r="AQ125" s="14">
        <f>IF($A125="","",IF(INDEX('潜水記録'!$AV$5:$AV$3004,$AS125)="","",INDEX('潜水記録'!$AV$5:$AV$3004,$AS125)))</f>
        <v/>
      </c>
      <c r="AR125" s="14">
        <f>IF($A125="","",IF(INDEX('潜水記録'!$AW$5:$AW$3004,$AS125)="","",INDEX('潜水記録'!$AW$5:$AW$3004,$AS125)))</f>
        <v/>
      </c>
      <c r="AS125" s="20">
        <f>IF($A125="","",MATCH($A125,'潜水記録'!$AI$5:$AI$3004,0))</f>
        <v/>
      </c>
    </row>
    <row r="126">
      <c r="A126" s="14">
        <f>IF(116&lt;=$C$8,116,"")</f>
        <v/>
      </c>
      <c r="B126" s="16">
        <f>IF($A126="","",IF(INDEX('潜水記録'!$A$5:$A$3004,$AS126)="","",INDEX('潜水記録'!$A$5:$A$3004,$AS126)))</f>
        <v/>
      </c>
      <c r="C126" s="14">
        <f>IF($A126="","",IF(INDEX('潜水記録'!$B$5:$B$3004,$AS126)="","",INDEX('潜水記録'!$B$5:$B$3004,$AS126)))</f>
        <v/>
      </c>
      <c r="D126" s="14">
        <f>IF($A126="","",IF(INDEX('潜水記録'!$C$5:$C$3004,$AS126)="","",INDEX('潜水記録'!$C$5:$C$3004,$AS126)))</f>
        <v/>
      </c>
      <c r="E126" s="14">
        <f>IF($A126="","",IF(INDEX('潜水記録'!$D$5:$D$3004,$AS126)="","",INDEX('潜水記録'!$D$5:$D$3004,$AS126)))</f>
        <v/>
      </c>
      <c r="F126" s="14">
        <f>IF($A126="","",IF(INDEX('潜水記録'!$E$5:$E$3004,$AS126)="","",INDEX('潜水記録'!$E$5:$E$3004,$AS126)))</f>
        <v/>
      </c>
      <c r="G126" s="14">
        <f>IF($A126="","",IF(INDEX('潜水記録'!$F$5:$F$3004,$AS126)="","",INDEX('潜水記録'!$F$5:$F$3004,$AS126)))</f>
        <v/>
      </c>
      <c r="H126" s="14">
        <f>IF($A126="","",IF(INDEX('潜水記録'!$G$5:$G$3004,$AS126)="","",INDEX('潜水記録'!$G$5:$G$3004,$AS126)))</f>
        <v/>
      </c>
      <c r="I126" s="14">
        <f>IF($A126="","",IF(INDEX('潜水記録'!$H$5:$H$3004,$AS126)="","",INDEX('潜水記録'!$H$5:$H$3004,$AS126)))</f>
        <v/>
      </c>
      <c r="J126" s="14">
        <f>IF($A126="","",IF(INDEX('潜水記録'!$I$5:$I$3004,$AS126)="","",INDEX('潜水記録'!$I$5:$I$3004,$AS126)))</f>
        <v/>
      </c>
      <c r="K126" s="14">
        <f>IF($A126="","",IF(INDEX('潜水記録'!$J$5:$J$3004,$AS126)="","",INDEX('潜水記録'!$J$5:$J$3004,$AS126)))</f>
        <v/>
      </c>
      <c r="L126" s="14">
        <f>IF($A126="","",IF(INDEX('潜水記録'!$K$5:$K$3004,$AS126)="","",INDEX('潜水記録'!$K$5:$K$3004,$AS126)))</f>
        <v/>
      </c>
      <c r="M126" s="14">
        <f>IF($A126="","",IF(INDEX('潜水記録'!$L$5:$L$3004,$AS126)="","",INDEX('潜水記録'!$L$5:$L$3004,$AS126)))</f>
        <v/>
      </c>
      <c r="N126" s="14">
        <f>IF($A126="","",IF(INDEX('潜水記録'!$M$5:$M$3004,$AS126)="","",INDEX('潜水記録'!$M$5:$M$3004,$AS126)))</f>
        <v/>
      </c>
      <c r="O126" s="14">
        <f>IF($A126="","",IF(INDEX('潜水記録'!$N$5:$N$3004,$AS126)="","",INDEX('潜水記録'!$N$5:$N$3004,$AS126)))</f>
        <v/>
      </c>
      <c r="P126" s="14">
        <f>IF($A126="","",IF(INDEX('潜水記録'!$O$5:$O$3004,$AS126)="","",INDEX('潜水記録'!$O$5:$O$3004,$AS126)))</f>
        <v/>
      </c>
      <c r="Q126" s="14">
        <f>IF($A126="","",IF(INDEX('潜水記録'!$P$5:$P$3004,$AS126)="","",INDEX('潜水記録'!$P$5:$P$3004,$AS126)))</f>
        <v/>
      </c>
      <c r="R126" s="14">
        <f>IF($A126="","",IF(INDEX('潜水記録'!$Q$5:$Q$3004,$AS126)="","",INDEX('潜水記録'!$Q$5:$Q$3004,$AS126)))</f>
        <v/>
      </c>
      <c r="S126" s="14">
        <f>IF($A126="","",IF(INDEX('潜水記録'!$R$5:$R$3004,$AS126)="","",INDEX('潜水記録'!$R$5:$R$3004,$AS126)))</f>
        <v/>
      </c>
      <c r="T126" s="14">
        <f>IF($A126="","",IF(INDEX('潜水記録'!$S$5:$S$3004,$AS126)="","",INDEX('潜水記録'!$S$5:$S$3004,$AS126)))</f>
        <v/>
      </c>
      <c r="U126" s="14">
        <f>IF($A126="","",IF(INDEX('潜水記録'!$T$5:$T$3004,$AS126)="","",INDEX('潜水記録'!$T$5:$T$3004,$AS126)))</f>
        <v/>
      </c>
      <c r="V126" s="46">
        <f>IF($A126="","",IF(INDEX('潜水記録'!$U$5:$U$3004,$AS126)="","",INDEX('潜水記録'!$U$5:$U$3004,$AS126)))</f>
        <v/>
      </c>
      <c r="W126" s="46">
        <f>IF($A126="","",IF(INDEX('潜水記録'!$V$5:$V$3004,$AS126)="","",INDEX('潜水記録'!$V$5:$V$3004,$AS126)))</f>
        <v/>
      </c>
      <c r="X126" s="14">
        <f>IF($A126="","",IF(INDEX('潜水記録'!$W$5:$W$3004,$AS126)="","",INDEX('潜水記録'!$W$5:$W$3004,$AS126)))</f>
        <v/>
      </c>
      <c r="Y126" s="14">
        <f>IF($A126="","",IF(INDEX('潜水記録'!$X$5:$X$3004,$AS126)="","",INDEX('潜水記録'!$X$5:$X$3004,$AS126)))</f>
        <v/>
      </c>
      <c r="Z126" s="14">
        <f>IF($A126="","",IF(INDEX('潜水記録'!$Y$5:$Y$3004,$AS126)="","",INDEX('潜水記録'!$Y$5:$Y$3004,$AS126)))</f>
        <v/>
      </c>
      <c r="AA126" s="14">
        <f>IF($A126="","",IF(INDEX('潜水記録'!$Z$5:$Z$3004,$AS126)="","",INDEX('潜水記録'!$Z$5:$Z$3004,$AS126)))</f>
        <v/>
      </c>
      <c r="AB126" s="14">
        <f>IF($A126="","",IF(INDEX('潜水記録'!$AA$5:$AA$3004,$AS126)="","",INDEX('潜水記録'!$AA$5:$AA$3004,$AS126)))</f>
        <v/>
      </c>
      <c r="AC126" s="14">
        <f>IF($A126="","",IF(INDEX('潜水記録'!$AB$5:$AB$3004,$AS126)="","",INDEX('潜水記録'!$AB$5:$AB$3004,$AS126)))</f>
        <v/>
      </c>
      <c r="AD126" s="14">
        <f>IF($A126="","",IF(INDEX('潜水記録'!$AC$5:$AC$3004,$AS126)="","",INDEX('潜水記録'!$AC$5:$AC$3004,$AS126)))</f>
        <v/>
      </c>
      <c r="AE126" s="14">
        <f>IF($A126="","",IF(INDEX('潜水記録'!$AD$5:$AD$3004,$AS126)="","",INDEX('潜水記録'!$AD$5:$AD$3004,$AS126)))</f>
        <v/>
      </c>
      <c r="AF126" s="14">
        <f>IF($A126="","",IF(INDEX('潜水記録'!$AE$5:$AE$3004,$AS126)="","",INDEX('潜水記録'!$AE$5:$AE$3004,$AS126)))</f>
        <v/>
      </c>
      <c r="AG126" s="14">
        <f>IF($A126="","",IF(INDEX('潜水記録'!$AL$5:$AL$3004,$AS126)="","",INDEX('潜水記録'!$AL$5:$AL$3004,$AS126)))</f>
        <v/>
      </c>
      <c r="AH126" s="14">
        <f>IF($A126="","",IF(INDEX('潜水記録'!$AM$5:$AM$3004,$AS126)="","",INDEX('潜水記録'!$AM$5:$AM$3004,$AS126)))</f>
        <v/>
      </c>
      <c r="AI126" s="46">
        <f>IF($A126="","",IF(INDEX('潜水記録'!$AN$5:$AN$3004,$AS126)="","",INDEX('潜水記録'!$AN$5:$AN$3004,$AS126)))</f>
        <v/>
      </c>
      <c r="AJ126" s="14">
        <f>IF($A126="","",IF(INDEX('潜水記録'!$AO$5:$AO$3004,$AS126)="","",INDEX('潜水記録'!$AO$5:$AO$3004,$AS126)))</f>
        <v/>
      </c>
      <c r="AK126" s="14">
        <f>IF($A126="","",IF(INDEX('潜水記録'!$AP$5:$AP$3004,$AS126)="","",INDEX('潜水記録'!$AP$5:$AP$3004,$AS126)))</f>
        <v/>
      </c>
      <c r="AL126" s="14">
        <f>IF($A126="","",IF(INDEX('潜水記録'!$AQ$5:$AQ$3004,$AS126)="","",INDEX('潜水記録'!$AQ$5:$AQ$3004,$AS126)))</f>
        <v/>
      </c>
      <c r="AM126" s="14">
        <f>IF($A126="","",IF(INDEX('潜水記録'!$AR$5:$AR$3004,$AS126)="","",INDEX('潜水記録'!$AR$5:$AR$3004,$AS126)))</f>
        <v/>
      </c>
      <c r="AN126" s="14">
        <f>IF($A126="","",IF(INDEX('潜水記録'!$AS$5:$AS$3004,$AS126)="","",INDEX('潜水記録'!$AS$5:$AS$3004,$AS126)))</f>
        <v/>
      </c>
      <c r="AO126" s="14">
        <f>IF($A126="","",IF(INDEX('潜水記録'!$AT$5:$AT$3004,$AS126)="","",INDEX('潜水記録'!$AT$5:$AT$3004,$AS126)))</f>
        <v/>
      </c>
      <c r="AP126" s="14">
        <f>IF($A126="","",IF(INDEX('潜水記録'!$AU$5:$AU$3004,$AS126)="","",INDEX('潜水記録'!$AU$5:$AU$3004,$AS126)))</f>
        <v/>
      </c>
      <c r="AQ126" s="14">
        <f>IF($A126="","",IF(INDEX('潜水記録'!$AV$5:$AV$3004,$AS126)="","",INDEX('潜水記録'!$AV$5:$AV$3004,$AS126)))</f>
        <v/>
      </c>
      <c r="AR126" s="14">
        <f>IF($A126="","",IF(INDEX('潜水記録'!$AW$5:$AW$3004,$AS126)="","",INDEX('潜水記録'!$AW$5:$AW$3004,$AS126)))</f>
        <v/>
      </c>
      <c r="AS126" s="20">
        <f>IF($A126="","",MATCH($A126,'潜水記録'!$AI$5:$AI$3004,0))</f>
        <v/>
      </c>
    </row>
    <row r="127">
      <c r="A127" s="14">
        <f>IF(117&lt;=$C$8,117,"")</f>
        <v/>
      </c>
      <c r="B127" s="16">
        <f>IF($A127="","",IF(INDEX('潜水記録'!$A$5:$A$3004,$AS127)="","",INDEX('潜水記録'!$A$5:$A$3004,$AS127)))</f>
        <v/>
      </c>
      <c r="C127" s="14">
        <f>IF($A127="","",IF(INDEX('潜水記録'!$B$5:$B$3004,$AS127)="","",INDEX('潜水記録'!$B$5:$B$3004,$AS127)))</f>
        <v/>
      </c>
      <c r="D127" s="14">
        <f>IF($A127="","",IF(INDEX('潜水記録'!$C$5:$C$3004,$AS127)="","",INDEX('潜水記録'!$C$5:$C$3004,$AS127)))</f>
        <v/>
      </c>
      <c r="E127" s="14">
        <f>IF($A127="","",IF(INDEX('潜水記録'!$D$5:$D$3004,$AS127)="","",INDEX('潜水記録'!$D$5:$D$3004,$AS127)))</f>
        <v/>
      </c>
      <c r="F127" s="14">
        <f>IF($A127="","",IF(INDEX('潜水記録'!$E$5:$E$3004,$AS127)="","",INDEX('潜水記録'!$E$5:$E$3004,$AS127)))</f>
        <v/>
      </c>
      <c r="G127" s="14">
        <f>IF($A127="","",IF(INDEX('潜水記録'!$F$5:$F$3004,$AS127)="","",INDEX('潜水記録'!$F$5:$F$3004,$AS127)))</f>
        <v/>
      </c>
      <c r="H127" s="14">
        <f>IF($A127="","",IF(INDEX('潜水記録'!$G$5:$G$3004,$AS127)="","",INDEX('潜水記録'!$G$5:$G$3004,$AS127)))</f>
        <v/>
      </c>
      <c r="I127" s="14">
        <f>IF($A127="","",IF(INDEX('潜水記録'!$H$5:$H$3004,$AS127)="","",INDEX('潜水記録'!$H$5:$H$3004,$AS127)))</f>
        <v/>
      </c>
      <c r="J127" s="14">
        <f>IF($A127="","",IF(INDEX('潜水記録'!$I$5:$I$3004,$AS127)="","",INDEX('潜水記録'!$I$5:$I$3004,$AS127)))</f>
        <v/>
      </c>
      <c r="K127" s="14">
        <f>IF($A127="","",IF(INDEX('潜水記録'!$J$5:$J$3004,$AS127)="","",INDEX('潜水記録'!$J$5:$J$3004,$AS127)))</f>
        <v/>
      </c>
      <c r="L127" s="14">
        <f>IF($A127="","",IF(INDEX('潜水記録'!$K$5:$K$3004,$AS127)="","",INDEX('潜水記録'!$K$5:$K$3004,$AS127)))</f>
        <v/>
      </c>
      <c r="M127" s="14">
        <f>IF($A127="","",IF(INDEX('潜水記録'!$L$5:$L$3004,$AS127)="","",INDEX('潜水記録'!$L$5:$L$3004,$AS127)))</f>
        <v/>
      </c>
      <c r="N127" s="14">
        <f>IF($A127="","",IF(INDEX('潜水記録'!$M$5:$M$3004,$AS127)="","",INDEX('潜水記録'!$M$5:$M$3004,$AS127)))</f>
        <v/>
      </c>
      <c r="O127" s="14">
        <f>IF($A127="","",IF(INDEX('潜水記録'!$N$5:$N$3004,$AS127)="","",INDEX('潜水記録'!$N$5:$N$3004,$AS127)))</f>
        <v/>
      </c>
      <c r="P127" s="14">
        <f>IF($A127="","",IF(INDEX('潜水記録'!$O$5:$O$3004,$AS127)="","",INDEX('潜水記録'!$O$5:$O$3004,$AS127)))</f>
        <v/>
      </c>
      <c r="Q127" s="14">
        <f>IF($A127="","",IF(INDEX('潜水記録'!$P$5:$P$3004,$AS127)="","",INDEX('潜水記録'!$P$5:$P$3004,$AS127)))</f>
        <v/>
      </c>
      <c r="R127" s="14">
        <f>IF($A127="","",IF(INDEX('潜水記録'!$Q$5:$Q$3004,$AS127)="","",INDEX('潜水記録'!$Q$5:$Q$3004,$AS127)))</f>
        <v/>
      </c>
      <c r="S127" s="14">
        <f>IF($A127="","",IF(INDEX('潜水記録'!$R$5:$R$3004,$AS127)="","",INDEX('潜水記録'!$R$5:$R$3004,$AS127)))</f>
        <v/>
      </c>
      <c r="T127" s="14">
        <f>IF($A127="","",IF(INDEX('潜水記録'!$S$5:$S$3004,$AS127)="","",INDEX('潜水記録'!$S$5:$S$3004,$AS127)))</f>
        <v/>
      </c>
      <c r="U127" s="14">
        <f>IF($A127="","",IF(INDEX('潜水記録'!$T$5:$T$3004,$AS127)="","",INDEX('潜水記録'!$T$5:$T$3004,$AS127)))</f>
        <v/>
      </c>
      <c r="V127" s="46">
        <f>IF($A127="","",IF(INDEX('潜水記録'!$U$5:$U$3004,$AS127)="","",INDEX('潜水記録'!$U$5:$U$3004,$AS127)))</f>
        <v/>
      </c>
      <c r="W127" s="46">
        <f>IF($A127="","",IF(INDEX('潜水記録'!$V$5:$V$3004,$AS127)="","",INDEX('潜水記録'!$V$5:$V$3004,$AS127)))</f>
        <v/>
      </c>
      <c r="X127" s="14">
        <f>IF($A127="","",IF(INDEX('潜水記録'!$W$5:$W$3004,$AS127)="","",INDEX('潜水記録'!$W$5:$W$3004,$AS127)))</f>
        <v/>
      </c>
      <c r="Y127" s="14">
        <f>IF($A127="","",IF(INDEX('潜水記録'!$X$5:$X$3004,$AS127)="","",INDEX('潜水記録'!$X$5:$X$3004,$AS127)))</f>
        <v/>
      </c>
      <c r="Z127" s="14">
        <f>IF($A127="","",IF(INDEX('潜水記録'!$Y$5:$Y$3004,$AS127)="","",INDEX('潜水記録'!$Y$5:$Y$3004,$AS127)))</f>
        <v/>
      </c>
      <c r="AA127" s="14">
        <f>IF($A127="","",IF(INDEX('潜水記録'!$Z$5:$Z$3004,$AS127)="","",INDEX('潜水記録'!$Z$5:$Z$3004,$AS127)))</f>
        <v/>
      </c>
      <c r="AB127" s="14">
        <f>IF($A127="","",IF(INDEX('潜水記録'!$AA$5:$AA$3004,$AS127)="","",INDEX('潜水記録'!$AA$5:$AA$3004,$AS127)))</f>
        <v/>
      </c>
      <c r="AC127" s="14">
        <f>IF($A127="","",IF(INDEX('潜水記録'!$AB$5:$AB$3004,$AS127)="","",INDEX('潜水記録'!$AB$5:$AB$3004,$AS127)))</f>
        <v/>
      </c>
      <c r="AD127" s="14">
        <f>IF($A127="","",IF(INDEX('潜水記録'!$AC$5:$AC$3004,$AS127)="","",INDEX('潜水記録'!$AC$5:$AC$3004,$AS127)))</f>
        <v/>
      </c>
      <c r="AE127" s="14">
        <f>IF($A127="","",IF(INDEX('潜水記録'!$AD$5:$AD$3004,$AS127)="","",INDEX('潜水記録'!$AD$5:$AD$3004,$AS127)))</f>
        <v/>
      </c>
      <c r="AF127" s="14">
        <f>IF($A127="","",IF(INDEX('潜水記録'!$AE$5:$AE$3004,$AS127)="","",INDEX('潜水記録'!$AE$5:$AE$3004,$AS127)))</f>
        <v/>
      </c>
      <c r="AG127" s="14">
        <f>IF($A127="","",IF(INDEX('潜水記録'!$AL$5:$AL$3004,$AS127)="","",INDEX('潜水記録'!$AL$5:$AL$3004,$AS127)))</f>
        <v/>
      </c>
      <c r="AH127" s="14">
        <f>IF($A127="","",IF(INDEX('潜水記録'!$AM$5:$AM$3004,$AS127)="","",INDEX('潜水記録'!$AM$5:$AM$3004,$AS127)))</f>
        <v/>
      </c>
      <c r="AI127" s="46">
        <f>IF($A127="","",IF(INDEX('潜水記録'!$AN$5:$AN$3004,$AS127)="","",INDEX('潜水記録'!$AN$5:$AN$3004,$AS127)))</f>
        <v/>
      </c>
      <c r="AJ127" s="14">
        <f>IF($A127="","",IF(INDEX('潜水記録'!$AO$5:$AO$3004,$AS127)="","",INDEX('潜水記録'!$AO$5:$AO$3004,$AS127)))</f>
        <v/>
      </c>
      <c r="AK127" s="14">
        <f>IF($A127="","",IF(INDEX('潜水記録'!$AP$5:$AP$3004,$AS127)="","",INDEX('潜水記録'!$AP$5:$AP$3004,$AS127)))</f>
        <v/>
      </c>
      <c r="AL127" s="14">
        <f>IF($A127="","",IF(INDEX('潜水記録'!$AQ$5:$AQ$3004,$AS127)="","",INDEX('潜水記録'!$AQ$5:$AQ$3004,$AS127)))</f>
        <v/>
      </c>
      <c r="AM127" s="14">
        <f>IF($A127="","",IF(INDEX('潜水記録'!$AR$5:$AR$3004,$AS127)="","",INDEX('潜水記録'!$AR$5:$AR$3004,$AS127)))</f>
        <v/>
      </c>
      <c r="AN127" s="14">
        <f>IF($A127="","",IF(INDEX('潜水記録'!$AS$5:$AS$3004,$AS127)="","",INDEX('潜水記録'!$AS$5:$AS$3004,$AS127)))</f>
        <v/>
      </c>
      <c r="AO127" s="14">
        <f>IF($A127="","",IF(INDEX('潜水記録'!$AT$5:$AT$3004,$AS127)="","",INDEX('潜水記録'!$AT$5:$AT$3004,$AS127)))</f>
        <v/>
      </c>
      <c r="AP127" s="14">
        <f>IF($A127="","",IF(INDEX('潜水記録'!$AU$5:$AU$3004,$AS127)="","",INDEX('潜水記録'!$AU$5:$AU$3004,$AS127)))</f>
        <v/>
      </c>
      <c r="AQ127" s="14">
        <f>IF($A127="","",IF(INDEX('潜水記録'!$AV$5:$AV$3004,$AS127)="","",INDEX('潜水記録'!$AV$5:$AV$3004,$AS127)))</f>
        <v/>
      </c>
      <c r="AR127" s="14">
        <f>IF($A127="","",IF(INDEX('潜水記録'!$AW$5:$AW$3004,$AS127)="","",INDEX('潜水記録'!$AW$5:$AW$3004,$AS127)))</f>
        <v/>
      </c>
      <c r="AS127" s="20">
        <f>IF($A127="","",MATCH($A127,'潜水記録'!$AI$5:$AI$3004,0))</f>
        <v/>
      </c>
    </row>
    <row r="128">
      <c r="A128" s="14">
        <f>IF(118&lt;=$C$8,118,"")</f>
        <v/>
      </c>
      <c r="B128" s="16">
        <f>IF($A128="","",IF(INDEX('潜水記録'!$A$5:$A$3004,$AS128)="","",INDEX('潜水記録'!$A$5:$A$3004,$AS128)))</f>
        <v/>
      </c>
      <c r="C128" s="14">
        <f>IF($A128="","",IF(INDEX('潜水記録'!$B$5:$B$3004,$AS128)="","",INDEX('潜水記録'!$B$5:$B$3004,$AS128)))</f>
        <v/>
      </c>
      <c r="D128" s="14">
        <f>IF($A128="","",IF(INDEX('潜水記録'!$C$5:$C$3004,$AS128)="","",INDEX('潜水記録'!$C$5:$C$3004,$AS128)))</f>
        <v/>
      </c>
      <c r="E128" s="14">
        <f>IF($A128="","",IF(INDEX('潜水記録'!$D$5:$D$3004,$AS128)="","",INDEX('潜水記録'!$D$5:$D$3004,$AS128)))</f>
        <v/>
      </c>
      <c r="F128" s="14">
        <f>IF($A128="","",IF(INDEX('潜水記録'!$E$5:$E$3004,$AS128)="","",INDEX('潜水記録'!$E$5:$E$3004,$AS128)))</f>
        <v/>
      </c>
      <c r="G128" s="14">
        <f>IF($A128="","",IF(INDEX('潜水記録'!$F$5:$F$3004,$AS128)="","",INDEX('潜水記録'!$F$5:$F$3004,$AS128)))</f>
        <v/>
      </c>
      <c r="H128" s="14">
        <f>IF($A128="","",IF(INDEX('潜水記録'!$G$5:$G$3004,$AS128)="","",INDEX('潜水記録'!$G$5:$G$3004,$AS128)))</f>
        <v/>
      </c>
      <c r="I128" s="14">
        <f>IF($A128="","",IF(INDEX('潜水記録'!$H$5:$H$3004,$AS128)="","",INDEX('潜水記録'!$H$5:$H$3004,$AS128)))</f>
        <v/>
      </c>
      <c r="J128" s="14">
        <f>IF($A128="","",IF(INDEX('潜水記録'!$I$5:$I$3004,$AS128)="","",INDEX('潜水記録'!$I$5:$I$3004,$AS128)))</f>
        <v/>
      </c>
      <c r="K128" s="14">
        <f>IF($A128="","",IF(INDEX('潜水記録'!$J$5:$J$3004,$AS128)="","",INDEX('潜水記録'!$J$5:$J$3004,$AS128)))</f>
        <v/>
      </c>
      <c r="L128" s="14">
        <f>IF($A128="","",IF(INDEX('潜水記録'!$K$5:$K$3004,$AS128)="","",INDEX('潜水記録'!$K$5:$K$3004,$AS128)))</f>
        <v/>
      </c>
      <c r="M128" s="14">
        <f>IF($A128="","",IF(INDEX('潜水記録'!$L$5:$L$3004,$AS128)="","",INDEX('潜水記録'!$L$5:$L$3004,$AS128)))</f>
        <v/>
      </c>
      <c r="N128" s="14">
        <f>IF($A128="","",IF(INDEX('潜水記録'!$M$5:$M$3004,$AS128)="","",INDEX('潜水記録'!$M$5:$M$3004,$AS128)))</f>
        <v/>
      </c>
      <c r="O128" s="14">
        <f>IF($A128="","",IF(INDEX('潜水記録'!$N$5:$N$3004,$AS128)="","",INDEX('潜水記録'!$N$5:$N$3004,$AS128)))</f>
        <v/>
      </c>
      <c r="P128" s="14">
        <f>IF($A128="","",IF(INDEX('潜水記録'!$O$5:$O$3004,$AS128)="","",INDEX('潜水記録'!$O$5:$O$3004,$AS128)))</f>
        <v/>
      </c>
      <c r="Q128" s="14">
        <f>IF($A128="","",IF(INDEX('潜水記録'!$P$5:$P$3004,$AS128)="","",INDEX('潜水記録'!$P$5:$P$3004,$AS128)))</f>
        <v/>
      </c>
      <c r="R128" s="14">
        <f>IF($A128="","",IF(INDEX('潜水記録'!$Q$5:$Q$3004,$AS128)="","",INDEX('潜水記録'!$Q$5:$Q$3004,$AS128)))</f>
        <v/>
      </c>
      <c r="S128" s="14">
        <f>IF($A128="","",IF(INDEX('潜水記録'!$R$5:$R$3004,$AS128)="","",INDEX('潜水記録'!$R$5:$R$3004,$AS128)))</f>
        <v/>
      </c>
      <c r="T128" s="14">
        <f>IF($A128="","",IF(INDEX('潜水記録'!$S$5:$S$3004,$AS128)="","",INDEX('潜水記録'!$S$5:$S$3004,$AS128)))</f>
        <v/>
      </c>
      <c r="U128" s="14">
        <f>IF($A128="","",IF(INDEX('潜水記録'!$T$5:$T$3004,$AS128)="","",INDEX('潜水記録'!$T$5:$T$3004,$AS128)))</f>
        <v/>
      </c>
      <c r="V128" s="46">
        <f>IF($A128="","",IF(INDEX('潜水記録'!$U$5:$U$3004,$AS128)="","",INDEX('潜水記録'!$U$5:$U$3004,$AS128)))</f>
        <v/>
      </c>
      <c r="W128" s="46">
        <f>IF($A128="","",IF(INDEX('潜水記録'!$V$5:$V$3004,$AS128)="","",INDEX('潜水記録'!$V$5:$V$3004,$AS128)))</f>
        <v/>
      </c>
      <c r="X128" s="14">
        <f>IF($A128="","",IF(INDEX('潜水記録'!$W$5:$W$3004,$AS128)="","",INDEX('潜水記録'!$W$5:$W$3004,$AS128)))</f>
        <v/>
      </c>
      <c r="Y128" s="14">
        <f>IF($A128="","",IF(INDEX('潜水記録'!$X$5:$X$3004,$AS128)="","",INDEX('潜水記録'!$X$5:$X$3004,$AS128)))</f>
        <v/>
      </c>
      <c r="Z128" s="14">
        <f>IF($A128="","",IF(INDEX('潜水記録'!$Y$5:$Y$3004,$AS128)="","",INDEX('潜水記録'!$Y$5:$Y$3004,$AS128)))</f>
        <v/>
      </c>
      <c r="AA128" s="14">
        <f>IF($A128="","",IF(INDEX('潜水記録'!$Z$5:$Z$3004,$AS128)="","",INDEX('潜水記録'!$Z$5:$Z$3004,$AS128)))</f>
        <v/>
      </c>
      <c r="AB128" s="14">
        <f>IF($A128="","",IF(INDEX('潜水記録'!$AA$5:$AA$3004,$AS128)="","",INDEX('潜水記録'!$AA$5:$AA$3004,$AS128)))</f>
        <v/>
      </c>
      <c r="AC128" s="14">
        <f>IF($A128="","",IF(INDEX('潜水記録'!$AB$5:$AB$3004,$AS128)="","",INDEX('潜水記録'!$AB$5:$AB$3004,$AS128)))</f>
        <v/>
      </c>
      <c r="AD128" s="14">
        <f>IF($A128="","",IF(INDEX('潜水記録'!$AC$5:$AC$3004,$AS128)="","",INDEX('潜水記録'!$AC$5:$AC$3004,$AS128)))</f>
        <v/>
      </c>
      <c r="AE128" s="14">
        <f>IF($A128="","",IF(INDEX('潜水記録'!$AD$5:$AD$3004,$AS128)="","",INDEX('潜水記録'!$AD$5:$AD$3004,$AS128)))</f>
        <v/>
      </c>
      <c r="AF128" s="14">
        <f>IF($A128="","",IF(INDEX('潜水記録'!$AE$5:$AE$3004,$AS128)="","",INDEX('潜水記録'!$AE$5:$AE$3004,$AS128)))</f>
        <v/>
      </c>
      <c r="AG128" s="14">
        <f>IF($A128="","",IF(INDEX('潜水記録'!$AL$5:$AL$3004,$AS128)="","",INDEX('潜水記録'!$AL$5:$AL$3004,$AS128)))</f>
        <v/>
      </c>
      <c r="AH128" s="14">
        <f>IF($A128="","",IF(INDEX('潜水記録'!$AM$5:$AM$3004,$AS128)="","",INDEX('潜水記録'!$AM$5:$AM$3004,$AS128)))</f>
        <v/>
      </c>
      <c r="AI128" s="46">
        <f>IF($A128="","",IF(INDEX('潜水記録'!$AN$5:$AN$3004,$AS128)="","",INDEX('潜水記録'!$AN$5:$AN$3004,$AS128)))</f>
        <v/>
      </c>
      <c r="AJ128" s="14">
        <f>IF($A128="","",IF(INDEX('潜水記録'!$AO$5:$AO$3004,$AS128)="","",INDEX('潜水記録'!$AO$5:$AO$3004,$AS128)))</f>
        <v/>
      </c>
      <c r="AK128" s="14">
        <f>IF($A128="","",IF(INDEX('潜水記録'!$AP$5:$AP$3004,$AS128)="","",INDEX('潜水記録'!$AP$5:$AP$3004,$AS128)))</f>
        <v/>
      </c>
      <c r="AL128" s="14">
        <f>IF($A128="","",IF(INDEX('潜水記録'!$AQ$5:$AQ$3004,$AS128)="","",INDEX('潜水記録'!$AQ$5:$AQ$3004,$AS128)))</f>
        <v/>
      </c>
      <c r="AM128" s="14">
        <f>IF($A128="","",IF(INDEX('潜水記録'!$AR$5:$AR$3004,$AS128)="","",INDEX('潜水記録'!$AR$5:$AR$3004,$AS128)))</f>
        <v/>
      </c>
      <c r="AN128" s="14">
        <f>IF($A128="","",IF(INDEX('潜水記録'!$AS$5:$AS$3004,$AS128)="","",INDEX('潜水記録'!$AS$5:$AS$3004,$AS128)))</f>
        <v/>
      </c>
      <c r="AO128" s="14">
        <f>IF($A128="","",IF(INDEX('潜水記録'!$AT$5:$AT$3004,$AS128)="","",INDEX('潜水記録'!$AT$5:$AT$3004,$AS128)))</f>
        <v/>
      </c>
      <c r="AP128" s="14">
        <f>IF($A128="","",IF(INDEX('潜水記録'!$AU$5:$AU$3004,$AS128)="","",INDEX('潜水記録'!$AU$5:$AU$3004,$AS128)))</f>
        <v/>
      </c>
      <c r="AQ128" s="14">
        <f>IF($A128="","",IF(INDEX('潜水記録'!$AV$5:$AV$3004,$AS128)="","",INDEX('潜水記録'!$AV$5:$AV$3004,$AS128)))</f>
        <v/>
      </c>
      <c r="AR128" s="14">
        <f>IF($A128="","",IF(INDEX('潜水記録'!$AW$5:$AW$3004,$AS128)="","",INDEX('潜水記録'!$AW$5:$AW$3004,$AS128)))</f>
        <v/>
      </c>
      <c r="AS128" s="20">
        <f>IF($A128="","",MATCH($A128,'潜水記録'!$AI$5:$AI$3004,0))</f>
        <v/>
      </c>
    </row>
    <row r="129">
      <c r="A129" s="14">
        <f>IF(119&lt;=$C$8,119,"")</f>
        <v/>
      </c>
      <c r="B129" s="16">
        <f>IF($A129="","",IF(INDEX('潜水記録'!$A$5:$A$3004,$AS129)="","",INDEX('潜水記録'!$A$5:$A$3004,$AS129)))</f>
        <v/>
      </c>
      <c r="C129" s="14">
        <f>IF($A129="","",IF(INDEX('潜水記録'!$B$5:$B$3004,$AS129)="","",INDEX('潜水記録'!$B$5:$B$3004,$AS129)))</f>
        <v/>
      </c>
      <c r="D129" s="14">
        <f>IF($A129="","",IF(INDEX('潜水記録'!$C$5:$C$3004,$AS129)="","",INDEX('潜水記録'!$C$5:$C$3004,$AS129)))</f>
        <v/>
      </c>
      <c r="E129" s="14">
        <f>IF($A129="","",IF(INDEX('潜水記録'!$D$5:$D$3004,$AS129)="","",INDEX('潜水記録'!$D$5:$D$3004,$AS129)))</f>
        <v/>
      </c>
      <c r="F129" s="14">
        <f>IF($A129="","",IF(INDEX('潜水記録'!$E$5:$E$3004,$AS129)="","",INDEX('潜水記録'!$E$5:$E$3004,$AS129)))</f>
        <v/>
      </c>
      <c r="G129" s="14">
        <f>IF($A129="","",IF(INDEX('潜水記録'!$F$5:$F$3004,$AS129)="","",INDEX('潜水記録'!$F$5:$F$3004,$AS129)))</f>
        <v/>
      </c>
      <c r="H129" s="14">
        <f>IF($A129="","",IF(INDEX('潜水記録'!$G$5:$G$3004,$AS129)="","",INDEX('潜水記録'!$G$5:$G$3004,$AS129)))</f>
        <v/>
      </c>
      <c r="I129" s="14">
        <f>IF($A129="","",IF(INDEX('潜水記録'!$H$5:$H$3004,$AS129)="","",INDEX('潜水記録'!$H$5:$H$3004,$AS129)))</f>
        <v/>
      </c>
      <c r="J129" s="14">
        <f>IF($A129="","",IF(INDEX('潜水記録'!$I$5:$I$3004,$AS129)="","",INDEX('潜水記録'!$I$5:$I$3004,$AS129)))</f>
        <v/>
      </c>
      <c r="K129" s="14">
        <f>IF($A129="","",IF(INDEX('潜水記録'!$J$5:$J$3004,$AS129)="","",INDEX('潜水記録'!$J$5:$J$3004,$AS129)))</f>
        <v/>
      </c>
      <c r="L129" s="14">
        <f>IF($A129="","",IF(INDEX('潜水記録'!$K$5:$K$3004,$AS129)="","",INDEX('潜水記録'!$K$5:$K$3004,$AS129)))</f>
        <v/>
      </c>
      <c r="M129" s="14">
        <f>IF($A129="","",IF(INDEX('潜水記録'!$L$5:$L$3004,$AS129)="","",INDEX('潜水記録'!$L$5:$L$3004,$AS129)))</f>
        <v/>
      </c>
      <c r="N129" s="14">
        <f>IF($A129="","",IF(INDEX('潜水記録'!$M$5:$M$3004,$AS129)="","",INDEX('潜水記録'!$M$5:$M$3004,$AS129)))</f>
        <v/>
      </c>
      <c r="O129" s="14">
        <f>IF($A129="","",IF(INDEX('潜水記録'!$N$5:$N$3004,$AS129)="","",INDEX('潜水記録'!$N$5:$N$3004,$AS129)))</f>
        <v/>
      </c>
      <c r="P129" s="14">
        <f>IF($A129="","",IF(INDEX('潜水記録'!$O$5:$O$3004,$AS129)="","",INDEX('潜水記録'!$O$5:$O$3004,$AS129)))</f>
        <v/>
      </c>
      <c r="Q129" s="14">
        <f>IF($A129="","",IF(INDEX('潜水記録'!$P$5:$P$3004,$AS129)="","",INDEX('潜水記録'!$P$5:$P$3004,$AS129)))</f>
        <v/>
      </c>
      <c r="R129" s="14">
        <f>IF($A129="","",IF(INDEX('潜水記録'!$Q$5:$Q$3004,$AS129)="","",INDEX('潜水記録'!$Q$5:$Q$3004,$AS129)))</f>
        <v/>
      </c>
      <c r="S129" s="14">
        <f>IF($A129="","",IF(INDEX('潜水記録'!$R$5:$R$3004,$AS129)="","",INDEX('潜水記録'!$R$5:$R$3004,$AS129)))</f>
        <v/>
      </c>
      <c r="T129" s="14">
        <f>IF($A129="","",IF(INDEX('潜水記録'!$S$5:$S$3004,$AS129)="","",INDEX('潜水記録'!$S$5:$S$3004,$AS129)))</f>
        <v/>
      </c>
      <c r="U129" s="14">
        <f>IF($A129="","",IF(INDEX('潜水記録'!$T$5:$T$3004,$AS129)="","",INDEX('潜水記録'!$T$5:$T$3004,$AS129)))</f>
        <v/>
      </c>
      <c r="V129" s="46">
        <f>IF($A129="","",IF(INDEX('潜水記録'!$U$5:$U$3004,$AS129)="","",INDEX('潜水記録'!$U$5:$U$3004,$AS129)))</f>
        <v/>
      </c>
      <c r="W129" s="46">
        <f>IF($A129="","",IF(INDEX('潜水記録'!$V$5:$V$3004,$AS129)="","",INDEX('潜水記録'!$V$5:$V$3004,$AS129)))</f>
        <v/>
      </c>
      <c r="X129" s="14">
        <f>IF($A129="","",IF(INDEX('潜水記録'!$W$5:$W$3004,$AS129)="","",INDEX('潜水記録'!$W$5:$W$3004,$AS129)))</f>
        <v/>
      </c>
      <c r="Y129" s="14">
        <f>IF($A129="","",IF(INDEX('潜水記録'!$X$5:$X$3004,$AS129)="","",INDEX('潜水記録'!$X$5:$X$3004,$AS129)))</f>
        <v/>
      </c>
      <c r="Z129" s="14">
        <f>IF($A129="","",IF(INDEX('潜水記録'!$Y$5:$Y$3004,$AS129)="","",INDEX('潜水記録'!$Y$5:$Y$3004,$AS129)))</f>
        <v/>
      </c>
      <c r="AA129" s="14">
        <f>IF($A129="","",IF(INDEX('潜水記録'!$Z$5:$Z$3004,$AS129)="","",INDEX('潜水記録'!$Z$5:$Z$3004,$AS129)))</f>
        <v/>
      </c>
      <c r="AB129" s="14">
        <f>IF($A129="","",IF(INDEX('潜水記録'!$AA$5:$AA$3004,$AS129)="","",INDEX('潜水記録'!$AA$5:$AA$3004,$AS129)))</f>
        <v/>
      </c>
      <c r="AC129" s="14">
        <f>IF($A129="","",IF(INDEX('潜水記録'!$AB$5:$AB$3004,$AS129)="","",INDEX('潜水記録'!$AB$5:$AB$3004,$AS129)))</f>
        <v/>
      </c>
      <c r="AD129" s="14">
        <f>IF($A129="","",IF(INDEX('潜水記録'!$AC$5:$AC$3004,$AS129)="","",INDEX('潜水記録'!$AC$5:$AC$3004,$AS129)))</f>
        <v/>
      </c>
      <c r="AE129" s="14">
        <f>IF($A129="","",IF(INDEX('潜水記録'!$AD$5:$AD$3004,$AS129)="","",INDEX('潜水記録'!$AD$5:$AD$3004,$AS129)))</f>
        <v/>
      </c>
      <c r="AF129" s="14">
        <f>IF($A129="","",IF(INDEX('潜水記録'!$AE$5:$AE$3004,$AS129)="","",INDEX('潜水記録'!$AE$5:$AE$3004,$AS129)))</f>
        <v/>
      </c>
      <c r="AG129" s="14">
        <f>IF($A129="","",IF(INDEX('潜水記録'!$AL$5:$AL$3004,$AS129)="","",INDEX('潜水記録'!$AL$5:$AL$3004,$AS129)))</f>
        <v/>
      </c>
      <c r="AH129" s="14">
        <f>IF($A129="","",IF(INDEX('潜水記録'!$AM$5:$AM$3004,$AS129)="","",INDEX('潜水記録'!$AM$5:$AM$3004,$AS129)))</f>
        <v/>
      </c>
      <c r="AI129" s="46">
        <f>IF($A129="","",IF(INDEX('潜水記録'!$AN$5:$AN$3004,$AS129)="","",INDEX('潜水記録'!$AN$5:$AN$3004,$AS129)))</f>
        <v/>
      </c>
      <c r="AJ129" s="14">
        <f>IF($A129="","",IF(INDEX('潜水記録'!$AO$5:$AO$3004,$AS129)="","",INDEX('潜水記録'!$AO$5:$AO$3004,$AS129)))</f>
        <v/>
      </c>
      <c r="AK129" s="14">
        <f>IF($A129="","",IF(INDEX('潜水記録'!$AP$5:$AP$3004,$AS129)="","",INDEX('潜水記録'!$AP$5:$AP$3004,$AS129)))</f>
        <v/>
      </c>
      <c r="AL129" s="14">
        <f>IF($A129="","",IF(INDEX('潜水記録'!$AQ$5:$AQ$3004,$AS129)="","",INDEX('潜水記録'!$AQ$5:$AQ$3004,$AS129)))</f>
        <v/>
      </c>
      <c r="AM129" s="14">
        <f>IF($A129="","",IF(INDEX('潜水記録'!$AR$5:$AR$3004,$AS129)="","",INDEX('潜水記録'!$AR$5:$AR$3004,$AS129)))</f>
        <v/>
      </c>
      <c r="AN129" s="14">
        <f>IF($A129="","",IF(INDEX('潜水記録'!$AS$5:$AS$3004,$AS129)="","",INDEX('潜水記録'!$AS$5:$AS$3004,$AS129)))</f>
        <v/>
      </c>
      <c r="AO129" s="14">
        <f>IF($A129="","",IF(INDEX('潜水記録'!$AT$5:$AT$3004,$AS129)="","",INDEX('潜水記録'!$AT$5:$AT$3004,$AS129)))</f>
        <v/>
      </c>
      <c r="AP129" s="14">
        <f>IF($A129="","",IF(INDEX('潜水記録'!$AU$5:$AU$3004,$AS129)="","",INDEX('潜水記録'!$AU$5:$AU$3004,$AS129)))</f>
        <v/>
      </c>
      <c r="AQ129" s="14">
        <f>IF($A129="","",IF(INDEX('潜水記録'!$AV$5:$AV$3004,$AS129)="","",INDEX('潜水記録'!$AV$5:$AV$3004,$AS129)))</f>
        <v/>
      </c>
      <c r="AR129" s="14">
        <f>IF($A129="","",IF(INDEX('潜水記録'!$AW$5:$AW$3004,$AS129)="","",INDEX('潜水記録'!$AW$5:$AW$3004,$AS129)))</f>
        <v/>
      </c>
      <c r="AS129" s="20">
        <f>IF($A129="","",MATCH($A129,'潜水記録'!$AI$5:$AI$3004,0))</f>
        <v/>
      </c>
    </row>
    <row r="130">
      <c r="A130" s="14">
        <f>IF(120&lt;=$C$8,120,"")</f>
        <v/>
      </c>
      <c r="B130" s="16">
        <f>IF($A130="","",IF(INDEX('潜水記録'!$A$5:$A$3004,$AS130)="","",INDEX('潜水記録'!$A$5:$A$3004,$AS130)))</f>
        <v/>
      </c>
      <c r="C130" s="14">
        <f>IF($A130="","",IF(INDEX('潜水記録'!$B$5:$B$3004,$AS130)="","",INDEX('潜水記録'!$B$5:$B$3004,$AS130)))</f>
        <v/>
      </c>
      <c r="D130" s="14">
        <f>IF($A130="","",IF(INDEX('潜水記録'!$C$5:$C$3004,$AS130)="","",INDEX('潜水記録'!$C$5:$C$3004,$AS130)))</f>
        <v/>
      </c>
      <c r="E130" s="14">
        <f>IF($A130="","",IF(INDEX('潜水記録'!$D$5:$D$3004,$AS130)="","",INDEX('潜水記録'!$D$5:$D$3004,$AS130)))</f>
        <v/>
      </c>
      <c r="F130" s="14">
        <f>IF($A130="","",IF(INDEX('潜水記録'!$E$5:$E$3004,$AS130)="","",INDEX('潜水記録'!$E$5:$E$3004,$AS130)))</f>
        <v/>
      </c>
      <c r="G130" s="14">
        <f>IF($A130="","",IF(INDEX('潜水記録'!$F$5:$F$3004,$AS130)="","",INDEX('潜水記録'!$F$5:$F$3004,$AS130)))</f>
        <v/>
      </c>
      <c r="H130" s="14">
        <f>IF($A130="","",IF(INDEX('潜水記録'!$G$5:$G$3004,$AS130)="","",INDEX('潜水記録'!$G$5:$G$3004,$AS130)))</f>
        <v/>
      </c>
      <c r="I130" s="14">
        <f>IF($A130="","",IF(INDEX('潜水記録'!$H$5:$H$3004,$AS130)="","",INDEX('潜水記録'!$H$5:$H$3004,$AS130)))</f>
        <v/>
      </c>
      <c r="J130" s="14">
        <f>IF($A130="","",IF(INDEX('潜水記録'!$I$5:$I$3004,$AS130)="","",INDEX('潜水記録'!$I$5:$I$3004,$AS130)))</f>
        <v/>
      </c>
      <c r="K130" s="14">
        <f>IF($A130="","",IF(INDEX('潜水記録'!$J$5:$J$3004,$AS130)="","",INDEX('潜水記録'!$J$5:$J$3004,$AS130)))</f>
        <v/>
      </c>
      <c r="L130" s="14">
        <f>IF($A130="","",IF(INDEX('潜水記録'!$K$5:$K$3004,$AS130)="","",INDEX('潜水記録'!$K$5:$K$3004,$AS130)))</f>
        <v/>
      </c>
      <c r="M130" s="14">
        <f>IF($A130="","",IF(INDEX('潜水記録'!$L$5:$L$3004,$AS130)="","",INDEX('潜水記録'!$L$5:$L$3004,$AS130)))</f>
        <v/>
      </c>
      <c r="N130" s="14">
        <f>IF($A130="","",IF(INDEX('潜水記録'!$M$5:$M$3004,$AS130)="","",INDEX('潜水記録'!$M$5:$M$3004,$AS130)))</f>
        <v/>
      </c>
      <c r="O130" s="14">
        <f>IF($A130="","",IF(INDEX('潜水記録'!$N$5:$N$3004,$AS130)="","",INDEX('潜水記録'!$N$5:$N$3004,$AS130)))</f>
        <v/>
      </c>
      <c r="P130" s="14">
        <f>IF($A130="","",IF(INDEX('潜水記録'!$O$5:$O$3004,$AS130)="","",INDEX('潜水記録'!$O$5:$O$3004,$AS130)))</f>
        <v/>
      </c>
      <c r="Q130" s="14">
        <f>IF($A130="","",IF(INDEX('潜水記録'!$P$5:$P$3004,$AS130)="","",INDEX('潜水記録'!$P$5:$P$3004,$AS130)))</f>
        <v/>
      </c>
      <c r="R130" s="14">
        <f>IF($A130="","",IF(INDEX('潜水記録'!$Q$5:$Q$3004,$AS130)="","",INDEX('潜水記録'!$Q$5:$Q$3004,$AS130)))</f>
        <v/>
      </c>
      <c r="S130" s="14">
        <f>IF($A130="","",IF(INDEX('潜水記録'!$R$5:$R$3004,$AS130)="","",INDEX('潜水記録'!$R$5:$R$3004,$AS130)))</f>
        <v/>
      </c>
      <c r="T130" s="14">
        <f>IF($A130="","",IF(INDEX('潜水記録'!$S$5:$S$3004,$AS130)="","",INDEX('潜水記録'!$S$5:$S$3004,$AS130)))</f>
        <v/>
      </c>
      <c r="U130" s="14">
        <f>IF($A130="","",IF(INDEX('潜水記録'!$T$5:$T$3004,$AS130)="","",INDEX('潜水記録'!$T$5:$T$3004,$AS130)))</f>
        <v/>
      </c>
      <c r="V130" s="46">
        <f>IF($A130="","",IF(INDEX('潜水記録'!$U$5:$U$3004,$AS130)="","",INDEX('潜水記録'!$U$5:$U$3004,$AS130)))</f>
        <v/>
      </c>
      <c r="W130" s="46">
        <f>IF($A130="","",IF(INDEX('潜水記録'!$V$5:$V$3004,$AS130)="","",INDEX('潜水記録'!$V$5:$V$3004,$AS130)))</f>
        <v/>
      </c>
      <c r="X130" s="14">
        <f>IF($A130="","",IF(INDEX('潜水記録'!$W$5:$W$3004,$AS130)="","",INDEX('潜水記録'!$W$5:$W$3004,$AS130)))</f>
        <v/>
      </c>
      <c r="Y130" s="14">
        <f>IF($A130="","",IF(INDEX('潜水記録'!$X$5:$X$3004,$AS130)="","",INDEX('潜水記録'!$X$5:$X$3004,$AS130)))</f>
        <v/>
      </c>
      <c r="Z130" s="14">
        <f>IF($A130="","",IF(INDEX('潜水記録'!$Y$5:$Y$3004,$AS130)="","",INDEX('潜水記録'!$Y$5:$Y$3004,$AS130)))</f>
        <v/>
      </c>
      <c r="AA130" s="14">
        <f>IF($A130="","",IF(INDEX('潜水記録'!$Z$5:$Z$3004,$AS130)="","",INDEX('潜水記録'!$Z$5:$Z$3004,$AS130)))</f>
        <v/>
      </c>
      <c r="AB130" s="14">
        <f>IF($A130="","",IF(INDEX('潜水記録'!$AA$5:$AA$3004,$AS130)="","",INDEX('潜水記録'!$AA$5:$AA$3004,$AS130)))</f>
        <v/>
      </c>
      <c r="AC130" s="14">
        <f>IF($A130="","",IF(INDEX('潜水記録'!$AB$5:$AB$3004,$AS130)="","",INDEX('潜水記録'!$AB$5:$AB$3004,$AS130)))</f>
        <v/>
      </c>
      <c r="AD130" s="14">
        <f>IF($A130="","",IF(INDEX('潜水記録'!$AC$5:$AC$3004,$AS130)="","",INDEX('潜水記録'!$AC$5:$AC$3004,$AS130)))</f>
        <v/>
      </c>
      <c r="AE130" s="14">
        <f>IF($A130="","",IF(INDEX('潜水記録'!$AD$5:$AD$3004,$AS130)="","",INDEX('潜水記録'!$AD$5:$AD$3004,$AS130)))</f>
        <v/>
      </c>
      <c r="AF130" s="14">
        <f>IF($A130="","",IF(INDEX('潜水記録'!$AE$5:$AE$3004,$AS130)="","",INDEX('潜水記録'!$AE$5:$AE$3004,$AS130)))</f>
        <v/>
      </c>
      <c r="AG130" s="14">
        <f>IF($A130="","",IF(INDEX('潜水記録'!$AL$5:$AL$3004,$AS130)="","",INDEX('潜水記録'!$AL$5:$AL$3004,$AS130)))</f>
        <v/>
      </c>
      <c r="AH130" s="14">
        <f>IF($A130="","",IF(INDEX('潜水記録'!$AM$5:$AM$3004,$AS130)="","",INDEX('潜水記録'!$AM$5:$AM$3004,$AS130)))</f>
        <v/>
      </c>
      <c r="AI130" s="46">
        <f>IF($A130="","",IF(INDEX('潜水記録'!$AN$5:$AN$3004,$AS130)="","",INDEX('潜水記録'!$AN$5:$AN$3004,$AS130)))</f>
        <v/>
      </c>
      <c r="AJ130" s="14">
        <f>IF($A130="","",IF(INDEX('潜水記録'!$AO$5:$AO$3004,$AS130)="","",INDEX('潜水記録'!$AO$5:$AO$3004,$AS130)))</f>
        <v/>
      </c>
      <c r="AK130" s="14">
        <f>IF($A130="","",IF(INDEX('潜水記録'!$AP$5:$AP$3004,$AS130)="","",INDEX('潜水記録'!$AP$5:$AP$3004,$AS130)))</f>
        <v/>
      </c>
      <c r="AL130" s="14">
        <f>IF($A130="","",IF(INDEX('潜水記録'!$AQ$5:$AQ$3004,$AS130)="","",INDEX('潜水記録'!$AQ$5:$AQ$3004,$AS130)))</f>
        <v/>
      </c>
      <c r="AM130" s="14">
        <f>IF($A130="","",IF(INDEX('潜水記録'!$AR$5:$AR$3004,$AS130)="","",INDEX('潜水記録'!$AR$5:$AR$3004,$AS130)))</f>
        <v/>
      </c>
      <c r="AN130" s="14">
        <f>IF($A130="","",IF(INDEX('潜水記録'!$AS$5:$AS$3004,$AS130)="","",INDEX('潜水記録'!$AS$5:$AS$3004,$AS130)))</f>
        <v/>
      </c>
      <c r="AO130" s="14">
        <f>IF($A130="","",IF(INDEX('潜水記録'!$AT$5:$AT$3004,$AS130)="","",INDEX('潜水記録'!$AT$5:$AT$3004,$AS130)))</f>
        <v/>
      </c>
      <c r="AP130" s="14">
        <f>IF($A130="","",IF(INDEX('潜水記録'!$AU$5:$AU$3004,$AS130)="","",INDEX('潜水記録'!$AU$5:$AU$3004,$AS130)))</f>
        <v/>
      </c>
      <c r="AQ130" s="14">
        <f>IF($A130="","",IF(INDEX('潜水記録'!$AV$5:$AV$3004,$AS130)="","",INDEX('潜水記録'!$AV$5:$AV$3004,$AS130)))</f>
        <v/>
      </c>
      <c r="AR130" s="14">
        <f>IF($A130="","",IF(INDEX('潜水記録'!$AW$5:$AW$3004,$AS130)="","",INDEX('潜水記録'!$AW$5:$AW$3004,$AS130)))</f>
        <v/>
      </c>
      <c r="AS130" s="20">
        <f>IF($A130="","",MATCH($A130,'潜水記録'!$AI$5:$AI$3004,0))</f>
        <v/>
      </c>
    </row>
    <row r="131">
      <c r="A131" s="14">
        <f>IF(121&lt;=$C$8,121,"")</f>
        <v/>
      </c>
      <c r="B131" s="16">
        <f>IF($A131="","",IF(INDEX('潜水記録'!$A$5:$A$3004,$AS131)="","",INDEX('潜水記録'!$A$5:$A$3004,$AS131)))</f>
        <v/>
      </c>
      <c r="C131" s="14">
        <f>IF($A131="","",IF(INDEX('潜水記録'!$B$5:$B$3004,$AS131)="","",INDEX('潜水記録'!$B$5:$B$3004,$AS131)))</f>
        <v/>
      </c>
      <c r="D131" s="14">
        <f>IF($A131="","",IF(INDEX('潜水記録'!$C$5:$C$3004,$AS131)="","",INDEX('潜水記録'!$C$5:$C$3004,$AS131)))</f>
        <v/>
      </c>
      <c r="E131" s="14">
        <f>IF($A131="","",IF(INDEX('潜水記録'!$D$5:$D$3004,$AS131)="","",INDEX('潜水記録'!$D$5:$D$3004,$AS131)))</f>
        <v/>
      </c>
      <c r="F131" s="14">
        <f>IF($A131="","",IF(INDEX('潜水記録'!$E$5:$E$3004,$AS131)="","",INDEX('潜水記録'!$E$5:$E$3004,$AS131)))</f>
        <v/>
      </c>
      <c r="G131" s="14">
        <f>IF($A131="","",IF(INDEX('潜水記録'!$F$5:$F$3004,$AS131)="","",INDEX('潜水記録'!$F$5:$F$3004,$AS131)))</f>
        <v/>
      </c>
      <c r="H131" s="14">
        <f>IF($A131="","",IF(INDEX('潜水記録'!$G$5:$G$3004,$AS131)="","",INDEX('潜水記録'!$G$5:$G$3004,$AS131)))</f>
        <v/>
      </c>
      <c r="I131" s="14">
        <f>IF($A131="","",IF(INDEX('潜水記録'!$H$5:$H$3004,$AS131)="","",INDEX('潜水記録'!$H$5:$H$3004,$AS131)))</f>
        <v/>
      </c>
      <c r="J131" s="14">
        <f>IF($A131="","",IF(INDEX('潜水記録'!$I$5:$I$3004,$AS131)="","",INDEX('潜水記録'!$I$5:$I$3004,$AS131)))</f>
        <v/>
      </c>
      <c r="K131" s="14">
        <f>IF($A131="","",IF(INDEX('潜水記録'!$J$5:$J$3004,$AS131)="","",INDEX('潜水記録'!$J$5:$J$3004,$AS131)))</f>
        <v/>
      </c>
      <c r="L131" s="14">
        <f>IF($A131="","",IF(INDEX('潜水記録'!$K$5:$K$3004,$AS131)="","",INDEX('潜水記録'!$K$5:$K$3004,$AS131)))</f>
        <v/>
      </c>
      <c r="M131" s="14">
        <f>IF($A131="","",IF(INDEX('潜水記録'!$L$5:$L$3004,$AS131)="","",INDEX('潜水記録'!$L$5:$L$3004,$AS131)))</f>
        <v/>
      </c>
      <c r="N131" s="14">
        <f>IF($A131="","",IF(INDEX('潜水記録'!$M$5:$M$3004,$AS131)="","",INDEX('潜水記録'!$M$5:$M$3004,$AS131)))</f>
        <v/>
      </c>
      <c r="O131" s="14">
        <f>IF($A131="","",IF(INDEX('潜水記録'!$N$5:$N$3004,$AS131)="","",INDEX('潜水記録'!$N$5:$N$3004,$AS131)))</f>
        <v/>
      </c>
      <c r="P131" s="14">
        <f>IF($A131="","",IF(INDEX('潜水記録'!$O$5:$O$3004,$AS131)="","",INDEX('潜水記録'!$O$5:$O$3004,$AS131)))</f>
        <v/>
      </c>
      <c r="Q131" s="14">
        <f>IF($A131="","",IF(INDEX('潜水記録'!$P$5:$P$3004,$AS131)="","",INDEX('潜水記録'!$P$5:$P$3004,$AS131)))</f>
        <v/>
      </c>
      <c r="R131" s="14">
        <f>IF($A131="","",IF(INDEX('潜水記録'!$Q$5:$Q$3004,$AS131)="","",INDEX('潜水記録'!$Q$5:$Q$3004,$AS131)))</f>
        <v/>
      </c>
      <c r="S131" s="14">
        <f>IF($A131="","",IF(INDEX('潜水記録'!$R$5:$R$3004,$AS131)="","",INDEX('潜水記録'!$R$5:$R$3004,$AS131)))</f>
        <v/>
      </c>
      <c r="T131" s="14">
        <f>IF($A131="","",IF(INDEX('潜水記録'!$S$5:$S$3004,$AS131)="","",INDEX('潜水記録'!$S$5:$S$3004,$AS131)))</f>
        <v/>
      </c>
      <c r="U131" s="14">
        <f>IF($A131="","",IF(INDEX('潜水記録'!$T$5:$T$3004,$AS131)="","",INDEX('潜水記録'!$T$5:$T$3004,$AS131)))</f>
        <v/>
      </c>
      <c r="V131" s="46">
        <f>IF($A131="","",IF(INDEX('潜水記録'!$U$5:$U$3004,$AS131)="","",INDEX('潜水記録'!$U$5:$U$3004,$AS131)))</f>
        <v/>
      </c>
      <c r="W131" s="46">
        <f>IF($A131="","",IF(INDEX('潜水記録'!$V$5:$V$3004,$AS131)="","",INDEX('潜水記録'!$V$5:$V$3004,$AS131)))</f>
        <v/>
      </c>
      <c r="X131" s="14">
        <f>IF($A131="","",IF(INDEX('潜水記録'!$W$5:$W$3004,$AS131)="","",INDEX('潜水記録'!$W$5:$W$3004,$AS131)))</f>
        <v/>
      </c>
      <c r="Y131" s="14">
        <f>IF($A131="","",IF(INDEX('潜水記録'!$X$5:$X$3004,$AS131)="","",INDEX('潜水記録'!$X$5:$X$3004,$AS131)))</f>
        <v/>
      </c>
      <c r="Z131" s="14">
        <f>IF($A131="","",IF(INDEX('潜水記録'!$Y$5:$Y$3004,$AS131)="","",INDEX('潜水記録'!$Y$5:$Y$3004,$AS131)))</f>
        <v/>
      </c>
      <c r="AA131" s="14">
        <f>IF($A131="","",IF(INDEX('潜水記録'!$Z$5:$Z$3004,$AS131)="","",INDEX('潜水記録'!$Z$5:$Z$3004,$AS131)))</f>
        <v/>
      </c>
      <c r="AB131" s="14">
        <f>IF($A131="","",IF(INDEX('潜水記録'!$AA$5:$AA$3004,$AS131)="","",INDEX('潜水記録'!$AA$5:$AA$3004,$AS131)))</f>
        <v/>
      </c>
      <c r="AC131" s="14">
        <f>IF($A131="","",IF(INDEX('潜水記録'!$AB$5:$AB$3004,$AS131)="","",INDEX('潜水記録'!$AB$5:$AB$3004,$AS131)))</f>
        <v/>
      </c>
      <c r="AD131" s="14">
        <f>IF($A131="","",IF(INDEX('潜水記録'!$AC$5:$AC$3004,$AS131)="","",INDEX('潜水記録'!$AC$5:$AC$3004,$AS131)))</f>
        <v/>
      </c>
      <c r="AE131" s="14">
        <f>IF($A131="","",IF(INDEX('潜水記録'!$AD$5:$AD$3004,$AS131)="","",INDEX('潜水記録'!$AD$5:$AD$3004,$AS131)))</f>
        <v/>
      </c>
      <c r="AF131" s="14">
        <f>IF($A131="","",IF(INDEX('潜水記録'!$AE$5:$AE$3004,$AS131)="","",INDEX('潜水記録'!$AE$5:$AE$3004,$AS131)))</f>
        <v/>
      </c>
      <c r="AG131" s="14">
        <f>IF($A131="","",IF(INDEX('潜水記録'!$AL$5:$AL$3004,$AS131)="","",INDEX('潜水記録'!$AL$5:$AL$3004,$AS131)))</f>
        <v/>
      </c>
      <c r="AH131" s="14">
        <f>IF($A131="","",IF(INDEX('潜水記録'!$AM$5:$AM$3004,$AS131)="","",INDEX('潜水記録'!$AM$5:$AM$3004,$AS131)))</f>
        <v/>
      </c>
      <c r="AI131" s="46">
        <f>IF($A131="","",IF(INDEX('潜水記録'!$AN$5:$AN$3004,$AS131)="","",INDEX('潜水記録'!$AN$5:$AN$3004,$AS131)))</f>
        <v/>
      </c>
      <c r="AJ131" s="14">
        <f>IF($A131="","",IF(INDEX('潜水記録'!$AO$5:$AO$3004,$AS131)="","",INDEX('潜水記録'!$AO$5:$AO$3004,$AS131)))</f>
        <v/>
      </c>
      <c r="AK131" s="14">
        <f>IF($A131="","",IF(INDEX('潜水記録'!$AP$5:$AP$3004,$AS131)="","",INDEX('潜水記録'!$AP$5:$AP$3004,$AS131)))</f>
        <v/>
      </c>
      <c r="AL131" s="14">
        <f>IF($A131="","",IF(INDEX('潜水記録'!$AQ$5:$AQ$3004,$AS131)="","",INDEX('潜水記録'!$AQ$5:$AQ$3004,$AS131)))</f>
        <v/>
      </c>
      <c r="AM131" s="14">
        <f>IF($A131="","",IF(INDEX('潜水記録'!$AR$5:$AR$3004,$AS131)="","",INDEX('潜水記録'!$AR$5:$AR$3004,$AS131)))</f>
        <v/>
      </c>
      <c r="AN131" s="14">
        <f>IF($A131="","",IF(INDEX('潜水記録'!$AS$5:$AS$3004,$AS131)="","",INDEX('潜水記録'!$AS$5:$AS$3004,$AS131)))</f>
        <v/>
      </c>
      <c r="AO131" s="14">
        <f>IF($A131="","",IF(INDEX('潜水記録'!$AT$5:$AT$3004,$AS131)="","",INDEX('潜水記録'!$AT$5:$AT$3004,$AS131)))</f>
        <v/>
      </c>
      <c r="AP131" s="14">
        <f>IF($A131="","",IF(INDEX('潜水記録'!$AU$5:$AU$3004,$AS131)="","",INDEX('潜水記録'!$AU$5:$AU$3004,$AS131)))</f>
        <v/>
      </c>
      <c r="AQ131" s="14">
        <f>IF($A131="","",IF(INDEX('潜水記録'!$AV$5:$AV$3004,$AS131)="","",INDEX('潜水記録'!$AV$5:$AV$3004,$AS131)))</f>
        <v/>
      </c>
      <c r="AR131" s="14">
        <f>IF($A131="","",IF(INDEX('潜水記録'!$AW$5:$AW$3004,$AS131)="","",INDEX('潜水記録'!$AW$5:$AW$3004,$AS131)))</f>
        <v/>
      </c>
      <c r="AS131" s="20">
        <f>IF($A131="","",MATCH($A131,'潜水記録'!$AI$5:$AI$3004,0))</f>
        <v/>
      </c>
    </row>
    <row r="132">
      <c r="A132" s="14">
        <f>IF(122&lt;=$C$8,122,"")</f>
        <v/>
      </c>
      <c r="B132" s="16">
        <f>IF($A132="","",IF(INDEX('潜水記録'!$A$5:$A$3004,$AS132)="","",INDEX('潜水記録'!$A$5:$A$3004,$AS132)))</f>
        <v/>
      </c>
      <c r="C132" s="14">
        <f>IF($A132="","",IF(INDEX('潜水記録'!$B$5:$B$3004,$AS132)="","",INDEX('潜水記録'!$B$5:$B$3004,$AS132)))</f>
        <v/>
      </c>
      <c r="D132" s="14">
        <f>IF($A132="","",IF(INDEX('潜水記録'!$C$5:$C$3004,$AS132)="","",INDEX('潜水記録'!$C$5:$C$3004,$AS132)))</f>
        <v/>
      </c>
      <c r="E132" s="14">
        <f>IF($A132="","",IF(INDEX('潜水記録'!$D$5:$D$3004,$AS132)="","",INDEX('潜水記録'!$D$5:$D$3004,$AS132)))</f>
        <v/>
      </c>
      <c r="F132" s="14">
        <f>IF($A132="","",IF(INDEX('潜水記録'!$E$5:$E$3004,$AS132)="","",INDEX('潜水記録'!$E$5:$E$3004,$AS132)))</f>
        <v/>
      </c>
      <c r="G132" s="14">
        <f>IF($A132="","",IF(INDEX('潜水記録'!$F$5:$F$3004,$AS132)="","",INDEX('潜水記録'!$F$5:$F$3004,$AS132)))</f>
        <v/>
      </c>
      <c r="H132" s="14">
        <f>IF($A132="","",IF(INDEX('潜水記録'!$G$5:$G$3004,$AS132)="","",INDEX('潜水記録'!$G$5:$G$3004,$AS132)))</f>
        <v/>
      </c>
      <c r="I132" s="14">
        <f>IF($A132="","",IF(INDEX('潜水記録'!$H$5:$H$3004,$AS132)="","",INDEX('潜水記録'!$H$5:$H$3004,$AS132)))</f>
        <v/>
      </c>
      <c r="J132" s="14">
        <f>IF($A132="","",IF(INDEX('潜水記録'!$I$5:$I$3004,$AS132)="","",INDEX('潜水記録'!$I$5:$I$3004,$AS132)))</f>
        <v/>
      </c>
      <c r="K132" s="14">
        <f>IF($A132="","",IF(INDEX('潜水記録'!$J$5:$J$3004,$AS132)="","",INDEX('潜水記録'!$J$5:$J$3004,$AS132)))</f>
        <v/>
      </c>
      <c r="L132" s="14">
        <f>IF($A132="","",IF(INDEX('潜水記録'!$K$5:$K$3004,$AS132)="","",INDEX('潜水記録'!$K$5:$K$3004,$AS132)))</f>
        <v/>
      </c>
      <c r="M132" s="14">
        <f>IF($A132="","",IF(INDEX('潜水記録'!$L$5:$L$3004,$AS132)="","",INDEX('潜水記録'!$L$5:$L$3004,$AS132)))</f>
        <v/>
      </c>
      <c r="N132" s="14">
        <f>IF($A132="","",IF(INDEX('潜水記録'!$M$5:$M$3004,$AS132)="","",INDEX('潜水記録'!$M$5:$M$3004,$AS132)))</f>
        <v/>
      </c>
      <c r="O132" s="14">
        <f>IF($A132="","",IF(INDEX('潜水記録'!$N$5:$N$3004,$AS132)="","",INDEX('潜水記録'!$N$5:$N$3004,$AS132)))</f>
        <v/>
      </c>
      <c r="P132" s="14">
        <f>IF($A132="","",IF(INDEX('潜水記録'!$O$5:$O$3004,$AS132)="","",INDEX('潜水記録'!$O$5:$O$3004,$AS132)))</f>
        <v/>
      </c>
      <c r="Q132" s="14">
        <f>IF($A132="","",IF(INDEX('潜水記録'!$P$5:$P$3004,$AS132)="","",INDEX('潜水記録'!$P$5:$P$3004,$AS132)))</f>
        <v/>
      </c>
      <c r="R132" s="14">
        <f>IF($A132="","",IF(INDEX('潜水記録'!$Q$5:$Q$3004,$AS132)="","",INDEX('潜水記録'!$Q$5:$Q$3004,$AS132)))</f>
        <v/>
      </c>
      <c r="S132" s="14">
        <f>IF($A132="","",IF(INDEX('潜水記録'!$R$5:$R$3004,$AS132)="","",INDEX('潜水記録'!$R$5:$R$3004,$AS132)))</f>
        <v/>
      </c>
      <c r="T132" s="14">
        <f>IF($A132="","",IF(INDEX('潜水記録'!$S$5:$S$3004,$AS132)="","",INDEX('潜水記録'!$S$5:$S$3004,$AS132)))</f>
        <v/>
      </c>
      <c r="U132" s="14">
        <f>IF($A132="","",IF(INDEX('潜水記録'!$T$5:$T$3004,$AS132)="","",INDEX('潜水記録'!$T$5:$T$3004,$AS132)))</f>
        <v/>
      </c>
      <c r="V132" s="46">
        <f>IF($A132="","",IF(INDEX('潜水記録'!$U$5:$U$3004,$AS132)="","",INDEX('潜水記録'!$U$5:$U$3004,$AS132)))</f>
        <v/>
      </c>
      <c r="W132" s="46">
        <f>IF($A132="","",IF(INDEX('潜水記録'!$V$5:$V$3004,$AS132)="","",INDEX('潜水記録'!$V$5:$V$3004,$AS132)))</f>
        <v/>
      </c>
      <c r="X132" s="14">
        <f>IF($A132="","",IF(INDEX('潜水記録'!$W$5:$W$3004,$AS132)="","",INDEX('潜水記録'!$W$5:$W$3004,$AS132)))</f>
        <v/>
      </c>
      <c r="Y132" s="14">
        <f>IF($A132="","",IF(INDEX('潜水記録'!$X$5:$X$3004,$AS132)="","",INDEX('潜水記録'!$X$5:$X$3004,$AS132)))</f>
        <v/>
      </c>
      <c r="Z132" s="14">
        <f>IF($A132="","",IF(INDEX('潜水記録'!$Y$5:$Y$3004,$AS132)="","",INDEX('潜水記録'!$Y$5:$Y$3004,$AS132)))</f>
        <v/>
      </c>
      <c r="AA132" s="14">
        <f>IF($A132="","",IF(INDEX('潜水記録'!$Z$5:$Z$3004,$AS132)="","",INDEX('潜水記録'!$Z$5:$Z$3004,$AS132)))</f>
        <v/>
      </c>
      <c r="AB132" s="14">
        <f>IF($A132="","",IF(INDEX('潜水記録'!$AA$5:$AA$3004,$AS132)="","",INDEX('潜水記録'!$AA$5:$AA$3004,$AS132)))</f>
        <v/>
      </c>
      <c r="AC132" s="14">
        <f>IF($A132="","",IF(INDEX('潜水記録'!$AB$5:$AB$3004,$AS132)="","",INDEX('潜水記録'!$AB$5:$AB$3004,$AS132)))</f>
        <v/>
      </c>
      <c r="AD132" s="14">
        <f>IF($A132="","",IF(INDEX('潜水記録'!$AC$5:$AC$3004,$AS132)="","",INDEX('潜水記録'!$AC$5:$AC$3004,$AS132)))</f>
        <v/>
      </c>
      <c r="AE132" s="14">
        <f>IF($A132="","",IF(INDEX('潜水記録'!$AD$5:$AD$3004,$AS132)="","",INDEX('潜水記録'!$AD$5:$AD$3004,$AS132)))</f>
        <v/>
      </c>
      <c r="AF132" s="14">
        <f>IF($A132="","",IF(INDEX('潜水記録'!$AE$5:$AE$3004,$AS132)="","",INDEX('潜水記録'!$AE$5:$AE$3004,$AS132)))</f>
        <v/>
      </c>
      <c r="AG132" s="14">
        <f>IF($A132="","",IF(INDEX('潜水記録'!$AL$5:$AL$3004,$AS132)="","",INDEX('潜水記録'!$AL$5:$AL$3004,$AS132)))</f>
        <v/>
      </c>
      <c r="AH132" s="14">
        <f>IF($A132="","",IF(INDEX('潜水記録'!$AM$5:$AM$3004,$AS132)="","",INDEX('潜水記録'!$AM$5:$AM$3004,$AS132)))</f>
        <v/>
      </c>
      <c r="AI132" s="46">
        <f>IF($A132="","",IF(INDEX('潜水記録'!$AN$5:$AN$3004,$AS132)="","",INDEX('潜水記録'!$AN$5:$AN$3004,$AS132)))</f>
        <v/>
      </c>
      <c r="AJ132" s="14">
        <f>IF($A132="","",IF(INDEX('潜水記録'!$AO$5:$AO$3004,$AS132)="","",INDEX('潜水記録'!$AO$5:$AO$3004,$AS132)))</f>
        <v/>
      </c>
      <c r="AK132" s="14">
        <f>IF($A132="","",IF(INDEX('潜水記録'!$AP$5:$AP$3004,$AS132)="","",INDEX('潜水記録'!$AP$5:$AP$3004,$AS132)))</f>
        <v/>
      </c>
      <c r="AL132" s="14">
        <f>IF($A132="","",IF(INDEX('潜水記録'!$AQ$5:$AQ$3004,$AS132)="","",INDEX('潜水記録'!$AQ$5:$AQ$3004,$AS132)))</f>
        <v/>
      </c>
      <c r="AM132" s="14">
        <f>IF($A132="","",IF(INDEX('潜水記録'!$AR$5:$AR$3004,$AS132)="","",INDEX('潜水記録'!$AR$5:$AR$3004,$AS132)))</f>
        <v/>
      </c>
      <c r="AN132" s="14">
        <f>IF($A132="","",IF(INDEX('潜水記録'!$AS$5:$AS$3004,$AS132)="","",INDEX('潜水記録'!$AS$5:$AS$3004,$AS132)))</f>
        <v/>
      </c>
      <c r="AO132" s="14">
        <f>IF($A132="","",IF(INDEX('潜水記録'!$AT$5:$AT$3004,$AS132)="","",INDEX('潜水記録'!$AT$5:$AT$3004,$AS132)))</f>
        <v/>
      </c>
      <c r="AP132" s="14">
        <f>IF($A132="","",IF(INDEX('潜水記録'!$AU$5:$AU$3004,$AS132)="","",INDEX('潜水記録'!$AU$5:$AU$3004,$AS132)))</f>
        <v/>
      </c>
      <c r="AQ132" s="14">
        <f>IF($A132="","",IF(INDEX('潜水記録'!$AV$5:$AV$3004,$AS132)="","",INDEX('潜水記録'!$AV$5:$AV$3004,$AS132)))</f>
        <v/>
      </c>
      <c r="AR132" s="14">
        <f>IF($A132="","",IF(INDEX('潜水記録'!$AW$5:$AW$3004,$AS132)="","",INDEX('潜水記録'!$AW$5:$AW$3004,$AS132)))</f>
        <v/>
      </c>
      <c r="AS132" s="20">
        <f>IF($A132="","",MATCH($A132,'潜水記録'!$AI$5:$AI$3004,0))</f>
        <v/>
      </c>
    </row>
    <row r="133">
      <c r="A133" s="14">
        <f>IF(123&lt;=$C$8,123,"")</f>
        <v/>
      </c>
      <c r="B133" s="16">
        <f>IF($A133="","",IF(INDEX('潜水記録'!$A$5:$A$3004,$AS133)="","",INDEX('潜水記録'!$A$5:$A$3004,$AS133)))</f>
        <v/>
      </c>
      <c r="C133" s="14">
        <f>IF($A133="","",IF(INDEX('潜水記録'!$B$5:$B$3004,$AS133)="","",INDEX('潜水記録'!$B$5:$B$3004,$AS133)))</f>
        <v/>
      </c>
      <c r="D133" s="14">
        <f>IF($A133="","",IF(INDEX('潜水記録'!$C$5:$C$3004,$AS133)="","",INDEX('潜水記録'!$C$5:$C$3004,$AS133)))</f>
        <v/>
      </c>
      <c r="E133" s="14">
        <f>IF($A133="","",IF(INDEX('潜水記録'!$D$5:$D$3004,$AS133)="","",INDEX('潜水記録'!$D$5:$D$3004,$AS133)))</f>
        <v/>
      </c>
      <c r="F133" s="14">
        <f>IF($A133="","",IF(INDEX('潜水記録'!$E$5:$E$3004,$AS133)="","",INDEX('潜水記録'!$E$5:$E$3004,$AS133)))</f>
        <v/>
      </c>
      <c r="G133" s="14">
        <f>IF($A133="","",IF(INDEX('潜水記録'!$F$5:$F$3004,$AS133)="","",INDEX('潜水記録'!$F$5:$F$3004,$AS133)))</f>
        <v/>
      </c>
      <c r="H133" s="14">
        <f>IF($A133="","",IF(INDEX('潜水記録'!$G$5:$G$3004,$AS133)="","",INDEX('潜水記録'!$G$5:$G$3004,$AS133)))</f>
        <v/>
      </c>
      <c r="I133" s="14">
        <f>IF($A133="","",IF(INDEX('潜水記録'!$H$5:$H$3004,$AS133)="","",INDEX('潜水記録'!$H$5:$H$3004,$AS133)))</f>
        <v/>
      </c>
      <c r="J133" s="14">
        <f>IF($A133="","",IF(INDEX('潜水記録'!$I$5:$I$3004,$AS133)="","",INDEX('潜水記録'!$I$5:$I$3004,$AS133)))</f>
        <v/>
      </c>
      <c r="K133" s="14">
        <f>IF($A133="","",IF(INDEX('潜水記録'!$J$5:$J$3004,$AS133)="","",INDEX('潜水記録'!$J$5:$J$3004,$AS133)))</f>
        <v/>
      </c>
      <c r="L133" s="14">
        <f>IF($A133="","",IF(INDEX('潜水記録'!$K$5:$K$3004,$AS133)="","",INDEX('潜水記録'!$K$5:$K$3004,$AS133)))</f>
        <v/>
      </c>
      <c r="M133" s="14">
        <f>IF($A133="","",IF(INDEX('潜水記録'!$L$5:$L$3004,$AS133)="","",INDEX('潜水記録'!$L$5:$L$3004,$AS133)))</f>
        <v/>
      </c>
      <c r="N133" s="14">
        <f>IF($A133="","",IF(INDEX('潜水記録'!$M$5:$M$3004,$AS133)="","",INDEX('潜水記録'!$M$5:$M$3004,$AS133)))</f>
        <v/>
      </c>
      <c r="O133" s="14">
        <f>IF($A133="","",IF(INDEX('潜水記録'!$N$5:$N$3004,$AS133)="","",INDEX('潜水記録'!$N$5:$N$3004,$AS133)))</f>
        <v/>
      </c>
      <c r="P133" s="14">
        <f>IF($A133="","",IF(INDEX('潜水記録'!$O$5:$O$3004,$AS133)="","",INDEX('潜水記録'!$O$5:$O$3004,$AS133)))</f>
        <v/>
      </c>
      <c r="Q133" s="14">
        <f>IF($A133="","",IF(INDEX('潜水記録'!$P$5:$P$3004,$AS133)="","",INDEX('潜水記録'!$P$5:$P$3004,$AS133)))</f>
        <v/>
      </c>
      <c r="R133" s="14">
        <f>IF($A133="","",IF(INDEX('潜水記録'!$Q$5:$Q$3004,$AS133)="","",INDEX('潜水記録'!$Q$5:$Q$3004,$AS133)))</f>
        <v/>
      </c>
      <c r="S133" s="14">
        <f>IF($A133="","",IF(INDEX('潜水記録'!$R$5:$R$3004,$AS133)="","",INDEX('潜水記録'!$R$5:$R$3004,$AS133)))</f>
        <v/>
      </c>
      <c r="T133" s="14">
        <f>IF($A133="","",IF(INDEX('潜水記録'!$S$5:$S$3004,$AS133)="","",INDEX('潜水記録'!$S$5:$S$3004,$AS133)))</f>
        <v/>
      </c>
      <c r="U133" s="14">
        <f>IF($A133="","",IF(INDEX('潜水記録'!$T$5:$T$3004,$AS133)="","",INDEX('潜水記録'!$T$5:$T$3004,$AS133)))</f>
        <v/>
      </c>
      <c r="V133" s="46">
        <f>IF($A133="","",IF(INDEX('潜水記録'!$U$5:$U$3004,$AS133)="","",INDEX('潜水記録'!$U$5:$U$3004,$AS133)))</f>
        <v/>
      </c>
      <c r="W133" s="46">
        <f>IF($A133="","",IF(INDEX('潜水記録'!$V$5:$V$3004,$AS133)="","",INDEX('潜水記録'!$V$5:$V$3004,$AS133)))</f>
        <v/>
      </c>
      <c r="X133" s="14">
        <f>IF($A133="","",IF(INDEX('潜水記録'!$W$5:$W$3004,$AS133)="","",INDEX('潜水記録'!$W$5:$W$3004,$AS133)))</f>
        <v/>
      </c>
      <c r="Y133" s="14">
        <f>IF($A133="","",IF(INDEX('潜水記録'!$X$5:$X$3004,$AS133)="","",INDEX('潜水記録'!$X$5:$X$3004,$AS133)))</f>
        <v/>
      </c>
      <c r="Z133" s="14">
        <f>IF($A133="","",IF(INDEX('潜水記録'!$Y$5:$Y$3004,$AS133)="","",INDEX('潜水記録'!$Y$5:$Y$3004,$AS133)))</f>
        <v/>
      </c>
      <c r="AA133" s="14">
        <f>IF($A133="","",IF(INDEX('潜水記録'!$Z$5:$Z$3004,$AS133)="","",INDEX('潜水記録'!$Z$5:$Z$3004,$AS133)))</f>
        <v/>
      </c>
      <c r="AB133" s="14">
        <f>IF($A133="","",IF(INDEX('潜水記録'!$AA$5:$AA$3004,$AS133)="","",INDEX('潜水記録'!$AA$5:$AA$3004,$AS133)))</f>
        <v/>
      </c>
      <c r="AC133" s="14">
        <f>IF($A133="","",IF(INDEX('潜水記録'!$AB$5:$AB$3004,$AS133)="","",INDEX('潜水記録'!$AB$5:$AB$3004,$AS133)))</f>
        <v/>
      </c>
      <c r="AD133" s="14">
        <f>IF($A133="","",IF(INDEX('潜水記録'!$AC$5:$AC$3004,$AS133)="","",INDEX('潜水記録'!$AC$5:$AC$3004,$AS133)))</f>
        <v/>
      </c>
      <c r="AE133" s="14">
        <f>IF($A133="","",IF(INDEX('潜水記録'!$AD$5:$AD$3004,$AS133)="","",INDEX('潜水記録'!$AD$5:$AD$3004,$AS133)))</f>
        <v/>
      </c>
      <c r="AF133" s="14">
        <f>IF($A133="","",IF(INDEX('潜水記録'!$AE$5:$AE$3004,$AS133)="","",INDEX('潜水記録'!$AE$5:$AE$3004,$AS133)))</f>
        <v/>
      </c>
      <c r="AG133" s="14">
        <f>IF($A133="","",IF(INDEX('潜水記録'!$AL$5:$AL$3004,$AS133)="","",INDEX('潜水記録'!$AL$5:$AL$3004,$AS133)))</f>
        <v/>
      </c>
      <c r="AH133" s="14">
        <f>IF($A133="","",IF(INDEX('潜水記録'!$AM$5:$AM$3004,$AS133)="","",INDEX('潜水記録'!$AM$5:$AM$3004,$AS133)))</f>
        <v/>
      </c>
      <c r="AI133" s="46">
        <f>IF($A133="","",IF(INDEX('潜水記録'!$AN$5:$AN$3004,$AS133)="","",INDEX('潜水記録'!$AN$5:$AN$3004,$AS133)))</f>
        <v/>
      </c>
      <c r="AJ133" s="14">
        <f>IF($A133="","",IF(INDEX('潜水記録'!$AO$5:$AO$3004,$AS133)="","",INDEX('潜水記録'!$AO$5:$AO$3004,$AS133)))</f>
        <v/>
      </c>
      <c r="AK133" s="14">
        <f>IF($A133="","",IF(INDEX('潜水記録'!$AP$5:$AP$3004,$AS133)="","",INDEX('潜水記録'!$AP$5:$AP$3004,$AS133)))</f>
        <v/>
      </c>
      <c r="AL133" s="14">
        <f>IF($A133="","",IF(INDEX('潜水記録'!$AQ$5:$AQ$3004,$AS133)="","",INDEX('潜水記録'!$AQ$5:$AQ$3004,$AS133)))</f>
        <v/>
      </c>
      <c r="AM133" s="14">
        <f>IF($A133="","",IF(INDEX('潜水記録'!$AR$5:$AR$3004,$AS133)="","",INDEX('潜水記録'!$AR$5:$AR$3004,$AS133)))</f>
        <v/>
      </c>
      <c r="AN133" s="14">
        <f>IF($A133="","",IF(INDEX('潜水記録'!$AS$5:$AS$3004,$AS133)="","",INDEX('潜水記録'!$AS$5:$AS$3004,$AS133)))</f>
        <v/>
      </c>
      <c r="AO133" s="14">
        <f>IF($A133="","",IF(INDEX('潜水記録'!$AT$5:$AT$3004,$AS133)="","",INDEX('潜水記録'!$AT$5:$AT$3004,$AS133)))</f>
        <v/>
      </c>
      <c r="AP133" s="14">
        <f>IF($A133="","",IF(INDEX('潜水記録'!$AU$5:$AU$3004,$AS133)="","",INDEX('潜水記録'!$AU$5:$AU$3004,$AS133)))</f>
        <v/>
      </c>
      <c r="AQ133" s="14">
        <f>IF($A133="","",IF(INDEX('潜水記録'!$AV$5:$AV$3004,$AS133)="","",INDEX('潜水記録'!$AV$5:$AV$3004,$AS133)))</f>
        <v/>
      </c>
      <c r="AR133" s="14">
        <f>IF($A133="","",IF(INDEX('潜水記録'!$AW$5:$AW$3004,$AS133)="","",INDEX('潜水記録'!$AW$5:$AW$3004,$AS133)))</f>
        <v/>
      </c>
      <c r="AS133" s="20">
        <f>IF($A133="","",MATCH($A133,'潜水記録'!$AI$5:$AI$3004,0))</f>
        <v/>
      </c>
    </row>
    <row r="134">
      <c r="A134" s="14">
        <f>IF(124&lt;=$C$8,124,"")</f>
        <v/>
      </c>
      <c r="B134" s="16">
        <f>IF($A134="","",IF(INDEX('潜水記録'!$A$5:$A$3004,$AS134)="","",INDEX('潜水記録'!$A$5:$A$3004,$AS134)))</f>
        <v/>
      </c>
      <c r="C134" s="14">
        <f>IF($A134="","",IF(INDEX('潜水記録'!$B$5:$B$3004,$AS134)="","",INDEX('潜水記録'!$B$5:$B$3004,$AS134)))</f>
        <v/>
      </c>
      <c r="D134" s="14">
        <f>IF($A134="","",IF(INDEX('潜水記録'!$C$5:$C$3004,$AS134)="","",INDEX('潜水記録'!$C$5:$C$3004,$AS134)))</f>
        <v/>
      </c>
      <c r="E134" s="14">
        <f>IF($A134="","",IF(INDEX('潜水記録'!$D$5:$D$3004,$AS134)="","",INDEX('潜水記録'!$D$5:$D$3004,$AS134)))</f>
        <v/>
      </c>
      <c r="F134" s="14">
        <f>IF($A134="","",IF(INDEX('潜水記録'!$E$5:$E$3004,$AS134)="","",INDEX('潜水記録'!$E$5:$E$3004,$AS134)))</f>
        <v/>
      </c>
      <c r="G134" s="14">
        <f>IF($A134="","",IF(INDEX('潜水記録'!$F$5:$F$3004,$AS134)="","",INDEX('潜水記録'!$F$5:$F$3004,$AS134)))</f>
        <v/>
      </c>
      <c r="H134" s="14">
        <f>IF($A134="","",IF(INDEX('潜水記録'!$G$5:$G$3004,$AS134)="","",INDEX('潜水記録'!$G$5:$G$3004,$AS134)))</f>
        <v/>
      </c>
      <c r="I134" s="14">
        <f>IF($A134="","",IF(INDEX('潜水記録'!$H$5:$H$3004,$AS134)="","",INDEX('潜水記録'!$H$5:$H$3004,$AS134)))</f>
        <v/>
      </c>
      <c r="J134" s="14">
        <f>IF($A134="","",IF(INDEX('潜水記録'!$I$5:$I$3004,$AS134)="","",INDEX('潜水記録'!$I$5:$I$3004,$AS134)))</f>
        <v/>
      </c>
      <c r="K134" s="14">
        <f>IF($A134="","",IF(INDEX('潜水記録'!$J$5:$J$3004,$AS134)="","",INDEX('潜水記録'!$J$5:$J$3004,$AS134)))</f>
        <v/>
      </c>
      <c r="L134" s="14">
        <f>IF($A134="","",IF(INDEX('潜水記録'!$K$5:$K$3004,$AS134)="","",INDEX('潜水記録'!$K$5:$K$3004,$AS134)))</f>
        <v/>
      </c>
      <c r="M134" s="14">
        <f>IF($A134="","",IF(INDEX('潜水記録'!$L$5:$L$3004,$AS134)="","",INDEX('潜水記録'!$L$5:$L$3004,$AS134)))</f>
        <v/>
      </c>
      <c r="N134" s="14">
        <f>IF($A134="","",IF(INDEX('潜水記録'!$M$5:$M$3004,$AS134)="","",INDEX('潜水記録'!$M$5:$M$3004,$AS134)))</f>
        <v/>
      </c>
      <c r="O134" s="14">
        <f>IF($A134="","",IF(INDEX('潜水記録'!$N$5:$N$3004,$AS134)="","",INDEX('潜水記録'!$N$5:$N$3004,$AS134)))</f>
        <v/>
      </c>
      <c r="P134" s="14">
        <f>IF($A134="","",IF(INDEX('潜水記録'!$O$5:$O$3004,$AS134)="","",INDEX('潜水記録'!$O$5:$O$3004,$AS134)))</f>
        <v/>
      </c>
      <c r="Q134" s="14">
        <f>IF($A134="","",IF(INDEX('潜水記録'!$P$5:$P$3004,$AS134)="","",INDEX('潜水記録'!$P$5:$P$3004,$AS134)))</f>
        <v/>
      </c>
      <c r="R134" s="14">
        <f>IF($A134="","",IF(INDEX('潜水記録'!$Q$5:$Q$3004,$AS134)="","",INDEX('潜水記録'!$Q$5:$Q$3004,$AS134)))</f>
        <v/>
      </c>
      <c r="S134" s="14">
        <f>IF($A134="","",IF(INDEX('潜水記録'!$R$5:$R$3004,$AS134)="","",INDEX('潜水記録'!$R$5:$R$3004,$AS134)))</f>
        <v/>
      </c>
      <c r="T134" s="14">
        <f>IF($A134="","",IF(INDEX('潜水記録'!$S$5:$S$3004,$AS134)="","",INDEX('潜水記録'!$S$5:$S$3004,$AS134)))</f>
        <v/>
      </c>
      <c r="U134" s="14">
        <f>IF($A134="","",IF(INDEX('潜水記録'!$T$5:$T$3004,$AS134)="","",INDEX('潜水記録'!$T$5:$T$3004,$AS134)))</f>
        <v/>
      </c>
      <c r="V134" s="46">
        <f>IF($A134="","",IF(INDEX('潜水記録'!$U$5:$U$3004,$AS134)="","",INDEX('潜水記録'!$U$5:$U$3004,$AS134)))</f>
        <v/>
      </c>
      <c r="W134" s="46">
        <f>IF($A134="","",IF(INDEX('潜水記録'!$V$5:$V$3004,$AS134)="","",INDEX('潜水記録'!$V$5:$V$3004,$AS134)))</f>
        <v/>
      </c>
      <c r="X134" s="14">
        <f>IF($A134="","",IF(INDEX('潜水記録'!$W$5:$W$3004,$AS134)="","",INDEX('潜水記録'!$W$5:$W$3004,$AS134)))</f>
        <v/>
      </c>
      <c r="Y134" s="14">
        <f>IF($A134="","",IF(INDEX('潜水記録'!$X$5:$X$3004,$AS134)="","",INDEX('潜水記録'!$X$5:$X$3004,$AS134)))</f>
        <v/>
      </c>
      <c r="Z134" s="14">
        <f>IF($A134="","",IF(INDEX('潜水記録'!$Y$5:$Y$3004,$AS134)="","",INDEX('潜水記録'!$Y$5:$Y$3004,$AS134)))</f>
        <v/>
      </c>
      <c r="AA134" s="14">
        <f>IF($A134="","",IF(INDEX('潜水記録'!$Z$5:$Z$3004,$AS134)="","",INDEX('潜水記録'!$Z$5:$Z$3004,$AS134)))</f>
        <v/>
      </c>
      <c r="AB134" s="14">
        <f>IF($A134="","",IF(INDEX('潜水記録'!$AA$5:$AA$3004,$AS134)="","",INDEX('潜水記録'!$AA$5:$AA$3004,$AS134)))</f>
        <v/>
      </c>
      <c r="AC134" s="14">
        <f>IF($A134="","",IF(INDEX('潜水記録'!$AB$5:$AB$3004,$AS134)="","",INDEX('潜水記録'!$AB$5:$AB$3004,$AS134)))</f>
        <v/>
      </c>
      <c r="AD134" s="14">
        <f>IF($A134="","",IF(INDEX('潜水記録'!$AC$5:$AC$3004,$AS134)="","",INDEX('潜水記録'!$AC$5:$AC$3004,$AS134)))</f>
        <v/>
      </c>
      <c r="AE134" s="14">
        <f>IF($A134="","",IF(INDEX('潜水記録'!$AD$5:$AD$3004,$AS134)="","",INDEX('潜水記録'!$AD$5:$AD$3004,$AS134)))</f>
        <v/>
      </c>
      <c r="AF134" s="14">
        <f>IF($A134="","",IF(INDEX('潜水記録'!$AE$5:$AE$3004,$AS134)="","",INDEX('潜水記録'!$AE$5:$AE$3004,$AS134)))</f>
        <v/>
      </c>
      <c r="AG134" s="14">
        <f>IF($A134="","",IF(INDEX('潜水記録'!$AL$5:$AL$3004,$AS134)="","",INDEX('潜水記録'!$AL$5:$AL$3004,$AS134)))</f>
        <v/>
      </c>
      <c r="AH134" s="14">
        <f>IF($A134="","",IF(INDEX('潜水記録'!$AM$5:$AM$3004,$AS134)="","",INDEX('潜水記録'!$AM$5:$AM$3004,$AS134)))</f>
        <v/>
      </c>
      <c r="AI134" s="46">
        <f>IF($A134="","",IF(INDEX('潜水記録'!$AN$5:$AN$3004,$AS134)="","",INDEX('潜水記録'!$AN$5:$AN$3004,$AS134)))</f>
        <v/>
      </c>
      <c r="AJ134" s="14">
        <f>IF($A134="","",IF(INDEX('潜水記録'!$AO$5:$AO$3004,$AS134)="","",INDEX('潜水記録'!$AO$5:$AO$3004,$AS134)))</f>
        <v/>
      </c>
      <c r="AK134" s="14">
        <f>IF($A134="","",IF(INDEX('潜水記録'!$AP$5:$AP$3004,$AS134)="","",INDEX('潜水記録'!$AP$5:$AP$3004,$AS134)))</f>
        <v/>
      </c>
      <c r="AL134" s="14">
        <f>IF($A134="","",IF(INDEX('潜水記録'!$AQ$5:$AQ$3004,$AS134)="","",INDEX('潜水記録'!$AQ$5:$AQ$3004,$AS134)))</f>
        <v/>
      </c>
      <c r="AM134" s="14">
        <f>IF($A134="","",IF(INDEX('潜水記録'!$AR$5:$AR$3004,$AS134)="","",INDEX('潜水記録'!$AR$5:$AR$3004,$AS134)))</f>
        <v/>
      </c>
      <c r="AN134" s="14">
        <f>IF($A134="","",IF(INDEX('潜水記録'!$AS$5:$AS$3004,$AS134)="","",INDEX('潜水記録'!$AS$5:$AS$3004,$AS134)))</f>
        <v/>
      </c>
      <c r="AO134" s="14">
        <f>IF($A134="","",IF(INDEX('潜水記録'!$AT$5:$AT$3004,$AS134)="","",INDEX('潜水記録'!$AT$5:$AT$3004,$AS134)))</f>
        <v/>
      </c>
      <c r="AP134" s="14">
        <f>IF($A134="","",IF(INDEX('潜水記録'!$AU$5:$AU$3004,$AS134)="","",INDEX('潜水記録'!$AU$5:$AU$3004,$AS134)))</f>
        <v/>
      </c>
      <c r="AQ134" s="14">
        <f>IF($A134="","",IF(INDEX('潜水記録'!$AV$5:$AV$3004,$AS134)="","",INDEX('潜水記録'!$AV$5:$AV$3004,$AS134)))</f>
        <v/>
      </c>
      <c r="AR134" s="14">
        <f>IF($A134="","",IF(INDEX('潜水記録'!$AW$5:$AW$3004,$AS134)="","",INDEX('潜水記録'!$AW$5:$AW$3004,$AS134)))</f>
        <v/>
      </c>
      <c r="AS134" s="20">
        <f>IF($A134="","",MATCH($A134,'潜水記録'!$AI$5:$AI$3004,0))</f>
        <v/>
      </c>
    </row>
    <row r="135">
      <c r="A135" s="14">
        <f>IF(125&lt;=$C$8,125,"")</f>
        <v/>
      </c>
      <c r="B135" s="16">
        <f>IF($A135="","",IF(INDEX('潜水記録'!$A$5:$A$3004,$AS135)="","",INDEX('潜水記録'!$A$5:$A$3004,$AS135)))</f>
        <v/>
      </c>
      <c r="C135" s="14">
        <f>IF($A135="","",IF(INDEX('潜水記録'!$B$5:$B$3004,$AS135)="","",INDEX('潜水記録'!$B$5:$B$3004,$AS135)))</f>
        <v/>
      </c>
      <c r="D135" s="14">
        <f>IF($A135="","",IF(INDEX('潜水記録'!$C$5:$C$3004,$AS135)="","",INDEX('潜水記録'!$C$5:$C$3004,$AS135)))</f>
        <v/>
      </c>
      <c r="E135" s="14">
        <f>IF($A135="","",IF(INDEX('潜水記録'!$D$5:$D$3004,$AS135)="","",INDEX('潜水記録'!$D$5:$D$3004,$AS135)))</f>
        <v/>
      </c>
      <c r="F135" s="14">
        <f>IF($A135="","",IF(INDEX('潜水記録'!$E$5:$E$3004,$AS135)="","",INDEX('潜水記録'!$E$5:$E$3004,$AS135)))</f>
        <v/>
      </c>
      <c r="G135" s="14">
        <f>IF($A135="","",IF(INDEX('潜水記録'!$F$5:$F$3004,$AS135)="","",INDEX('潜水記録'!$F$5:$F$3004,$AS135)))</f>
        <v/>
      </c>
      <c r="H135" s="14">
        <f>IF($A135="","",IF(INDEX('潜水記録'!$G$5:$G$3004,$AS135)="","",INDEX('潜水記録'!$G$5:$G$3004,$AS135)))</f>
        <v/>
      </c>
      <c r="I135" s="14">
        <f>IF($A135="","",IF(INDEX('潜水記録'!$H$5:$H$3004,$AS135)="","",INDEX('潜水記録'!$H$5:$H$3004,$AS135)))</f>
        <v/>
      </c>
      <c r="J135" s="14">
        <f>IF($A135="","",IF(INDEX('潜水記録'!$I$5:$I$3004,$AS135)="","",INDEX('潜水記録'!$I$5:$I$3004,$AS135)))</f>
        <v/>
      </c>
      <c r="K135" s="14">
        <f>IF($A135="","",IF(INDEX('潜水記録'!$J$5:$J$3004,$AS135)="","",INDEX('潜水記録'!$J$5:$J$3004,$AS135)))</f>
        <v/>
      </c>
      <c r="L135" s="14">
        <f>IF($A135="","",IF(INDEX('潜水記録'!$K$5:$K$3004,$AS135)="","",INDEX('潜水記録'!$K$5:$K$3004,$AS135)))</f>
        <v/>
      </c>
      <c r="M135" s="14">
        <f>IF($A135="","",IF(INDEX('潜水記録'!$L$5:$L$3004,$AS135)="","",INDEX('潜水記録'!$L$5:$L$3004,$AS135)))</f>
        <v/>
      </c>
      <c r="N135" s="14">
        <f>IF($A135="","",IF(INDEX('潜水記録'!$M$5:$M$3004,$AS135)="","",INDEX('潜水記録'!$M$5:$M$3004,$AS135)))</f>
        <v/>
      </c>
      <c r="O135" s="14">
        <f>IF($A135="","",IF(INDEX('潜水記録'!$N$5:$N$3004,$AS135)="","",INDEX('潜水記録'!$N$5:$N$3004,$AS135)))</f>
        <v/>
      </c>
      <c r="P135" s="14">
        <f>IF($A135="","",IF(INDEX('潜水記録'!$O$5:$O$3004,$AS135)="","",INDEX('潜水記録'!$O$5:$O$3004,$AS135)))</f>
        <v/>
      </c>
      <c r="Q135" s="14">
        <f>IF($A135="","",IF(INDEX('潜水記録'!$P$5:$P$3004,$AS135)="","",INDEX('潜水記録'!$P$5:$P$3004,$AS135)))</f>
        <v/>
      </c>
      <c r="R135" s="14">
        <f>IF($A135="","",IF(INDEX('潜水記録'!$Q$5:$Q$3004,$AS135)="","",INDEX('潜水記録'!$Q$5:$Q$3004,$AS135)))</f>
        <v/>
      </c>
      <c r="S135" s="14">
        <f>IF($A135="","",IF(INDEX('潜水記録'!$R$5:$R$3004,$AS135)="","",INDEX('潜水記録'!$R$5:$R$3004,$AS135)))</f>
        <v/>
      </c>
      <c r="T135" s="14">
        <f>IF($A135="","",IF(INDEX('潜水記録'!$S$5:$S$3004,$AS135)="","",INDEX('潜水記録'!$S$5:$S$3004,$AS135)))</f>
        <v/>
      </c>
      <c r="U135" s="14">
        <f>IF($A135="","",IF(INDEX('潜水記録'!$T$5:$T$3004,$AS135)="","",INDEX('潜水記録'!$T$5:$T$3004,$AS135)))</f>
        <v/>
      </c>
      <c r="V135" s="46">
        <f>IF($A135="","",IF(INDEX('潜水記録'!$U$5:$U$3004,$AS135)="","",INDEX('潜水記録'!$U$5:$U$3004,$AS135)))</f>
        <v/>
      </c>
      <c r="W135" s="46">
        <f>IF($A135="","",IF(INDEX('潜水記録'!$V$5:$V$3004,$AS135)="","",INDEX('潜水記録'!$V$5:$V$3004,$AS135)))</f>
        <v/>
      </c>
      <c r="X135" s="14">
        <f>IF($A135="","",IF(INDEX('潜水記録'!$W$5:$W$3004,$AS135)="","",INDEX('潜水記録'!$W$5:$W$3004,$AS135)))</f>
        <v/>
      </c>
      <c r="Y135" s="14">
        <f>IF($A135="","",IF(INDEX('潜水記録'!$X$5:$X$3004,$AS135)="","",INDEX('潜水記録'!$X$5:$X$3004,$AS135)))</f>
        <v/>
      </c>
      <c r="Z135" s="14">
        <f>IF($A135="","",IF(INDEX('潜水記録'!$Y$5:$Y$3004,$AS135)="","",INDEX('潜水記録'!$Y$5:$Y$3004,$AS135)))</f>
        <v/>
      </c>
      <c r="AA135" s="14">
        <f>IF($A135="","",IF(INDEX('潜水記録'!$Z$5:$Z$3004,$AS135)="","",INDEX('潜水記録'!$Z$5:$Z$3004,$AS135)))</f>
        <v/>
      </c>
      <c r="AB135" s="14">
        <f>IF($A135="","",IF(INDEX('潜水記録'!$AA$5:$AA$3004,$AS135)="","",INDEX('潜水記録'!$AA$5:$AA$3004,$AS135)))</f>
        <v/>
      </c>
      <c r="AC135" s="14">
        <f>IF($A135="","",IF(INDEX('潜水記録'!$AB$5:$AB$3004,$AS135)="","",INDEX('潜水記録'!$AB$5:$AB$3004,$AS135)))</f>
        <v/>
      </c>
      <c r="AD135" s="14">
        <f>IF($A135="","",IF(INDEX('潜水記録'!$AC$5:$AC$3004,$AS135)="","",INDEX('潜水記録'!$AC$5:$AC$3004,$AS135)))</f>
        <v/>
      </c>
      <c r="AE135" s="14">
        <f>IF($A135="","",IF(INDEX('潜水記録'!$AD$5:$AD$3004,$AS135)="","",INDEX('潜水記録'!$AD$5:$AD$3004,$AS135)))</f>
        <v/>
      </c>
      <c r="AF135" s="14">
        <f>IF($A135="","",IF(INDEX('潜水記録'!$AE$5:$AE$3004,$AS135)="","",INDEX('潜水記録'!$AE$5:$AE$3004,$AS135)))</f>
        <v/>
      </c>
      <c r="AG135" s="14">
        <f>IF($A135="","",IF(INDEX('潜水記録'!$AL$5:$AL$3004,$AS135)="","",INDEX('潜水記録'!$AL$5:$AL$3004,$AS135)))</f>
        <v/>
      </c>
      <c r="AH135" s="14">
        <f>IF($A135="","",IF(INDEX('潜水記録'!$AM$5:$AM$3004,$AS135)="","",INDEX('潜水記録'!$AM$5:$AM$3004,$AS135)))</f>
        <v/>
      </c>
      <c r="AI135" s="46">
        <f>IF($A135="","",IF(INDEX('潜水記録'!$AN$5:$AN$3004,$AS135)="","",INDEX('潜水記録'!$AN$5:$AN$3004,$AS135)))</f>
        <v/>
      </c>
      <c r="AJ135" s="14">
        <f>IF($A135="","",IF(INDEX('潜水記録'!$AO$5:$AO$3004,$AS135)="","",INDEX('潜水記録'!$AO$5:$AO$3004,$AS135)))</f>
        <v/>
      </c>
      <c r="AK135" s="14">
        <f>IF($A135="","",IF(INDEX('潜水記録'!$AP$5:$AP$3004,$AS135)="","",INDEX('潜水記録'!$AP$5:$AP$3004,$AS135)))</f>
        <v/>
      </c>
      <c r="AL135" s="14">
        <f>IF($A135="","",IF(INDEX('潜水記録'!$AQ$5:$AQ$3004,$AS135)="","",INDEX('潜水記録'!$AQ$5:$AQ$3004,$AS135)))</f>
        <v/>
      </c>
      <c r="AM135" s="14">
        <f>IF($A135="","",IF(INDEX('潜水記録'!$AR$5:$AR$3004,$AS135)="","",INDEX('潜水記録'!$AR$5:$AR$3004,$AS135)))</f>
        <v/>
      </c>
      <c r="AN135" s="14">
        <f>IF($A135="","",IF(INDEX('潜水記録'!$AS$5:$AS$3004,$AS135)="","",INDEX('潜水記録'!$AS$5:$AS$3004,$AS135)))</f>
        <v/>
      </c>
      <c r="AO135" s="14">
        <f>IF($A135="","",IF(INDEX('潜水記録'!$AT$5:$AT$3004,$AS135)="","",INDEX('潜水記録'!$AT$5:$AT$3004,$AS135)))</f>
        <v/>
      </c>
      <c r="AP135" s="14">
        <f>IF($A135="","",IF(INDEX('潜水記録'!$AU$5:$AU$3004,$AS135)="","",INDEX('潜水記録'!$AU$5:$AU$3004,$AS135)))</f>
        <v/>
      </c>
      <c r="AQ135" s="14">
        <f>IF($A135="","",IF(INDEX('潜水記録'!$AV$5:$AV$3004,$AS135)="","",INDEX('潜水記録'!$AV$5:$AV$3004,$AS135)))</f>
        <v/>
      </c>
      <c r="AR135" s="14">
        <f>IF($A135="","",IF(INDEX('潜水記録'!$AW$5:$AW$3004,$AS135)="","",INDEX('潜水記録'!$AW$5:$AW$3004,$AS135)))</f>
        <v/>
      </c>
      <c r="AS135" s="20">
        <f>IF($A135="","",MATCH($A135,'潜水記録'!$AI$5:$AI$3004,0))</f>
        <v/>
      </c>
    </row>
    <row r="136">
      <c r="A136" s="14">
        <f>IF(126&lt;=$C$8,126,"")</f>
        <v/>
      </c>
      <c r="B136" s="16">
        <f>IF($A136="","",IF(INDEX('潜水記録'!$A$5:$A$3004,$AS136)="","",INDEX('潜水記録'!$A$5:$A$3004,$AS136)))</f>
        <v/>
      </c>
      <c r="C136" s="14">
        <f>IF($A136="","",IF(INDEX('潜水記録'!$B$5:$B$3004,$AS136)="","",INDEX('潜水記録'!$B$5:$B$3004,$AS136)))</f>
        <v/>
      </c>
      <c r="D136" s="14">
        <f>IF($A136="","",IF(INDEX('潜水記録'!$C$5:$C$3004,$AS136)="","",INDEX('潜水記録'!$C$5:$C$3004,$AS136)))</f>
        <v/>
      </c>
      <c r="E136" s="14">
        <f>IF($A136="","",IF(INDEX('潜水記録'!$D$5:$D$3004,$AS136)="","",INDEX('潜水記録'!$D$5:$D$3004,$AS136)))</f>
        <v/>
      </c>
      <c r="F136" s="14">
        <f>IF($A136="","",IF(INDEX('潜水記録'!$E$5:$E$3004,$AS136)="","",INDEX('潜水記録'!$E$5:$E$3004,$AS136)))</f>
        <v/>
      </c>
      <c r="G136" s="14">
        <f>IF($A136="","",IF(INDEX('潜水記録'!$F$5:$F$3004,$AS136)="","",INDEX('潜水記録'!$F$5:$F$3004,$AS136)))</f>
        <v/>
      </c>
      <c r="H136" s="14">
        <f>IF($A136="","",IF(INDEX('潜水記録'!$G$5:$G$3004,$AS136)="","",INDEX('潜水記録'!$G$5:$G$3004,$AS136)))</f>
        <v/>
      </c>
      <c r="I136" s="14">
        <f>IF($A136="","",IF(INDEX('潜水記録'!$H$5:$H$3004,$AS136)="","",INDEX('潜水記録'!$H$5:$H$3004,$AS136)))</f>
        <v/>
      </c>
      <c r="J136" s="14">
        <f>IF($A136="","",IF(INDEX('潜水記録'!$I$5:$I$3004,$AS136)="","",INDEX('潜水記録'!$I$5:$I$3004,$AS136)))</f>
        <v/>
      </c>
      <c r="K136" s="14">
        <f>IF($A136="","",IF(INDEX('潜水記録'!$J$5:$J$3004,$AS136)="","",INDEX('潜水記録'!$J$5:$J$3004,$AS136)))</f>
        <v/>
      </c>
      <c r="L136" s="14">
        <f>IF($A136="","",IF(INDEX('潜水記録'!$K$5:$K$3004,$AS136)="","",INDEX('潜水記録'!$K$5:$K$3004,$AS136)))</f>
        <v/>
      </c>
      <c r="M136" s="14">
        <f>IF($A136="","",IF(INDEX('潜水記録'!$L$5:$L$3004,$AS136)="","",INDEX('潜水記録'!$L$5:$L$3004,$AS136)))</f>
        <v/>
      </c>
      <c r="N136" s="14">
        <f>IF($A136="","",IF(INDEX('潜水記録'!$M$5:$M$3004,$AS136)="","",INDEX('潜水記録'!$M$5:$M$3004,$AS136)))</f>
        <v/>
      </c>
      <c r="O136" s="14">
        <f>IF($A136="","",IF(INDEX('潜水記録'!$N$5:$N$3004,$AS136)="","",INDEX('潜水記録'!$N$5:$N$3004,$AS136)))</f>
        <v/>
      </c>
      <c r="P136" s="14">
        <f>IF($A136="","",IF(INDEX('潜水記録'!$O$5:$O$3004,$AS136)="","",INDEX('潜水記録'!$O$5:$O$3004,$AS136)))</f>
        <v/>
      </c>
      <c r="Q136" s="14">
        <f>IF($A136="","",IF(INDEX('潜水記録'!$P$5:$P$3004,$AS136)="","",INDEX('潜水記録'!$P$5:$P$3004,$AS136)))</f>
        <v/>
      </c>
      <c r="R136" s="14">
        <f>IF($A136="","",IF(INDEX('潜水記録'!$Q$5:$Q$3004,$AS136)="","",INDEX('潜水記録'!$Q$5:$Q$3004,$AS136)))</f>
        <v/>
      </c>
      <c r="S136" s="14">
        <f>IF($A136="","",IF(INDEX('潜水記録'!$R$5:$R$3004,$AS136)="","",INDEX('潜水記録'!$R$5:$R$3004,$AS136)))</f>
        <v/>
      </c>
      <c r="T136" s="14">
        <f>IF($A136="","",IF(INDEX('潜水記録'!$S$5:$S$3004,$AS136)="","",INDEX('潜水記録'!$S$5:$S$3004,$AS136)))</f>
        <v/>
      </c>
      <c r="U136" s="14">
        <f>IF($A136="","",IF(INDEX('潜水記録'!$T$5:$T$3004,$AS136)="","",INDEX('潜水記録'!$T$5:$T$3004,$AS136)))</f>
        <v/>
      </c>
      <c r="V136" s="46">
        <f>IF($A136="","",IF(INDEX('潜水記録'!$U$5:$U$3004,$AS136)="","",INDEX('潜水記録'!$U$5:$U$3004,$AS136)))</f>
        <v/>
      </c>
      <c r="W136" s="46">
        <f>IF($A136="","",IF(INDEX('潜水記録'!$V$5:$V$3004,$AS136)="","",INDEX('潜水記録'!$V$5:$V$3004,$AS136)))</f>
        <v/>
      </c>
      <c r="X136" s="14">
        <f>IF($A136="","",IF(INDEX('潜水記録'!$W$5:$W$3004,$AS136)="","",INDEX('潜水記録'!$W$5:$W$3004,$AS136)))</f>
        <v/>
      </c>
      <c r="Y136" s="14">
        <f>IF($A136="","",IF(INDEX('潜水記録'!$X$5:$X$3004,$AS136)="","",INDEX('潜水記録'!$X$5:$X$3004,$AS136)))</f>
        <v/>
      </c>
      <c r="Z136" s="14">
        <f>IF($A136="","",IF(INDEX('潜水記録'!$Y$5:$Y$3004,$AS136)="","",INDEX('潜水記録'!$Y$5:$Y$3004,$AS136)))</f>
        <v/>
      </c>
      <c r="AA136" s="14">
        <f>IF($A136="","",IF(INDEX('潜水記録'!$Z$5:$Z$3004,$AS136)="","",INDEX('潜水記録'!$Z$5:$Z$3004,$AS136)))</f>
        <v/>
      </c>
      <c r="AB136" s="14">
        <f>IF($A136="","",IF(INDEX('潜水記録'!$AA$5:$AA$3004,$AS136)="","",INDEX('潜水記録'!$AA$5:$AA$3004,$AS136)))</f>
        <v/>
      </c>
      <c r="AC136" s="14">
        <f>IF($A136="","",IF(INDEX('潜水記録'!$AB$5:$AB$3004,$AS136)="","",INDEX('潜水記録'!$AB$5:$AB$3004,$AS136)))</f>
        <v/>
      </c>
      <c r="AD136" s="14">
        <f>IF($A136="","",IF(INDEX('潜水記録'!$AC$5:$AC$3004,$AS136)="","",INDEX('潜水記録'!$AC$5:$AC$3004,$AS136)))</f>
        <v/>
      </c>
      <c r="AE136" s="14">
        <f>IF($A136="","",IF(INDEX('潜水記録'!$AD$5:$AD$3004,$AS136)="","",INDEX('潜水記録'!$AD$5:$AD$3004,$AS136)))</f>
        <v/>
      </c>
      <c r="AF136" s="14">
        <f>IF($A136="","",IF(INDEX('潜水記録'!$AE$5:$AE$3004,$AS136)="","",INDEX('潜水記録'!$AE$5:$AE$3004,$AS136)))</f>
        <v/>
      </c>
      <c r="AG136" s="14">
        <f>IF($A136="","",IF(INDEX('潜水記録'!$AL$5:$AL$3004,$AS136)="","",INDEX('潜水記録'!$AL$5:$AL$3004,$AS136)))</f>
        <v/>
      </c>
      <c r="AH136" s="14">
        <f>IF($A136="","",IF(INDEX('潜水記録'!$AM$5:$AM$3004,$AS136)="","",INDEX('潜水記録'!$AM$5:$AM$3004,$AS136)))</f>
        <v/>
      </c>
      <c r="AI136" s="46">
        <f>IF($A136="","",IF(INDEX('潜水記録'!$AN$5:$AN$3004,$AS136)="","",INDEX('潜水記録'!$AN$5:$AN$3004,$AS136)))</f>
        <v/>
      </c>
      <c r="AJ136" s="14">
        <f>IF($A136="","",IF(INDEX('潜水記録'!$AO$5:$AO$3004,$AS136)="","",INDEX('潜水記録'!$AO$5:$AO$3004,$AS136)))</f>
        <v/>
      </c>
      <c r="AK136" s="14">
        <f>IF($A136="","",IF(INDEX('潜水記録'!$AP$5:$AP$3004,$AS136)="","",INDEX('潜水記録'!$AP$5:$AP$3004,$AS136)))</f>
        <v/>
      </c>
      <c r="AL136" s="14">
        <f>IF($A136="","",IF(INDEX('潜水記録'!$AQ$5:$AQ$3004,$AS136)="","",INDEX('潜水記録'!$AQ$5:$AQ$3004,$AS136)))</f>
        <v/>
      </c>
      <c r="AM136" s="14">
        <f>IF($A136="","",IF(INDEX('潜水記録'!$AR$5:$AR$3004,$AS136)="","",INDEX('潜水記録'!$AR$5:$AR$3004,$AS136)))</f>
        <v/>
      </c>
      <c r="AN136" s="14">
        <f>IF($A136="","",IF(INDEX('潜水記録'!$AS$5:$AS$3004,$AS136)="","",INDEX('潜水記録'!$AS$5:$AS$3004,$AS136)))</f>
        <v/>
      </c>
      <c r="AO136" s="14">
        <f>IF($A136="","",IF(INDEX('潜水記録'!$AT$5:$AT$3004,$AS136)="","",INDEX('潜水記録'!$AT$5:$AT$3004,$AS136)))</f>
        <v/>
      </c>
      <c r="AP136" s="14">
        <f>IF($A136="","",IF(INDEX('潜水記録'!$AU$5:$AU$3004,$AS136)="","",INDEX('潜水記録'!$AU$5:$AU$3004,$AS136)))</f>
        <v/>
      </c>
      <c r="AQ136" s="14">
        <f>IF($A136="","",IF(INDEX('潜水記録'!$AV$5:$AV$3004,$AS136)="","",INDEX('潜水記録'!$AV$5:$AV$3004,$AS136)))</f>
        <v/>
      </c>
      <c r="AR136" s="14">
        <f>IF($A136="","",IF(INDEX('潜水記録'!$AW$5:$AW$3004,$AS136)="","",INDEX('潜水記録'!$AW$5:$AW$3004,$AS136)))</f>
        <v/>
      </c>
      <c r="AS136" s="20">
        <f>IF($A136="","",MATCH($A136,'潜水記録'!$AI$5:$AI$3004,0))</f>
        <v/>
      </c>
    </row>
    <row r="137">
      <c r="A137" s="14">
        <f>IF(127&lt;=$C$8,127,"")</f>
        <v/>
      </c>
      <c r="B137" s="16">
        <f>IF($A137="","",IF(INDEX('潜水記録'!$A$5:$A$3004,$AS137)="","",INDEX('潜水記録'!$A$5:$A$3004,$AS137)))</f>
        <v/>
      </c>
      <c r="C137" s="14">
        <f>IF($A137="","",IF(INDEX('潜水記録'!$B$5:$B$3004,$AS137)="","",INDEX('潜水記録'!$B$5:$B$3004,$AS137)))</f>
        <v/>
      </c>
      <c r="D137" s="14">
        <f>IF($A137="","",IF(INDEX('潜水記録'!$C$5:$C$3004,$AS137)="","",INDEX('潜水記録'!$C$5:$C$3004,$AS137)))</f>
        <v/>
      </c>
      <c r="E137" s="14">
        <f>IF($A137="","",IF(INDEX('潜水記録'!$D$5:$D$3004,$AS137)="","",INDEX('潜水記録'!$D$5:$D$3004,$AS137)))</f>
        <v/>
      </c>
      <c r="F137" s="14">
        <f>IF($A137="","",IF(INDEX('潜水記録'!$E$5:$E$3004,$AS137)="","",INDEX('潜水記録'!$E$5:$E$3004,$AS137)))</f>
        <v/>
      </c>
      <c r="G137" s="14">
        <f>IF($A137="","",IF(INDEX('潜水記録'!$F$5:$F$3004,$AS137)="","",INDEX('潜水記録'!$F$5:$F$3004,$AS137)))</f>
        <v/>
      </c>
      <c r="H137" s="14">
        <f>IF($A137="","",IF(INDEX('潜水記録'!$G$5:$G$3004,$AS137)="","",INDEX('潜水記録'!$G$5:$G$3004,$AS137)))</f>
        <v/>
      </c>
      <c r="I137" s="14">
        <f>IF($A137="","",IF(INDEX('潜水記録'!$H$5:$H$3004,$AS137)="","",INDEX('潜水記録'!$H$5:$H$3004,$AS137)))</f>
        <v/>
      </c>
      <c r="J137" s="14">
        <f>IF($A137="","",IF(INDEX('潜水記録'!$I$5:$I$3004,$AS137)="","",INDEX('潜水記録'!$I$5:$I$3004,$AS137)))</f>
        <v/>
      </c>
      <c r="K137" s="14">
        <f>IF($A137="","",IF(INDEX('潜水記録'!$J$5:$J$3004,$AS137)="","",INDEX('潜水記録'!$J$5:$J$3004,$AS137)))</f>
        <v/>
      </c>
      <c r="L137" s="14">
        <f>IF($A137="","",IF(INDEX('潜水記録'!$K$5:$K$3004,$AS137)="","",INDEX('潜水記録'!$K$5:$K$3004,$AS137)))</f>
        <v/>
      </c>
      <c r="M137" s="14">
        <f>IF($A137="","",IF(INDEX('潜水記録'!$L$5:$L$3004,$AS137)="","",INDEX('潜水記録'!$L$5:$L$3004,$AS137)))</f>
        <v/>
      </c>
      <c r="N137" s="14">
        <f>IF($A137="","",IF(INDEX('潜水記録'!$M$5:$M$3004,$AS137)="","",INDEX('潜水記録'!$M$5:$M$3004,$AS137)))</f>
        <v/>
      </c>
      <c r="O137" s="14">
        <f>IF($A137="","",IF(INDEX('潜水記録'!$N$5:$N$3004,$AS137)="","",INDEX('潜水記録'!$N$5:$N$3004,$AS137)))</f>
        <v/>
      </c>
      <c r="P137" s="14">
        <f>IF($A137="","",IF(INDEX('潜水記録'!$O$5:$O$3004,$AS137)="","",INDEX('潜水記録'!$O$5:$O$3004,$AS137)))</f>
        <v/>
      </c>
      <c r="Q137" s="14">
        <f>IF($A137="","",IF(INDEX('潜水記録'!$P$5:$P$3004,$AS137)="","",INDEX('潜水記録'!$P$5:$P$3004,$AS137)))</f>
        <v/>
      </c>
      <c r="R137" s="14">
        <f>IF($A137="","",IF(INDEX('潜水記録'!$Q$5:$Q$3004,$AS137)="","",INDEX('潜水記録'!$Q$5:$Q$3004,$AS137)))</f>
        <v/>
      </c>
      <c r="S137" s="14">
        <f>IF($A137="","",IF(INDEX('潜水記録'!$R$5:$R$3004,$AS137)="","",INDEX('潜水記録'!$R$5:$R$3004,$AS137)))</f>
        <v/>
      </c>
      <c r="T137" s="14">
        <f>IF($A137="","",IF(INDEX('潜水記録'!$S$5:$S$3004,$AS137)="","",INDEX('潜水記録'!$S$5:$S$3004,$AS137)))</f>
        <v/>
      </c>
      <c r="U137" s="14">
        <f>IF($A137="","",IF(INDEX('潜水記録'!$T$5:$T$3004,$AS137)="","",INDEX('潜水記録'!$T$5:$T$3004,$AS137)))</f>
        <v/>
      </c>
      <c r="V137" s="46">
        <f>IF($A137="","",IF(INDEX('潜水記録'!$U$5:$U$3004,$AS137)="","",INDEX('潜水記録'!$U$5:$U$3004,$AS137)))</f>
        <v/>
      </c>
      <c r="W137" s="46">
        <f>IF($A137="","",IF(INDEX('潜水記録'!$V$5:$V$3004,$AS137)="","",INDEX('潜水記録'!$V$5:$V$3004,$AS137)))</f>
        <v/>
      </c>
      <c r="X137" s="14">
        <f>IF($A137="","",IF(INDEX('潜水記録'!$W$5:$W$3004,$AS137)="","",INDEX('潜水記録'!$W$5:$W$3004,$AS137)))</f>
        <v/>
      </c>
      <c r="Y137" s="14">
        <f>IF($A137="","",IF(INDEX('潜水記録'!$X$5:$X$3004,$AS137)="","",INDEX('潜水記録'!$X$5:$X$3004,$AS137)))</f>
        <v/>
      </c>
      <c r="Z137" s="14">
        <f>IF($A137="","",IF(INDEX('潜水記録'!$Y$5:$Y$3004,$AS137)="","",INDEX('潜水記録'!$Y$5:$Y$3004,$AS137)))</f>
        <v/>
      </c>
      <c r="AA137" s="14">
        <f>IF($A137="","",IF(INDEX('潜水記録'!$Z$5:$Z$3004,$AS137)="","",INDEX('潜水記録'!$Z$5:$Z$3004,$AS137)))</f>
        <v/>
      </c>
      <c r="AB137" s="14">
        <f>IF($A137="","",IF(INDEX('潜水記録'!$AA$5:$AA$3004,$AS137)="","",INDEX('潜水記録'!$AA$5:$AA$3004,$AS137)))</f>
        <v/>
      </c>
      <c r="AC137" s="14">
        <f>IF($A137="","",IF(INDEX('潜水記録'!$AB$5:$AB$3004,$AS137)="","",INDEX('潜水記録'!$AB$5:$AB$3004,$AS137)))</f>
        <v/>
      </c>
      <c r="AD137" s="14">
        <f>IF($A137="","",IF(INDEX('潜水記録'!$AC$5:$AC$3004,$AS137)="","",INDEX('潜水記録'!$AC$5:$AC$3004,$AS137)))</f>
        <v/>
      </c>
      <c r="AE137" s="14">
        <f>IF($A137="","",IF(INDEX('潜水記録'!$AD$5:$AD$3004,$AS137)="","",INDEX('潜水記録'!$AD$5:$AD$3004,$AS137)))</f>
        <v/>
      </c>
      <c r="AF137" s="14">
        <f>IF($A137="","",IF(INDEX('潜水記録'!$AE$5:$AE$3004,$AS137)="","",INDEX('潜水記録'!$AE$5:$AE$3004,$AS137)))</f>
        <v/>
      </c>
      <c r="AG137" s="14">
        <f>IF($A137="","",IF(INDEX('潜水記録'!$AL$5:$AL$3004,$AS137)="","",INDEX('潜水記録'!$AL$5:$AL$3004,$AS137)))</f>
        <v/>
      </c>
      <c r="AH137" s="14">
        <f>IF($A137="","",IF(INDEX('潜水記録'!$AM$5:$AM$3004,$AS137)="","",INDEX('潜水記録'!$AM$5:$AM$3004,$AS137)))</f>
        <v/>
      </c>
      <c r="AI137" s="46">
        <f>IF($A137="","",IF(INDEX('潜水記録'!$AN$5:$AN$3004,$AS137)="","",INDEX('潜水記録'!$AN$5:$AN$3004,$AS137)))</f>
        <v/>
      </c>
      <c r="AJ137" s="14">
        <f>IF($A137="","",IF(INDEX('潜水記録'!$AO$5:$AO$3004,$AS137)="","",INDEX('潜水記録'!$AO$5:$AO$3004,$AS137)))</f>
        <v/>
      </c>
      <c r="AK137" s="14">
        <f>IF($A137="","",IF(INDEX('潜水記録'!$AP$5:$AP$3004,$AS137)="","",INDEX('潜水記録'!$AP$5:$AP$3004,$AS137)))</f>
        <v/>
      </c>
      <c r="AL137" s="14">
        <f>IF($A137="","",IF(INDEX('潜水記録'!$AQ$5:$AQ$3004,$AS137)="","",INDEX('潜水記録'!$AQ$5:$AQ$3004,$AS137)))</f>
        <v/>
      </c>
      <c r="AM137" s="14">
        <f>IF($A137="","",IF(INDEX('潜水記録'!$AR$5:$AR$3004,$AS137)="","",INDEX('潜水記録'!$AR$5:$AR$3004,$AS137)))</f>
        <v/>
      </c>
      <c r="AN137" s="14">
        <f>IF($A137="","",IF(INDEX('潜水記録'!$AS$5:$AS$3004,$AS137)="","",INDEX('潜水記録'!$AS$5:$AS$3004,$AS137)))</f>
        <v/>
      </c>
      <c r="AO137" s="14">
        <f>IF($A137="","",IF(INDEX('潜水記録'!$AT$5:$AT$3004,$AS137)="","",INDEX('潜水記録'!$AT$5:$AT$3004,$AS137)))</f>
        <v/>
      </c>
      <c r="AP137" s="14">
        <f>IF($A137="","",IF(INDEX('潜水記録'!$AU$5:$AU$3004,$AS137)="","",INDEX('潜水記録'!$AU$5:$AU$3004,$AS137)))</f>
        <v/>
      </c>
      <c r="AQ137" s="14">
        <f>IF($A137="","",IF(INDEX('潜水記録'!$AV$5:$AV$3004,$AS137)="","",INDEX('潜水記録'!$AV$5:$AV$3004,$AS137)))</f>
        <v/>
      </c>
      <c r="AR137" s="14">
        <f>IF($A137="","",IF(INDEX('潜水記録'!$AW$5:$AW$3004,$AS137)="","",INDEX('潜水記録'!$AW$5:$AW$3004,$AS137)))</f>
        <v/>
      </c>
      <c r="AS137" s="20">
        <f>IF($A137="","",MATCH($A137,'潜水記録'!$AI$5:$AI$3004,0))</f>
        <v/>
      </c>
    </row>
    <row r="138">
      <c r="A138" s="14">
        <f>IF(128&lt;=$C$8,128,"")</f>
        <v/>
      </c>
      <c r="B138" s="16">
        <f>IF($A138="","",IF(INDEX('潜水記録'!$A$5:$A$3004,$AS138)="","",INDEX('潜水記録'!$A$5:$A$3004,$AS138)))</f>
        <v/>
      </c>
      <c r="C138" s="14">
        <f>IF($A138="","",IF(INDEX('潜水記録'!$B$5:$B$3004,$AS138)="","",INDEX('潜水記録'!$B$5:$B$3004,$AS138)))</f>
        <v/>
      </c>
      <c r="D138" s="14">
        <f>IF($A138="","",IF(INDEX('潜水記録'!$C$5:$C$3004,$AS138)="","",INDEX('潜水記録'!$C$5:$C$3004,$AS138)))</f>
        <v/>
      </c>
      <c r="E138" s="14">
        <f>IF($A138="","",IF(INDEX('潜水記録'!$D$5:$D$3004,$AS138)="","",INDEX('潜水記録'!$D$5:$D$3004,$AS138)))</f>
        <v/>
      </c>
      <c r="F138" s="14">
        <f>IF($A138="","",IF(INDEX('潜水記録'!$E$5:$E$3004,$AS138)="","",INDEX('潜水記録'!$E$5:$E$3004,$AS138)))</f>
        <v/>
      </c>
      <c r="G138" s="14">
        <f>IF($A138="","",IF(INDEX('潜水記録'!$F$5:$F$3004,$AS138)="","",INDEX('潜水記録'!$F$5:$F$3004,$AS138)))</f>
        <v/>
      </c>
      <c r="H138" s="14">
        <f>IF($A138="","",IF(INDEX('潜水記録'!$G$5:$G$3004,$AS138)="","",INDEX('潜水記録'!$G$5:$G$3004,$AS138)))</f>
        <v/>
      </c>
      <c r="I138" s="14">
        <f>IF($A138="","",IF(INDEX('潜水記録'!$H$5:$H$3004,$AS138)="","",INDEX('潜水記録'!$H$5:$H$3004,$AS138)))</f>
        <v/>
      </c>
      <c r="J138" s="14">
        <f>IF($A138="","",IF(INDEX('潜水記録'!$I$5:$I$3004,$AS138)="","",INDEX('潜水記録'!$I$5:$I$3004,$AS138)))</f>
        <v/>
      </c>
      <c r="K138" s="14">
        <f>IF($A138="","",IF(INDEX('潜水記録'!$J$5:$J$3004,$AS138)="","",INDEX('潜水記録'!$J$5:$J$3004,$AS138)))</f>
        <v/>
      </c>
      <c r="L138" s="14">
        <f>IF($A138="","",IF(INDEX('潜水記録'!$K$5:$K$3004,$AS138)="","",INDEX('潜水記録'!$K$5:$K$3004,$AS138)))</f>
        <v/>
      </c>
      <c r="M138" s="14">
        <f>IF($A138="","",IF(INDEX('潜水記録'!$L$5:$L$3004,$AS138)="","",INDEX('潜水記録'!$L$5:$L$3004,$AS138)))</f>
        <v/>
      </c>
      <c r="N138" s="14">
        <f>IF($A138="","",IF(INDEX('潜水記録'!$M$5:$M$3004,$AS138)="","",INDEX('潜水記録'!$M$5:$M$3004,$AS138)))</f>
        <v/>
      </c>
      <c r="O138" s="14">
        <f>IF($A138="","",IF(INDEX('潜水記録'!$N$5:$N$3004,$AS138)="","",INDEX('潜水記録'!$N$5:$N$3004,$AS138)))</f>
        <v/>
      </c>
      <c r="P138" s="14">
        <f>IF($A138="","",IF(INDEX('潜水記録'!$O$5:$O$3004,$AS138)="","",INDEX('潜水記録'!$O$5:$O$3004,$AS138)))</f>
        <v/>
      </c>
      <c r="Q138" s="14">
        <f>IF($A138="","",IF(INDEX('潜水記録'!$P$5:$P$3004,$AS138)="","",INDEX('潜水記録'!$P$5:$P$3004,$AS138)))</f>
        <v/>
      </c>
      <c r="R138" s="14">
        <f>IF($A138="","",IF(INDEX('潜水記録'!$Q$5:$Q$3004,$AS138)="","",INDEX('潜水記録'!$Q$5:$Q$3004,$AS138)))</f>
        <v/>
      </c>
      <c r="S138" s="14">
        <f>IF($A138="","",IF(INDEX('潜水記録'!$R$5:$R$3004,$AS138)="","",INDEX('潜水記録'!$R$5:$R$3004,$AS138)))</f>
        <v/>
      </c>
      <c r="T138" s="14">
        <f>IF($A138="","",IF(INDEX('潜水記録'!$S$5:$S$3004,$AS138)="","",INDEX('潜水記録'!$S$5:$S$3004,$AS138)))</f>
        <v/>
      </c>
      <c r="U138" s="14">
        <f>IF($A138="","",IF(INDEX('潜水記録'!$T$5:$T$3004,$AS138)="","",INDEX('潜水記録'!$T$5:$T$3004,$AS138)))</f>
        <v/>
      </c>
      <c r="V138" s="46">
        <f>IF($A138="","",IF(INDEX('潜水記録'!$U$5:$U$3004,$AS138)="","",INDEX('潜水記録'!$U$5:$U$3004,$AS138)))</f>
        <v/>
      </c>
      <c r="W138" s="46">
        <f>IF($A138="","",IF(INDEX('潜水記録'!$V$5:$V$3004,$AS138)="","",INDEX('潜水記録'!$V$5:$V$3004,$AS138)))</f>
        <v/>
      </c>
      <c r="X138" s="14">
        <f>IF($A138="","",IF(INDEX('潜水記録'!$W$5:$W$3004,$AS138)="","",INDEX('潜水記録'!$W$5:$W$3004,$AS138)))</f>
        <v/>
      </c>
      <c r="Y138" s="14">
        <f>IF($A138="","",IF(INDEX('潜水記録'!$X$5:$X$3004,$AS138)="","",INDEX('潜水記録'!$X$5:$X$3004,$AS138)))</f>
        <v/>
      </c>
      <c r="Z138" s="14">
        <f>IF($A138="","",IF(INDEX('潜水記録'!$Y$5:$Y$3004,$AS138)="","",INDEX('潜水記録'!$Y$5:$Y$3004,$AS138)))</f>
        <v/>
      </c>
      <c r="AA138" s="14">
        <f>IF($A138="","",IF(INDEX('潜水記録'!$Z$5:$Z$3004,$AS138)="","",INDEX('潜水記録'!$Z$5:$Z$3004,$AS138)))</f>
        <v/>
      </c>
      <c r="AB138" s="14">
        <f>IF($A138="","",IF(INDEX('潜水記録'!$AA$5:$AA$3004,$AS138)="","",INDEX('潜水記録'!$AA$5:$AA$3004,$AS138)))</f>
        <v/>
      </c>
      <c r="AC138" s="14">
        <f>IF($A138="","",IF(INDEX('潜水記録'!$AB$5:$AB$3004,$AS138)="","",INDEX('潜水記録'!$AB$5:$AB$3004,$AS138)))</f>
        <v/>
      </c>
      <c r="AD138" s="14">
        <f>IF($A138="","",IF(INDEX('潜水記録'!$AC$5:$AC$3004,$AS138)="","",INDEX('潜水記録'!$AC$5:$AC$3004,$AS138)))</f>
        <v/>
      </c>
      <c r="AE138" s="14">
        <f>IF($A138="","",IF(INDEX('潜水記録'!$AD$5:$AD$3004,$AS138)="","",INDEX('潜水記録'!$AD$5:$AD$3004,$AS138)))</f>
        <v/>
      </c>
      <c r="AF138" s="14">
        <f>IF($A138="","",IF(INDEX('潜水記録'!$AE$5:$AE$3004,$AS138)="","",INDEX('潜水記録'!$AE$5:$AE$3004,$AS138)))</f>
        <v/>
      </c>
      <c r="AG138" s="14">
        <f>IF($A138="","",IF(INDEX('潜水記録'!$AL$5:$AL$3004,$AS138)="","",INDEX('潜水記録'!$AL$5:$AL$3004,$AS138)))</f>
        <v/>
      </c>
      <c r="AH138" s="14">
        <f>IF($A138="","",IF(INDEX('潜水記録'!$AM$5:$AM$3004,$AS138)="","",INDEX('潜水記録'!$AM$5:$AM$3004,$AS138)))</f>
        <v/>
      </c>
      <c r="AI138" s="46">
        <f>IF($A138="","",IF(INDEX('潜水記録'!$AN$5:$AN$3004,$AS138)="","",INDEX('潜水記録'!$AN$5:$AN$3004,$AS138)))</f>
        <v/>
      </c>
      <c r="AJ138" s="14">
        <f>IF($A138="","",IF(INDEX('潜水記録'!$AO$5:$AO$3004,$AS138)="","",INDEX('潜水記録'!$AO$5:$AO$3004,$AS138)))</f>
        <v/>
      </c>
      <c r="AK138" s="14">
        <f>IF($A138="","",IF(INDEX('潜水記録'!$AP$5:$AP$3004,$AS138)="","",INDEX('潜水記録'!$AP$5:$AP$3004,$AS138)))</f>
        <v/>
      </c>
      <c r="AL138" s="14">
        <f>IF($A138="","",IF(INDEX('潜水記録'!$AQ$5:$AQ$3004,$AS138)="","",INDEX('潜水記録'!$AQ$5:$AQ$3004,$AS138)))</f>
        <v/>
      </c>
      <c r="AM138" s="14">
        <f>IF($A138="","",IF(INDEX('潜水記録'!$AR$5:$AR$3004,$AS138)="","",INDEX('潜水記録'!$AR$5:$AR$3004,$AS138)))</f>
        <v/>
      </c>
      <c r="AN138" s="14">
        <f>IF($A138="","",IF(INDEX('潜水記録'!$AS$5:$AS$3004,$AS138)="","",INDEX('潜水記録'!$AS$5:$AS$3004,$AS138)))</f>
        <v/>
      </c>
      <c r="AO138" s="14">
        <f>IF($A138="","",IF(INDEX('潜水記録'!$AT$5:$AT$3004,$AS138)="","",INDEX('潜水記録'!$AT$5:$AT$3004,$AS138)))</f>
        <v/>
      </c>
      <c r="AP138" s="14">
        <f>IF($A138="","",IF(INDEX('潜水記録'!$AU$5:$AU$3004,$AS138)="","",INDEX('潜水記録'!$AU$5:$AU$3004,$AS138)))</f>
        <v/>
      </c>
      <c r="AQ138" s="14">
        <f>IF($A138="","",IF(INDEX('潜水記録'!$AV$5:$AV$3004,$AS138)="","",INDEX('潜水記録'!$AV$5:$AV$3004,$AS138)))</f>
        <v/>
      </c>
      <c r="AR138" s="14">
        <f>IF($A138="","",IF(INDEX('潜水記録'!$AW$5:$AW$3004,$AS138)="","",INDEX('潜水記録'!$AW$5:$AW$3004,$AS138)))</f>
        <v/>
      </c>
      <c r="AS138" s="20">
        <f>IF($A138="","",MATCH($A138,'潜水記録'!$AI$5:$AI$3004,0))</f>
        <v/>
      </c>
    </row>
    <row r="139">
      <c r="A139" s="14">
        <f>IF(129&lt;=$C$8,129,"")</f>
        <v/>
      </c>
      <c r="B139" s="16">
        <f>IF($A139="","",IF(INDEX('潜水記録'!$A$5:$A$3004,$AS139)="","",INDEX('潜水記録'!$A$5:$A$3004,$AS139)))</f>
        <v/>
      </c>
      <c r="C139" s="14">
        <f>IF($A139="","",IF(INDEX('潜水記録'!$B$5:$B$3004,$AS139)="","",INDEX('潜水記録'!$B$5:$B$3004,$AS139)))</f>
        <v/>
      </c>
      <c r="D139" s="14">
        <f>IF($A139="","",IF(INDEX('潜水記録'!$C$5:$C$3004,$AS139)="","",INDEX('潜水記録'!$C$5:$C$3004,$AS139)))</f>
        <v/>
      </c>
      <c r="E139" s="14">
        <f>IF($A139="","",IF(INDEX('潜水記録'!$D$5:$D$3004,$AS139)="","",INDEX('潜水記録'!$D$5:$D$3004,$AS139)))</f>
        <v/>
      </c>
      <c r="F139" s="14">
        <f>IF($A139="","",IF(INDEX('潜水記録'!$E$5:$E$3004,$AS139)="","",INDEX('潜水記録'!$E$5:$E$3004,$AS139)))</f>
        <v/>
      </c>
      <c r="G139" s="14">
        <f>IF($A139="","",IF(INDEX('潜水記録'!$F$5:$F$3004,$AS139)="","",INDEX('潜水記録'!$F$5:$F$3004,$AS139)))</f>
        <v/>
      </c>
      <c r="H139" s="14">
        <f>IF($A139="","",IF(INDEX('潜水記録'!$G$5:$G$3004,$AS139)="","",INDEX('潜水記録'!$G$5:$G$3004,$AS139)))</f>
        <v/>
      </c>
      <c r="I139" s="14">
        <f>IF($A139="","",IF(INDEX('潜水記録'!$H$5:$H$3004,$AS139)="","",INDEX('潜水記録'!$H$5:$H$3004,$AS139)))</f>
        <v/>
      </c>
      <c r="J139" s="14">
        <f>IF($A139="","",IF(INDEX('潜水記録'!$I$5:$I$3004,$AS139)="","",INDEX('潜水記録'!$I$5:$I$3004,$AS139)))</f>
        <v/>
      </c>
      <c r="K139" s="14">
        <f>IF($A139="","",IF(INDEX('潜水記録'!$J$5:$J$3004,$AS139)="","",INDEX('潜水記録'!$J$5:$J$3004,$AS139)))</f>
        <v/>
      </c>
      <c r="L139" s="14">
        <f>IF($A139="","",IF(INDEX('潜水記録'!$K$5:$K$3004,$AS139)="","",INDEX('潜水記録'!$K$5:$K$3004,$AS139)))</f>
        <v/>
      </c>
      <c r="M139" s="14">
        <f>IF($A139="","",IF(INDEX('潜水記録'!$L$5:$L$3004,$AS139)="","",INDEX('潜水記録'!$L$5:$L$3004,$AS139)))</f>
        <v/>
      </c>
      <c r="N139" s="14">
        <f>IF($A139="","",IF(INDEX('潜水記録'!$M$5:$M$3004,$AS139)="","",INDEX('潜水記録'!$M$5:$M$3004,$AS139)))</f>
        <v/>
      </c>
      <c r="O139" s="14">
        <f>IF($A139="","",IF(INDEX('潜水記録'!$N$5:$N$3004,$AS139)="","",INDEX('潜水記録'!$N$5:$N$3004,$AS139)))</f>
        <v/>
      </c>
      <c r="P139" s="14">
        <f>IF($A139="","",IF(INDEX('潜水記録'!$O$5:$O$3004,$AS139)="","",INDEX('潜水記録'!$O$5:$O$3004,$AS139)))</f>
        <v/>
      </c>
      <c r="Q139" s="14">
        <f>IF($A139="","",IF(INDEX('潜水記録'!$P$5:$P$3004,$AS139)="","",INDEX('潜水記録'!$P$5:$P$3004,$AS139)))</f>
        <v/>
      </c>
      <c r="R139" s="14">
        <f>IF($A139="","",IF(INDEX('潜水記録'!$Q$5:$Q$3004,$AS139)="","",INDEX('潜水記録'!$Q$5:$Q$3004,$AS139)))</f>
        <v/>
      </c>
      <c r="S139" s="14">
        <f>IF($A139="","",IF(INDEX('潜水記録'!$R$5:$R$3004,$AS139)="","",INDEX('潜水記録'!$R$5:$R$3004,$AS139)))</f>
        <v/>
      </c>
      <c r="T139" s="14">
        <f>IF($A139="","",IF(INDEX('潜水記録'!$S$5:$S$3004,$AS139)="","",INDEX('潜水記録'!$S$5:$S$3004,$AS139)))</f>
        <v/>
      </c>
      <c r="U139" s="14">
        <f>IF($A139="","",IF(INDEX('潜水記録'!$T$5:$T$3004,$AS139)="","",INDEX('潜水記録'!$T$5:$T$3004,$AS139)))</f>
        <v/>
      </c>
      <c r="V139" s="46">
        <f>IF($A139="","",IF(INDEX('潜水記録'!$U$5:$U$3004,$AS139)="","",INDEX('潜水記録'!$U$5:$U$3004,$AS139)))</f>
        <v/>
      </c>
      <c r="W139" s="46">
        <f>IF($A139="","",IF(INDEX('潜水記録'!$V$5:$V$3004,$AS139)="","",INDEX('潜水記録'!$V$5:$V$3004,$AS139)))</f>
        <v/>
      </c>
      <c r="X139" s="14">
        <f>IF($A139="","",IF(INDEX('潜水記録'!$W$5:$W$3004,$AS139)="","",INDEX('潜水記録'!$W$5:$W$3004,$AS139)))</f>
        <v/>
      </c>
      <c r="Y139" s="14">
        <f>IF($A139="","",IF(INDEX('潜水記録'!$X$5:$X$3004,$AS139)="","",INDEX('潜水記録'!$X$5:$X$3004,$AS139)))</f>
        <v/>
      </c>
      <c r="Z139" s="14">
        <f>IF($A139="","",IF(INDEX('潜水記録'!$Y$5:$Y$3004,$AS139)="","",INDEX('潜水記録'!$Y$5:$Y$3004,$AS139)))</f>
        <v/>
      </c>
      <c r="AA139" s="14">
        <f>IF($A139="","",IF(INDEX('潜水記録'!$Z$5:$Z$3004,$AS139)="","",INDEX('潜水記録'!$Z$5:$Z$3004,$AS139)))</f>
        <v/>
      </c>
      <c r="AB139" s="14">
        <f>IF($A139="","",IF(INDEX('潜水記録'!$AA$5:$AA$3004,$AS139)="","",INDEX('潜水記録'!$AA$5:$AA$3004,$AS139)))</f>
        <v/>
      </c>
      <c r="AC139" s="14">
        <f>IF($A139="","",IF(INDEX('潜水記録'!$AB$5:$AB$3004,$AS139)="","",INDEX('潜水記録'!$AB$5:$AB$3004,$AS139)))</f>
        <v/>
      </c>
      <c r="AD139" s="14">
        <f>IF($A139="","",IF(INDEX('潜水記録'!$AC$5:$AC$3004,$AS139)="","",INDEX('潜水記録'!$AC$5:$AC$3004,$AS139)))</f>
        <v/>
      </c>
      <c r="AE139" s="14">
        <f>IF($A139="","",IF(INDEX('潜水記録'!$AD$5:$AD$3004,$AS139)="","",INDEX('潜水記録'!$AD$5:$AD$3004,$AS139)))</f>
        <v/>
      </c>
      <c r="AF139" s="14">
        <f>IF($A139="","",IF(INDEX('潜水記録'!$AE$5:$AE$3004,$AS139)="","",INDEX('潜水記録'!$AE$5:$AE$3004,$AS139)))</f>
        <v/>
      </c>
      <c r="AG139" s="14">
        <f>IF($A139="","",IF(INDEX('潜水記録'!$AL$5:$AL$3004,$AS139)="","",INDEX('潜水記録'!$AL$5:$AL$3004,$AS139)))</f>
        <v/>
      </c>
      <c r="AH139" s="14">
        <f>IF($A139="","",IF(INDEX('潜水記録'!$AM$5:$AM$3004,$AS139)="","",INDEX('潜水記録'!$AM$5:$AM$3004,$AS139)))</f>
        <v/>
      </c>
      <c r="AI139" s="46">
        <f>IF($A139="","",IF(INDEX('潜水記録'!$AN$5:$AN$3004,$AS139)="","",INDEX('潜水記録'!$AN$5:$AN$3004,$AS139)))</f>
        <v/>
      </c>
      <c r="AJ139" s="14">
        <f>IF($A139="","",IF(INDEX('潜水記録'!$AO$5:$AO$3004,$AS139)="","",INDEX('潜水記録'!$AO$5:$AO$3004,$AS139)))</f>
        <v/>
      </c>
      <c r="AK139" s="14">
        <f>IF($A139="","",IF(INDEX('潜水記録'!$AP$5:$AP$3004,$AS139)="","",INDEX('潜水記録'!$AP$5:$AP$3004,$AS139)))</f>
        <v/>
      </c>
      <c r="AL139" s="14">
        <f>IF($A139="","",IF(INDEX('潜水記録'!$AQ$5:$AQ$3004,$AS139)="","",INDEX('潜水記録'!$AQ$5:$AQ$3004,$AS139)))</f>
        <v/>
      </c>
      <c r="AM139" s="14">
        <f>IF($A139="","",IF(INDEX('潜水記録'!$AR$5:$AR$3004,$AS139)="","",INDEX('潜水記録'!$AR$5:$AR$3004,$AS139)))</f>
        <v/>
      </c>
      <c r="AN139" s="14">
        <f>IF($A139="","",IF(INDEX('潜水記録'!$AS$5:$AS$3004,$AS139)="","",INDEX('潜水記録'!$AS$5:$AS$3004,$AS139)))</f>
        <v/>
      </c>
      <c r="AO139" s="14">
        <f>IF($A139="","",IF(INDEX('潜水記録'!$AT$5:$AT$3004,$AS139)="","",INDEX('潜水記録'!$AT$5:$AT$3004,$AS139)))</f>
        <v/>
      </c>
      <c r="AP139" s="14">
        <f>IF($A139="","",IF(INDEX('潜水記録'!$AU$5:$AU$3004,$AS139)="","",INDEX('潜水記録'!$AU$5:$AU$3004,$AS139)))</f>
        <v/>
      </c>
      <c r="AQ139" s="14">
        <f>IF($A139="","",IF(INDEX('潜水記録'!$AV$5:$AV$3004,$AS139)="","",INDEX('潜水記録'!$AV$5:$AV$3004,$AS139)))</f>
        <v/>
      </c>
      <c r="AR139" s="14">
        <f>IF($A139="","",IF(INDEX('潜水記録'!$AW$5:$AW$3004,$AS139)="","",INDEX('潜水記録'!$AW$5:$AW$3004,$AS139)))</f>
        <v/>
      </c>
      <c r="AS139" s="20">
        <f>IF($A139="","",MATCH($A139,'潜水記録'!$AI$5:$AI$3004,0))</f>
        <v/>
      </c>
    </row>
    <row r="140">
      <c r="A140" s="14">
        <f>IF(130&lt;=$C$8,130,"")</f>
        <v/>
      </c>
      <c r="B140" s="16">
        <f>IF($A140="","",IF(INDEX('潜水記録'!$A$5:$A$3004,$AS140)="","",INDEX('潜水記録'!$A$5:$A$3004,$AS140)))</f>
        <v/>
      </c>
      <c r="C140" s="14">
        <f>IF($A140="","",IF(INDEX('潜水記録'!$B$5:$B$3004,$AS140)="","",INDEX('潜水記録'!$B$5:$B$3004,$AS140)))</f>
        <v/>
      </c>
      <c r="D140" s="14">
        <f>IF($A140="","",IF(INDEX('潜水記録'!$C$5:$C$3004,$AS140)="","",INDEX('潜水記録'!$C$5:$C$3004,$AS140)))</f>
        <v/>
      </c>
      <c r="E140" s="14">
        <f>IF($A140="","",IF(INDEX('潜水記録'!$D$5:$D$3004,$AS140)="","",INDEX('潜水記録'!$D$5:$D$3004,$AS140)))</f>
        <v/>
      </c>
      <c r="F140" s="14">
        <f>IF($A140="","",IF(INDEX('潜水記録'!$E$5:$E$3004,$AS140)="","",INDEX('潜水記録'!$E$5:$E$3004,$AS140)))</f>
        <v/>
      </c>
      <c r="G140" s="14">
        <f>IF($A140="","",IF(INDEX('潜水記録'!$F$5:$F$3004,$AS140)="","",INDEX('潜水記録'!$F$5:$F$3004,$AS140)))</f>
        <v/>
      </c>
      <c r="H140" s="14">
        <f>IF($A140="","",IF(INDEX('潜水記録'!$G$5:$G$3004,$AS140)="","",INDEX('潜水記録'!$G$5:$G$3004,$AS140)))</f>
        <v/>
      </c>
      <c r="I140" s="14">
        <f>IF($A140="","",IF(INDEX('潜水記録'!$H$5:$H$3004,$AS140)="","",INDEX('潜水記録'!$H$5:$H$3004,$AS140)))</f>
        <v/>
      </c>
      <c r="J140" s="14">
        <f>IF($A140="","",IF(INDEX('潜水記録'!$I$5:$I$3004,$AS140)="","",INDEX('潜水記録'!$I$5:$I$3004,$AS140)))</f>
        <v/>
      </c>
      <c r="K140" s="14">
        <f>IF($A140="","",IF(INDEX('潜水記録'!$J$5:$J$3004,$AS140)="","",INDEX('潜水記録'!$J$5:$J$3004,$AS140)))</f>
        <v/>
      </c>
      <c r="L140" s="14">
        <f>IF($A140="","",IF(INDEX('潜水記録'!$K$5:$K$3004,$AS140)="","",INDEX('潜水記録'!$K$5:$K$3004,$AS140)))</f>
        <v/>
      </c>
      <c r="M140" s="14">
        <f>IF($A140="","",IF(INDEX('潜水記録'!$L$5:$L$3004,$AS140)="","",INDEX('潜水記録'!$L$5:$L$3004,$AS140)))</f>
        <v/>
      </c>
      <c r="N140" s="14">
        <f>IF($A140="","",IF(INDEX('潜水記録'!$M$5:$M$3004,$AS140)="","",INDEX('潜水記録'!$M$5:$M$3004,$AS140)))</f>
        <v/>
      </c>
      <c r="O140" s="14">
        <f>IF($A140="","",IF(INDEX('潜水記録'!$N$5:$N$3004,$AS140)="","",INDEX('潜水記録'!$N$5:$N$3004,$AS140)))</f>
        <v/>
      </c>
      <c r="P140" s="14">
        <f>IF($A140="","",IF(INDEX('潜水記録'!$O$5:$O$3004,$AS140)="","",INDEX('潜水記録'!$O$5:$O$3004,$AS140)))</f>
        <v/>
      </c>
      <c r="Q140" s="14">
        <f>IF($A140="","",IF(INDEX('潜水記録'!$P$5:$P$3004,$AS140)="","",INDEX('潜水記録'!$P$5:$P$3004,$AS140)))</f>
        <v/>
      </c>
      <c r="R140" s="14">
        <f>IF($A140="","",IF(INDEX('潜水記録'!$Q$5:$Q$3004,$AS140)="","",INDEX('潜水記録'!$Q$5:$Q$3004,$AS140)))</f>
        <v/>
      </c>
      <c r="S140" s="14">
        <f>IF($A140="","",IF(INDEX('潜水記録'!$R$5:$R$3004,$AS140)="","",INDEX('潜水記録'!$R$5:$R$3004,$AS140)))</f>
        <v/>
      </c>
      <c r="T140" s="14">
        <f>IF($A140="","",IF(INDEX('潜水記録'!$S$5:$S$3004,$AS140)="","",INDEX('潜水記録'!$S$5:$S$3004,$AS140)))</f>
        <v/>
      </c>
      <c r="U140" s="14">
        <f>IF($A140="","",IF(INDEX('潜水記録'!$T$5:$T$3004,$AS140)="","",INDEX('潜水記録'!$T$5:$T$3004,$AS140)))</f>
        <v/>
      </c>
      <c r="V140" s="46">
        <f>IF($A140="","",IF(INDEX('潜水記録'!$U$5:$U$3004,$AS140)="","",INDEX('潜水記録'!$U$5:$U$3004,$AS140)))</f>
        <v/>
      </c>
      <c r="W140" s="46">
        <f>IF($A140="","",IF(INDEX('潜水記録'!$V$5:$V$3004,$AS140)="","",INDEX('潜水記録'!$V$5:$V$3004,$AS140)))</f>
        <v/>
      </c>
      <c r="X140" s="14">
        <f>IF($A140="","",IF(INDEX('潜水記録'!$W$5:$W$3004,$AS140)="","",INDEX('潜水記録'!$W$5:$W$3004,$AS140)))</f>
        <v/>
      </c>
      <c r="Y140" s="14">
        <f>IF($A140="","",IF(INDEX('潜水記録'!$X$5:$X$3004,$AS140)="","",INDEX('潜水記録'!$X$5:$X$3004,$AS140)))</f>
        <v/>
      </c>
      <c r="Z140" s="14">
        <f>IF($A140="","",IF(INDEX('潜水記録'!$Y$5:$Y$3004,$AS140)="","",INDEX('潜水記録'!$Y$5:$Y$3004,$AS140)))</f>
        <v/>
      </c>
      <c r="AA140" s="14">
        <f>IF($A140="","",IF(INDEX('潜水記録'!$Z$5:$Z$3004,$AS140)="","",INDEX('潜水記録'!$Z$5:$Z$3004,$AS140)))</f>
        <v/>
      </c>
      <c r="AB140" s="14">
        <f>IF($A140="","",IF(INDEX('潜水記録'!$AA$5:$AA$3004,$AS140)="","",INDEX('潜水記録'!$AA$5:$AA$3004,$AS140)))</f>
        <v/>
      </c>
      <c r="AC140" s="14">
        <f>IF($A140="","",IF(INDEX('潜水記録'!$AB$5:$AB$3004,$AS140)="","",INDEX('潜水記録'!$AB$5:$AB$3004,$AS140)))</f>
        <v/>
      </c>
      <c r="AD140" s="14">
        <f>IF($A140="","",IF(INDEX('潜水記録'!$AC$5:$AC$3004,$AS140)="","",INDEX('潜水記録'!$AC$5:$AC$3004,$AS140)))</f>
        <v/>
      </c>
      <c r="AE140" s="14">
        <f>IF($A140="","",IF(INDEX('潜水記録'!$AD$5:$AD$3004,$AS140)="","",INDEX('潜水記録'!$AD$5:$AD$3004,$AS140)))</f>
        <v/>
      </c>
      <c r="AF140" s="14">
        <f>IF($A140="","",IF(INDEX('潜水記録'!$AE$5:$AE$3004,$AS140)="","",INDEX('潜水記録'!$AE$5:$AE$3004,$AS140)))</f>
        <v/>
      </c>
      <c r="AG140" s="14">
        <f>IF($A140="","",IF(INDEX('潜水記録'!$AL$5:$AL$3004,$AS140)="","",INDEX('潜水記録'!$AL$5:$AL$3004,$AS140)))</f>
        <v/>
      </c>
      <c r="AH140" s="14">
        <f>IF($A140="","",IF(INDEX('潜水記録'!$AM$5:$AM$3004,$AS140)="","",INDEX('潜水記録'!$AM$5:$AM$3004,$AS140)))</f>
        <v/>
      </c>
      <c r="AI140" s="46">
        <f>IF($A140="","",IF(INDEX('潜水記録'!$AN$5:$AN$3004,$AS140)="","",INDEX('潜水記録'!$AN$5:$AN$3004,$AS140)))</f>
        <v/>
      </c>
      <c r="AJ140" s="14">
        <f>IF($A140="","",IF(INDEX('潜水記録'!$AO$5:$AO$3004,$AS140)="","",INDEX('潜水記録'!$AO$5:$AO$3004,$AS140)))</f>
        <v/>
      </c>
      <c r="AK140" s="14">
        <f>IF($A140="","",IF(INDEX('潜水記録'!$AP$5:$AP$3004,$AS140)="","",INDEX('潜水記録'!$AP$5:$AP$3004,$AS140)))</f>
        <v/>
      </c>
      <c r="AL140" s="14">
        <f>IF($A140="","",IF(INDEX('潜水記録'!$AQ$5:$AQ$3004,$AS140)="","",INDEX('潜水記録'!$AQ$5:$AQ$3004,$AS140)))</f>
        <v/>
      </c>
      <c r="AM140" s="14">
        <f>IF($A140="","",IF(INDEX('潜水記録'!$AR$5:$AR$3004,$AS140)="","",INDEX('潜水記録'!$AR$5:$AR$3004,$AS140)))</f>
        <v/>
      </c>
      <c r="AN140" s="14">
        <f>IF($A140="","",IF(INDEX('潜水記録'!$AS$5:$AS$3004,$AS140)="","",INDEX('潜水記録'!$AS$5:$AS$3004,$AS140)))</f>
        <v/>
      </c>
      <c r="AO140" s="14">
        <f>IF($A140="","",IF(INDEX('潜水記録'!$AT$5:$AT$3004,$AS140)="","",INDEX('潜水記録'!$AT$5:$AT$3004,$AS140)))</f>
        <v/>
      </c>
      <c r="AP140" s="14">
        <f>IF($A140="","",IF(INDEX('潜水記録'!$AU$5:$AU$3004,$AS140)="","",INDEX('潜水記録'!$AU$5:$AU$3004,$AS140)))</f>
        <v/>
      </c>
      <c r="AQ140" s="14">
        <f>IF($A140="","",IF(INDEX('潜水記録'!$AV$5:$AV$3004,$AS140)="","",INDEX('潜水記録'!$AV$5:$AV$3004,$AS140)))</f>
        <v/>
      </c>
      <c r="AR140" s="14">
        <f>IF($A140="","",IF(INDEX('潜水記録'!$AW$5:$AW$3004,$AS140)="","",INDEX('潜水記録'!$AW$5:$AW$3004,$AS140)))</f>
        <v/>
      </c>
      <c r="AS140" s="20">
        <f>IF($A140="","",MATCH($A140,'潜水記録'!$AI$5:$AI$3004,0))</f>
        <v/>
      </c>
    </row>
    <row r="141">
      <c r="A141" s="14">
        <f>IF(131&lt;=$C$8,131,"")</f>
        <v/>
      </c>
      <c r="B141" s="16">
        <f>IF($A141="","",IF(INDEX('潜水記録'!$A$5:$A$3004,$AS141)="","",INDEX('潜水記録'!$A$5:$A$3004,$AS141)))</f>
        <v/>
      </c>
      <c r="C141" s="14">
        <f>IF($A141="","",IF(INDEX('潜水記録'!$B$5:$B$3004,$AS141)="","",INDEX('潜水記録'!$B$5:$B$3004,$AS141)))</f>
        <v/>
      </c>
      <c r="D141" s="14">
        <f>IF($A141="","",IF(INDEX('潜水記録'!$C$5:$C$3004,$AS141)="","",INDEX('潜水記録'!$C$5:$C$3004,$AS141)))</f>
        <v/>
      </c>
      <c r="E141" s="14">
        <f>IF($A141="","",IF(INDEX('潜水記録'!$D$5:$D$3004,$AS141)="","",INDEX('潜水記録'!$D$5:$D$3004,$AS141)))</f>
        <v/>
      </c>
      <c r="F141" s="14">
        <f>IF($A141="","",IF(INDEX('潜水記録'!$E$5:$E$3004,$AS141)="","",INDEX('潜水記録'!$E$5:$E$3004,$AS141)))</f>
        <v/>
      </c>
      <c r="G141" s="14">
        <f>IF($A141="","",IF(INDEX('潜水記録'!$F$5:$F$3004,$AS141)="","",INDEX('潜水記録'!$F$5:$F$3004,$AS141)))</f>
        <v/>
      </c>
      <c r="H141" s="14">
        <f>IF($A141="","",IF(INDEX('潜水記録'!$G$5:$G$3004,$AS141)="","",INDEX('潜水記録'!$G$5:$G$3004,$AS141)))</f>
        <v/>
      </c>
      <c r="I141" s="14">
        <f>IF($A141="","",IF(INDEX('潜水記録'!$H$5:$H$3004,$AS141)="","",INDEX('潜水記録'!$H$5:$H$3004,$AS141)))</f>
        <v/>
      </c>
      <c r="J141" s="14">
        <f>IF($A141="","",IF(INDEX('潜水記録'!$I$5:$I$3004,$AS141)="","",INDEX('潜水記録'!$I$5:$I$3004,$AS141)))</f>
        <v/>
      </c>
      <c r="K141" s="14">
        <f>IF($A141="","",IF(INDEX('潜水記録'!$J$5:$J$3004,$AS141)="","",INDEX('潜水記録'!$J$5:$J$3004,$AS141)))</f>
        <v/>
      </c>
      <c r="L141" s="14">
        <f>IF($A141="","",IF(INDEX('潜水記録'!$K$5:$K$3004,$AS141)="","",INDEX('潜水記録'!$K$5:$K$3004,$AS141)))</f>
        <v/>
      </c>
      <c r="M141" s="14">
        <f>IF($A141="","",IF(INDEX('潜水記録'!$L$5:$L$3004,$AS141)="","",INDEX('潜水記録'!$L$5:$L$3004,$AS141)))</f>
        <v/>
      </c>
      <c r="N141" s="14">
        <f>IF($A141="","",IF(INDEX('潜水記録'!$M$5:$M$3004,$AS141)="","",INDEX('潜水記録'!$M$5:$M$3004,$AS141)))</f>
        <v/>
      </c>
      <c r="O141" s="14">
        <f>IF($A141="","",IF(INDEX('潜水記録'!$N$5:$N$3004,$AS141)="","",INDEX('潜水記録'!$N$5:$N$3004,$AS141)))</f>
        <v/>
      </c>
      <c r="P141" s="14">
        <f>IF($A141="","",IF(INDEX('潜水記録'!$O$5:$O$3004,$AS141)="","",INDEX('潜水記録'!$O$5:$O$3004,$AS141)))</f>
        <v/>
      </c>
      <c r="Q141" s="14">
        <f>IF($A141="","",IF(INDEX('潜水記録'!$P$5:$P$3004,$AS141)="","",INDEX('潜水記録'!$P$5:$P$3004,$AS141)))</f>
        <v/>
      </c>
      <c r="R141" s="14">
        <f>IF($A141="","",IF(INDEX('潜水記録'!$Q$5:$Q$3004,$AS141)="","",INDEX('潜水記録'!$Q$5:$Q$3004,$AS141)))</f>
        <v/>
      </c>
      <c r="S141" s="14">
        <f>IF($A141="","",IF(INDEX('潜水記録'!$R$5:$R$3004,$AS141)="","",INDEX('潜水記録'!$R$5:$R$3004,$AS141)))</f>
        <v/>
      </c>
      <c r="T141" s="14">
        <f>IF($A141="","",IF(INDEX('潜水記録'!$S$5:$S$3004,$AS141)="","",INDEX('潜水記録'!$S$5:$S$3004,$AS141)))</f>
        <v/>
      </c>
      <c r="U141" s="14">
        <f>IF($A141="","",IF(INDEX('潜水記録'!$T$5:$T$3004,$AS141)="","",INDEX('潜水記録'!$T$5:$T$3004,$AS141)))</f>
        <v/>
      </c>
      <c r="V141" s="46">
        <f>IF($A141="","",IF(INDEX('潜水記録'!$U$5:$U$3004,$AS141)="","",INDEX('潜水記録'!$U$5:$U$3004,$AS141)))</f>
        <v/>
      </c>
      <c r="W141" s="46">
        <f>IF($A141="","",IF(INDEX('潜水記録'!$V$5:$V$3004,$AS141)="","",INDEX('潜水記録'!$V$5:$V$3004,$AS141)))</f>
        <v/>
      </c>
      <c r="X141" s="14">
        <f>IF($A141="","",IF(INDEX('潜水記録'!$W$5:$W$3004,$AS141)="","",INDEX('潜水記録'!$W$5:$W$3004,$AS141)))</f>
        <v/>
      </c>
      <c r="Y141" s="14">
        <f>IF($A141="","",IF(INDEX('潜水記録'!$X$5:$X$3004,$AS141)="","",INDEX('潜水記録'!$X$5:$X$3004,$AS141)))</f>
        <v/>
      </c>
      <c r="Z141" s="14">
        <f>IF($A141="","",IF(INDEX('潜水記録'!$Y$5:$Y$3004,$AS141)="","",INDEX('潜水記録'!$Y$5:$Y$3004,$AS141)))</f>
        <v/>
      </c>
      <c r="AA141" s="14">
        <f>IF($A141="","",IF(INDEX('潜水記録'!$Z$5:$Z$3004,$AS141)="","",INDEX('潜水記録'!$Z$5:$Z$3004,$AS141)))</f>
        <v/>
      </c>
      <c r="AB141" s="14">
        <f>IF($A141="","",IF(INDEX('潜水記録'!$AA$5:$AA$3004,$AS141)="","",INDEX('潜水記録'!$AA$5:$AA$3004,$AS141)))</f>
        <v/>
      </c>
      <c r="AC141" s="14">
        <f>IF($A141="","",IF(INDEX('潜水記録'!$AB$5:$AB$3004,$AS141)="","",INDEX('潜水記録'!$AB$5:$AB$3004,$AS141)))</f>
        <v/>
      </c>
      <c r="AD141" s="14">
        <f>IF($A141="","",IF(INDEX('潜水記録'!$AC$5:$AC$3004,$AS141)="","",INDEX('潜水記録'!$AC$5:$AC$3004,$AS141)))</f>
        <v/>
      </c>
      <c r="AE141" s="14">
        <f>IF($A141="","",IF(INDEX('潜水記録'!$AD$5:$AD$3004,$AS141)="","",INDEX('潜水記録'!$AD$5:$AD$3004,$AS141)))</f>
        <v/>
      </c>
      <c r="AF141" s="14">
        <f>IF($A141="","",IF(INDEX('潜水記録'!$AE$5:$AE$3004,$AS141)="","",INDEX('潜水記録'!$AE$5:$AE$3004,$AS141)))</f>
        <v/>
      </c>
      <c r="AG141" s="14">
        <f>IF($A141="","",IF(INDEX('潜水記録'!$AL$5:$AL$3004,$AS141)="","",INDEX('潜水記録'!$AL$5:$AL$3004,$AS141)))</f>
        <v/>
      </c>
      <c r="AH141" s="14">
        <f>IF($A141="","",IF(INDEX('潜水記録'!$AM$5:$AM$3004,$AS141)="","",INDEX('潜水記録'!$AM$5:$AM$3004,$AS141)))</f>
        <v/>
      </c>
      <c r="AI141" s="46">
        <f>IF($A141="","",IF(INDEX('潜水記録'!$AN$5:$AN$3004,$AS141)="","",INDEX('潜水記録'!$AN$5:$AN$3004,$AS141)))</f>
        <v/>
      </c>
      <c r="AJ141" s="14">
        <f>IF($A141="","",IF(INDEX('潜水記録'!$AO$5:$AO$3004,$AS141)="","",INDEX('潜水記録'!$AO$5:$AO$3004,$AS141)))</f>
        <v/>
      </c>
      <c r="AK141" s="14">
        <f>IF($A141="","",IF(INDEX('潜水記録'!$AP$5:$AP$3004,$AS141)="","",INDEX('潜水記録'!$AP$5:$AP$3004,$AS141)))</f>
        <v/>
      </c>
      <c r="AL141" s="14">
        <f>IF($A141="","",IF(INDEX('潜水記録'!$AQ$5:$AQ$3004,$AS141)="","",INDEX('潜水記録'!$AQ$5:$AQ$3004,$AS141)))</f>
        <v/>
      </c>
      <c r="AM141" s="14">
        <f>IF($A141="","",IF(INDEX('潜水記録'!$AR$5:$AR$3004,$AS141)="","",INDEX('潜水記録'!$AR$5:$AR$3004,$AS141)))</f>
        <v/>
      </c>
      <c r="AN141" s="14">
        <f>IF($A141="","",IF(INDEX('潜水記録'!$AS$5:$AS$3004,$AS141)="","",INDEX('潜水記録'!$AS$5:$AS$3004,$AS141)))</f>
        <v/>
      </c>
      <c r="AO141" s="14">
        <f>IF($A141="","",IF(INDEX('潜水記録'!$AT$5:$AT$3004,$AS141)="","",INDEX('潜水記録'!$AT$5:$AT$3004,$AS141)))</f>
        <v/>
      </c>
      <c r="AP141" s="14">
        <f>IF($A141="","",IF(INDEX('潜水記録'!$AU$5:$AU$3004,$AS141)="","",INDEX('潜水記録'!$AU$5:$AU$3004,$AS141)))</f>
        <v/>
      </c>
      <c r="AQ141" s="14">
        <f>IF($A141="","",IF(INDEX('潜水記録'!$AV$5:$AV$3004,$AS141)="","",INDEX('潜水記録'!$AV$5:$AV$3004,$AS141)))</f>
        <v/>
      </c>
      <c r="AR141" s="14">
        <f>IF($A141="","",IF(INDEX('潜水記録'!$AW$5:$AW$3004,$AS141)="","",INDEX('潜水記録'!$AW$5:$AW$3004,$AS141)))</f>
        <v/>
      </c>
      <c r="AS141" s="20">
        <f>IF($A141="","",MATCH($A141,'潜水記録'!$AI$5:$AI$3004,0))</f>
        <v/>
      </c>
    </row>
    <row r="142">
      <c r="A142" s="14">
        <f>IF(132&lt;=$C$8,132,"")</f>
        <v/>
      </c>
      <c r="B142" s="16">
        <f>IF($A142="","",IF(INDEX('潜水記録'!$A$5:$A$3004,$AS142)="","",INDEX('潜水記録'!$A$5:$A$3004,$AS142)))</f>
        <v/>
      </c>
      <c r="C142" s="14">
        <f>IF($A142="","",IF(INDEX('潜水記録'!$B$5:$B$3004,$AS142)="","",INDEX('潜水記録'!$B$5:$B$3004,$AS142)))</f>
        <v/>
      </c>
      <c r="D142" s="14">
        <f>IF($A142="","",IF(INDEX('潜水記録'!$C$5:$C$3004,$AS142)="","",INDEX('潜水記録'!$C$5:$C$3004,$AS142)))</f>
        <v/>
      </c>
      <c r="E142" s="14">
        <f>IF($A142="","",IF(INDEX('潜水記録'!$D$5:$D$3004,$AS142)="","",INDEX('潜水記録'!$D$5:$D$3004,$AS142)))</f>
        <v/>
      </c>
      <c r="F142" s="14">
        <f>IF($A142="","",IF(INDEX('潜水記録'!$E$5:$E$3004,$AS142)="","",INDEX('潜水記録'!$E$5:$E$3004,$AS142)))</f>
        <v/>
      </c>
      <c r="G142" s="14">
        <f>IF($A142="","",IF(INDEX('潜水記録'!$F$5:$F$3004,$AS142)="","",INDEX('潜水記録'!$F$5:$F$3004,$AS142)))</f>
        <v/>
      </c>
      <c r="H142" s="14">
        <f>IF($A142="","",IF(INDEX('潜水記録'!$G$5:$G$3004,$AS142)="","",INDEX('潜水記録'!$G$5:$G$3004,$AS142)))</f>
        <v/>
      </c>
      <c r="I142" s="14">
        <f>IF($A142="","",IF(INDEX('潜水記録'!$H$5:$H$3004,$AS142)="","",INDEX('潜水記録'!$H$5:$H$3004,$AS142)))</f>
        <v/>
      </c>
      <c r="J142" s="14">
        <f>IF($A142="","",IF(INDEX('潜水記録'!$I$5:$I$3004,$AS142)="","",INDEX('潜水記録'!$I$5:$I$3004,$AS142)))</f>
        <v/>
      </c>
      <c r="K142" s="14">
        <f>IF($A142="","",IF(INDEX('潜水記録'!$J$5:$J$3004,$AS142)="","",INDEX('潜水記録'!$J$5:$J$3004,$AS142)))</f>
        <v/>
      </c>
      <c r="L142" s="14">
        <f>IF($A142="","",IF(INDEX('潜水記録'!$K$5:$K$3004,$AS142)="","",INDEX('潜水記録'!$K$5:$K$3004,$AS142)))</f>
        <v/>
      </c>
      <c r="M142" s="14">
        <f>IF($A142="","",IF(INDEX('潜水記録'!$L$5:$L$3004,$AS142)="","",INDEX('潜水記録'!$L$5:$L$3004,$AS142)))</f>
        <v/>
      </c>
      <c r="N142" s="14">
        <f>IF($A142="","",IF(INDEX('潜水記録'!$M$5:$M$3004,$AS142)="","",INDEX('潜水記録'!$M$5:$M$3004,$AS142)))</f>
        <v/>
      </c>
      <c r="O142" s="14">
        <f>IF($A142="","",IF(INDEX('潜水記録'!$N$5:$N$3004,$AS142)="","",INDEX('潜水記録'!$N$5:$N$3004,$AS142)))</f>
        <v/>
      </c>
      <c r="P142" s="14">
        <f>IF($A142="","",IF(INDEX('潜水記録'!$O$5:$O$3004,$AS142)="","",INDEX('潜水記録'!$O$5:$O$3004,$AS142)))</f>
        <v/>
      </c>
      <c r="Q142" s="14">
        <f>IF($A142="","",IF(INDEX('潜水記録'!$P$5:$P$3004,$AS142)="","",INDEX('潜水記録'!$P$5:$P$3004,$AS142)))</f>
        <v/>
      </c>
      <c r="R142" s="14">
        <f>IF($A142="","",IF(INDEX('潜水記録'!$Q$5:$Q$3004,$AS142)="","",INDEX('潜水記録'!$Q$5:$Q$3004,$AS142)))</f>
        <v/>
      </c>
      <c r="S142" s="14">
        <f>IF($A142="","",IF(INDEX('潜水記録'!$R$5:$R$3004,$AS142)="","",INDEX('潜水記録'!$R$5:$R$3004,$AS142)))</f>
        <v/>
      </c>
      <c r="T142" s="14">
        <f>IF($A142="","",IF(INDEX('潜水記録'!$S$5:$S$3004,$AS142)="","",INDEX('潜水記録'!$S$5:$S$3004,$AS142)))</f>
        <v/>
      </c>
      <c r="U142" s="14">
        <f>IF($A142="","",IF(INDEX('潜水記録'!$T$5:$T$3004,$AS142)="","",INDEX('潜水記録'!$T$5:$T$3004,$AS142)))</f>
        <v/>
      </c>
      <c r="V142" s="46">
        <f>IF($A142="","",IF(INDEX('潜水記録'!$U$5:$U$3004,$AS142)="","",INDEX('潜水記録'!$U$5:$U$3004,$AS142)))</f>
        <v/>
      </c>
      <c r="W142" s="46">
        <f>IF($A142="","",IF(INDEX('潜水記録'!$V$5:$V$3004,$AS142)="","",INDEX('潜水記録'!$V$5:$V$3004,$AS142)))</f>
        <v/>
      </c>
      <c r="X142" s="14">
        <f>IF($A142="","",IF(INDEX('潜水記録'!$W$5:$W$3004,$AS142)="","",INDEX('潜水記録'!$W$5:$W$3004,$AS142)))</f>
        <v/>
      </c>
      <c r="Y142" s="14">
        <f>IF($A142="","",IF(INDEX('潜水記録'!$X$5:$X$3004,$AS142)="","",INDEX('潜水記録'!$X$5:$X$3004,$AS142)))</f>
        <v/>
      </c>
      <c r="Z142" s="14">
        <f>IF($A142="","",IF(INDEX('潜水記録'!$Y$5:$Y$3004,$AS142)="","",INDEX('潜水記録'!$Y$5:$Y$3004,$AS142)))</f>
        <v/>
      </c>
      <c r="AA142" s="14">
        <f>IF($A142="","",IF(INDEX('潜水記録'!$Z$5:$Z$3004,$AS142)="","",INDEX('潜水記録'!$Z$5:$Z$3004,$AS142)))</f>
        <v/>
      </c>
      <c r="AB142" s="14">
        <f>IF($A142="","",IF(INDEX('潜水記録'!$AA$5:$AA$3004,$AS142)="","",INDEX('潜水記録'!$AA$5:$AA$3004,$AS142)))</f>
        <v/>
      </c>
      <c r="AC142" s="14">
        <f>IF($A142="","",IF(INDEX('潜水記録'!$AB$5:$AB$3004,$AS142)="","",INDEX('潜水記録'!$AB$5:$AB$3004,$AS142)))</f>
        <v/>
      </c>
      <c r="AD142" s="14">
        <f>IF($A142="","",IF(INDEX('潜水記録'!$AC$5:$AC$3004,$AS142)="","",INDEX('潜水記録'!$AC$5:$AC$3004,$AS142)))</f>
        <v/>
      </c>
      <c r="AE142" s="14">
        <f>IF($A142="","",IF(INDEX('潜水記録'!$AD$5:$AD$3004,$AS142)="","",INDEX('潜水記録'!$AD$5:$AD$3004,$AS142)))</f>
        <v/>
      </c>
      <c r="AF142" s="14">
        <f>IF($A142="","",IF(INDEX('潜水記録'!$AE$5:$AE$3004,$AS142)="","",INDEX('潜水記録'!$AE$5:$AE$3004,$AS142)))</f>
        <v/>
      </c>
      <c r="AG142" s="14">
        <f>IF($A142="","",IF(INDEX('潜水記録'!$AL$5:$AL$3004,$AS142)="","",INDEX('潜水記録'!$AL$5:$AL$3004,$AS142)))</f>
        <v/>
      </c>
      <c r="AH142" s="14">
        <f>IF($A142="","",IF(INDEX('潜水記録'!$AM$5:$AM$3004,$AS142)="","",INDEX('潜水記録'!$AM$5:$AM$3004,$AS142)))</f>
        <v/>
      </c>
      <c r="AI142" s="46">
        <f>IF($A142="","",IF(INDEX('潜水記録'!$AN$5:$AN$3004,$AS142)="","",INDEX('潜水記録'!$AN$5:$AN$3004,$AS142)))</f>
        <v/>
      </c>
      <c r="AJ142" s="14">
        <f>IF($A142="","",IF(INDEX('潜水記録'!$AO$5:$AO$3004,$AS142)="","",INDEX('潜水記録'!$AO$5:$AO$3004,$AS142)))</f>
        <v/>
      </c>
      <c r="AK142" s="14">
        <f>IF($A142="","",IF(INDEX('潜水記録'!$AP$5:$AP$3004,$AS142)="","",INDEX('潜水記録'!$AP$5:$AP$3004,$AS142)))</f>
        <v/>
      </c>
      <c r="AL142" s="14">
        <f>IF($A142="","",IF(INDEX('潜水記録'!$AQ$5:$AQ$3004,$AS142)="","",INDEX('潜水記録'!$AQ$5:$AQ$3004,$AS142)))</f>
        <v/>
      </c>
      <c r="AM142" s="14">
        <f>IF($A142="","",IF(INDEX('潜水記録'!$AR$5:$AR$3004,$AS142)="","",INDEX('潜水記録'!$AR$5:$AR$3004,$AS142)))</f>
        <v/>
      </c>
      <c r="AN142" s="14">
        <f>IF($A142="","",IF(INDEX('潜水記録'!$AS$5:$AS$3004,$AS142)="","",INDEX('潜水記録'!$AS$5:$AS$3004,$AS142)))</f>
        <v/>
      </c>
      <c r="AO142" s="14">
        <f>IF($A142="","",IF(INDEX('潜水記録'!$AT$5:$AT$3004,$AS142)="","",INDEX('潜水記録'!$AT$5:$AT$3004,$AS142)))</f>
        <v/>
      </c>
      <c r="AP142" s="14">
        <f>IF($A142="","",IF(INDEX('潜水記録'!$AU$5:$AU$3004,$AS142)="","",INDEX('潜水記録'!$AU$5:$AU$3004,$AS142)))</f>
        <v/>
      </c>
      <c r="AQ142" s="14">
        <f>IF($A142="","",IF(INDEX('潜水記録'!$AV$5:$AV$3004,$AS142)="","",INDEX('潜水記録'!$AV$5:$AV$3004,$AS142)))</f>
        <v/>
      </c>
      <c r="AR142" s="14">
        <f>IF($A142="","",IF(INDEX('潜水記録'!$AW$5:$AW$3004,$AS142)="","",INDEX('潜水記録'!$AW$5:$AW$3004,$AS142)))</f>
        <v/>
      </c>
      <c r="AS142" s="20">
        <f>IF($A142="","",MATCH($A142,'潜水記録'!$AI$5:$AI$3004,0))</f>
        <v/>
      </c>
    </row>
    <row r="143">
      <c r="A143" s="14">
        <f>IF(133&lt;=$C$8,133,"")</f>
        <v/>
      </c>
      <c r="B143" s="16">
        <f>IF($A143="","",IF(INDEX('潜水記録'!$A$5:$A$3004,$AS143)="","",INDEX('潜水記録'!$A$5:$A$3004,$AS143)))</f>
        <v/>
      </c>
      <c r="C143" s="14">
        <f>IF($A143="","",IF(INDEX('潜水記録'!$B$5:$B$3004,$AS143)="","",INDEX('潜水記録'!$B$5:$B$3004,$AS143)))</f>
        <v/>
      </c>
      <c r="D143" s="14">
        <f>IF($A143="","",IF(INDEX('潜水記録'!$C$5:$C$3004,$AS143)="","",INDEX('潜水記録'!$C$5:$C$3004,$AS143)))</f>
        <v/>
      </c>
      <c r="E143" s="14">
        <f>IF($A143="","",IF(INDEX('潜水記録'!$D$5:$D$3004,$AS143)="","",INDEX('潜水記録'!$D$5:$D$3004,$AS143)))</f>
        <v/>
      </c>
      <c r="F143" s="14">
        <f>IF($A143="","",IF(INDEX('潜水記録'!$E$5:$E$3004,$AS143)="","",INDEX('潜水記録'!$E$5:$E$3004,$AS143)))</f>
        <v/>
      </c>
      <c r="G143" s="14">
        <f>IF($A143="","",IF(INDEX('潜水記録'!$F$5:$F$3004,$AS143)="","",INDEX('潜水記録'!$F$5:$F$3004,$AS143)))</f>
        <v/>
      </c>
      <c r="H143" s="14">
        <f>IF($A143="","",IF(INDEX('潜水記録'!$G$5:$G$3004,$AS143)="","",INDEX('潜水記録'!$G$5:$G$3004,$AS143)))</f>
        <v/>
      </c>
      <c r="I143" s="14">
        <f>IF($A143="","",IF(INDEX('潜水記録'!$H$5:$H$3004,$AS143)="","",INDEX('潜水記録'!$H$5:$H$3004,$AS143)))</f>
        <v/>
      </c>
      <c r="J143" s="14">
        <f>IF($A143="","",IF(INDEX('潜水記録'!$I$5:$I$3004,$AS143)="","",INDEX('潜水記録'!$I$5:$I$3004,$AS143)))</f>
        <v/>
      </c>
      <c r="K143" s="14">
        <f>IF($A143="","",IF(INDEX('潜水記録'!$J$5:$J$3004,$AS143)="","",INDEX('潜水記録'!$J$5:$J$3004,$AS143)))</f>
        <v/>
      </c>
      <c r="L143" s="14">
        <f>IF($A143="","",IF(INDEX('潜水記録'!$K$5:$K$3004,$AS143)="","",INDEX('潜水記録'!$K$5:$K$3004,$AS143)))</f>
        <v/>
      </c>
      <c r="M143" s="14">
        <f>IF($A143="","",IF(INDEX('潜水記録'!$L$5:$L$3004,$AS143)="","",INDEX('潜水記録'!$L$5:$L$3004,$AS143)))</f>
        <v/>
      </c>
      <c r="N143" s="14">
        <f>IF($A143="","",IF(INDEX('潜水記録'!$M$5:$M$3004,$AS143)="","",INDEX('潜水記録'!$M$5:$M$3004,$AS143)))</f>
        <v/>
      </c>
      <c r="O143" s="14">
        <f>IF($A143="","",IF(INDEX('潜水記録'!$N$5:$N$3004,$AS143)="","",INDEX('潜水記録'!$N$5:$N$3004,$AS143)))</f>
        <v/>
      </c>
      <c r="P143" s="14">
        <f>IF($A143="","",IF(INDEX('潜水記録'!$O$5:$O$3004,$AS143)="","",INDEX('潜水記録'!$O$5:$O$3004,$AS143)))</f>
        <v/>
      </c>
      <c r="Q143" s="14">
        <f>IF($A143="","",IF(INDEX('潜水記録'!$P$5:$P$3004,$AS143)="","",INDEX('潜水記録'!$P$5:$P$3004,$AS143)))</f>
        <v/>
      </c>
      <c r="R143" s="14">
        <f>IF($A143="","",IF(INDEX('潜水記録'!$Q$5:$Q$3004,$AS143)="","",INDEX('潜水記録'!$Q$5:$Q$3004,$AS143)))</f>
        <v/>
      </c>
      <c r="S143" s="14">
        <f>IF($A143="","",IF(INDEX('潜水記録'!$R$5:$R$3004,$AS143)="","",INDEX('潜水記録'!$R$5:$R$3004,$AS143)))</f>
        <v/>
      </c>
      <c r="T143" s="14">
        <f>IF($A143="","",IF(INDEX('潜水記録'!$S$5:$S$3004,$AS143)="","",INDEX('潜水記録'!$S$5:$S$3004,$AS143)))</f>
        <v/>
      </c>
      <c r="U143" s="14">
        <f>IF($A143="","",IF(INDEX('潜水記録'!$T$5:$T$3004,$AS143)="","",INDEX('潜水記録'!$T$5:$T$3004,$AS143)))</f>
        <v/>
      </c>
      <c r="V143" s="46">
        <f>IF($A143="","",IF(INDEX('潜水記録'!$U$5:$U$3004,$AS143)="","",INDEX('潜水記録'!$U$5:$U$3004,$AS143)))</f>
        <v/>
      </c>
      <c r="W143" s="46">
        <f>IF($A143="","",IF(INDEX('潜水記録'!$V$5:$V$3004,$AS143)="","",INDEX('潜水記録'!$V$5:$V$3004,$AS143)))</f>
        <v/>
      </c>
      <c r="X143" s="14">
        <f>IF($A143="","",IF(INDEX('潜水記録'!$W$5:$W$3004,$AS143)="","",INDEX('潜水記録'!$W$5:$W$3004,$AS143)))</f>
        <v/>
      </c>
      <c r="Y143" s="14">
        <f>IF($A143="","",IF(INDEX('潜水記録'!$X$5:$X$3004,$AS143)="","",INDEX('潜水記録'!$X$5:$X$3004,$AS143)))</f>
        <v/>
      </c>
      <c r="Z143" s="14">
        <f>IF($A143="","",IF(INDEX('潜水記録'!$Y$5:$Y$3004,$AS143)="","",INDEX('潜水記録'!$Y$5:$Y$3004,$AS143)))</f>
        <v/>
      </c>
      <c r="AA143" s="14">
        <f>IF($A143="","",IF(INDEX('潜水記録'!$Z$5:$Z$3004,$AS143)="","",INDEX('潜水記録'!$Z$5:$Z$3004,$AS143)))</f>
        <v/>
      </c>
      <c r="AB143" s="14">
        <f>IF($A143="","",IF(INDEX('潜水記録'!$AA$5:$AA$3004,$AS143)="","",INDEX('潜水記録'!$AA$5:$AA$3004,$AS143)))</f>
        <v/>
      </c>
      <c r="AC143" s="14">
        <f>IF($A143="","",IF(INDEX('潜水記録'!$AB$5:$AB$3004,$AS143)="","",INDEX('潜水記録'!$AB$5:$AB$3004,$AS143)))</f>
        <v/>
      </c>
      <c r="AD143" s="14">
        <f>IF($A143="","",IF(INDEX('潜水記録'!$AC$5:$AC$3004,$AS143)="","",INDEX('潜水記録'!$AC$5:$AC$3004,$AS143)))</f>
        <v/>
      </c>
      <c r="AE143" s="14">
        <f>IF($A143="","",IF(INDEX('潜水記録'!$AD$5:$AD$3004,$AS143)="","",INDEX('潜水記録'!$AD$5:$AD$3004,$AS143)))</f>
        <v/>
      </c>
      <c r="AF143" s="14">
        <f>IF($A143="","",IF(INDEX('潜水記録'!$AE$5:$AE$3004,$AS143)="","",INDEX('潜水記録'!$AE$5:$AE$3004,$AS143)))</f>
        <v/>
      </c>
      <c r="AG143" s="14">
        <f>IF($A143="","",IF(INDEX('潜水記録'!$AL$5:$AL$3004,$AS143)="","",INDEX('潜水記録'!$AL$5:$AL$3004,$AS143)))</f>
        <v/>
      </c>
      <c r="AH143" s="14">
        <f>IF($A143="","",IF(INDEX('潜水記録'!$AM$5:$AM$3004,$AS143)="","",INDEX('潜水記録'!$AM$5:$AM$3004,$AS143)))</f>
        <v/>
      </c>
      <c r="AI143" s="46">
        <f>IF($A143="","",IF(INDEX('潜水記録'!$AN$5:$AN$3004,$AS143)="","",INDEX('潜水記録'!$AN$5:$AN$3004,$AS143)))</f>
        <v/>
      </c>
      <c r="AJ143" s="14">
        <f>IF($A143="","",IF(INDEX('潜水記録'!$AO$5:$AO$3004,$AS143)="","",INDEX('潜水記録'!$AO$5:$AO$3004,$AS143)))</f>
        <v/>
      </c>
      <c r="AK143" s="14">
        <f>IF($A143="","",IF(INDEX('潜水記録'!$AP$5:$AP$3004,$AS143)="","",INDEX('潜水記録'!$AP$5:$AP$3004,$AS143)))</f>
        <v/>
      </c>
      <c r="AL143" s="14">
        <f>IF($A143="","",IF(INDEX('潜水記録'!$AQ$5:$AQ$3004,$AS143)="","",INDEX('潜水記録'!$AQ$5:$AQ$3004,$AS143)))</f>
        <v/>
      </c>
      <c r="AM143" s="14">
        <f>IF($A143="","",IF(INDEX('潜水記録'!$AR$5:$AR$3004,$AS143)="","",INDEX('潜水記録'!$AR$5:$AR$3004,$AS143)))</f>
        <v/>
      </c>
      <c r="AN143" s="14">
        <f>IF($A143="","",IF(INDEX('潜水記録'!$AS$5:$AS$3004,$AS143)="","",INDEX('潜水記録'!$AS$5:$AS$3004,$AS143)))</f>
        <v/>
      </c>
      <c r="AO143" s="14">
        <f>IF($A143="","",IF(INDEX('潜水記録'!$AT$5:$AT$3004,$AS143)="","",INDEX('潜水記録'!$AT$5:$AT$3004,$AS143)))</f>
        <v/>
      </c>
      <c r="AP143" s="14">
        <f>IF($A143="","",IF(INDEX('潜水記録'!$AU$5:$AU$3004,$AS143)="","",INDEX('潜水記録'!$AU$5:$AU$3004,$AS143)))</f>
        <v/>
      </c>
      <c r="AQ143" s="14">
        <f>IF($A143="","",IF(INDEX('潜水記録'!$AV$5:$AV$3004,$AS143)="","",INDEX('潜水記録'!$AV$5:$AV$3004,$AS143)))</f>
        <v/>
      </c>
      <c r="AR143" s="14">
        <f>IF($A143="","",IF(INDEX('潜水記録'!$AW$5:$AW$3004,$AS143)="","",INDEX('潜水記録'!$AW$5:$AW$3004,$AS143)))</f>
        <v/>
      </c>
      <c r="AS143" s="20">
        <f>IF($A143="","",MATCH($A143,'潜水記録'!$AI$5:$AI$3004,0))</f>
        <v/>
      </c>
    </row>
    <row r="144">
      <c r="A144" s="14">
        <f>IF(134&lt;=$C$8,134,"")</f>
        <v/>
      </c>
      <c r="B144" s="16">
        <f>IF($A144="","",IF(INDEX('潜水記録'!$A$5:$A$3004,$AS144)="","",INDEX('潜水記録'!$A$5:$A$3004,$AS144)))</f>
        <v/>
      </c>
      <c r="C144" s="14">
        <f>IF($A144="","",IF(INDEX('潜水記録'!$B$5:$B$3004,$AS144)="","",INDEX('潜水記録'!$B$5:$B$3004,$AS144)))</f>
        <v/>
      </c>
      <c r="D144" s="14">
        <f>IF($A144="","",IF(INDEX('潜水記録'!$C$5:$C$3004,$AS144)="","",INDEX('潜水記録'!$C$5:$C$3004,$AS144)))</f>
        <v/>
      </c>
      <c r="E144" s="14">
        <f>IF($A144="","",IF(INDEX('潜水記録'!$D$5:$D$3004,$AS144)="","",INDEX('潜水記録'!$D$5:$D$3004,$AS144)))</f>
        <v/>
      </c>
      <c r="F144" s="14">
        <f>IF($A144="","",IF(INDEX('潜水記録'!$E$5:$E$3004,$AS144)="","",INDEX('潜水記録'!$E$5:$E$3004,$AS144)))</f>
        <v/>
      </c>
      <c r="G144" s="14">
        <f>IF($A144="","",IF(INDEX('潜水記録'!$F$5:$F$3004,$AS144)="","",INDEX('潜水記録'!$F$5:$F$3004,$AS144)))</f>
        <v/>
      </c>
      <c r="H144" s="14">
        <f>IF($A144="","",IF(INDEX('潜水記録'!$G$5:$G$3004,$AS144)="","",INDEX('潜水記録'!$G$5:$G$3004,$AS144)))</f>
        <v/>
      </c>
      <c r="I144" s="14">
        <f>IF($A144="","",IF(INDEX('潜水記録'!$H$5:$H$3004,$AS144)="","",INDEX('潜水記録'!$H$5:$H$3004,$AS144)))</f>
        <v/>
      </c>
      <c r="J144" s="14">
        <f>IF($A144="","",IF(INDEX('潜水記録'!$I$5:$I$3004,$AS144)="","",INDEX('潜水記録'!$I$5:$I$3004,$AS144)))</f>
        <v/>
      </c>
      <c r="K144" s="14">
        <f>IF($A144="","",IF(INDEX('潜水記録'!$J$5:$J$3004,$AS144)="","",INDEX('潜水記録'!$J$5:$J$3004,$AS144)))</f>
        <v/>
      </c>
      <c r="L144" s="14">
        <f>IF($A144="","",IF(INDEX('潜水記録'!$K$5:$K$3004,$AS144)="","",INDEX('潜水記録'!$K$5:$K$3004,$AS144)))</f>
        <v/>
      </c>
      <c r="M144" s="14">
        <f>IF($A144="","",IF(INDEX('潜水記録'!$L$5:$L$3004,$AS144)="","",INDEX('潜水記録'!$L$5:$L$3004,$AS144)))</f>
        <v/>
      </c>
      <c r="N144" s="14">
        <f>IF($A144="","",IF(INDEX('潜水記録'!$M$5:$M$3004,$AS144)="","",INDEX('潜水記録'!$M$5:$M$3004,$AS144)))</f>
        <v/>
      </c>
      <c r="O144" s="14">
        <f>IF($A144="","",IF(INDEX('潜水記録'!$N$5:$N$3004,$AS144)="","",INDEX('潜水記録'!$N$5:$N$3004,$AS144)))</f>
        <v/>
      </c>
      <c r="P144" s="14">
        <f>IF($A144="","",IF(INDEX('潜水記録'!$O$5:$O$3004,$AS144)="","",INDEX('潜水記録'!$O$5:$O$3004,$AS144)))</f>
        <v/>
      </c>
      <c r="Q144" s="14">
        <f>IF($A144="","",IF(INDEX('潜水記録'!$P$5:$P$3004,$AS144)="","",INDEX('潜水記録'!$P$5:$P$3004,$AS144)))</f>
        <v/>
      </c>
      <c r="R144" s="14">
        <f>IF($A144="","",IF(INDEX('潜水記録'!$Q$5:$Q$3004,$AS144)="","",INDEX('潜水記録'!$Q$5:$Q$3004,$AS144)))</f>
        <v/>
      </c>
      <c r="S144" s="14">
        <f>IF($A144="","",IF(INDEX('潜水記録'!$R$5:$R$3004,$AS144)="","",INDEX('潜水記録'!$R$5:$R$3004,$AS144)))</f>
        <v/>
      </c>
      <c r="T144" s="14">
        <f>IF($A144="","",IF(INDEX('潜水記録'!$S$5:$S$3004,$AS144)="","",INDEX('潜水記録'!$S$5:$S$3004,$AS144)))</f>
        <v/>
      </c>
      <c r="U144" s="14">
        <f>IF($A144="","",IF(INDEX('潜水記録'!$T$5:$T$3004,$AS144)="","",INDEX('潜水記録'!$T$5:$T$3004,$AS144)))</f>
        <v/>
      </c>
      <c r="V144" s="46">
        <f>IF($A144="","",IF(INDEX('潜水記録'!$U$5:$U$3004,$AS144)="","",INDEX('潜水記録'!$U$5:$U$3004,$AS144)))</f>
        <v/>
      </c>
      <c r="W144" s="46">
        <f>IF($A144="","",IF(INDEX('潜水記録'!$V$5:$V$3004,$AS144)="","",INDEX('潜水記録'!$V$5:$V$3004,$AS144)))</f>
        <v/>
      </c>
      <c r="X144" s="14">
        <f>IF($A144="","",IF(INDEX('潜水記録'!$W$5:$W$3004,$AS144)="","",INDEX('潜水記録'!$W$5:$W$3004,$AS144)))</f>
        <v/>
      </c>
      <c r="Y144" s="14">
        <f>IF($A144="","",IF(INDEX('潜水記録'!$X$5:$X$3004,$AS144)="","",INDEX('潜水記録'!$X$5:$X$3004,$AS144)))</f>
        <v/>
      </c>
      <c r="Z144" s="14">
        <f>IF($A144="","",IF(INDEX('潜水記録'!$Y$5:$Y$3004,$AS144)="","",INDEX('潜水記録'!$Y$5:$Y$3004,$AS144)))</f>
        <v/>
      </c>
      <c r="AA144" s="14">
        <f>IF($A144="","",IF(INDEX('潜水記録'!$Z$5:$Z$3004,$AS144)="","",INDEX('潜水記録'!$Z$5:$Z$3004,$AS144)))</f>
        <v/>
      </c>
      <c r="AB144" s="14">
        <f>IF($A144="","",IF(INDEX('潜水記録'!$AA$5:$AA$3004,$AS144)="","",INDEX('潜水記録'!$AA$5:$AA$3004,$AS144)))</f>
        <v/>
      </c>
      <c r="AC144" s="14">
        <f>IF($A144="","",IF(INDEX('潜水記録'!$AB$5:$AB$3004,$AS144)="","",INDEX('潜水記録'!$AB$5:$AB$3004,$AS144)))</f>
        <v/>
      </c>
      <c r="AD144" s="14">
        <f>IF($A144="","",IF(INDEX('潜水記録'!$AC$5:$AC$3004,$AS144)="","",INDEX('潜水記録'!$AC$5:$AC$3004,$AS144)))</f>
        <v/>
      </c>
      <c r="AE144" s="14">
        <f>IF($A144="","",IF(INDEX('潜水記録'!$AD$5:$AD$3004,$AS144)="","",INDEX('潜水記録'!$AD$5:$AD$3004,$AS144)))</f>
        <v/>
      </c>
      <c r="AF144" s="14">
        <f>IF($A144="","",IF(INDEX('潜水記録'!$AE$5:$AE$3004,$AS144)="","",INDEX('潜水記録'!$AE$5:$AE$3004,$AS144)))</f>
        <v/>
      </c>
      <c r="AG144" s="14">
        <f>IF($A144="","",IF(INDEX('潜水記録'!$AL$5:$AL$3004,$AS144)="","",INDEX('潜水記録'!$AL$5:$AL$3004,$AS144)))</f>
        <v/>
      </c>
      <c r="AH144" s="14">
        <f>IF($A144="","",IF(INDEX('潜水記録'!$AM$5:$AM$3004,$AS144)="","",INDEX('潜水記録'!$AM$5:$AM$3004,$AS144)))</f>
        <v/>
      </c>
      <c r="AI144" s="46">
        <f>IF($A144="","",IF(INDEX('潜水記録'!$AN$5:$AN$3004,$AS144)="","",INDEX('潜水記録'!$AN$5:$AN$3004,$AS144)))</f>
        <v/>
      </c>
      <c r="AJ144" s="14">
        <f>IF($A144="","",IF(INDEX('潜水記録'!$AO$5:$AO$3004,$AS144)="","",INDEX('潜水記録'!$AO$5:$AO$3004,$AS144)))</f>
        <v/>
      </c>
      <c r="AK144" s="14">
        <f>IF($A144="","",IF(INDEX('潜水記録'!$AP$5:$AP$3004,$AS144)="","",INDEX('潜水記録'!$AP$5:$AP$3004,$AS144)))</f>
        <v/>
      </c>
      <c r="AL144" s="14">
        <f>IF($A144="","",IF(INDEX('潜水記録'!$AQ$5:$AQ$3004,$AS144)="","",INDEX('潜水記録'!$AQ$5:$AQ$3004,$AS144)))</f>
        <v/>
      </c>
      <c r="AM144" s="14">
        <f>IF($A144="","",IF(INDEX('潜水記録'!$AR$5:$AR$3004,$AS144)="","",INDEX('潜水記録'!$AR$5:$AR$3004,$AS144)))</f>
        <v/>
      </c>
      <c r="AN144" s="14">
        <f>IF($A144="","",IF(INDEX('潜水記録'!$AS$5:$AS$3004,$AS144)="","",INDEX('潜水記録'!$AS$5:$AS$3004,$AS144)))</f>
        <v/>
      </c>
      <c r="AO144" s="14">
        <f>IF($A144="","",IF(INDEX('潜水記録'!$AT$5:$AT$3004,$AS144)="","",INDEX('潜水記録'!$AT$5:$AT$3004,$AS144)))</f>
        <v/>
      </c>
      <c r="AP144" s="14">
        <f>IF($A144="","",IF(INDEX('潜水記録'!$AU$5:$AU$3004,$AS144)="","",INDEX('潜水記録'!$AU$5:$AU$3004,$AS144)))</f>
        <v/>
      </c>
      <c r="AQ144" s="14">
        <f>IF($A144="","",IF(INDEX('潜水記録'!$AV$5:$AV$3004,$AS144)="","",INDEX('潜水記録'!$AV$5:$AV$3004,$AS144)))</f>
        <v/>
      </c>
      <c r="AR144" s="14">
        <f>IF($A144="","",IF(INDEX('潜水記録'!$AW$5:$AW$3004,$AS144)="","",INDEX('潜水記録'!$AW$5:$AW$3004,$AS144)))</f>
        <v/>
      </c>
      <c r="AS144" s="20">
        <f>IF($A144="","",MATCH($A144,'潜水記録'!$AI$5:$AI$3004,0))</f>
        <v/>
      </c>
    </row>
    <row r="145">
      <c r="A145" s="14">
        <f>IF(135&lt;=$C$8,135,"")</f>
        <v/>
      </c>
      <c r="B145" s="16">
        <f>IF($A145="","",IF(INDEX('潜水記録'!$A$5:$A$3004,$AS145)="","",INDEX('潜水記録'!$A$5:$A$3004,$AS145)))</f>
        <v/>
      </c>
      <c r="C145" s="14">
        <f>IF($A145="","",IF(INDEX('潜水記録'!$B$5:$B$3004,$AS145)="","",INDEX('潜水記録'!$B$5:$B$3004,$AS145)))</f>
        <v/>
      </c>
      <c r="D145" s="14">
        <f>IF($A145="","",IF(INDEX('潜水記録'!$C$5:$C$3004,$AS145)="","",INDEX('潜水記録'!$C$5:$C$3004,$AS145)))</f>
        <v/>
      </c>
      <c r="E145" s="14">
        <f>IF($A145="","",IF(INDEX('潜水記録'!$D$5:$D$3004,$AS145)="","",INDEX('潜水記録'!$D$5:$D$3004,$AS145)))</f>
        <v/>
      </c>
      <c r="F145" s="14">
        <f>IF($A145="","",IF(INDEX('潜水記録'!$E$5:$E$3004,$AS145)="","",INDEX('潜水記録'!$E$5:$E$3004,$AS145)))</f>
        <v/>
      </c>
      <c r="G145" s="14">
        <f>IF($A145="","",IF(INDEX('潜水記録'!$F$5:$F$3004,$AS145)="","",INDEX('潜水記録'!$F$5:$F$3004,$AS145)))</f>
        <v/>
      </c>
      <c r="H145" s="14">
        <f>IF($A145="","",IF(INDEX('潜水記録'!$G$5:$G$3004,$AS145)="","",INDEX('潜水記録'!$G$5:$G$3004,$AS145)))</f>
        <v/>
      </c>
      <c r="I145" s="14">
        <f>IF($A145="","",IF(INDEX('潜水記録'!$H$5:$H$3004,$AS145)="","",INDEX('潜水記録'!$H$5:$H$3004,$AS145)))</f>
        <v/>
      </c>
      <c r="J145" s="14">
        <f>IF($A145="","",IF(INDEX('潜水記録'!$I$5:$I$3004,$AS145)="","",INDEX('潜水記録'!$I$5:$I$3004,$AS145)))</f>
        <v/>
      </c>
      <c r="K145" s="14">
        <f>IF($A145="","",IF(INDEX('潜水記録'!$J$5:$J$3004,$AS145)="","",INDEX('潜水記録'!$J$5:$J$3004,$AS145)))</f>
        <v/>
      </c>
      <c r="L145" s="14">
        <f>IF($A145="","",IF(INDEX('潜水記録'!$K$5:$K$3004,$AS145)="","",INDEX('潜水記録'!$K$5:$K$3004,$AS145)))</f>
        <v/>
      </c>
      <c r="M145" s="14">
        <f>IF($A145="","",IF(INDEX('潜水記録'!$L$5:$L$3004,$AS145)="","",INDEX('潜水記録'!$L$5:$L$3004,$AS145)))</f>
        <v/>
      </c>
      <c r="N145" s="14">
        <f>IF($A145="","",IF(INDEX('潜水記録'!$M$5:$M$3004,$AS145)="","",INDEX('潜水記録'!$M$5:$M$3004,$AS145)))</f>
        <v/>
      </c>
      <c r="O145" s="14">
        <f>IF($A145="","",IF(INDEX('潜水記録'!$N$5:$N$3004,$AS145)="","",INDEX('潜水記録'!$N$5:$N$3004,$AS145)))</f>
        <v/>
      </c>
      <c r="P145" s="14">
        <f>IF($A145="","",IF(INDEX('潜水記録'!$O$5:$O$3004,$AS145)="","",INDEX('潜水記録'!$O$5:$O$3004,$AS145)))</f>
        <v/>
      </c>
      <c r="Q145" s="14">
        <f>IF($A145="","",IF(INDEX('潜水記録'!$P$5:$P$3004,$AS145)="","",INDEX('潜水記録'!$P$5:$P$3004,$AS145)))</f>
        <v/>
      </c>
      <c r="R145" s="14">
        <f>IF($A145="","",IF(INDEX('潜水記録'!$Q$5:$Q$3004,$AS145)="","",INDEX('潜水記録'!$Q$5:$Q$3004,$AS145)))</f>
        <v/>
      </c>
      <c r="S145" s="14">
        <f>IF($A145="","",IF(INDEX('潜水記録'!$R$5:$R$3004,$AS145)="","",INDEX('潜水記録'!$R$5:$R$3004,$AS145)))</f>
        <v/>
      </c>
      <c r="T145" s="14">
        <f>IF($A145="","",IF(INDEX('潜水記録'!$S$5:$S$3004,$AS145)="","",INDEX('潜水記録'!$S$5:$S$3004,$AS145)))</f>
        <v/>
      </c>
      <c r="U145" s="14">
        <f>IF($A145="","",IF(INDEX('潜水記録'!$T$5:$T$3004,$AS145)="","",INDEX('潜水記録'!$T$5:$T$3004,$AS145)))</f>
        <v/>
      </c>
      <c r="V145" s="46">
        <f>IF($A145="","",IF(INDEX('潜水記録'!$U$5:$U$3004,$AS145)="","",INDEX('潜水記録'!$U$5:$U$3004,$AS145)))</f>
        <v/>
      </c>
      <c r="W145" s="46">
        <f>IF($A145="","",IF(INDEX('潜水記録'!$V$5:$V$3004,$AS145)="","",INDEX('潜水記録'!$V$5:$V$3004,$AS145)))</f>
        <v/>
      </c>
      <c r="X145" s="14">
        <f>IF($A145="","",IF(INDEX('潜水記録'!$W$5:$W$3004,$AS145)="","",INDEX('潜水記録'!$W$5:$W$3004,$AS145)))</f>
        <v/>
      </c>
      <c r="Y145" s="14">
        <f>IF($A145="","",IF(INDEX('潜水記録'!$X$5:$X$3004,$AS145)="","",INDEX('潜水記録'!$X$5:$X$3004,$AS145)))</f>
        <v/>
      </c>
      <c r="Z145" s="14">
        <f>IF($A145="","",IF(INDEX('潜水記録'!$Y$5:$Y$3004,$AS145)="","",INDEX('潜水記録'!$Y$5:$Y$3004,$AS145)))</f>
        <v/>
      </c>
      <c r="AA145" s="14">
        <f>IF($A145="","",IF(INDEX('潜水記録'!$Z$5:$Z$3004,$AS145)="","",INDEX('潜水記録'!$Z$5:$Z$3004,$AS145)))</f>
        <v/>
      </c>
      <c r="AB145" s="14">
        <f>IF($A145="","",IF(INDEX('潜水記録'!$AA$5:$AA$3004,$AS145)="","",INDEX('潜水記録'!$AA$5:$AA$3004,$AS145)))</f>
        <v/>
      </c>
      <c r="AC145" s="14">
        <f>IF($A145="","",IF(INDEX('潜水記録'!$AB$5:$AB$3004,$AS145)="","",INDEX('潜水記録'!$AB$5:$AB$3004,$AS145)))</f>
        <v/>
      </c>
      <c r="AD145" s="14">
        <f>IF($A145="","",IF(INDEX('潜水記録'!$AC$5:$AC$3004,$AS145)="","",INDEX('潜水記録'!$AC$5:$AC$3004,$AS145)))</f>
        <v/>
      </c>
      <c r="AE145" s="14">
        <f>IF($A145="","",IF(INDEX('潜水記録'!$AD$5:$AD$3004,$AS145)="","",INDEX('潜水記録'!$AD$5:$AD$3004,$AS145)))</f>
        <v/>
      </c>
      <c r="AF145" s="14">
        <f>IF($A145="","",IF(INDEX('潜水記録'!$AE$5:$AE$3004,$AS145)="","",INDEX('潜水記録'!$AE$5:$AE$3004,$AS145)))</f>
        <v/>
      </c>
      <c r="AG145" s="14">
        <f>IF($A145="","",IF(INDEX('潜水記録'!$AL$5:$AL$3004,$AS145)="","",INDEX('潜水記録'!$AL$5:$AL$3004,$AS145)))</f>
        <v/>
      </c>
      <c r="AH145" s="14">
        <f>IF($A145="","",IF(INDEX('潜水記録'!$AM$5:$AM$3004,$AS145)="","",INDEX('潜水記録'!$AM$5:$AM$3004,$AS145)))</f>
        <v/>
      </c>
      <c r="AI145" s="46">
        <f>IF($A145="","",IF(INDEX('潜水記録'!$AN$5:$AN$3004,$AS145)="","",INDEX('潜水記録'!$AN$5:$AN$3004,$AS145)))</f>
        <v/>
      </c>
      <c r="AJ145" s="14">
        <f>IF($A145="","",IF(INDEX('潜水記録'!$AO$5:$AO$3004,$AS145)="","",INDEX('潜水記録'!$AO$5:$AO$3004,$AS145)))</f>
        <v/>
      </c>
      <c r="AK145" s="14">
        <f>IF($A145="","",IF(INDEX('潜水記録'!$AP$5:$AP$3004,$AS145)="","",INDEX('潜水記録'!$AP$5:$AP$3004,$AS145)))</f>
        <v/>
      </c>
      <c r="AL145" s="14">
        <f>IF($A145="","",IF(INDEX('潜水記録'!$AQ$5:$AQ$3004,$AS145)="","",INDEX('潜水記録'!$AQ$5:$AQ$3004,$AS145)))</f>
        <v/>
      </c>
      <c r="AM145" s="14">
        <f>IF($A145="","",IF(INDEX('潜水記録'!$AR$5:$AR$3004,$AS145)="","",INDEX('潜水記録'!$AR$5:$AR$3004,$AS145)))</f>
        <v/>
      </c>
      <c r="AN145" s="14">
        <f>IF($A145="","",IF(INDEX('潜水記録'!$AS$5:$AS$3004,$AS145)="","",INDEX('潜水記録'!$AS$5:$AS$3004,$AS145)))</f>
        <v/>
      </c>
      <c r="AO145" s="14">
        <f>IF($A145="","",IF(INDEX('潜水記録'!$AT$5:$AT$3004,$AS145)="","",INDEX('潜水記録'!$AT$5:$AT$3004,$AS145)))</f>
        <v/>
      </c>
      <c r="AP145" s="14">
        <f>IF($A145="","",IF(INDEX('潜水記録'!$AU$5:$AU$3004,$AS145)="","",INDEX('潜水記録'!$AU$5:$AU$3004,$AS145)))</f>
        <v/>
      </c>
      <c r="AQ145" s="14">
        <f>IF($A145="","",IF(INDEX('潜水記録'!$AV$5:$AV$3004,$AS145)="","",INDEX('潜水記録'!$AV$5:$AV$3004,$AS145)))</f>
        <v/>
      </c>
      <c r="AR145" s="14">
        <f>IF($A145="","",IF(INDEX('潜水記録'!$AW$5:$AW$3004,$AS145)="","",INDEX('潜水記録'!$AW$5:$AW$3004,$AS145)))</f>
        <v/>
      </c>
      <c r="AS145" s="20">
        <f>IF($A145="","",MATCH($A145,'潜水記録'!$AI$5:$AI$3004,0))</f>
        <v/>
      </c>
    </row>
    <row r="146">
      <c r="A146" s="14">
        <f>IF(136&lt;=$C$8,136,"")</f>
        <v/>
      </c>
      <c r="B146" s="16">
        <f>IF($A146="","",IF(INDEX('潜水記録'!$A$5:$A$3004,$AS146)="","",INDEX('潜水記録'!$A$5:$A$3004,$AS146)))</f>
        <v/>
      </c>
      <c r="C146" s="14">
        <f>IF($A146="","",IF(INDEX('潜水記録'!$B$5:$B$3004,$AS146)="","",INDEX('潜水記録'!$B$5:$B$3004,$AS146)))</f>
        <v/>
      </c>
      <c r="D146" s="14">
        <f>IF($A146="","",IF(INDEX('潜水記録'!$C$5:$C$3004,$AS146)="","",INDEX('潜水記録'!$C$5:$C$3004,$AS146)))</f>
        <v/>
      </c>
      <c r="E146" s="14">
        <f>IF($A146="","",IF(INDEX('潜水記録'!$D$5:$D$3004,$AS146)="","",INDEX('潜水記録'!$D$5:$D$3004,$AS146)))</f>
        <v/>
      </c>
      <c r="F146" s="14">
        <f>IF($A146="","",IF(INDEX('潜水記録'!$E$5:$E$3004,$AS146)="","",INDEX('潜水記録'!$E$5:$E$3004,$AS146)))</f>
        <v/>
      </c>
      <c r="G146" s="14">
        <f>IF($A146="","",IF(INDEX('潜水記録'!$F$5:$F$3004,$AS146)="","",INDEX('潜水記録'!$F$5:$F$3004,$AS146)))</f>
        <v/>
      </c>
      <c r="H146" s="14">
        <f>IF($A146="","",IF(INDEX('潜水記録'!$G$5:$G$3004,$AS146)="","",INDEX('潜水記録'!$G$5:$G$3004,$AS146)))</f>
        <v/>
      </c>
      <c r="I146" s="14">
        <f>IF($A146="","",IF(INDEX('潜水記録'!$H$5:$H$3004,$AS146)="","",INDEX('潜水記録'!$H$5:$H$3004,$AS146)))</f>
        <v/>
      </c>
      <c r="J146" s="14">
        <f>IF($A146="","",IF(INDEX('潜水記録'!$I$5:$I$3004,$AS146)="","",INDEX('潜水記録'!$I$5:$I$3004,$AS146)))</f>
        <v/>
      </c>
      <c r="K146" s="14">
        <f>IF($A146="","",IF(INDEX('潜水記録'!$J$5:$J$3004,$AS146)="","",INDEX('潜水記録'!$J$5:$J$3004,$AS146)))</f>
        <v/>
      </c>
      <c r="L146" s="14">
        <f>IF($A146="","",IF(INDEX('潜水記録'!$K$5:$K$3004,$AS146)="","",INDEX('潜水記録'!$K$5:$K$3004,$AS146)))</f>
        <v/>
      </c>
      <c r="M146" s="14">
        <f>IF($A146="","",IF(INDEX('潜水記録'!$L$5:$L$3004,$AS146)="","",INDEX('潜水記録'!$L$5:$L$3004,$AS146)))</f>
        <v/>
      </c>
      <c r="N146" s="14">
        <f>IF($A146="","",IF(INDEX('潜水記録'!$M$5:$M$3004,$AS146)="","",INDEX('潜水記録'!$M$5:$M$3004,$AS146)))</f>
        <v/>
      </c>
      <c r="O146" s="14">
        <f>IF($A146="","",IF(INDEX('潜水記録'!$N$5:$N$3004,$AS146)="","",INDEX('潜水記録'!$N$5:$N$3004,$AS146)))</f>
        <v/>
      </c>
      <c r="P146" s="14">
        <f>IF($A146="","",IF(INDEX('潜水記録'!$O$5:$O$3004,$AS146)="","",INDEX('潜水記録'!$O$5:$O$3004,$AS146)))</f>
        <v/>
      </c>
      <c r="Q146" s="14">
        <f>IF($A146="","",IF(INDEX('潜水記録'!$P$5:$P$3004,$AS146)="","",INDEX('潜水記録'!$P$5:$P$3004,$AS146)))</f>
        <v/>
      </c>
      <c r="R146" s="14">
        <f>IF($A146="","",IF(INDEX('潜水記録'!$Q$5:$Q$3004,$AS146)="","",INDEX('潜水記録'!$Q$5:$Q$3004,$AS146)))</f>
        <v/>
      </c>
      <c r="S146" s="14">
        <f>IF($A146="","",IF(INDEX('潜水記録'!$R$5:$R$3004,$AS146)="","",INDEX('潜水記録'!$R$5:$R$3004,$AS146)))</f>
        <v/>
      </c>
      <c r="T146" s="14">
        <f>IF($A146="","",IF(INDEX('潜水記録'!$S$5:$S$3004,$AS146)="","",INDEX('潜水記録'!$S$5:$S$3004,$AS146)))</f>
        <v/>
      </c>
      <c r="U146" s="14">
        <f>IF($A146="","",IF(INDEX('潜水記録'!$T$5:$T$3004,$AS146)="","",INDEX('潜水記録'!$T$5:$T$3004,$AS146)))</f>
        <v/>
      </c>
      <c r="V146" s="46">
        <f>IF($A146="","",IF(INDEX('潜水記録'!$U$5:$U$3004,$AS146)="","",INDEX('潜水記録'!$U$5:$U$3004,$AS146)))</f>
        <v/>
      </c>
      <c r="W146" s="46">
        <f>IF($A146="","",IF(INDEX('潜水記録'!$V$5:$V$3004,$AS146)="","",INDEX('潜水記録'!$V$5:$V$3004,$AS146)))</f>
        <v/>
      </c>
      <c r="X146" s="14">
        <f>IF($A146="","",IF(INDEX('潜水記録'!$W$5:$W$3004,$AS146)="","",INDEX('潜水記録'!$W$5:$W$3004,$AS146)))</f>
        <v/>
      </c>
      <c r="Y146" s="14">
        <f>IF($A146="","",IF(INDEX('潜水記録'!$X$5:$X$3004,$AS146)="","",INDEX('潜水記録'!$X$5:$X$3004,$AS146)))</f>
        <v/>
      </c>
      <c r="Z146" s="14">
        <f>IF($A146="","",IF(INDEX('潜水記録'!$Y$5:$Y$3004,$AS146)="","",INDEX('潜水記録'!$Y$5:$Y$3004,$AS146)))</f>
        <v/>
      </c>
      <c r="AA146" s="14">
        <f>IF($A146="","",IF(INDEX('潜水記録'!$Z$5:$Z$3004,$AS146)="","",INDEX('潜水記録'!$Z$5:$Z$3004,$AS146)))</f>
        <v/>
      </c>
      <c r="AB146" s="14">
        <f>IF($A146="","",IF(INDEX('潜水記録'!$AA$5:$AA$3004,$AS146)="","",INDEX('潜水記録'!$AA$5:$AA$3004,$AS146)))</f>
        <v/>
      </c>
      <c r="AC146" s="14">
        <f>IF($A146="","",IF(INDEX('潜水記録'!$AB$5:$AB$3004,$AS146)="","",INDEX('潜水記録'!$AB$5:$AB$3004,$AS146)))</f>
        <v/>
      </c>
      <c r="AD146" s="14">
        <f>IF($A146="","",IF(INDEX('潜水記録'!$AC$5:$AC$3004,$AS146)="","",INDEX('潜水記録'!$AC$5:$AC$3004,$AS146)))</f>
        <v/>
      </c>
      <c r="AE146" s="14">
        <f>IF($A146="","",IF(INDEX('潜水記録'!$AD$5:$AD$3004,$AS146)="","",INDEX('潜水記録'!$AD$5:$AD$3004,$AS146)))</f>
        <v/>
      </c>
      <c r="AF146" s="14">
        <f>IF($A146="","",IF(INDEX('潜水記録'!$AE$5:$AE$3004,$AS146)="","",INDEX('潜水記録'!$AE$5:$AE$3004,$AS146)))</f>
        <v/>
      </c>
      <c r="AG146" s="14">
        <f>IF($A146="","",IF(INDEX('潜水記録'!$AL$5:$AL$3004,$AS146)="","",INDEX('潜水記録'!$AL$5:$AL$3004,$AS146)))</f>
        <v/>
      </c>
      <c r="AH146" s="14">
        <f>IF($A146="","",IF(INDEX('潜水記録'!$AM$5:$AM$3004,$AS146)="","",INDEX('潜水記録'!$AM$5:$AM$3004,$AS146)))</f>
        <v/>
      </c>
      <c r="AI146" s="46">
        <f>IF($A146="","",IF(INDEX('潜水記録'!$AN$5:$AN$3004,$AS146)="","",INDEX('潜水記録'!$AN$5:$AN$3004,$AS146)))</f>
        <v/>
      </c>
      <c r="AJ146" s="14">
        <f>IF($A146="","",IF(INDEX('潜水記録'!$AO$5:$AO$3004,$AS146)="","",INDEX('潜水記録'!$AO$5:$AO$3004,$AS146)))</f>
        <v/>
      </c>
      <c r="AK146" s="14">
        <f>IF($A146="","",IF(INDEX('潜水記録'!$AP$5:$AP$3004,$AS146)="","",INDEX('潜水記録'!$AP$5:$AP$3004,$AS146)))</f>
        <v/>
      </c>
      <c r="AL146" s="14">
        <f>IF($A146="","",IF(INDEX('潜水記録'!$AQ$5:$AQ$3004,$AS146)="","",INDEX('潜水記録'!$AQ$5:$AQ$3004,$AS146)))</f>
        <v/>
      </c>
      <c r="AM146" s="14">
        <f>IF($A146="","",IF(INDEX('潜水記録'!$AR$5:$AR$3004,$AS146)="","",INDEX('潜水記録'!$AR$5:$AR$3004,$AS146)))</f>
        <v/>
      </c>
      <c r="AN146" s="14">
        <f>IF($A146="","",IF(INDEX('潜水記録'!$AS$5:$AS$3004,$AS146)="","",INDEX('潜水記録'!$AS$5:$AS$3004,$AS146)))</f>
        <v/>
      </c>
      <c r="AO146" s="14">
        <f>IF($A146="","",IF(INDEX('潜水記録'!$AT$5:$AT$3004,$AS146)="","",INDEX('潜水記録'!$AT$5:$AT$3004,$AS146)))</f>
        <v/>
      </c>
      <c r="AP146" s="14">
        <f>IF($A146="","",IF(INDEX('潜水記録'!$AU$5:$AU$3004,$AS146)="","",INDEX('潜水記録'!$AU$5:$AU$3004,$AS146)))</f>
        <v/>
      </c>
      <c r="AQ146" s="14">
        <f>IF($A146="","",IF(INDEX('潜水記録'!$AV$5:$AV$3004,$AS146)="","",INDEX('潜水記録'!$AV$5:$AV$3004,$AS146)))</f>
        <v/>
      </c>
      <c r="AR146" s="14">
        <f>IF($A146="","",IF(INDEX('潜水記録'!$AW$5:$AW$3004,$AS146)="","",INDEX('潜水記録'!$AW$5:$AW$3004,$AS146)))</f>
        <v/>
      </c>
      <c r="AS146" s="20">
        <f>IF($A146="","",MATCH($A146,'潜水記録'!$AI$5:$AI$3004,0))</f>
        <v/>
      </c>
    </row>
    <row r="147">
      <c r="A147" s="14">
        <f>IF(137&lt;=$C$8,137,"")</f>
        <v/>
      </c>
      <c r="B147" s="16">
        <f>IF($A147="","",IF(INDEX('潜水記録'!$A$5:$A$3004,$AS147)="","",INDEX('潜水記録'!$A$5:$A$3004,$AS147)))</f>
        <v/>
      </c>
      <c r="C147" s="14">
        <f>IF($A147="","",IF(INDEX('潜水記録'!$B$5:$B$3004,$AS147)="","",INDEX('潜水記録'!$B$5:$B$3004,$AS147)))</f>
        <v/>
      </c>
      <c r="D147" s="14">
        <f>IF($A147="","",IF(INDEX('潜水記録'!$C$5:$C$3004,$AS147)="","",INDEX('潜水記録'!$C$5:$C$3004,$AS147)))</f>
        <v/>
      </c>
      <c r="E147" s="14">
        <f>IF($A147="","",IF(INDEX('潜水記録'!$D$5:$D$3004,$AS147)="","",INDEX('潜水記録'!$D$5:$D$3004,$AS147)))</f>
        <v/>
      </c>
      <c r="F147" s="14">
        <f>IF($A147="","",IF(INDEX('潜水記録'!$E$5:$E$3004,$AS147)="","",INDEX('潜水記録'!$E$5:$E$3004,$AS147)))</f>
        <v/>
      </c>
      <c r="G147" s="14">
        <f>IF($A147="","",IF(INDEX('潜水記録'!$F$5:$F$3004,$AS147)="","",INDEX('潜水記録'!$F$5:$F$3004,$AS147)))</f>
        <v/>
      </c>
      <c r="H147" s="14">
        <f>IF($A147="","",IF(INDEX('潜水記録'!$G$5:$G$3004,$AS147)="","",INDEX('潜水記録'!$G$5:$G$3004,$AS147)))</f>
        <v/>
      </c>
      <c r="I147" s="14">
        <f>IF($A147="","",IF(INDEX('潜水記録'!$H$5:$H$3004,$AS147)="","",INDEX('潜水記録'!$H$5:$H$3004,$AS147)))</f>
        <v/>
      </c>
      <c r="J147" s="14">
        <f>IF($A147="","",IF(INDEX('潜水記録'!$I$5:$I$3004,$AS147)="","",INDEX('潜水記録'!$I$5:$I$3004,$AS147)))</f>
        <v/>
      </c>
      <c r="K147" s="14">
        <f>IF($A147="","",IF(INDEX('潜水記録'!$J$5:$J$3004,$AS147)="","",INDEX('潜水記録'!$J$5:$J$3004,$AS147)))</f>
        <v/>
      </c>
      <c r="L147" s="14">
        <f>IF($A147="","",IF(INDEX('潜水記録'!$K$5:$K$3004,$AS147)="","",INDEX('潜水記録'!$K$5:$K$3004,$AS147)))</f>
        <v/>
      </c>
      <c r="M147" s="14">
        <f>IF($A147="","",IF(INDEX('潜水記録'!$L$5:$L$3004,$AS147)="","",INDEX('潜水記録'!$L$5:$L$3004,$AS147)))</f>
        <v/>
      </c>
      <c r="N147" s="14">
        <f>IF($A147="","",IF(INDEX('潜水記録'!$M$5:$M$3004,$AS147)="","",INDEX('潜水記録'!$M$5:$M$3004,$AS147)))</f>
        <v/>
      </c>
      <c r="O147" s="14">
        <f>IF($A147="","",IF(INDEX('潜水記録'!$N$5:$N$3004,$AS147)="","",INDEX('潜水記録'!$N$5:$N$3004,$AS147)))</f>
        <v/>
      </c>
      <c r="P147" s="14">
        <f>IF($A147="","",IF(INDEX('潜水記録'!$O$5:$O$3004,$AS147)="","",INDEX('潜水記録'!$O$5:$O$3004,$AS147)))</f>
        <v/>
      </c>
      <c r="Q147" s="14">
        <f>IF($A147="","",IF(INDEX('潜水記録'!$P$5:$P$3004,$AS147)="","",INDEX('潜水記録'!$P$5:$P$3004,$AS147)))</f>
        <v/>
      </c>
      <c r="R147" s="14">
        <f>IF($A147="","",IF(INDEX('潜水記録'!$Q$5:$Q$3004,$AS147)="","",INDEX('潜水記録'!$Q$5:$Q$3004,$AS147)))</f>
        <v/>
      </c>
      <c r="S147" s="14">
        <f>IF($A147="","",IF(INDEX('潜水記録'!$R$5:$R$3004,$AS147)="","",INDEX('潜水記録'!$R$5:$R$3004,$AS147)))</f>
        <v/>
      </c>
      <c r="T147" s="14">
        <f>IF($A147="","",IF(INDEX('潜水記録'!$S$5:$S$3004,$AS147)="","",INDEX('潜水記録'!$S$5:$S$3004,$AS147)))</f>
        <v/>
      </c>
      <c r="U147" s="14">
        <f>IF($A147="","",IF(INDEX('潜水記録'!$T$5:$T$3004,$AS147)="","",INDEX('潜水記録'!$T$5:$T$3004,$AS147)))</f>
        <v/>
      </c>
      <c r="V147" s="46">
        <f>IF($A147="","",IF(INDEX('潜水記録'!$U$5:$U$3004,$AS147)="","",INDEX('潜水記録'!$U$5:$U$3004,$AS147)))</f>
        <v/>
      </c>
      <c r="W147" s="46">
        <f>IF($A147="","",IF(INDEX('潜水記録'!$V$5:$V$3004,$AS147)="","",INDEX('潜水記録'!$V$5:$V$3004,$AS147)))</f>
        <v/>
      </c>
      <c r="X147" s="14">
        <f>IF($A147="","",IF(INDEX('潜水記録'!$W$5:$W$3004,$AS147)="","",INDEX('潜水記録'!$W$5:$W$3004,$AS147)))</f>
        <v/>
      </c>
      <c r="Y147" s="14">
        <f>IF($A147="","",IF(INDEX('潜水記録'!$X$5:$X$3004,$AS147)="","",INDEX('潜水記録'!$X$5:$X$3004,$AS147)))</f>
        <v/>
      </c>
      <c r="Z147" s="14">
        <f>IF($A147="","",IF(INDEX('潜水記録'!$Y$5:$Y$3004,$AS147)="","",INDEX('潜水記録'!$Y$5:$Y$3004,$AS147)))</f>
        <v/>
      </c>
      <c r="AA147" s="14">
        <f>IF($A147="","",IF(INDEX('潜水記録'!$Z$5:$Z$3004,$AS147)="","",INDEX('潜水記録'!$Z$5:$Z$3004,$AS147)))</f>
        <v/>
      </c>
      <c r="AB147" s="14">
        <f>IF($A147="","",IF(INDEX('潜水記録'!$AA$5:$AA$3004,$AS147)="","",INDEX('潜水記録'!$AA$5:$AA$3004,$AS147)))</f>
        <v/>
      </c>
      <c r="AC147" s="14">
        <f>IF($A147="","",IF(INDEX('潜水記録'!$AB$5:$AB$3004,$AS147)="","",INDEX('潜水記録'!$AB$5:$AB$3004,$AS147)))</f>
        <v/>
      </c>
      <c r="AD147" s="14">
        <f>IF($A147="","",IF(INDEX('潜水記録'!$AC$5:$AC$3004,$AS147)="","",INDEX('潜水記録'!$AC$5:$AC$3004,$AS147)))</f>
        <v/>
      </c>
      <c r="AE147" s="14">
        <f>IF($A147="","",IF(INDEX('潜水記録'!$AD$5:$AD$3004,$AS147)="","",INDEX('潜水記録'!$AD$5:$AD$3004,$AS147)))</f>
        <v/>
      </c>
      <c r="AF147" s="14">
        <f>IF($A147="","",IF(INDEX('潜水記録'!$AE$5:$AE$3004,$AS147)="","",INDEX('潜水記録'!$AE$5:$AE$3004,$AS147)))</f>
        <v/>
      </c>
      <c r="AG147" s="14">
        <f>IF($A147="","",IF(INDEX('潜水記録'!$AL$5:$AL$3004,$AS147)="","",INDEX('潜水記録'!$AL$5:$AL$3004,$AS147)))</f>
        <v/>
      </c>
      <c r="AH147" s="14">
        <f>IF($A147="","",IF(INDEX('潜水記録'!$AM$5:$AM$3004,$AS147)="","",INDEX('潜水記録'!$AM$5:$AM$3004,$AS147)))</f>
        <v/>
      </c>
      <c r="AI147" s="46">
        <f>IF($A147="","",IF(INDEX('潜水記録'!$AN$5:$AN$3004,$AS147)="","",INDEX('潜水記録'!$AN$5:$AN$3004,$AS147)))</f>
        <v/>
      </c>
      <c r="AJ147" s="14">
        <f>IF($A147="","",IF(INDEX('潜水記録'!$AO$5:$AO$3004,$AS147)="","",INDEX('潜水記録'!$AO$5:$AO$3004,$AS147)))</f>
        <v/>
      </c>
      <c r="AK147" s="14">
        <f>IF($A147="","",IF(INDEX('潜水記録'!$AP$5:$AP$3004,$AS147)="","",INDEX('潜水記録'!$AP$5:$AP$3004,$AS147)))</f>
        <v/>
      </c>
      <c r="AL147" s="14">
        <f>IF($A147="","",IF(INDEX('潜水記録'!$AQ$5:$AQ$3004,$AS147)="","",INDEX('潜水記録'!$AQ$5:$AQ$3004,$AS147)))</f>
        <v/>
      </c>
      <c r="AM147" s="14">
        <f>IF($A147="","",IF(INDEX('潜水記録'!$AR$5:$AR$3004,$AS147)="","",INDEX('潜水記録'!$AR$5:$AR$3004,$AS147)))</f>
        <v/>
      </c>
      <c r="AN147" s="14">
        <f>IF($A147="","",IF(INDEX('潜水記録'!$AS$5:$AS$3004,$AS147)="","",INDEX('潜水記録'!$AS$5:$AS$3004,$AS147)))</f>
        <v/>
      </c>
      <c r="AO147" s="14">
        <f>IF($A147="","",IF(INDEX('潜水記録'!$AT$5:$AT$3004,$AS147)="","",INDEX('潜水記録'!$AT$5:$AT$3004,$AS147)))</f>
        <v/>
      </c>
      <c r="AP147" s="14">
        <f>IF($A147="","",IF(INDEX('潜水記録'!$AU$5:$AU$3004,$AS147)="","",INDEX('潜水記録'!$AU$5:$AU$3004,$AS147)))</f>
        <v/>
      </c>
      <c r="AQ147" s="14">
        <f>IF($A147="","",IF(INDEX('潜水記録'!$AV$5:$AV$3004,$AS147)="","",INDEX('潜水記録'!$AV$5:$AV$3004,$AS147)))</f>
        <v/>
      </c>
      <c r="AR147" s="14">
        <f>IF($A147="","",IF(INDEX('潜水記録'!$AW$5:$AW$3004,$AS147)="","",INDEX('潜水記録'!$AW$5:$AW$3004,$AS147)))</f>
        <v/>
      </c>
      <c r="AS147" s="20">
        <f>IF($A147="","",MATCH($A147,'潜水記録'!$AI$5:$AI$3004,0))</f>
        <v/>
      </c>
    </row>
    <row r="148">
      <c r="A148" s="14">
        <f>IF(138&lt;=$C$8,138,"")</f>
        <v/>
      </c>
      <c r="B148" s="16">
        <f>IF($A148="","",IF(INDEX('潜水記録'!$A$5:$A$3004,$AS148)="","",INDEX('潜水記録'!$A$5:$A$3004,$AS148)))</f>
        <v/>
      </c>
      <c r="C148" s="14">
        <f>IF($A148="","",IF(INDEX('潜水記録'!$B$5:$B$3004,$AS148)="","",INDEX('潜水記録'!$B$5:$B$3004,$AS148)))</f>
        <v/>
      </c>
      <c r="D148" s="14">
        <f>IF($A148="","",IF(INDEX('潜水記録'!$C$5:$C$3004,$AS148)="","",INDEX('潜水記録'!$C$5:$C$3004,$AS148)))</f>
        <v/>
      </c>
      <c r="E148" s="14">
        <f>IF($A148="","",IF(INDEX('潜水記録'!$D$5:$D$3004,$AS148)="","",INDEX('潜水記録'!$D$5:$D$3004,$AS148)))</f>
        <v/>
      </c>
      <c r="F148" s="14">
        <f>IF($A148="","",IF(INDEX('潜水記録'!$E$5:$E$3004,$AS148)="","",INDEX('潜水記録'!$E$5:$E$3004,$AS148)))</f>
        <v/>
      </c>
      <c r="G148" s="14">
        <f>IF($A148="","",IF(INDEX('潜水記録'!$F$5:$F$3004,$AS148)="","",INDEX('潜水記録'!$F$5:$F$3004,$AS148)))</f>
        <v/>
      </c>
      <c r="H148" s="14">
        <f>IF($A148="","",IF(INDEX('潜水記録'!$G$5:$G$3004,$AS148)="","",INDEX('潜水記録'!$G$5:$G$3004,$AS148)))</f>
        <v/>
      </c>
      <c r="I148" s="14">
        <f>IF($A148="","",IF(INDEX('潜水記録'!$H$5:$H$3004,$AS148)="","",INDEX('潜水記録'!$H$5:$H$3004,$AS148)))</f>
        <v/>
      </c>
      <c r="J148" s="14">
        <f>IF($A148="","",IF(INDEX('潜水記録'!$I$5:$I$3004,$AS148)="","",INDEX('潜水記録'!$I$5:$I$3004,$AS148)))</f>
        <v/>
      </c>
      <c r="K148" s="14">
        <f>IF($A148="","",IF(INDEX('潜水記録'!$J$5:$J$3004,$AS148)="","",INDEX('潜水記録'!$J$5:$J$3004,$AS148)))</f>
        <v/>
      </c>
      <c r="L148" s="14">
        <f>IF($A148="","",IF(INDEX('潜水記録'!$K$5:$K$3004,$AS148)="","",INDEX('潜水記録'!$K$5:$K$3004,$AS148)))</f>
        <v/>
      </c>
      <c r="M148" s="14">
        <f>IF($A148="","",IF(INDEX('潜水記録'!$L$5:$L$3004,$AS148)="","",INDEX('潜水記録'!$L$5:$L$3004,$AS148)))</f>
        <v/>
      </c>
      <c r="N148" s="14">
        <f>IF($A148="","",IF(INDEX('潜水記録'!$M$5:$M$3004,$AS148)="","",INDEX('潜水記録'!$M$5:$M$3004,$AS148)))</f>
        <v/>
      </c>
      <c r="O148" s="14">
        <f>IF($A148="","",IF(INDEX('潜水記録'!$N$5:$N$3004,$AS148)="","",INDEX('潜水記録'!$N$5:$N$3004,$AS148)))</f>
        <v/>
      </c>
      <c r="P148" s="14">
        <f>IF($A148="","",IF(INDEX('潜水記録'!$O$5:$O$3004,$AS148)="","",INDEX('潜水記録'!$O$5:$O$3004,$AS148)))</f>
        <v/>
      </c>
      <c r="Q148" s="14">
        <f>IF($A148="","",IF(INDEX('潜水記録'!$P$5:$P$3004,$AS148)="","",INDEX('潜水記録'!$P$5:$P$3004,$AS148)))</f>
        <v/>
      </c>
      <c r="R148" s="14">
        <f>IF($A148="","",IF(INDEX('潜水記録'!$Q$5:$Q$3004,$AS148)="","",INDEX('潜水記録'!$Q$5:$Q$3004,$AS148)))</f>
        <v/>
      </c>
      <c r="S148" s="14">
        <f>IF($A148="","",IF(INDEX('潜水記録'!$R$5:$R$3004,$AS148)="","",INDEX('潜水記録'!$R$5:$R$3004,$AS148)))</f>
        <v/>
      </c>
      <c r="T148" s="14">
        <f>IF($A148="","",IF(INDEX('潜水記録'!$S$5:$S$3004,$AS148)="","",INDEX('潜水記録'!$S$5:$S$3004,$AS148)))</f>
        <v/>
      </c>
      <c r="U148" s="14">
        <f>IF($A148="","",IF(INDEX('潜水記録'!$T$5:$T$3004,$AS148)="","",INDEX('潜水記録'!$T$5:$T$3004,$AS148)))</f>
        <v/>
      </c>
      <c r="V148" s="46">
        <f>IF($A148="","",IF(INDEX('潜水記録'!$U$5:$U$3004,$AS148)="","",INDEX('潜水記録'!$U$5:$U$3004,$AS148)))</f>
        <v/>
      </c>
      <c r="W148" s="46">
        <f>IF($A148="","",IF(INDEX('潜水記録'!$V$5:$V$3004,$AS148)="","",INDEX('潜水記録'!$V$5:$V$3004,$AS148)))</f>
        <v/>
      </c>
      <c r="X148" s="14">
        <f>IF($A148="","",IF(INDEX('潜水記録'!$W$5:$W$3004,$AS148)="","",INDEX('潜水記録'!$W$5:$W$3004,$AS148)))</f>
        <v/>
      </c>
      <c r="Y148" s="14">
        <f>IF($A148="","",IF(INDEX('潜水記録'!$X$5:$X$3004,$AS148)="","",INDEX('潜水記録'!$X$5:$X$3004,$AS148)))</f>
        <v/>
      </c>
      <c r="Z148" s="14">
        <f>IF($A148="","",IF(INDEX('潜水記録'!$Y$5:$Y$3004,$AS148)="","",INDEX('潜水記録'!$Y$5:$Y$3004,$AS148)))</f>
        <v/>
      </c>
      <c r="AA148" s="14">
        <f>IF($A148="","",IF(INDEX('潜水記録'!$Z$5:$Z$3004,$AS148)="","",INDEX('潜水記録'!$Z$5:$Z$3004,$AS148)))</f>
        <v/>
      </c>
      <c r="AB148" s="14">
        <f>IF($A148="","",IF(INDEX('潜水記録'!$AA$5:$AA$3004,$AS148)="","",INDEX('潜水記録'!$AA$5:$AA$3004,$AS148)))</f>
        <v/>
      </c>
      <c r="AC148" s="14">
        <f>IF($A148="","",IF(INDEX('潜水記録'!$AB$5:$AB$3004,$AS148)="","",INDEX('潜水記録'!$AB$5:$AB$3004,$AS148)))</f>
        <v/>
      </c>
      <c r="AD148" s="14">
        <f>IF($A148="","",IF(INDEX('潜水記録'!$AC$5:$AC$3004,$AS148)="","",INDEX('潜水記録'!$AC$5:$AC$3004,$AS148)))</f>
        <v/>
      </c>
      <c r="AE148" s="14">
        <f>IF($A148="","",IF(INDEX('潜水記録'!$AD$5:$AD$3004,$AS148)="","",INDEX('潜水記録'!$AD$5:$AD$3004,$AS148)))</f>
        <v/>
      </c>
      <c r="AF148" s="14">
        <f>IF($A148="","",IF(INDEX('潜水記録'!$AE$5:$AE$3004,$AS148)="","",INDEX('潜水記録'!$AE$5:$AE$3004,$AS148)))</f>
        <v/>
      </c>
      <c r="AG148" s="14">
        <f>IF($A148="","",IF(INDEX('潜水記録'!$AL$5:$AL$3004,$AS148)="","",INDEX('潜水記録'!$AL$5:$AL$3004,$AS148)))</f>
        <v/>
      </c>
      <c r="AH148" s="14">
        <f>IF($A148="","",IF(INDEX('潜水記録'!$AM$5:$AM$3004,$AS148)="","",INDEX('潜水記録'!$AM$5:$AM$3004,$AS148)))</f>
        <v/>
      </c>
      <c r="AI148" s="46">
        <f>IF($A148="","",IF(INDEX('潜水記録'!$AN$5:$AN$3004,$AS148)="","",INDEX('潜水記録'!$AN$5:$AN$3004,$AS148)))</f>
        <v/>
      </c>
      <c r="AJ148" s="14">
        <f>IF($A148="","",IF(INDEX('潜水記録'!$AO$5:$AO$3004,$AS148)="","",INDEX('潜水記録'!$AO$5:$AO$3004,$AS148)))</f>
        <v/>
      </c>
      <c r="AK148" s="14">
        <f>IF($A148="","",IF(INDEX('潜水記録'!$AP$5:$AP$3004,$AS148)="","",INDEX('潜水記録'!$AP$5:$AP$3004,$AS148)))</f>
        <v/>
      </c>
      <c r="AL148" s="14">
        <f>IF($A148="","",IF(INDEX('潜水記録'!$AQ$5:$AQ$3004,$AS148)="","",INDEX('潜水記録'!$AQ$5:$AQ$3004,$AS148)))</f>
        <v/>
      </c>
      <c r="AM148" s="14">
        <f>IF($A148="","",IF(INDEX('潜水記録'!$AR$5:$AR$3004,$AS148)="","",INDEX('潜水記録'!$AR$5:$AR$3004,$AS148)))</f>
        <v/>
      </c>
      <c r="AN148" s="14">
        <f>IF($A148="","",IF(INDEX('潜水記録'!$AS$5:$AS$3004,$AS148)="","",INDEX('潜水記録'!$AS$5:$AS$3004,$AS148)))</f>
        <v/>
      </c>
      <c r="AO148" s="14">
        <f>IF($A148="","",IF(INDEX('潜水記録'!$AT$5:$AT$3004,$AS148)="","",INDEX('潜水記録'!$AT$5:$AT$3004,$AS148)))</f>
        <v/>
      </c>
      <c r="AP148" s="14">
        <f>IF($A148="","",IF(INDEX('潜水記録'!$AU$5:$AU$3004,$AS148)="","",INDEX('潜水記録'!$AU$5:$AU$3004,$AS148)))</f>
        <v/>
      </c>
      <c r="AQ148" s="14">
        <f>IF($A148="","",IF(INDEX('潜水記録'!$AV$5:$AV$3004,$AS148)="","",INDEX('潜水記録'!$AV$5:$AV$3004,$AS148)))</f>
        <v/>
      </c>
      <c r="AR148" s="14">
        <f>IF($A148="","",IF(INDEX('潜水記録'!$AW$5:$AW$3004,$AS148)="","",INDEX('潜水記録'!$AW$5:$AW$3004,$AS148)))</f>
        <v/>
      </c>
      <c r="AS148" s="20">
        <f>IF($A148="","",MATCH($A148,'潜水記録'!$AI$5:$AI$3004,0))</f>
        <v/>
      </c>
    </row>
    <row r="149">
      <c r="A149" s="14">
        <f>IF(139&lt;=$C$8,139,"")</f>
        <v/>
      </c>
      <c r="B149" s="16">
        <f>IF($A149="","",IF(INDEX('潜水記録'!$A$5:$A$3004,$AS149)="","",INDEX('潜水記録'!$A$5:$A$3004,$AS149)))</f>
        <v/>
      </c>
      <c r="C149" s="14">
        <f>IF($A149="","",IF(INDEX('潜水記録'!$B$5:$B$3004,$AS149)="","",INDEX('潜水記録'!$B$5:$B$3004,$AS149)))</f>
        <v/>
      </c>
      <c r="D149" s="14">
        <f>IF($A149="","",IF(INDEX('潜水記録'!$C$5:$C$3004,$AS149)="","",INDEX('潜水記録'!$C$5:$C$3004,$AS149)))</f>
        <v/>
      </c>
      <c r="E149" s="14">
        <f>IF($A149="","",IF(INDEX('潜水記録'!$D$5:$D$3004,$AS149)="","",INDEX('潜水記録'!$D$5:$D$3004,$AS149)))</f>
        <v/>
      </c>
      <c r="F149" s="14">
        <f>IF($A149="","",IF(INDEX('潜水記録'!$E$5:$E$3004,$AS149)="","",INDEX('潜水記録'!$E$5:$E$3004,$AS149)))</f>
        <v/>
      </c>
      <c r="G149" s="14">
        <f>IF($A149="","",IF(INDEX('潜水記録'!$F$5:$F$3004,$AS149)="","",INDEX('潜水記録'!$F$5:$F$3004,$AS149)))</f>
        <v/>
      </c>
      <c r="H149" s="14">
        <f>IF($A149="","",IF(INDEX('潜水記録'!$G$5:$G$3004,$AS149)="","",INDEX('潜水記録'!$G$5:$G$3004,$AS149)))</f>
        <v/>
      </c>
      <c r="I149" s="14">
        <f>IF($A149="","",IF(INDEX('潜水記録'!$H$5:$H$3004,$AS149)="","",INDEX('潜水記録'!$H$5:$H$3004,$AS149)))</f>
        <v/>
      </c>
      <c r="J149" s="14">
        <f>IF($A149="","",IF(INDEX('潜水記録'!$I$5:$I$3004,$AS149)="","",INDEX('潜水記録'!$I$5:$I$3004,$AS149)))</f>
        <v/>
      </c>
      <c r="K149" s="14">
        <f>IF($A149="","",IF(INDEX('潜水記録'!$J$5:$J$3004,$AS149)="","",INDEX('潜水記録'!$J$5:$J$3004,$AS149)))</f>
        <v/>
      </c>
      <c r="L149" s="14">
        <f>IF($A149="","",IF(INDEX('潜水記録'!$K$5:$K$3004,$AS149)="","",INDEX('潜水記録'!$K$5:$K$3004,$AS149)))</f>
        <v/>
      </c>
      <c r="M149" s="14">
        <f>IF($A149="","",IF(INDEX('潜水記録'!$L$5:$L$3004,$AS149)="","",INDEX('潜水記録'!$L$5:$L$3004,$AS149)))</f>
        <v/>
      </c>
      <c r="N149" s="14">
        <f>IF($A149="","",IF(INDEX('潜水記録'!$M$5:$M$3004,$AS149)="","",INDEX('潜水記録'!$M$5:$M$3004,$AS149)))</f>
        <v/>
      </c>
      <c r="O149" s="14">
        <f>IF($A149="","",IF(INDEX('潜水記録'!$N$5:$N$3004,$AS149)="","",INDEX('潜水記録'!$N$5:$N$3004,$AS149)))</f>
        <v/>
      </c>
      <c r="P149" s="14">
        <f>IF($A149="","",IF(INDEX('潜水記録'!$O$5:$O$3004,$AS149)="","",INDEX('潜水記録'!$O$5:$O$3004,$AS149)))</f>
        <v/>
      </c>
      <c r="Q149" s="14">
        <f>IF($A149="","",IF(INDEX('潜水記録'!$P$5:$P$3004,$AS149)="","",INDEX('潜水記録'!$P$5:$P$3004,$AS149)))</f>
        <v/>
      </c>
      <c r="R149" s="14">
        <f>IF($A149="","",IF(INDEX('潜水記録'!$Q$5:$Q$3004,$AS149)="","",INDEX('潜水記録'!$Q$5:$Q$3004,$AS149)))</f>
        <v/>
      </c>
      <c r="S149" s="14">
        <f>IF($A149="","",IF(INDEX('潜水記録'!$R$5:$R$3004,$AS149)="","",INDEX('潜水記録'!$R$5:$R$3004,$AS149)))</f>
        <v/>
      </c>
      <c r="T149" s="14">
        <f>IF($A149="","",IF(INDEX('潜水記録'!$S$5:$S$3004,$AS149)="","",INDEX('潜水記録'!$S$5:$S$3004,$AS149)))</f>
        <v/>
      </c>
      <c r="U149" s="14">
        <f>IF($A149="","",IF(INDEX('潜水記録'!$T$5:$T$3004,$AS149)="","",INDEX('潜水記録'!$T$5:$T$3004,$AS149)))</f>
        <v/>
      </c>
      <c r="V149" s="46">
        <f>IF($A149="","",IF(INDEX('潜水記録'!$U$5:$U$3004,$AS149)="","",INDEX('潜水記録'!$U$5:$U$3004,$AS149)))</f>
        <v/>
      </c>
      <c r="W149" s="46">
        <f>IF($A149="","",IF(INDEX('潜水記録'!$V$5:$V$3004,$AS149)="","",INDEX('潜水記録'!$V$5:$V$3004,$AS149)))</f>
        <v/>
      </c>
      <c r="X149" s="14">
        <f>IF($A149="","",IF(INDEX('潜水記録'!$W$5:$W$3004,$AS149)="","",INDEX('潜水記録'!$W$5:$W$3004,$AS149)))</f>
        <v/>
      </c>
      <c r="Y149" s="14">
        <f>IF($A149="","",IF(INDEX('潜水記録'!$X$5:$X$3004,$AS149)="","",INDEX('潜水記録'!$X$5:$X$3004,$AS149)))</f>
        <v/>
      </c>
      <c r="Z149" s="14">
        <f>IF($A149="","",IF(INDEX('潜水記録'!$Y$5:$Y$3004,$AS149)="","",INDEX('潜水記録'!$Y$5:$Y$3004,$AS149)))</f>
        <v/>
      </c>
      <c r="AA149" s="14">
        <f>IF($A149="","",IF(INDEX('潜水記録'!$Z$5:$Z$3004,$AS149)="","",INDEX('潜水記録'!$Z$5:$Z$3004,$AS149)))</f>
        <v/>
      </c>
      <c r="AB149" s="14">
        <f>IF($A149="","",IF(INDEX('潜水記録'!$AA$5:$AA$3004,$AS149)="","",INDEX('潜水記録'!$AA$5:$AA$3004,$AS149)))</f>
        <v/>
      </c>
      <c r="AC149" s="14">
        <f>IF($A149="","",IF(INDEX('潜水記録'!$AB$5:$AB$3004,$AS149)="","",INDEX('潜水記録'!$AB$5:$AB$3004,$AS149)))</f>
        <v/>
      </c>
      <c r="AD149" s="14">
        <f>IF($A149="","",IF(INDEX('潜水記録'!$AC$5:$AC$3004,$AS149)="","",INDEX('潜水記録'!$AC$5:$AC$3004,$AS149)))</f>
        <v/>
      </c>
      <c r="AE149" s="14">
        <f>IF($A149="","",IF(INDEX('潜水記録'!$AD$5:$AD$3004,$AS149)="","",INDEX('潜水記録'!$AD$5:$AD$3004,$AS149)))</f>
        <v/>
      </c>
      <c r="AF149" s="14">
        <f>IF($A149="","",IF(INDEX('潜水記録'!$AE$5:$AE$3004,$AS149)="","",INDEX('潜水記録'!$AE$5:$AE$3004,$AS149)))</f>
        <v/>
      </c>
      <c r="AG149" s="14">
        <f>IF($A149="","",IF(INDEX('潜水記録'!$AL$5:$AL$3004,$AS149)="","",INDEX('潜水記録'!$AL$5:$AL$3004,$AS149)))</f>
        <v/>
      </c>
      <c r="AH149" s="14">
        <f>IF($A149="","",IF(INDEX('潜水記録'!$AM$5:$AM$3004,$AS149)="","",INDEX('潜水記録'!$AM$5:$AM$3004,$AS149)))</f>
        <v/>
      </c>
      <c r="AI149" s="46">
        <f>IF($A149="","",IF(INDEX('潜水記録'!$AN$5:$AN$3004,$AS149)="","",INDEX('潜水記録'!$AN$5:$AN$3004,$AS149)))</f>
        <v/>
      </c>
      <c r="AJ149" s="14">
        <f>IF($A149="","",IF(INDEX('潜水記録'!$AO$5:$AO$3004,$AS149)="","",INDEX('潜水記録'!$AO$5:$AO$3004,$AS149)))</f>
        <v/>
      </c>
      <c r="AK149" s="14">
        <f>IF($A149="","",IF(INDEX('潜水記録'!$AP$5:$AP$3004,$AS149)="","",INDEX('潜水記録'!$AP$5:$AP$3004,$AS149)))</f>
        <v/>
      </c>
      <c r="AL149" s="14">
        <f>IF($A149="","",IF(INDEX('潜水記録'!$AQ$5:$AQ$3004,$AS149)="","",INDEX('潜水記録'!$AQ$5:$AQ$3004,$AS149)))</f>
        <v/>
      </c>
      <c r="AM149" s="14">
        <f>IF($A149="","",IF(INDEX('潜水記録'!$AR$5:$AR$3004,$AS149)="","",INDEX('潜水記録'!$AR$5:$AR$3004,$AS149)))</f>
        <v/>
      </c>
      <c r="AN149" s="14">
        <f>IF($A149="","",IF(INDEX('潜水記録'!$AS$5:$AS$3004,$AS149)="","",INDEX('潜水記録'!$AS$5:$AS$3004,$AS149)))</f>
        <v/>
      </c>
      <c r="AO149" s="14">
        <f>IF($A149="","",IF(INDEX('潜水記録'!$AT$5:$AT$3004,$AS149)="","",INDEX('潜水記録'!$AT$5:$AT$3004,$AS149)))</f>
        <v/>
      </c>
      <c r="AP149" s="14">
        <f>IF($A149="","",IF(INDEX('潜水記録'!$AU$5:$AU$3004,$AS149)="","",INDEX('潜水記録'!$AU$5:$AU$3004,$AS149)))</f>
        <v/>
      </c>
      <c r="AQ149" s="14">
        <f>IF($A149="","",IF(INDEX('潜水記録'!$AV$5:$AV$3004,$AS149)="","",INDEX('潜水記録'!$AV$5:$AV$3004,$AS149)))</f>
        <v/>
      </c>
      <c r="AR149" s="14">
        <f>IF($A149="","",IF(INDEX('潜水記録'!$AW$5:$AW$3004,$AS149)="","",INDEX('潜水記録'!$AW$5:$AW$3004,$AS149)))</f>
        <v/>
      </c>
      <c r="AS149" s="20">
        <f>IF($A149="","",MATCH($A149,'潜水記録'!$AI$5:$AI$3004,0))</f>
        <v/>
      </c>
    </row>
    <row r="150">
      <c r="A150" s="14">
        <f>IF(140&lt;=$C$8,140,"")</f>
        <v/>
      </c>
      <c r="B150" s="16">
        <f>IF($A150="","",IF(INDEX('潜水記録'!$A$5:$A$3004,$AS150)="","",INDEX('潜水記録'!$A$5:$A$3004,$AS150)))</f>
        <v/>
      </c>
      <c r="C150" s="14">
        <f>IF($A150="","",IF(INDEX('潜水記録'!$B$5:$B$3004,$AS150)="","",INDEX('潜水記録'!$B$5:$B$3004,$AS150)))</f>
        <v/>
      </c>
      <c r="D150" s="14">
        <f>IF($A150="","",IF(INDEX('潜水記録'!$C$5:$C$3004,$AS150)="","",INDEX('潜水記録'!$C$5:$C$3004,$AS150)))</f>
        <v/>
      </c>
      <c r="E150" s="14">
        <f>IF($A150="","",IF(INDEX('潜水記録'!$D$5:$D$3004,$AS150)="","",INDEX('潜水記録'!$D$5:$D$3004,$AS150)))</f>
        <v/>
      </c>
      <c r="F150" s="14">
        <f>IF($A150="","",IF(INDEX('潜水記録'!$E$5:$E$3004,$AS150)="","",INDEX('潜水記録'!$E$5:$E$3004,$AS150)))</f>
        <v/>
      </c>
      <c r="G150" s="14">
        <f>IF($A150="","",IF(INDEX('潜水記録'!$F$5:$F$3004,$AS150)="","",INDEX('潜水記録'!$F$5:$F$3004,$AS150)))</f>
        <v/>
      </c>
      <c r="H150" s="14">
        <f>IF($A150="","",IF(INDEX('潜水記録'!$G$5:$G$3004,$AS150)="","",INDEX('潜水記録'!$G$5:$G$3004,$AS150)))</f>
        <v/>
      </c>
      <c r="I150" s="14">
        <f>IF($A150="","",IF(INDEX('潜水記録'!$H$5:$H$3004,$AS150)="","",INDEX('潜水記録'!$H$5:$H$3004,$AS150)))</f>
        <v/>
      </c>
      <c r="J150" s="14">
        <f>IF($A150="","",IF(INDEX('潜水記録'!$I$5:$I$3004,$AS150)="","",INDEX('潜水記録'!$I$5:$I$3004,$AS150)))</f>
        <v/>
      </c>
      <c r="K150" s="14">
        <f>IF($A150="","",IF(INDEX('潜水記録'!$J$5:$J$3004,$AS150)="","",INDEX('潜水記録'!$J$5:$J$3004,$AS150)))</f>
        <v/>
      </c>
      <c r="L150" s="14">
        <f>IF($A150="","",IF(INDEX('潜水記録'!$K$5:$K$3004,$AS150)="","",INDEX('潜水記録'!$K$5:$K$3004,$AS150)))</f>
        <v/>
      </c>
      <c r="M150" s="14">
        <f>IF($A150="","",IF(INDEX('潜水記録'!$L$5:$L$3004,$AS150)="","",INDEX('潜水記録'!$L$5:$L$3004,$AS150)))</f>
        <v/>
      </c>
      <c r="N150" s="14">
        <f>IF($A150="","",IF(INDEX('潜水記録'!$M$5:$M$3004,$AS150)="","",INDEX('潜水記録'!$M$5:$M$3004,$AS150)))</f>
        <v/>
      </c>
      <c r="O150" s="14">
        <f>IF($A150="","",IF(INDEX('潜水記録'!$N$5:$N$3004,$AS150)="","",INDEX('潜水記録'!$N$5:$N$3004,$AS150)))</f>
        <v/>
      </c>
      <c r="P150" s="14">
        <f>IF($A150="","",IF(INDEX('潜水記録'!$O$5:$O$3004,$AS150)="","",INDEX('潜水記録'!$O$5:$O$3004,$AS150)))</f>
        <v/>
      </c>
      <c r="Q150" s="14">
        <f>IF($A150="","",IF(INDEX('潜水記録'!$P$5:$P$3004,$AS150)="","",INDEX('潜水記録'!$P$5:$P$3004,$AS150)))</f>
        <v/>
      </c>
      <c r="R150" s="14">
        <f>IF($A150="","",IF(INDEX('潜水記録'!$Q$5:$Q$3004,$AS150)="","",INDEX('潜水記録'!$Q$5:$Q$3004,$AS150)))</f>
        <v/>
      </c>
      <c r="S150" s="14">
        <f>IF($A150="","",IF(INDEX('潜水記録'!$R$5:$R$3004,$AS150)="","",INDEX('潜水記録'!$R$5:$R$3004,$AS150)))</f>
        <v/>
      </c>
      <c r="T150" s="14">
        <f>IF($A150="","",IF(INDEX('潜水記録'!$S$5:$S$3004,$AS150)="","",INDEX('潜水記録'!$S$5:$S$3004,$AS150)))</f>
        <v/>
      </c>
      <c r="U150" s="14">
        <f>IF($A150="","",IF(INDEX('潜水記録'!$T$5:$T$3004,$AS150)="","",INDEX('潜水記録'!$T$5:$T$3004,$AS150)))</f>
        <v/>
      </c>
      <c r="V150" s="46">
        <f>IF($A150="","",IF(INDEX('潜水記録'!$U$5:$U$3004,$AS150)="","",INDEX('潜水記録'!$U$5:$U$3004,$AS150)))</f>
        <v/>
      </c>
      <c r="W150" s="46">
        <f>IF($A150="","",IF(INDEX('潜水記録'!$V$5:$V$3004,$AS150)="","",INDEX('潜水記録'!$V$5:$V$3004,$AS150)))</f>
        <v/>
      </c>
      <c r="X150" s="14">
        <f>IF($A150="","",IF(INDEX('潜水記録'!$W$5:$W$3004,$AS150)="","",INDEX('潜水記録'!$W$5:$W$3004,$AS150)))</f>
        <v/>
      </c>
      <c r="Y150" s="14">
        <f>IF($A150="","",IF(INDEX('潜水記録'!$X$5:$X$3004,$AS150)="","",INDEX('潜水記録'!$X$5:$X$3004,$AS150)))</f>
        <v/>
      </c>
      <c r="Z150" s="14">
        <f>IF($A150="","",IF(INDEX('潜水記録'!$Y$5:$Y$3004,$AS150)="","",INDEX('潜水記録'!$Y$5:$Y$3004,$AS150)))</f>
        <v/>
      </c>
      <c r="AA150" s="14">
        <f>IF($A150="","",IF(INDEX('潜水記録'!$Z$5:$Z$3004,$AS150)="","",INDEX('潜水記録'!$Z$5:$Z$3004,$AS150)))</f>
        <v/>
      </c>
      <c r="AB150" s="14">
        <f>IF($A150="","",IF(INDEX('潜水記録'!$AA$5:$AA$3004,$AS150)="","",INDEX('潜水記録'!$AA$5:$AA$3004,$AS150)))</f>
        <v/>
      </c>
      <c r="AC150" s="14">
        <f>IF($A150="","",IF(INDEX('潜水記録'!$AB$5:$AB$3004,$AS150)="","",INDEX('潜水記録'!$AB$5:$AB$3004,$AS150)))</f>
        <v/>
      </c>
      <c r="AD150" s="14">
        <f>IF($A150="","",IF(INDEX('潜水記録'!$AC$5:$AC$3004,$AS150)="","",INDEX('潜水記録'!$AC$5:$AC$3004,$AS150)))</f>
        <v/>
      </c>
      <c r="AE150" s="14">
        <f>IF($A150="","",IF(INDEX('潜水記録'!$AD$5:$AD$3004,$AS150)="","",INDEX('潜水記録'!$AD$5:$AD$3004,$AS150)))</f>
        <v/>
      </c>
      <c r="AF150" s="14">
        <f>IF($A150="","",IF(INDEX('潜水記録'!$AE$5:$AE$3004,$AS150)="","",INDEX('潜水記録'!$AE$5:$AE$3004,$AS150)))</f>
        <v/>
      </c>
      <c r="AG150" s="14">
        <f>IF($A150="","",IF(INDEX('潜水記録'!$AL$5:$AL$3004,$AS150)="","",INDEX('潜水記録'!$AL$5:$AL$3004,$AS150)))</f>
        <v/>
      </c>
      <c r="AH150" s="14">
        <f>IF($A150="","",IF(INDEX('潜水記録'!$AM$5:$AM$3004,$AS150)="","",INDEX('潜水記録'!$AM$5:$AM$3004,$AS150)))</f>
        <v/>
      </c>
      <c r="AI150" s="46">
        <f>IF($A150="","",IF(INDEX('潜水記録'!$AN$5:$AN$3004,$AS150)="","",INDEX('潜水記録'!$AN$5:$AN$3004,$AS150)))</f>
        <v/>
      </c>
      <c r="AJ150" s="14">
        <f>IF($A150="","",IF(INDEX('潜水記録'!$AO$5:$AO$3004,$AS150)="","",INDEX('潜水記録'!$AO$5:$AO$3004,$AS150)))</f>
        <v/>
      </c>
      <c r="AK150" s="14">
        <f>IF($A150="","",IF(INDEX('潜水記録'!$AP$5:$AP$3004,$AS150)="","",INDEX('潜水記録'!$AP$5:$AP$3004,$AS150)))</f>
        <v/>
      </c>
      <c r="AL150" s="14">
        <f>IF($A150="","",IF(INDEX('潜水記録'!$AQ$5:$AQ$3004,$AS150)="","",INDEX('潜水記録'!$AQ$5:$AQ$3004,$AS150)))</f>
        <v/>
      </c>
      <c r="AM150" s="14">
        <f>IF($A150="","",IF(INDEX('潜水記録'!$AR$5:$AR$3004,$AS150)="","",INDEX('潜水記録'!$AR$5:$AR$3004,$AS150)))</f>
        <v/>
      </c>
      <c r="AN150" s="14">
        <f>IF($A150="","",IF(INDEX('潜水記録'!$AS$5:$AS$3004,$AS150)="","",INDEX('潜水記録'!$AS$5:$AS$3004,$AS150)))</f>
        <v/>
      </c>
      <c r="AO150" s="14">
        <f>IF($A150="","",IF(INDEX('潜水記録'!$AT$5:$AT$3004,$AS150)="","",INDEX('潜水記録'!$AT$5:$AT$3004,$AS150)))</f>
        <v/>
      </c>
      <c r="AP150" s="14">
        <f>IF($A150="","",IF(INDEX('潜水記録'!$AU$5:$AU$3004,$AS150)="","",INDEX('潜水記録'!$AU$5:$AU$3004,$AS150)))</f>
        <v/>
      </c>
      <c r="AQ150" s="14">
        <f>IF($A150="","",IF(INDEX('潜水記録'!$AV$5:$AV$3004,$AS150)="","",INDEX('潜水記録'!$AV$5:$AV$3004,$AS150)))</f>
        <v/>
      </c>
      <c r="AR150" s="14">
        <f>IF($A150="","",IF(INDEX('潜水記録'!$AW$5:$AW$3004,$AS150)="","",INDEX('潜水記録'!$AW$5:$AW$3004,$AS150)))</f>
        <v/>
      </c>
      <c r="AS150" s="20">
        <f>IF($A150="","",MATCH($A150,'潜水記録'!$AI$5:$AI$3004,0))</f>
        <v/>
      </c>
    </row>
    <row r="151">
      <c r="A151" s="14">
        <f>IF(141&lt;=$C$8,141,"")</f>
        <v/>
      </c>
      <c r="B151" s="16">
        <f>IF($A151="","",IF(INDEX('潜水記録'!$A$5:$A$3004,$AS151)="","",INDEX('潜水記録'!$A$5:$A$3004,$AS151)))</f>
        <v/>
      </c>
      <c r="C151" s="14">
        <f>IF($A151="","",IF(INDEX('潜水記録'!$B$5:$B$3004,$AS151)="","",INDEX('潜水記録'!$B$5:$B$3004,$AS151)))</f>
        <v/>
      </c>
      <c r="D151" s="14">
        <f>IF($A151="","",IF(INDEX('潜水記録'!$C$5:$C$3004,$AS151)="","",INDEX('潜水記録'!$C$5:$C$3004,$AS151)))</f>
        <v/>
      </c>
      <c r="E151" s="14">
        <f>IF($A151="","",IF(INDEX('潜水記録'!$D$5:$D$3004,$AS151)="","",INDEX('潜水記録'!$D$5:$D$3004,$AS151)))</f>
        <v/>
      </c>
      <c r="F151" s="14">
        <f>IF($A151="","",IF(INDEX('潜水記録'!$E$5:$E$3004,$AS151)="","",INDEX('潜水記録'!$E$5:$E$3004,$AS151)))</f>
        <v/>
      </c>
      <c r="G151" s="14">
        <f>IF($A151="","",IF(INDEX('潜水記録'!$F$5:$F$3004,$AS151)="","",INDEX('潜水記録'!$F$5:$F$3004,$AS151)))</f>
        <v/>
      </c>
      <c r="H151" s="14">
        <f>IF($A151="","",IF(INDEX('潜水記録'!$G$5:$G$3004,$AS151)="","",INDEX('潜水記録'!$G$5:$G$3004,$AS151)))</f>
        <v/>
      </c>
      <c r="I151" s="14">
        <f>IF($A151="","",IF(INDEX('潜水記録'!$H$5:$H$3004,$AS151)="","",INDEX('潜水記録'!$H$5:$H$3004,$AS151)))</f>
        <v/>
      </c>
      <c r="J151" s="14">
        <f>IF($A151="","",IF(INDEX('潜水記録'!$I$5:$I$3004,$AS151)="","",INDEX('潜水記録'!$I$5:$I$3004,$AS151)))</f>
        <v/>
      </c>
      <c r="K151" s="14">
        <f>IF($A151="","",IF(INDEX('潜水記録'!$J$5:$J$3004,$AS151)="","",INDEX('潜水記録'!$J$5:$J$3004,$AS151)))</f>
        <v/>
      </c>
      <c r="L151" s="14">
        <f>IF($A151="","",IF(INDEX('潜水記録'!$K$5:$K$3004,$AS151)="","",INDEX('潜水記録'!$K$5:$K$3004,$AS151)))</f>
        <v/>
      </c>
      <c r="M151" s="14">
        <f>IF($A151="","",IF(INDEX('潜水記録'!$L$5:$L$3004,$AS151)="","",INDEX('潜水記録'!$L$5:$L$3004,$AS151)))</f>
        <v/>
      </c>
      <c r="N151" s="14">
        <f>IF($A151="","",IF(INDEX('潜水記録'!$M$5:$M$3004,$AS151)="","",INDEX('潜水記録'!$M$5:$M$3004,$AS151)))</f>
        <v/>
      </c>
      <c r="O151" s="14">
        <f>IF($A151="","",IF(INDEX('潜水記録'!$N$5:$N$3004,$AS151)="","",INDEX('潜水記録'!$N$5:$N$3004,$AS151)))</f>
        <v/>
      </c>
      <c r="P151" s="14">
        <f>IF($A151="","",IF(INDEX('潜水記録'!$O$5:$O$3004,$AS151)="","",INDEX('潜水記録'!$O$5:$O$3004,$AS151)))</f>
        <v/>
      </c>
      <c r="Q151" s="14">
        <f>IF($A151="","",IF(INDEX('潜水記録'!$P$5:$P$3004,$AS151)="","",INDEX('潜水記録'!$P$5:$P$3004,$AS151)))</f>
        <v/>
      </c>
      <c r="R151" s="14">
        <f>IF($A151="","",IF(INDEX('潜水記録'!$Q$5:$Q$3004,$AS151)="","",INDEX('潜水記録'!$Q$5:$Q$3004,$AS151)))</f>
        <v/>
      </c>
      <c r="S151" s="14">
        <f>IF($A151="","",IF(INDEX('潜水記録'!$R$5:$R$3004,$AS151)="","",INDEX('潜水記録'!$R$5:$R$3004,$AS151)))</f>
        <v/>
      </c>
      <c r="T151" s="14">
        <f>IF($A151="","",IF(INDEX('潜水記録'!$S$5:$S$3004,$AS151)="","",INDEX('潜水記録'!$S$5:$S$3004,$AS151)))</f>
        <v/>
      </c>
      <c r="U151" s="14">
        <f>IF($A151="","",IF(INDEX('潜水記録'!$T$5:$T$3004,$AS151)="","",INDEX('潜水記録'!$T$5:$T$3004,$AS151)))</f>
        <v/>
      </c>
      <c r="V151" s="46">
        <f>IF($A151="","",IF(INDEX('潜水記録'!$U$5:$U$3004,$AS151)="","",INDEX('潜水記録'!$U$5:$U$3004,$AS151)))</f>
        <v/>
      </c>
      <c r="W151" s="46">
        <f>IF($A151="","",IF(INDEX('潜水記録'!$V$5:$V$3004,$AS151)="","",INDEX('潜水記録'!$V$5:$V$3004,$AS151)))</f>
        <v/>
      </c>
      <c r="X151" s="14">
        <f>IF($A151="","",IF(INDEX('潜水記録'!$W$5:$W$3004,$AS151)="","",INDEX('潜水記録'!$W$5:$W$3004,$AS151)))</f>
        <v/>
      </c>
      <c r="Y151" s="14">
        <f>IF($A151="","",IF(INDEX('潜水記録'!$X$5:$X$3004,$AS151)="","",INDEX('潜水記録'!$X$5:$X$3004,$AS151)))</f>
        <v/>
      </c>
      <c r="Z151" s="14">
        <f>IF($A151="","",IF(INDEX('潜水記録'!$Y$5:$Y$3004,$AS151)="","",INDEX('潜水記録'!$Y$5:$Y$3004,$AS151)))</f>
        <v/>
      </c>
      <c r="AA151" s="14">
        <f>IF($A151="","",IF(INDEX('潜水記録'!$Z$5:$Z$3004,$AS151)="","",INDEX('潜水記録'!$Z$5:$Z$3004,$AS151)))</f>
        <v/>
      </c>
      <c r="AB151" s="14">
        <f>IF($A151="","",IF(INDEX('潜水記録'!$AA$5:$AA$3004,$AS151)="","",INDEX('潜水記録'!$AA$5:$AA$3004,$AS151)))</f>
        <v/>
      </c>
      <c r="AC151" s="14">
        <f>IF($A151="","",IF(INDEX('潜水記録'!$AB$5:$AB$3004,$AS151)="","",INDEX('潜水記録'!$AB$5:$AB$3004,$AS151)))</f>
        <v/>
      </c>
      <c r="AD151" s="14">
        <f>IF($A151="","",IF(INDEX('潜水記録'!$AC$5:$AC$3004,$AS151)="","",INDEX('潜水記録'!$AC$5:$AC$3004,$AS151)))</f>
        <v/>
      </c>
      <c r="AE151" s="14">
        <f>IF($A151="","",IF(INDEX('潜水記録'!$AD$5:$AD$3004,$AS151)="","",INDEX('潜水記録'!$AD$5:$AD$3004,$AS151)))</f>
        <v/>
      </c>
      <c r="AF151" s="14">
        <f>IF($A151="","",IF(INDEX('潜水記録'!$AE$5:$AE$3004,$AS151)="","",INDEX('潜水記録'!$AE$5:$AE$3004,$AS151)))</f>
        <v/>
      </c>
      <c r="AG151" s="14">
        <f>IF($A151="","",IF(INDEX('潜水記録'!$AL$5:$AL$3004,$AS151)="","",INDEX('潜水記録'!$AL$5:$AL$3004,$AS151)))</f>
        <v/>
      </c>
      <c r="AH151" s="14">
        <f>IF($A151="","",IF(INDEX('潜水記録'!$AM$5:$AM$3004,$AS151)="","",INDEX('潜水記録'!$AM$5:$AM$3004,$AS151)))</f>
        <v/>
      </c>
      <c r="AI151" s="46">
        <f>IF($A151="","",IF(INDEX('潜水記録'!$AN$5:$AN$3004,$AS151)="","",INDEX('潜水記録'!$AN$5:$AN$3004,$AS151)))</f>
        <v/>
      </c>
      <c r="AJ151" s="14">
        <f>IF($A151="","",IF(INDEX('潜水記録'!$AO$5:$AO$3004,$AS151)="","",INDEX('潜水記録'!$AO$5:$AO$3004,$AS151)))</f>
        <v/>
      </c>
      <c r="AK151" s="14">
        <f>IF($A151="","",IF(INDEX('潜水記録'!$AP$5:$AP$3004,$AS151)="","",INDEX('潜水記録'!$AP$5:$AP$3004,$AS151)))</f>
        <v/>
      </c>
      <c r="AL151" s="14">
        <f>IF($A151="","",IF(INDEX('潜水記録'!$AQ$5:$AQ$3004,$AS151)="","",INDEX('潜水記録'!$AQ$5:$AQ$3004,$AS151)))</f>
        <v/>
      </c>
      <c r="AM151" s="14">
        <f>IF($A151="","",IF(INDEX('潜水記録'!$AR$5:$AR$3004,$AS151)="","",INDEX('潜水記録'!$AR$5:$AR$3004,$AS151)))</f>
        <v/>
      </c>
      <c r="AN151" s="14">
        <f>IF($A151="","",IF(INDEX('潜水記録'!$AS$5:$AS$3004,$AS151)="","",INDEX('潜水記録'!$AS$5:$AS$3004,$AS151)))</f>
        <v/>
      </c>
      <c r="AO151" s="14">
        <f>IF($A151="","",IF(INDEX('潜水記録'!$AT$5:$AT$3004,$AS151)="","",INDEX('潜水記録'!$AT$5:$AT$3004,$AS151)))</f>
        <v/>
      </c>
      <c r="AP151" s="14">
        <f>IF($A151="","",IF(INDEX('潜水記録'!$AU$5:$AU$3004,$AS151)="","",INDEX('潜水記録'!$AU$5:$AU$3004,$AS151)))</f>
        <v/>
      </c>
      <c r="AQ151" s="14">
        <f>IF($A151="","",IF(INDEX('潜水記録'!$AV$5:$AV$3004,$AS151)="","",INDEX('潜水記録'!$AV$5:$AV$3004,$AS151)))</f>
        <v/>
      </c>
      <c r="AR151" s="14">
        <f>IF($A151="","",IF(INDEX('潜水記録'!$AW$5:$AW$3004,$AS151)="","",INDEX('潜水記録'!$AW$5:$AW$3004,$AS151)))</f>
        <v/>
      </c>
      <c r="AS151" s="20">
        <f>IF($A151="","",MATCH($A151,'潜水記録'!$AI$5:$AI$3004,0))</f>
        <v/>
      </c>
    </row>
    <row r="152">
      <c r="A152" s="14">
        <f>IF(142&lt;=$C$8,142,"")</f>
        <v/>
      </c>
      <c r="B152" s="16">
        <f>IF($A152="","",IF(INDEX('潜水記録'!$A$5:$A$3004,$AS152)="","",INDEX('潜水記録'!$A$5:$A$3004,$AS152)))</f>
        <v/>
      </c>
      <c r="C152" s="14">
        <f>IF($A152="","",IF(INDEX('潜水記録'!$B$5:$B$3004,$AS152)="","",INDEX('潜水記録'!$B$5:$B$3004,$AS152)))</f>
        <v/>
      </c>
      <c r="D152" s="14">
        <f>IF($A152="","",IF(INDEX('潜水記録'!$C$5:$C$3004,$AS152)="","",INDEX('潜水記録'!$C$5:$C$3004,$AS152)))</f>
        <v/>
      </c>
      <c r="E152" s="14">
        <f>IF($A152="","",IF(INDEX('潜水記録'!$D$5:$D$3004,$AS152)="","",INDEX('潜水記録'!$D$5:$D$3004,$AS152)))</f>
        <v/>
      </c>
      <c r="F152" s="14">
        <f>IF($A152="","",IF(INDEX('潜水記録'!$E$5:$E$3004,$AS152)="","",INDEX('潜水記録'!$E$5:$E$3004,$AS152)))</f>
        <v/>
      </c>
      <c r="G152" s="14">
        <f>IF($A152="","",IF(INDEX('潜水記録'!$F$5:$F$3004,$AS152)="","",INDEX('潜水記録'!$F$5:$F$3004,$AS152)))</f>
        <v/>
      </c>
      <c r="H152" s="14">
        <f>IF($A152="","",IF(INDEX('潜水記録'!$G$5:$G$3004,$AS152)="","",INDEX('潜水記録'!$G$5:$G$3004,$AS152)))</f>
        <v/>
      </c>
      <c r="I152" s="14">
        <f>IF($A152="","",IF(INDEX('潜水記録'!$H$5:$H$3004,$AS152)="","",INDEX('潜水記録'!$H$5:$H$3004,$AS152)))</f>
        <v/>
      </c>
      <c r="J152" s="14">
        <f>IF($A152="","",IF(INDEX('潜水記録'!$I$5:$I$3004,$AS152)="","",INDEX('潜水記録'!$I$5:$I$3004,$AS152)))</f>
        <v/>
      </c>
      <c r="K152" s="14">
        <f>IF($A152="","",IF(INDEX('潜水記録'!$J$5:$J$3004,$AS152)="","",INDEX('潜水記録'!$J$5:$J$3004,$AS152)))</f>
        <v/>
      </c>
      <c r="L152" s="14">
        <f>IF($A152="","",IF(INDEX('潜水記録'!$K$5:$K$3004,$AS152)="","",INDEX('潜水記録'!$K$5:$K$3004,$AS152)))</f>
        <v/>
      </c>
      <c r="M152" s="14">
        <f>IF($A152="","",IF(INDEX('潜水記録'!$L$5:$L$3004,$AS152)="","",INDEX('潜水記録'!$L$5:$L$3004,$AS152)))</f>
        <v/>
      </c>
      <c r="N152" s="14">
        <f>IF($A152="","",IF(INDEX('潜水記録'!$M$5:$M$3004,$AS152)="","",INDEX('潜水記録'!$M$5:$M$3004,$AS152)))</f>
        <v/>
      </c>
      <c r="O152" s="14">
        <f>IF($A152="","",IF(INDEX('潜水記録'!$N$5:$N$3004,$AS152)="","",INDEX('潜水記録'!$N$5:$N$3004,$AS152)))</f>
        <v/>
      </c>
      <c r="P152" s="14">
        <f>IF($A152="","",IF(INDEX('潜水記録'!$O$5:$O$3004,$AS152)="","",INDEX('潜水記録'!$O$5:$O$3004,$AS152)))</f>
        <v/>
      </c>
      <c r="Q152" s="14">
        <f>IF($A152="","",IF(INDEX('潜水記録'!$P$5:$P$3004,$AS152)="","",INDEX('潜水記録'!$P$5:$P$3004,$AS152)))</f>
        <v/>
      </c>
      <c r="R152" s="14">
        <f>IF($A152="","",IF(INDEX('潜水記録'!$Q$5:$Q$3004,$AS152)="","",INDEX('潜水記録'!$Q$5:$Q$3004,$AS152)))</f>
        <v/>
      </c>
      <c r="S152" s="14">
        <f>IF($A152="","",IF(INDEX('潜水記録'!$R$5:$R$3004,$AS152)="","",INDEX('潜水記録'!$R$5:$R$3004,$AS152)))</f>
        <v/>
      </c>
      <c r="T152" s="14">
        <f>IF($A152="","",IF(INDEX('潜水記録'!$S$5:$S$3004,$AS152)="","",INDEX('潜水記録'!$S$5:$S$3004,$AS152)))</f>
        <v/>
      </c>
      <c r="U152" s="14">
        <f>IF($A152="","",IF(INDEX('潜水記録'!$T$5:$T$3004,$AS152)="","",INDEX('潜水記録'!$T$5:$T$3004,$AS152)))</f>
        <v/>
      </c>
      <c r="V152" s="46">
        <f>IF($A152="","",IF(INDEX('潜水記録'!$U$5:$U$3004,$AS152)="","",INDEX('潜水記録'!$U$5:$U$3004,$AS152)))</f>
        <v/>
      </c>
      <c r="W152" s="46">
        <f>IF($A152="","",IF(INDEX('潜水記録'!$V$5:$V$3004,$AS152)="","",INDEX('潜水記録'!$V$5:$V$3004,$AS152)))</f>
        <v/>
      </c>
      <c r="X152" s="14">
        <f>IF($A152="","",IF(INDEX('潜水記録'!$W$5:$W$3004,$AS152)="","",INDEX('潜水記録'!$W$5:$W$3004,$AS152)))</f>
        <v/>
      </c>
      <c r="Y152" s="14">
        <f>IF($A152="","",IF(INDEX('潜水記録'!$X$5:$X$3004,$AS152)="","",INDEX('潜水記録'!$X$5:$X$3004,$AS152)))</f>
        <v/>
      </c>
      <c r="Z152" s="14">
        <f>IF($A152="","",IF(INDEX('潜水記録'!$Y$5:$Y$3004,$AS152)="","",INDEX('潜水記録'!$Y$5:$Y$3004,$AS152)))</f>
        <v/>
      </c>
      <c r="AA152" s="14">
        <f>IF($A152="","",IF(INDEX('潜水記録'!$Z$5:$Z$3004,$AS152)="","",INDEX('潜水記録'!$Z$5:$Z$3004,$AS152)))</f>
        <v/>
      </c>
      <c r="AB152" s="14">
        <f>IF($A152="","",IF(INDEX('潜水記録'!$AA$5:$AA$3004,$AS152)="","",INDEX('潜水記録'!$AA$5:$AA$3004,$AS152)))</f>
        <v/>
      </c>
      <c r="AC152" s="14">
        <f>IF($A152="","",IF(INDEX('潜水記録'!$AB$5:$AB$3004,$AS152)="","",INDEX('潜水記録'!$AB$5:$AB$3004,$AS152)))</f>
        <v/>
      </c>
      <c r="AD152" s="14">
        <f>IF($A152="","",IF(INDEX('潜水記録'!$AC$5:$AC$3004,$AS152)="","",INDEX('潜水記録'!$AC$5:$AC$3004,$AS152)))</f>
        <v/>
      </c>
      <c r="AE152" s="14">
        <f>IF($A152="","",IF(INDEX('潜水記録'!$AD$5:$AD$3004,$AS152)="","",INDEX('潜水記録'!$AD$5:$AD$3004,$AS152)))</f>
        <v/>
      </c>
      <c r="AF152" s="14">
        <f>IF($A152="","",IF(INDEX('潜水記録'!$AE$5:$AE$3004,$AS152)="","",INDEX('潜水記録'!$AE$5:$AE$3004,$AS152)))</f>
        <v/>
      </c>
      <c r="AG152" s="14">
        <f>IF($A152="","",IF(INDEX('潜水記録'!$AL$5:$AL$3004,$AS152)="","",INDEX('潜水記録'!$AL$5:$AL$3004,$AS152)))</f>
        <v/>
      </c>
      <c r="AH152" s="14">
        <f>IF($A152="","",IF(INDEX('潜水記録'!$AM$5:$AM$3004,$AS152)="","",INDEX('潜水記録'!$AM$5:$AM$3004,$AS152)))</f>
        <v/>
      </c>
      <c r="AI152" s="46">
        <f>IF($A152="","",IF(INDEX('潜水記録'!$AN$5:$AN$3004,$AS152)="","",INDEX('潜水記録'!$AN$5:$AN$3004,$AS152)))</f>
        <v/>
      </c>
      <c r="AJ152" s="14">
        <f>IF($A152="","",IF(INDEX('潜水記録'!$AO$5:$AO$3004,$AS152)="","",INDEX('潜水記録'!$AO$5:$AO$3004,$AS152)))</f>
        <v/>
      </c>
      <c r="AK152" s="14">
        <f>IF($A152="","",IF(INDEX('潜水記録'!$AP$5:$AP$3004,$AS152)="","",INDEX('潜水記録'!$AP$5:$AP$3004,$AS152)))</f>
        <v/>
      </c>
      <c r="AL152" s="14">
        <f>IF($A152="","",IF(INDEX('潜水記録'!$AQ$5:$AQ$3004,$AS152)="","",INDEX('潜水記録'!$AQ$5:$AQ$3004,$AS152)))</f>
        <v/>
      </c>
      <c r="AM152" s="14">
        <f>IF($A152="","",IF(INDEX('潜水記録'!$AR$5:$AR$3004,$AS152)="","",INDEX('潜水記録'!$AR$5:$AR$3004,$AS152)))</f>
        <v/>
      </c>
      <c r="AN152" s="14">
        <f>IF($A152="","",IF(INDEX('潜水記録'!$AS$5:$AS$3004,$AS152)="","",INDEX('潜水記録'!$AS$5:$AS$3004,$AS152)))</f>
        <v/>
      </c>
      <c r="AO152" s="14">
        <f>IF($A152="","",IF(INDEX('潜水記録'!$AT$5:$AT$3004,$AS152)="","",INDEX('潜水記録'!$AT$5:$AT$3004,$AS152)))</f>
        <v/>
      </c>
      <c r="AP152" s="14">
        <f>IF($A152="","",IF(INDEX('潜水記録'!$AU$5:$AU$3004,$AS152)="","",INDEX('潜水記録'!$AU$5:$AU$3004,$AS152)))</f>
        <v/>
      </c>
      <c r="AQ152" s="14">
        <f>IF($A152="","",IF(INDEX('潜水記録'!$AV$5:$AV$3004,$AS152)="","",INDEX('潜水記録'!$AV$5:$AV$3004,$AS152)))</f>
        <v/>
      </c>
      <c r="AR152" s="14">
        <f>IF($A152="","",IF(INDEX('潜水記録'!$AW$5:$AW$3004,$AS152)="","",INDEX('潜水記録'!$AW$5:$AW$3004,$AS152)))</f>
        <v/>
      </c>
      <c r="AS152" s="20">
        <f>IF($A152="","",MATCH($A152,'潜水記録'!$AI$5:$AI$3004,0))</f>
        <v/>
      </c>
    </row>
    <row r="153">
      <c r="A153" s="14">
        <f>IF(143&lt;=$C$8,143,"")</f>
        <v/>
      </c>
      <c r="B153" s="16">
        <f>IF($A153="","",IF(INDEX('潜水記録'!$A$5:$A$3004,$AS153)="","",INDEX('潜水記録'!$A$5:$A$3004,$AS153)))</f>
        <v/>
      </c>
      <c r="C153" s="14">
        <f>IF($A153="","",IF(INDEX('潜水記録'!$B$5:$B$3004,$AS153)="","",INDEX('潜水記録'!$B$5:$B$3004,$AS153)))</f>
        <v/>
      </c>
      <c r="D153" s="14">
        <f>IF($A153="","",IF(INDEX('潜水記録'!$C$5:$C$3004,$AS153)="","",INDEX('潜水記録'!$C$5:$C$3004,$AS153)))</f>
        <v/>
      </c>
      <c r="E153" s="14">
        <f>IF($A153="","",IF(INDEX('潜水記録'!$D$5:$D$3004,$AS153)="","",INDEX('潜水記録'!$D$5:$D$3004,$AS153)))</f>
        <v/>
      </c>
      <c r="F153" s="14">
        <f>IF($A153="","",IF(INDEX('潜水記録'!$E$5:$E$3004,$AS153)="","",INDEX('潜水記録'!$E$5:$E$3004,$AS153)))</f>
        <v/>
      </c>
      <c r="G153" s="14">
        <f>IF($A153="","",IF(INDEX('潜水記録'!$F$5:$F$3004,$AS153)="","",INDEX('潜水記録'!$F$5:$F$3004,$AS153)))</f>
        <v/>
      </c>
      <c r="H153" s="14">
        <f>IF($A153="","",IF(INDEX('潜水記録'!$G$5:$G$3004,$AS153)="","",INDEX('潜水記録'!$G$5:$G$3004,$AS153)))</f>
        <v/>
      </c>
      <c r="I153" s="14">
        <f>IF($A153="","",IF(INDEX('潜水記録'!$H$5:$H$3004,$AS153)="","",INDEX('潜水記録'!$H$5:$H$3004,$AS153)))</f>
        <v/>
      </c>
      <c r="J153" s="14">
        <f>IF($A153="","",IF(INDEX('潜水記録'!$I$5:$I$3004,$AS153)="","",INDEX('潜水記録'!$I$5:$I$3004,$AS153)))</f>
        <v/>
      </c>
      <c r="K153" s="14">
        <f>IF($A153="","",IF(INDEX('潜水記録'!$J$5:$J$3004,$AS153)="","",INDEX('潜水記録'!$J$5:$J$3004,$AS153)))</f>
        <v/>
      </c>
      <c r="L153" s="14">
        <f>IF($A153="","",IF(INDEX('潜水記録'!$K$5:$K$3004,$AS153)="","",INDEX('潜水記録'!$K$5:$K$3004,$AS153)))</f>
        <v/>
      </c>
      <c r="M153" s="14">
        <f>IF($A153="","",IF(INDEX('潜水記録'!$L$5:$L$3004,$AS153)="","",INDEX('潜水記録'!$L$5:$L$3004,$AS153)))</f>
        <v/>
      </c>
      <c r="N153" s="14">
        <f>IF($A153="","",IF(INDEX('潜水記録'!$M$5:$M$3004,$AS153)="","",INDEX('潜水記録'!$M$5:$M$3004,$AS153)))</f>
        <v/>
      </c>
      <c r="O153" s="14">
        <f>IF($A153="","",IF(INDEX('潜水記録'!$N$5:$N$3004,$AS153)="","",INDEX('潜水記録'!$N$5:$N$3004,$AS153)))</f>
        <v/>
      </c>
      <c r="P153" s="14">
        <f>IF($A153="","",IF(INDEX('潜水記録'!$O$5:$O$3004,$AS153)="","",INDEX('潜水記録'!$O$5:$O$3004,$AS153)))</f>
        <v/>
      </c>
      <c r="Q153" s="14">
        <f>IF($A153="","",IF(INDEX('潜水記録'!$P$5:$P$3004,$AS153)="","",INDEX('潜水記録'!$P$5:$P$3004,$AS153)))</f>
        <v/>
      </c>
      <c r="R153" s="14">
        <f>IF($A153="","",IF(INDEX('潜水記録'!$Q$5:$Q$3004,$AS153)="","",INDEX('潜水記録'!$Q$5:$Q$3004,$AS153)))</f>
        <v/>
      </c>
      <c r="S153" s="14">
        <f>IF($A153="","",IF(INDEX('潜水記録'!$R$5:$R$3004,$AS153)="","",INDEX('潜水記録'!$R$5:$R$3004,$AS153)))</f>
        <v/>
      </c>
      <c r="T153" s="14">
        <f>IF($A153="","",IF(INDEX('潜水記録'!$S$5:$S$3004,$AS153)="","",INDEX('潜水記録'!$S$5:$S$3004,$AS153)))</f>
        <v/>
      </c>
      <c r="U153" s="14">
        <f>IF($A153="","",IF(INDEX('潜水記録'!$T$5:$T$3004,$AS153)="","",INDEX('潜水記録'!$T$5:$T$3004,$AS153)))</f>
        <v/>
      </c>
      <c r="V153" s="46">
        <f>IF($A153="","",IF(INDEX('潜水記録'!$U$5:$U$3004,$AS153)="","",INDEX('潜水記録'!$U$5:$U$3004,$AS153)))</f>
        <v/>
      </c>
      <c r="W153" s="46">
        <f>IF($A153="","",IF(INDEX('潜水記録'!$V$5:$V$3004,$AS153)="","",INDEX('潜水記録'!$V$5:$V$3004,$AS153)))</f>
        <v/>
      </c>
      <c r="X153" s="14">
        <f>IF($A153="","",IF(INDEX('潜水記録'!$W$5:$W$3004,$AS153)="","",INDEX('潜水記録'!$W$5:$W$3004,$AS153)))</f>
        <v/>
      </c>
      <c r="Y153" s="14">
        <f>IF($A153="","",IF(INDEX('潜水記録'!$X$5:$X$3004,$AS153)="","",INDEX('潜水記録'!$X$5:$X$3004,$AS153)))</f>
        <v/>
      </c>
      <c r="Z153" s="14">
        <f>IF($A153="","",IF(INDEX('潜水記録'!$Y$5:$Y$3004,$AS153)="","",INDEX('潜水記録'!$Y$5:$Y$3004,$AS153)))</f>
        <v/>
      </c>
      <c r="AA153" s="14">
        <f>IF($A153="","",IF(INDEX('潜水記録'!$Z$5:$Z$3004,$AS153)="","",INDEX('潜水記録'!$Z$5:$Z$3004,$AS153)))</f>
        <v/>
      </c>
      <c r="AB153" s="14">
        <f>IF($A153="","",IF(INDEX('潜水記録'!$AA$5:$AA$3004,$AS153)="","",INDEX('潜水記録'!$AA$5:$AA$3004,$AS153)))</f>
        <v/>
      </c>
      <c r="AC153" s="14">
        <f>IF($A153="","",IF(INDEX('潜水記録'!$AB$5:$AB$3004,$AS153)="","",INDEX('潜水記録'!$AB$5:$AB$3004,$AS153)))</f>
        <v/>
      </c>
      <c r="AD153" s="14">
        <f>IF($A153="","",IF(INDEX('潜水記録'!$AC$5:$AC$3004,$AS153)="","",INDEX('潜水記録'!$AC$5:$AC$3004,$AS153)))</f>
        <v/>
      </c>
      <c r="AE153" s="14">
        <f>IF($A153="","",IF(INDEX('潜水記録'!$AD$5:$AD$3004,$AS153)="","",INDEX('潜水記録'!$AD$5:$AD$3004,$AS153)))</f>
        <v/>
      </c>
      <c r="AF153" s="14">
        <f>IF($A153="","",IF(INDEX('潜水記録'!$AE$5:$AE$3004,$AS153)="","",INDEX('潜水記録'!$AE$5:$AE$3004,$AS153)))</f>
        <v/>
      </c>
      <c r="AG153" s="14">
        <f>IF($A153="","",IF(INDEX('潜水記録'!$AL$5:$AL$3004,$AS153)="","",INDEX('潜水記録'!$AL$5:$AL$3004,$AS153)))</f>
        <v/>
      </c>
      <c r="AH153" s="14">
        <f>IF($A153="","",IF(INDEX('潜水記録'!$AM$5:$AM$3004,$AS153)="","",INDEX('潜水記録'!$AM$5:$AM$3004,$AS153)))</f>
        <v/>
      </c>
      <c r="AI153" s="46">
        <f>IF($A153="","",IF(INDEX('潜水記録'!$AN$5:$AN$3004,$AS153)="","",INDEX('潜水記録'!$AN$5:$AN$3004,$AS153)))</f>
        <v/>
      </c>
      <c r="AJ153" s="14">
        <f>IF($A153="","",IF(INDEX('潜水記録'!$AO$5:$AO$3004,$AS153)="","",INDEX('潜水記録'!$AO$5:$AO$3004,$AS153)))</f>
        <v/>
      </c>
      <c r="AK153" s="14">
        <f>IF($A153="","",IF(INDEX('潜水記録'!$AP$5:$AP$3004,$AS153)="","",INDEX('潜水記録'!$AP$5:$AP$3004,$AS153)))</f>
        <v/>
      </c>
      <c r="AL153" s="14">
        <f>IF($A153="","",IF(INDEX('潜水記録'!$AQ$5:$AQ$3004,$AS153)="","",INDEX('潜水記録'!$AQ$5:$AQ$3004,$AS153)))</f>
        <v/>
      </c>
      <c r="AM153" s="14">
        <f>IF($A153="","",IF(INDEX('潜水記録'!$AR$5:$AR$3004,$AS153)="","",INDEX('潜水記録'!$AR$5:$AR$3004,$AS153)))</f>
        <v/>
      </c>
      <c r="AN153" s="14">
        <f>IF($A153="","",IF(INDEX('潜水記録'!$AS$5:$AS$3004,$AS153)="","",INDEX('潜水記録'!$AS$5:$AS$3004,$AS153)))</f>
        <v/>
      </c>
      <c r="AO153" s="14">
        <f>IF($A153="","",IF(INDEX('潜水記録'!$AT$5:$AT$3004,$AS153)="","",INDEX('潜水記録'!$AT$5:$AT$3004,$AS153)))</f>
        <v/>
      </c>
      <c r="AP153" s="14">
        <f>IF($A153="","",IF(INDEX('潜水記録'!$AU$5:$AU$3004,$AS153)="","",INDEX('潜水記録'!$AU$5:$AU$3004,$AS153)))</f>
        <v/>
      </c>
      <c r="AQ153" s="14">
        <f>IF($A153="","",IF(INDEX('潜水記録'!$AV$5:$AV$3004,$AS153)="","",INDEX('潜水記録'!$AV$5:$AV$3004,$AS153)))</f>
        <v/>
      </c>
      <c r="AR153" s="14">
        <f>IF($A153="","",IF(INDEX('潜水記録'!$AW$5:$AW$3004,$AS153)="","",INDEX('潜水記録'!$AW$5:$AW$3004,$AS153)))</f>
        <v/>
      </c>
      <c r="AS153" s="20">
        <f>IF($A153="","",MATCH($A153,'潜水記録'!$AI$5:$AI$3004,0))</f>
        <v/>
      </c>
    </row>
    <row r="154">
      <c r="A154" s="14">
        <f>IF(144&lt;=$C$8,144,"")</f>
        <v/>
      </c>
      <c r="B154" s="16">
        <f>IF($A154="","",IF(INDEX('潜水記録'!$A$5:$A$3004,$AS154)="","",INDEX('潜水記録'!$A$5:$A$3004,$AS154)))</f>
        <v/>
      </c>
      <c r="C154" s="14">
        <f>IF($A154="","",IF(INDEX('潜水記録'!$B$5:$B$3004,$AS154)="","",INDEX('潜水記録'!$B$5:$B$3004,$AS154)))</f>
        <v/>
      </c>
      <c r="D154" s="14">
        <f>IF($A154="","",IF(INDEX('潜水記録'!$C$5:$C$3004,$AS154)="","",INDEX('潜水記録'!$C$5:$C$3004,$AS154)))</f>
        <v/>
      </c>
      <c r="E154" s="14">
        <f>IF($A154="","",IF(INDEX('潜水記録'!$D$5:$D$3004,$AS154)="","",INDEX('潜水記録'!$D$5:$D$3004,$AS154)))</f>
        <v/>
      </c>
      <c r="F154" s="14">
        <f>IF($A154="","",IF(INDEX('潜水記録'!$E$5:$E$3004,$AS154)="","",INDEX('潜水記録'!$E$5:$E$3004,$AS154)))</f>
        <v/>
      </c>
      <c r="G154" s="14">
        <f>IF($A154="","",IF(INDEX('潜水記録'!$F$5:$F$3004,$AS154)="","",INDEX('潜水記録'!$F$5:$F$3004,$AS154)))</f>
        <v/>
      </c>
      <c r="H154" s="14">
        <f>IF($A154="","",IF(INDEX('潜水記録'!$G$5:$G$3004,$AS154)="","",INDEX('潜水記録'!$G$5:$G$3004,$AS154)))</f>
        <v/>
      </c>
      <c r="I154" s="14">
        <f>IF($A154="","",IF(INDEX('潜水記録'!$H$5:$H$3004,$AS154)="","",INDEX('潜水記録'!$H$5:$H$3004,$AS154)))</f>
        <v/>
      </c>
      <c r="J154" s="14">
        <f>IF($A154="","",IF(INDEX('潜水記録'!$I$5:$I$3004,$AS154)="","",INDEX('潜水記録'!$I$5:$I$3004,$AS154)))</f>
        <v/>
      </c>
      <c r="K154" s="14">
        <f>IF($A154="","",IF(INDEX('潜水記録'!$J$5:$J$3004,$AS154)="","",INDEX('潜水記録'!$J$5:$J$3004,$AS154)))</f>
        <v/>
      </c>
      <c r="L154" s="14">
        <f>IF($A154="","",IF(INDEX('潜水記録'!$K$5:$K$3004,$AS154)="","",INDEX('潜水記録'!$K$5:$K$3004,$AS154)))</f>
        <v/>
      </c>
      <c r="M154" s="14">
        <f>IF($A154="","",IF(INDEX('潜水記録'!$L$5:$L$3004,$AS154)="","",INDEX('潜水記録'!$L$5:$L$3004,$AS154)))</f>
        <v/>
      </c>
      <c r="N154" s="14">
        <f>IF($A154="","",IF(INDEX('潜水記録'!$M$5:$M$3004,$AS154)="","",INDEX('潜水記録'!$M$5:$M$3004,$AS154)))</f>
        <v/>
      </c>
      <c r="O154" s="14">
        <f>IF($A154="","",IF(INDEX('潜水記録'!$N$5:$N$3004,$AS154)="","",INDEX('潜水記録'!$N$5:$N$3004,$AS154)))</f>
        <v/>
      </c>
      <c r="P154" s="14">
        <f>IF($A154="","",IF(INDEX('潜水記録'!$O$5:$O$3004,$AS154)="","",INDEX('潜水記録'!$O$5:$O$3004,$AS154)))</f>
        <v/>
      </c>
      <c r="Q154" s="14">
        <f>IF($A154="","",IF(INDEX('潜水記録'!$P$5:$P$3004,$AS154)="","",INDEX('潜水記録'!$P$5:$P$3004,$AS154)))</f>
        <v/>
      </c>
      <c r="R154" s="14">
        <f>IF($A154="","",IF(INDEX('潜水記録'!$Q$5:$Q$3004,$AS154)="","",INDEX('潜水記録'!$Q$5:$Q$3004,$AS154)))</f>
        <v/>
      </c>
      <c r="S154" s="14">
        <f>IF($A154="","",IF(INDEX('潜水記録'!$R$5:$R$3004,$AS154)="","",INDEX('潜水記録'!$R$5:$R$3004,$AS154)))</f>
        <v/>
      </c>
      <c r="T154" s="14">
        <f>IF($A154="","",IF(INDEX('潜水記録'!$S$5:$S$3004,$AS154)="","",INDEX('潜水記録'!$S$5:$S$3004,$AS154)))</f>
        <v/>
      </c>
      <c r="U154" s="14">
        <f>IF($A154="","",IF(INDEX('潜水記録'!$T$5:$T$3004,$AS154)="","",INDEX('潜水記録'!$T$5:$T$3004,$AS154)))</f>
        <v/>
      </c>
      <c r="V154" s="46">
        <f>IF($A154="","",IF(INDEX('潜水記録'!$U$5:$U$3004,$AS154)="","",INDEX('潜水記録'!$U$5:$U$3004,$AS154)))</f>
        <v/>
      </c>
      <c r="W154" s="46">
        <f>IF($A154="","",IF(INDEX('潜水記録'!$V$5:$V$3004,$AS154)="","",INDEX('潜水記録'!$V$5:$V$3004,$AS154)))</f>
        <v/>
      </c>
      <c r="X154" s="14">
        <f>IF($A154="","",IF(INDEX('潜水記録'!$W$5:$W$3004,$AS154)="","",INDEX('潜水記録'!$W$5:$W$3004,$AS154)))</f>
        <v/>
      </c>
      <c r="Y154" s="14">
        <f>IF($A154="","",IF(INDEX('潜水記録'!$X$5:$X$3004,$AS154)="","",INDEX('潜水記録'!$X$5:$X$3004,$AS154)))</f>
        <v/>
      </c>
      <c r="Z154" s="14">
        <f>IF($A154="","",IF(INDEX('潜水記録'!$Y$5:$Y$3004,$AS154)="","",INDEX('潜水記録'!$Y$5:$Y$3004,$AS154)))</f>
        <v/>
      </c>
      <c r="AA154" s="14">
        <f>IF($A154="","",IF(INDEX('潜水記録'!$Z$5:$Z$3004,$AS154)="","",INDEX('潜水記録'!$Z$5:$Z$3004,$AS154)))</f>
        <v/>
      </c>
      <c r="AB154" s="14">
        <f>IF($A154="","",IF(INDEX('潜水記録'!$AA$5:$AA$3004,$AS154)="","",INDEX('潜水記録'!$AA$5:$AA$3004,$AS154)))</f>
        <v/>
      </c>
      <c r="AC154" s="14">
        <f>IF($A154="","",IF(INDEX('潜水記録'!$AB$5:$AB$3004,$AS154)="","",INDEX('潜水記録'!$AB$5:$AB$3004,$AS154)))</f>
        <v/>
      </c>
      <c r="AD154" s="14">
        <f>IF($A154="","",IF(INDEX('潜水記録'!$AC$5:$AC$3004,$AS154)="","",INDEX('潜水記録'!$AC$5:$AC$3004,$AS154)))</f>
        <v/>
      </c>
      <c r="AE154" s="14">
        <f>IF($A154="","",IF(INDEX('潜水記録'!$AD$5:$AD$3004,$AS154)="","",INDEX('潜水記録'!$AD$5:$AD$3004,$AS154)))</f>
        <v/>
      </c>
      <c r="AF154" s="14">
        <f>IF($A154="","",IF(INDEX('潜水記録'!$AE$5:$AE$3004,$AS154)="","",INDEX('潜水記録'!$AE$5:$AE$3004,$AS154)))</f>
        <v/>
      </c>
      <c r="AG154" s="14">
        <f>IF($A154="","",IF(INDEX('潜水記録'!$AL$5:$AL$3004,$AS154)="","",INDEX('潜水記録'!$AL$5:$AL$3004,$AS154)))</f>
        <v/>
      </c>
      <c r="AH154" s="14">
        <f>IF($A154="","",IF(INDEX('潜水記録'!$AM$5:$AM$3004,$AS154)="","",INDEX('潜水記録'!$AM$5:$AM$3004,$AS154)))</f>
        <v/>
      </c>
      <c r="AI154" s="46">
        <f>IF($A154="","",IF(INDEX('潜水記録'!$AN$5:$AN$3004,$AS154)="","",INDEX('潜水記録'!$AN$5:$AN$3004,$AS154)))</f>
        <v/>
      </c>
      <c r="AJ154" s="14">
        <f>IF($A154="","",IF(INDEX('潜水記録'!$AO$5:$AO$3004,$AS154)="","",INDEX('潜水記録'!$AO$5:$AO$3004,$AS154)))</f>
        <v/>
      </c>
      <c r="AK154" s="14">
        <f>IF($A154="","",IF(INDEX('潜水記録'!$AP$5:$AP$3004,$AS154)="","",INDEX('潜水記録'!$AP$5:$AP$3004,$AS154)))</f>
        <v/>
      </c>
      <c r="AL154" s="14">
        <f>IF($A154="","",IF(INDEX('潜水記録'!$AQ$5:$AQ$3004,$AS154)="","",INDEX('潜水記録'!$AQ$5:$AQ$3004,$AS154)))</f>
        <v/>
      </c>
      <c r="AM154" s="14">
        <f>IF($A154="","",IF(INDEX('潜水記録'!$AR$5:$AR$3004,$AS154)="","",INDEX('潜水記録'!$AR$5:$AR$3004,$AS154)))</f>
        <v/>
      </c>
      <c r="AN154" s="14">
        <f>IF($A154="","",IF(INDEX('潜水記録'!$AS$5:$AS$3004,$AS154)="","",INDEX('潜水記録'!$AS$5:$AS$3004,$AS154)))</f>
        <v/>
      </c>
      <c r="AO154" s="14">
        <f>IF($A154="","",IF(INDEX('潜水記録'!$AT$5:$AT$3004,$AS154)="","",INDEX('潜水記録'!$AT$5:$AT$3004,$AS154)))</f>
        <v/>
      </c>
      <c r="AP154" s="14">
        <f>IF($A154="","",IF(INDEX('潜水記録'!$AU$5:$AU$3004,$AS154)="","",INDEX('潜水記録'!$AU$5:$AU$3004,$AS154)))</f>
        <v/>
      </c>
      <c r="AQ154" s="14">
        <f>IF($A154="","",IF(INDEX('潜水記録'!$AV$5:$AV$3004,$AS154)="","",INDEX('潜水記録'!$AV$5:$AV$3004,$AS154)))</f>
        <v/>
      </c>
      <c r="AR154" s="14">
        <f>IF($A154="","",IF(INDEX('潜水記録'!$AW$5:$AW$3004,$AS154)="","",INDEX('潜水記録'!$AW$5:$AW$3004,$AS154)))</f>
        <v/>
      </c>
      <c r="AS154" s="20">
        <f>IF($A154="","",MATCH($A154,'潜水記録'!$AI$5:$AI$3004,0))</f>
        <v/>
      </c>
    </row>
    <row r="155">
      <c r="A155" s="14">
        <f>IF(145&lt;=$C$8,145,"")</f>
        <v/>
      </c>
      <c r="B155" s="16">
        <f>IF($A155="","",IF(INDEX('潜水記録'!$A$5:$A$3004,$AS155)="","",INDEX('潜水記録'!$A$5:$A$3004,$AS155)))</f>
        <v/>
      </c>
      <c r="C155" s="14">
        <f>IF($A155="","",IF(INDEX('潜水記録'!$B$5:$B$3004,$AS155)="","",INDEX('潜水記録'!$B$5:$B$3004,$AS155)))</f>
        <v/>
      </c>
      <c r="D155" s="14">
        <f>IF($A155="","",IF(INDEX('潜水記録'!$C$5:$C$3004,$AS155)="","",INDEX('潜水記録'!$C$5:$C$3004,$AS155)))</f>
        <v/>
      </c>
      <c r="E155" s="14">
        <f>IF($A155="","",IF(INDEX('潜水記録'!$D$5:$D$3004,$AS155)="","",INDEX('潜水記録'!$D$5:$D$3004,$AS155)))</f>
        <v/>
      </c>
      <c r="F155" s="14">
        <f>IF($A155="","",IF(INDEX('潜水記録'!$E$5:$E$3004,$AS155)="","",INDEX('潜水記録'!$E$5:$E$3004,$AS155)))</f>
        <v/>
      </c>
      <c r="G155" s="14">
        <f>IF($A155="","",IF(INDEX('潜水記録'!$F$5:$F$3004,$AS155)="","",INDEX('潜水記録'!$F$5:$F$3004,$AS155)))</f>
        <v/>
      </c>
      <c r="H155" s="14">
        <f>IF($A155="","",IF(INDEX('潜水記録'!$G$5:$G$3004,$AS155)="","",INDEX('潜水記録'!$G$5:$G$3004,$AS155)))</f>
        <v/>
      </c>
      <c r="I155" s="14">
        <f>IF($A155="","",IF(INDEX('潜水記録'!$H$5:$H$3004,$AS155)="","",INDEX('潜水記録'!$H$5:$H$3004,$AS155)))</f>
        <v/>
      </c>
      <c r="J155" s="14">
        <f>IF($A155="","",IF(INDEX('潜水記録'!$I$5:$I$3004,$AS155)="","",INDEX('潜水記録'!$I$5:$I$3004,$AS155)))</f>
        <v/>
      </c>
      <c r="K155" s="14">
        <f>IF($A155="","",IF(INDEX('潜水記録'!$J$5:$J$3004,$AS155)="","",INDEX('潜水記録'!$J$5:$J$3004,$AS155)))</f>
        <v/>
      </c>
      <c r="L155" s="14">
        <f>IF($A155="","",IF(INDEX('潜水記録'!$K$5:$K$3004,$AS155)="","",INDEX('潜水記録'!$K$5:$K$3004,$AS155)))</f>
        <v/>
      </c>
      <c r="M155" s="14">
        <f>IF($A155="","",IF(INDEX('潜水記録'!$L$5:$L$3004,$AS155)="","",INDEX('潜水記録'!$L$5:$L$3004,$AS155)))</f>
        <v/>
      </c>
      <c r="N155" s="14">
        <f>IF($A155="","",IF(INDEX('潜水記録'!$M$5:$M$3004,$AS155)="","",INDEX('潜水記録'!$M$5:$M$3004,$AS155)))</f>
        <v/>
      </c>
      <c r="O155" s="14">
        <f>IF($A155="","",IF(INDEX('潜水記録'!$N$5:$N$3004,$AS155)="","",INDEX('潜水記録'!$N$5:$N$3004,$AS155)))</f>
        <v/>
      </c>
      <c r="P155" s="14">
        <f>IF($A155="","",IF(INDEX('潜水記録'!$O$5:$O$3004,$AS155)="","",INDEX('潜水記録'!$O$5:$O$3004,$AS155)))</f>
        <v/>
      </c>
      <c r="Q155" s="14">
        <f>IF($A155="","",IF(INDEX('潜水記録'!$P$5:$P$3004,$AS155)="","",INDEX('潜水記録'!$P$5:$P$3004,$AS155)))</f>
        <v/>
      </c>
      <c r="R155" s="14">
        <f>IF($A155="","",IF(INDEX('潜水記録'!$Q$5:$Q$3004,$AS155)="","",INDEX('潜水記録'!$Q$5:$Q$3004,$AS155)))</f>
        <v/>
      </c>
      <c r="S155" s="14">
        <f>IF($A155="","",IF(INDEX('潜水記録'!$R$5:$R$3004,$AS155)="","",INDEX('潜水記録'!$R$5:$R$3004,$AS155)))</f>
        <v/>
      </c>
      <c r="T155" s="14">
        <f>IF($A155="","",IF(INDEX('潜水記録'!$S$5:$S$3004,$AS155)="","",INDEX('潜水記録'!$S$5:$S$3004,$AS155)))</f>
        <v/>
      </c>
      <c r="U155" s="14">
        <f>IF($A155="","",IF(INDEX('潜水記録'!$T$5:$T$3004,$AS155)="","",INDEX('潜水記録'!$T$5:$T$3004,$AS155)))</f>
        <v/>
      </c>
      <c r="V155" s="46">
        <f>IF($A155="","",IF(INDEX('潜水記録'!$U$5:$U$3004,$AS155)="","",INDEX('潜水記録'!$U$5:$U$3004,$AS155)))</f>
        <v/>
      </c>
      <c r="W155" s="46">
        <f>IF($A155="","",IF(INDEX('潜水記録'!$V$5:$V$3004,$AS155)="","",INDEX('潜水記録'!$V$5:$V$3004,$AS155)))</f>
        <v/>
      </c>
      <c r="X155" s="14">
        <f>IF($A155="","",IF(INDEX('潜水記録'!$W$5:$W$3004,$AS155)="","",INDEX('潜水記録'!$W$5:$W$3004,$AS155)))</f>
        <v/>
      </c>
      <c r="Y155" s="14">
        <f>IF($A155="","",IF(INDEX('潜水記録'!$X$5:$X$3004,$AS155)="","",INDEX('潜水記録'!$X$5:$X$3004,$AS155)))</f>
        <v/>
      </c>
      <c r="Z155" s="14">
        <f>IF($A155="","",IF(INDEX('潜水記録'!$Y$5:$Y$3004,$AS155)="","",INDEX('潜水記録'!$Y$5:$Y$3004,$AS155)))</f>
        <v/>
      </c>
      <c r="AA155" s="14">
        <f>IF($A155="","",IF(INDEX('潜水記録'!$Z$5:$Z$3004,$AS155)="","",INDEX('潜水記録'!$Z$5:$Z$3004,$AS155)))</f>
        <v/>
      </c>
      <c r="AB155" s="14">
        <f>IF($A155="","",IF(INDEX('潜水記録'!$AA$5:$AA$3004,$AS155)="","",INDEX('潜水記録'!$AA$5:$AA$3004,$AS155)))</f>
        <v/>
      </c>
      <c r="AC155" s="14">
        <f>IF($A155="","",IF(INDEX('潜水記録'!$AB$5:$AB$3004,$AS155)="","",INDEX('潜水記録'!$AB$5:$AB$3004,$AS155)))</f>
        <v/>
      </c>
      <c r="AD155" s="14">
        <f>IF($A155="","",IF(INDEX('潜水記録'!$AC$5:$AC$3004,$AS155)="","",INDEX('潜水記録'!$AC$5:$AC$3004,$AS155)))</f>
        <v/>
      </c>
      <c r="AE155" s="14">
        <f>IF($A155="","",IF(INDEX('潜水記録'!$AD$5:$AD$3004,$AS155)="","",INDEX('潜水記録'!$AD$5:$AD$3004,$AS155)))</f>
        <v/>
      </c>
      <c r="AF155" s="14">
        <f>IF($A155="","",IF(INDEX('潜水記録'!$AE$5:$AE$3004,$AS155)="","",INDEX('潜水記録'!$AE$5:$AE$3004,$AS155)))</f>
        <v/>
      </c>
      <c r="AG155" s="14">
        <f>IF($A155="","",IF(INDEX('潜水記録'!$AL$5:$AL$3004,$AS155)="","",INDEX('潜水記録'!$AL$5:$AL$3004,$AS155)))</f>
        <v/>
      </c>
      <c r="AH155" s="14">
        <f>IF($A155="","",IF(INDEX('潜水記録'!$AM$5:$AM$3004,$AS155)="","",INDEX('潜水記録'!$AM$5:$AM$3004,$AS155)))</f>
        <v/>
      </c>
      <c r="AI155" s="46">
        <f>IF($A155="","",IF(INDEX('潜水記録'!$AN$5:$AN$3004,$AS155)="","",INDEX('潜水記録'!$AN$5:$AN$3004,$AS155)))</f>
        <v/>
      </c>
      <c r="AJ155" s="14">
        <f>IF($A155="","",IF(INDEX('潜水記録'!$AO$5:$AO$3004,$AS155)="","",INDEX('潜水記録'!$AO$5:$AO$3004,$AS155)))</f>
        <v/>
      </c>
      <c r="AK155" s="14">
        <f>IF($A155="","",IF(INDEX('潜水記録'!$AP$5:$AP$3004,$AS155)="","",INDEX('潜水記録'!$AP$5:$AP$3004,$AS155)))</f>
        <v/>
      </c>
      <c r="AL155" s="14">
        <f>IF($A155="","",IF(INDEX('潜水記録'!$AQ$5:$AQ$3004,$AS155)="","",INDEX('潜水記録'!$AQ$5:$AQ$3004,$AS155)))</f>
        <v/>
      </c>
      <c r="AM155" s="14">
        <f>IF($A155="","",IF(INDEX('潜水記録'!$AR$5:$AR$3004,$AS155)="","",INDEX('潜水記録'!$AR$5:$AR$3004,$AS155)))</f>
        <v/>
      </c>
      <c r="AN155" s="14">
        <f>IF($A155="","",IF(INDEX('潜水記録'!$AS$5:$AS$3004,$AS155)="","",INDEX('潜水記録'!$AS$5:$AS$3004,$AS155)))</f>
        <v/>
      </c>
      <c r="AO155" s="14">
        <f>IF($A155="","",IF(INDEX('潜水記録'!$AT$5:$AT$3004,$AS155)="","",INDEX('潜水記録'!$AT$5:$AT$3004,$AS155)))</f>
        <v/>
      </c>
      <c r="AP155" s="14">
        <f>IF($A155="","",IF(INDEX('潜水記録'!$AU$5:$AU$3004,$AS155)="","",INDEX('潜水記録'!$AU$5:$AU$3004,$AS155)))</f>
        <v/>
      </c>
      <c r="AQ155" s="14">
        <f>IF($A155="","",IF(INDEX('潜水記録'!$AV$5:$AV$3004,$AS155)="","",INDEX('潜水記録'!$AV$5:$AV$3004,$AS155)))</f>
        <v/>
      </c>
      <c r="AR155" s="14">
        <f>IF($A155="","",IF(INDEX('潜水記録'!$AW$5:$AW$3004,$AS155)="","",INDEX('潜水記録'!$AW$5:$AW$3004,$AS155)))</f>
        <v/>
      </c>
      <c r="AS155" s="20">
        <f>IF($A155="","",MATCH($A155,'潜水記録'!$AI$5:$AI$3004,0))</f>
        <v/>
      </c>
    </row>
    <row r="156">
      <c r="A156" s="14">
        <f>IF(146&lt;=$C$8,146,"")</f>
        <v/>
      </c>
      <c r="B156" s="16">
        <f>IF($A156="","",IF(INDEX('潜水記録'!$A$5:$A$3004,$AS156)="","",INDEX('潜水記録'!$A$5:$A$3004,$AS156)))</f>
        <v/>
      </c>
      <c r="C156" s="14">
        <f>IF($A156="","",IF(INDEX('潜水記録'!$B$5:$B$3004,$AS156)="","",INDEX('潜水記録'!$B$5:$B$3004,$AS156)))</f>
        <v/>
      </c>
      <c r="D156" s="14">
        <f>IF($A156="","",IF(INDEX('潜水記録'!$C$5:$C$3004,$AS156)="","",INDEX('潜水記録'!$C$5:$C$3004,$AS156)))</f>
        <v/>
      </c>
      <c r="E156" s="14">
        <f>IF($A156="","",IF(INDEX('潜水記録'!$D$5:$D$3004,$AS156)="","",INDEX('潜水記録'!$D$5:$D$3004,$AS156)))</f>
        <v/>
      </c>
      <c r="F156" s="14">
        <f>IF($A156="","",IF(INDEX('潜水記録'!$E$5:$E$3004,$AS156)="","",INDEX('潜水記録'!$E$5:$E$3004,$AS156)))</f>
        <v/>
      </c>
      <c r="G156" s="14">
        <f>IF($A156="","",IF(INDEX('潜水記録'!$F$5:$F$3004,$AS156)="","",INDEX('潜水記録'!$F$5:$F$3004,$AS156)))</f>
        <v/>
      </c>
      <c r="H156" s="14">
        <f>IF($A156="","",IF(INDEX('潜水記録'!$G$5:$G$3004,$AS156)="","",INDEX('潜水記録'!$G$5:$G$3004,$AS156)))</f>
        <v/>
      </c>
      <c r="I156" s="14">
        <f>IF($A156="","",IF(INDEX('潜水記録'!$H$5:$H$3004,$AS156)="","",INDEX('潜水記録'!$H$5:$H$3004,$AS156)))</f>
        <v/>
      </c>
      <c r="J156" s="14">
        <f>IF($A156="","",IF(INDEX('潜水記録'!$I$5:$I$3004,$AS156)="","",INDEX('潜水記録'!$I$5:$I$3004,$AS156)))</f>
        <v/>
      </c>
      <c r="K156" s="14">
        <f>IF($A156="","",IF(INDEX('潜水記録'!$J$5:$J$3004,$AS156)="","",INDEX('潜水記録'!$J$5:$J$3004,$AS156)))</f>
        <v/>
      </c>
      <c r="L156" s="14">
        <f>IF($A156="","",IF(INDEX('潜水記録'!$K$5:$K$3004,$AS156)="","",INDEX('潜水記録'!$K$5:$K$3004,$AS156)))</f>
        <v/>
      </c>
      <c r="M156" s="14">
        <f>IF($A156="","",IF(INDEX('潜水記録'!$L$5:$L$3004,$AS156)="","",INDEX('潜水記録'!$L$5:$L$3004,$AS156)))</f>
        <v/>
      </c>
      <c r="N156" s="14">
        <f>IF($A156="","",IF(INDEX('潜水記録'!$M$5:$M$3004,$AS156)="","",INDEX('潜水記録'!$M$5:$M$3004,$AS156)))</f>
        <v/>
      </c>
      <c r="O156" s="14">
        <f>IF($A156="","",IF(INDEX('潜水記録'!$N$5:$N$3004,$AS156)="","",INDEX('潜水記録'!$N$5:$N$3004,$AS156)))</f>
        <v/>
      </c>
      <c r="P156" s="14">
        <f>IF($A156="","",IF(INDEX('潜水記録'!$O$5:$O$3004,$AS156)="","",INDEX('潜水記録'!$O$5:$O$3004,$AS156)))</f>
        <v/>
      </c>
      <c r="Q156" s="14">
        <f>IF($A156="","",IF(INDEX('潜水記録'!$P$5:$P$3004,$AS156)="","",INDEX('潜水記録'!$P$5:$P$3004,$AS156)))</f>
        <v/>
      </c>
      <c r="R156" s="14">
        <f>IF($A156="","",IF(INDEX('潜水記録'!$Q$5:$Q$3004,$AS156)="","",INDEX('潜水記録'!$Q$5:$Q$3004,$AS156)))</f>
        <v/>
      </c>
      <c r="S156" s="14">
        <f>IF($A156="","",IF(INDEX('潜水記録'!$R$5:$R$3004,$AS156)="","",INDEX('潜水記録'!$R$5:$R$3004,$AS156)))</f>
        <v/>
      </c>
      <c r="T156" s="14">
        <f>IF($A156="","",IF(INDEX('潜水記録'!$S$5:$S$3004,$AS156)="","",INDEX('潜水記録'!$S$5:$S$3004,$AS156)))</f>
        <v/>
      </c>
      <c r="U156" s="14">
        <f>IF($A156="","",IF(INDEX('潜水記録'!$T$5:$T$3004,$AS156)="","",INDEX('潜水記録'!$T$5:$T$3004,$AS156)))</f>
        <v/>
      </c>
      <c r="V156" s="46">
        <f>IF($A156="","",IF(INDEX('潜水記録'!$U$5:$U$3004,$AS156)="","",INDEX('潜水記録'!$U$5:$U$3004,$AS156)))</f>
        <v/>
      </c>
      <c r="W156" s="46">
        <f>IF($A156="","",IF(INDEX('潜水記録'!$V$5:$V$3004,$AS156)="","",INDEX('潜水記録'!$V$5:$V$3004,$AS156)))</f>
        <v/>
      </c>
      <c r="X156" s="14">
        <f>IF($A156="","",IF(INDEX('潜水記録'!$W$5:$W$3004,$AS156)="","",INDEX('潜水記録'!$W$5:$W$3004,$AS156)))</f>
        <v/>
      </c>
      <c r="Y156" s="14">
        <f>IF($A156="","",IF(INDEX('潜水記録'!$X$5:$X$3004,$AS156)="","",INDEX('潜水記録'!$X$5:$X$3004,$AS156)))</f>
        <v/>
      </c>
      <c r="Z156" s="14">
        <f>IF($A156="","",IF(INDEX('潜水記録'!$Y$5:$Y$3004,$AS156)="","",INDEX('潜水記録'!$Y$5:$Y$3004,$AS156)))</f>
        <v/>
      </c>
      <c r="AA156" s="14">
        <f>IF($A156="","",IF(INDEX('潜水記録'!$Z$5:$Z$3004,$AS156)="","",INDEX('潜水記録'!$Z$5:$Z$3004,$AS156)))</f>
        <v/>
      </c>
      <c r="AB156" s="14">
        <f>IF($A156="","",IF(INDEX('潜水記録'!$AA$5:$AA$3004,$AS156)="","",INDEX('潜水記録'!$AA$5:$AA$3004,$AS156)))</f>
        <v/>
      </c>
      <c r="AC156" s="14">
        <f>IF($A156="","",IF(INDEX('潜水記録'!$AB$5:$AB$3004,$AS156)="","",INDEX('潜水記録'!$AB$5:$AB$3004,$AS156)))</f>
        <v/>
      </c>
      <c r="AD156" s="14">
        <f>IF($A156="","",IF(INDEX('潜水記録'!$AC$5:$AC$3004,$AS156)="","",INDEX('潜水記録'!$AC$5:$AC$3004,$AS156)))</f>
        <v/>
      </c>
      <c r="AE156" s="14">
        <f>IF($A156="","",IF(INDEX('潜水記録'!$AD$5:$AD$3004,$AS156)="","",INDEX('潜水記録'!$AD$5:$AD$3004,$AS156)))</f>
        <v/>
      </c>
      <c r="AF156" s="14">
        <f>IF($A156="","",IF(INDEX('潜水記録'!$AE$5:$AE$3004,$AS156)="","",INDEX('潜水記録'!$AE$5:$AE$3004,$AS156)))</f>
        <v/>
      </c>
      <c r="AG156" s="14">
        <f>IF($A156="","",IF(INDEX('潜水記録'!$AL$5:$AL$3004,$AS156)="","",INDEX('潜水記録'!$AL$5:$AL$3004,$AS156)))</f>
        <v/>
      </c>
      <c r="AH156" s="14">
        <f>IF($A156="","",IF(INDEX('潜水記録'!$AM$5:$AM$3004,$AS156)="","",INDEX('潜水記録'!$AM$5:$AM$3004,$AS156)))</f>
        <v/>
      </c>
      <c r="AI156" s="46">
        <f>IF($A156="","",IF(INDEX('潜水記録'!$AN$5:$AN$3004,$AS156)="","",INDEX('潜水記録'!$AN$5:$AN$3004,$AS156)))</f>
        <v/>
      </c>
      <c r="AJ156" s="14">
        <f>IF($A156="","",IF(INDEX('潜水記録'!$AO$5:$AO$3004,$AS156)="","",INDEX('潜水記録'!$AO$5:$AO$3004,$AS156)))</f>
        <v/>
      </c>
      <c r="AK156" s="14">
        <f>IF($A156="","",IF(INDEX('潜水記録'!$AP$5:$AP$3004,$AS156)="","",INDEX('潜水記録'!$AP$5:$AP$3004,$AS156)))</f>
        <v/>
      </c>
      <c r="AL156" s="14">
        <f>IF($A156="","",IF(INDEX('潜水記録'!$AQ$5:$AQ$3004,$AS156)="","",INDEX('潜水記録'!$AQ$5:$AQ$3004,$AS156)))</f>
        <v/>
      </c>
      <c r="AM156" s="14">
        <f>IF($A156="","",IF(INDEX('潜水記録'!$AR$5:$AR$3004,$AS156)="","",INDEX('潜水記録'!$AR$5:$AR$3004,$AS156)))</f>
        <v/>
      </c>
      <c r="AN156" s="14">
        <f>IF($A156="","",IF(INDEX('潜水記録'!$AS$5:$AS$3004,$AS156)="","",INDEX('潜水記録'!$AS$5:$AS$3004,$AS156)))</f>
        <v/>
      </c>
      <c r="AO156" s="14">
        <f>IF($A156="","",IF(INDEX('潜水記録'!$AT$5:$AT$3004,$AS156)="","",INDEX('潜水記録'!$AT$5:$AT$3004,$AS156)))</f>
        <v/>
      </c>
      <c r="AP156" s="14">
        <f>IF($A156="","",IF(INDEX('潜水記録'!$AU$5:$AU$3004,$AS156)="","",INDEX('潜水記録'!$AU$5:$AU$3004,$AS156)))</f>
        <v/>
      </c>
      <c r="AQ156" s="14">
        <f>IF($A156="","",IF(INDEX('潜水記録'!$AV$5:$AV$3004,$AS156)="","",INDEX('潜水記録'!$AV$5:$AV$3004,$AS156)))</f>
        <v/>
      </c>
      <c r="AR156" s="14">
        <f>IF($A156="","",IF(INDEX('潜水記録'!$AW$5:$AW$3004,$AS156)="","",INDEX('潜水記録'!$AW$5:$AW$3004,$AS156)))</f>
        <v/>
      </c>
      <c r="AS156" s="20">
        <f>IF($A156="","",MATCH($A156,'潜水記録'!$AI$5:$AI$3004,0))</f>
        <v/>
      </c>
    </row>
    <row r="157">
      <c r="A157" s="14">
        <f>IF(147&lt;=$C$8,147,"")</f>
        <v/>
      </c>
      <c r="B157" s="16">
        <f>IF($A157="","",IF(INDEX('潜水記録'!$A$5:$A$3004,$AS157)="","",INDEX('潜水記録'!$A$5:$A$3004,$AS157)))</f>
        <v/>
      </c>
      <c r="C157" s="14">
        <f>IF($A157="","",IF(INDEX('潜水記録'!$B$5:$B$3004,$AS157)="","",INDEX('潜水記録'!$B$5:$B$3004,$AS157)))</f>
        <v/>
      </c>
      <c r="D157" s="14">
        <f>IF($A157="","",IF(INDEX('潜水記録'!$C$5:$C$3004,$AS157)="","",INDEX('潜水記録'!$C$5:$C$3004,$AS157)))</f>
        <v/>
      </c>
      <c r="E157" s="14">
        <f>IF($A157="","",IF(INDEX('潜水記録'!$D$5:$D$3004,$AS157)="","",INDEX('潜水記録'!$D$5:$D$3004,$AS157)))</f>
        <v/>
      </c>
      <c r="F157" s="14">
        <f>IF($A157="","",IF(INDEX('潜水記録'!$E$5:$E$3004,$AS157)="","",INDEX('潜水記録'!$E$5:$E$3004,$AS157)))</f>
        <v/>
      </c>
      <c r="G157" s="14">
        <f>IF($A157="","",IF(INDEX('潜水記録'!$F$5:$F$3004,$AS157)="","",INDEX('潜水記録'!$F$5:$F$3004,$AS157)))</f>
        <v/>
      </c>
      <c r="H157" s="14">
        <f>IF($A157="","",IF(INDEX('潜水記録'!$G$5:$G$3004,$AS157)="","",INDEX('潜水記録'!$G$5:$G$3004,$AS157)))</f>
        <v/>
      </c>
      <c r="I157" s="14">
        <f>IF($A157="","",IF(INDEX('潜水記録'!$H$5:$H$3004,$AS157)="","",INDEX('潜水記録'!$H$5:$H$3004,$AS157)))</f>
        <v/>
      </c>
      <c r="J157" s="14">
        <f>IF($A157="","",IF(INDEX('潜水記録'!$I$5:$I$3004,$AS157)="","",INDEX('潜水記録'!$I$5:$I$3004,$AS157)))</f>
        <v/>
      </c>
      <c r="K157" s="14">
        <f>IF($A157="","",IF(INDEX('潜水記録'!$J$5:$J$3004,$AS157)="","",INDEX('潜水記録'!$J$5:$J$3004,$AS157)))</f>
        <v/>
      </c>
      <c r="L157" s="14">
        <f>IF($A157="","",IF(INDEX('潜水記録'!$K$5:$K$3004,$AS157)="","",INDEX('潜水記録'!$K$5:$K$3004,$AS157)))</f>
        <v/>
      </c>
      <c r="M157" s="14">
        <f>IF($A157="","",IF(INDEX('潜水記録'!$L$5:$L$3004,$AS157)="","",INDEX('潜水記録'!$L$5:$L$3004,$AS157)))</f>
        <v/>
      </c>
      <c r="N157" s="14">
        <f>IF($A157="","",IF(INDEX('潜水記録'!$M$5:$M$3004,$AS157)="","",INDEX('潜水記録'!$M$5:$M$3004,$AS157)))</f>
        <v/>
      </c>
      <c r="O157" s="14">
        <f>IF($A157="","",IF(INDEX('潜水記録'!$N$5:$N$3004,$AS157)="","",INDEX('潜水記録'!$N$5:$N$3004,$AS157)))</f>
        <v/>
      </c>
      <c r="P157" s="14">
        <f>IF($A157="","",IF(INDEX('潜水記録'!$O$5:$O$3004,$AS157)="","",INDEX('潜水記録'!$O$5:$O$3004,$AS157)))</f>
        <v/>
      </c>
      <c r="Q157" s="14">
        <f>IF($A157="","",IF(INDEX('潜水記録'!$P$5:$P$3004,$AS157)="","",INDEX('潜水記録'!$P$5:$P$3004,$AS157)))</f>
        <v/>
      </c>
      <c r="R157" s="14">
        <f>IF($A157="","",IF(INDEX('潜水記録'!$Q$5:$Q$3004,$AS157)="","",INDEX('潜水記録'!$Q$5:$Q$3004,$AS157)))</f>
        <v/>
      </c>
      <c r="S157" s="14">
        <f>IF($A157="","",IF(INDEX('潜水記録'!$R$5:$R$3004,$AS157)="","",INDEX('潜水記録'!$R$5:$R$3004,$AS157)))</f>
        <v/>
      </c>
      <c r="T157" s="14">
        <f>IF($A157="","",IF(INDEX('潜水記録'!$S$5:$S$3004,$AS157)="","",INDEX('潜水記録'!$S$5:$S$3004,$AS157)))</f>
        <v/>
      </c>
      <c r="U157" s="14">
        <f>IF($A157="","",IF(INDEX('潜水記録'!$T$5:$T$3004,$AS157)="","",INDEX('潜水記録'!$T$5:$T$3004,$AS157)))</f>
        <v/>
      </c>
      <c r="V157" s="46">
        <f>IF($A157="","",IF(INDEX('潜水記録'!$U$5:$U$3004,$AS157)="","",INDEX('潜水記録'!$U$5:$U$3004,$AS157)))</f>
        <v/>
      </c>
      <c r="W157" s="46">
        <f>IF($A157="","",IF(INDEX('潜水記録'!$V$5:$V$3004,$AS157)="","",INDEX('潜水記録'!$V$5:$V$3004,$AS157)))</f>
        <v/>
      </c>
      <c r="X157" s="14">
        <f>IF($A157="","",IF(INDEX('潜水記録'!$W$5:$W$3004,$AS157)="","",INDEX('潜水記録'!$W$5:$W$3004,$AS157)))</f>
        <v/>
      </c>
      <c r="Y157" s="14">
        <f>IF($A157="","",IF(INDEX('潜水記録'!$X$5:$X$3004,$AS157)="","",INDEX('潜水記録'!$X$5:$X$3004,$AS157)))</f>
        <v/>
      </c>
      <c r="Z157" s="14">
        <f>IF($A157="","",IF(INDEX('潜水記録'!$Y$5:$Y$3004,$AS157)="","",INDEX('潜水記録'!$Y$5:$Y$3004,$AS157)))</f>
        <v/>
      </c>
      <c r="AA157" s="14">
        <f>IF($A157="","",IF(INDEX('潜水記録'!$Z$5:$Z$3004,$AS157)="","",INDEX('潜水記録'!$Z$5:$Z$3004,$AS157)))</f>
        <v/>
      </c>
      <c r="AB157" s="14">
        <f>IF($A157="","",IF(INDEX('潜水記録'!$AA$5:$AA$3004,$AS157)="","",INDEX('潜水記録'!$AA$5:$AA$3004,$AS157)))</f>
        <v/>
      </c>
      <c r="AC157" s="14">
        <f>IF($A157="","",IF(INDEX('潜水記録'!$AB$5:$AB$3004,$AS157)="","",INDEX('潜水記録'!$AB$5:$AB$3004,$AS157)))</f>
        <v/>
      </c>
      <c r="AD157" s="14">
        <f>IF($A157="","",IF(INDEX('潜水記録'!$AC$5:$AC$3004,$AS157)="","",INDEX('潜水記録'!$AC$5:$AC$3004,$AS157)))</f>
        <v/>
      </c>
      <c r="AE157" s="14">
        <f>IF($A157="","",IF(INDEX('潜水記録'!$AD$5:$AD$3004,$AS157)="","",INDEX('潜水記録'!$AD$5:$AD$3004,$AS157)))</f>
        <v/>
      </c>
      <c r="AF157" s="14">
        <f>IF($A157="","",IF(INDEX('潜水記録'!$AE$5:$AE$3004,$AS157)="","",INDEX('潜水記録'!$AE$5:$AE$3004,$AS157)))</f>
        <v/>
      </c>
      <c r="AG157" s="14">
        <f>IF($A157="","",IF(INDEX('潜水記録'!$AL$5:$AL$3004,$AS157)="","",INDEX('潜水記録'!$AL$5:$AL$3004,$AS157)))</f>
        <v/>
      </c>
      <c r="AH157" s="14">
        <f>IF($A157="","",IF(INDEX('潜水記録'!$AM$5:$AM$3004,$AS157)="","",INDEX('潜水記録'!$AM$5:$AM$3004,$AS157)))</f>
        <v/>
      </c>
      <c r="AI157" s="46">
        <f>IF($A157="","",IF(INDEX('潜水記録'!$AN$5:$AN$3004,$AS157)="","",INDEX('潜水記録'!$AN$5:$AN$3004,$AS157)))</f>
        <v/>
      </c>
      <c r="AJ157" s="14">
        <f>IF($A157="","",IF(INDEX('潜水記録'!$AO$5:$AO$3004,$AS157)="","",INDEX('潜水記録'!$AO$5:$AO$3004,$AS157)))</f>
        <v/>
      </c>
      <c r="AK157" s="14">
        <f>IF($A157="","",IF(INDEX('潜水記録'!$AP$5:$AP$3004,$AS157)="","",INDEX('潜水記録'!$AP$5:$AP$3004,$AS157)))</f>
        <v/>
      </c>
      <c r="AL157" s="14">
        <f>IF($A157="","",IF(INDEX('潜水記録'!$AQ$5:$AQ$3004,$AS157)="","",INDEX('潜水記録'!$AQ$5:$AQ$3004,$AS157)))</f>
        <v/>
      </c>
      <c r="AM157" s="14">
        <f>IF($A157="","",IF(INDEX('潜水記録'!$AR$5:$AR$3004,$AS157)="","",INDEX('潜水記録'!$AR$5:$AR$3004,$AS157)))</f>
        <v/>
      </c>
      <c r="AN157" s="14">
        <f>IF($A157="","",IF(INDEX('潜水記録'!$AS$5:$AS$3004,$AS157)="","",INDEX('潜水記録'!$AS$5:$AS$3004,$AS157)))</f>
        <v/>
      </c>
      <c r="AO157" s="14">
        <f>IF($A157="","",IF(INDEX('潜水記録'!$AT$5:$AT$3004,$AS157)="","",INDEX('潜水記録'!$AT$5:$AT$3004,$AS157)))</f>
        <v/>
      </c>
      <c r="AP157" s="14">
        <f>IF($A157="","",IF(INDEX('潜水記録'!$AU$5:$AU$3004,$AS157)="","",INDEX('潜水記録'!$AU$5:$AU$3004,$AS157)))</f>
        <v/>
      </c>
      <c r="AQ157" s="14">
        <f>IF($A157="","",IF(INDEX('潜水記録'!$AV$5:$AV$3004,$AS157)="","",INDEX('潜水記録'!$AV$5:$AV$3004,$AS157)))</f>
        <v/>
      </c>
      <c r="AR157" s="14">
        <f>IF($A157="","",IF(INDEX('潜水記録'!$AW$5:$AW$3004,$AS157)="","",INDEX('潜水記録'!$AW$5:$AW$3004,$AS157)))</f>
        <v/>
      </c>
      <c r="AS157" s="20">
        <f>IF($A157="","",MATCH($A157,'潜水記録'!$AI$5:$AI$3004,0))</f>
        <v/>
      </c>
    </row>
    <row r="158">
      <c r="A158" s="14">
        <f>IF(148&lt;=$C$8,148,"")</f>
        <v/>
      </c>
      <c r="B158" s="16">
        <f>IF($A158="","",IF(INDEX('潜水記録'!$A$5:$A$3004,$AS158)="","",INDEX('潜水記録'!$A$5:$A$3004,$AS158)))</f>
        <v/>
      </c>
      <c r="C158" s="14">
        <f>IF($A158="","",IF(INDEX('潜水記録'!$B$5:$B$3004,$AS158)="","",INDEX('潜水記録'!$B$5:$B$3004,$AS158)))</f>
        <v/>
      </c>
      <c r="D158" s="14">
        <f>IF($A158="","",IF(INDEX('潜水記録'!$C$5:$C$3004,$AS158)="","",INDEX('潜水記録'!$C$5:$C$3004,$AS158)))</f>
        <v/>
      </c>
      <c r="E158" s="14">
        <f>IF($A158="","",IF(INDEX('潜水記録'!$D$5:$D$3004,$AS158)="","",INDEX('潜水記録'!$D$5:$D$3004,$AS158)))</f>
        <v/>
      </c>
      <c r="F158" s="14">
        <f>IF($A158="","",IF(INDEX('潜水記録'!$E$5:$E$3004,$AS158)="","",INDEX('潜水記録'!$E$5:$E$3004,$AS158)))</f>
        <v/>
      </c>
      <c r="G158" s="14">
        <f>IF($A158="","",IF(INDEX('潜水記録'!$F$5:$F$3004,$AS158)="","",INDEX('潜水記録'!$F$5:$F$3004,$AS158)))</f>
        <v/>
      </c>
      <c r="H158" s="14">
        <f>IF($A158="","",IF(INDEX('潜水記録'!$G$5:$G$3004,$AS158)="","",INDEX('潜水記録'!$G$5:$G$3004,$AS158)))</f>
        <v/>
      </c>
      <c r="I158" s="14">
        <f>IF($A158="","",IF(INDEX('潜水記録'!$H$5:$H$3004,$AS158)="","",INDEX('潜水記録'!$H$5:$H$3004,$AS158)))</f>
        <v/>
      </c>
      <c r="J158" s="14">
        <f>IF($A158="","",IF(INDEX('潜水記録'!$I$5:$I$3004,$AS158)="","",INDEX('潜水記録'!$I$5:$I$3004,$AS158)))</f>
        <v/>
      </c>
      <c r="K158" s="14">
        <f>IF($A158="","",IF(INDEX('潜水記録'!$J$5:$J$3004,$AS158)="","",INDEX('潜水記録'!$J$5:$J$3004,$AS158)))</f>
        <v/>
      </c>
      <c r="L158" s="14">
        <f>IF($A158="","",IF(INDEX('潜水記録'!$K$5:$K$3004,$AS158)="","",INDEX('潜水記録'!$K$5:$K$3004,$AS158)))</f>
        <v/>
      </c>
      <c r="M158" s="14">
        <f>IF($A158="","",IF(INDEX('潜水記録'!$L$5:$L$3004,$AS158)="","",INDEX('潜水記録'!$L$5:$L$3004,$AS158)))</f>
        <v/>
      </c>
      <c r="N158" s="14">
        <f>IF($A158="","",IF(INDEX('潜水記録'!$M$5:$M$3004,$AS158)="","",INDEX('潜水記録'!$M$5:$M$3004,$AS158)))</f>
        <v/>
      </c>
      <c r="O158" s="14">
        <f>IF($A158="","",IF(INDEX('潜水記録'!$N$5:$N$3004,$AS158)="","",INDEX('潜水記録'!$N$5:$N$3004,$AS158)))</f>
        <v/>
      </c>
      <c r="P158" s="14">
        <f>IF($A158="","",IF(INDEX('潜水記録'!$O$5:$O$3004,$AS158)="","",INDEX('潜水記録'!$O$5:$O$3004,$AS158)))</f>
        <v/>
      </c>
      <c r="Q158" s="14">
        <f>IF($A158="","",IF(INDEX('潜水記録'!$P$5:$P$3004,$AS158)="","",INDEX('潜水記録'!$P$5:$P$3004,$AS158)))</f>
        <v/>
      </c>
      <c r="R158" s="14">
        <f>IF($A158="","",IF(INDEX('潜水記録'!$Q$5:$Q$3004,$AS158)="","",INDEX('潜水記録'!$Q$5:$Q$3004,$AS158)))</f>
        <v/>
      </c>
      <c r="S158" s="14">
        <f>IF($A158="","",IF(INDEX('潜水記録'!$R$5:$R$3004,$AS158)="","",INDEX('潜水記録'!$R$5:$R$3004,$AS158)))</f>
        <v/>
      </c>
      <c r="T158" s="14">
        <f>IF($A158="","",IF(INDEX('潜水記録'!$S$5:$S$3004,$AS158)="","",INDEX('潜水記録'!$S$5:$S$3004,$AS158)))</f>
        <v/>
      </c>
      <c r="U158" s="14">
        <f>IF($A158="","",IF(INDEX('潜水記録'!$T$5:$T$3004,$AS158)="","",INDEX('潜水記録'!$T$5:$T$3004,$AS158)))</f>
        <v/>
      </c>
      <c r="V158" s="46">
        <f>IF($A158="","",IF(INDEX('潜水記録'!$U$5:$U$3004,$AS158)="","",INDEX('潜水記録'!$U$5:$U$3004,$AS158)))</f>
        <v/>
      </c>
      <c r="W158" s="46">
        <f>IF($A158="","",IF(INDEX('潜水記録'!$V$5:$V$3004,$AS158)="","",INDEX('潜水記録'!$V$5:$V$3004,$AS158)))</f>
        <v/>
      </c>
      <c r="X158" s="14">
        <f>IF($A158="","",IF(INDEX('潜水記録'!$W$5:$W$3004,$AS158)="","",INDEX('潜水記録'!$W$5:$W$3004,$AS158)))</f>
        <v/>
      </c>
      <c r="Y158" s="14">
        <f>IF($A158="","",IF(INDEX('潜水記録'!$X$5:$X$3004,$AS158)="","",INDEX('潜水記録'!$X$5:$X$3004,$AS158)))</f>
        <v/>
      </c>
      <c r="Z158" s="14">
        <f>IF($A158="","",IF(INDEX('潜水記録'!$Y$5:$Y$3004,$AS158)="","",INDEX('潜水記録'!$Y$5:$Y$3004,$AS158)))</f>
        <v/>
      </c>
      <c r="AA158" s="14">
        <f>IF($A158="","",IF(INDEX('潜水記録'!$Z$5:$Z$3004,$AS158)="","",INDEX('潜水記録'!$Z$5:$Z$3004,$AS158)))</f>
        <v/>
      </c>
      <c r="AB158" s="14">
        <f>IF($A158="","",IF(INDEX('潜水記録'!$AA$5:$AA$3004,$AS158)="","",INDEX('潜水記録'!$AA$5:$AA$3004,$AS158)))</f>
        <v/>
      </c>
      <c r="AC158" s="14">
        <f>IF($A158="","",IF(INDEX('潜水記録'!$AB$5:$AB$3004,$AS158)="","",INDEX('潜水記録'!$AB$5:$AB$3004,$AS158)))</f>
        <v/>
      </c>
      <c r="AD158" s="14">
        <f>IF($A158="","",IF(INDEX('潜水記録'!$AC$5:$AC$3004,$AS158)="","",INDEX('潜水記録'!$AC$5:$AC$3004,$AS158)))</f>
        <v/>
      </c>
      <c r="AE158" s="14">
        <f>IF($A158="","",IF(INDEX('潜水記録'!$AD$5:$AD$3004,$AS158)="","",INDEX('潜水記録'!$AD$5:$AD$3004,$AS158)))</f>
        <v/>
      </c>
      <c r="AF158" s="14">
        <f>IF($A158="","",IF(INDEX('潜水記録'!$AE$5:$AE$3004,$AS158)="","",INDEX('潜水記録'!$AE$5:$AE$3004,$AS158)))</f>
        <v/>
      </c>
      <c r="AG158" s="14">
        <f>IF($A158="","",IF(INDEX('潜水記録'!$AL$5:$AL$3004,$AS158)="","",INDEX('潜水記録'!$AL$5:$AL$3004,$AS158)))</f>
        <v/>
      </c>
      <c r="AH158" s="14">
        <f>IF($A158="","",IF(INDEX('潜水記録'!$AM$5:$AM$3004,$AS158)="","",INDEX('潜水記録'!$AM$5:$AM$3004,$AS158)))</f>
        <v/>
      </c>
      <c r="AI158" s="46">
        <f>IF($A158="","",IF(INDEX('潜水記録'!$AN$5:$AN$3004,$AS158)="","",INDEX('潜水記録'!$AN$5:$AN$3004,$AS158)))</f>
        <v/>
      </c>
      <c r="AJ158" s="14">
        <f>IF($A158="","",IF(INDEX('潜水記録'!$AO$5:$AO$3004,$AS158)="","",INDEX('潜水記録'!$AO$5:$AO$3004,$AS158)))</f>
        <v/>
      </c>
      <c r="AK158" s="14">
        <f>IF($A158="","",IF(INDEX('潜水記録'!$AP$5:$AP$3004,$AS158)="","",INDEX('潜水記録'!$AP$5:$AP$3004,$AS158)))</f>
        <v/>
      </c>
      <c r="AL158" s="14">
        <f>IF($A158="","",IF(INDEX('潜水記録'!$AQ$5:$AQ$3004,$AS158)="","",INDEX('潜水記録'!$AQ$5:$AQ$3004,$AS158)))</f>
        <v/>
      </c>
      <c r="AM158" s="14">
        <f>IF($A158="","",IF(INDEX('潜水記録'!$AR$5:$AR$3004,$AS158)="","",INDEX('潜水記録'!$AR$5:$AR$3004,$AS158)))</f>
        <v/>
      </c>
      <c r="AN158" s="14">
        <f>IF($A158="","",IF(INDEX('潜水記録'!$AS$5:$AS$3004,$AS158)="","",INDEX('潜水記録'!$AS$5:$AS$3004,$AS158)))</f>
        <v/>
      </c>
      <c r="AO158" s="14">
        <f>IF($A158="","",IF(INDEX('潜水記録'!$AT$5:$AT$3004,$AS158)="","",INDEX('潜水記録'!$AT$5:$AT$3004,$AS158)))</f>
        <v/>
      </c>
      <c r="AP158" s="14">
        <f>IF($A158="","",IF(INDEX('潜水記録'!$AU$5:$AU$3004,$AS158)="","",INDEX('潜水記録'!$AU$5:$AU$3004,$AS158)))</f>
        <v/>
      </c>
      <c r="AQ158" s="14">
        <f>IF($A158="","",IF(INDEX('潜水記録'!$AV$5:$AV$3004,$AS158)="","",INDEX('潜水記録'!$AV$5:$AV$3004,$AS158)))</f>
        <v/>
      </c>
      <c r="AR158" s="14">
        <f>IF($A158="","",IF(INDEX('潜水記録'!$AW$5:$AW$3004,$AS158)="","",INDEX('潜水記録'!$AW$5:$AW$3004,$AS158)))</f>
        <v/>
      </c>
      <c r="AS158" s="20">
        <f>IF($A158="","",MATCH($A158,'潜水記録'!$AI$5:$AI$3004,0))</f>
        <v/>
      </c>
    </row>
    <row r="159">
      <c r="A159" s="14">
        <f>IF(149&lt;=$C$8,149,"")</f>
        <v/>
      </c>
      <c r="B159" s="16">
        <f>IF($A159="","",IF(INDEX('潜水記録'!$A$5:$A$3004,$AS159)="","",INDEX('潜水記録'!$A$5:$A$3004,$AS159)))</f>
        <v/>
      </c>
      <c r="C159" s="14">
        <f>IF($A159="","",IF(INDEX('潜水記録'!$B$5:$B$3004,$AS159)="","",INDEX('潜水記録'!$B$5:$B$3004,$AS159)))</f>
        <v/>
      </c>
      <c r="D159" s="14">
        <f>IF($A159="","",IF(INDEX('潜水記録'!$C$5:$C$3004,$AS159)="","",INDEX('潜水記録'!$C$5:$C$3004,$AS159)))</f>
        <v/>
      </c>
      <c r="E159" s="14">
        <f>IF($A159="","",IF(INDEX('潜水記録'!$D$5:$D$3004,$AS159)="","",INDEX('潜水記録'!$D$5:$D$3004,$AS159)))</f>
        <v/>
      </c>
      <c r="F159" s="14">
        <f>IF($A159="","",IF(INDEX('潜水記録'!$E$5:$E$3004,$AS159)="","",INDEX('潜水記録'!$E$5:$E$3004,$AS159)))</f>
        <v/>
      </c>
      <c r="G159" s="14">
        <f>IF($A159="","",IF(INDEX('潜水記録'!$F$5:$F$3004,$AS159)="","",INDEX('潜水記録'!$F$5:$F$3004,$AS159)))</f>
        <v/>
      </c>
      <c r="H159" s="14">
        <f>IF($A159="","",IF(INDEX('潜水記録'!$G$5:$G$3004,$AS159)="","",INDEX('潜水記録'!$G$5:$G$3004,$AS159)))</f>
        <v/>
      </c>
      <c r="I159" s="14">
        <f>IF($A159="","",IF(INDEX('潜水記録'!$H$5:$H$3004,$AS159)="","",INDEX('潜水記録'!$H$5:$H$3004,$AS159)))</f>
        <v/>
      </c>
      <c r="J159" s="14">
        <f>IF($A159="","",IF(INDEX('潜水記録'!$I$5:$I$3004,$AS159)="","",INDEX('潜水記録'!$I$5:$I$3004,$AS159)))</f>
        <v/>
      </c>
      <c r="K159" s="14">
        <f>IF($A159="","",IF(INDEX('潜水記録'!$J$5:$J$3004,$AS159)="","",INDEX('潜水記録'!$J$5:$J$3004,$AS159)))</f>
        <v/>
      </c>
      <c r="L159" s="14">
        <f>IF($A159="","",IF(INDEX('潜水記録'!$K$5:$K$3004,$AS159)="","",INDEX('潜水記録'!$K$5:$K$3004,$AS159)))</f>
        <v/>
      </c>
      <c r="M159" s="14">
        <f>IF($A159="","",IF(INDEX('潜水記録'!$L$5:$L$3004,$AS159)="","",INDEX('潜水記録'!$L$5:$L$3004,$AS159)))</f>
        <v/>
      </c>
      <c r="N159" s="14">
        <f>IF($A159="","",IF(INDEX('潜水記録'!$M$5:$M$3004,$AS159)="","",INDEX('潜水記録'!$M$5:$M$3004,$AS159)))</f>
        <v/>
      </c>
      <c r="O159" s="14">
        <f>IF($A159="","",IF(INDEX('潜水記録'!$N$5:$N$3004,$AS159)="","",INDEX('潜水記録'!$N$5:$N$3004,$AS159)))</f>
        <v/>
      </c>
      <c r="P159" s="14">
        <f>IF($A159="","",IF(INDEX('潜水記録'!$O$5:$O$3004,$AS159)="","",INDEX('潜水記録'!$O$5:$O$3004,$AS159)))</f>
        <v/>
      </c>
      <c r="Q159" s="14">
        <f>IF($A159="","",IF(INDEX('潜水記録'!$P$5:$P$3004,$AS159)="","",INDEX('潜水記録'!$P$5:$P$3004,$AS159)))</f>
        <v/>
      </c>
      <c r="R159" s="14">
        <f>IF($A159="","",IF(INDEX('潜水記録'!$Q$5:$Q$3004,$AS159)="","",INDEX('潜水記録'!$Q$5:$Q$3004,$AS159)))</f>
        <v/>
      </c>
      <c r="S159" s="14">
        <f>IF($A159="","",IF(INDEX('潜水記録'!$R$5:$R$3004,$AS159)="","",INDEX('潜水記録'!$R$5:$R$3004,$AS159)))</f>
        <v/>
      </c>
      <c r="T159" s="14">
        <f>IF($A159="","",IF(INDEX('潜水記録'!$S$5:$S$3004,$AS159)="","",INDEX('潜水記録'!$S$5:$S$3004,$AS159)))</f>
        <v/>
      </c>
      <c r="U159" s="14">
        <f>IF($A159="","",IF(INDEX('潜水記録'!$T$5:$T$3004,$AS159)="","",INDEX('潜水記録'!$T$5:$T$3004,$AS159)))</f>
        <v/>
      </c>
      <c r="V159" s="46">
        <f>IF($A159="","",IF(INDEX('潜水記録'!$U$5:$U$3004,$AS159)="","",INDEX('潜水記録'!$U$5:$U$3004,$AS159)))</f>
        <v/>
      </c>
      <c r="W159" s="46">
        <f>IF($A159="","",IF(INDEX('潜水記録'!$V$5:$V$3004,$AS159)="","",INDEX('潜水記録'!$V$5:$V$3004,$AS159)))</f>
        <v/>
      </c>
      <c r="X159" s="14">
        <f>IF($A159="","",IF(INDEX('潜水記録'!$W$5:$W$3004,$AS159)="","",INDEX('潜水記録'!$W$5:$W$3004,$AS159)))</f>
        <v/>
      </c>
      <c r="Y159" s="14">
        <f>IF($A159="","",IF(INDEX('潜水記録'!$X$5:$X$3004,$AS159)="","",INDEX('潜水記録'!$X$5:$X$3004,$AS159)))</f>
        <v/>
      </c>
      <c r="Z159" s="14">
        <f>IF($A159="","",IF(INDEX('潜水記録'!$Y$5:$Y$3004,$AS159)="","",INDEX('潜水記録'!$Y$5:$Y$3004,$AS159)))</f>
        <v/>
      </c>
      <c r="AA159" s="14">
        <f>IF($A159="","",IF(INDEX('潜水記録'!$Z$5:$Z$3004,$AS159)="","",INDEX('潜水記録'!$Z$5:$Z$3004,$AS159)))</f>
        <v/>
      </c>
      <c r="AB159" s="14">
        <f>IF($A159="","",IF(INDEX('潜水記録'!$AA$5:$AA$3004,$AS159)="","",INDEX('潜水記録'!$AA$5:$AA$3004,$AS159)))</f>
        <v/>
      </c>
      <c r="AC159" s="14">
        <f>IF($A159="","",IF(INDEX('潜水記録'!$AB$5:$AB$3004,$AS159)="","",INDEX('潜水記録'!$AB$5:$AB$3004,$AS159)))</f>
        <v/>
      </c>
      <c r="AD159" s="14">
        <f>IF($A159="","",IF(INDEX('潜水記録'!$AC$5:$AC$3004,$AS159)="","",INDEX('潜水記録'!$AC$5:$AC$3004,$AS159)))</f>
        <v/>
      </c>
      <c r="AE159" s="14">
        <f>IF($A159="","",IF(INDEX('潜水記録'!$AD$5:$AD$3004,$AS159)="","",INDEX('潜水記録'!$AD$5:$AD$3004,$AS159)))</f>
        <v/>
      </c>
      <c r="AF159" s="14">
        <f>IF($A159="","",IF(INDEX('潜水記録'!$AE$5:$AE$3004,$AS159)="","",INDEX('潜水記録'!$AE$5:$AE$3004,$AS159)))</f>
        <v/>
      </c>
      <c r="AG159" s="14">
        <f>IF($A159="","",IF(INDEX('潜水記録'!$AL$5:$AL$3004,$AS159)="","",INDEX('潜水記録'!$AL$5:$AL$3004,$AS159)))</f>
        <v/>
      </c>
      <c r="AH159" s="14">
        <f>IF($A159="","",IF(INDEX('潜水記録'!$AM$5:$AM$3004,$AS159)="","",INDEX('潜水記録'!$AM$5:$AM$3004,$AS159)))</f>
        <v/>
      </c>
      <c r="AI159" s="46">
        <f>IF($A159="","",IF(INDEX('潜水記録'!$AN$5:$AN$3004,$AS159)="","",INDEX('潜水記録'!$AN$5:$AN$3004,$AS159)))</f>
        <v/>
      </c>
      <c r="AJ159" s="14">
        <f>IF($A159="","",IF(INDEX('潜水記録'!$AO$5:$AO$3004,$AS159)="","",INDEX('潜水記録'!$AO$5:$AO$3004,$AS159)))</f>
        <v/>
      </c>
      <c r="AK159" s="14">
        <f>IF($A159="","",IF(INDEX('潜水記録'!$AP$5:$AP$3004,$AS159)="","",INDEX('潜水記録'!$AP$5:$AP$3004,$AS159)))</f>
        <v/>
      </c>
      <c r="AL159" s="14">
        <f>IF($A159="","",IF(INDEX('潜水記録'!$AQ$5:$AQ$3004,$AS159)="","",INDEX('潜水記録'!$AQ$5:$AQ$3004,$AS159)))</f>
        <v/>
      </c>
      <c r="AM159" s="14">
        <f>IF($A159="","",IF(INDEX('潜水記録'!$AR$5:$AR$3004,$AS159)="","",INDEX('潜水記録'!$AR$5:$AR$3004,$AS159)))</f>
        <v/>
      </c>
      <c r="AN159" s="14">
        <f>IF($A159="","",IF(INDEX('潜水記録'!$AS$5:$AS$3004,$AS159)="","",INDEX('潜水記録'!$AS$5:$AS$3004,$AS159)))</f>
        <v/>
      </c>
      <c r="AO159" s="14">
        <f>IF($A159="","",IF(INDEX('潜水記録'!$AT$5:$AT$3004,$AS159)="","",INDEX('潜水記録'!$AT$5:$AT$3004,$AS159)))</f>
        <v/>
      </c>
      <c r="AP159" s="14">
        <f>IF($A159="","",IF(INDEX('潜水記録'!$AU$5:$AU$3004,$AS159)="","",INDEX('潜水記録'!$AU$5:$AU$3004,$AS159)))</f>
        <v/>
      </c>
      <c r="AQ159" s="14">
        <f>IF($A159="","",IF(INDEX('潜水記録'!$AV$5:$AV$3004,$AS159)="","",INDEX('潜水記録'!$AV$5:$AV$3004,$AS159)))</f>
        <v/>
      </c>
      <c r="AR159" s="14">
        <f>IF($A159="","",IF(INDEX('潜水記録'!$AW$5:$AW$3004,$AS159)="","",INDEX('潜水記録'!$AW$5:$AW$3004,$AS159)))</f>
        <v/>
      </c>
      <c r="AS159" s="20">
        <f>IF($A159="","",MATCH($A159,'潜水記録'!$AI$5:$AI$3004,0))</f>
        <v/>
      </c>
    </row>
    <row r="160">
      <c r="A160" s="14">
        <f>IF(150&lt;=$C$8,150,"")</f>
        <v/>
      </c>
      <c r="B160" s="16">
        <f>IF($A160="","",IF(INDEX('潜水記録'!$A$5:$A$3004,$AS160)="","",INDEX('潜水記録'!$A$5:$A$3004,$AS160)))</f>
        <v/>
      </c>
      <c r="C160" s="14">
        <f>IF($A160="","",IF(INDEX('潜水記録'!$B$5:$B$3004,$AS160)="","",INDEX('潜水記録'!$B$5:$B$3004,$AS160)))</f>
        <v/>
      </c>
      <c r="D160" s="14">
        <f>IF($A160="","",IF(INDEX('潜水記録'!$C$5:$C$3004,$AS160)="","",INDEX('潜水記録'!$C$5:$C$3004,$AS160)))</f>
        <v/>
      </c>
      <c r="E160" s="14">
        <f>IF($A160="","",IF(INDEX('潜水記録'!$D$5:$D$3004,$AS160)="","",INDEX('潜水記録'!$D$5:$D$3004,$AS160)))</f>
        <v/>
      </c>
      <c r="F160" s="14">
        <f>IF($A160="","",IF(INDEX('潜水記録'!$E$5:$E$3004,$AS160)="","",INDEX('潜水記録'!$E$5:$E$3004,$AS160)))</f>
        <v/>
      </c>
      <c r="G160" s="14">
        <f>IF($A160="","",IF(INDEX('潜水記録'!$F$5:$F$3004,$AS160)="","",INDEX('潜水記録'!$F$5:$F$3004,$AS160)))</f>
        <v/>
      </c>
      <c r="H160" s="14">
        <f>IF($A160="","",IF(INDEX('潜水記録'!$G$5:$G$3004,$AS160)="","",INDEX('潜水記録'!$G$5:$G$3004,$AS160)))</f>
        <v/>
      </c>
      <c r="I160" s="14">
        <f>IF($A160="","",IF(INDEX('潜水記録'!$H$5:$H$3004,$AS160)="","",INDEX('潜水記録'!$H$5:$H$3004,$AS160)))</f>
        <v/>
      </c>
      <c r="J160" s="14">
        <f>IF($A160="","",IF(INDEX('潜水記録'!$I$5:$I$3004,$AS160)="","",INDEX('潜水記録'!$I$5:$I$3004,$AS160)))</f>
        <v/>
      </c>
      <c r="K160" s="14">
        <f>IF($A160="","",IF(INDEX('潜水記録'!$J$5:$J$3004,$AS160)="","",INDEX('潜水記録'!$J$5:$J$3004,$AS160)))</f>
        <v/>
      </c>
      <c r="L160" s="14">
        <f>IF($A160="","",IF(INDEX('潜水記録'!$K$5:$K$3004,$AS160)="","",INDEX('潜水記録'!$K$5:$K$3004,$AS160)))</f>
        <v/>
      </c>
      <c r="M160" s="14">
        <f>IF($A160="","",IF(INDEX('潜水記録'!$L$5:$L$3004,$AS160)="","",INDEX('潜水記録'!$L$5:$L$3004,$AS160)))</f>
        <v/>
      </c>
      <c r="N160" s="14">
        <f>IF($A160="","",IF(INDEX('潜水記録'!$M$5:$M$3004,$AS160)="","",INDEX('潜水記録'!$M$5:$M$3004,$AS160)))</f>
        <v/>
      </c>
      <c r="O160" s="14">
        <f>IF($A160="","",IF(INDEX('潜水記録'!$N$5:$N$3004,$AS160)="","",INDEX('潜水記録'!$N$5:$N$3004,$AS160)))</f>
        <v/>
      </c>
      <c r="P160" s="14">
        <f>IF($A160="","",IF(INDEX('潜水記録'!$O$5:$O$3004,$AS160)="","",INDEX('潜水記録'!$O$5:$O$3004,$AS160)))</f>
        <v/>
      </c>
      <c r="Q160" s="14">
        <f>IF($A160="","",IF(INDEX('潜水記録'!$P$5:$P$3004,$AS160)="","",INDEX('潜水記録'!$P$5:$P$3004,$AS160)))</f>
        <v/>
      </c>
      <c r="R160" s="14">
        <f>IF($A160="","",IF(INDEX('潜水記録'!$Q$5:$Q$3004,$AS160)="","",INDEX('潜水記録'!$Q$5:$Q$3004,$AS160)))</f>
        <v/>
      </c>
      <c r="S160" s="14">
        <f>IF($A160="","",IF(INDEX('潜水記録'!$R$5:$R$3004,$AS160)="","",INDEX('潜水記録'!$R$5:$R$3004,$AS160)))</f>
        <v/>
      </c>
      <c r="T160" s="14">
        <f>IF($A160="","",IF(INDEX('潜水記録'!$S$5:$S$3004,$AS160)="","",INDEX('潜水記録'!$S$5:$S$3004,$AS160)))</f>
        <v/>
      </c>
      <c r="U160" s="14">
        <f>IF($A160="","",IF(INDEX('潜水記録'!$T$5:$T$3004,$AS160)="","",INDEX('潜水記録'!$T$5:$T$3004,$AS160)))</f>
        <v/>
      </c>
      <c r="V160" s="46">
        <f>IF($A160="","",IF(INDEX('潜水記録'!$U$5:$U$3004,$AS160)="","",INDEX('潜水記録'!$U$5:$U$3004,$AS160)))</f>
        <v/>
      </c>
      <c r="W160" s="46">
        <f>IF($A160="","",IF(INDEX('潜水記録'!$V$5:$V$3004,$AS160)="","",INDEX('潜水記録'!$V$5:$V$3004,$AS160)))</f>
        <v/>
      </c>
      <c r="X160" s="14">
        <f>IF($A160="","",IF(INDEX('潜水記録'!$W$5:$W$3004,$AS160)="","",INDEX('潜水記録'!$W$5:$W$3004,$AS160)))</f>
        <v/>
      </c>
      <c r="Y160" s="14">
        <f>IF($A160="","",IF(INDEX('潜水記録'!$X$5:$X$3004,$AS160)="","",INDEX('潜水記録'!$X$5:$X$3004,$AS160)))</f>
        <v/>
      </c>
      <c r="Z160" s="14">
        <f>IF($A160="","",IF(INDEX('潜水記録'!$Y$5:$Y$3004,$AS160)="","",INDEX('潜水記録'!$Y$5:$Y$3004,$AS160)))</f>
        <v/>
      </c>
      <c r="AA160" s="14">
        <f>IF($A160="","",IF(INDEX('潜水記録'!$Z$5:$Z$3004,$AS160)="","",INDEX('潜水記録'!$Z$5:$Z$3004,$AS160)))</f>
        <v/>
      </c>
      <c r="AB160" s="14">
        <f>IF($A160="","",IF(INDEX('潜水記録'!$AA$5:$AA$3004,$AS160)="","",INDEX('潜水記録'!$AA$5:$AA$3004,$AS160)))</f>
        <v/>
      </c>
      <c r="AC160" s="14">
        <f>IF($A160="","",IF(INDEX('潜水記録'!$AB$5:$AB$3004,$AS160)="","",INDEX('潜水記録'!$AB$5:$AB$3004,$AS160)))</f>
        <v/>
      </c>
      <c r="AD160" s="14">
        <f>IF($A160="","",IF(INDEX('潜水記録'!$AC$5:$AC$3004,$AS160)="","",INDEX('潜水記録'!$AC$5:$AC$3004,$AS160)))</f>
        <v/>
      </c>
      <c r="AE160" s="14">
        <f>IF($A160="","",IF(INDEX('潜水記録'!$AD$5:$AD$3004,$AS160)="","",INDEX('潜水記録'!$AD$5:$AD$3004,$AS160)))</f>
        <v/>
      </c>
      <c r="AF160" s="14">
        <f>IF($A160="","",IF(INDEX('潜水記録'!$AE$5:$AE$3004,$AS160)="","",INDEX('潜水記録'!$AE$5:$AE$3004,$AS160)))</f>
        <v/>
      </c>
      <c r="AG160" s="14">
        <f>IF($A160="","",IF(INDEX('潜水記録'!$AL$5:$AL$3004,$AS160)="","",INDEX('潜水記録'!$AL$5:$AL$3004,$AS160)))</f>
        <v/>
      </c>
      <c r="AH160" s="14">
        <f>IF($A160="","",IF(INDEX('潜水記録'!$AM$5:$AM$3004,$AS160)="","",INDEX('潜水記録'!$AM$5:$AM$3004,$AS160)))</f>
        <v/>
      </c>
      <c r="AI160" s="46">
        <f>IF($A160="","",IF(INDEX('潜水記録'!$AN$5:$AN$3004,$AS160)="","",INDEX('潜水記録'!$AN$5:$AN$3004,$AS160)))</f>
        <v/>
      </c>
      <c r="AJ160" s="14">
        <f>IF($A160="","",IF(INDEX('潜水記録'!$AO$5:$AO$3004,$AS160)="","",INDEX('潜水記録'!$AO$5:$AO$3004,$AS160)))</f>
        <v/>
      </c>
      <c r="AK160" s="14">
        <f>IF($A160="","",IF(INDEX('潜水記録'!$AP$5:$AP$3004,$AS160)="","",INDEX('潜水記録'!$AP$5:$AP$3004,$AS160)))</f>
        <v/>
      </c>
      <c r="AL160" s="14">
        <f>IF($A160="","",IF(INDEX('潜水記録'!$AQ$5:$AQ$3004,$AS160)="","",INDEX('潜水記録'!$AQ$5:$AQ$3004,$AS160)))</f>
        <v/>
      </c>
      <c r="AM160" s="14">
        <f>IF($A160="","",IF(INDEX('潜水記録'!$AR$5:$AR$3004,$AS160)="","",INDEX('潜水記録'!$AR$5:$AR$3004,$AS160)))</f>
        <v/>
      </c>
      <c r="AN160" s="14">
        <f>IF($A160="","",IF(INDEX('潜水記録'!$AS$5:$AS$3004,$AS160)="","",INDEX('潜水記録'!$AS$5:$AS$3004,$AS160)))</f>
        <v/>
      </c>
      <c r="AO160" s="14">
        <f>IF($A160="","",IF(INDEX('潜水記録'!$AT$5:$AT$3004,$AS160)="","",INDEX('潜水記録'!$AT$5:$AT$3004,$AS160)))</f>
        <v/>
      </c>
      <c r="AP160" s="14">
        <f>IF($A160="","",IF(INDEX('潜水記録'!$AU$5:$AU$3004,$AS160)="","",INDEX('潜水記録'!$AU$5:$AU$3004,$AS160)))</f>
        <v/>
      </c>
      <c r="AQ160" s="14">
        <f>IF($A160="","",IF(INDEX('潜水記録'!$AV$5:$AV$3004,$AS160)="","",INDEX('潜水記録'!$AV$5:$AV$3004,$AS160)))</f>
        <v/>
      </c>
      <c r="AR160" s="14">
        <f>IF($A160="","",IF(INDEX('潜水記録'!$AW$5:$AW$3004,$AS160)="","",INDEX('潜水記録'!$AW$5:$AW$3004,$AS160)))</f>
        <v/>
      </c>
      <c r="AS160" s="20">
        <f>IF($A160="","",MATCH($A160,'潜水記録'!$AI$5:$AI$3004,0))</f>
        <v/>
      </c>
    </row>
    <row r="161">
      <c r="A161" s="14">
        <f>IF(151&lt;=$C$8,151,"")</f>
        <v/>
      </c>
      <c r="B161" s="16">
        <f>IF($A161="","",IF(INDEX('潜水記録'!$A$5:$A$3004,$AS161)="","",INDEX('潜水記録'!$A$5:$A$3004,$AS161)))</f>
        <v/>
      </c>
      <c r="C161" s="14">
        <f>IF($A161="","",IF(INDEX('潜水記録'!$B$5:$B$3004,$AS161)="","",INDEX('潜水記録'!$B$5:$B$3004,$AS161)))</f>
        <v/>
      </c>
      <c r="D161" s="14">
        <f>IF($A161="","",IF(INDEX('潜水記録'!$C$5:$C$3004,$AS161)="","",INDEX('潜水記録'!$C$5:$C$3004,$AS161)))</f>
        <v/>
      </c>
      <c r="E161" s="14">
        <f>IF($A161="","",IF(INDEX('潜水記録'!$D$5:$D$3004,$AS161)="","",INDEX('潜水記録'!$D$5:$D$3004,$AS161)))</f>
        <v/>
      </c>
      <c r="F161" s="14">
        <f>IF($A161="","",IF(INDEX('潜水記録'!$E$5:$E$3004,$AS161)="","",INDEX('潜水記録'!$E$5:$E$3004,$AS161)))</f>
        <v/>
      </c>
      <c r="G161" s="14">
        <f>IF($A161="","",IF(INDEX('潜水記録'!$F$5:$F$3004,$AS161)="","",INDEX('潜水記録'!$F$5:$F$3004,$AS161)))</f>
        <v/>
      </c>
      <c r="H161" s="14">
        <f>IF($A161="","",IF(INDEX('潜水記録'!$G$5:$G$3004,$AS161)="","",INDEX('潜水記録'!$G$5:$G$3004,$AS161)))</f>
        <v/>
      </c>
      <c r="I161" s="14">
        <f>IF($A161="","",IF(INDEX('潜水記録'!$H$5:$H$3004,$AS161)="","",INDEX('潜水記録'!$H$5:$H$3004,$AS161)))</f>
        <v/>
      </c>
      <c r="J161" s="14">
        <f>IF($A161="","",IF(INDEX('潜水記録'!$I$5:$I$3004,$AS161)="","",INDEX('潜水記録'!$I$5:$I$3004,$AS161)))</f>
        <v/>
      </c>
      <c r="K161" s="14">
        <f>IF($A161="","",IF(INDEX('潜水記録'!$J$5:$J$3004,$AS161)="","",INDEX('潜水記録'!$J$5:$J$3004,$AS161)))</f>
        <v/>
      </c>
      <c r="L161" s="14">
        <f>IF($A161="","",IF(INDEX('潜水記録'!$K$5:$K$3004,$AS161)="","",INDEX('潜水記録'!$K$5:$K$3004,$AS161)))</f>
        <v/>
      </c>
      <c r="M161" s="14">
        <f>IF($A161="","",IF(INDEX('潜水記録'!$L$5:$L$3004,$AS161)="","",INDEX('潜水記録'!$L$5:$L$3004,$AS161)))</f>
        <v/>
      </c>
      <c r="N161" s="14">
        <f>IF($A161="","",IF(INDEX('潜水記録'!$M$5:$M$3004,$AS161)="","",INDEX('潜水記録'!$M$5:$M$3004,$AS161)))</f>
        <v/>
      </c>
      <c r="O161" s="14">
        <f>IF($A161="","",IF(INDEX('潜水記録'!$N$5:$N$3004,$AS161)="","",INDEX('潜水記録'!$N$5:$N$3004,$AS161)))</f>
        <v/>
      </c>
      <c r="P161" s="14">
        <f>IF($A161="","",IF(INDEX('潜水記録'!$O$5:$O$3004,$AS161)="","",INDEX('潜水記録'!$O$5:$O$3004,$AS161)))</f>
        <v/>
      </c>
      <c r="Q161" s="14">
        <f>IF($A161="","",IF(INDEX('潜水記録'!$P$5:$P$3004,$AS161)="","",INDEX('潜水記録'!$P$5:$P$3004,$AS161)))</f>
        <v/>
      </c>
      <c r="R161" s="14">
        <f>IF($A161="","",IF(INDEX('潜水記録'!$Q$5:$Q$3004,$AS161)="","",INDEX('潜水記録'!$Q$5:$Q$3004,$AS161)))</f>
        <v/>
      </c>
      <c r="S161" s="14">
        <f>IF($A161="","",IF(INDEX('潜水記録'!$R$5:$R$3004,$AS161)="","",INDEX('潜水記録'!$R$5:$R$3004,$AS161)))</f>
        <v/>
      </c>
      <c r="T161" s="14">
        <f>IF($A161="","",IF(INDEX('潜水記録'!$S$5:$S$3004,$AS161)="","",INDEX('潜水記録'!$S$5:$S$3004,$AS161)))</f>
        <v/>
      </c>
      <c r="U161" s="14">
        <f>IF($A161="","",IF(INDEX('潜水記録'!$T$5:$T$3004,$AS161)="","",INDEX('潜水記録'!$T$5:$T$3004,$AS161)))</f>
        <v/>
      </c>
      <c r="V161" s="46">
        <f>IF($A161="","",IF(INDEX('潜水記録'!$U$5:$U$3004,$AS161)="","",INDEX('潜水記録'!$U$5:$U$3004,$AS161)))</f>
        <v/>
      </c>
      <c r="W161" s="46">
        <f>IF($A161="","",IF(INDEX('潜水記録'!$V$5:$V$3004,$AS161)="","",INDEX('潜水記録'!$V$5:$V$3004,$AS161)))</f>
        <v/>
      </c>
      <c r="X161" s="14">
        <f>IF($A161="","",IF(INDEX('潜水記録'!$W$5:$W$3004,$AS161)="","",INDEX('潜水記録'!$W$5:$W$3004,$AS161)))</f>
        <v/>
      </c>
      <c r="Y161" s="14">
        <f>IF($A161="","",IF(INDEX('潜水記録'!$X$5:$X$3004,$AS161)="","",INDEX('潜水記録'!$X$5:$X$3004,$AS161)))</f>
        <v/>
      </c>
      <c r="Z161" s="14">
        <f>IF($A161="","",IF(INDEX('潜水記録'!$Y$5:$Y$3004,$AS161)="","",INDEX('潜水記録'!$Y$5:$Y$3004,$AS161)))</f>
        <v/>
      </c>
      <c r="AA161" s="14">
        <f>IF($A161="","",IF(INDEX('潜水記録'!$Z$5:$Z$3004,$AS161)="","",INDEX('潜水記録'!$Z$5:$Z$3004,$AS161)))</f>
        <v/>
      </c>
      <c r="AB161" s="14">
        <f>IF($A161="","",IF(INDEX('潜水記録'!$AA$5:$AA$3004,$AS161)="","",INDEX('潜水記録'!$AA$5:$AA$3004,$AS161)))</f>
        <v/>
      </c>
      <c r="AC161" s="14">
        <f>IF($A161="","",IF(INDEX('潜水記録'!$AB$5:$AB$3004,$AS161)="","",INDEX('潜水記録'!$AB$5:$AB$3004,$AS161)))</f>
        <v/>
      </c>
      <c r="AD161" s="14">
        <f>IF($A161="","",IF(INDEX('潜水記録'!$AC$5:$AC$3004,$AS161)="","",INDEX('潜水記録'!$AC$5:$AC$3004,$AS161)))</f>
        <v/>
      </c>
      <c r="AE161" s="14">
        <f>IF($A161="","",IF(INDEX('潜水記録'!$AD$5:$AD$3004,$AS161)="","",INDEX('潜水記録'!$AD$5:$AD$3004,$AS161)))</f>
        <v/>
      </c>
      <c r="AF161" s="14">
        <f>IF($A161="","",IF(INDEX('潜水記録'!$AE$5:$AE$3004,$AS161)="","",INDEX('潜水記録'!$AE$5:$AE$3004,$AS161)))</f>
        <v/>
      </c>
      <c r="AG161" s="14">
        <f>IF($A161="","",IF(INDEX('潜水記録'!$AL$5:$AL$3004,$AS161)="","",INDEX('潜水記録'!$AL$5:$AL$3004,$AS161)))</f>
        <v/>
      </c>
      <c r="AH161" s="14">
        <f>IF($A161="","",IF(INDEX('潜水記録'!$AM$5:$AM$3004,$AS161)="","",INDEX('潜水記録'!$AM$5:$AM$3004,$AS161)))</f>
        <v/>
      </c>
      <c r="AI161" s="46">
        <f>IF($A161="","",IF(INDEX('潜水記録'!$AN$5:$AN$3004,$AS161)="","",INDEX('潜水記録'!$AN$5:$AN$3004,$AS161)))</f>
        <v/>
      </c>
      <c r="AJ161" s="14">
        <f>IF($A161="","",IF(INDEX('潜水記録'!$AO$5:$AO$3004,$AS161)="","",INDEX('潜水記録'!$AO$5:$AO$3004,$AS161)))</f>
        <v/>
      </c>
      <c r="AK161" s="14">
        <f>IF($A161="","",IF(INDEX('潜水記録'!$AP$5:$AP$3004,$AS161)="","",INDEX('潜水記録'!$AP$5:$AP$3004,$AS161)))</f>
        <v/>
      </c>
      <c r="AL161" s="14">
        <f>IF($A161="","",IF(INDEX('潜水記録'!$AQ$5:$AQ$3004,$AS161)="","",INDEX('潜水記録'!$AQ$5:$AQ$3004,$AS161)))</f>
        <v/>
      </c>
      <c r="AM161" s="14">
        <f>IF($A161="","",IF(INDEX('潜水記録'!$AR$5:$AR$3004,$AS161)="","",INDEX('潜水記録'!$AR$5:$AR$3004,$AS161)))</f>
        <v/>
      </c>
      <c r="AN161" s="14">
        <f>IF($A161="","",IF(INDEX('潜水記録'!$AS$5:$AS$3004,$AS161)="","",INDEX('潜水記録'!$AS$5:$AS$3004,$AS161)))</f>
        <v/>
      </c>
      <c r="AO161" s="14">
        <f>IF($A161="","",IF(INDEX('潜水記録'!$AT$5:$AT$3004,$AS161)="","",INDEX('潜水記録'!$AT$5:$AT$3004,$AS161)))</f>
        <v/>
      </c>
      <c r="AP161" s="14">
        <f>IF($A161="","",IF(INDEX('潜水記録'!$AU$5:$AU$3004,$AS161)="","",INDEX('潜水記録'!$AU$5:$AU$3004,$AS161)))</f>
        <v/>
      </c>
      <c r="AQ161" s="14">
        <f>IF($A161="","",IF(INDEX('潜水記録'!$AV$5:$AV$3004,$AS161)="","",INDEX('潜水記録'!$AV$5:$AV$3004,$AS161)))</f>
        <v/>
      </c>
      <c r="AR161" s="14">
        <f>IF($A161="","",IF(INDEX('潜水記録'!$AW$5:$AW$3004,$AS161)="","",INDEX('潜水記録'!$AW$5:$AW$3004,$AS161)))</f>
        <v/>
      </c>
      <c r="AS161" s="20">
        <f>IF($A161="","",MATCH($A161,'潜水記録'!$AI$5:$AI$3004,0))</f>
        <v/>
      </c>
    </row>
    <row r="162">
      <c r="A162" s="14">
        <f>IF(152&lt;=$C$8,152,"")</f>
        <v/>
      </c>
      <c r="B162" s="16">
        <f>IF($A162="","",IF(INDEX('潜水記録'!$A$5:$A$3004,$AS162)="","",INDEX('潜水記録'!$A$5:$A$3004,$AS162)))</f>
        <v/>
      </c>
      <c r="C162" s="14">
        <f>IF($A162="","",IF(INDEX('潜水記録'!$B$5:$B$3004,$AS162)="","",INDEX('潜水記録'!$B$5:$B$3004,$AS162)))</f>
        <v/>
      </c>
      <c r="D162" s="14">
        <f>IF($A162="","",IF(INDEX('潜水記録'!$C$5:$C$3004,$AS162)="","",INDEX('潜水記録'!$C$5:$C$3004,$AS162)))</f>
        <v/>
      </c>
      <c r="E162" s="14">
        <f>IF($A162="","",IF(INDEX('潜水記録'!$D$5:$D$3004,$AS162)="","",INDEX('潜水記録'!$D$5:$D$3004,$AS162)))</f>
        <v/>
      </c>
      <c r="F162" s="14">
        <f>IF($A162="","",IF(INDEX('潜水記録'!$E$5:$E$3004,$AS162)="","",INDEX('潜水記録'!$E$5:$E$3004,$AS162)))</f>
        <v/>
      </c>
      <c r="G162" s="14">
        <f>IF($A162="","",IF(INDEX('潜水記録'!$F$5:$F$3004,$AS162)="","",INDEX('潜水記録'!$F$5:$F$3004,$AS162)))</f>
        <v/>
      </c>
      <c r="H162" s="14">
        <f>IF($A162="","",IF(INDEX('潜水記録'!$G$5:$G$3004,$AS162)="","",INDEX('潜水記録'!$G$5:$G$3004,$AS162)))</f>
        <v/>
      </c>
      <c r="I162" s="14">
        <f>IF($A162="","",IF(INDEX('潜水記録'!$H$5:$H$3004,$AS162)="","",INDEX('潜水記録'!$H$5:$H$3004,$AS162)))</f>
        <v/>
      </c>
      <c r="J162" s="14">
        <f>IF($A162="","",IF(INDEX('潜水記録'!$I$5:$I$3004,$AS162)="","",INDEX('潜水記録'!$I$5:$I$3004,$AS162)))</f>
        <v/>
      </c>
      <c r="K162" s="14">
        <f>IF($A162="","",IF(INDEX('潜水記録'!$J$5:$J$3004,$AS162)="","",INDEX('潜水記録'!$J$5:$J$3004,$AS162)))</f>
        <v/>
      </c>
      <c r="L162" s="14">
        <f>IF($A162="","",IF(INDEX('潜水記録'!$K$5:$K$3004,$AS162)="","",INDEX('潜水記録'!$K$5:$K$3004,$AS162)))</f>
        <v/>
      </c>
      <c r="M162" s="14">
        <f>IF($A162="","",IF(INDEX('潜水記録'!$L$5:$L$3004,$AS162)="","",INDEX('潜水記録'!$L$5:$L$3004,$AS162)))</f>
        <v/>
      </c>
      <c r="N162" s="14">
        <f>IF($A162="","",IF(INDEX('潜水記録'!$M$5:$M$3004,$AS162)="","",INDEX('潜水記録'!$M$5:$M$3004,$AS162)))</f>
        <v/>
      </c>
      <c r="O162" s="14">
        <f>IF($A162="","",IF(INDEX('潜水記録'!$N$5:$N$3004,$AS162)="","",INDEX('潜水記録'!$N$5:$N$3004,$AS162)))</f>
        <v/>
      </c>
      <c r="P162" s="14">
        <f>IF($A162="","",IF(INDEX('潜水記録'!$O$5:$O$3004,$AS162)="","",INDEX('潜水記録'!$O$5:$O$3004,$AS162)))</f>
        <v/>
      </c>
      <c r="Q162" s="14">
        <f>IF($A162="","",IF(INDEX('潜水記録'!$P$5:$P$3004,$AS162)="","",INDEX('潜水記録'!$P$5:$P$3004,$AS162)))</f>
        <v/>
      </c>
      <c r="R162" s="14">
        <f>IF($A162="","",IF(INDEX('潜水記録'!$Q$5:$Q$3004,$AS162)="","",INDEX('潜水記録'!$Q$5:$Q$3004,$AS162)))</f>
        <v/>
      </c>
      <c r="S162" s="14">
        <f>IF($A162="","",IF(INDEX('潜水記録'!$R$5:$R$3004,$AS162)="","",INDEX('潜水記録'!$R$5:$R$3004,$AS162)))</f>
        <v/>
      </c>
      <c r="T162" s="14">
        <f>IF($A162="","",IF(INDEX('潜水記録'!$S$5:$S$3004,$AS162)="","",INDEX('潜水記録'!$S$5:$S$3004,$AS162)))</f>
        <v/>
      </c>
      <c r="U162" s="14">
        <f>IF($A162="","",IF(INDEX('潜水記録'!$T$5:$T$3004,$AS162)="","",INDEX('潜水記録'!$T$5:$T$3004,$AS162)))</f>
        <v/>
      </c>
      <c r="V162" s="46">
        <f>IF($A162="","",IF(INDEX('潜水記録'!$U$5:$U$3004,$AS162)="","",INDEX('潜水記録'!$U$5:$U$3004,$AS162)))</f>
        <v/>
      </c>
      <c r="W162" s="46">
        <f>IF($A162="","",IF(INDEX('潜水記録'!$V$5:$V$3004,$AS162)="","",INDEX('潜水記録'!$V$5:$V$3004,$AS162)))</f>
        <v/>
      </c>
      <c r="X162" s="14">
        <f>IF($A162="","",IF(INDEX('潜水記録'!$W$5:$W$3004,$AS162)="","",INDEX('潜水記録'!$W$5:$W$3004,$AS162)))</f>
        <v/>
      </c>
      <c r="Y162" s="14">
        <f>IF($A162="","",IF(INDEX('潜水記録'!$X$5:$X$3004,$AS162)="","",INDEX('潜水記録'!$X$5:$X$3004,$AS162)))</f>
        <v/>
      </c>
      <c r="Z162" s="14">
        <f>IF($A162="","",IF(INDEX('潜水記録'!$Y$5:$Y$3004,$AS162)="","",INDEX('潜水記録'!$Y$5:$Y$3004,$AS162)))</f>
        <v/>
      </c>
      <c r="AA162" s="14">
        <f>IF($A162="","",IF(INDEX('潜水記録'!$Z$5:$Z$3004,$AS162)="","",INDEX('潜水記録'!$Z$5:$Z$3004,$AS162)))</f>
        <v/>
      </c>
      <c r="AB162" s="14">
        <f>IF($A162="","",IF(INDEX('潜水記録'!$AA$5:$AA$3004,$AS162)="","",INDEX('潜水記録'!$AA$5:$AA$3004,$AS162)))</f>
        <v/>
      </c>
      <c r="AC162" s="14">
        <f>IF($A162="","",IF(INDEX('潜水記録'!$AB$5:$AB$3004,$AS162)="","",INDEX('潜水記録'!$AB$5:$AB$3004,$AS162)))</f>
        <v/>
      </c>
      <c r="AD162" s="14">
        <f>IF($A162="","",IF(INDEX('潜水記録'!$AC$5:$AC$3004,$AS162)="","",INDEX('潜水記録'!$AC$5:$AC$3004,$AS162)))</f>
        <v/>
      </c>
      <c r="AE162" s="14">
        <f>IF($A162="","",IF(INDEX('潜水記録'!$AD$5:$AD$3004,$AS162)="","",INDEX('潜水記録'!$AD$5:$AD$3004,$AS162)))</f>
        <v/>
      </c>
      <c r="AF162" s="14">
        <f>IF($A162="","",IF(INDEX('潜水記録'!$AE$5:$AE$3004,$AS162)="","",INDEX('潜水記録'!$AE$5:$AE$3004,$AS162)))</f>
        <v/>
      </c>
      <c r="AG162" s="14">
        <f>IF($A162="","",IF(INDEX('潜水記録'!$AL$5:$AL$3004,$AS162)="","",INDEX('潜水記録'!$AL$5:$AL$3004,$AS162)))</f>
        <v/>
      </c>
      <c r="AH162" s="14">
        <f>IF($A162="","",IF(INDEX('潜水記録'!$AM$5:$AM$3004,$AS162)="","",INDEX('潜水記録'!$AM$5:$AM$3004,$AS162)))</f>
        <v/>
      </c>
      <c r="AI162" s="46">
        <f>IF($A162="","",IF(INDEX('潜水記録'!$AN$5:$AN$3004,$AS162)="","",INDEX('潜水記録'!$AN$5:$AN$3004,$AS162)))</f>
        <v/>
      </c>
      <c r="AJ162" s="14">
        <f>IF($A162="","",IF(INDEX('潜水記録'!$AO$5:$AO$3004,$AS162)="","",INDEX('潜水記録'!$AO$5:$AO$3004,$AS162)))</f>
        <v/>
      </c>
      <c r="AK162" s="14">
        <f>IF($A162="","",IF(INDEX('潜水記録'!$AP$5:$AP$3004,$AS162)="","",INDEX('潜水記録'!$AP$5:$AP$3004,$AS162)))</f>
        <v/>
      </c>
      <c r="AL162" s="14">
        <f>IF($A162="","",IF(INDEX('潜水記録'!$AQ$5:$AQ$3004,$AS162)="","",INDEX('潜水記録'!$AQ$5:$AQ$3004,$AS162)))</f>
        <v/>
      </c>
      <c r="AM162" s="14">
        <f>IF($A162="","",IF(INDEX('潜水記録'!$AR$5:$AR$3004,$AS162)="","",INDEX('潜水記録'!$AR$5:$AR$3004,$AS162)))</f>
        <v/>
      </c>
      <c r="AN162" s="14">
        <f>IF($A162="","",IF(INDEX('潜水記録'!$AS$5:$AS$3004,$AS162)="","",INDEX('潜水記録'!$AS$5:$AS$3004,$AS162)))</f>
        <v/>
      </c>
      <c r="AO162" s="14">
        <f>IF($A162="","",IF(INDEX('潜水記録'!$AT$5:$AT$3004,$AS162)="","",INDEX('潜水記録'!$AT$5:$AT$3004,$AS162)))</f>
        <v/>
      </c>
      <c r="AP162" s="14">
        <f>IF($A162="","",IF(INDEX('潜水記録'!$AU$5:$AU$3004,$AS162)="","",INDEX('潜水記録'!$AU$5:$AU$3004,$AS162)))</f>
        <v/>
      </c>
      <c r="AQ162" s="14">
        <f>IF($A162="","",IF(INDEX('潜水記録'!$AV$5:$AV$3004,$AS162)="","",INDEX('潜水記録'!$AV$5:$AV$3004,$AS162)))</f>
        <v/>
      </c>
      <c r="AR162" s="14">
        <f>IF($A162="","",IF(INDEX('潜水記録'!$AW$5:$AW$3004,$AS162)="","",INDEX('潜水記録'!$AW$5:$AW$3004,$AS162)))</f>
        <v/>
      </c>
      <c r="AS162" s="20">
        <f>IF($A162="","",MATCH($A162,'潜水記録'!$AI$5:$AI$3004,0))</f>
        <v/>
      </c>
    </row>
    <row r="163">
      <c r="A163" s="14">
        <f>IF(153&lt;=$C$8,153,"")</f>
        <v/>
      </c>
      <c r="B163" s="16">
        <f>IF($A163="","",IF(INDEX('潜水記録'!$A$5:$A$3004,$AS163)="","",INDEX('潜水記録'!$A$5:$A$3004,$AS163)))</f>
        <v/>
      </c>
      <c r="C163" s="14">
        <f>IF($A163="","",IF(INDEX('潜水記録'!$B$5:$B$3004,$AS163)="","",INDEX('潜水記録'!$B$5:$B$3004,$AS163)))</f>
        <v/>
      </c>
      <c r="D163" s="14">
        <f>IF($A163="","",IF(INDEX('潜水記録'!$C$5:$C$3004,$AS163)="","",INDEX('潜水記録'!$C$5:$C$3004,$AS163)))</f>
        <v/>
      </c>
      <c r="E163" s="14">
        <f>IF($A163="","",IF(INDEX('潜水記録'!$D$5:$D$3004,$AS163)="","",INDEX('潜水記録'!$D$5:$D$3004,$AS163)))</f>
        <v/>
      </c>
      <c r="F163" s="14">
        <f>IF($A163="","",IF(INDEX('潜水記録'!$E$5:$E$3004,$AS163)="","",INDEX('潜水記録'!$E$5:$E$3004,$AS163)))</f>
        <v/>
      </c>
      <c r="G163" s="14">
        <f>IF($A163="","",IF(INDEX('潜水記録'!$F$5:$F$3004,$AS163)="","",INDEX('潜水記録'!$F$5:$F$3004,$AS163)))</f>
        <v/>
      </c>
      <c r="H163" s="14">
        <f>IF($A163="","",IF(INDEX('潜水記録'!$G$5:$G$3004,$AS163)="","",INDEX('潜水記録'!$G$5:$G$3004,$AS163)))</f>
        <v/>
      </c>
      <c r="I163" s="14">
        <f>IF($A163="","",IF(INDEX('潜水記録'!$H$5:$H$3004,$AS163)="","",INDEX('潜水記録'!$H$5:$H$3004,$AS163)))</f>
        <v/>
      </c>
      <c r="J163" s="14">
        <f>IF($A163="","",IF(INDEX('潜水記録'!$I$5:$I$3004,$AS163)="","",INDEX('潜水記録'!$I$5:$I$3004,$AS163)))</f>
        <v/>
      </c>
      <c r="K163" s="14">
        <f>IF($A163="","",IF(INDEX('潜水記録'!$J$5:$J$3004,$AS163)="","",INDEX('潜水記録'!$J$5:$J$3004,$AS163)))</f>
        <v/>
      </c>
      <c r="L163" s="14">
        <f>IF($A163="","",IF(INDEX('潜水記録'!$K$5:$K$3004,$AS163)="","",INDEX('潜水記録'!$K$5:$K$3004,$AS163)))</f>
        <v/>
      </c>
      <c r="M163" s="14">
        <f>IF($A163="","",IF(INDEX('潜水記録'!$L$5:$L$3004,$AS163)="","",INDEX('潜水記録'!$L$5:$L$3004,$AS163)))</f>
        <v/>
      </c>
      <c r="N163" s="14">
        <f>IF($A163="","",IF(INDEX('潜水記録'!$M$5:$M$3004,$AS163)="","",INDEX('潜水記録'!$M$5:$M$3004,$AS163)))</f>
        <v/>
      </c>
      <c r="O163" s="14">
        <f>IF($A163="","",IF(INDEX('潜水記録'!$N$5:$N$3004,$AS163)="","",INDEX('潜水記録'!$N$5:$N$3004,$AS163)))</f>
        <v/>
      </c>
      <c r="P163" s="14">
        <f>IF($A163="","",IF(INDEX('潜水記録'!$O$5:$O$3004,$AS163)="","",INDEX('潜水記録'!$O$5:$O$3004,$AS163)))</f>
        <v/>
      </c>
      <c r="Q163" s="14">
        <f>IF($A163="","",IF(INDEX('潜水記録'!$P$5:$P$3004,$AS163)="","",INDEX('潜水記録'!$P$5:$P$3004,$AS163)))</f>
        <v/>
      </c>
      <c r="R163" s="14">
        <f>IF($A163="","",IF(INDEX('潜水記録'!$Q$5:$Q$3004,$AS163)="","",INDEX('潜水記録'!$Q$5:$Q$3004,$AS163)))</f>
        <v/>
      </c>
      <c r="S163" s="14">
        <f>IF($A163="","",IF(INDEX('潜水記録'!$R$5:$R$3004,$AS163)="","",INDEX('潜水記録'!$R$5:$R$3004,$AS163)))</f>
        <v/>
      </c>
      <c r="T163" s="14">
        <f>IF($A163="","",IF(INDEX('潜水記録'!$S$5:$S$3004,$AS163)="","",INDEX('潜水記録'!$S$5:$S$3004,$AS163)))</f>
        <v/>
      </c>
      <c r="U163" s="14">
        <f>IF($A163="","",IF(INDEX('潜水記録'!$T$5:$T$3004,$AS163)="","",INDEX('潜水記録'!$T$5:$T$3004,$AS163)))</f>
        <v/>
      </c>
      <c r="V163" s="46">
        <f>IF($A163="","",IF(INDEX('潜水記録'!$U$5:$U$3004,$AS163)="","",INDEX('潜水記録'!$U$5:$U$3004,$AS163)))</f>
        <v/>
      </c>
      <c r="W163" s="46">
        <f>IF($A163="","",IF(INDEX('潜水記録'!$V$5:$V$3004,$AS163)="","",INDEX('潜水記録'!$V$5:$V$3004,$AS163)))</f>
        <v/>
      </c>
      <c r="X163" s="14">
        <f>IF($A163="","",IF(INDEX('潜水記録'!$W$5:$W$3004,$AS163)="","",INDEX('潜水記録'!$W$5:$W$3004,$AS163)))</f>
        <v/>
      </c>
      <c r="Y163" s="14">
        <f>IF($A163="","",IF(INDEX('潜水記録'!$X$5:$X$3004,$AS163)="","",INDEX('潜水記録'!$X$5:$X$3004,$AS163)))</f>
        <v/>
      </c>
      <c r="Z163" s="14">
        <f>IF($A163="","",IF(INDEX('潜水記録'!$Y$5:$Y$3004,$AS163)="","",INDEX('潜水記録'!$Y$5:$Y$3004,$AS163)))</f>
        <v/>
      </c>
      <c r="AA163" s="14">
        <f>IF($A163="","",IF(INDEX('潜水記録'!$Z$5:$Z$3004,$AS163)="","",INDEX('潜水記録'!$Z$5:$Z$3004,$AS163)))</f>
        <v/>
      </c>
      <c r="AB163" s="14">
        <f>IF($A163="","",IF(INDEX('潜水記録'!$AA$5:$AA$3004,$AS163)="","",INDEX('潜水記録'!$AA$5:$AA$3004,$AS163)))</f>
        <v/>
      </c>
      <c r="AC163" s="14">
        <f>IF($A163="","",IF(INDEX('潜水記録'!$AB$5:$AB$3004,$AS163)="","",INDEX('潜水記録'!$AB$5:$AB$3004,$AS163)))</f>
        <v/>
      </c>
      <c r="AD163" s="14">
        <f>IF($A163="","",IF(INDEX('潜水記録'!$AC$5:$AC$3004,$AS163)="","",INDEX('潜水記録'!$AC$5:$AC$3004,$AS163)))</f>
        <v/>
      </c>
      <c r="AE163" s="14">
        <f>IF($A163="","",IF(INDEX('潜水記録'!$AD$5:$AD$3004,$AS163)="","",INDEX('潜水記録'!$AD$5:$AD$3004,$AS163)))</f>
        <v/>
      </c>
      <c r="AF163" s="14">
        <f>IF($A163="","",IF(INDEX('潜水記録'!$AE$5:$AE$3004,$AS163)="","",INDEX('潜水記録'!$AE$5:$AE$3004,$AS163)))</f>
        <v/>
      </c>
      <c r="AG163" s="14">
        <f>IF($A163="","",IF(INDEX('潜水記録'!$AL$5:$AL$3004,$AS163)="","",INDEX('潜水記録'!$AL$5:$AL$3004,$AS163)))</f>
        <v/>
      </c>
      <c r="AH163" s="14">
        <f>IF($A163="","",IF(INDEX('潜水記録'!$AM$5:$AM$3004,$AS163)="","",INDEX('潜水記録'!$AM$5:$AM$3004,$AS163)))</f>
        <v/>
      </c>
      <c r="AI163" s="46">
        <f>IF($A163="","",IF(INDEX('潜水記録'!$AN$5:$AN$3004,$AS163)="","",INDEX('潜水記録'!$AN$5:$AN$3004,$AS163)))</f>
        <v/>
      </c>
      <c r="AJ163" s="14">
        <f>IF($A163="","",IF(INDEX('潜水記録'!$AO$5:$AO$3004,$AS163)="","",INDEX('潜水記録'!$AO$5:$AO$3004,$AS163)))</f>
        <v/>
      </c>
      <c r="AK163" s="14">
        <f>IF($A163="","",IF(INDEX('潜水記録'!$AP$5:$AP$3004,$AS163)="","",INDEX('潜水記録'!$AP$5:$AP$3004,$AS163)))</f>
        <v/>
      </c>
      <c r="AL163" s="14">
        <f>IF($A163="","",IF(INDEX('潜水記録'!$AQ$5:$AQ$3004,$AS163)="","",INDEX('潜水記録'!$AQ$5:$AQ$3004,$AS163)))</f>
        <v/>
      </c>
      <c r="AM163" s="14">
        <f>IF($A163="","",IF(INDEX('潜水記録'!$AR$5:$AR$3004,$AS163)="","",INDEX('潜水記録'!$AR$5:$AR$3004,$AS163)))</f>
        <v/>
      </c>
      <c r="AN163" s="14">
        <f>IF($A163="","",IF(INDEX('潜水記録'!$AS$5:$AS$3004,$AS163)="","",INDEX('潜水記録'!$AS$5:$AS$3004,$AS163)))</f>
        <v/>
      </c>
      <c r="AO163" s="14">
        <f>IF($A163="","",IF(INDEX('潜水記録'!$AT$5:$AT$3004,$AS163)="","",INDEX('潜水記録'!$AT$5:$AT$3004,$AS163)))</f>
        <v/>
      </c>
      <c r="AP163" s="14">
        <f>IF($A163="","",IF(INDEX('潜水記録'!$AU$5:$AU$3004,$AS163)="","",INDEX('潜水記録'!$AU$5:$AU$3004,$AS163)))</f>
        <v/>
      </c>
      <c r="AQ163" s="14">
        <f>IF($A163="","",IF(INDEX('潜水記録'!$AV$5:$AV$3004,$AS163)="","",INDEX('潜水記録'!$AV$5:$AV$3004,$AS163)))</f>
        <v/>
      </c>
      <c r="AR163" s="14">
        <f>IF($A163="","",IF(INDEX('潜水記録'!$AW$5:$AW$3004,$AS163)="","",INDEX('潜水記録'!$AW$5:$AW$3004,$AS163)))</f>
        <v/>
      </c>
      <c r="AS163" s="20">
        <f>IF($A163="","",MATCH($A163,'潜水記録'!$AI$5:$AI$3004,0))</f>
        <v/>
      </c>
    </row>
    <row r="164">
      <c r="A164" s="14">
        <f>IF(154&lt;=$C$8,154,"")</f>
        <v/>
      </c>
      <c r="B164" s="16">
        <f>IF($A164="","",IF(INDEX('潜水記録'!$A$5:$A$3004,$AS164)="","",INDEX('潜水記録'!$A$5:$A$3004,$AS164)))</f>
        <v/>
      </c>
      <c r="C164" s="14">
        <f>IF($A164="","",IF(INDEX('潜水記録'!$B$5:$B$3004,$AS164)="","",INDEX('潜水記録'!$B$5:$B$3004,$AS164)))</f>
        <v/>
      </c>
      <c r="D164" s="14">
        <f>IF($A164="","",IF(INDEX('潜水記録'!$C$5:$C$3004,$AS164)="","",INDEX('潜水記録'!$C$5:$C$3004,$AS164)))</f>
        <v/>
      </c>
      <c r="E164" s="14">
        <f>IF($A164="","",IF(INDEX('潜水記録'!$D$5:$D$3004,$AS164)="","",INDEX('潜水記録'!$D$5:$D$3004,$AS164)))</f>
        <v/>
      </c>
      <c r="F164" s="14">
        <f>IF($A164="","",IF(INDEX('潜水記録'!$E$5:$E$3004,$AS164)="","",INDEX('潜水記録'!$E$5:$E$3004,$AS164)))</f>
        <v/>
      </c>
      <c r="G164" s="14">
        <f>IF($A164="","",IF(INDEX('潜水記録'!$F$5:$F$3004,$AS164)="","",INDEX('潜水記録'!$F$5:$F$3004,$AS164)))</f>
        <v/>
      </c>
      <c r="H164" s="14">
        <f>IF($A164="","",IF(INDEX('潜水記録'!$G$5:$G$3004,$AS164)="","",INDEX('潜水記録'!$G$5:$G$3004,$AS164)))</f>
        <v/>
      </c>
      <c r="I164" s="14">
        <f>IF($A164="","",IF(INDEX('潜水記録'!$H$5:$H$3004,$AS164)="","",INDEX('潜水記録'!$H$5:$H$3004,$AS164)))</f>
        <v/>
      </c>
      <c r="J164" s="14">
        <f>IF($A164="","",IF(INDEX('潜水記録'!$I$5:$I$3004,$AS164)="","",INDEX('潜水記録'!$I$5:$I$3004,$AS164)))</f>
        <v/>
      </c>
      <c r="K164" s="14">
        <f>IF($A164="","",IF(INDEX('潜水記録'!$J$5:$J$3004,$AS164)="","",INDEX('潜水記録'!$J$5:$J$3004,$AS164)))</f>
        <v/>
      </c>
      <c r="L164" s="14">
        <f>IF($A164="","",IF(INDEX('潜水記録'!$K$5:$K$3004,$AS164)="","",INDEX('潜水記録'!$K$5:$K$3004,$AS164)))</f>
        <v/>
      </c>
      <c r="M164" s="14">
        <f>IF($A164="","",IF(INDEX('潜水記録'!$L$5:$L$3004,$AS164)="","",INDEX('潜水記録'!$L$5:$L$3004,$AS164)))</f>
        <v/>
      </c>
      <c r="N164" s="14">
        <f>IF($A164="","",IF(INDEX('潜水記録'!$M$5:$M$3004,$AS164)="","",INDEX('潜水記録'!$M$5:$M$3004,$AS164)))</f>
        <v/>
      </c>
      <c r="O164" s="14">
        <f>IF($A164="","",IF(INDEX('潜水記録'!$N$5:$N$3004,$AS164)="","",INDEX('潜水記録'!$N$5:$N$3004,$AS164)))</f>
        <v/>
      </c>
      <c r="P164" s="14">
        <f>IF($A164="","",IF(INDEX('潜水記録'!$O$5:$O$3004,$AS164)="","",INDEX('潜水記録'!$O$5:$O$3004,$AS164)))</f>
        <v/>
      </c>
      <c r="Q164" s="14">
        <f>IF($A164="","",IF(INDEX('潜水記録'!$P$5:$P$3004,$AS164)="","",INDEX('潜水記録'!$P$5:$P$3004,$AS164)))</f>
        <v/>
      </c>
      <c r="R164" s="14">
        <f>IF($A164="","",IF(INDEX('潜水記録'!$Q$5:$Q$3004,$AS164)="","",INDEX('潜水記録'!$Q$5:$Q$3004,$AS164)))</f>
        <v/>
      </c>
      <c r="S164" s="14">
        <f>IF($A164="","",IF(INDEX('潜水記録'!$R$5:$R$3004,$AS164)="","",INDEX('潜水記録'!$R$5:$R$3004,$AS164)))</f>
        <v/>
      </c>
      <c r="T164" s="14">
        <f>IF($A164="","",IF(INDEX('潜水記録'!$S$5:$S$3004,$AS164)="","",INDEX('潜水記録'!$S$5:$S$3004,$AS164)))</f>
        <v/>
      </c>
      <c r="U164" s="14">
        <f>IF($A164="","",IF(INDEX('潜水記録'!$T$5:$T$3004,$AS164)="","",INDEX('潜水記録'!$T$5:$T$3004,$AS164)))</f>
        <v/>
      </c>
      <c r="V164" s="46">
        <f>IF($A164="","",IF(INDEX('潜水記録'!$U$5:$U$3004,$AS164)="","",INDEX('潜水記録'!$U$5:$U$3004,$AS164)))</f>
        <v/>
      </c>
      <c r="W164" s="46">
        <f>IF($A164="","",IF(INDEX('潜水記録'!$V$5:$V$3004,$AS164)="","",INDEX('潜水記録'!$V$5:$V$3004,$AS164)))</f>
        <v/>
      </c>
      <c r="X164" s="14">
        <f>IF($A164="","",IF(INDEX('潜水記録'!$W$5:$W$3004,$AS164)="","",INDEX('潜水記録'!$W$5:$W$3004,$AS164)))</f>
        <v/>
      </c>
      <c r="Y164" s="14">
        <f>IF($A164="","",IF(INDEX('潜水記録'!$X$5:$X$3004,$AS164)="","",INDEX('潜水記録'!$X$5:$X$3004,$AS164)))</f>
        <v/>
      </c>
      <c r="Z164" s="14">
        <f>IF($A164="","",IF(INDEX('潜水記録'!$Y$5:$Y$3004,$AS164)="","",INDEX('潜水記録'!$Y$5:$Y$3004,$AS164)))</f>
        <v/>
      </c>
      <c r="AA164" s="14">
        <f>IF($A164="","",IF(INDEX('潜水記録'!$Z$5:$Z$3004,$AS164)="","",INDEX('潜水記録'!$Z$5:$Z$3004,$AS164)))</f>
        <v/>
      </c>
      <c r="AB164" s="14">
        <f>IF($A164="","",IF(INDEX('潜水記録'!$AA$5:$AA$3004,$AS164)="","",INDEX('潜水記録'!$AA$5:$AA$3004,$AS164)))</f>
        <v/>
      </c>
      <c r="AC164" s="14">
        <f>IF($A164="","",IF(INDEX('潜水記録'!$AB$5:$AB$3004,$AS164)="","",INDEX('潜水記録'!$AB$5:$AB$3004,$AS164)))</f>
        <v/>
      </c>
      <c r="AD164" s="14">
        <f>IF($A164="","",IF(INDEX('潜水記録'!$AC$5:$AC$3004,$AS164)="","",INDEX('潜水記録'!$AC$5:$AC$3004,$AS164)))</f>
        <v/>
      </c>
      <c r="AE164" s="14">
        <f>IF($A164="","",IF(INDEX('潜水記録'!$AD$5:$AD$3004,$AS164)="","",INDEX('潜水記録'!$AD$5:$AD$3004,$AS164)))</f>
        <v/>
      </c>
      <c r="AF164" s="14">
        <f>IF($A164="","",IF(INDEX('潜水記録'!$AE$5:$AE$3004,$AS164)="","",INDEX('潜水記録'!$AE$5:$AE$3004,$AS164)))</f>
        <v/>
      </c>
      <c r="AG164" s="14">
        <f>IF($A164="","",IF(INDEX('潜水記録'!$AL$5:$AL$3004,$AS164)="","",INDEX('潜水記録'!$AL$5:$AL$3004,$AS164)))</f>
        <v/>
      </c>
      <c r="AH164" s="14">
        <f>IF($A164="","",IF(INDEX('潜水記録'!$AM$5:$AM$3004,$AS164)="","",INDEX('潜水記録'!$AM$5:$AM$3004,$AS164)))</f>
        <v/>
      </c>
      <c r="AI164" s="46">
        <f>IF($A164="","",IF(INDEX('潜水記録'!$AN$5:$AN$3004,$AS164)="","",INDEX('潜水記録'!$AN$5:$AN$3004,$AS164)))</f>
        <v/>
      </c>
      <c r="AJ164" s="14">
        <f>IF($A164="","",IF(INDEX('潜水記録'!$AO$5:$AO$3004,$AS164)="","",INDEX('潜水記録'!$AO$5:$AO$3004,$AS164)))</f>
        <v/>
      </c>
      <c r="AK164" s="14">
        <f>IF($A164="","",IF(INDEX('潜水記録'!$AP$5:$AP$3004,$AS164)="","",INDEX('潜水記録'!$AP$5:$AP$3004,$AS164)))</f>
        <v/>
      </c>
      <c r="AL164" s="14">
        <f>IF($A164="","",IF(INDEX('潜水記録'!$AQ$5:$AQ$3004,$AS164)="","",INDEX('潜水記録'!$AQ$5:$AQ$3004,$AS164)))</f>
        <v/>
      </c>
      <c r="AM164" s="14">
        <f>IF($A164="","",IF(INDEX('潜水記録'!$AR$5:$AR$3004,$AS164)="","",INDEX('潜水記録'!$AR$5:$AR$3004,$AS164)))</f>
        <v/>
      </c>
      <c r="AN164" s="14">
        <f>IF($A164="","",IF(INDEX('潜水記録'!$AS$5:$AS$3004,$AS164)="","",INDEX('潜水記録'!$AS$5:$AS$3004,$AS164)))</f>
        <v/>
      </c>
      <c r="AO164" s="14">
        <f>IF($A164="","",IF(INDEX('潜水記録'!$AT$5:$AT$3004,$AS164)="","",INDEX('潜水記録'!$AT$5:$AT$3004,$AS164)))</f>
        <v/>
      </c>
      <c r="AP164" s="14">
        <f>IF($A164="","",IF(INDEX('潜水記録'!$AU$5:$AU$3004,$AS164)="","",INDEX('潜水記録'!$AU$5:$AU$3004,$AS164)))</f>
        <v/>
      </c>
      <c r="AQ164" s="14">
        <f>IF($A164="","",IF(INDEX('潜水記録'!$AV$5:$AV$3004,$AS164)="","",INDEX('潜水記録'!$AV$5:$AV$3004,$AS164)))</f>
        <v/>
      </c>
      <c r="AR164" s="14">
        <f>IF($A164="","",IF(INDEX('潜水記録'!$AW$5:$AW$3004,$AS164)="","",INDEX('潜水記録'!$AW$5:$AW$3004,$AS164)))</f>
        <v/>
      </c>
      <c r="AS164" s="20">
        <f>IF($A164="","",MATCH($A164,'潜水記録'!$AI$5:$AI$3004,0))</f>
        <v/>
      </c>
    </row>
    <row r="165">
      <c r="A165" s="14">
        <f>IF(155&lt;=$C$8,155,"")</f>
        <v/>
      </c>
      <c r="B165" s="16">
        <f>IF($A165="","",IF(INDEX('潜水記録'!$A$5:$A$3004,$AS165)="","",INDEX('潜水記録'!$A$5:$A$3004,$AS165)))</f>
        <v/>
      </c>
      <c r="C165" s="14">
        <f>IF($A165="","",IF(INDEX('潜水記録'!$B$5:$B$3004,$AS165)="","",INDEX('潜水記録'!$B$5:$B$3004,$AS165)))</f>
        <v/>
      </c>
      <c r="D165" s="14">
        <f>IF($A165="","",IF(INDEX('潜水記録'!$C$5:$C$3004,$AS165)="","",INDEX('潜水記録'!$C$5:$C$3004,$AS165)))</f>
        <v/>
      </c>
      <c r="E165" s="14">
        <f>IF($A165="","",IF(INDEX('潜水記録'!$D$5:$D$3004,$AS165)="","",INDEX('潜水記録'!$D$5:$D$3004,$AS165)))</f>
        <v/>
      </c>
      <c r="F165" s="14">
        <f>IF($A165="","",IF(INDEX('潜水記録'!$E$5:$E$3004,$AS165)="","",INDEX('潜水記録'!$E$5:$E$3004,$AS165)))</f>
        <v/>
      </c>
      <c r="G165" s="14">
        <f>IF($A165="","",IF(INDEX('潜水記録'!$F$5:$F$3004,$AS165)="","",INDEX('潜水記録'!$F$5:$F$3004,$AS165)))</f>
        <v/>
      </c>
      <c r="H165" s="14">
        <f>IF($A165="","",IF(INDEX('潜水記録'!$G$5:$G$3004,$AS165)="","",INDEX('潜水記録'!$G$5:$G$3004,$AS165)))</f>
        <v/>
      </c>
      <c r="I165" s="14">
        <f>IF($A165="","",IF(INDEX('潜水記録'!$H$5:$H$3004,$AS165)="","",INDEX('潜水記録'!$H$5:$H$3004,$AS165)))</f>
        <v/>
      </c>
      <c r="J165" s="14">
        <f>IF($A165="","",IF(INDEX('潜水記録'!$I$5:$I$3004,$AS165)="","",INDEX('潜水記録'!$I$5:$I$3004,$AS165)))</f>
        <v/>
      </c>
      <c r="K165" s="14">
        <f>IF($A165="","",IF(INDEX('潜水記録'!$J$5:$J$3004,$AS165)="","",INDEX('潜水記録'!$J$5:$J$3004,$AS165)))</f>
        <v/>
      </c>
      <c r="L165" s="14">
        <f>IF($A165="","",IF(INDEX('潜水記録'!$K$5:$K$3004,$AS165)="","",INDEX('潜水記録'!$K$5:$K$3004,$AS165)))</f>
        <v/>
      </c>
      <c r="M165" s="14">
        <f>IF($A165="","",IF(INDEX('潜水記録'!$L$5:$L$3004,$AS165)="","",INDEX('潜水記録'!$L$5:$L$3004,$AS165)))</f>
        <v/>
      </c>
      <c r="N165" s="14">
        <f>IF($A165="","",IF(INDEX('潜水記録'!$M$5:$M$3004,$AS165)="","",INDEX('潜水記録'!$M$5:$M$3004,$AS165)))</f>
        <v/>
      </c>
      <c r="O165" s="14">
        <f>IF($A165="","",IF(INDEX('潜水記録'!$N$5:$N$3004,$AS165)="","",INDEX('潜水記録'!$N$5:$N$3004,$AS165)))</f>
        <v/>
      </c>
      <c r="P165" s="14">
        <f>IF($A165="","",IF(INDEX('潜水記録'!$O$5:$O$3004,$AS165)="","",INDEX('潜水記録'!$O$5:$O$3004,$AS165)))</f>
        <v/>
      </c>
      <c r="Q165" s="14">
        <f>IF($A165="","",IF(INDEX('潜水記録'!$P$5:$P$3004,$AS165)="","",INDEX('潜水記録'!$P$5:$P$3004,$AS165)))</f>
        <v/>
      </c>
      <c r="R165" s="14">
        <f>IF($A165="","",IF(INDEX('潜水記録'!$Q$5:$Q$3004,$AS165)="","",INDEX('潜水記録'!$Q$5:$Q$3004,$AS165)))</f>
        <v/>
      </c>
      <c r="S165" s="14">
        <f>IF($A165="","",IF(INDEX('潜水記録'!$R$5:$R$3004,$AS165)="","",INDEX('潜水記録'!$R$5:$R$3004,$AS165)))</f>
        <v/>
      </c>
      <c r="T165" s="14">
        <f>IF($A165="","",IF(INDEX('潜水記録'!$S$5:$S$3004,$AS165)="","",INDEX('潜水記録'!$S$5:$S$3004,$AS165)))</f>
        <v/>
      </c>
      <c r="U165" s="14">
        <f>IF($A165="","",IF(INDEX('潜水記録'!$T$5:$T$3004,$AS165)="","",INDEX('潜水記録'!$T$5:$T$3004,$AS165)))</f>
        <v/>
      </c>
      <c r="V165" s="46">
        <f>IF($A165="","",IF(INDEX('潜水記録'!$U$5:$U$3004,$AS165)="","",INDEX('潜水記録'!$U$5:$U$3004,$AS165)))</f>
        <v/>
      </c>
      <c r="W165" s="46">
        <f>IF($A165="","",IF(INDEX('潜水記録'!$V$5:$V$3004,$AS165)="","",INDEX('潜水記録'!$V$5:$V$3004,$AS165)))</f>
        <v/>
      </c>
      <c r="X165" s="14">
        <f>IF($A165="","",IF(INDEX('潜水記録'!$W$5:$W$3004,$AS165)="","",INDEX('潜水記録'!$W$5:$W$3004,$AS165)))</f>
        <v/>
      </c>
      <c r="Y165" s="14">
        <f>IF($A165="","",IF(INDEX('潜水記録'!$X$5:$X$3004,$AS165)="","",INDEX('潜水記録'!$X$5:$X$3004,$AS165)))</f>
        <v/>
      </c>
      <c r="Z165" s="14">
        <f>IF($A165="","",IF(INDEX('潜水記録'!$Y$5:$Y$3004,$AS165)="","",INDEX('潜水記録'!$Y$5:$Y$3004,$AS165)))</f>
        <v/>
      </c>
      <c r="AA165" s="14">
        <f>IF($A165="","",IF(INDEX('潜水記録'!$Z$5:$Z$3004,$AS165)="","",INDEX('潜水記録'!$Z$5:$Z$3004,$AS165)))</f>
        <v/>
      </c>
      <c r="AB165" s="14">
        <f>IF($A165="","",IF(INDEX('潜水記録'!$AA$5:$AA$3004,$AS165)="","",INDEX('潜水記録'!$AA$5:$AA$3004,$AS165)))</f>
        <v/>
      </c>
      <c r="AC165" s="14">
        <f>IF($A165="","",IF(INDEX('潜水記録'!$AB$5:$AB$3004,$AS165)="","",INDEX('潜水記録'!$AB$5:$AB$3004,$AS165)))</f>
        <v/>
      </c>
      <c r="AD165" s="14">
        <f>IF($A165="","",IF(INDEX('潜水記録'!$AC$5:$AC$3004,$AS165)="","",INDEX('潜水記録'!$AC$5:$AC$3004,$AS165)))</f>
        <v/>
      </c>
      <c r="AE165" s="14">
        <f>IF($A165="","",IF(INDEX('潜水記録'!$AD$5:$AD$3004,$AS165)="","",INDEX('潜水記録'!$AD$5:$AD$3004,$AS165)))</f>
        <v/>
      </c>
      <c r="AF165" s="14">
        <f>IF($A165="","",IF(INDEX('潜水記録'!$AE$5:$AE$3004,$AS165)="","",INDEX('潜水記録'!$AE$5:$AE$3004,$AS165)))</f>
        <v/>
      </c>
      <c r="AG165" s="14">
        <f>IF($A165="","",IF(INDEX('潜水記録'!$AL$5:$AL$3004,$AS165)="","",INDEX('潜水記録'!$AL$5:$AL$3004,$AS165)))</f>
        <v/>
      </c>
      <c r="AH165" s="14">
        <f>IF($A165="","",IF(INDEX('潜水記録'!$AM$5:$AM$3004,$AS165)="","",INDEX('潜水記録'!$AM$5:$AM$3004,$AS165)))</f>
        <v/>
      </c>
      <c r="AI165" s="46">
        <f>IF($A165="","",IF(INDEX('潜水記録'!$AN$5:$AN$3004,$AS165)="","",INDEX('潜水記録'!$AN$5:$AN$3004,$AS165)))</f>
        <v/>
      </c>
      <c r="AJ165" s="14">
        <f>IF($A165="","",IF(INDEX('潜水記録'!$AO$5:$AO$3004,$AS165)="","",INDEX('潜水記録'!$AO$5:$AO$3004,$AS165)))</f>
        <v/>
      </c>
      <c r="AK165" s="14">
        <f>IF($A165="","",IF(INDEX('潜水記録'!$AP$5:$AP$3004,$AS165)="","",INDEX('潜水記録'!$AP$5:$AP$3004,$AS165)))</f>
        <v/>
      </c>
      <c r="AL165" s="14">
        <f>IF($A165="","",IF(INDEX('潜水記録'!$AQ$5:$AQ$3004,$AS165)="","",INDEX('潜水記録'!$AQ$5:$AQ$3004,$AS165)))</f>
        <v/>
      </c>
      <c r="AM165" s="14">
        <f>IF($A165="","",IF(INDEX('潜水記録'!$AR$5:$AR$3004,$AS165)="","",INDEX('潜水記録'!$AR$5:$AR$3004,$AS165)))</f>
        <v/>
      </c>
      <c r="AN165" s="14">
        <f>IF($A165="","",IF(INDEX('潜水記録'!$AS$5:$AS$3004,$AS165)="","",INDEX('潜水記録'!$AS$5:$AS$3004,$AS165)))</f>
        <v/>
      </c>
      <c r="AO165" s="14">
        <f>IF($A165="","",IF(INDEX('潜水記録'!$AT$5:$AT$3004,$AS165)="","",INDEX('潜水記録'!$AT$5:$AT$3004,$AS165)))</f>
        <v/>
      </c>
      <c r="AP165" s="14">
        <f>IF($A165="","",IF(INDEX('潜水記録'!$AU$5:$AU$3004,$AS165)="","",INDEX('潜水記録'!$AU$5:$AU$3004,$AS165)))</f>
        <v/>
      </c>
      <c r="AQ165" s="14">
        <f>IF($A165="","",IF(INDEX('潜水記録'!$AV$5:$AV$3004,$AS165)="","",INDEX('潜水記録'!$AV$5:$AV$3004,$AS165)))</f>
        <v/>
      </c>
      <c r="AR165" s="14">
        <f>IF($A165="","",IF(INDEX('潜水記録'!$AW$5:$AW$3004,$AS165)="","",INDEX('潜水記録'!$AW$5:$AW$3004,$AS165)))</f>
        <v/>
      </c>
      <c r="AS165" s="20">
        <f>IF($A165="","",MATCH($A165,'潜水記録'!$AI$5:$AI$3004,0))</f>
        <v/>
      </c>
    </row>
    <row r="166">
      <c r="A166" s="14">
        <f>IF(156&lt;=$C$8,156,"")</f>
        <v/>
      </c>
      <c r="B166" s="16">
        <f>IF($A166="","",IF(INDEX('潜水記録'!$A$5:$A$3004,$AS166)="","",INDEX('潜水記録'!$A$5:$A$3004,$AS166)))</f>
        <v/>
      </c>
      <c r="C166" s="14">
        <f>IF($A166="","",IF(INDEX('潜水記録'!$B$5:$B$3004,$AS166)="","",INDEX('潜水記録'!$B$5:$B$3004,$AS166)))</f>
        <v/>
      </c>
      <c r="D166" s="14">
        <f>IF($A166="","",IF(INDEX('潜水記録'!$C$5:$C$3004,$AS166)="","",INDEX('潜水記録'!$C$5:$C$3004,$AS166)))</f>
        <v/>
      </c>
      <c r="E166" s="14">
        <f>IF($A166="","",IF(INDEX('潜水記録'!$D$5:$D$3004,$AS166)="","",INDEX('潜水記録'!$D$5:$D$3004,$AS166)))</f>
        <v/>
      </c>
      <c r="F166" s="14">
        <f>IF($A166="","",IF(INDEX('潜水記録'!$E$5:$E$3004,$AS166)="","",INDEX('潜水記録'!$E$5:$E$3004,$AS166)))</f>
        <v/>
      </c>
      <c r="G166" s="14">
        <f>IF($A166="","",IF(INDEX('潜水記録'!$F$5:$F$3004,$AS166)="","",INDEX('潜水記録'!$F$5:$F$3004,$AS166)))</f>
        <v/>
      </c>
      <c r="H166" s="14">
        <f>IF($A166="","",IF(INDEX('潜水記録'!$G$5:$G$3004,$AS166)="","",INDEX('潜水記録'!$G$5:$G$3004,$AS166)))</f>
        <v/>
      </c>
      <c r="I166" s="14">
        <f>IF($A166="","",IF(INDEX('潜水記録'!$H$5:$H$3004,$AS166)="","",INDEX('潜水記録'!$H$5:$H$3004,$AS166)))</f>
        <v/>
      </c>
      <c r="J166" s="14">
        <f>IF($A166="","",IF(INDEX('潜水記録'!$I$5:$I$3004,$AS166)="","",INDEX('潜水記録'!$I$5:$I$3004,$AS166)))</f>
        <v/>
      </c>
      <c r="K166" s="14">
        <f>IF($A166="","",IF(INDEX('潜水記録'!$J$5:$J$3004,$AS166)="","",INDEX('潜水記録'!$J$5:$J$3004,$AS166)))</f>
        <v/>
      </c>
      <c r="L166" s="14">
        <f>IF($A166="","",IF(INDEX('潜水記録'!$K$5:$K$3004,$AS166)="","",INDEX('潜水記録'!$K$5:$K$3004,$AS166)))</f>
        <v/>
      </c>
      <c r="M166" s="14">
        <f>IF($A166="","",IF(INDEX('潜水記録'!$L$5:$L$3004,$AS166)="","",INDEX('潜水記録'!$L$5:$L$3004,$AS166)))</f>
        <v/>
      </c>
      <c r="N166" s="14">
        <f>IF($A166="","",IF(INDEX('潜水記録'!$M$5:$M$3004,$AS166)="","",INDEX('潜水記録'!$M$5:$M$3004,$AS166)))</f>
        <v/>
      </c>
      <c r="O166" s="14">
        <f>IF($A166="","",IF(INDEX('潜水記録'!$N$5:$N$3004,$AS166)="","",INDEX('潜水記録'!$N$5:$N$3004,$AS166)))</f>
        <v/>
      </c>
      <c r="P166" s="14">
        <f>IF($A166="","",IF(INDEX('潜水記録'!$O$5:$O$3004,$AS166)="","",INDEX('潜水記録'!$O$5:$O$3004,$AS166)))</f>
        <v/>
      </c>
      <c r="Q166" s="14">
        <f>IF($A166="","",IF(INDEX('潜水記録'!$P$5:$P$3004,$AS166)="","",INDEX('潜水記録'!$P$5:$P$3004,$AS166)))</f>
        <v/>
      </c>
      <c r="R166" s="14">
        <f>IF($A166="","",IF(INDEX('潜水記録'!$Q$5:$Q$3004,$AS166)="","",INDEX('潜水記録'!$Q$5:$Q$3004,$AS166)))</f>
        <v/>
      </c>
      <c r="S166" s="14">
        <f>IF($A166="","",IF(INDEX('潜水記録'!$R$5:$R$3004,$AS166)="","",INDEX('潜水記録'!$R$5:$R$3004,$AS166)))</f>
        <v/>
      </c>
      <c r="T166" s="14">
        <f>IF($A166="","",IF(INDEX('潜水記録'!$S$5:$S$3004,$AS166)="","",INDEX('潜水記録'!$S$5:$S$3004,$AS166)))</f>
        <v/>
      </c>
      <c r="U166" s="14">
        <f>IF($A166="","",IF(INDEX('潜水記録'!$T$5:$T$3004,$AS166)="","",INDEX('潜水記録'!$T$5:$T$3004,$AS166)))</f>
        <v/>
      </c>
      <c r="V166" s="46">
        <f>IF($A166="","",IF(INDEX('潜水記録'!$U$5:$U$3004,$AS166)="","",INDEX('潜水記録'!$U$5:$U$3004,$AS166)))</f>
        <v/>
      </c>
      <c r="W166" s="46">
        <f>IF($A166="","",IF(INDEX('潜水記録'!$V$5:$V$3004,$AS166)="","",INDEX('潜水記録'!$V$5:$V$3004,$AS166)))</f>
        <v/>
      </c>
      <c r="X166" s="14">
        <f>IF($A166="","",IF(INDEX('潜水記録'!$W$5:$W$3004,$AS166)="","",INDEX('潜水記録'!$W$5:$W$3004,$AS166)))</f>
        <v/>
      </c>
      <c r="Y166" s="14">
        <f>IF($A166="","",IF(INDEX('潜水記録'!$X$5:$X$3004,$AS166)="","",INDEX('潜水記録'!$X$5:$X$3004,$AS166)))</f>
        <v/>
      </c>
      <c r="Z166" s="14">
        <f>IF($A166="","",IF(INDEX('潜水記録'!$Y$5:$Y$3004,$AS166)="","",INDEX('潜水記録'!$Y$5:$Y$3004,$AS166)))</f>
        <v/>
      </c>
      <c r="AA166" s="14">
        <f>IF($A166="","",IF(INDEX('潜水記録'!$Z$5:$Z$3004,$AS166)="","",INDEX('潜水記録'!$Z$5:$Z$3004,$AS166)))</f>
        <v/>
      </c>
      <c r="AB166" s="14">
        <f>IF($A166="","",IF(INDEX('潜水記録'!$AA$5:$AA$3004,$AS166)="","",INDEX('潜水記録'!$AA$5:$AA$3004,$AS166)))</f>
        <v/>
      </c>
      <c r="AC166" s="14">
        <f>IF($A166="","",IF(INDEX('潜水記録'!$AB$5:$AB$3004,$AS166)="","",INDEX('潜水記録'!$AB$5:$AB$3004,$AS166)))</f>
        <v/>
      </c>
      <c r="AD166" s="14">
        <f>IF($A166="","",IF(INDEX('潜水記録'!$AC$5:$AC$3004,$AS166)="","",INDEX('潜水記録'!$AC$5:$AC$3004,$AS166)))</f>
        <v/>
      </c>
      <c r="AE166" s="14">
        <f>IF($A166="","",IF(INDEX('潜水記録'!$AD$5:$AD$3004,$AS166)="","",INDEX('潜水記録'!$AD$5:$AD$3004,$AS166)))</f>
        <v/>
      </c>
      <c r="AF166" s="14">
        <f>IF($A166="","",IF(INDEX('潜水記録'!$AE$5:$AE$3004,$AS166)="","",INDEX('潜水記録'!$AE$5:$AE$3004,$AS166)))</f>
        <v/>
      </c>
      <c r="AG166" s="14">
        <f>IF($A166="","",IF(INDEX('潜水記録'!$AL$5:$AL$3004,$AS166)="","",INDEX('潜水記録'!$AL$5:$AL$3004,$AS166)))</f>
        <v/>
      </c>
      <c r="AH166" s="14">
        <f>IF($A166="","",IF(INDEX('潜水記録'!$AM$5:$AM$3004,$AS166)="","",INDEX('潜水記録'!$AM$5:$AM$3004,$AS166)))</f>
        <v/>
      </c>
      <c r="AI166" s="46">
        <f>IF($A166="","",IF(INDEX('潜水記録'!$AN$5:$AN$3004,$AS166)="","",INDEX('潜水記録'!$AN$5:$AN$3004,$AS166)))</f>
        <v/>
      </c>
      <c r="AJ166" s="14">
        <f>IF($A166="","",IF(INDEX('潜水記録'!$AO$5:$AO$3004,$AS166)="","",INDEX('潜水記録'!$AO$5:$AO$3004,$AS166)))</f>
        <v/>
      </c>
      <c r="AK166" s="14">
        <f>IF($A166="","",IF(INDEX('潜水記録'!$AP$5:$AP$3004,$AS166)="","",INDEX('潜水記録'!$AP$5:$AP$3004,$AS166)))</f>
        <v/>
      </c>
      <c r="AL166" s="14">
        <f>IF($A166="","",IF(INDEX('潜水記録'!$AQ$5:$AQ$3004,$AS166)="","",INDEX('潜水記録'!$AQ$5:$AQ$3004,$AS166)))</f>
        <v/>
      </c>
      <c r="AM166" s="14">
        <f>IF($A166="","",IF(INDEX('潜水記録'!$AR$5:$AR$3004,$AS166)="","",INDEX('潜水記録'!$AR$5:$AR$3004,$AS166)))</f>
        <v/>
      </c>
      <c r="AN166" s="14">
        <f>IF($A166="","",IF(INDEX('潜水記録'!$AS$5:$AS$3004,$AS166)="","",INDEX('潜水記録'!$AS$5:$AS$3004,$AS166)))</f>
        <v/>
      </c>
      <c r="AO166" s="14">
        <f>IF($A166="","",IF(INDEX('潜水記録'!$AT$5:$AT$3004,$AS166)="","",INDEX('潜水記録'!$AT$5:$AT$3004,$AS166)))</f>
        <v/>
      </c>
      <c r="AP166" s="14">
        <f>IF($A166="","",IF(INDEX('潜水記録'!$AU$5:$AU$3004,$AS166)="","",INDEX('潜水記録'!$AU$5:$AU$3004,$AS166)))</f>
        <v/>
      </c>
      <c r="AQ166" s="14">
        <f>IF($A166="","",IF(INDEX('潜水記録'!$AV$5:$AV$3004,$AS166)="","",INDEX('潜水記録'!$AV$5:$AV$3004,$AS166)))</f>
        <v/>
      </c>
      <c r="AR166" s="14">
        <f>IF($A166="","",IF(INDEX('潜水記録'!$AW$5:$AW$3004,$AS166)="","",INDEX('潜水記録'!$AW$5:$AW$3004,$AS166)))</f>
        <v/>
      </c>
      <c r="AS166" s="20">
        <f>IF($A166="","",MATCH($A166,'潜水記録'!$AI$5:$AI$3004,0))</f>
        <v/>
      </c>
    </row>
    <row r="167">
      <c r="A167" s="14">
        <f>IF(157&lt;=$C$8,157,"")</f>
        <v/>
      </c>
      <c r="B167" s="16">
        <f>IF($A167="","",IF(INDEX('潜水記録'!$A$5:$A$3004,$AS167)="","",INDEX('潜水記録'!$A$5:$A$3004,$AS167)))</f>
        <v/>
      </c>
      <c r="C167" s="14">
        <f>IF($A167="","",IF(INDEX('潜水記録'!$B$5:$B$3004,$AS167)="","",INDEX('潜水記録'!$B$5:$B$3004,$AS167)))</f>
        <v/>
      </c>
      <c r="D167" s="14">
        <f>IF($A167="","",IF(INDEX('潜水記録'!$C$5:$C$3004,$AS167)="","",INDEX('潜水記録'!$C$5:$C$3004,$AS167)))</f>
        <v/>
      </c>
      <c r="E167" s="14">
        <f>IF($A167="","",IF(INDEX('潜水記録'!$D$5:$D$3004,$AS167)="","",INDEX('潜水記録'!$D$5:$D$3004,$AS167)))</f>
        <v/>
      </c>
      <c r="F167" s="14">
        <f>IF($A167="","",IF(INDEX('潜水記録'!$E$5:$E$3004,$AS167)="","",INDEX('潜水記録'!$E$5:$E$3004,$AS167)))</f>
        <v/>
      </c>
      <c r="G167" s="14">
        <f>IF($A167="","",IF(INDEX('潜水記録'!$F$5:$F$3004,$AS167)="","",INDEX('潜水記録'!$F$5:$F$3004,$AS167)))</f>
        <v/>
      </c>
      <c r="H167" s="14">
        <f>IF($A167="","",IF(INDEX('潜水記録'!$G$5:$G$3004,$AS167)="","",INDEX('潜水記録'!$G$5:$G$3004,$AS167)))</f>
        <v/>
      </c>
      <c r="I167" s="14">
        <f>IF($A167="","",IF(INDEX('潜水記録'!$H$5:$H$3004,$AS167)="","",INDEX('潜水記録'!$H$5:$H$3004,$AS167)))</f>
        <v/>
      </c>
      <c r="J167" s="14">
        <f>IF($A167="","",IF(INDEX('潜水記録'!$I$5:$I$3004,$AS167)="","",INDEX('潜水記録'!$I$5:$I$3004,$AS167)))</f>
        <v/>
      </c>
      <c r="K167" s="14">
        <f>IF($A167="","",IF(INDEX('潜水記録'!$J$5:$J$3004,$AS167)="","",INDEX('潜水記録'!$J$5:$J$3004,$AS167)))</f>
        <v/>
      </c>
      <c r="L167" s="14">
        <f>IF($A167="","",IF(INDEX('潜水記録'!$K$5:$K$3004,$AS167)="","",INDEX('潜水記録'!$K$5:$K$3004,$AS167)))</f>
        <v/>
      </c>
      <c r="M167" s="14">
        <f>IF($A167="","",IF(INDEX('潜水記録'!$L$5:$L$3004,$AS167)="","",INDEX('潜水記録'!$L$5:$L$3004,$AS167)))</f>
        <v/>
      </c>
      <c r="N167" s="14">
        <f>IF($A167="","",IF(INDEX('潜水記録'!$M$5:$M$3004,$AS167)="","",INDEX('潜水記録'!$M$5:$M$3004,$AS167)))</f>
        <v/>
      </c>
      <c r="O167" s="14">
        <f>IF($A167="","",IF(INDEX('潜水記録'!$N$5:$N$3004,$AS167)="","",INDEX('潜水記録'!$N$5:$N$3004,$AS167)))</f>
        <v/>
      </c>
      <c r="P167" s="14">
        <f>IF($A167="","",IF(INDEX('潜水記録'!$O$5:$O$3004,$AS167)="","",INDEX('潜水記録'!$O$5:$O$3004,$AS167)))</f>
        <v/>
      </c>
      <c r="Q167" s="14">
        <f>IF($A167="","",IF(INDEX('潜水記録'!$P$5:$P$3004,$AS167)="","",INDEX('潜水記録'!$P$5:$P$3004,$AS167)))</f>
        <v/>
      </c>
      <c r="R167" s="14">
        <f>IF($A167="","",IF(INDEX('潜水記録'!$Q$5:$Q$3004,$AS167)="","",INDEX('潜水記録'!$Q$5:$Q$3004,$AS167)))</f>
        <v/>
      </c>
      <c r="S167" s="14">
        <f>IF($A167="","",IF(INDEX('潜水記録'!$R$5:$R$3004,$AS167)="","",INDEX('潜水記録'!$R$5:$R$3004,$AS167)))</f>
        <v/>
      </c>
      <c r="T167" s="14">
        <f>IF($A167="","",IF(INDEX('潜水記録'!$S$5:$S$3004,$AS167)="","",INDEX('潜水記録'!$S$5:$S$3004,$AS167)))</f>
        <v/>
      </c>
      <c r="U167" s="14">
        <f>IF($A167="","",IF(INDEX('潜水記録'!$T$5:$T$3004,$AS167)="","",INDEX('潜水記録'!$T$5:$T$3004,$AS167)))</f>
        <v/>
      </c>
      <c r="V167" s="46">
        <f>IF($A167="","",IF(INDEX('潜水記録'!$U$5:$U$3004,$AS167)="","",INDEX('潜水記録'!$U$5:$U$3004,$AS167)))</f>
        <v/>
      </c>
      <c r="W167" s="46">
        <f>IF($A167="","",IF(INDEX('潜水記録'!$V$5:$V$3004,$AS167)="","",INDEX('潜水記録'!$V$5:$V$3004,$AS167)))</f>
        <v/>
      </c>
      <c r="X167" s="14">
        <f>IF($A167="","",IF(INDEX('潜水記録'!$W$5:$W$3004,$AS167)="","",INDEX('潜水記録'!$W$5:$W$3004,$AS167)))</f>
        <v/>
      </c>
      <c r="Y167" s="14">
        <f>IF($A167="","",IF(INDEX('潜水記録'!$X$5:$X$3004,$AS167)="","",INDEX('潜水記録'!$X$5:$X$3004,$AS167)))</f>
        <v/>
      </c>
      <c r="Z167" s="14">
        <f>IF($A167="","",IF(INDEX('潜水記録'!$Y$5:$Y$3004,$AS167)="","",INDEX('潜水記録'!$Y$5:$Y$3004,$AS167)))</f>
        <v/>
      </c>
      <c r="AA167" s="14">
        <f>IF($A167="","",IF(INDEX('潜水記録'!$Z$5:$Z$3004,$AS167)="","",INDEX('潜水記録'!$Z$5:$Z$3004,$AS167)))</f>
        <v/>
      </c>
      <c r="AB167" s="14">
        <f>IF($A167="","",IF(INDEX('潜水記録'!$AA$5:$AA$3004,$AS167)="","",INDEX('潜水記録'!$AA$5:$AA$3004,$AS167)))</f>
        <v/>
      </c>
      <c r="AC167" s="14">
        <f>IF($A167="","",IF(INDEX('潜水記録'!$AB$5:$AB$3004,$AS167)="","",INDEX('潜水記録'!$AB$5:$AB$3004,$AS167)))</f>
        <v/>
      </c>
      <c r="AD167" s="14">
        <f>IF($A167="","",IF(INDEX('潜水記録'!$AC$5:$AC$3004,$AS167)="","",INDEX('潜水記録'!$AC$5:$AC$3004,$AS167)))</f>
        <v/>
      </c>
      <c r="AE167" s="14">
        <f>IF($A167="","",IF(INDEX('潜水記録'!$AD$5:$AD$3004,$AS167)="","",INDEX('潜水記録'!$AD$5:$AD$3004,$AS167)))</f>
        <v/>
      </c>
      <c r="AF167" s="14">
        <f>IF($A167="","",IF(INDEX('潜水記録'!$AE$5:$AE$3004,$AS167)="","",INDEX('潜水記録'!$AE$5:$AE$3004,$AS167)))</f>
        <v/>
      </c>
      <c r="AG167" s="14">
        <f>IF($A167="","",IF(INDEX('潜水記録'!$AL$5:$AL$3004,$AS167)="","",INDEX('潜水記録'!$AL$5:$AL$3004,$AS167)))</f>
        <v/>
      </c>
      <c r="AH167" s="14">
        <f>IF($A167="","",IF(INDEX('潜水記録'!$AM$5:$AM$3004,$AS167)="","",INDEX('潜水記録'!$AM$5:$AM$3004,$AS167)))</f>
        <v/>
      </c>
      <c r="AI167" s="46">
        <f>IF($A167="","",IF(INDEX('潜水記録'!$AN$5:$AN$3004,$AS167)="","",INDEX('潜水記録'!$AN$5:$AN$3004,$AS167)))</f>
        <v/>
      </c>
      <c r="AJ167" s="14">
        <f>IF($A167="","",IF(INDEX('潜水記録'!$AO$5:$AO$3004,$AS167)="","",INDEX('潜水記録'!$AO$5:$AO$3004,$AS167)))</f>
        <v/>
      </c>
      <c r="AK167" s="14">
        <f>IF($A167="","",IF(INDEX('潜水記録'!$AP$5:$AP$3004,$AS167)="","",INDEX('潜水記録'!$AP$5:$AP$3004,$AS167)))</f>
        <v/>
      </c>
      <c r="AL167" s="14">
        <f>IF($A167="","",IF(INDEX('潜水記録'!$AQ$5:$AQ$3004,$AS167)="","",INDEX('潜水記録'!$AQ$5:$AQ$3004,$AS167)))</f>
        <v/>
      </c>
      <c r="AM167" s="14">
        <f>IF($A167="","",IF(INDEX('潜水記録'!$AR$5:$AR$3004,$AS167)="","",INDEX('潜水記録'!$AR$5:$AR$3004,$AS167)))</f>
        <v/>
      </c>
      <c r="AN167" s="14">
        <f>IF($A167="","",IF(INDEX('潜水記録'!$AS$5:$AS$3004,$AS167)="","",INDEX('潜水記録'!$AS$5:$AS$3004,$AS167)))</f>
        <v/>
      </c>
      <c r="AO167" s="14">
        <f>IF($A167="","",IF(INDEX('潜水記録'!$AT$5:$AT$3004,$AS167)="","",INDEX('潜水記録'!$AT$5:$AT$3004,$AS167)))</f>
        <v/>
      </c>
      <c r="AP167" s="14">
        <f>IF($A167="","",IF(INDEX('潜水記録'!$AU$5:$AU$3004,$AS167)="","",INDEX('潜水記録'!$AU$5:$AU$3004,$AS167)))</f>
        <v/>
      </c>
      <c r="AQ167" s="14">
        <f>IF($A167="","",IF(INDEX('潜水記録'!$AV$5:$AV$3004,$AS167)="","",INDEX('潜水記録'!$AV$5:$AV$3004,$AS167)))</f>
        <v/>
      </c>
      <c r="AR167" s="14">
        <f>IF($A167="","",IF(INDEX('潜水記録'!$AW$5:$AW$3004,$AS167)="","",INDEX('潜水記録'!$AW$5:$AW$3004,$AS167)))</f>
        <v/>
      </c>
      <c r="AS167" s="20">
        <f>IF($A167="","",MATCH($A167,'潜水記録'!$AI$5:$AI$3004,0))</f>
        <v/>
      </c>
    </row>
    <row r="168">
      <c r="A168" s="14">
        <f>IF(158&lt;=$C$8,158,"")</f>
        <v/>
      </c>
      <c r="B168" s="16">
        <f>IF($A168="","",IF(INDEX('潜水記録'!$A$5:$A$3004,$AS168)="","",INDEX('潜水記録'!$A$5:$A$3004,$AS168)))</f>
        <v/>
      </c>
      <c r="C168" s="14">
        <f>IF($A168="","",IF(INDEX('潜水記録'!$B$5:$B$3004,$AS168)="","",INDEX('潜水記録'!$B$5:$B$3004,$AS168)))</f>
        <v/>
      </c>
      <c r="D168" s="14">
        <f>IF($A168="","",IF(INDEX('潜水記録'!$C$5:$C$3004,$AS168)="","",INDEX('潜水記録'!$C$5:$C$3004,$AS168)))</f>
        <v/>
      </c>
      <c r="E168" s="14">
        <f>IF($A168="","",IF(INDEX('潜水記録'!$D$5:$D$3004,$AS168)="","",INDEX('潜水記録'!$D$5:$D$3004,$AS168)))</f>
        <v/>
      </c>
      <c r="F168" s="14">
        <f>IF($A168="","",IF(INDEX('潜水記録'!$E$5:$E$3004,$AS168)="","",INDEX('潜水記録'!$E$5:$E$3004,$AS168)))</f>
        <v/>
      </c>
      <c r="G168" s="14">
        <f>IF($A168="","",IF(INDEX('潜水記録'!$F$5:$F$3004,$AS168)="","",INDEX('潜水記録'!$F$5:$F$3004,$AS168)))</f>
        <v/>
      </c>
      <c r="H168" s="14">
        <f>IF($A168="","",IF(INDEX('潜水記録'!$G$5:$G$3004,$AS168)="","",INDEX('潜水記録'!$G$5:$G$3004,$AS168)))</f>
        <v/>
      </c>
      <c r="I168" s="14">
        <f>IF($A168="","",IF(INDEX('潜水記録'!$H$5:$H$3004,$AS168)="","",INDEX('潜水記録'!$H$5:$H$3004,$AS168)))</f>
        <v/>
      </c>
      <c r="J168" s="14">
        <f>IF($A168="","",IF(INDEX('潜水記録'!$I$5:$I$3004,$AS168)="","",INDEX('潜水記録'!$I$5:$I$3004,$AS168)))</f>
        <v/>
      </c>
      <c r="K168" s="14">
        <f>IF($A168="","",IF(INDEX('潜水記録'!$J$5:$J$3004,$AS168)="","",INDEX('潜水記録'!$J$5:$J$3004,$AS168)))</f>
        <v/>
      </c>
      <c r="L168" s="14">
        <f>IF($A168="","",IF(INDEX('潜水記録'!$K$5:$K$3004,$AS168)="","",INDEX('潜水記録'!$K$5:$K$3004,$AS168)))</f>
        <v/>
      </c>
      <c r="M168" s="14">
        <f>IF($A168="","",IF(INDEX('潜水記録'!$L$5:$L$3004,$AS168)="","",INDEX('潜水記録'!$L$5:$L$3004,$AS168)))</f>
        <v/>
      </c>
      <c r="N168" s="14">
        <f>IF($A168="","",IF(INDEX('潜水記録'!$M$5:$M$3004,$AS168)="","",INDEX('潜水記録'!$M$5:$M$3004,$AS168)))</f>
        <v/>
      </c>
      <c r="O168" s="14">
        <f>IF($A168="","",IF(INDEX('潜水記録'!$N$5:$N$3004,$AS168)="","",INDEX('潜水記録'!$N$5:$N$3004,$AS168)))</f>
        <v/>
      </c>
      <c r="P168" s="14">
        <f>IF($A168="","",IF(INDEX('潜水記録'!$O$5:$O$3004,$AS168)="","",INDEX('潜水記録'!$O$5:$O$3004,$AS168)))</f>
        <v/>
      </c>
      <c r="Q168" s="14">
        <f>IF($A168="","",IF(INDEX('潜水記録'!$P$5:$P$3004,$AS168)="","",INDEX('潜水記録'!$P$5:$P$3004,$AS168)))</f>
        <v/>
      </c>
      <c r="R168" s="14">
        <f>IF($A168="","",IF(INDEX('潜水記録'!$Q$5:$Q$3004,$AS168)="","",INDEX('潜水記録'!$Q$5:$Q$3004,$AS168)))</f>
        <v/>
      </c>
      <c r="S168" s="14">
        <f>IF($A168="","",IF(INDEX('潜水記録'!$R$5:$R$3004,$AS168)="","",INDEX('潜水記録'!$R$5:$R$3004,$AS168)))</f>
        <v/>
      </c>
      <c r="T168" s="14">
        <f>IF($A168="","",IF(INDEX('潜水記録'!$S$5:$S$3004,$AS168)="","",INDEX('潜水記録'!$S$5:$S$3004,$AS168)))</f>
        <v/>
      </c>
      <c r="U168" s="14">
        <f>IF($A168="","",IF(INDEX('潜水記録'!$T$5:$T$3004,$AS168)="","",INDEX('潜水記録'!$T$5:$T$3004,$AS168)))</f>
        <v/>
      </c>
      <c r="V168" s="46">
        <f>IF($A168="","",IF(INDEX('潜水記録'!$U$5:$U$3004,$AS168)="","",INDEX('潜水記録'!$U$5:$U$3004,$AS168)))</f>
        <v/>
      </c>
      <c r="W168" s="46">
        <f>IF($A168="","",IF(INDEX('潜水記録'!$V$5:$V$3004,$AS168)="","",INDEX('潜水記録'!$V$5:$V$3004,$AS168)))</f>
        <v/>
      </c>
      <c r="X168" s="14">
        <f>IF($A168="","",IF(INDEX('潜水記録'!$W$5:$W$3004,$AS168)="","",INDEX('潜水記録'!$W$5:$W$3004,$AS168)))</f>
        <v/>
      </c>
      <c r="Y168" s="14">
        <f>IF($A168="","",IF(INDEX('潜水記録'!$X$5:$X$3004,$AS168)="","",INDEX('潜水記録'!$X$5:$X$3004,$AS168)))</f>
        <v/>
      </c>
      <c r="Z168" s="14">
        <f>IF($A168="","",IF(INDEX('潜水記録'!$Y$5:$Y$3004,$AS168)="","",INDEX('潜水記録'!$Y$5:$Y$3004,$AS168)))</f>
        <v/>
      </c>
      <c r="AA168" s="14">
        <f>IF($A168="","",IF(INDEX('潜水記録'!$Z$5:$Z$3004,$AS168)="","",INDEX('潜水記録'!$Z$5:$Z$3004,$AS168)))</f>
        <v/>
      </c>
      <c r="AB168" s="14">
        <f>IF($A168="","",IF(INDEX('潜水記録'!$AA$5:$AA$3004,$AS168)="","",INDEX('潜水記録'!$AA$5:$AA$3004,$AS168)))</f>
        <v/>
      </c>
      <c r="AC168" s="14">
        <f>IF($A168="","",IF(INDEX('潜水記録'!$AB$5:$AB$3004,$AS168)="","",INDEX('潜水記録'!$AB$5:$AB$3004,$AS168)))</f>
        <v/>
      </c>
      <c r="AD168" s="14">
        <f>IF($A168="","",IF(INDEX('潜水記録'!$AC$5:$AC$3004,$AS168)="","",INDEX('潜水記録'!$AC$5:$AC$3004,$AS168)))</f>
        <v/>
      </c>
      <c r="AE168" s="14">
        <f>IF($A168="","",IF(INDEX('潜水記録'!$AD$5:$AD$3004,$AS168)="","",INDEX('潜水記録'!$AD$5:$AD$3004,$AS168)))</f>
        <v/>
      </c>
      <c r="AF168" s="14">
        <f>IF($A168="","",IF(INDEX('潜水記録'!$AE$5:$AE$3004,$AS168)="","",INDEX('潜水記録'!$AE$5:$AE$3004,$AS168)))</f>
        <v/>
      </c>
      <c r="AG168" s="14">
        <f>IF($A168="","",IF(INDEX('潜水記録'!$AL$5:$AL$3004,$AS168)="","",INDEX('潜水記録'!$AL$5:$AL$3004,$AS168)))</f>
        <v/>
      </c>
      <c r="AH168" s="14">
        <f>IF($A168="","",IF(INDEX('潜水記録'!$AM$5:$AM$3004,$AS168)="","",INDEX('潜水記録'!$AM$5:$AM$3004,$AS168)))</f>
        <v/>
      </c>
      <c r="AI168" s="46">
        <f>IF($A168="","",IF(INDEX('潜水記録'!$AN$5:$AN$3004,$AS168)="","",INDEX('潜水記録'!$AN$5:$AN$3004,$AS168)))</f>
        <v/>
      </c>
      <c r="AJ168" s="14">
        <f>IF($A168="","",IF(INDEX('潜水記録'!$AO$5:$AO$3004,$AS168)="","",INDEX('潜水記録'!$AO$5:$AO$3004,$AS168)))</f>
        <v/>
      </c>
      <c r="AK168" s="14">
        <f>IF($A168="","",IF(INDEX('潜水記録'!$AP$5:$AP$3004,$AS168)="","",INDEX('潜水記録'!$AP$5:$AP$3004,$AS168)))</f>
        <v/>
      </c>
      <c r="AL168" s="14">
        <f>IF($A168="","",IF(INDEX('潜水記録'!$AQ$5:$AQ$3004,$AS168)="","",INDEX('潜水記録'!$AQ$5:$AQ$3004,$AS168)))</f>
        <v/>
      </c>
      <c r="AM168" s="14">
        <f>IF($A168="","",IF(INDEX('潜水記録'!$AR$5:$AR$3004,$AS168)="","",INDEX('潜水記録'!$AR$5:$AR$3004,$AS168)))</f>
        <v/>
      </c>
      <c r="AN168" s="14">
        <f>IF($A168="","",IF(INDEX('潜水記録'!$AS$5:$AS$3004,$AS168)="","",INDEX('潜水記録'!$AS$5:$AS$3004,$AS168)))</f>
        <v/>
      </c>
      <c r="AO168" s="14">
        <f>IF($A168="","",IF(INDEX('潜水記録'!$AT$5:$AT$3004,$AS168)="","",INDEX('潜水記録'!$AT$5:$AT$3004,$AS168)))</f>
        <v/>
      </c>
      <c r="AP168" s="14">
        <f>IF($A168="","",IF(INDEX('潜水記録'!$AU$5:$AU$3004,$AS168)="","",INDEX('潜水記録'!$AU$5:$AU$3004,$AS168)))</f>
        <v/>
      </c>
      <c r="AQ168" s="14">
        <f>IF($A168="","",IF(INDEX('潜水記録'!$AV$5:$AV$3004,$AS168)="","",INDEX('潜水記録'!$AV$5:$AV$3004,$AS168)))</f>
        <v/>
      </c>
      <c r="AR168" s="14">
        <f>IF($A168="","",IF(INDEX('潜水記録'!$AW$5:$AW$3004,$AS168)="","",INDEX('潜水記録'!$AW$5:$AW$3004,$AS168)))</f>
        <v/>
      </c>
      <c r="AS168" s="20">
        <f>IF($A168="","",MATCH($A168,'潜水記録'!$AI$5:$AI$3004,0))</f>
        <v/>
      </c>
    </row>
    <row r="169">
      <c r="A169" s="14">
        <f>IF(159&lt;=$C$8,159,"")</f>
        <v/>
      </c>
      <c r="B169" s="16">
        <f>IF($A169="","",IF(INDEX('潜水記録'!$A$5:$A$3004,$AS169)="","",INDEX('潜水記録'!$A$5:$A$3004,$AS169)))</f>
        <v/>
      </c>
      <c r="C169" s="14">
        <f>IF($A169="","",IF(INDEX('潜水記録'!$B$5:$B$3004,$AS169)="","",INDEX('潜水記録'!$B$5:$B$3004,$AS169)))</f>
        <v/>
      </c>
      <c r="D169" s="14">
        <f>IF($A169="","",IF(INDEX('潜水記録'!$C$5:$C$3004,$AS169)="","",INDEX('潜水記録'!$C$5:$C$3004,$AS169)))</f>
        <v/>
      </c>
      <c r="E169" s="14">
        <f>IF($A169="","",IF(INDEX('潜水記録'!$D$5:$D$3004,$AS169)="","",INDEX('潜水記録'!$D$5:$D$3004,$AS169)))</f>
        <v/>
      </c>
      <c r="F169" s="14">
        <f>IF($A169="","",IF(INDEX('潜水記録'!$E$5:$E$3004,$AS169)="","",INDEX('潜水記録'!$E$5:$E$3004,$AS169)))</f>
        <v/>
      </c>
      <c r="G169" s="14">
        <f>IF($A169="","",IF(INDEX('潜水記録'!$F$5:$F$3004,$AS169)="","",INDEX('潜水記録'!$F$5:$F$3004,$AS169)))</f>
        <v/>
      </c>
      <c r="H169" s="14">
        <f>IF($A169="","",IF(INDEX('潜水記録'!$G$5:$G$3004,$AS169)="","",INDEX('潜水記録'!$G$5:$G$3004,$AS169)))</f>
        <v/>
      </c>
      <c r="I169" s="14">
        <f>IF($A169="","",IF(INDEX('潜水記録'!$H$5:$H$3004,$AS169)="","",INDEX('潜水記録'!$H$5:$H$3004,$AS169)))</f>
        <v/>
      </c>
      <c r="J169" s="14">
        <f>IF($A169="","",IF(INDEX('潜水記録'!$I$5:$I$3004,$AS169)="","",INDEX('潜水記録'!$I$5:$I$3004,$AS169)))</f>
        <v/>
      </c>
      <c r="K169" s="14">
        <f>IF($A169="","",IF(INDEX('潜水記録'!$J$5:$J$3004,$AS169)="","",INDEX('潜水記録'!$J$5:$J$3004,$AS169)))</f>
        <v/>
      </c>
      <c r="L169" s="14">
        <f>IF($A169="","",IF(INDEX('潜水記録'!$K$5:$K$3004,$AS169)="","",INDEX('潜水記録'!$K$5:$K$3004,$AS169)))</f>
        <v/>
      </c>
      <c r="M169" s="14">
        <f>IF($A169="","",IF(INDEX('潜水記録'!$L$5:$L$3004,$AS169)="","",INDEX('潜水記録'!$L$5:$L$3004,$AS169)))</f>
        <v/>
      </c>
      <c r="N169" s="14">
        <f>IF($A169="","",IF(INDEX('潜水記録'!$M$5:$M$3004,$AS169)="","",INDEX('潜水記録'!$M$5:$M$3004,$AS169)))</f>
        <v/>
      </c>
      <c r="O169" s="14">
        <f>IF($A169="","",IF(INDEX('潜水記録'!$N$5:$N$3004,$AS169)="","",INDEX('潜水記録'!$N$5:$N$3004,$AS169)))</f>
        <v/>
      </c>
      <c r="P169" s="14">
        <f>IF($A169="","",IF(INDEX('潜水記録'!$O$5:$O$3004,$AS169)="","",INDEX('潜水記録'!$O$5:$O$3004,$AS169)))</f>
        <v/>
      </c>
      <c r="Q169" s="14">
        <f>IF($A169="","",IF(INDEX('潜水記録'!$P$5:$P$3004,$AS169)="","",INDEX('潜水記録'!$P$5:$P$3004,$AS169)))</f>
        <v/>
      </c>
      <c r="R169" s="14">
        <f>IF($A169="","",IF(INDEX('潜水記録'!$Q$5:$Q$3004,$AS169)="","",INDEX('潜水記録'!$Q$5:$Q$3004,$AS169)))</f>
        <v/>
      </c>
      <c r="S169" s="14">
        <f>IF($A169="","",IF(INDEX('潜水記録'!$R$5:$R$3004,$AS169)="","",INDEX('潜水記録'!$R$5:$R$3004,$AS169)))</f>
        <v/>
      </c>
      <c r="T169" s="14">
        <f>IF($A169="","",IF(INDEX('潜水記録'!$S$5:$S$3004,$AS169)="","",INDEX('潜水記録'!$S$5:$S$3004,$AS169)))</f>
        <v/>
      </c>
      <c r="U169" s="14">
        <f>IF($A169="","",IF(INDEX('潜水記録'!$T$5:$T$3004,$AS169)="","",INDEX('潜水記録'!$T$5:$T$3004,$AS169)))</f>
        <v/>
      </c>
      <c r="V169" s="46">
        <f>IF($A169="","",IF(INDEX('潜水記録'!$U$5:$U$3004,$AS169)="","",INDEX('潜水記録'!$U$5:$U$3004,$AS169)))</f>
        <v/>
      </c>
      <c r="W169" s="46">
        <f>IF($A169="","",IF(INDEX('潜水記録'!$V$5:$V$3004,$AS169)="","",INDEX('潜水記録'!$V$5:$V$3004,$AS169)))</f>
        <v/>
      </c>
      <c r="X169" s="14">
        <f>IF($A169="","",IF(INDEX('潜水記録'!$W$5:$W$3004,$AS169)="","",INDEX('潜水記録'!$W$5:$W$3004,$AS169)))</f>
        <v/>
      </c>
      <c r="Y169" s="14">
        <f>IF($A169="","",IF(INDEX('潜水記録'!$X$5:$X$3004,$AS169)="","",INDEX('潜水記録'!$X$5:$X$3004,$AS169)))</f>
        <v/>
      </c>
      <c r="Z169" s="14">
        <f>IF($A169="","",IF(INDEX('潜水記録'!$Y$5:$Y$3004,$AS169)="","",INDEX('潜水記録'!$Y$5:$Y$3004,$AS169)))</f>
        <v/>
      </c>
      <c r="AA169" s="14">
        <f>IF($A169="","",IF(INDEX('潜水記録'!$Z$5:$Z$3004,$AS169)="","",INDEX('潜水記録'!$Z$5:$Z$3004,$AS169)))</f>
        <v/>
      </c>
      <c r="AB169" s="14">
        <f>IF($A169="","",IF(INDEX('潜水記録'!$AA$5:$AA$3004,$AS169)="","",INDEX('潜水記録'!$AA$5:$AA$3004,$AS169)))</f>
        <v/>
      </c>
      <c r="AC169" s="14">
        <f>IF($A169="","",IF(INDEX('潜水記録'!$AB$5:$AB$3004,$AS169)="","",INDEX('潜水記録'!$AB$5:$AB$3004,$AS169)))</f>
        <v/>
      </c>
      <c r="AD169" s="14">
        <f>IF($A169="","",IF(INDEX('潜水記録'!$AC$5:$AC$3004,$AS169)="","",INDEX('潜水記録'!$AC$5:$AC$3004,$AS169)))</f>
        <v/>
      </c>
      <c r="AE169" s="14">
        <f>IF($A169="","",IF(INDEX('潜水記録'!$AD$5:$AD$3004,$AS169)="","",INDEX('潜水記録'!$AD$5:$AD$3004,$AS169)))</f>
        <v/>
      </c>
      <c r="AF169" s="14">
        <f>IF($A169="","",IF(INDEX('潜水記録'!$AE$5:$AE$3004,$AS169)="","",INDEX('潜水記録'!$AE$5:$AE$3004,$AS169)))</f>
        <v/>
      </c>
      <c r="AG169" s="14">
        <f>IF($A169="","",IF(INDEX('潜水記録'!$AL$5:$AL$3004,$AS169)="","",INDEX('潜水記録'!$AL$5:$AL$3004,$AS169)))</f>
        <v/>
      </c>
      <c r="AH169" s="14">
        <f>IF($A169="","",IF(INDEX('潜水記録'!$AM$5:$AM$3004,$AS169)="","",INDEX('潜水記録'!$AM$5:$AM$3004,$AS169)))</f>
        <v/>
      </c>
      <c r="AI169" s="46">
        <f>IF($A169="","",IF(INDEX('潜水記録'!$AN$5:$AN$3004,$AS169)="","",INDEX('潜水記録'!$AN$5:$AN$3004,$AS169)))</f>
        <v/>
      </c>
      <c r="AJ169" s="14">
        <f>IF($A169="","",IF(INDEX('潜水記録'!$AO$5:$AO$3004,$AS169)="","",INDEX('潜水記録'!$AO$5:$AO$3004,$AS169)))</f>
        <v/>
      </c>
      <c r="AK169" s="14">
        <f>IF($A169="","",IF(INDEX('潜水記録'!$AP$5:$AP$3004,$AS169)="","",INDEX('潜水記録'!$AP$5:$AP$3004,$AS169)))</f>
        <v/>
      </c>
      <c r="AL169" s="14">
        <f>IF($A169="","",IF(INDEX('潜水記録'!$AQ$5:$AQ$3004,$AS169)="","",INDEX('潜水記録'!$AQ$5:$AQ$3004,$AS169)))</f>
        <v/>
      </c>
      <c r="AM169" s="14">
        <f>IF($A169="","",IF(INDEX('潜水記録'!$AR$5:$AR$3004,$AS169)="","",INDEX('潜水記録'!$AR$5:$AR$3004,$AS169)))</f>
        <v/>
      </c>
      <c r="AN169" s="14">
        <f>IF($A169="","",IF(INDEX('潜水記録'!$AS$5:$AS$3004,$AS169)="","",INDEX('潜水記録'!$AS$5:$AS$3004,$AS169)))</f>
        <v/>
      </c>
      <c r="AO169" s="14">
        <f>IF($A169="","",IF(INDEX('潜水記録'!$AT$5:$AT$3004,$AS169)="","",INDEX('潜水記録'!$AT$5:$AT$3004,$AS169)))</f>
        <v/>
      </c>
      <c r="AP169" s="14">
        <f>IF($A169="","",IF(INDEX('潜水記録'!$AU$5:$AU$3004,$AS169)="","",INDEX('潜水記録'!$AU$5:$AU$3004,$AS169)))</f>
        <v/>
      </c>
      <c r="AQ169" s="14">
        <f>IF($A169="","",IF(INDEX('潜水記録'!$AV$5:$AV$3004,$AS169)="","",INDEX('潜水記録'!$AV$5:$AV$3004,$AS169)))</f>
        <v/>
      </c>
      <c r="AR169" s="14">
        <f>IF($A169="","",IF(INDEX('潜水記録'!$AW$5:$AW$3004,$AS169)="","",INDEX('潜水記録'!$AW$5:$AW$3004,$AS169)))</f>
        <v/>
      </c>
      <c r="AS169" s="20">
        <f>IF($A169="","",MATCH($A169,'潜水記録'!$AI$5:$AI$3004,0))</f>
        <v/>
      </c>
    </row>
    <row r="170">
      <c r="A170" s="14">
        <f>IF(160&lt;=$C$8,160,"")</f>
        <v/>
      </c>
      <c r="B170" s="16">
        <f>IF($A170="","",IF(INDEX('潜水記録'!$A$5:$A$3004,$AS170)="","",INDEX('潜水記録'!$A$5:$A$3004,$AS170)))</f>
        <v/>
      </c>
      <c r="C170" s="14">
        <f>IF($A170="","",IF(INDEX('潜水記録'!$B$5:$B$3004,$AS170)="","",INDEX('潜水記録'!$B$5:$B$3004,$AS170)))</f>
        <v/>
      </c>
      <c r="D170" s="14">
        <f>IF($A170="","",IF(INDEX('潜水記録'!$C$5:$C$3004,$AS170)="","",INDEX('潜水記録'!$C$5:$C$3004,$AS170)))</f>
        <v/>
      </c>
      <c r="E170" s="14">
        <f>IF($A170="","",IF(INDEX('潜水記録'!$D$5:$D$3004,$AS170)="","",INDEX('潜水記録'!$D$5:$D$3004,$AS170)))</f>
        <v/>
      </c>
      <c r="F170" s="14">
        <f>IF($A170="","",IF(INDEX('潜水記録'!$E$5:$E$3004,$AS170)="","",INDEX('潜水記録'!$E$5:$E$3004,$AS170)))</f>
        <v/>
      </c>
      <c r="G170" s="14">
        <f>IF($A170="","",IF(INDEX('潜水記録'!$F$5:$F$3004,$AS170)="","",INDEX('潜水記録'!$F$5:$F$3004,$AS170)))</f>
        <v/>
      </c>
      <c r="H170" s="14">
        <f>IF($A170="","",IF(INDEX('潜水記録'!$G$5:$G$3004,$AS170)="","",INDEX('潜水記録'!$G$5:$G$3004,$AS170)))</f>
        <v/>
      </c>
      <c r="I170" s="14">
        <f>IF($A170="","",IF(INDEX('潜水記録'!$H$5:$H$3004,$AS170)="","",INDEX('潜水記録'!$H$5:$H$3004,$AS170)))</f>
        <v/>
      </c>
      <c r="J170" s="14">
        <f>IF($A170="","",IF(INDEX('潜水記録'!$I$5:$I$3004,$AS170)="","",INDEX('潜水記録'!$I$5:$I$3004,$AS170)))</f>
        <v/>
      </c>
      <c r="K170" s="14">
        <f>IF($A170="","",IF(INDEX('潜水記録'!$J$5:$J$3004,$AS170)="","",INDEX('潜水記録'!$J$5:$J$3004,$AS170)))</f>
        <v/>
      </c>
      <c r="L170" s="14">
        <f>IF($A170="","",IF(INDEX('潜水記録'!$K$5:$K$3004,$AS170)="","",INDEX('潜水記録'!$K$5:$K$3004,$AS170)))</f>
        <v/>
      </c>
      <c r="M170" s="14">
        <f>IF($A170="","",IF(INDEX('潜水記録'!$L$5:$L$3004,$AS170)="","",INDEX('潜水記録'!$L$5:$L$3004,$AS170)))</f>
        <v/>
      </c>
      <c r="N170" s="14">
        <f>IF($A170="","",IF(INDEX('潜水記録'!$M$5:$M$3004,$AS170)="","",INDEX('潜水記録'!$M$5:$M$3004,$AS170)))</f>
        <v/>
      </c>
      <c r="O170" s="14">
        <f>IF($A170="","",IF(INDEX('潜水記録'!$N$5:$N$3004,$AS170)="","",INDEX('潜水記録'!$N$5:$N$3004,$AS170)))</f>
        <v/>
      </c>
      <c r="P170" s="14">
        <f>IF($A170="","",IF(INDEX('潜水記録'!$O$5:$O$3004,$AS170)="","",INDEX('潜水記録'!$O$5:$O$3004,$AS170)))</f>
        <v/>
      </c>
      <c r="Q170" s="14">
        <f>IF($A170="","",IF(INDEX('潜水記録'!$P$5:$P$3004,$AS170)="","",INDEX('潜水記録'!$P$5:$P$3004,$AS170)))</f>
        <v/>
      </c>
      <c r="R170" s="14">
        <f>IF($A170="","",IF(INDEX('潜水記録'!$Q$5:$Q$3004,$AS170)="","",INDEX('潜水記録'!$Q$5:$Q$3004,$AS170)))</f>
        <v/>
      </c>
      <c r="S170" s="14">
        <f>IF($A170="","",IF(INDEX('潜水記録'!$R$5:$R$3004,$AS170)="","",INDEX('潜水記録'!$R$5:$R$3004,$AS170)))</f>
        <v/>
      </c>
      <c r="T170" s="14">
        <f>IF($A170="","",IF(INDEX('潜水記録'!$S$5:$S$3004,$AS170)="","",INDEX('潜水記録'!$S$5:$S$3004,$AS170)))</f>
        <v/>
      </c>
      <c r="U170" s="14">
        <f>IF($A170="","",IF(INDEX('潜水記録'!$T$5:$T$3004,$AS170)="","",INDEX('潜水記録'!$T$5:$T$3004,$AS170)))</f>
        <v/>
      </c>
      <c r="V170" s="46">
        <f>IF($A170="","",IF(INDEX('潜水記録'!$U$5:$U$3004,$AS170)="","",INDEX('潜水記録'!$U$5:$U$3004,$AS170)))</f>
        <v/>
      </c>
      <c r="W170" s="46">
        <f>IF($A170="","",IF(INDEX('潜水記録'!$V$5:$V$3004,$AS170)="","",INDEX('潜水記録'!$V$5:$V$3004,$AS170)))</f>
        <v/>
      </c>
      <c r="X170" s="14">
        <f>IF($A170="","",IF(INDEX('潜水記録'!$W$5:$W$3004,$AS170)="","",INDEX('潜水記録'!$W$5:$W$3004,$AS170)))</f>
        <v/>
      </c>
      <c r="Y170" s="14">
        <f>IF($A170="","",IF(INDEX('潜水記録'!$X$5:$X$3004,$AS170)="","",INDEX('潜水記録'!$X$5:$X$3004,$AS170)))</f>
        <v/>
      </c>
      <c r="Z170" s="14">
        <f>IF($A170="","",IF(INDEX('潜水記録'!$Y$5:$Y$3004,$AS170)="","",INDEX('潜水記録'!$Y$5:$Y$3004,$AS170)))</f>
        <v/>
      </c>
      <c r="AA170" s="14">
        <f>IF($A170="","",IF(INDEX('潜水記録'!$Z$5:$Z$3004,$AS170)="","",INDEX('潜水記録'!$Z$5:$Z$3004,$AS170)))</f>
        <v/>
      </c>
      <c r="AB170" s="14">
        <f>IF($A170="","",IF(INDEX('潜水記録'!$AA$5:$AA$3004,$AS170)="","",INDEX('潜水記録'!$AA$5:$AA$3004,$AS170)))</f>
        <v/>
      </c>
      <c r="AC170" s="14">
        <f>IF($A170="","",IF(INDEX('潜水記録'!$AB$5:$AB$3004,$AS170)="","",INDEX('潜水記録'!$AB$5:$AB$3004,$AS170)))</f>
        <v/>
      </c>
      <c r="AD170" s="14">
        <f>IF($A170="","",IF(INDEX('潜水記録'!$AC$5:$AC$3004,$AS170)="","",INDEX('潜水記録'!$AC$5:$AC$3004,$AS170)))</f>
        <v/>
      </c>
      <c r="AE170" s="14">
        <f>IF($A170="","",IF(INDEX('潜水記録'!$AD$5:$AD$3004,$AS170)="","",INDEX('潜水記録'!$AD$5:$AD$3004,$AS170)))</f>
        <v/>
      </c>
      <c r="AF170" s="14">
        <f>IF($A170="","",IF(INDEX('潜水記録'!$AE$5:$AE$3004,$AS170)="","",INDEX('潜水記録'!$AE$5:$AE$3004,$AS170)))</f>
        <v/>
      </c>
      <c r="AG170" s="14">
        <f>IF($A170="","",IF(INDEX('潜水記録'!$AL$5:$AL$3004,$AS170)="","",INDEX('潜水記録'!$AL$5:$AL$3004,$AS170)))</f>
        <v/>
      </c>
      <c r="AH170" s="14">
        <f>IF($A170="","",IF(INDEX('潜水記録'!$AM$5:$AM$3004,$AS170)="","",INDEX('潜水記録'!$AM$5:$AM$3004,$AS170)))</f>
        <v/>
      </c>
      <c r="AI170" s="46">
        <f>IF($A170="","",IF(INDEX('潜水記録'!$AN$5:$AN$3004,$AS170)="","",INDEX('潜水記録'!$AN$5:$AN$3004,$AS170)))</f>
        <v/>
      </c>
      <c r="AJ170" s="14">
        <f>IF($A170="","",IF(INDEX('潜水記録'!$AO$5:$AO$3004,$AS170)="","",INDEX('潜水記録'!$AO$5:$AO$3004,$AS170)))</f>
        <v/>
      </c>
      <c r="AK170" s="14">
        <f>IF($A170="","",IF(INDEX('潜水記録'!$AP$5:$AP$3004,$AS170)="","",INDEX('潜水記録'!$AP$5:$AP$3004,$AS170)))</f>
        <v/>
      </c>
      <c r="AL170" s="14">
        <f>IF($A170="","",IF(INDEX('潜水記録'!$AQ$5:$AQ$3004,$AS170)="","",INDEX('潜水記録'!$AQ$5:$AQ$3004,$AS170)))</f>
        <v/>
      </c>
      <c r="AM170" s="14">
        <f>IF($A170="","",IF(INDEX('潜水記録'!$AR$5:$AR$3004,$AS170)="","",INDEX('潜水記録'!$AR$5:$AR$3004,$AS170)))</f>
        <v/>
      </c>
      <c r="AN170" s="14">
        <f>IF($A170="","",IF(INDEX('潜水記録'!$AS$5:$AS$3004,$AS170)="","",INDEX('潜水記録'!$AS$5:$AS$3004,$AS170)))</f>
        <v/>
      </c>
      <c r="AO170" s="14">
        <f>IF($A170="","",IF(INDEX('潜水記録'!$AT$5:$AT$3004,$AS170)="","",INDEX('潜水記録'!$AT$5:$AT$3004,$AS170)))</f>
        <v/>
      </c>
      <c r="AP170" s="14">
        <f>IF($A170="","",IF(INDEX('潜水記録'!$AU$5:$AU$3004,$AS170)="","",INDEX('潜水記録'!$AU$5:$AU$3004,$AS170)))</f>
        <v/>
      </c>
      <c r="AQ170" s="14">
        <f>IF($A170="","",IF(INDEX('潜水記録'!$AV$5:$AV$3004,$AS170)="","",INDEX('潜水記録'!$AV$5:$AV$3004,$AS170)))</f>
        <v/>
      </c>
      <c r="AR170" s="14">
        <f>IF($A170="","",IF(INDEX('潜水記録'!$AW$5:$AW$3004,$AS170)="","",INDEX('潜水記録'!$AW$5:$AW$3004,$AS170)))</f>
        <v/>
      </c>
      <c r="AS170" s="20">
        <f>IF($A170="","",MATCH($A170,'潜水記録'!$AI$5:$AI$3004,0))</f>
        <v/>
      </c>
    </row>
    <row r="171">
      <c r="A171" s="14">
        <f>IF(161&lt;=$C$8,161,"")</f>
        <v/>
      </c>
      <c r="B171" s="16">
        <f>IF($A171="","",IF(INDEX('潜水記録'!$A$5:$A$3004,$AS171)="","",INDEX('潜水記録'!$A$5:$A$3004,$AS171)))</f>
        <v/>
      </c>
      <c r="C171" s="14">
        <f>IF($A171="","",IF(INDEX('潜水記録'!$B$5:$B$3004,$AS171)="","",INDEX('潜水記録'!$B$5:$B$3004,$AS171)))</f>
        <v/>
      </c>
      <c r="D171" s="14">
        <f>IF($A171="","",IF(INDEX('潜水記録'!$C$5:$C$3004,$AS171)="","",INDEX('潜水記録'!$C$5:$C$3004,$AS171)))</f>
        <v/>
      </c>
      <c r="E171" s="14">
        <f>IF($A171="","",IF(INDEX('潜水記録'!$D$5:$D$3004,$AS171)="","",INDEX('潜水記録'!$D$5:$D$3004,$AS171)))</f>
        <v/>
      </c>
      <c r="F171" s="14">
        <f>IF($A171="","",IF(INDEX('潜水記録'!$E$5:$E$3004,$AS171)="","",INDEX('潜水記録'!$E$5:$E$3004,$AS171)))</f>
        <v/>
      </c>
      <c r="G171" s="14">
        <f>IF($A171="","",IF(INDEX('潜水記録'!$F$5:$F$3004,$AS171)="","",INDEX('潜水記録'!$F$5:$F$3004,$AS171)))</f>
        <v/>
      </c>
      <c r="H171" s="14">
        <f>IF($A171="","",IF(INDEX('潜水記録'!$G$5:$G$3004,$AS171)="","",INDEX('潜水記録'!$G$5:$G$3004,$AS171)))</f>
        <v/>
      </c>
      <c r="I171" s="14">
        <f>IF($A171="","",IF(INDEX('潜水記録'!$H$5:$H$3004,$AS171)="","",INDEX('潜水記録'!$H$5:$H$3004,$AS171)))</f>
        <v/>
      </c>
      <c r="J171" s="14">
        <f>IF($A171="","",IF(INDEX('潜水記録'!$I$5:$I$3004,$AS171)="","",INDEX('潜水記録'!$I$5:$I$3004,$AS171)))</f>
        <v/>
      </c>
      <c r="K171" s="14">
        <f>IF($A171="","",IF(INDEX('潜水記録'!$J$5:$J$3004,$AS171)="","",INDEX('潜水記録'!$J$5:$J$3004,$AS171)))</f>
        <v/>
      </c>
      <c r="L171" s="14">
        <f>IF($A171="","",IF(INDEX('潜水記録'!$K$5:$K$3004,$AS171)="","",INDEX('潜水記録'!$K$5:$K$3004,$AS171)))</f>
        <v/>
      </c>
      <c r="M171" s="14">
        <f>IF($A171="","",IF(INDEX('潜水記録'!$L$5:$L$3004,$AS171)="","",INDEX('潜水記録'!$L$5:$L$3004,$AS171)))</f>
        <v/>
      </c>
      <c r="N171" s="14">
        <f>IF($A171="","",IF(INDEX('潜水記録'!$M$5:$M$3004,$AS171)="","",INDEX('潜水記録'!$M$5:$M$3004,$AS171)))</f>
        <v/>
      </c>
      <c r="O171" s="14">
        <f>IF($A171="","",IF(INDEX('潜水記録'!$N$5:$N$3004,$AS171)="","",INDEX('潜水記録'!$N$5:$N$3004,$AS171)))</f>
        <v/>
      </c>
      <c r="P171" s="14">
        <f>IF($A171="","",IF(INDEX('潜水記録'!$O$5:$O$3004,$AS171)="","",INDEX('潜水記録'!$O$5:$O$3004,$AS171)))</f>
        <v/>
      </c>
      <c r="Q171" s="14">
        <f>IF($A171="","",IF(INDEX('潜水記録'!$P$5:$P$3004,$AS171)="","",INDEX('潜水記録'!$P$5:$P$3004,$AS171)))</f>
        <v/>
      </c>
      <c r="R171" s="14">
        <f>IF($A171="","",IF(INDEX('潜水記録'!$Q$5:$Q$3004,$AS171)="","",INDEX('潜水記録'!$Q$5:$Q$3004,$AS171)))</f>
        <v/>
      </c>
      <c r="S171" s="14">
        <f>IF($A171="","",IF(INDEX('潜水記録'!$R$5:$R$3004,$AS171)="","",INDEX('潜水記録'!$R$5:$R$3004,$AS171)))</f>
        <v/>
      </c>
      <c r="T171" s="14">
        <f>IF($A171="","",IF(INDEX('潜水記録'!$S$5:$S$3004,$AS171)="","",INDEX('潜水記録'!$S$5:$S$3004,$AS171)))</f>
        <v/>
      </c>
      <c r="U171" s="14">
        <f>IF($A171="","",IF(INDEX('潜水記録'!$T$5:$T$3004,$AS171)="","",INDEX('潜水記録'!$T$5:$T$3004,$AS171)))</f>
        <v/>
      </c>
      <c r="V171" s="46">
        <f>IF($A171="","",IF(INDEX('潜水記録'!$U$5:$U$3004,$AS171)="","",INDEX('潜水記録'!$U$5:$U$3004,$AS171)))</f>
        <v/>
      </c>
      <c r="W171" s="46">
        <f>IF($A171="","",IF(INDEX('潜水記録'!$V$5:$V$3004,$AS171)="","",INDEX('潜水記録'!$V$5:$V$3004,$AS171)))</f>
        <v/>
      </c>
      <c r="X171" s="14">
        <f>IF($A171="","",IF(INDEX('潜水記録'!$W$5:$W$3004,$AS171)="","",INDEX('潜水記録'!$W$5:$W$3004,$AS171)))</f>
        <v/>
      </c>
      <c r="Y171" s="14">
        <f>IF($A171="","",IF(INDEX('潜水記録'!$X$5:$X$3004,$AS171)="","",INDEX('潜水記録'!$X$5:$X$3004,$AS171)))</f>
        <v/>
      </c>
      <c r="Z171" s="14">
        <f>IF($A171="","",IF(INDEX('潜水記録'!$Y$5:$Y$3004,$AS171)="","",INDEX('潜水記録'!$Y$5:$Y$3004,$AS171)))</f>
        <v/>
      </c>
      <c r="AA171" s="14">
        <f>IF($A171="","",IF(INDEX('潜水記録'!$Z$5:$Z$3004,$AS171)="","",INDEX('潜水記録'!$Z$5:$Z$3004,$AS171)))</f>
        <v/>
      </c>
      <c r="AB171" s="14">
        <f>IF($A171="","",IF(INDEX('潜水記録'!$AA$5:$AA$3004,$AS171)="","",INDEX('潜水記録'!$AA$5:$AA$3004,$AS171)))</f>
        <v/>
      </c>
      <c r="AC171" s="14">
        <f>IF($A171="","",IF(INDEX('潜水記録'!$AB$5:$AB$3004,$AS171)="","",INDEX('潜水記録'!$AB$5:$AB$3004,$AS171)))</f>
        <v/>
      </c>
      <c r="AD171" s="14">
        <f>IF($A171="","",IF(INDEX('潜水記録'!$AC$5:$AC$3004,$AS171)="","",INDEX('潜水記録'!$AC$5:$AC$3004,$AS171)))</f>
        <v/>
      </c>
      <c r="AE171" s="14">
        <f>IF($A171="","",IF(INDEX('潜水記録'!$AD$5:$AD$3004,$AS171)="","",INDEX('潜水記録'!$AD$5:$AD$3004,$AS171)))</f>
        <v/>
      </c>
      <c r="AF171" s="14">
        <f>IF($A171="","",IF(INDEX('潜水記録'!$AE$5:$AE$3004,$AS171)="","",INDEX('潜水記録'!$AE$5:$AE$3004,$AS171)))</f>
        <v/>
      </c>
      <c r="AG171" s="14">
        <f>IF($A171="","",IF(INDEX('潜水記録'!$AL$5:$AL$3004,$AS171)="","",INDEX('潜水記録'!$AL$5:$AL$3004,$AS171)))</f>
        <v/>
      </c>
      <c r="AH171" s="14">
        <f>IF($A171="","",IF(INDEX('潜水記録'!$AM$5:$AM$3004,$AS171)="","",INDEX('潜水記録'!$AM$5:$AM$3004,$AS171)))</f>
        <v/>
      </c>
      <c r="AI171" s="46">
        <f>IF($A171="","",IF(INDEX('潜水記録'!$AN$5:$AN$3004,$AS171)="","",INDEX('潜水記録'!$AN$5:$AN$3004,$AS171)))</f>
        <v/>
      </c>
      <c r="AJ171" s="14">
        <f>IF($A171="","",IF(INDEX('潜水記録'!$AO$5:$AO$3004,$AS171)="","",INDEX('潜水記録'!$AO$5:$AO$3004,$AS171)))</f>
        <v/>
      </c>
      <c r="AK171" s="14">
        <f>IF($A171="","",IF(INDEX('潜水記録'!$AP$5:$AP$3004,$AS171)="","",INDEX('潜水記録'!$AP$5:$AP$3004,$AS171)))</f>
        <v/>
      </c>
      <c r="AL171" s="14">
        <f>IF($A171="","",IF(INDEX('潜水記録'!$AQ$5:$AQ$3004,$AS171)="","",INDEX('潜水記録'!$AQ$5:$AQ$3004,$AS171)))</f>
        <v/>
      </c>
      <c r="AM171" s="14">
        <f>IF($A171="","",IF(INDEX('潜水記録'!$AR$5:$AR$3004,$AS171)="","",INDEX('潜水記録'!$AR$5:$AR$3004,$AS171)))</f>
        <v/>
      </c>
      <c r="AN171" s="14">
        <f>IF($A171="","",IF(INDEX('潜水記録'!$AS$5:$AS$3004,$AS171)="","",INDEX('潜水記録'!$AS$5:$AS$3004,$AS171)))</f>
        <v/>
      </c>
      <c r="AO171" s="14">
        <f>IF($A171="","",IF(INDEX('潜水記録'!$AT$5:$AT$3004,$AS171)="","",INDEX('潜水記録'!$AT$5:$AT$3004,$AS171)))</f>
        <v/>
      </c>
      <c r="AP171" s="14">
        <f>IF($A171="","",IF(INDEX('潜水記録'!$AU$5:$AU$3004,$AS171)="","",INDEX('潜水記録'!$AU$5:$AU$3004,$AS171)))</f>
        <v/>
      </c>
      <c r="AQ171" s="14">
        <f>IF($A171="","",IF(INDEX('潜水記録'!$AV$5:$AV$3004,$AS171)="","",INDEX('潜水記録'!$AV$5:$AV$3004,$AS171)))</f>
        <v/>
      </c>
      <c r="AR171" s="14">
        <f>IF($A171="","",IF(INDEX('潜水記録'!$AW$5:$AW$3004,$AS171)="","",INDEX('潜水記録'!$AW$5:$AW$3004,$AS171)))</f>
        <v/>
      </c>
      <c r="AS171" s="20">
        <f>IF($A171="","",MATCH($A171,'潜水記録'!$AI$5:$AI$3004,0))</f>
        <v/>
      </c>
    </row>
    <row r="172">
      <c r="A172" s="14">
        <f>IF(162&lt;=$C$8,162,"")</f>
        <v/>
      </c>
      <c r="B172" s="16">
        <f>IF($A172="","",IF(INDEX('潜水記録'!$A$5:$A$3004,$AS172)="","",INDEX('潜水記録'!$A$5:$A$3004,$AS172)))</f>
        <v/>
      </c>
      <c r="C172" s="14">
        <f>IF($A172="","",IF(INDEX('潜水記録'!$B$5:$B$3004,$AS172)="","",INDEX('潜水記録'!$B$5:$B$3004,$AS172)))</f>
        <v/>
      </c>
      <c r="D172" s="14">
        <f>IF($A172="","",IF(INDEX('潜水記録'!$C$5:$C$3004,$AS172)="","",INDEX('潜水記録'!$C$5:$C$3004,$AS172)))</f>
        <v/>
      </c>
      <c r="E172" s="14">
        <f>IF($A172="","",IF(INDEX('潜水記録'!$D$5:$D$3004,$AS172)="","",INDEX('潜水記録'!$D$5:$D$3004,$AS172)))</f>
        <v/>
      </c>
      <c r="F172" s="14">
        <f>IF($A172="","",IF(INDEX('潜水記録'!$E$5:$E$3004,$AS172)="","",INDEX('潜水記録'!$E$5:$E$3004,$AS172)))</f>
        <v/>
      </c>
      <c r="G172" s="14">
        <f>IF($A172="","",IF(INDEX('潜水記録'!$F$5:$F$3004,$AS172)="","",INDEX('潜水記録'!$F$5:$F$3004,$AS172)))</f>
        <v/>
      </c>
      <c r="H172" s="14">
        <f>IF($A172="","",IF(INDEX('潜水記録'!$G$5:$G$3004,$AS172)="","",INDEX('潜水記録'!$G$5:$G$3004,$AS172)))</f>
        <v/>
      </c>
      <c r="I172" s="14">
        <f>IF($A172="","",IF(INDEX('潜水記録'!$H$5:$H$3004,$AS172)="","",INDEX('潜水記録'!$H$5:$H$3004,$AS172)))</f>
        <v/>
      </c>
      <c r="J172" s="14">
        <f>IF($A172="","",IF(INDEX('潜水記録'!$I$5:$I$3004,$AS172)="","",INDEX('潜水記録'!$I$5:$I$3004,$AS172)))</f>
        <v/>
      </c>
      <c r="K172" s="14">
        <f>IF($A172="","",IF(INDEX('潜水記録'!$J$5:$J$3004,$AS172)="","",INDEX('潜水記録'!$J$5:$J$3004,$AS172)))</f>
        <v/>
      </c>
      <c r="L172" s="14">
        <f>IF($A172="","",IF(INDEX('潜水記録'!$K$5:$K$3004,$AS172)="","",INDEX('潜水記録'!$K$5:$K$3004,$AS172)))</f>
        <v/>
      </c>
      <c r="M172" s="14">
        <f>IF($A172="","",IF(INDEX('潜水記録'!$L$5:$L$3004,$AS172)="","",INDEX('潜水記録'!$L$5:$L$3004,$AS172)))</f>
        <v/>
      </c>
      <c r="N172" s="14">
        <f>IF($A172="","",IF(INDEX('潜水記録'!$M$5:$M$3004,$AS172)="","",INDEX('潜水記録'!$M$5:$M$3004,$AS172)))</f>
        <v/>
      </c>
      <c r="O172" s="14">
        <f>IF($A172="","",IF(INDEX('潜水記録'!$N$5:$N$3004,$AS172)="","",INDEX('潜水記録'!$N$5:$N$3004,$AS172)))</f>
        <v/>
      </c>
      <c r="P172" s="14">
        <f>IF($A172="","",IF(INDEX('潜水記録'!$O$5:$O$3004,$AS172)="","",INDEX('潜水記録'!$O$5:$O$3004,$AS172)))</f>
        <v/>
      </c>
      <c r="Q172" s="14">
        <f>IF($A172="","",IF(INDEX('潜水記録'!$P$5:$P$3004,$AS172)="","",INDEX('潜水記録'!$P$5:$P$3004,$AS172)))</f>
        <v/>
      </c>
      <c r="R172" s="14">
        <f>IF($A172="","",IF(INDEX('潜水記録'!$Q$5:$Q$3004,$AS172)="","",INDEX('潜水記録'!$Q$5:$Q$3004,$AS172)))</f>
        <v/>
      </c>
      <c r="S172" s="14">
        <f>IF($A172="","",IF(INDEX('潜水記録'!$R$5:$R$3004,$AS172)="","",INDEX('潜水記録'!$R$5:$R$3004,$AS172)))</f>
        <v/>
      </c>
      <c r="T172" s="14">
        <f>IF($A172="","",IF(INDEX('潜水記録'!$S$5:$S$3004,$AS172)="","",INDEX('潜水記録'!$S$5:$S$3004,$AS172)))</f>
        <v/>
      </c>
      <c r="U172" s="14">
        <f>IF($A172="","",IF(INDEX('潜水記録'!$T$5:$T$3004,$AS172)="","",INDEX('潜水記録'!$T$5:$T$3004,$AS172)))</f>
        <v/>
      </c>
      <c r="V172" s="46">
        <f>IF($A172="","",IF(INDEX('潜水記録'!$U$5:$U$3004,$AS172)="","",INDEX('潜水記録'!$U$5:$U$3004,$AS172)))</f>
        <v/>
      </c>
      <c r="W172" s="46">
        <f>IF($A172="","",IF(INDEX('潜水記録'!$V$5:$V$3004,$AS172)="","",INDEX('潜水記録'!$V$5:$V$3004,$AS172)))</f>
        <v/>
      </c>
      <c r="X172" s="14">
        <f>IF($A172="","",IF(INDEX('潜水記録'!$W$5:$W$3004,$AS172)="","",INDEX('潜水記録'!$W$5:$W$3004,$AS172)))</f>
        <v/>
      </c>
      <c r="Y172" s="14">
        <f>IF($A172="","",IF(INDEX('潜水記録'!$X$5:$X$3004,$AS172)="","",INDEX('潜水記録'!$X$5:$X$3004,$AS172)))</f>
        <v/>
      </c>
      <c r="Z172" s="14">
        <f>IF($A172="","",IF(INDEX('潜水記録'!$Y$5:$Y$3004,$AS172)="","",INDEX('潜水記録'!$Y$5:$Y$3004,$AS172)))</f>
        <v/>
      </c>
      <c r="AA172" s="14">
        <f>IF($A172="","",IF(INDEX('潜水記録'!$Z$5:$Z$3004,$AS172)="","",INDEX('潜水記録'!$Z$5:$Z$3004,$AS172)))</f>
        <v/>
      </c>
      <c r="AB172" s="14">
        <f>IF($A172="","",IF(INDEX('潜水記録'!$AA$5:$AA$3004,$AS172)="","",INDEX('潜水記録'!$AA$5:$AA$3004,$AS172)))</f>
        <v/>
      </c>
      <c r="AC172" s="14">
        <f>IF($A172="","",IF(INDEX('潜水記録'!$AB$5:$AB$3004,$AS172)="","",INDEX('潜水記録'!$AB$5:$AB$3004,$AS172)))</f>
        <v/>
      </c>
      <c r="AD172" s="14">
        <f>IF($A172="","",IF(INDEX('潜水記録'!$AC$5:$AC$3004,$AS172)="","",INDEX('潜水記録'!$AC$5:$AC$3004,$AS172)))</f>
        <v/>
      </c>
      <c r="AE172" s="14">
        <f>IF($A172="","",IF(INDEX('潜水記録'!$AD$5:$AD$3004,$AS172)="","",INDEX('潜水記録'!$AD$5:$AD$3004,$AS172)))</f>
        <v/>
      </c>
      <c r="AF172" s="14">
        <f>IF($A172="","",IF(INDEX('潜水記録'!$AE$5:$AE$3004,$AS172)="","",INDEX('潜水記録'!$AE$5:$AE$3004,$AS172)))</f>
        <v/>
      </c>
      <c r="AG172" s="14">
        <f>IF($A172="","",IF(INDEX('潜水記録'!$AL$5:$AL$3004,$AS172)="","",INDEX('潜水記録'!$AL$5:$AL$3004,$AS172)))</f>
        <v/>
      </c>
      <c r="AH172" s="14">
        <f>IF($A172="","",IF(INDEX('潜水記録'!$AM$5:$AM$3004,$AS172)="","",INDEX('潜水記録'!$AM$5:$AM$3004,$AS172)))</f>
        <v/>
      </c>
      <c r="AI172" s="46">
        <f>IF($A172="","",IF(INDEX('潜水記録'!$AN$5:$AN$3004,$AS172)="","",INDEX('潜水記録'!$AN$5:$AN$3004,$AS172)))</f>
        <v/>
      </c>
      <c r="AJ172" s="14">
        <f>IF($A172="","",IF(INDEX('潜水記録'!$AO$5:$AO$3004,$AS172)="","",INDEX('潜水記録'!$AO$5:$AO$3004,$AS172)))</f>
        <v/>
      </c>
      <c r="AK172" s="14">
        <f>IF($A172="","",IF(INDEX('潜水記録'!$AP$5:$AP$3004,$AS172)="","",INDEX('潜水記録'!$AP$5:$AP$3004,$AS172)))</f>
        <v/>
      </c>
      <c r="AL172" s="14">
        <f>IF($A172="","",IF(INDEX('潜水記録'!$AQ$5:$AQ$3004,$AS172)="","",INDEX('潜水記録'!$AQ$5:$AQ$3004,$AS172)))</f>
        <v/>
      </c>
      <c r="AM172" s="14">
        <f>IF($A172="","",IF(INDEX('潜水記録'!$AR$5:$AR$3004,$AS172)="","",INDEX('潜水記録'!$AR$5:$AR$3004,$AS172)))</f>
        <v/>
      </c>
      <c r="AN172" s="14">
        <f>IF($A172="","",IF(INDEX('潜水記録'!$AS$5:$AS$3004,$AS172)="","",INDEX('潜水記録'!$AS$5:$AS$3004,$AS172)))</f>
        <v/>
      </c>
      <c r="AO172" s="14">
        <f>IF($A172="","",IF(INDEX('潜水記録'!$AT$5:$AT$3004,$AS172)="","",INDEX('潜水記録'!$AT$5:$AT$3004,$AS172)))</f>
        <v/>
      </c>
      <c r="AP172" s="14">
        <f>IF($A172="","",IF(INDEX('潜水記録'!$AU$5:$AU$3004,$AS172)="","",INDEX('潜水記録'!$AU$5:$AU$3004,$AS172)))</f>
        <v/>
      </c>
      <c r="AQ172" s="14">
        <f>IF($A172="","",IF(INDEX('潜水記録'!$AV$5:$AV$3004,$AS172)="","",INDEX('潜水記録'!$AV$5:$AV$3004,$AS172)))</f>
        <v/>
      </c>
      <c r="AR172" s="14">
        <f>IF($A172="","",IF(INDEX('潜水記録'!$AW$5:$AW$3004,$AS172)="","",INDEX('潜水記録'!$AW$5:$AW$3004,$AS172)))</f>
        <v/>
      </c>
      <c r="AS172" s="20">
        <f>IF($A172="","",MATCH($A172,'潜水記録'!$AI$5:$AI$3004,0))</f>
        <v/>
      </c>
    </row>
    <row r="173">
      <c r="A173" s="14">
        <f>IF(163&lt;=$C$8,163,"")</f>
        <v/>
      </c>
      <c r="B173" s="16">
        <f>IF($A173="","",IF(INDEX('潜水記録'!$A$5:$A$3004,$AS173)="","",INDEX('潜水記録'!$A$5:$A$3004,$AS173)))</f>
        <v/>
      </c>
      <c r="C173" s="14">
        <f>IF($A173="","",IF(INDEX('潜水記録'!$B$5:$B$3004,$AS173)="","",INDEX('潜水記録'!$B$5:$B$3004,$AS173)))</f>
        <v/>
      </c>
      <c r="D173" s="14">
        <f>IF($A173="","",IF(INDEX('潜水記録'!$C$5:$C$3004,$AS173)="","",INDEX('潜水記録'!$C$5:$C$3004,$AS173)))</f>
        <v/>
      </c>
      <c r="E173" s="14">
        <f>IF($A173="","",IF(INDEX('潜水記録'!$D$5:$D$3004,$AS173)="","",INDEX('潜水記録'!$D$5:$D$3004,$AS173)))</f>
        <v/>
      </c>
      <c r="F173" s="14">
        <f>IF($A173="","",IF(INDEX('潜水記録'!$E$5:$E$3004,$AS173)="","",INDEX('潜水記録'!$E$5:$E$3004,$AS173)))</f>
        <v/>
      </c>
      <c r="G173" s="14">
        <f>IF($A173="","",IF(INDEX('潜水記録'!$F$5:$F$3004,$AS173)="","",INDEX('潜水記録'!$F$5:$F$3004,$AS173)))</f>
        <v/>
      </c>
      <c r="H173" s="14">
        <f>IF($A173="","",IF(INDEX('潜水記録'!$G$5:$G$3004,$AS173)="","",INDEX('潜水記録'!$G$5:$G$3004,$AS173)))</f>
        <v/>
      </c>
      <c r="I173" s="14">
        <f>IF($A173="","",IF(INDEX('潜水記録'!$H$5:$H$3004,$AS173)="","",INDEX('潜水記録'!$H$5:$H$3004,$AS173)))</f>
        <v/>
      </c>
      <c r="J173" s="14">
        <f>IF($A173="","",IF(INDEX('潜水記録'!$I$5:$I$3004,$AS173)="","",INDEX('潜水記録'!$I$5:$I$3004,$AS173)))</f>
        <v/>
      </c>
      <c r="K173" s="14">
        <f>IF($A173="","",IF(INDEX('潜水記録'!$J$5:$J$3004,$AS173)="","",INDEX('潜水記録'!$J$5:$J$3004,$AS173)))</f>
        <v/>
      </c>
      <c r="L173" s="14">
        <f>IF($A173="","",IF(INDEX('潜水記録'!$K$5:$K$3004,$AS173)="","",INDEX('潜水記録'!$K$5:$K$3004,$AS173)))</f>
        <v/>
      </c>
      <c r="M173" s="14">
        <f>IF($A173="","",IF(INDEX('潜水記録'!$L$5:$L$3004,$AS173)="","",INDEX('潜水記録'!$L$5:$L$3004,$AS173)))</f>
        <v/>
      </c>
      <c r="N173" s="14">
        <f>IF($A173="","",IF(INDEX('潜水記録'!$M$5:$M$3004,$AS173)="","",INDEX('潜水記録'!$M$5:$M$3004,$AS173)))</f>
        <v/>
      </c>
      <c r="O173" s="14">
        <f>IF($A173="","",IF(INDEX('潜水記録'!$N$5:$N$3004,$AS173)="","",INDEX('潜水記録'!$N$5:$N$3004,$AS173)))</f>
        <v/>
      </c>
      <c r="P173" s="14">
        <f>IF($A173="","",IF(INDEX('潜水記録'!$O$5:$O$3004,$AS173)="","",INDEX('潜水記録'!$O$5:$O$3004,$AS173)))</f>
        <v/>
      </c>
      <c r="Q173" s="14">
        <f>IF($A173="","",IF(INDEX('潜水記録'!$P$5:$P$3004,$AS173)="","",INDEX('潜水記録'!$P$5:$P$3004,$AS173)))</f>
        <v/>
      </c>
      <c r="R173" s="14">
        <f>IF($A173="","",IF(INDEX('潜水記録'!$Q$5:$Q$3004,$AS173)="","",INDEX('潜水記録'!$Q$5:$Q$3004,$AS173)))</f>
        <v/>
      </c>
      <c r="S173" s="14">
        <f>IF($A173="","",IF(INDEX('潜水記録'!$R$5:$R$3004,$AS173)="","",INDEX('潜水記録'!$R$5:$R$3004,$AS173)))</f>
        <v/>
      </c>
      <c r="T173" s="14">
        <f>IF($A173="","",IF(INDEX('潜水記録'!$S$5:$S$3004,$AS173)="","",INDEX('潜水記録'!$S$5:$S$3004,$AS173)))</f>
        <v/>
      </c>
      <c r="U173" s="14">
        <f>IF($A173="","",IF(INDEX('潜水記録'!$T$5:$T$3004,$AS173)="","",INDEX('潜水記録'!$T$5:$T$3004,$AS173)))</f>
        <v/>
      </c>
      <c r="V173" s="46">
        <f>IF($A173="","",IF(INDEX('潜水記録'!$U$5:$U$3004,$AS173)="","",INDEX('潜水記録'!$U$5:$U$3004,$AS173)))</f>
        <v/>
      </c>
      <c r="W173" s="46">
        <f>IF($A173="","",IF(INDEX('潜水記録'!$V$5:$V$3004,$AS173)="","",INDEX('潜水記録'!$V$5:$V$3004,$AS173)))</f>
        <v/>
      </c>
      <c r="X173" s="14">
        <f>IF($A173="","",IF(INDEX('潜水記録'!$W$5:$W$3004,$AS173)="","",INDEX('潜水記録'!$W$5:$W$3004,$AS173)))</f>
        <v/>
      </c>
      <c r="Y173" s="14">
        <f>IF($A173="","",IF(INDEX('潜水記録'!$X$5:$X$3004,$AS173)="","",INDEX('潜水記録'!$X$5:$X$3004,$AS173)))</f>
        <v/>
      </c>
      <c r="Z173" s="14">
        <f>IF($A173="","",IF(INDEX('潜水記録'!$Y$5:$Y$3004,$AS173)="","",INDEX('潜水記録'!$Y$5:$Y$3004,$AS173)))</f>
        <v/>
      </c>
      <c r="AA173" s="14">
        <f>IF($A173="","",IF(INDEX('潜水記録'!$Z$5:$Z$3004,$AS173)="","",INDEX('潜水記録'!$Z$5:$Z$3004,$AS173)))</f>
        <v/>
      </c>
      <c r="AB173" s="14">
        <f>IF($A173="","",IF(INDEX('潜水記録'!$AA$5:$AA$3004,$AS173)="","",INDEX('潜水記録'!$AA$5:$AA$3004,$AS173)))</f>
        <v/>
      </c>
      <c r="AC173" s="14">
        <f>IF($A173="","",IF(INDEX('潜水記録'!$AB$5:$AB$3004,$AS173)="","",INDEX('潜水記録'!$AB$5:$AB$3004,$AS173)))</f>
        <v/>
      </c>
      <c r="AD173" s="14">
        <f>IF($A173="","",IF(INDEX('潜水記録'!$AC$5:$AC$3004,$AS173)="","",INDEX('潜水記録'!$AC$5:$AC$3004,$AS173)))</f>
        <v/>
      </c>
      <c r="AE173" s="14">
        <f>IF($A173="","",IF(INDEX('潜水記録'!$AD$5:$AD$3004,$AS173)="","",INDEX('潜水記録'!$AD$5:$AD$3004,$AS173)))</f>
        <v/>
      </c>
      <c r="AF173" s="14">
        <f>IF($A173="","",IF(INDEX('潜水記録'!$AE$5:$AE$3004,$AS173)="","",INDEX('潜水記録'!$AE$5:$AE$3004,$AS173)))</f>
        <v/>
      </c>
      <c r="AG173" s="14">
        <f>IF($A173="","",IF(INDEX('潜水記録'!$AL$5:$AL$3004,$AS173)="","",INDEX('潜水記録'!$AL$5:$AL$3004,$AS173)))</f>
        <v/>
      </c>
      <c r="AH173" s="14">
        <f>IF($A173="","",IF(INDEX('潜水記録'!$AM$5:$AM$3004,$AS173)="","",INDEX('潜水記録'!$AM$5:$AM$3004,$AS173)))</f>
        <v/>
      </c>
      <c r="AI173" s="46">
        <f>IF($A173="","",IF(INDEX('潜水記録'!$AN$5:$AN$3004,$AS173)="","",INDEX('潜水記録'!$AN$5:$AN$3004,$AS173)))</f>
        <v/>
      </c>
      <c r="AJ173" s="14">
        <f>IF($A173="","",IF(INDEX('潜水記録'!$AO$5:$AO$3004,$AS173)="","",INDEX('潜水記録'!$AO$5:$AO$3004,$AS173)))</f>
        <v/>
      </c>
      <c r="AK173" s="14">
        <f>IF($A173="","",IF(INDEX('潜水記録'!$AP$5:$AP$3004,$AS173)="","",INDEX('潜水記録'!$AP$5:$AP$3004,$AS173)))</f>
        <v/>
      </c>
      <c r="AL173" s="14">
        <f>IF($A173="","",IF(INDEX('潜水記録'!$AQ$5:$AQ$3004,$AS173)="","",INDEX('潜水記録'!$AQ$5:$AQ$3004,$AS173)))</f>
        <v/>
      </c>
      <c r="AM173" s="14">
        <f>IF($A173="","",IF(INDEX('潜水記録'!$AR$5:$AR$3004,$AS173)="","",INDEX('潜水記録'!$AR$5:$AR$3004,$AS173)))</f>
        <v/>
      </c>
      <c r="AN173" s="14">
        <f>IF($A173="","",IF(INDEX('潜水記録'!$AS$5:$AS$3004,$AS173)="","",INDEX('潜水記録'!$AS$5:$AS$3004,$AS173)))</f>
        <v/>
      </c>
      <c r="AO173" s="14">
        <f>IF($A173="","",IF(INDEX('潜水記録'!$AT$5:$AT$3004,$AS173)="","",INDEX('潜水記録'!$AT$5:$AT$3004,$AS173)))</f>
        <v/>
      </c>
      <c r="AP173" s="14">
        <f>IF($A173="","",IF(INDEX('潜水記録'!$AU$5:$AU$3004,$AS173)="","",INDEX('潜水記録'!$AU$5:$AU$3004,$AS173)))</f>
        <v/>
      </c>
      <c r="AQ173" s="14">
        <f>IF($A173="","",IF(INDEX('潜水記録'!$AV$5:$AV$3004,$AS173)="","",INDEX('潜水記録'!$AV$5:$AV$3004,$AS173)))</f>
        <v/>
      </c>
      <c r="AR173" s="14">
        <f>IF($A173="","",IF(INDEX('潜水記録'!$AW$5:$AW$3004,$AS173)="","",INDEX('潜水記録'!$AW$5:$AW$3004,$AS173)))</f>
        <v/>
      </c>
      <c r="AS173" s="20">
        <f>IF($A173="","",MATCH($A173,'潜水記録'!$AI$5:$AI$3004,0))</f>
        <v/>
      </c>
    </row>
    <row r="174">
      <c r="A174" s="14">
        <f>IF(164&lt;=$C$8,164,"")</f>
        <v/>
      </c>
      <c r="B174" s="16">
        <f>IF($A174="","",IF(INDEX('潜水記録'!$A$5:$A$3004,$AS174)="","",INDEX('潜水記録'!$A$5:$A$3004,$AS174)))</f>
        <v/>
      </c>
      <c r="C174" s="14">
        <f>IF($A174="","",IF(INDEX('潜水記録'!$B$5:$B$3004,$AS174)="","",INDEX('潜水記録'!$B$5:$B$3004,$AS174)))</f>
        <v/>
      </c>
      <c r="D174" s="14">
        <f>IF($A174="","",IF(INDEX('潜水記録'!$C$5:$C$3004,$AS174)="","",INDEX('潜水記録'!$C$5:$C$3004,$AS174)))</f>
        <v/>
      </c>
      <c r="E174" s="14">
        <f>IF($A174="","",IF(INDEX('潜水記録'!$D$5:$D$3004,$AS174)="","",INDEX('潜水記録'!$D$5:$D$3004,$AS174)))</f>
        <v/>
      </c>
      <c r="F174" s="14">
        <f>IF($A174="","",IF(INDEX('潜水記録'!$E$5:$E$3004,$AS174)="","",INDEX('潜水記録'!$E$5:$E$3004,$AS174)))</f>
        <v/>
      </c>
      <c r="G174" s="14">
        <f>IF($A174="","",IF(INDEX('潜水記録'!$F$5:$F$3004,$AS174)="","",INDEX('潜水記録'!$F$5:$F$3004,$AS174)))</f>
        <v/>
      </c>
      <c r="H174" s="14">
        <f>IF($A174="","",IF(INDEX('潜水記録'!$G$5:$G$3004,$AS174)="","",INDEX('潜水記録'!$G$5:$G$3004,$AS174)))</f>
        <v/>
      </c>
      <c r="I174" s="14">
        <f>IF($A174="","",IF(INDEX('潜水記録'!$H$5:$H$3004,$AS174)="","",INDEX('潜水記録'!$H$5:$H$3004,$AS174)))</f>
        <v/>
      </c>
      <c r="J174" s="14">
        <f>IF($A174="","",IF(INDEX('潜水記録'!$I$5:$I$3004,$AS174)="","",INDEX('潜水記録'!$I$5:$I$3004,$AS174)))</f>
        <v/>
      </c>
      <c r="K174" s="14">
        <f>IF($A174="","",IF(INDEX('潜水記録'!$J$5:$J$3004,$AS174)="","",INDEX('潜水記録'!$J$5:$J$3004,$AS174)))</f>
        <v/>
      </c>
      <c r="L174" s="14">
        <f>IF($A174="","",IF(INDEX('潜水記録'!$K$5:$K$3004,$AS174)="","",INDEX('潜水記録'!$K$5:$K$3004,$AS174)))</f>
        <v/>
      </c>
      <c r="M174" s="14">
        <f>IF($A174="","",IF(INDEX('潜水記録'!$L$5:$L$3004,$AS174)="","",INDEX('潜水記録'!$L$5:$L$3004,$AS174)))</f>
        <v/>
      </c>
      <c r="N174" s="14">
        <f>IF($A174="","",IF(INDEX('潜水記録'!$M$5:$M$3004,$AS174)="","",INDEX('潜水記録'!$M$5:$M$3004,$AS174)))</f>
        <v/>
      </c>
      <c r="O174" s="14">
        <f>IF($A174="","",IF(INDEX('潜水記録'!$N$5:$N$3004,$AS174)="","",INDEX('潜水記録'!$N$5:$N$3004,$AS174)))</f>
        <v/>
      </c>
      <c r="P174" s="14">
        <f>IF($A174="","",IF(INDEX('潜水記録'!$O$5:$O$3004,$AS174)="","",INDEX('潜水記録'!$O$5:$O$3004,$AS174)))</f>
        <v/>
      </c>
      <c r="Q174" s="14">
        <f>IF($A174="","",IF(INDEX('潜水記録'!$P$5:$P$3004,$AS174)="","",INDEX('潜水記録'!$P$5:$P$3004,$AS174)))</f>
        <v/>
      </c>
      <c r="R174" s="14">
        <f>IF($A174="","",IF(INDEX('潜水記録'!$Q$5:$Q$3004,$AS174)="","",INDEX('潜水記録'!$Q$5:$Q$3004,$AS174)))</f>
        <v/>
      </c>
      <c r="S174" s="14">
        <f>IF($A174="","",IF(INDEX('潜水記録'!$R$5:$R$3004,$AS174)="","",INDEX('潜水記録'!$R$5:$R$3004,$AS174)))</f>
        <v/>
      </c>
      <c r="T174" s="14">
        <f>IF($A174="","",IF(INDEX('潜水記録'!$S$5:$S$3004,$AS174)="","",INDEX('潜水記録'!$S$5:$S$3004,$AS174)))</f>
        <v/>
      </c>
      <c r="U174" s="14">
        <f>IF($A174="","",IF(INDEX('潜水記録'!$T$5:$T$3004,$AS174)="","",INDEX('潜水記録'!$T$5:$T$3004,$AS174)))</f>
        <v/>
      </c>
      <c r="V174" s="46">
        <f>IF($A174="","",IF(INDEX('潜水記録'!$U$5:$U$3004,$AS174)="","",INDEX('潜水記録'!$U$5:$U$3004,$AS174)))</f>
        <v/>
      </c>
      <c r="W174" s="46">
        <f>IF($A174="","",IF(INDEX('潜水記録'!$V$5:$V$3004,$AS174)="","",INDEX('潜水記録'!$V$5:$V$3004,$AS174)))</f>
        <v/>
      </c>
      <c r="X174" s="14">
        <f>IF($A174="","",IF(INDEX('潜水記録'!$W$5:$W$3004,$AS174)="","",INDEX('潜水記録'!$W$5:$W$3004,$AS174)))</f>
        <v/>
      </c>
      <c r="Y174" s="14">
        <f>IF($A174="","",IF(INDEX('潜水記録'!$X$5:$X$3004,$AS174)="","",INDEX('潜水記録'!$X$5:$X$3004,$AS174)))</f>
        <v/>
      </c>
      <c r="Z174" s="14">
        <f>IF($A174="","",IF(INDEX('潜水記録'!$Y$5:$Y$3004,$AS174)="","",INDEX('潜水記録'!$Y$5:$Y$3004,$AS174)))</f>
        <v/>
      </c>
      <c r="AA174" s="14">
        <f>IF($A174="","",IF(INDEX('潜水記録'!$Z$5:$Z$3004,$AS174)="","",INDEX('潜水記録'!$Z$5:$Z$3004,$AS174)))</f>
        <v/>
      </c>
      <c r="AB174" s="14">
        <f>IF($A174="","",IF(INDEX('潜水記録'!$AA$5:$AA$3004,$AS174)="","",INDEX('潜水記録'!$AA$5:$AA$3004,$AS174)))</f>
        <v/>
      </c>
      <c r="AC174" s="14">
        <f>IF($A174="","",IF(INDEX('潜水記録'!$AB$5:$AB$3004,$AS174)="","",INDEX('潜水記録'!$AB$5:$AB$3004,$AS174)))</f>
        <v/>
      </c>
      <c r="AD174" s="14">
        <f>IF($A174="","",IF(INDEX('潜水記録'!$AC$5:$AC$3004,$AS174)="","",INDEX('潜水記録'!$AC$5:$AC$3004,$AS174)))</f>
        <v/>
      </c>
      <c r="AE174" s="14">
        <f>IF($A174="","",IF(INDEX('潜水記録'!$AD$5:$AD$3004,$AS174)="","",INDEX('潜水記録'!$AD$5:$AD$3004,$AS174)))</f>
        <v/>
      </c>
      <c r="AF174" s="14">
        <f>IF($A174="","",IF(INDEX('潜水記録'!$AE$5:$AE$3004,$AS174)="","",INDEX('潜水記録'!$AE$5:$AE$3004,$AS174)))</f>
        <v/>
      </c>
      <c r="AG174" s="14">
        <f>IF($A174="","",IF(INDEX('潜水記録'!$AL$5:$AL$3004,$AS174)="","",INDEX('潜水記録'!$AL$5:$AL$3004,$AS174)))</f>
        <v/>
      </c>
      <c r="AH174" s="14">
        <f>IF($A174="","",IF(INDEX('潜水記録'!$AM$5:$AM$3004,$AS174)="","",INDEX('潜水記録'!$AM$5:$AM$3004,$AS174)))</f>
        <v/>
      </c>
      <c r="AI174" s="46">
        <f>IF($A174="","",IF(INDEX('潜水記録'!$AN$5:$AN$3004,$AS174)="","",INDEX('潜水記録'!$AN$5:$AN$3004,$AS174)))</f>
        <v/>
      </c>
      <c r="AJ174" s="14">
        <f>IF($A174="","",IF(INDEX('潜水記録'!$AO$5:$AO$3004,$AS174)="","",INDEX('潜水記録'!$AO$5:$AO$3004,$AS174)))</f>
        <v/>
      </c>
      <c r="AK174" s="14">
        <f>IF($A174="","",IF(INDEX('潜水記録'!$AP$5:$AP$3004,$AS174)="","",INDEX('潜水記録'!$AP$5:$AP$3004,$AS174)))</f>
        <v/>
      </c>
      <c r="AL174" s="14">
        <f>IF($A174="","",IF(INDEX('潜水記録'!$AQ$5:$AQ$3004,$AS174)="","",INDEX('潜水記録'!$AQ$5:$AQ$3004,$AS174)))</f>
        <v/>
      </c>
      <c r="AM174" s="14">
        <f>IF($A174="","",IF(INDEX('潜水記録'!$AR$5:$AR$3004,$AS174)="","",INDEX('潜水記録'!$AR$5:$AR$3004,$AS174)))</f>
        <v/>
      </c>
      <c r="AN174" s="14">
        <f>IF($A174="","",IF(INDEX('潜水記録'!$AS$5:$AS$3004,$AS174)="","",INDEX('潜水記録'!$AS$5:$AS$3004,$AS174)))</f>
        <v/>
      </c>
      <c r="AO174" s="14">
        <f>IF($A174="","",IF(INDEX('潜水記録'!$AT$5:$AT$3004,$AS174)="","",INDEX('潜水記録'!$AT$5:$AT$3004,$AS174)))</f>
        <v/>
      </c>
      <c r="AP174" s="14">
        <f>IF($A174="","",IF(INDEX('潜水記録'!$AU$5:$AU$3004,$AS174)="","",INDEX('潜水記録'!$AU$5:$AU$3004,$AS174)))</f>
        <v/>
      </c>
      <c r="AQ174" s="14">
        <f>IF($A174="","",IF(INDEX('潜水記録'!$AV$5:$AV$3004,$AS174)="","",INDEX('潜水記録'!$AV$5:$AV$3004,$AS174)))</f>
        <v/>
      </c>
      <c r="AR174" s="14">
        <f>IF($A174="","",IF(INDEX('潜水記録'!$AW$5:$AW$3004,$AS174)="","",INDEX('潜水記録'!$AW$5:$AW$3004,$AS174)))</f>
        <v/>
      </c>
      <c r="AS174" s="20">
        <f>IF($A174="","",MATCH($A174,'潜水記録'!$AI$5:$AI$3004,0))</f>
        <v/>
      </c>
    </row>
    <row r="175">
      <c r="A175" s="14">
        <f>IF(165&lt;=$C$8,165,"")</f>
        <v/>
      </c>
      <c r="B175" s="16">
        <f>IF($A175="","",IF(INDEX('潜水記録'!$A$5:$A$3004,$AS175)="","",INDEX('潜水記録'!$A$5:$A$3004,$AS175)))</f>
        <v/>
      </c>
      <c r="C175" s="14">
        <f>IF($A175="","",IF(INDEX('潜水記録'!$B$5:$B$3004,$AS175)="","",INDEX('潜水記録'!$B$5:$B$3004,$AS175)))</f>
        <v/>
      </c>
      <c r="D175" s="14">
        <f>IF($A175="","",IF(INDEX('潜水記録'!$C$5:$C$3004,$AS175)="","",INDEX('潜水記録'!$C$5:$C$3004,$AS175)))</f>
        <v/>
      </c>
      <c r="E175" s="14">
        <f>IF($A175="","",IF(INDEX('潜水記録'!$D$5:$D$3004,$AS175)="","",INDEX('潜水記録'!$D$5:$D$3004,$AS175)))</f>
        <v/>
      </c>
      <c r="F175" s="14">
        <f>IF($A175="","",IF(INDEX('潜水記録'!$E$5:$E$3004,$AS175)="","",INDEX('潜水記録'!$E$5:$E$3004,$AS175)))</f>
        <v/>
      </c>
      <c r="G175" s="14">
        <f>IF($A175="","",IF(INDEX('潜水記録'!$F$5:$F$3004,$AS175)="","",INDEX('潜水記録'!$F$5:$F$3004,$AS175)))</f>
        <v/>
      </c>
      <c r="H175" s="14">
        <f>IF($A175="","",IF(INDEX('潜水記録'!$G$5:$G$3004,$AS175)="","",INDEX('潜水記録'!$G$5:$G$3004,$AS175)))</f>
        <v/>
      </c>
      <c r="I175" s="14">
        <f>IF($A175="","",IF(INDEX('潜水記録'!$H$5:$H$3004,$AS175)="","",INDEX('潜水記録'!$H$5:$H$3004,$AS175)))</f>
        <v/>
      </c>
      <c r="J175" s="14">
        <f>IF($A175="","",IF(INDEX('潜水記録'!$I$5:$I$3004,$AS175)="","",INDEX('潜水記録'!$I$5:$I$3004,$AS175)))</f>
        <v/>
      </c>
      <c r="K175" s="14">
        <f>IF($A175="","",IF(INDEX('潜水記録'!$J$5:$J$3004,$AS175)="","",INDEX('潜水記録'!$J$5:$J$3004,$AS175)))</f>
        <v/>
      </c>
      <c r="L175" s="14">
        <f>IF($A175="","",IF(INDEX('潜水記録'!$K$5:$K$3004,$AS175)="","",INDEX('潜水記録'!$K$5:$K$3004,$AS175)))</f>
        <v/>
      </c>
      <c r="M175" s="14">
        <f>IF($A175="","",IF(INDEX('潜水記録'!$L$5:$L$3004,$AS175)="","",INDEX('潜水記録'!$L$5:$L$3004,$AS175)))</f>
        <v/>
      </c>
      <c r="N175" s="14">
        <f>IF($A175="","",IF(INDEX('潜水記録'!$M$5:$M$3004,$AS175)="","",INDEX('潜水記録'!$M$5:$M$3004,$AS175)))</f>
        <v/>
      </c>
      <c r="O175" s="14">
        <f>IF($A175="","",IF(INDEX('潜水記録'!$N$5:$N$3004,$AS175)="","",INDEX('潜水記録'!$N$5:$N$3004,$AS175)))</f>
        <v/>
      </c>
      <c r="P175" s="14">
        <f>IF($A175="","",IF(INDEX('潜水記録'!$O$5:$O$3004,$AS175)="","",INDEX('潜水記録'!$O$5:$O$3004,$AS175)))</f>
        <v/>
      </c>
      <c r="Q175" s="14">
        <f>IF($A175="","",IF(INDEX('潜水記録'!$P$5:$P$3004,$AS175)="","",INDEX('潜水記録'!$P$5:$P$3004,$AS175)))</f>
        <v/>
      </c>
      <c r="R175" s="14">
        <f>IF($A175="","",IF(INDEX('潜水記録'!$Q$5:$Q$3004,$AS175)="","",INDEX('潜水記録'!$Q$5:$Q$3004,$AS175)))</f>
        <v/>
      </c>
      <c r="S175" s="14">
        <f>IF($A175="","",IF(INDEX('潜水記録'!$R$5:$R$3004,$AS175)="","",INDEX('潜水記録'!$R$5:$R$3004,$AS175)))</f>
        <v/>
      </c>
      <c r="T175" s="14">
        <f>IF($A175="","",IF(INDEX('潜水記録'!$S$5:$S$3004,$AS175)="","",INDEX('潜水記録'!$S$5:$S$3004,$AS175)))</f>
        <v/>
      </c>
      <c r="U175" s="14">
        <f>IF($A175="","",IF(INDEX('潜水記録'!$T$5:$T$3004,$AS175)="","",INDEX('潜水記録'!$T$5:$T$3004,$AS175)))</f>
        <v/>
      </c>
      <c r="V175" s="46">
        <f>IF($A175="","",IF(INDEX('潜水記録'!$U$5:$U$3004,$AS175)="","",INDEX('潜水記録'!$U$5:$U$3004,$AS175)))</f>
        <v/>
      </c>
      <c r="W175" s="46">
        <f>IF($A175="","",IF(INDEX('潜水記録'!$V$5:$V$3004,$AS175)="","",INDEX('潜水記録'!$V$5:$V$3004,$AS175)))</f>
        <v/>
      </c>
      <c r="X175" s="14">
        <f>IF($A175="","",IF(INDEX('潜水記録'!$W$5:$W$3004,$AS175)="","",INDEX('潜水記録'!$W$5:$W$3004,$AS175)))</f>
        <v/>
      </c>
      <c r="Y175" s="14">
        <f>IF($A175="","",IF(INDEX('潜水記録'!$X$5:$X$3004,$AS175)="","",INDEX('潜水記録'!$X$5:$X$3004,$AS175)))</f>
        <v/>
      </c>
      <c r="Z175" s="14">
        <f>IF($A175="","",IF(INDEX('潜水記録'!$Y$5:$Y$3004,$AS175)="","",INDEX('潜水記録'!$Y$5:$Y$3004,$AS175)))</f>
        <v/>
      </c>
      <c r="AA175" s="14">
        <f>IF($A175="","",IF(INDEX('潜水記録'!$Z$5:$Z$3004,$AS175)="","",INDEX('潜水記録'!$Z$5:$Z$3004,$AS175)))</f>
        <v/>
      </c>
      <c r="AB175" s="14">
        <f>IF($A175="","",IF(INDEX('潜水記録'!$AA$5:$AA$3004,$AS175)="","",INDEX('潜水記録'!$AA$5:$AA$3004,$AS175)))</f>
        <v/>
      </c>
      <c r="AC175" s="14">
        <f>IF($A175="","",IF(INDEX('潜水記録'!$AB$5:$AB$3004,$AS175)="","",INDEX('潜水記録'!$AB$5:$AB$3004,$AS175)))</f>
        <v/>
      </c>
      <c r="AD175" s="14">
        <f>IF($A175="","",IF(INDEX('潜水記録'!$AC$5:$AC$3004,$AS175)="","",INDEX('潜水記録'!$AC$5:$AC$3004,$AS175)))</f>
        <v/>
      </c>
      <c r="AE175" s="14">
        <f>IF($A175="","",IF(INDEX('潜水記録'!$AD$5:$AD$3004,$AS175)="","",INDEX('潜水記録'!$AD$5:$AD$3004,$AS175)))</f>
        <v/>
      </c>
      <c r="AF175" s="14">
        <f>IF($A175="","",IF(INDEX('潜水記録'!$AE$5:$AE$3004,$AS175)="","",INDEX('潜水記録'!$AE$5:$AE$3004,$AS175)))</f>
        <v/>
      </c>
      <c r="AG175" s="14">
        <f>IF($A175="","",IF(INDEX('潜水記録'!$AL$5:$AL$3004,$AS175)="","",INDEX('潜水記録'!$AL$5:$AL$3004,$AS175)))</f>
        <v/>
      </c>
      <c r="AH175" s="14">
        <f>IF($A175="","",IF(INDEX('潜水記録'!$AM$5:$AM$3004,$AS175)="","",INDEX('潜水記録'!$AM$5:$AM$3004,$AS175)))</f>
        <v/>
      </c>
      <c r="AI175" s="46">
        <f>IF($A175="","",IF(INDEX('潜水記録'!$AN$5:$AN$3004,$AS175)="","",INDEX('潜水記録'!$AN$5:$AN$3004,$AS175)))</f>
        <v/>
      </c>
      <c r="AJ175" s="14">
        <f>IF($A175="","",IF(INDEX('潜水記録'!$AO$5:$AO$3004,$AS175)="","",INDEX('潜水記録'!$AO$5:$AO$3004,$AS175)))</f>
        <v/>
      </c>
      <c r="AK175" s="14">
        <f>IF($A175="","",IF(INDEX('潜水記録'!$AP$5:$AP$3004,$AS175)="","",INDEX('潜水記録'!$AP$5:$AP$3004,$AS175)))</f>
        <v/>
      </c>
      <c r="AL175" s="14">
        <f>IF($A175="","",IF(INDEX('潜水記録'!$AQ$5:$AQ$3004,$AS175)="","",INDEX('潜水記録'!$AQ$5:$AQ$3004,$AS175)))</f>
        <v/>
      </c>
      <c r="AM175" s="14">
        <f>IF($A175="","",IF(INDEX('潜水記録'!$AR$5:$AR$3004,$AS175)="","",INDEX('潜水記録'!$AR$5:$AR$3004,$AS175)))</f>
        <v/>
      </c>
      <c r="AN175" s="14">
        <f>IF($A175="","",IF(INDEX('潜水記録'!$AS$5:$AS$3004,$AS175)="","",INDEX('潜水記録'!$AS$5:$AS$3004,$AS175)))</f>
        <v/>
      </c>
      <c r="AO175" s="14">
        <f>IF($A175="","",IF(INDEX('潜水記録'!$AT$5:$AT$3004,$AS175)="","",INDEX('潜水記録'!$AT$5:$AT$3004,$AS175)))</f>
        <v/>
      </c>
      <c r="AP175" s="14">
        <f>IF($A175="","",IF(INDEX('潜水記録'!$AU$5:$AU$3004,$AS175)="","",INDEX('潜水記録'!$AU$5:$AU$3004,$AS175)))</f>
        <v/>
      </c>
      <c r="AQ175" s="14">
        <f>IF($A175="","",IF(INDEX('潜水記録'!$AV$5:$AV$3004,$AS175)="","",INDEX('潜水記録'!$AV$5:$AV$3004,$AS175)))</f>
        <v/>
      </c>
      <c r="AR175" s="14">
        <f>IF($A175="","",IF(INDEX('潜水記録'!$AW$5:$AW$3004,$AS175)="","",INDEX('潜水記録'!$AW$5:$AW$3004,$AS175)))</f>
        <v/>
      </c>
      <c r="AS175" s="20">
        <f>IF($A175="","",MATCH($A175,'潜水記録'!$AI$5:$AI$3004,0))</f>
        <v/>
      </c>
    </row>
    <row r="176">
      <c r="A176" s="14">
        <f>IF(166&lt;=$C$8,166,"")</f>
        <v/>
      </c>
      <c r="B176" s="16">
        <f>IF($A176="","",IF(INDEX('潜水記録'!$A$5:$A$3004,$AS176)="","",INDEX('潜水記録'!$A$5:$A$3004,$AS176)))</f>
        <v/>
      </c>
      <c r="C176" s="14">
        <f>IF($A176="","",IF(INDEX('潜水記録'!$B$5:$B$3004,$AS176)="","",INDEX('潜水記録'!$B$5:$B$3004,$AS176)))</f>
        <v/>
      </c>
      <c r="D176" s="14">
        <f>IF($A176="","",IF(INDEX('潜水記録'!$C$5:$C$3004,$AS176)="","",INDEX('潜水記録'!$C$5:$C$3004,$AS176)))</f>
        <v/>
      </c>
      <c r="E176" s="14">
        <f>IF($A176="","",IF(INDEX('潜水記録'!$D$5:$D$3004,$AS176)="","",INDEX('潜水記録'!$D$5:$D$3004,$AS176)))</f>
        <v/>
      </c>
      <c r="F176" s="14">
        <f>IF($A176="","",IF(INDEX('潜水記録'!$E$5:$E$3004,$AS176)="","",INDEX('潜水記録'!$E$5:$E$3004,$AS176)))</f>
        <v/>
      </c>
      <c r="G176" s="14">
        <f>IF($A176="","",IF(INDEX('潜水記録'!$F$5:$F$3004,$AS176)="","",INDEX('潜水記録'!$F$5:$F$3004,$AS176)))</f>
        <v/>
      </c>
      <c r="H176" s="14">
        <f>IF($A176="","",IF(INDEX('潜水記録'!$G$5:$G$3004,$AS176)="","",INDEX('潜水記録'!$G$5:$G$3004,$AS176)))</f>
        <v/>
      </c>
      <c r="I176" s="14">
        <f>IF($A176="","",IF(INDEX('潜水記録'!$H$5:$H$3004,$AS176)="","",INDEX('潜水記録'!$H$5:$H$3004,$AS176)))</f>
        <v/>
      </c>
      <c r="J176" s="14">
        <f>IF($A176="","",IF(INDEX('潜水記録'!$I$5:$I$3004,$AS176)="","",INDEX('潜水記録'!$I$5:$I$3004,$AS176)))</f>
        <v/>
      </c>
      <c r="K176" s="14">
        <f>IF($A176="","",IF(INDEX('潜水記録'!$J$5:$J$3004,$AS176)="","",INDEX('潜水記録'!$J$5:$J$3004,$AS176)))</f>
        <v/>
      </c>
      <c r="L176" s="14">
        <f>IF($A176="","",IF(INDEX('潜水記録'!$K$5:$K$3004,$AS176)="","",INDEX('潜水記録'!$K$5:$K$3004,$AS176)))</f>
        <v/>
      </c>
      <c r="M176" s="14">
        <f>IF($A176="","",IF(INDEX('潜水記録'!$L$5:$L$3004,$AS176)="","",INDEX('潜水記録'!$L$5:$L$3004,$AS176)))</f>
        <v/>
      </c>
      <c r="N176" s="14">
        <f>IF($A176="","",IF(INDEX('潜水記録'!$M$5:$M$3004,$AS176)="","",INDEX('潜水記録'!$M$5:$M$3004,$AS176)))</f>
        <v/>
      </c>
      <c r="O176" s="14">
        <f>IF($A176="","",IF(INDEX('潜水記録'!$N$5:$N$3004,$AS176)="","",INDEX('潜水記録'!$N$5:$N$3004,$AS176)))</f>
        <v/>
      </c>
      <c r="P176" s="14">
        <f>IF($A176="","",IF(INDEX('潜水記録'!$O$5:$O$3004,$AS176)="","",INDEX('潜水記録'!$O$5:$O$3004,$AS176)))</f>
        <v/>
      </c>
      <c r="Q176" s="14">
        <f>IF($A176="","",IF(INDEX('潜水記録'!$P$5:$P$3004,$AS176)="","",INDEX('潜水記録'!$P$5:$P$3004,$AS176)))</f>
        <v/>
      </c>
      <c r="R176" s="14">
        <f>IF($A176="","",IF(INDEX('潜水記録'!$Q$5:$Q$3004,$AS176)="","",INDEX('潜水記録'!$Q$5:$Q$3004,$AS176)))</f>
        <v/>
      </c>
      <c r="S176" s="14">
        <f>IF($A176="","",IF(INDEX('潜水記録'!$R$5:$R$3004,$AS176)="","",INDEX('潜水記録'!$R$5:$R$3004,$AS176)))</f>
        <v/>
      </c>
      <c r="T176" s="14">
        <f>IF($A176="","",IF(INDEX('潜水記録'!$S$5:$S$3004,$AS176)="","",INDEX('潜水記録'!$S$5:$S$3004,$AS176)))</f>
        <v/>
      </c>
      <c r="U176" s="14">
        <f>IF($A176="","",IF(INDEX('潜水記録'!$T$5:$T$3004,$AS176)="","",INDEX('潜水記録'!$T$5:$T$3004,$AS176)))</f>
        <v/>
      </c>
      <c r="V176" s="46">
        <f>IF($A176="","",IF(INDEX('潜水記録'!$U$5:$U$3004,$AS176)="","",INDEX('潜水記録'!$U$5:$U$3004,$AS176)))</f>
        <v/>
      </c>
      <c r="W176" s="46">
        <f>IF($A176="","",IF(INDEX('潜水記録'!$V$5:$V$3004,$AS176)="","",INDEX('潜水記録'!$V$5:$V$3004,$AS176)))</f>
        <v/>
      </c>
      <c r="X176" s="14">
        <f>IF($A176="","",IF(INDEX('潜水記録'!$W$5:$W$3004,$AS176)="","",INDEX('潜水記録'!$W$5:$W$3004,$AS176)))</f>
        <v/>
      </c>
      <c r="Y176" s="14">
        <f>IF($A176="","",IF(INDEX('潜水記録'!$X$5:$X$3004,$AS176)="","",INDEX('潜水記録'!$X$5:$X$3004,$AS176)))</f>
        <v/>
      </c>
      <c r="Z176" s="14">
        <f>IF($A176="","",IF(INDEX('潜水記録'!$Y$5:$Y$3004,$AS176)="","",INDEX('潜水記録'!$Y$5:$Y$3004,$AS176)))</f>
        <v/>
      </c>
      <c r="AA176" s="14">
        <f>IF($A176="","",IF(INDEX('潜水記録'!$Z$5:$Z$3004,$AS176)="","",INDEX('潜水記録'!$Z$5:$Z$3004,$AS176)))</f>
        <v/>
      </c>
      <c r="AB176" s="14">
        <f>IF($A176="","",IF(INDEX('潜水記録'!$AA$5:$AA$3004,$AS176)="","",INDEX('潜水記録'!$AA$5:$AA$3004,$AS176)))</f>
        <v/>
      </c>
      <c r="AC176" s="14">
        <f>IF($A176="","",IF(INDEX('潜水記録'!$AB$5:$AB$3004,$AS176)="","",INDEX('潜水記録'!$AB$5:$AB$3004,$AS176)))</f>
        <v/>
      </c>
      <c r="AD176" s="14">
        <f>IF($A176="","",IF(INDEX('潜水記録'!$AC$5:$AC$3004,$AS176)="","",INDEX('潜水記録'!$AC$5:$AC$3004,$AS176)))</f>
        <v/>
      </c>
      <c r="AE176" s="14">
        <f>IF($A176="","",IF(INDEX('潜水記録'!$AD$5:$AD$3004,$AS176)="","",INDEX('潜水記録'!$AD$5:$AD$3004,$AS176)))</f>
        <v/>
      </c>
      <c r="AF176" s="14">
        <f>IF($A176="","",IF(INDEX('潜水記録'!$AE$5:$AE$3004,$AS176)="","",INDEX('潜水記録'!$AE$5:$AE$3004,$AS176)))</f>
        <v/>
      </c>
      <c r="AG176" s="14">
        <f>IF($A176="","",IF(INDEX('潜水記録'!$AL$5:$AL$3004,$AS176)="","",INDEX('潜水記録'!$AL$5:$AL$3004,$AS176)))</f>
        <v/>
      </c>
      <c r="AH176" s="14">
        <f>IF($A176="","",IF(INDEX('潜水記録'!$AM$5:$AM$3004,$AS176)="","",INDEX('潜水記録'!$AM$5:$AM$3004,$AS176)))</f>
        <v/>
      </c>
      <c r="AI176" s="46">
        <f>IF($A176="","",IF(INDEX('潜水記録'!$AN$5:$AN$3004,$AS176)="","",INDEX('潜水記録'!$AN$5:$AN$3004,$AS176)))</f>
        <v/>
      </c>
      <c r="AJ176" s="14">
        <f>IF($A176="","",IF(INDEX('潜水記録'!$AO$5:$AO$3004,$AS176)="","",INDEX('潜水記録'!$AO$5:$AO$3004,$AS176)))</f>
        <v/>
      </c>
      <c r="AK176" s="14">
        <f>IF($A176="","",IF(INDEX('潜水記録'!$AP$5:$AP$3004,$AS176)="","",INDEX('潜水記録'!$AP$5:$AP$3004,$AS176)))</f>
        <v/>
      </c>
      <c r="AL176" s="14">
        <f>IF($A176="","",IF(INDEX('潜水記録'!$AQ$5:$AQ$3004,$AS176)="","",INDEX('潜水記録'!$AQ$5:$AQ$3004,$AS176)))</f>
        <v/>
      </c>
      <c r="AM176" s="14">
        <f>IF($A176="","",IF(INDEX('潜水記録'!$AR$5:$AR$3004,$AS176)="","",INDEX('潜水記録'!$AR$5:$AR$3004,$AS176)))</f>
        <v/>
      </c>
      <c r="AN176" s="14">
        <f>IF($A176="","",IF(INDEX('潜水記録'!$AS$5:$AS$3004,$AS176)="","",INDEX('潜水記録'!$AS$5:$AS$3004,$AS176)))</f>
        <v/>
      </c>
      <c r="AO176" s="14">
        <f>IF($A176="","",IF(INDEX('潜水記録'!$AT$5:$AT$3004,$AS176)="","",INDEX('潜水記録'!$AT$5:$AT$3004,$AS176)))</f>
        <v/>
      </c>
      <c r="AP176" s="14">
        <f>IF($A176="","",IF(INDEX('潜水記録'!$AU$5:$AU$3004,$AS176)="","",INDEX('潜水記録'!$AU$5:$AU$3004,$AS176)))</f>
        <v/>
      </c>
      <c r="AQ176" s="14">
        <f>IF($A176="","",IF(INDEX('潜水記録'!$AV$5:$AV$3004,$AS176)="","",INDEX('潜水記録'!$AV$5:$AV$3004,$AS176)))</f>
        <v/>
      </c>
      <c r="AR176" s="14">
        <f>IF($A176="","",IF(INDEX('潜水記録'!$AW$5:$AW$3004,$AS176)="","",INDEX('潜水記録'!$AW$5:$AW$3004,$AS176)))</f>
        <v/>
      </c>
      <c r="AS176" s="20">
        <f>IF($A176="","",MATCH($A176,'潜水記録'!$AI$5:$AI$3004,0))</f>
        <v/>
      </c>
    </row>
    <row r="177">
      <c r="A177" s="14">
        <f>IF(167&lt;=$C$8,167,"")</f>
        <v/>
      </c>
      <c r="B177" s="16">
        <f>IF($A177="","",IF(INDEX('潜水記録'!$A$5:$A$3004,$AS177)="","",INDEX('潜水記録'!$A$5:$A$3004,$AS177)))</f>
        <v/>
      </c>
      <c r="C177" s="14">
        <f>IF($A177="","",IF(INDEX('潜水記録'!$B$5:$B$3004,$AS177)="","",INDEX('潜水記録'!$B$5:$B$3004,$AS177)))</f>
        <v/>
      </c>
      <c r="D177" s="14">
        <f>IF($A177="","",IF(INDEX('潜水記録'!$C$5:$C$3004,$AS177)="","",INDEX('潜水記録'!$C$5:$C$3004,$AS177)))</f>
        <v/>
      </c>
      <c r="E177" s="14">
        <f>IF($A177="","",IF(INDEX('潜水記録'!$D$5:$D$3004,$AS177)="","",INDEX('潜水記録'!$D$5:$D$3004,$AS177)))</f>
        <v/>
      </c>
      <c r="F177" s="14">
        <f>IF($A177="","",IF(INDEX('潜水記録'!$E$5:$E$3004,$AS177)="","",INDEX('潜水記録'!$E$5:$E$3004,$AS177)))</f>
        <v/>
      </c>
      <c r="G177" s="14">
        <f>IF($A177="","",IF(INDEX('潜水記録'!$F$5:$F$3004,$AS177)="","",INDEX('潜水記録'!$F$5:$F$3004,$AS177)))</f>
        <v/>
      </c>
      <c r="H177" s="14">
        <f>IF($A177="","",IF(INDEX('潜水記録'!$G$5:$G$3004,$AS177)="","",INDEX('潜水記録'!$G$5:$G$3004,$AS177)))</f>
        <v/>
      </c>
      <c r="I177" s="14">
        <f>IF($A177="","",IF(INDEX('潜水記録'!$H$5:$H$3004,$AS177)="","",INDEX('潜水記録'!$H$5:$H$3004,$AS177)))</f>
        <v/>
      </c>
      <c r="J177" s="14">
        <f>IF($A177="","",IF(INDEX('潜水記録'!$I$5:$I$3004,$AS177)="","",INDEX('潜水記録'!$I$5:$I$3004,$AS177)))</f>
        <v/>
      </c>
      <c r="K177" s="14">
        <f>IF($A177="","",IF(INDEX('潜水記録'!$J$5:$J$3004,$AS177)="","",INDEX('潜水記録'!$J$5:$J$3004,$AS177)))</f>
        <v/>
      </c>
      <c r="L177" s="14">
        <f>IF($A177="","",IF(INDEX('潜水記録'!$K$5:$K$3004,$AS177)="","",INDEX('潜水記録'!$K$5:$K$3004,$AS177)))</f>
        <v/>
      </c>
      <c r="M177" s="14">
        <f>IF($A177="","",IF(INDEX('潜水記録'!$L$5:$L$3004,$AS177)="","",INDEX('潜水記録'!$L$5:$L$3004,$AS177)))</f>
        <v/>
      </c>
      <c r="N177" s="14">
        <f>IF($A177="","",IF(INDEX('潜水記録'!$M$5:$M$3004,$AS177)="","",INDEX('潜水記録'!$M$5:$M$3004,$AS177)))</f>
        <v/>
      </c>
      <c r="O177" s="14">
        <f>IF($A177="","",IF(INDEX('潜水記録'!$N$5:$N$3004,$AS177)="","",INDEX('潜水記録'!$N$5:$N$3004,$AS177)))</f>
        <v/>
      </c>
      <c r="P177" s="14">
        <f>IF($A177="","",IF(INDEX('潜水記録'!$O$5:$O$3004,$AS177)="","",INDEX('潜水記録'!$O$5:$O$3004,$AS177)))</f>
        <v/>
      </c>
      <c r="Q177" s="14">
        <f>IF($A177="","",IF(INDEX('潜水記録'!$P$5:$P$3004,$AS177)="","",INDEX('潜水記録'!$P$5:$P$3004,$AS177)))</f>
        <v/>
      </c>
      <c r="R177" s="14">
        <f>IF($A177="","",IF(INDEX('潜水記録'!$Q$5:$Q$3004,$AS177)="","",INDEX('潜水記録'!$Q$5:$Q$3004,$AS177)))</f>
        <v/>
      </c>
      <c r="S177" s="14">
        <f>IF($A177="","",IF(INDEX('潜水記録'!$R$5:$R$3004,$AS177)="","",INDEX('潜水記録'!$R$5:$R$3004,$AS177)))</f>
        <v/>
      </c>
      <c r="T177" s="14">
        <f>IF($A177="","",IF(INDEX('潜水記録'!$S$5:$S$3004,$AS177)="","",INDEX('潜水記録'!$S$5:$S$3004,$AS177)))</f>
        <v/>
      </c>
      <c r="U177" s="14">
        <f>IF($A177="","",IF(INDEX('潜水記録'!$T$5:$T$3004,$AS177)="","",INDEX('潜水記録'!$T$5:$T$3004,$AS177)))</f>
        <v/>
      </c>
      <c r="V177" s="46">
        <f>IF($A177="","",IF(INDEX('潜水記録'!$U$5:$U$3004,$AS177)="","",INDEX('潜水記録'!$U$5:$U$3004,$AS177)))</f>
        <v/>
      </c>
      <c r="W177" s="46">
        <f>IF($A177="","",IF(INDEX('潜水記録'!$V$5:$V$3004,$AS177)="","",INDEX('潜水記録'!$V$5:$V$3004,$AS177)))</f>
        <v/>
      </c>
      <c r="X177" s="14">
        <f>IF($A177="","",IF(INDEX('潜水記録'!$W$5:$W$3004,$AS177)="","",INDEX('潜水記録'!$W$5:$W$3004,$AS177)))</f>
        <v/>
      </c>
      <c r="Y177" s="14">
        <f>IF($A177="","",IF(INDEX('潜水記録'!$X$5:$X$3004,$AS177)="","",INDEX('潜水記録'!$X$5:$X$3004,$AS177)))</f>
        <v/>
      </c>
      <c r="Z177" s="14">
        <f>IF($A177="","",IF(INDEX('潜水記録'!$Y$5:$Y$3004,$AS177)="","",INDEX('潜水記録'!$Y$5:$Y$3004,$AS177)))</f>
        <v/>
      </c>
      <c r="AA177" s="14">
        <f>IF($A177="","",IF(INDEX('潜水記録'!$Z$5:$Z$3004,$AS177)="","",INDEX('潜水記録'!$Z$5:$Z$3004,$AS177)))</f>
        <v/>
      </c>
      <c r="AB177" s="14">
        <f>IF($A177="","",IF(INDEX('潜水記録'!$AA$5:$AA$3004,$AS177)="","",INDEX('潜水記録'!$AA$5:$AA$3004,$AS177)))</f>
        <v/>
      </c>
      <c r="AC177" s="14">
        <f>IF($A177="","",IF(INDEX('潜水記録'!$AB$5:$AB$3004,$AS177)="","",INDEX('潜水記録'!$AB$5:$AB$3004,$AS177)))</f>
        <v/>
      </c>
      <c r="AD177" s="14">
        <f>IF($A177="","",IF(INDEX('潜水記録'!$AC$5:$AC$3004,$AS177)="","",INDEX('潜水記録'!$AC$5:$AC$3004,$AS177)))</f>
        <v/>
      </c>
      <c r="AE177" s="14">
        <f>IF($A177="","",IF(INDEX('潜水記録'!$AD$5:$AD$3004,$AS177)="","",INDEX('潜水記録'!$AD$5:$AD$3004,$AS177)))</f>
        <v/>
      </c>
      <c r="AF177" s="14">
        <f>IF($A177="","",IF(INDEX('潜水記録'!$AE$5:$AE$3004,$AS177)="","",INDEX('潜水記録'!$AE$5:$AE$3004,$AS177)))</f>
        <v/>
      </c>
      <c r="AG177" s="14">
        <f>IF($A177="","",IF(INDEX('潜水記録'!$AL$5:$AL$3004,$AS177)="","",INDEX('潜水記録'!$AL$5:$AL$3004,$AS177)))</f>
        <v/>
      </c>
      <c r="AH177" s="14">
        <f>IF($A177="","",IF(INDEX('潜水記録'!$AM$5:$AM$3004,$AS177)="","",INDEX('潜水記録'!$AM$5:$AM$3004,$AS177)))</f>
        <v/>
      </c>
      <c r="AI177" s="46">
        <f>IF($A177="","",IF(INDEX('潜水記録'!$AN$5:$AN$3004,$AS177)="","",INDEX('潜水記録'!$AN$5:$AN$3004,$AS177)))</f>
        <v/>
      </c>
      <c r="AJ177" s="14">
        <f>IF($A177="","",IF(INDEX('潜水記録'!$AO$5:$AO$3004,$AS177)="","",INDEX('潜水記録'!$AO$5:$AO$3004,$AS177)))</f>
        <v/>
      </c>
      <c r="AK177" s="14">
        <f>IF($A177="","",IF(INDEX('潜水記録'!$AP$5:$AP$3004,$AS177)="","",INDEX('潜水記録'!$AP$5:$AP$3004,$AS177)))</f>
        <v/>
      </c>
      <c r="AL177" s="14">
        <f>IF($A177="","",IF(INDEX('潜水記録'!$AQ$5:$AQ$3004,$AS177)="","",INDEX('潜水記録'!$AQ$5:$AQ$3004,$AS177)))</f>
        <v/>
      </c>
      <c r="AM177" s="14">
        <f>IF($A177="","",IF(INDEX('潜水記録'!$AR$5:$AR$3004,$AS177)="","",INDEX('潜水記録'!$AR$5:$AR$3004,$AS177)))</f>
        <v/>
      </c>
      <c r="AN177" s="14">
        <f>IF($A177="","",IF(INDEX('潜水記録'!$AS$5:$AS$3004,$AS177)="","",INDEX('潜水記録'!$AS$5:$AS$3004,$AS177)))</f>
        <v/>
      </c>
      <c r="AO177" s="14">
        <f>IF($A177="","",IF(INDEX('潜水記録'!$AT$5:$AT$3004,$AS177)="","",INDEX('潜水記録'!$AT$5:$AT$3004,$AS177)))</f>
        <v/>
      </c>
      <c r="AP177" s="14">
        <f>IF($A177="","",IF(INDEX('潜水記録'!$AU$5:$AU$3004,$AS177)="","",INDEX('潜水記録'!$AU$5:$AU$3004,$AS177)))</f>
        <v/>
      </c>
      <c r="AQ177" s="14">
        <f>IF($A177="","",IF(INDEX('潜水記録'!$AV$5:$AV$3004,$AS177)="","",INDEX('潜水記録'!$AV$5:$AV$3004,$AS177)))</f>
        <v/>
      </c>
      <c r="AR177" s="14">
        <f>IF($A177="","",IF(INDEX('潜水記録'!$AW$5:$AW$3004,$AS177)="","",INDEX('潜水記録'!$AW$5:$AW$3004,$AS177)))</f>
        <v/>
      </c>
      <c r="AS177" s="20">
        <f>IF($A177="","",MATCH($A177,'潜水記録'!$AI$5:$AI$3004,0))</f>
        <v/>
      </c>
    </row>
    <row r="178">
      <c r="A178" s="14">
        <f>IF(168&lt;=$C$8,168,"")</f>
        <v/>
      </c>
      <c r="B178" s="16">
        <f>IF($A178="","",IF(INDEX('潜水記録'!$A$5:$A$3004,$AS178)="","",INDEX('潜水記録'!$A$5:$A$3004,$AS178)))</f>
        <v/>
      </c>
      <c r="C178" s="14">
        <f>IF($A178="","",IF(INDEX('潜水記録'!$B$5:$B$3004,$AS178)="","",INDEX('潜水記録'!$B$5:$B$3004,$AS178)))</f>
        <v/>
      </c>
      <c r="D178" s="14">
        <f>IF($A178="","",IF(INDEX('潜水記録'!$C$5:$C$3004,$AS178)="","",INDEX('潜水記録'!$C$5:$C$3004,$AS178)))</f>
        <v/>
      </c>
      <c r="E178" s="14">
        <f>IF($A178="","",IF(INDEX('潜水記録'!$D$5:$D$3004,$AS178)="","",INDEX('潜水記録'!$D$5:$D$3004,$AS178)))</f>
        <v/>
      </c>
      <c r="F178" s="14">
        <f>IF($A178="","",IF(INDEX('潜水記録'!$E$5:$E$3004,$AS178)="","",INDEX('潜水記録'!$E$5:$E$3004,$AS178)))</f>
        <v/>
      </c>
      <c r="G178" s="14">
        <f>IF($A178="","",IF(INDEX('潜水記録'!$F$5:$F$3004,$AS178)="","",INDEX('潜水記録'!$F$5:$F$3004,$AS178)))</f>
        <v/>
      </c>
      <c r="H178" s="14">
        <f>IF($A178="","",IF(INDEX('潜水記録'!$G$5:$G$3004,$AS178)="","",INDEX('潜水記録'!$G$5:$G$3004,$AS178)))</f>
        <v/>
      </c>
      <c r="I178" s="14">
        <f>IF($A178="","",IF(INDEX('潜水記録'!$H$5:$H$3004,$AS178)="","",INDEX('潜水記録'!$H$5:$H$3004,$AS178)))</f>
        <v/>
      </c>
      <c r="J178" s="14">
        <f>IF($A178="","",IF(INDEX('潜水記録'!$I$5:$I$3004,$AS178)="","",INDEX('潜水記録'!$I$5:$I$3004,$AS178)))</f>
        <v/>
      </c>
      <c r="K178" s="14">
        <f>IF($A178="","",IF(INDEX('潜水記録'!$J$5:$J$3004,$AS178)="","",INDEX('潜水記録'!$J$5:$J$3004,$AS178)))</f>
        <v/>
      </c>
      <c r="L178" s="14">
        <f>IF($A178="","",IF(INDEX('潜水記録'!$K$5:$K$3004,$AS178)="","",INDEX('潜水記録'!$K$5:$K$3004,$AS178)))</f>
        <v/>
      </c>
      <c r="M178" s="14">
        <f>IF($A178="","",IF(INDEX('潜水記録'!$L$5:$L$3004,$AS178)="","",INDEX('潜水記録'!$L$5:$L$3004,$AS178)))</f>
        <v/>
      </c>
      <c r="N178" s="14">
        <f>IF($A178="","",IF(INDEX('潜水記録'!$M$5:$M$3004,$AS178)="","",INDEX('潜水記録'!$M$5:$M$3004,$AS178)))</f>
        <v/>
      </c>
      <c r="O178" s="14">
        <f>IF($A178="","",IF(INDEX('潜水記録'!$N$5:$N$3004,$AS178)="","",INDEX('潜水記録'!$N$5:$N$3004,$AS178)))</f>
        <v/>
      </c>
      <c r="P178" s="14">
        <f>IF($A178="","",IF(INDEX('潜水記録'!$O$5:$O$3004,$AS178)="","",INDEX('潜水記録'!$O$5:$O$3004,$AS178)))</f>
        <v/>
      </c>
      <c r="Q178" s="14">
        <f>IF($A178="","",IF(INDEX('潜水記録'!$P$5:$P$3004,$AS178)="","",INDEX('潜水記録'!$P$5:$P$3004,$AS178)))</f>
        <v/>
      </c>
      <c r="R178" s="14">
        <f>IF($A178="","",IF(INDEX('潜水記録'!$Q$5:$Q$3004,$AS178)="","",INDEX('潜水記録'!$Q$5:$Q$3004,$AS178)))</f>
        <v/>
      </c>
      <c r="S178" s="14">
        <f>IF($A178="","",IF(INDEX('潜水記録'!$R$5:$R$3004,$AS178)="","",INDEX('潜水記録'!$R$5:$R$3004,$AS178)))</f>
        <v/>
      </c>
      <c r="T178" s="14">
        <f>IF($A178="","",IF(INDEX('潜水記録'!$S$5:$S$3004,$AS178)="","",INDEX('潜水記録'!$S$5:$S$3004,$AS178)))</f>
        <v/>
      </c>
      <c r="U178" s="14">
        <f>IF($A178="","",IF(INDEX('潜水記録'!$T$5:$T$3004,$AS178)="","",INDEX('潜水記録'!$T$5:$T$3004,$AS178)))</f>
        <v/>
      </c>
      <c r="V178" s="46">
        <f>IF($A178="","",IF(INDEX('潜水記録'!$U$5:$U$3004,$AS178)="","",INDEX('潜水記録'!$U$5:$U$3004,$AS178)))</f>
        <v/>
      </c>
      <c r="W178" s="46">
        <f>IF($A178="","",IF(INDEX('潜水記録'!$V$5:$V$3004,$AS178)="","",INDEX('潜水記録'!$V$5:$V$3004,$AS178)))</f>
        <v/>
      </c>
      <c r="X178" s="14">
        <f>IF($A178="","",IF(INDEX('潜水記録'!$W$5:$W$3004,$AS178)="","",INDEX('潜水記録'!$W$5:$W$3004,$AS178)))</f>
        <v/>
      </c>
      <c r="Y178" s="14">
        <f>IF($A178="","",IF(INDEX('潜水記録'!$X$5:$X$3004,$AS178)="","",INDEX('潜水記録'!$X$5:$X$3004,$AS178)))</f>
        <v/>
      </c>
      <c r="Z178" s="14">
        <f>IF($A178="","",IF(INDEX('潜水記録'!$Y$5:$Y$3004,$AS178)="","",INDEX('潜水記録'!$Y$5:$Y$3004,$AS178)))</f>
        <v/>
      </c>
      <c r="AA178" s="14">
        <f>IF($A178="","",IF(INDEX('潜水記録'!$Z$5:$Z$3004,$AS178)="","",INDEX('潜水記録'!$Z$5:$Z$3004,$AS178)))</f>
        <v/>
      </c>
      <c r="AB178" s="14">
        <f>IF($A178="","",IF(INDEX('潜水記録'!$AA$5:$AA$3004,$AS178)="","",INDEX('潜水記録'!$AA$5:$AA$3004,$AS178)))</f>
        <v/>
      </c>
      <c r="AC178" s="14">
        <f>IF($A178="","",IF(INDEX('潜水記録'!$AB$5:$AB$3004,$AS178)="","",INDEX('潜水記録'!$AB$5:$AB$3004,$AS178)))</f>
        <v/>
      </c>
      <c r="AD178" s="14">
        <f>IF($A178="","",IF(INDEX('潜水記録'!$AC$5:$AC$3004,$AS178)="","",INDEX('潜水記録'!$AC$5:$AC$3004,$AS178)))</f>
        <v/>
      </c>
      <c r="AE178" s="14">
        <f>IF($A178="","",IF(INDEX('潜水記録'!$AD$5:$AD$3004,$AS178)="","",INDEX('潜水記録'!$AD$5:$AD$3004,$AS178)))</f>
        <v/>
      </c>
      <c r="AF178" s="14">
        <f>IF($A178="","",IF(INDEX('潜水記録'!$AE$5:$AE$3004,$AS178)="","",INDEX('潜水記録'!$AE$5:$AE$3004,$AS178)))</f>
        <v/>
      </c>
      <c r="AG178" s="14">
        <f>IF($A178="","",IF(INDEX('潜水記録'!$AL$5:$AL$3004,$AS178)="","",INDEX('潜水記録'!$AL$5:$AL$3004,$AS178)))</f>
        <v/>
      </c>
      <c r="AH178" s="14">
        <f>IF($A178="","",IF(INDEX('潜水記録'!$AM$5:$AM$3004,$AS178)="","",INDEX('潜水記録'!$AM$5:$AM$3004,$AS178)))</f>
        <v/>
      </c>
      <c r="AI178" s="46">
        <f>IF($A178="","",IF(INDEX('潜水記録'!$AN$5:$AN$3004,$AS178)="","",INDEX('潜水記録'!$AN$5:$AN$3004,$AS178)))</f>
        <v/>
      </c>
      <c r="AJ178" s="14">
        <f>IF($A178="","",IF(INDEX('潜水記録'!$AO$5:$AO$3004,$AS178)="","",INDEX('潜水記録'!$AO$5:$AO$3004,$AS178)))</f>
        <v/>
      </c>
      <c r="AK178" s="14">
        <f>IF($A178="","",IF(INDEX('潜水記録'!$AP$5:$AP$3004,$AS178)="","",INDEX('潜水記録'!$AP$5:$AP$3004,$AS178)))</f>
        <v/>
      </c>
      <c r="AL178" s="14">
        <f>IF($A178="","",IF(INDEX('潜水記録'!$AQ$5:$AQ$3004,$AS178)="","",INDEX('潜水記録'!$AQ$5:$AQ$3004,$AS178)))</f>
        <v/>
      </c>
      <c r="AM178" s="14">
        <f>IF($A178="","",IF(INDEX('潜水記録'!$AR$5:$AR$3004,$AS178)="","",INDEX('潜水記録'!$AR$5:$AR$3004,$AS178)))</f>
        <v/>
      </c>
      <c r="AN178" s="14">
        <f>IF($A178="","",IF(INDEX('潜水記録'!$AS$5:$AS$3004,$AS178)="","",INDEX('潜水記録'!$AS$5:$AS$3004,$AS178)))</f>
        <v/>
      </c>
      <c r="AO178" s="14">
        <f>IF($A178="","",IF(INDEX('潜水記録'!$AT$5:$AT$3004,$AS178)="","",INDEX('潜水記録'!$AT$5:$AT$3004,$AS178)))</f>
        <v/>
      </c>
      <c r="AP178" s="14">
        <f>IF($A178="","",IF(INDEX('潜水記録'!$AU$5:$AU$3004,$AS178)="","",INDEX('潜水記録'!$AU$5:$AU$3004,$AS178)))</f>
        <v/>
      </c>
      <c r="AQ178" s="14">
        <f>IF($A178="","",IF(INDEX('潜水記録'!$AV$5:$AV$3004,$AS178)="","",INDEX('潜水記録'!$AV$5:$AV$3004,$AS178)))</f>
        <v/>
      </c>
      <c r="AR178" s="14">
        <f>IF($A178="","",IF(INDEX('潜水記録'!$AW$5:$AW$3004,$AS178)="","",INDEX('潜水記録'!$AW$5:$AW$3004,$AS178)))</f>
        <v/>
      </c>
      <c r="AS178" s="20">
        <f>IF($A178="","",MATCH($A178,'潜水記録'!$AI$5:$AI$3004,0))</f>
        <v/>
      </c>
    </row>
    <row r="179">
      <c r="A179" s="14">
        <f>IF(169&lt;=$C$8,169,"")</f>
        <v/>
      </c>
      <c r="B179" s="16">
        <f>IF($A179="","",IF(INDEX('潜水記録'!$A$5:$A$3004,$AS179)="","",INDEX('潜水記録'!$A$5:$A$3004,$AS179)))</f>
        <v/>
      </c>
      <c r="C179" s="14">
        <f>IF($A179="","",IF(INDEX('潜水記録'!$B$5:$B$3004,$AS179)="","",INDEX('潜水記録'!$B$5:$B$3004,$AS179)))</f>
        <v/>
      </c>
      <c r="D179" s="14">
        <f>IF($A179="","",IF(INDEX('潜水記録'!$C$5:$C$3004,$AS179)="","",INDEX('潜水記録'!$C$5:$C$3004,$AS179)))</f>
        <v/>
      </c>
      <c r="E179" s="14">
        <f>IF($A179="","",IF(INDEX('潜水記録'!$D$5:$D$3004,$AS179)="","",INDEX('潜水記録'!$D$5:$D$3004,$AS179)))</f>
        <v/>
      </c>
      <c r="F179" s="14">
        <f>IF($A179="","",IF(INDEX('潜水記録'!$E$5:$E$3004,$AS179)="","",INDEX('潜水記録'!$E$5:$E$3004,$AS179)))</f>
        <v/>
      </c>
      <c r="G179" s="14">
        <f>IF($A179="","",IF(INDEX('潜水記録'!$F$5:$F$3004,$AS179)="","",INDEX('潜水記録'!$F$5:$F$3004,$AS179)))</f>
        <v/>
      </c>
      <c r="H179" s="14">
        <f>IF($A179="","",IF(INDEX('潜水記録'!$G$5:$G$3004,$AS179)="","",INDEX('潜水記録'!$G$5:$G$3004,$AS179)))</f>
        <v/>
      </c>
      <c r="I179" s="14">
        <f>IF($A179="","",IF(INDEX('潜水記録'!$H$5:$H$3004,$AS179)="","",INDEX('潜水記録'!$H$5:$H$3004,$AS179)))</f>
        <v/>
      </c>
      <c r="J179" s="14">
        <f>IF($A179="","",IF(INDEX('潜水記録'!$I$5:$I$3004,$AS179)="","",INDEX('潜水記録'!$I$5:$I$3004,$AS179)))</f>
        <v/>
      </c>
      <c r="K179" s="14">
        <f>IF($A179="","",IF(INDEX('潜水記録'!$J$5:$J$3004,$AS179)="","",INDEX('潜水記録'!$J$5:$J$3004,$AS179)))</f>
        <v/>
      </c>
      <c r="L179" s="14">
        <f>IF($A179="","",IF(INDEX('潜水記録'!$K$5:$K$3004,$AS179)="","",INDEX('潜水記録'!$K$5:$K$3004,$AS179)))</f>
        <v/>
      </c>
      <c r="M179" s="14">
        <f>IF($A179="","",IF(INDEX('潜水記録'!$L$5:$L$3004,$AS179)="","",INDEX('潜水記録'!$L$5:$L$3004,$AS179)))</f>
        <v/>
      </c>
      <c r="N179" s="14">
        <f>IF($A179="","",IF(INDEX('潜水記録'!$M$5:$M$3004,$AS179)="","",INDEX('潜水記録'!$M$5:$M$3004,$AS179)))</f>
        <v/>
      </c>
      <c r="O179" s="14">
        <f>IF($A179="","",IF(INDEX('潜水記録'!$N$5:$N$3004,$AS179)="","",INDEX('潜水記録'!$N$5:$N$3004,$AS179)))</f>
        <v/>
      </c>
      <c r="P179" s="14">
        <f>IF($A179="","",IF(INDEX('潜水記録'!$O$5:$O$3004,$AS179)="","",INDEX('潜水記録'!$O$5:$O$3004,$AS179)))</f>
        <v/>
      </c>
      <c r="Q179" s="14">
        <f>IF($A179="","",IF(INDEX('潜水記録'!$P$5:$P$3004,$AS179)="","",INDEX('潜水記録'!$P$5:$P$3004,$AS179)))</f>
        <v/>
      </c>
      <c r="R179" s="14">
        <f>IF($A179="","",IF(INDEX('潜水記録'!$Q$5:$Q$3004,$AS179)="","",INDEX('潜水記録'!$Q$5:$Q$3004,$AS179)))</f>
        <v/>
      </c>
      <c r="S179" s="14">
        <f>IF($A179="","",IF(INDEX('潜水記録'!$R$5:$R$3004,$AS179)="","",INDEX('潜水記録'!$R$5:$R$3004,$AS179)))</f>
        <v/>
      </c>
      <c r="T179" s="14">
        <f>IF($A179="","",IF(INDEX('潜水記録'!$S$5:$S$3004,$AS179)="","",INDEX('潜水記録'!$S$5:$S$3004,$AS179)))</f>
        <v/>
      </c>
      <c r="U179" s="14">
        <f>IF($A179="","",IF(INDEX('潜水記録'!$T$5:$T$3004,$AS179)="","",INDEX('潜水記録'!$T$5:$T$3004,$AS179)))</f>
        <v/>
      </c>
      <c r="V179" s="46">
        <f>IF($A179="","",IF(INDEX('潜水記録'!$U$5:$U$3004,$AS179)="","",INDEX('潜水記録'!$U$5:$U$3004,$AS179)))</f>
        <v/>
      </c>
      <c r="W179" s="46">
        <f>IF($A179="","",IF(INDEX('潜水記録'!$V$5:$V$3004,$AS179)="","",INDEX('潜水記録'!$V$5:$V$3004,$AS179)))</f>
        <v/>
      </c>
      <c r="X179" s="14">
        <f>IF($A179="","",IF(INDEX('潜水記録'!$W$5:$W$3004,$AS179)="","",INDEX('潜水記録'!$W$5:$W$3004,$AS179)))</f>
        <v/>
      </c>
      <c r="Y179" s="14">
        <f>IF($A179="","",IF(INDEX('潜水記録'!$X$5:$X$3004,$AS179)="","",INDEX('潜水記録'!$X$5:$X$3004,$AS179)))</f>
        <v/>
      </c>
      <c r="Z179" s="14">
        <f>IF($A179="","",IF(INDEX('潜水記録'!$Y$5:$Y$3004,$AS179)="","",INDEX('潜水記録'!$Y$5:$Y$3004,$AS179)))</f>
        <v/>
      </c>
      <c r="AA179" s="14">
        <f>IF($A179="","",IF(INDEX('潜水記録'!$Z$5:$Z$3004,$AS179)="","",INDEX('潜水記録'!$Z$5:$Z$3004,$AS179)))</f>
        <v/>
      </c>
      <c r="AB179" s="14">
        <f>IF($A179="","",IF(INDEX('潜水記録'!$AA$5:$AA$3004,$AS179)="","",INDEX('潜水記録'!$AA$5:$AA$3004,$AS179)))</f>
        <v/>
      </c>
      <c r="AC179" s="14">
        <f>IF($A179="","",IF(INDEX('潜水記録'!$AB$5:$AB$3004,$AS179)="","",INDEX('潜水記録'!$AB$5:$AB$3004,$AS179)))</f>
        <v/>
      </c>
      <c r="AD179" s="14">
        <f>IF($A179="","",IF(INDEX('潜水記録'!$AC$5:$AC$3004,$AS179)="","",INDEX('潜水記録'!$AC$5:$AC$3004,$AS179)))</f>
        <v/>
      </c>
      <c r="AE179" s="14">
        <f>IF($A179="","",IF(INDEX('潜水記録'!$AD$5:$AD$3004,$AS179)="","",INDEX('潜水記録'!$AD$5:$AD$3004,$AS179)))</f>
        <v/>
      </c>
      <c r="AF179" s="14">
        <f>IF($A179="","",IF(INDEX('潜水記録'!$AE$5:$AE$3004,$AS179)="","",INDEX('潜水記録'!$AE$5:$AE$3004,$AS179)))</f>
        <v/>
      </c>
      <c r="AG179" s="14">
        <f>IF($A179="","",IF(INDEX('潜水記録'!$AL$5:$AL$3004,$AS179)="","",INDEX('潜水記録'!$AL$5:$AL$3004,$AS179)))</f>
        <v/>
      </c>
      <c r="AH179" s="14">
        <f>IF($A179="","",IF(INDEX('潜水記録'!$AM$5:$AM$3004,$AS179)="","",INDEX('潜水記録'!$AM$5:$AM$3004,$AS179)))</f>
        <v/>
      </c>
      <c r="AI179" s="46">
        <f>IF($A179="","",IF(INDEX('潜水記録'!$AN$5:$AN$3004,$AS179)="","",INDEX('潜水記録'!$AN$5:$AN$3004,$AS179)))</f>
        <v/>
      </c>
      <c r="AJ179" s="14">
        <f>IF($A179="","",IF(INDEX('潜水記録'!$AO$5:$AO$3004,$AS179)="","",INDEX('潜水記録'!$AO$5:$AO$3004,$AS179)))</f>
        <v/>
      </c>
      <c r="AK179" s="14">
        <f>IF($A179="","",IF(INDEX('潜水記録'!$AP$5:$AP$3004,$AS179)="","",INDEX('潜水記録'!$AP$5:$AP$3004,$AS179)))</f>
        <v/>
      </c>
      <c r="AL179" s="14">
        <f>IF($A179="","",IF(INDEX('潜水記録'!$AQ$5:$AQ$3004,$AS179)="","",INDEX('潜水記録'!$AQ$5:$AQ$3004,$AS179)))</f>
        <v/>
      </c>
      <c r="AM179" s="14">
        <f>IF($A179="","",IF(INDEX('潜水記録'!$AR$5:$AR$3004,$AS179)="","",INDEX('潜水記録'!$AR$5:$AR$3004,$AS179)))</f>
        <v/>
      </c>
      <c r="AN179" s="14">
        <f>IF($A179="","",IF(INDEX('潜水記録'!$AS$5:$AS$3004,$AS179)="","",INDEX('潜水記録'!$AS$5:$AS$3004,$AS179)))</f>
        <v/>
      </c>
      <c r="AO179" s="14">
        <f>IF($A179="","",IF(INDEX('潜水記録'!$AT$5:$AT$3004,$AS179)="","",INDEX('潜水記録'!$AT$5:$AT$3004,$AS179)))</f>
        <v/>
      </c>
      <c r="AP179" s="14">
        <f>IF($A179="","",IF(INDEX('潜水記録'!$AU$5:$AU$3004,$AS179)="","",INDEX('潜水記録'!$AU$5:$AU$3004,$AS179)))</f>
        <v/>
      </c>
      <c r="AQ179" s="14">
        <f>IF($A179="","",IF(INDEX('潜水記録'!$AV$5:$AV$3004,$AS179)="","",INDEX('潜水記録'!$AV$5:$AV$3004,$AS179)))</f>
        <v/>
      </c>
      <c r="AR179" s="14">
        <f>IF($A179="","",IF(INDEX('潜水記録'!$AW$5:$AW$3004,$AS179)="","",INDEX('潜水記録'!$AW$5:$AW$3004,$AS179)))</f>
        <v/>
      </c>
      <c r="AS179" s="20">
        <f>IF($A179="","",MATCH($A179,'潜水記録'!$AI$5:$AI$3004,0))</f>
        <v/>
      </c>
    </row>
    <row r="180">
      <c r="A180" s="14">
        <f>IF(170&lt;=$C$8,170,"")</f>
        <v/>
      </c>
      <c r="B180" s="16">
        <f>IF($A180="","",IF(INDEX('潜水記録'!$A$5:$A$3004,$AS180)="","",INDEX('潜水記録'!$A$5:$A$3004,$AS180)))</f>
        <v/>
      </c>
      <c r="C180" s="14">
        <f>IF($A180="","",IF(INDEX('潜水記録'!$B$5:$B$3004,$AS180)="","",INDEX('潜水記録'!$B$5:$B$3004,$AS180)))</f>
        <v/>
      </c>
      <c r="D180" s="14">
        <f>IF($A180="","",IF(INDEX('潜水記録'!$C$5:$C$3004,$AS180)="","",INDEX('潜水記録'!$C$5:$C$3004,$AS180)))</f>
        <v/>
      </c>
      <c r="E180" s="14">
        <f>IF($A180="","",IF(INDEX('潜水記録'!$D$5:$D$3004,$AS180)="","",INDEX('潜水記録'!$D$5:$D$3004,$AS180)))</f>
        <v/>
      </c>
      <c r="F180" s="14">
        <f>IF($A180="","",IF(INDEX('潜水記録'!$E$5:$E$3004,$AS180)="","",INDEX('潜水記録'!$E$5:$E$3004,$AS180)))</f>
        <v/>
      </c>
      <c r="G180" s="14">
        <f>IF($A180="","",IF(INDEX('潜水記録'!$F$5:$F$3004,$AS180)="","",INDEX('潜水記録'!$F$5:$F$3004,$AS180)))</f>
        <v/>
      </c>
      <c r="H180" s="14">
        <f>IF($A180="","",IF(INDEX('潜水記録'!$G$5:$G$3004,$AS180)="","",INDEX('潜水記録'!$G$5:$G$3004,$AS180)))</f>
        <v/>
      </c>
      <c r="I180" s="14">
        <f>IF($A180="","",IF(INDEX('潜水記録'!$H$5:$H$3004,$AS180)="","",INDEX('潜水記録'!$H$5:$H$3004,$AS180)))</f>
        <v/>
      </c>
      <c r="J180" s="14">
        <f>IF($A180="","",IF(INDEX('潜水記録'!$I$5:$I$3004,$AS180)="","",INDEX('潜水記録'!$I$5:$I$3004,$AS180)))</f>
        <v/>
      </c>
      <c r="K180" s="14">
        <f>IF($A180="","",IF(INDEX('潜水記録'!$J$5:$J$3004,$AS180)="","",INDEX('潜水記録'!$J$5:$J$3004,$AS180)))</f>
        <v/>
      </c>
      <c r="L180" s="14">
        <f>IF($A180="","",IF(INDEX('潜水記録'!$K$5:$K$3004,$AS180)="","",INDEX('潜水記録'!$K$5:$K$3004,$AS180)))</f>
        <v/>
      </c>
      <c r="M180" s="14">
        <f>IF($A180="","",IF(INDEX('潜水記録'!$L$5:$L$3004,$AS180)="","",INDEX('潜水記録'!$L$5:$L$3004,$AS180)))</f>
        <v/>
      </c>
      <c r="N180" s="14">
        <f>IF($A180="","",IF(INDEX('潜水記録'!$M$5:$M$3004,$AS180)="","",INDEX('潜水記録'!$M$5:$M$3004,$AS180)))</f>
        <v/>
      </c>
      <c r="O180" s="14">
        <f>IF($A180="","",IF(INDEX('潜水記録'!$N$5:$N$3004,$AS180)="","",INDEX('潜水記録'!$N$5:$N$3004,$AS180)))</f>
        <v/>
      </c>
      <c r="P180" s="14">
        <f>IF($A180="","",IF(INDEX('潜水記録'!$O$5:$O$3004,$AS180)="","",INDEX('潜水記録'!$O$5:$O$3004,$AS180)))</f>
        <v/>
      </c>
      <c r="Q180" s="14">
        <f>IF($A180="","",IF(INDEX('潜水記録'!$P$5:$P$3004,$AS180)="","",INDEX('潜水記録'!$P$5:$P$3004,$AS180)))</f>
        <v/>
      </c>
      <c r="R180" s="14">
        <f>IF($A180="","",IF(INDEX('潜水記録'!$Q$5:$Q$3004,$AS180)="","",INDEX('潜水記録'!$Q$5:$Q$3004,$AS180)))</f>
        <v/>
      </c>
      <c r="S180" s="14">
        <f>IF($A180="","",IF(INDEX('潜水記録'!$R$5:$R$3004,$AS180)="","",INDEX('潜水記録'!$R$5:$R$3004,$AS180)))</f>
        <v/>
      </c>
      <c r="T180" s="14">
        <f>IF($A180="","",IF(INDEX('潜水記録'!$S$5:$S$3004,$AS180)="","",INDEX('潜水記録'!$S$5:$S$3004,$AS180)))</f>
        <v/>
      </c>
      <c r="U180" s="14">
        <f>IF($A180="","",IF(INDEX('潜水記録'!$T$5:$T$3004,$AS180)="","",INDEX('潜水記録'!$T$5:$T$3004,$AS180)))</f>
        <v/>
      </c>
      <c r="V180" s="46">
        <f>IF($A180="","",IF(INDEX('潜水記録'!$U$5:$U$3004,$AS180)="","",INDEX('潜水記録'!$U$5:$U$3004,$AS180)))</f>
        <v/>
      </c>
      <c r="W180" s="46">
        <f>IF($A180="","",IF(INDEX('潜水記録'!$V$5:$V$3004,$AS180)="","",INDEX('潜水記録'!$V$5:$V$3004,$AS180)))</f>
        <v/>
      </c>
      <c r="X180" s="14">
        <f>IF($A180="","",IF(INDEX('潜水記録'!$W$5:$W$3004,$AS180)="","",INDEX('潜水記録'!$W$5:$W$3004,$AS180)))</f>
        <v/>
      </c>
      <c r="Y180" s="14">
        <f>IF($A180="","",IF(INDEX('潜水記録'!$X$5:$X$3004,$AS180)="","",INDEX('潜水記録'!$X$5:$X$3004,$AS180)))</f>
        <v/>
      </c>
      <c r="Z180" s="14">
        <f>IF($A180="","",IF(INDEX('潜水記録'!$Y$5:$Y$3004,$AS180)="","",INDEX('潜水記録'!$Y$5:$Y$3004,$AS180)))</f>
        <v/>
      </c>
      <c r="AA180" s="14">
        <f>IF($A180="","",IF(INDEX('潜水記録'!$Z$5:$Z$3004,$AS180)="","",INDEX('潜水記録'!$Z$5:$Z$3004,$AS180)))</f>
        <v/>
      </c>
      <c r="AB180" s="14">
        <f>IF($A180="","",IF(INDEX('潜水記録'!$AA$5:$AA$3004,$AS180)="","",INDEX('潜水記録'!$AA$5:$AA$3004,$AS180)))</f>
        <v/>
      </c>
      <c r="AC180" s="14">
        <f>IF($A180="","",IF(INDEX('潜水記録'!$AB$5:$AB$3004,$AS180)="","",INDEX('潜水記録'!$AB$5:$AB$3004,$AS180)))</f>
        <v/>
      </c>
      <c r="AD180" s="14">
        <f>IF($A180="","",IF(INDEX('潜水記録'!$AC$5:$AC$3004,$AS180)="","",INDEX('潜水記録'!$AC$5:$AC$3004,$AS180)))</f>
        <v/>
      </c>
      <c r="AE180" s="14">
        <f>IF($A180="","",IF(INDEX('潜水記録'!$AD$5:$AD$3004,$AS180)="","",INDEX('潜水記録'!$AD$5:$AD$3004,$AS180)))</f>
        <v/>
      </c>
      <c r="AF180" s="14">
        <f>IF($A180="","",IF(INDEX('潜水記録'!$AE$5:$AE$3004,$AS180)="","",INDEX('潜水記録'!$AE$5:$AE$3004,$AS180)))</f>
        <v/>
      </c>
      <c r="AG180" s="14">
        <f>IF($A180="","",IF(INDEX('潜水記録'!$AL$5:$AL$3004,$AS180)="","",INDEX('潜水記録'!$AL$5:$AL$3004,$AS180)))</f>
        <v/>
      </c>
      <c r="AH180" s="14">
        <f>IF($A180="","",IF(INDEX('潜水記録'!$AM$5:$AM$3004,$AS180)="","",INDEX('潜水記録'!$AM$5:$AM$3004,$AS180)))</f>
        <v/>
      </c>
      <c r="AI180" s="46">
        <f>IF($A180="","",IF(INDEX('潜水記録'!$AN$5:$AN$3004,$AS180)="","",INDEX('潜水記録'!$AN$5:$AN$3004,$AS180)))</f>
        <v/>
      </c>
      <c r="AJ180" s="14">
        <f>IF($A180="","",IF(INDEX('潜水記録'!$AO$5:$AO$3004,$AS180)="","",INDEX('潜水記録'!$AO$5:$AO$3004,$AS180)))</f>
        <v/>
      </c>
      <c r="AK180" s="14">
        <f>IF($A180="","",IF(INDEX('潜水記録'!$AP$5:$AP$3004,$AS180)="","",INDEX('潜水記録'!$AP$5:$AP$3004,$AS180)))</f>
        <v/>
      </c>
      <c r="AL180" s="14">
        <f>IF($A180="","",IF(INDEX('潜水記録'!$AQ$5:$AQ$3004,$AS180)="","",INDEX('潜水記録'!$AQ$5:$AQ$3004,$AS180)))</f>
        <v/>
      </c>
      <c r="AM180" s="14">
        <f>IF($A180="","",IF(INDEX('潜水記録'!$AR$5:$AR$3004,$AS180)="","",INDEX('潜水記録'!$AR$5:$AR$3004,$AS180)))</f>
        <v/>
      </c>
      <c r="AN180" s="14">
        <f>IF($A180="","",IF(INDEX('潜水記録'!$AS$5:$AS$3004,$AS180)="","",INDEX('潜水記録'!$AS$5:$AS$3004,$AS180)))</f>
        <v/>
      </c>
      <c r="AO180" s="14">
        <f>IF($A180="","",IF(INDEX('潜水記録'!$AT$5:$AT$3004,$AS180)="","",INDEX('潜水記録'!$AT$5:$AT$3004,$AS180)))</f>
        <v/>
      </c>
      <c r="AP180" s="14">
        <f>IF($A180="","",IF(INDEX('潜水記録'!$AU$5:$AU$3004,$AS180)="","",INDEX('潜水記録'!$AU$5:$AU$3004,$AS180)))</f>
        <v/>
      </c>
      <c r="AQ180" s="14">
        <f>IF($A180="","",IF(INDEX('潜水記録'!$AV$5:$AV$3004,$AS180)="","",INDEX('潜水記録'!$AV$5:$AV$3004,$AS180)))</f>
        <v/>
      </c>
      <c r="AR180" s="14">
        <f>IF($A180="","",IF(INDEX('潜水記録'!$AW$5:$AW$3004,$AS180)="","",INDEX('潜水記録'!$AW$5:$AW$3004,$AS180)))</f>
        <v/>
      </c>
      <c r="AS180" s="20">
        <f>IF($A180="","",MATCH($A180,'潜水記録'!$AI$5:$AI$3004,0))</f>
        <v/>
      </c>
    </row>
    <row r="181">
      <c r="A181" s="14">
        <f>IF(171&lt;=$C$8,171,"")</f>
        <v/>
      </c>
      <c r="B181" s="16">
        <f>IF($A181="","",IF(INDEX('潜水記録'!$A$5:$A$3004,$AS181)="","",INDEX('潜水記録'!$A$5:$A$3004,$AS181)))</f>
        <v/>
      </c>
      <c r="C181" s="14">
        <f>IF($A181="","",IF(INDEX('潜水記録'!$B$5:$B$3004,$AS181)="","",INDEX('潜水記録'!$B$5:$B$3004,$AS181)))</f>
        <v/>
      </c>
      <c r="D181" s="14">
        <f>IF($A181="","",IF(INDEX('潜水記録'!$C$5:$C$3004,$AS181)="","",INDEX('潜水記録'!$C$5:$C$3004,$AS181)))</f>
        <v/>
      </c>
      <c r="E181" s="14">
        <f>IF($A181="","",IF(INDEX('潜水記録'!$D$5:$D$3004,$AS181)="","",INDEX('潜水記録'!$D$5:$D$3004,$AS181)))</f>
        <v/>
      </c>
      <c r="F181" s="14">
        <f>IF($A181="","",IF(INDEX('潜水記録'!$E$5:$E$3004,$AS181)="","",INDEX('潜水記録'!$E$5:$E$3004,$AS181)))</f>
        <v/>
      </c>
      <c r="G181" s="14">
        <f>IF($A181="","",IF(INDEX('潜水記録'!$F$5:$F$3004,$AS181)="","",INDEX('潜水記録'!$F$5:$F$3004,$AS181)))</f>
        <v/>
      </c>
      <c r="H181" s="14">
        <f>IF($A181="","",IF(INDEX('潜水記録'!$G$5:$G$3004,$AS181)="","",INDEX('潜水記録'!$G$5:$G$3004,$AS181)))</f>
        <v/>
      </c>
      <c r="I181" s="14">
        <f>IF($A181="","",IF(INDEX('潜水記録'!$H$5:$H$3004,$AS181)="","",INDEX('潜水記録'!$H$5:$H$3004,$AS181)))</f>
        <v/>
      </c>
      <c r="J181" s="14">
        <f>IF($A181="","",IF(INDEX('潜水記録'!$I$5:$I$3004,$AS181)="","",INDEX('潜水記録'!$I$5:$I$3004,$AS181)))</f>
        <v/>
      </c>
      <c r="K181" s="14">
        <f>IF($A181="","",IF(INDEX('潜水記録'!$J$5:$J$3004,$AS181)="","",INDEX('潜水記録'!$J$5:$J$3004,$AS181)))</f>
        <v/>
      </c>
      <c r="L181" s="14">
        <f>IF($A181="","",IF(INDEX('潜水記録'!$K$5:$K$3004,$AS181)="","",INDEX('潜水記録'!$K$5:$K$3004,$AS181)))</f>
        <v/>
      </c>
      <c r="M181" s="14">
        <f>IF($A181="","",IF(INDEX('潜水記録'!$L$5:$L$3004,$AS181)="","",INDEX('潜水記録'!$L$5:$L$3004,$AS181)))</f>
        <v/>
      </c>
      <c r="N181" s="14">
        <f>IF($A181="","",IF(INDEX('潜水記録'!$M$5:$M$3004,$AS181)="","",INDEX('潜水記録'!$M$5:$M$3004,$AS181)))</f>
        <v/>
      </c>
      <c r="O181" s="14">
        <f>IF($A181="","",IF(INDEX('潜水記録'!$N$5:$N$3004,$AS181)="","",INDEX('潜水記録'!$N$5:$N$3004,$AS181)))</f>
        <v/>
      </c>
      <c r="P181" s="14">
        <f>IF($A181="","",IF(INDEX('潜水記録'!$O$5:$O$3004,$AS181)="","",INDEX('潜水記録'!$O$5:$O$3004,$AS181)))</f>
        <v/>
      </c>
      <c r="Q181" s="14">
        <f>IF($A181="","",IF(INDEX('潜水記録'!$P$5:$P$3004,$AS181)="","",INDEX('潜水記録'!$P$5:$P$3004,$AS181)))</f>
        <v/>
      </c>
      <c r="R181" s="14">
        <f>IF($A181="","",IF(INDEX('潜水記録'!$Q$5:$Q$3004,$AS181)="","",INDEX('潜水記録'!$Q$5:$Q$3004,$AS181)))</f>
        <v/>
      </c>
      <c r="S181" s="14">
        <f>IF($A181="","",IF(INDEX('潜水記録'!$R$5:$R$3004,$AS181)="","",INDEX('潜水記録'!$R$5:$R$3004,$AS181)))</f>
        <v/>
      </c>
      <c r="T181" s="14">
        <f>IF($A181="","",IF(INDEX('潜水記録'!$S$5:$S$3004,$AS181)="","",INDEX('潜水記録'!$S$5:$S$3004,$AS181)))</f>
        <v/>
      </c>
      <c r="U181" s="14">
        <f>IF($A181="","",IF(INDEX('潜水記録'!$T$5:$T$3004,$AS181)="","",INDEX('潜水記録'!$T$5:$T$3004,$AS181)))</f>
        <v/>
      </c>
      <c r="V181" s="46">
        <f>IF($A181="","",IF(INDEX('潜水記録'!$U$5:$U$3004,$AS181)="","",INDEX('潜水記録'!$U$5:$U$3004,$AS181)))</f>
        <v/>
      </c>
      <c r="W181" s="46">
        <f>IF($A181="","",IF(INDEX('潜水記録'!$V$5:$V$3004,$AS181)="","",INDEX('潜水記録'!$V$5:$V$3004,$AS181)))</f>
        <v/>
      </c>
      <c r="X181" s="14">
        <f>IF($A181="","",IF(INDEX('潜水記録'!$W$5:$W$3004,$AS181)="","",INDEX('潜水記録'!$W$5:$W$3004,$AS181)))</f>
        <v/>
      </c>
      <c r="Y181" s="14">
        <f>IF($A181="","",IF(INDEX('潜水記録'!$X$5:$X$3004,$AS181)="","",INDEX('潜水記録'!$X$5:$X$3004,$AS181)))</f>
        <v/>
      </c>
      <c r="Z181" s="14">
        <f>IF($A181="","",IF(INDEX('潜水記録'!$Y$5:$Y$3004,$AS181)="","",INDEX('潜水記録'!$Y$5:$Y$3004,$AS181)))</f>
        <v/>
      </c>
      <c r="AA181" s="14">
        <f>IF($A181="","",IF(INDEX('潜水記録'!$Z$5:$Z$3004,$AS181)="","",INDEX('潜水記録'!$Z$5:$Z$3004,$AS181)))</f>
        <v/>
      </c>
      <c r="AB181" s="14">
        <f>IF($A181="","",IF(INDEX('潜水記録'!$AA$5:$AA$3004,$AS181)="","",INDEX('潜水記録'!$AA$5:$AA$3004,$AS181)))</f>
        <v/>
      </c>
      <c r="AC181" s="14">
        <f>IF($A181="","",IF(INDEX('潜水記録'!$AB$5:$AB$3004,$AS181)="","",INDEX('潜水記録'!$AB$5:$AB$3004,$AS181)))</f>
        <v/>
      </c>
      <c r="AD181" s="14">
        <f>IF($A181="","",IF(INDEX('潜水記録'!$AC$5:$AC$3004,$AS181)="","",INDEX('潜水記録'!$AC$5:$AC$3004,$AS181)))</f>
        <v/>
      </c>
      <c r="AE181" s="14">
        <f>IF($A181="","",IF(INDEX('潜水記録'!$AD$5:$AD$3004,$AS181)="","",INDEX('潜水記録'!$AD$5:$AD$3004,$AS181)))</f>
        <v/>
      </c>
      <c r="AF181" s="14">
        <f>IF($A181="","",IF(INDEX('潜水記録'!$AE$5:$AE$3004,$AS181)="","",INDEX('潜水記録'!$AE$5:$AE$3004,$AS181)))</f>
        <v/>
      </c>
      <c r="AG181" s="14">
        <f>IF($A181="","",IF(INDEX('潜水記録'!$AL$5:$AL$3004,$AS181)="","",INDEX('潜水記録'!$AL$5:$AL$3004,$AS181)))</f>
        <v/>
      </c>
      <c r="AH181" s="14">
        <f>IF($A181="","",IF(INDEX('潜水記録'!$AM$5:$AM$3004,$AS181)="","",INDEX('潜水記録'!$AM$5:$AM$3004,$AS181)))</f>
        <v/>
      </c>
      <c r="AI181" s="46">
        <f>IF($A181="","",IF(INDEX('潜水記録'!$AN$5:$AN$3004,$AS181)="","",INDEX('潜水記録'!$AN$5:$AN$3004,$AS181)))</f>
        <v/>
      </c>
      <c r="AJ181" s="14">
        <f>IF($A181="","",IF(INDEX('潜水記録'!$AO$5:$AO$3004,$AS181)="","",INDEX('潜水記録'!$AO$5:$AO$3004,$AS181)))</f>
        <v/>
      </c>
      <c r="AK181" s="14">
        <f>IF($A181="","",IF(INDEX('潜水記録'!$AP$5:$AP$3004,$AS181)="","",INDEX('潜水記録'!$AP$5:$AP$3004,$AS181)))</f>
        <v/>
      </c>
      <c r="AL181" s="14">
        <f>IF($A181="","",IF(INDEX('潜水記録'!$AQ$5:$AQ$3004,$AS181)="","",INDEX('潜水記録'!$AQ$5:$AQ$3004,$AS181)))</f>
        <v/>
      </c>
      <c r="AM181" s="14">
        <f>IF($A181="","",IF(INDEX('潜水記録'!$AR$5:$AR$3004,$AS181)="","",INDEX('潜水記録'!$AR$5:$AR$3004,$AS181)))</f>
        <v/>
      </c>
      <c r="AN181" s="14">
        <f>IF($A181="","",IF(INDEX('潜水記録'!$AS$5:$AS$3004,$AS181)="","",INDEX('潜水記録'!$AS$5:$AS$3004,$AS181)))</f>
        <v/>
      </c>
      <c r="AO181" s="14">
        <f>IF($A181="","",IF(INDEX('潜水記録'!$AT$5:$AT$3004,$AS181)="","",INDEX('潜水記録'!$AT$5:$AT$3004,$AS181)))</f>
        <v/>
      </c>
      <c r="AP181" s="14">
        <f>IF($A181="","",IF(INDEX('潜水記録'!$AU$5:$AU$3004,$AS181)="","",INDEX('潜水記録'!$AU$5:$AU$3004,$AS181)))</f>
        <v/>
      </c>
      <c r="AQ181" s="14">
        <f>IF($A181="","",IF(INDEX('潜水記録'!$AV$5:$AV$3004,$AS181)="","",INDEX('潜水記録'!$AV$5:$AV$3004,$AS181)))</f>
        <v/>
      </c>
      <c r="AR181" s="14">
        <f>IF($A181="","",IF(INDEX('潜水記録'!$AW$5:$AW$3004,$AS181)="","",INDEX('潜水記録'!$AW$5:$AW$3004,$AS181)))</f>
        <v/>
      </c>
      <c r="AS181" s="20">
        <f>IF($A181="","",MATCH($A181,'潜水記録'!$AI$5:$AI$3004,0))</f>
        <v/>
      </c>
    </row>
    <row r="182">
      <c r="A182" s="14">
        <f>IF(172&lt;=$C$8,172,"")</f>
        <v/>
      </c>
      <c r="B182" s="16">
        <f>IF($A182="","",IF(INDEX('潜水記録'!$A$5:$A$3004,$AS182)="","",INDEX('潜水記録'!$A$5:$A$3004,$AS182)))</f>
        <v/>
      </c>
      <c r="C182" s="14">
        <f>IF($A182="","",IF(INDEX('潜水記録'!$B$5:$B$3004,$AS182)="","",INDEX('潜水記録'!$B$5:$B$3004,$AS182)))</f>
        <v/>
      </c>
      <c r="D182" s="14">
        <f>IF($A182="","",IF(INDEX('潜水記録'!$C$5:$C$3004,$AS182)="","",INDEX('潜水記録'!$C$5:$C$3004,$AS182)))</f>
        <v/>
      </c>
      <c r="E182" s="14">
        <f>IF($A182="","",IF(INDEX('潜水記録'!$D$5:$D$3004,$AS182)="","",INDEX('潜水記録'!$D$5:$D$3004,$AS182)))</f>
        <v/>
      </c>
      <c r="F182" s="14">
        <f>IF($A182="","",IF(INDEX('潜水記録'!$E$5:$E$3004,$AS182)="","",INDEX('潜水記録'!$E$5:$E$3004,$AS182)))</f>
        <v/>
      </c>
      <c r="G182" s="14">
        <f>IF($A182="","",IF(INDEX('潜水記録'!$F$5:$F$3004,$AS182)="","",INDEX('潜水記録'!$F$5:$F$3004,$AS182)))</f>
        <v/>
      </c>
      <c r="H182" s="14">
        <f>IF($A182="","",IF(INDEX('潜水記録'!$G$5:$G$3004,$AS182)="","",INDEX('潜水記録'!$G$5:$G$3004,$AS182)))</f>
        <v/>
      </c>
      <c r="I182" s="14">
        <f>IF($A182="","",IF(INDEX('潜水記録'!$H$5:$H$3004,$AS182)="","",INDEX('潜水記録'!$H$5:$H$3004,$AS182)))</f>
        <v/>
      </c>
      <c r="J182" s="14">
        <f>IF($A182="","",IF(INDEX('潜水記録'!$I$5:$I$3004,$AS182)="","",INDEX('潜水記録'!$I$5:$I$3004,$AS182)))</f>
        <v/>
      </c>
      <c r="K182" s="14">
        <f>IF($A182="","",IF(INDEX('潜水記録'!$J$5:$J$3004,$AS182)="","",INDEX('潜水記録'!$J$5:$J$3004,$AS182)))</f>
        <v/>
      </c>
      <c r="L182" s="14">
        <f>IF($A182="","",IF(INDEX('潜水記録'!$K$5:$K$3004,$AS182)="","",INDEX('潜水記録'!$K$5:$K$3004,$AS182)))</f>
        <v/>
      </c>
      <c r="M182" s="14">
        <f>IF($A182="","",IF(INDEX('潜水記録'!$L$5:$L$3004,$AS182)="","",INDEX('潜水記録'!$L$5:$L$3004,$AS182)))</f>
        <v/>
      </c>
      <c r="N182" s="14">
        <f>IF($A182="","",IF(INDEX('潜水記録'!$M$5:$M$3004,$AS182)="","",INDEX('潜水記録'!$M$5:$M$3004,$AS182)))</f>
        <v/>
      </c>
      <c r="O182" s="14">
        <f>IF($A182="","",IF(INDEX('潜水記録'!$N$5:$N$3004,$AS182)="","",INDEX('潜水記録'!$N$5:$N$3004,$AS182)))</f>
        <v/>
      </c>
      <c r="P182" s="14">
        <f>IF($A182="","",IF(INDEX('潜水記録'!$O$5:$O$3004,$AS182)="","",INDEX('潜水記録'!$O$5:$O$3004,$AS182)))</f>
        <v/>
      </c>
      <c r="Q182" s="14">
        <f>IF($A182="","",IF(INDEX('潜水記録'!$P$5:$P$3004,$AS182)="","",INDEX('潜水記録'!$P$5:$P$3004,$AS182)))</f>
        <v/>
      </c>
      <c r="R182" s="14">
        <f>IF($A182="","",IF(INDEX('潜水記録'!$Q$5:$Q$3004,$AS182)="","",INDEX('潜水記録'!$Q$5:$Q$3004,$AS182)))</f>
        <v/>
      </c>
      <c r="S182" s="14">
        <f>IF($A182="","",IF(INDEX('潜水記録'!$R$5:$R$3004,$AS182)="","",INDEX('潜水記録'!$R$5:$R$3004,$AS182)))</f>
        <v/>
      </c>
      <c r="T182" s="14">
        <f>IF($A182="","",IF(INDEX('潜水記録'!$S$5:$S$3004,$AS182)="","",INDEX('潜水記録'!$S$5:$S$3004,$AS182)))</f>
        <v/>
      </c>
      <c r="U182" s="14">
        <f>IF($A182="","",IF(INDEX('潜水記録'!$T$5:$T$3004,$AS182)="","",INDEX('潜水記録'!$T$5:$T$3004,$AS182)))</f>
        <v/>
      </c>
      <c r="V182" s="46">
        <f>IF($A182="","",IF(INDEX('潜水記録'!$U$5:$U$3004,$AS182)="","",INDEX('潜水記録'!$U$5:$U$3004,$AS182)))</f>
        <v/>
      </c>
      <c r="W182" s="46">
        <f>IF($A182="","",IF(INDEX('潜水記録'!$V$5:$V$3004,$AS182)="","",INDEX('潜水記録'!$V$5:$V$3004,$AS182)))</f>
        <v/>
      </c>
      <c r="X182" s="14">
        <f>IF($A182="","",IF(INDEX('潜水記録'!$W$5:$W$3004,$AS182)="","",INDEX('潜水記録'!$W$5:$W$3004,$AS182)))</f>
        <v/>
      </c>
      <c r="Y182" s="14">
        <f>IF($A182="","",IF(INDEX('潜水記録'!$X$5:$X$3004,$AS182)="","",INDEX('潜水記録'!$X$5:$X$3004,$AS182)))</f>
        <v/>
      </c>
      <c r="Z182" s="14">
        <f>IF($A182="","",IF(INDEX('潜水記録'!$Y$5:$Y$3004,$AS182)="","",INDEX('潜水記録'!$Y$5:$Y$3004,$AS182)))</f>
        <v/>
      </c>
      <c r="AA182" s="14">
        <f>IF($A182="","",IF(INDEX('潜水記録'!$Z$5:$Z$3004,$AS182)="","",INDEX('潜水記録'!$Z$5:$Z$3004,$AS182)))</f>
        <v/>
      </c>
      <c r="AB182" s="14">
        <f>IF($A182="","",IF(INDEX('潜水記録'!$AA$5:$AA$3004,$AS182)="","",INDEX('潜水記録'!$AA$5:$AA$3004,$AS182)))</f>
        <v/>
      </c>
      <c r="AC182" s="14">
        <f>IF($A182="","",IF(INDEX('潜水記録'!$AB$5:$AB$3004,$AS182)="","",INDEX('潜水記録'!$AB$5:$AB$3004,$AS182)))</f>
        <v/>
      </c>
      <c r="AD182" s="14">
        <f>IF($A182="","",IF(INDEX('潜水記録'!$AC$5:$AC$3004,$AS182)="","",INDEX('潜水記録'!$AC$5:$AC$3004,$AS182)))</f>
        <v/>
      </c>
      <c r="AE182" s="14">
        <f>IF($A182="","",IF(INDEX('潜水記録'!$AD$5:$AD$3004,$AS182)="","",INDEX('潜水記録'!$AD$5:$AD$3004,$AS182)))</f>
        <v/>
      </c>
      <c r="AF182" s="14">
        <f>IF($A182="","",IF(INDEX('潜水記録'!$AE$5:$AE$3004,$AS182)="","",INDEX('潜水記録'!$AE$5:$AE$3004,$AS182)))</f>
        <v/>
      </c>
      <c r="AG182" s="14">
        <f>IF($A182="","",IF(INDEX('潜水記録'!$AL$5:$AL$3004,$AS182)="","",INDEX('潜水記録'!$AL$5:$AL$3004,$AS182)))</f>
        <v/>
      </c>
      <c r="AH182" s="14">
        <f>IF($A182="","",IF(INDEX('潜水記録'!$AM$5:$AM$3004,$AS182)="","",INDEX('潜水記録'!$AM$5:$AM$3004,$AS182)))</f>
        <v/>
      </c>
      <c r="AI182" s="46">
        <f>IF($A182="","",IF(INDEX('潜水記録'!$AN$5:$AN$3004,$AS182)="","",INDEX('潜水記録'!$AN$5:$AN$3004,$AS182)))</f>
        <v/>
      </c>
      <c r="AJ182" s="14">
        <f>IF($A182="","",IF(INDEX('潜水記録'!$AO$5:$AO$3004,$AS182)="","",INDEX('潜水記録'!$AO$5:$AO$3004,$AS182)))</f>
        <v/>
      </c>
      <c r="AK182" s="14">
        <f>IF($A182="","",IF(INDEX('潜水記録'!$AP$5:$AP$3004,$AS182)="","",INDEX('潜水記録'!$AP$5:$AP$3004,$AS182)))</f>
        <v/>
      </c>
      <c r="AL182" s="14">
        <f>IF($A182="","",IF(INDEX('潜水記録'!$AQ$5:$AQ$3004,$AS182)="","",INDEX('潜水記録'!$AQ$5:$AQ$3004,$AS182)))</f>
        <v/>
      </c>
      <c r="AM182" s="14">
        <f>IF($A182="","",IF(INDEX('潜水記録'!$AR$5:$AR$3004,$AS182)="","",INDEX('潜水記録'!$AR$5:$AR$3004,$AS182)))</f>
        <v/>
      </c>
      <c r="AN182" s="14">
        <f>IF($A182="","",IF(INDEX('潜水記録'!$AS$5:$AS$3004,$AS182)="","",INDEX('潜水記録'!$AS$5:$AS$3004,$AS182)))</f>
        <v/>
      </c>
      <c r="AO182" s="14">
        <f>IF($A182="","",IF(INDEX('潜水記録'!$AT$5:$AT$3004,$AS182)="","",INDEX('潜水記録'!$AT$5:$AT$3004,$AS182)))</f>
        <v/>
      </c>
      <c r="AP182" s="14">
        <f>IF($A182="","",IF(INDEX('潜水記録'!$AU$5:$AU$3004,$AS182)="","",INDEX('潜水記録'!$AU$5:$AU$3004,$AS182)))</f>
        <v/>
      </c>
      <c r="AQ182" s="14">
        <f>IF($A182="","",IF(INDEX('潜水記録'!$AV$5:$AV$3004,$AS182)="","",INDEX('潜水記録'!$AV$5:$AV$3004,$AS182)))</f>
        <v/>
      </c>
      <c r="AR182" s="14">
        <f>IF($A182="","",IF(INDEX('潜水記録'!$AW$5:$AW$3004,$AS182)="","",INDEX('潜水記録'!$AW$5:$AW$3004,$AS182)))</f>
        <v/>
      </c>
      <c r="AS182" s="20">
        <f>IF($A182="","",MATCH($A182,'潜水記録'!$AI$5:$AI$3004,0))</f>
        <v/>
      </c>
    </row>
    <row r="183">
      <c r="A183" s="14">
        <f>IF(173&lt;=$C$8,173,"")</f>
        <v/>
      </c>
      <c r="B183" s="16">
        <f>IF($A183="","",IF(INDEX('潜水記録'!$A$5:$A$3004,$AS183)="","",INDEX('潜水記録'!$A$5:$A$3004,$AS183)))</f>
        <v/>
      </c>
      <c r="C183" s="14">
        <f>IF($A183="","",IF(INDEX('潜水記録'!$B$5:$B$3004,$AS183)="","",INDEX('潜水記録'!$B$5:$B$3004,$AS183)))</f>
        <v/>
      </c>
      <c r="D183" s="14">
        <f>IF($A183="","",IF(INDEX('潜水記録'!$C$5:$C$3004,$AS183)="","",INDEX('潜水記録'!$C$5:$C$3004,$AS183)))</f>
        <v/>
      </c>
      <c r="E183" s="14">
        <f>IF($A183="","",IF(INDEX('潜水記録'!$D$5:$D$3004,$AS183)="","",INDEX('潜水記録'!$D$5:$D$3004,$AS183)))</f>
        <v/>
      </c>
      <c r="F183" s="14">
        <f>IF($A183="","",IF(INDEX('潜水記録'!$E$5:$E$3004,$AS183)="","",INDEX('潜水記録'!$E$5:$E$3004,$AS183)))</f>
        <v/>
      </c>
      <c r="G183" s="14">
        <f>IF($A183="","",IF(INDEX('潜水記録'!$F$5:$F$3004,$AS183)="","",INDEX('潜水記録'!$F$5:$F$3004,$AS183)))</f>
        <v/>
      </c>
      <c r="H183" s="14">
        <f>IF($A183="","",IF(INDEX('潜水記録'!$G$5:$G$3004,$AS183)="","",INDEX('潜水記録'!$G$5:$G$3004,$AS183)))</f>
        <v/>
      </c>
      <c r="I183" s="14">
        <f>IF($A183="","",IF(INDEX('潜水記録'!$H$5:$H$3004,$AS183)="","",INDEX('潜水記録'!$H$5:$H$3004,$AS183)))</f>
        <v/>
      </c>
      <c r="J183" s="14">
        <f>IF($A183="","",IF(INDEX('潜水記録'!$I$5:$I$3004,$AS183)="","",INDEX('潜水記録'!$I$5:$I$3004,$AS183)))</f>
        <v/>
      </c>
      <c r="K183" s="14">
        <f>IF($A183="","",IF(INDEX('潜水記録'!$J$5:$J$3004,$AS183)="","",INDEX('潜水記録'!$J$5:$J$3004,$AS183)))</f>
        <v/>
      </c>
      <c r="L183" s="14">
        <f>IF($A183="","",IF(INDEX('潜水記録'!$K$5:$K$3004,$AS183)="","",INDEX('潜水記録'!$K$5:$K$3004,$AS183)))</f>
        <v/>
      </c>
      <c r="M183" s="14">
        <f>IF($A183="","",IF(INDEX('潜水記録'!$L$5:$L$3004,$AS183)="","",INDEX('潜水記録'!$L$5:$L$3004,$AS183)))</f>
        <v/>
      </c>
      <c r="N183" s="14">
        <f>IF($A183="","",IF(INDEX('潜水記録'!$M$5:$M$3004,$AS183)="","",INDEX('潜水記録'!$M$5:$M$3004,$AS183)))</f>
        <v/>
      </c>
      <c r="O183" s="14">
        <f>IF($A183="","",IF(INDEX('潜水記録'!$N$5:$N$3004,$AS183)="","",INDEX('潜水記録'!$N$5:$N$3004,$AS183)))</f>
        <v/>
      </c>
      <c r="P183" s="14">
        <f>IF($A183="","",IF(INDEX('潜水記録'!$O$5:$O$3004,$AS183)="","",INDEX('潜水記録'!$O$5:$O$3004,$AS183)))</f>
        <v/>
      </c>
      <c r="Q183" s="14">
        <f>IF($A183="","",IF(INDEX('潜水記録'!$P$5:$P$3004,$AS183)="","",INDEX('潜水記録'!$P$5:$P$3004,$AS183)))</f>
        <v/>
      </c>
      <c r="R183" s="14">
        <f>IF($A183="","",IF(INDEX('潜水記録'!$Q$5:$Q$3004,$AS183)="","",INDEX('潜水記録'!$Q$5:$Q$3004,$AS183)))</f>
        <v/>
      </c>
      <c r="S183" s="14">
        <f>IF($A183="","",IF(INDEX('潜水記録'!$R$5:$R$3004,$AS183)="","",INDEX('潜水記録'!$R$5:$R$3004,$AS183)))</f>
        <v/>
      </c>
      <c r="T183" s="14">
        <f>IF($A183="","",IF(INDEX('潜水記録'!$S$5:$S$3004,$AS183)="","",INDEX('潜水記録'!$S$5:$S$3004,$AS183)))</f>
        <v/>
      </c>
      <c r="U183" s="14">
        <f>IF($A183="","",IF(INDEX('潜水記録'!$T$5:$T$3004,$AS183)="","",INDEX('潜水記録'!$T$5:$T$3004,$AS183)))</f>
        <v/>
      </c>
      <c r="V183" s="46">
        <f>IF($A183="","",IF(INDEX('潜水記録'!$U$5:$U$3004,$AS183)="","",INDEX('潜水記録'!$U$5:$U$3004,$AS183)))</f>
        <v/>
      </c>
      <c r="W183" s="46">
        <f>IF($A183="","",IF(INDEX('潜水記録'!$V$5:$V$3004,$AS183)="","",INDEX('潜水記録'!$V$5:$V$3004,$AS183)))</f>
        <v/>
      </c>
      <c r="X183" s="14">
        <f>IF($A183="","",IF(INDEX('潜水記録'!$W$5:$W$3004,$AS183)="","",INDEX('潜水記録'!$W$5:$W$3004,$AS183)))</f>
        <v/>
      </c>
      <c r="Y183" s="14">
        <f>IF($A183="","",IF(INDEX('潜水記録'!$X$5:$X$3004,$AS183)="","",INDEX('潜水記録'!$X$5:$X$3004,$AS183)))</f>
        <v/>
      </c>
      <c r="Z183" s="14">
        <f>IF($A183="","",IF(INDEX('潜水記録'!$Y$5:$Y$3004,$AS183)="","",INDEX('潜水記録'!$Y$5:$Y$3004,$AS183)))</f>
        <v/>
      </c>
      <c r="AA183" s="14">
        <f>IF($A183="","",IF(INDEX('潜水記録'!$Z$5:$Z$3004,$AS183)="","",INDEX('潜水記録'!$Z$5:$Z$3004,$AS183)))</f>
        <v/>
      </c>
      <c r="AB183" s="14">
        <f>IF($A183="","",IF(INDEX('潜水記録'!$AA$5:$AA$3004,$AS183)="","",INDEX('潜水記録'!$AA$5:$AA$3004,$AS183)))</f>
        <v/>
      </c>
      <c r="AC183" s="14">
        <f>IF($A183="","",IF(INDEX('潜水記録'!$AB$5:$AB$3004,$AS183)="","",INDEX('潜水記録'!$AB$5:$AB$3004,$AS183)))</f>
        <v/>
      </c>
      <c r="AD183" s="14">
        <f>IF($A183="","",IF(INDEX('潜水記録'!$AC$5:$AC$3004,$AS183)="","",INDEX('潜水記録'!$AC$5:$AC$3004,$AS183)))</f>
        <v/>
      </c>
      <c r="AE183" s="14">
        <f>IF($A183="","",IF(INDEX('潜水記録'!$AD$5:$AD$3004,$AS183)="","",INDEX('潜水記録'!$AD$5:$AD$3004,$AS183)))</f>
        <v/>
      </c>
      <c r="AF183" s="14">
        <f>IF($A183="","",IF(INDEX('潜水記録'!$AE$5:$AE$3004,$AS183)="","",INDEX('潜水記録'!$AE$5:$AE$3004,$AS183)))</f>
        <v/>
      </c>
      <c r="AG183" s="14">
        <f>IF($A183="","",IF(INDEX('潜水記録'!$AL$5:$AL$3004,$AS183)="","",INDEX('潜水記録'!$AL$5:$AL$3004,$AS183)))</f>
        <v/>
      </c>
      <c r="AH183" s="14">
        <f>IF($A183="","",IF(INDEX('潜水記録'!$AM$5:$AM$3004,$AS183)="","",INDEX('潜水記録'!$AM$5:$AM$3004,$AS183)))</f>
        <v/>
      </c>
      <c r="AI183" s="46">
        <f>IF($A183="","",IF(INDEX('潜水記録'!$AN$5:$AN$3004,$AS183)="","",INDEX('潜水記録'!$AN$5:$AN$3004,$AS183)))</f>
        <v/>
      </c>
      <c r="AJ183" s="14">
        <f>IF($A183="","",IF(INDEX('潜水記録'!$AO$5:$AO$3004,$AS183)="","",INDEX('潜水記録'!$AO$5:$AO$3004,$AS183)))</f>
        <v/>
      </c>
      <c r="AK183" s="14">
        <f>IF($A183="","",IF(INDEX('潜水記録'!$AP$5:$AP$3004,$AS183)="","",INDEX('潜水記録'!$AP$5:$AP$3004,$AS183)))</f>
        <v/>
      </c>
      <c r="AL183" s="14">
        <f>IF($A183="","",IF(INDEX('潜水記録'!$AQ$5:$AQ$3004,$AS183)="","",INDEX('潜水記録'!$AQ$5:$AQ$3004,$AS183)))</f>
        <v/>
      </c>
      <c r="AM183" s="14">
        <f>IF($A183="","",IF(INDEX('潜水記録'!$AR$5:$AR$3004,$AS183)="","",INDEX('潜水記録'!$AR$5:$AR$3004,$AS183)))</f>
        <v/>
      </c>
      <c r="AN183" s="14">
        <f>IF($A183="","",IF(INDEX('潜水記録'!$AS$5:$AS$3004,$AS183)="","",INDEX('潜水記録'!$AS$5:$AS$3004,$AS183)))</f>
        <v/>
      </c>
      <c r="AO183" s="14">
        <f>IF($A183="","",IF(INDEX('潜水記録'!$AT$5:$AT$3004,$AS183)="","",INDEX('潜水記録'!$AT$5:$AT$3004,$AS183)))</f>
        <v/>
      </c>
      <c r="AP183" s="14">
        <f>IF($A183="","",IF(INDEX('潜水記録'!$AU$5:$AU$3004,$AS183)="","",INDEX('潜水記録'!$AU$5:$AU$3004,$AS183)))</f>
        <v/>
      </c>
      <c r="AQ183" s="14">
        <f>IF($A183="","",IF(INDEX('潜水記録'!$AV$5:$AV$3004,$AS183)="","",INDEX('潜水記録'!$AV$5:$AV$3004,$AS183)))</f>
        <v/>
      </c>
      <c r="AR183" s="14">
        <f>IF($A183="","",IF(INDEX('潜水記録'!$AW$5:$AW$3004,$AS183)="","",INDEX('潜水記録'!$AW$5:$AW$3004,$AS183)))</f>
        <v/>
      </c>
      <c r="AS183" s="20">
        <f>IF($A183="","",MATCH($A183,'潜水記録'!$AI$5:$AI$3004,0))</f>
        <v/>
      </c>
    </row>
    <row r="184">
      <c r="A184" s="14">
        <f>IF(174&lt;=$C$8,174,"")</f>
        <v/>
      </c>
      <c r="B184" s="16">
        <f>IF($A184="","",IF(INDEX('潜水記録'!$A$5:$A$3004,$AS184)="","",INDEX('潜水記録'!$A$5:$A$3004,$AS184)))</f>
        <v/>
      </c>
      <c r="C184" s="14">
        <f>IF($A184="","",IF(INDEX('潜水記録'!$B$5:$B$3004,$AS184)="","",INDEX('潜水記録'!$B$5:$B$3004,$AS184)))</f>
        <v/>
      </c>
      <c r="D184" s="14">
        <f>IF($A184="","",IF(INDEX('潜水記録'!$C$5:$C$3004,$AS184)="","",INDEX('潜水記録'!$C$5:$C$3004,$AS184)))</f>
        <v/>
      </c>
      <c r="E184" s="14">
        <f>IF($A184="","",IF(INDEX('潜水記録'!$D$5:$D$3004,$AS184)="","",INDEX('潜水記録'!$D$5:$D$3004,$AS184)))</f>
        <v/>
      </c>
      <c r="F184" s="14">
        <f>IF($A184="","",IF(INDEX('潜水記録'!$E$5:$E$3004,$AS184)="","",INDEX('潜水記録'!$E$5:$E$3004,$AS184)))</f>
        <v/>
      </c>
      <c r="G184" s="14">
        <f>IF($A184="","",IF(INDEX('潜水記録'!$F$5:$F$3004,$AS184)="","",INDEX('潜水記録'!$F$5:$F$3004,$AS184)))</f>
        <v/>
      </c>
      <c r="H184" s="14">
        <f>IF($A184="","",IF(INDEX('潜水記録'!$G$5:$G$3004,$AS184)="","",INDEX('潜水記録'!$G$5:$G$3004,$AS184)))</f>
        <v/>
      </c>
      <c r="I184" s="14">
        <f>IF($A184="","",IF(INDEX('潜水記録'!$H$5:$H$3004,$AS184)="","",INDEX('潜水記録'!$H$5:$H$3004,$AS184)))</f>
        <v/>
      </c>
      <c r="J184" s="14">
        <f>IF($A184="","",IF(INDEX('潜水記録'!$I$5:$I$3004,$AS184)="","",INDEX('潜水記録'!$I$5:$I$3004,$AS184)))</f>
        <v/>
      </c>
      <c r="K184" s="14">
        <f>IF($A184="","",IF(INDEX('潜水記録'!$J$5:$J$3004,$AS184)="","",INDEX('潜水記録'!$J$5:$J$3004,$AS184)))</f>
        <v/>
      </c>
      <c r="L184" s="14">
        <f>IF($A184="","",IF(INDEX('潜水記録'!$K$5:$K$3004,$AS184)="","",INDEX('潜水記録'!$K$5:$K$3004,$AS184)))</f>
        <v/>
      </c>
      <c r="M184" s="14">
        <f>IF($A184="","",IF(INDEX('潜水記録'!$L$5:$L$3004,$AS184)="","",INDEX('潜水記録'!$L$5:$L$3004,$AS184)))</f>
        <v/>
      </c>
      <c r="N184" s="14">
        <f>IF($A184="","",IF(INDEX('潜水記録'!$M$5:$M$3004,$AS184)="","",INDEX('潜水記録'!$M$5:$M$3004,$AS184)))</f>
        <v/>
      </c>
      <c r="O184" s="14">
        <f>IF($A184="","",IF(INDEX('潜水記録'!$N$5:$N$3004,$AS184)="","",INDEX('潜水記録'!$N$5:$N$3004,$AS184)))</f>
        <v/>
      </c>
      <c r="P184" s="14">
        <f>IF($A184="","",IF(INDEX('潜水記録'!$O$5:$O$3004,$AS184)="","",INDEX('潜水記録'!$O$5:$O$3004,$AS184)))</f>
        <v/>
      </c>
      <c r="Q184" s="14">
        <f>IF($A184="","",IF(INDEX('潜水記録'!$P$5:$P$3004,$AS184)="","",INDEX('潜水記録'!$P$5:$P$3004,$AS184)))</f>
        <v/>
      </c>
      <c r="R184" s="14">
        <f>IF($A184="","",IF(INDEX('潜水記録'!$Q$5:$Q$3004,$AS184)="","",INDEX('潜水記録'!$Q$5:$Q$3004,$AS184)))</f>
        <v/>
      </c>
      <c r="S184" s="14">
        <f>IF($A184="","",IF(INDEX('潜水記録'!$R$5:$R$3004,$AS184)="","",INDEX('潜水記録'!$R$5:$R$3004,$AS184)))</f>
        <v/>
      </c>
      <c r="T184" s="14">
        <f>IF($A184="","",IF(INDEX('潜水記録'!$S$5:$S$3004,$AS184)="","",INDEX('潜水記録'!$S$5:$S$3004,$AS184)))</f>
        <v/>
      </c>
      <c r="U184" s="14">
        <f>IF($A184="","",IF(INDEX('潜水記録'!$T$5:$T$3004,$AS184)="","",INDEX('潜水記録'!$T$5:$T$3004,$AS184)))</f>
        <v/>
      </c>
      <c r="V184" s="46">
        <f>IF($A184="","",IF(INDEX('潜水記録'!$U$5:$U$3004,$AS184)="","",INDEX('潜水記録'!$U$5:$U$3004,$AS184)))</f>
        <v/>
      </c>
      <c r="W184" s="46">
        <f>IF($A184="","",IF(INDEX('潜水記録'!$V$5:$V$3004,$AS184)="","",INDEX('潜水記録'!$V$5:$V$3004,$AS184)))</f>
        <v/>
      </c>
      <c r="X184" s="14">
        <f>IF($A184="","",IF(INDEX('潜水記録'!$W$5:$W$3004,$AS184)="","",INDEX('潜水記録'!$W$5:$W$3004,$AS184)))</f>
        <v/>
      </c>
      <c r="Y184" s="14">
        <f>IF($A184="","",IF(INDEX('潜水記録'!$X$5:$X$3004,$AS184)="","",INDEX('潜水記録'!$X$5:$X$3004,$AS184)))</f>
        <v/>
      </c>
      <c r="Z184" s="14">
        <f>IF($A184="","",IF(INDEX('潜水記録'!$Y$5:$Y$3004,$AS184)="","",INDEX('潜水記録'!$Y$5:$Y$3004,$AS184)))</f>
        <v/>
      </c>
      <c r="AA184" s="14">
        <f>IF($A184="","",IF(INDEX('潜水記録'!$Z$5:$Z$3004,$AS184)="","",INDEX('潜水記録'!$Z$5:$Z$3004,$AS184)))</f>
        <v/>
      </c>
      <c r="AB184" s="14">
        <f>IF($A184="","",IF(INDEX('潜水記録'!$AA$5:$AA$3004,$AS184)="","",INDEX('潜水記録'!$AA$5:$AA$3004,$AS184)))</f>
        <v/>
      </c>
      <c r="AC184" s="14">
        <f>IF($A184="","",IF(INDEX('潜水記録'!$AB$5:$AB$3004,$AS184)="","",INDEX('潜水記録'!$AB$5:$AB$3004,$AS184)))</f>
        <v/>
      </c>
      <c r="AD184" s="14">
        <f>IF($A184="","",IF(INDEX('潜水記録'!$AC$5:$AC$3004,$AS184)="","",INDEX('潜水記録'!$AC$5:$AC$3004,$AS184)))</f>
        <v/>
      </c>
      <c r="AE184" s="14">
        <f>IF($A184="","",IF(INDEX('潜水記録'!$AD$5:$AD$3004,$AS184)="","",INDEX('潜水記録'!$AD$5:$AD$3004,$AS184)))</f>
        <v/>
      </c>
      <c r="AF184" s="14">
        <f>IF($A184="","",IF(INDEX('潜水記録'!$AE$5:$AE$3004,$AS184)="","",INDEX('潜水記録'!$AE$5:$AE$3004,$AS184)))</f>
        <v/>
      </c>
      <c r="AG184" s="14">
        <f>IF($A184="","",IF(INDEX('潜水記録'!$AL$5:$AL$3004,$AS184)="","",INDEX('潜水記録'!$AL$5:$AL$3004,$AS184)))</f>
        <v/>
      </c>
      <c r="AH184" s="14">
        <f>IF($A184="","",IF(INDEX('潜水記録'!$AM$5:$AM$3004,$AS184)="","",INDEX('潜水記録'!$AM$5:$AM$3004,$AS184)))</f>
        <v/>
      </c>
      <c r="AI184" s="46">
        <f>IF($A184="","",IF(INDEX('潜水記録'!$AN$5:$AN$3004,$AS184)="","",INDEX('潜水記録'!$AN$5:$AN$3004,$AS184)))</f>
        <v/>
      </c>
      <c r="AJ184" s="14">
        <f>IF($A184="","",IF(INDEX('潜水記録'!$AO$5:$AO$3004,$AS184)="","",INDEX('潜水記録'!$AO$5:$AO$3004,$AS184)))</f>
        <v/>
      </c>
      <c r="AK184" s="14">
        <f>IF($A184="","",IF(INDEX('潜水記録'!$AP$5:$AP$3004,$AS184)="","",INDEX('潜水記録'!$AP$5:$AP$3004,$AS184)))</f>
        <v/>
      </c>
      <c r="AL184" s="14">
        <f>IF($A184="","",IF(INDEX('潜水記録'!$AQ$5:$AQ$3004,$AS184)="","",INDEX('潜水記録'!$AQ$5:$AQ$3004,$AS184)))</f>
        <v/>
      </c>
      <c r="AM184" s="14">
        <f>IF($A184="","",IF(INDEX('潜水記録'!$AR$5:$AR$3004,$AS184)="","",INDEX('潜水記録'!$AR$5:$AR$3004,$AS184)))</f>
        <v/>
      </c>
      <c r="AN184" s="14">
        <f>IF($A184="","",IF(INDEX('潜水記録'!$AS$5:$AS$3004,$AS184)="","",INDEX('潜水記録'!$AS$5:$AS$3004,$AS184)))</f>
        <v/>
      </c>
      <c r="AO184" s="14">
        <f>IF($A184="","",IF(INDEX('潜水記録'!$AT$5:$AT$3004,$AS184)="","",INDEX('潜水記録'!$AT$5:$AT$3004,$AS184)))</f>
        <v/>
      </c>
      <c r="AP184" s="14">
        <f>IF($A184="","",IF(INDEX('潜水記録'!$AU$5:$AU$3004,$AS184)="","",INDEX('潜水記録'!$AU$5:$AU$3004,$AS184)))</f>
        <v/>
      </c>
      <c r="AQ184" s="14">
        <f>IF($A184="","",IF(INDEX('潜水記録'!$AV$5:$AV$3004,$AS184)="","",INDEX('潜水記録'!$AV$5:$AV$3004,$AS184)))</f>
        <v/>
      </c>
      <c r="AR184" s="14">
        <f>IF($A184="","",IF(INDEX('潜水記録'!$AW$5:$AW$3004,$AS184)="","",INDEX('潜水記録'!$AW$5:$AW$3004,$AS184)))</f>
        <v/>
      </c>
      <c r="AS184" s="20">
        <f>IF($A184="","",MATCH($A184,'潜水記録'!$AI$5:$AI$3004,0))</f>
        <v/>
      </c>
    </row>
    <row r="185">
      <c r="A185" s="14">
        <f>IF(175&lt;=$C$8,175,"")</f>
        <v/>
      </c>
      <c r="B185" s="16">
        <f>IF($A185="","",IF(INDEX('潜水記録'!$A$5:$A$3004,$AS185)="","",INDEX('潜水記録'!$A$5:$A$3004,$AS185)))</f>
        <v/>
      </c>
      <c r="C185" s="14">
        <f>IF($A185="","",IF(INDEX('潜水記録'!$B$5:$B$3004,$AS185)="","",INDEX('潜水記録'!$B$5:$B$3004,$AS185)))</f>
        <v/>
      </c>
      <c r="D185" s="14">
        <f>IF($A185="","",IF(INDEX('潜水記録'!$C$5:$C$3004,$AS185)="","",INDEX('潜水記録'!$C$5:$C$3004,$AS185)))</f>
        <v/>
      </c>
      <c r="E185" s="14">
        <f>IF($A185="","",IF(INDEX('潜水記録'!$D$5:$D$3004,$AS185)="","",INDEX('潜水記録'!$D$5:$D$3004,$AS185)))</f>
        <v/>
      </c>
      <c r="F185" s="14">
        <f>IF($A185="","",IF(INDEX('潜水記録'!$E$5:$E$3004,$AS185)="","",INDEX('潜水記録'!$E$5:$E$3004,$AS185)))</f>
        <v/>
      </c>
      <c r="G185" s="14">
        <f>IF($A185="","",IF(INDEX('潜水記録'!$F$5:$F$3004,$AS185)="","",INDEX('潜水記録'!$F$5:$F$3004,$AS185)))</f>
        <v/>
      </c>
      <c r="H185" s="14">
        <f>IF($A185="","",IF(INDEX('潜水記録'!$G$5:$G$3004,$AS185)="","",INDEX('潜水記録'!$G$5:$G$3004,$AS185)))</f>
        <v/>
      </c>
      <c r="I185" s="14">
        <f>IF($A185="","",IF(INDEX('潜水記録'!$H$5:$H$3004,$AS185)="","",INDEX('潜水記録'!$H$5:$H$3004,$AS185)))</f>
        <v/>
      </c>
      <c r="J185" s="14">
        <f>IF($A185="","",IF(INDEX('潜水記録'!$I$5:$I$3004,$AS185)="","",INDEX('潜水記録'!$I$5:$I$3004,$AS185)))</f>
        <v/>
      </c>
      <c r="K185" s="14">
        <f>IF($A185="","",IF(INDEX('潜水記録'!$J$5:$J$3004,$AS185)="","",INDEX('潜水記録'!$J$5:$J$3004,$AS185)))</f>
        <v/>
      </c>
      <c r="L185" s="14">
        <f>IF($A185="","",IF(INDEX('潜水記録'!$K$5:$K$3004,$AS185)="","",INDEX('潜水記録'!$K$5:$K$3004,$AS185)))</f>
        <v/>
      </c>
      <c r="M185" s="14">
        <f>IF($A185="","",IF(INDEX('潜水記録'!$L$5:$L$3004,$AS185)="","",INDEX('潜水記録'!$L$5:$L$3004,$AS185)))</f>
        <v/>
      </c>
      <c r="N185" s="14">
        <f>IF($A185="","",IF(INDEX('潜水記録'!$M$5:$M$3004,$AS185)="","",INDEX('潜水記録'!$M$5:$M$3004,$AS185)))</f>
        <v/>
      </c>
      <c r="O185" s="14">
        <f>IF($A185="","",IF(INDEX('潜水記録'!$N$5:$N$3004,$AS185)="","",INDEX('潜水記録'!$N$5:$N$3004,$AS185)))</f>
        <v/>
      </c>
      <c r="P185" s="14">
        <f>IF($A185="","",IF(INDEX('潜水記録'!$O$5:$O$3004,$AS185)="","",INDEX('潜水記録'!$O$5:$O$3004,$AS185)))</f>
        <v/>
      </c>
      <c r="Q185" s="14">
        <f>IF($A185="","",IF(INDEX('潜水記録'!$P$5:$P$3004,$AS185)="","",INDEX('潜水記録'!$P$5:$P$3004,$AS185)))</f>
        <v/>
      </c>
      <c r="R185" s="14">
        <f>IF($A185="","",IF(INDEX('潜水記録'!$Q$5:$Q$3004,$AS185)="","",INDEX('潜水記録'!$Q$5:$Q$3004,$AS185)))</f>
        <v/>
      </c>
      <c r="S185" s="14">
        <f>IF($A185="","",IF(INDEX('潜水記録'!$R$5:$R$3004,$AS185)="","",INDEX('潜水記録'!$R$5:$R$3004,$AS185)))</f>
        <v/>
      </c>
      <c r="T185" s="14">
        <f>IF($A185="","",IF(INDEX('潜水記録'!$S$5:$S$3004,$AS185)="","",INDEX('潜水記録'!$S$5:$S$3004,$AS185)))</f>
        <v/>
      </c>
      <c r="U185" s="14">
        <f>IF($A185="","",IF(INDEX('潜水記録'!$T$5:$T$3004,$AS185)="","",INDEX('潜水記録'!$T$5:$T$3004,$AS185)))</f>
        <v/>
      </c>
      <c r="V185" s="46">
        <f>IF($A185="","",IF(INDEX('潜水記録'!$U$5:$U$3004,$AS185)="","",INDEX('潜水記録'!$U$5:$U$3004,$AS185)))</f>
        <v/>
      </c>
      <c r="W185" s="46">
        <f>IF($A185="","",IF(INDEX('潜水記録'!$V$5:$V$3004,$AS185)="","",INDEX('潜水記録'!$V$5:$V$3004,$AS185)))</f>
        <v/>
      </c>
      <c r="X185" s="14">
        <f>IF($A185="","",IF(INDEX('潜水記録'!$W$5:$W$3004,$AS185)="","",INDEX('潜水記録'!$W$5:$W$3004,$AS185)))</f>
        <v/>
      </c>
      <c r="Y185" s="14">
        <f>IF($A185="","",IF(INDEX('潜水記録'!$X$5:$X$3004,$AS185)="","",INDEX('潜水記録'!$X$5:$X$3004,$AS185)))</f>
        <v/>
      </c>
      <c r="Z185" s="14">
        <f>IF($A185="","",IF(INDEX('潜水記録'!$Y$5:$Y$3004,$AS185)="","",INDEX('潜水記録'!$Y$5:$Y$3004,$AS185)))</f>
        <v/>
      </c>
      <c r="AA185" s="14">
        <f>IF($A185="","",IF(INDEX('潜水記録'!$Z$5:$Z$3004,$AS185)="","",INDEX('潜水記録'!$Z$5:$Z$3004,$AS185)))</f>
        <v/>
      </c>
      <c r="AB185" s="14">
        <f>IF($A185="","",IF(INDEX('潜水記録'!$AA$5:$AA$3004,$AS185)="","",INDEX('潜水記録'!$AA$5:$AA$3004,$AS185)))</f>
        <v/>
      </c>
      <c r="AC185" s="14">
        <f>IF($A185="","",IF(INDEX('潜水記録'!$AB$5:$AB$3004,$AS185)="","",INDEX('潜水記録'!$AB$5:$AB$3004,$AS185)))</f>
        <v/>
      </c>
      <c r="AD185" s="14">
        <f>IF($A185="","",IF(INDEX('潜水記録'!$AC$5:$AC$3004,$AS185)="","",INDEX('潜水記録'!$AC$5:$AC$3004,$AS185)))</f>
        <v/>
      </c>
      <c r="AE185" s="14">
        <f>IF($A185="","",IF(INDEX('潜水記録'!$AD$5:$AD$3004,$AS185)="","",INDEX('潜水記録'!$AD$5:$AD$3004,$AS185)))</f>
        <v/>
      </c>
      <c r="AF185" s="14">
        <f>IF($A185="","",IF(INDEX('潜水記録'!$AE$5:$AE$3004,$AS185)="","",INDEX('潜水記録'!$AE$5:$AE$3004,$AS185)))</f>
        <v/>
      </c>
      <c r="AG185" s="14">
        <f>IF($A185="","",IF(INDEX('潜水記録'!$AL$5:$AL$3004,$AS185)="","",INDEX('潜水記録'!$AL$5:$AL$3004,$AS185)))</f>
        <v/>
      </c>
      <c r="AH185" s="14">
        <f>IF($A185="","",IF(INDEX('潜水記録'!$AM$5:$AM$3004,$AS185)="","",INDEX('潜水記録'!$AM$5:$AM$3004,$AS185)))</f>
        <v/>
      </c>
      <c r="AI185" s="46">
        <f>IF($A185="","",IF(INDEX('潜水記録'!$AN$5:$AN$3004,$AS185)="","",INDEX('潜水記録'!$AN$5:$AN$3004,$AS185)))</f>
        <v/>
      </c>
      <c r="AJ185" s="14">
        <f>IF($A185="","",IF(INDEX('潜水記録'!$AO$5:$AO$3004,$AS185)="","",INDEX('潜水記録'!$AO$5:$AO$3004,$AS185)))</f>
        <v/>
      </c>
      <c r="AK185" s="14">
        <f>IF($A185="","",IF(INDEX('潜水記録'!$AP$5:$AP$3004,$AS185)="","",INDEX('潜水記録'!$AP$5:$AP$3004,$AS185)))</f>
        <v/>
      </c>
      <c r="AL185" s="14">
        <f>IF($A185="","",IF(INDEX('潜水記録'!$AQ$5:$AQ$3004,$AS185)="","",INDEX('潜水記録'!$AQ$5:$AQ$3004,$AS185)))</f>
        <v/>
      </c>
      <c r="AM185" s="14">
        <f>IF($A185="","",IF(INDEX('潜水記録'!$AR$5:$AR$3004,$AS185)="","",INDEX('潜水記録'!$AR$5:$AR$3004,$AS185)))</f>
        <v/>
      </c>
      <c r="AN185" s="14">
        <f>IF($A185="","",IF(INDEX('潜水記録'!$AS$5:$AS$3004,$AS185)="","",INDEX('潜水記録'!$AS$5:$AS$3004,$AS185)))</f>
        <v/>
      </c>
      <c r="AO185" s="14">
        <f>IF($A185="","",IF(INDEX('潜水記録'!$AT$5:$AT$3004,$AS185)="","",INDEX('潜水記録'!$AT$5:$AT$3004,$AS185)))</f>
        <v/>
      </c>
      <c r="AP185" s="14">
        <f>IF($A185="","",IF(INDEX('潜水記録'!$AU$5:$AU$3004,$AS185)="","",INDEX('潜水記録'!$AU$5:$AU$3004,$AS185)))</f>
        <v/>
      </c>
      <c r="AQ185" s="14">
        <f>IF($A185="","",IF(INDEX('潜水記録'!$AV$5:$AV$3004,$AS185)="","",INDEX('潜水記録'!$AV$5:$AV$3004,$AS185)))</f>
        <v/>
      </c>
      <c r="AR185" s="14">
        <f>IF($A185="","",IF(INDEX('潜水記録'!$AW$5:$AW$3004,$AS185)="","",INDEX('潜水記録'!$AW$5:$AW$3004,$AS185)))</f>
        <v/>
      </c>
      <c r="AS185" s="20">
        <f>IF($A185="","",MATCH($A185,'潜水記録'!$AI$5:$AI$3004,0))</f>
        <v/>
      </c>
    </row>
    <row r="186">
      <c r="A186" s="14">
        <f>IF(176&lt;=$C$8,176,"")</f>
        <v/>
      </c>
      <c r="B186" s="16">
        <f>IF($A186="","",IF(INDEX('潜水記録'!$A$5:$A$3004,$AS186)="","",INDEX('潜水記録'!$A$5:$A$3004,$AS186)))</f>
        <v/>
      </c>
      <c r="C186" s="14">
        <f>IF($A186="","",IF(INDEX('潜水記録'!$B$5:$B$3004,$AS186)="","",INDEX('潜水記録'!$B$5:$B$3004,$AS186)))</f>
        <v/>
      </c>
      <c r="D186" s="14">
        <f>IF($A186="","",IF(INDEX('潜水記録'!$C$5:$C$3004,$AS186)="","",INDEX('潜水記録'!$C$5:$C$3004,$AS186)))</f>
        <v/>
      </c>
      <c r="E186" s="14">
        <f>IF($A186="","",IF(INDEX('潜水記録'!$D$5:$D$3004,$AS186)="","",INDEX('潜水記録'!$D$5:$D$3004,$AS186)))</f>
        <v/>
      </c>
      <c r="F186" s="14">
        <f>IF($A186="","",IF(INDEX('潜水記録'!$E$5:$E$3004,$AS186)="","",INDEX('潜水記録'!$E$5:$E$3004,$AS186)))</f>
        <v/>
      </c>
      <c r="G186" s="14">
        <f>IF($A186="","",IF(INDEX('潜水記録'!$F$5:$F$3004,$AS186)="","",INDEX('潜水記録'!$F$5:$F$3004,$AS186)))</f>
        <v/>
      </c>
      <c r="H186" s="14">
        <f>IF($A186="","",IF(INDEX('潜水記録'!$G$5:$G$3004,$AS186)="","",INDEX('潜水記録'!$G$5:$G$3004,$AS186)))</f>
        <v/>
      </c>
      <c r="I186" s="14">
        <f>IF($A186="","",IF(INDEX('潜水記録'!$H$5:$H$3004,$AS186)="","",INDEX('潜水記録'!$H$5:$H$3004,$AS186)))</f>
        <v/>
      </c>
      <c r="J186" s="14">
        <f>IF($A186="","",IF(INDEX('潜水記録'!$I$5:$I$3004,$AS186)="","",INDEX('潜水記録'!$I$5:$I$3004,$AS186)))</f>
        <v/>
      </c>
      <c r="K186" s="14">
        <f>IF($A186="","",IF(INDEX('潜水記録'!$J$5:$J$3004,$AS186)="","",INDEX('潜水記録'!$J$5:$J$3004,$AS186)))</f>
        <v/>
      </c>
      <c r="L186" s="14">
        <f>IF($A186="","",IF(INDEX('潜水記録'!$K$5:$K$3004,$AS186)="","",INDEX('潜水記録'!$K$5:$K$3004,$AS186)))</f>
        <v/>
      </c>
      <c r="M186" s="14">
        <f>IF($A186="","",IF(INDEX('潜水記録'!$L$5:$L$3004,$AS186)="","",INDEX('潜水記録'!$L$5:$L$3004,$AS186)))</f>
        <v/>
      </c>
      <c r="N186" s="14">
        <f>IF($A186="","",IF(INDEX('潜水記録'!$M$5:$M$3004,$AS186)="","",INDEX('潜水記録'!$M$5:$M$3004,$AS186)))</f>
        <v/>
      </c>
      <c r="O186" s="14">
        <f>IF($A186="","",IF(INDEX('潜水記録'!$N$5:$N$3004,$AS186)="","",INDEX('潜水記録'!$N$5:$N$3004,$AS186)))</f>
        <v/>
      </c>
      <c r="P186" s="14">
        <f>IF($A186="","",IF(INDEX('潜水記録'!$O$5:$O$3004,$AS186)="","",INDEX('潜水記録'!$O$5:$O$3004,$AS186)))</f>
        <v/>
      </c>
      <c r="Q186" s="14">
        <f>IF($A186="","",IF(INDEX('潜水記録'!$P$5:$P$3004,$AS186)="","",INDEX('潜水記録'!$P$5:$P$3004,$AS186)))</f>
        <v/>
      </c>
      <c r="R186" s="14">
        <f>IF($A186="","",IF(INDEX('潜水記録'!$Q$5:$Q$3004,$AS186)="","",INDEX('潜水記録'!$Q$5:$Q$3004,$AS186)))</f>
        <v/>
      </c>
      <c r="S186" s="14">
        <f>IF($A186="","",IF(INDEX('潜水記録'!$R$5:$R$3004,$AS186)="","",INDEX('潜水記録'!$R$5:$R$3004,$AS186)))</f>
        <v/>
      </c>
      <c r="T186" s="14">
        <f>IF($A186="","",IF(INDEX('潜水記録'!$S$5:$S$3004,$AS186)="","",INDEX('潜水記録'!$S$5:$S$3004,$AS186)))</f>
        <v/>
      </c>
      <c r="U186" s="14">
        <f>IF($A186="","",IF(INDEX('潜水記録'!$T$5:$T$3004,$AS186)="","",INDEX('潜水記録'!$T$5:$T$3004,$AS186)))</f>
        <v/>
      </c>
      <c r="V186" s="46">
        <f>IF($A186="","",IF(INDEX('潜水記録'!$U$5:$U$3004,$AS186)="","",INDEX('潜水記録'!$U$5:$U$3004,$AS186)))</f>
        <v/>
      </c>
      <c r="W186" s="46">
        <f>IF($A186="","",IF(INDEX('潜水記録'!$V$5:$V$3004,$AS186)="","",INDEX('潜水記録'!$V$5:$V$3004,$AS186)))</f>
        <v/>
      </c>
      <c r="X186" s="14">
        <f>IF($A186="","",IF(INDEX('潜水記録'!$W$5:$W$3004,$AS186)="","",INDEX('潜水記録'!$W$5:$W$3004,$AS186)))</f>
        <v/>
      </c>
      <c r="Y186" s="14">
        <f>IF($A186="","",IF(INDEX('潜水記録'!$X$5:$X$3004,$AS186)="","",INDEX('潜水記録'!$X$5:$X$3004,$AS186)))</f>
        <v/>
      </c>
      <c r="Z186" s="14">
        <f>IF($A186="","",IF(INDEX('潜水記録'!$Y$5:$Y$3004,$AS186)="","",INDEX('潜水記録'!$Y$5:$Y$3004,$AS186)))</f>
        <v/>
      </c>
      <c r="AA186" s="14">
        <f>IF($A186="","",IF(INDEX('潜水記録'!$Z$5:$Z$3004,$AS186)="","",INDEX('潜水記録'!$Z$5:$Z$3004,$AS186)))</f>
        <v/>
      </c>
      <c r="AB186" s="14">
        <f>IF($A186="","",IF(INDEX('潜水記録'!$AA$5:$AA$3004,$AS186)="","",INDEX('潜水記録'!$AA$5:$AA$3004,$AS186)))</f>
        <v/>
      </c>
      <c r="AC186" s="14">
        <f>IF($A186="","",IF(INDEX('潜水記録'!$AB$5:$AB$3004,$AS186)="","",INDEX('潜水記録'!$AB$5:$AB$3004,$AS186)))</f>
        <v/>
      </c>
      <c r="AD186" s="14">
        <f>IF($A186="","",IF(INDEX('潜水記録'!$AC$5:$AC$3004,$AS186)="","",INDEX('潜水記録'!$AC$5:$AC$3004,$AS186)))</f>
        <v/>
      </c>
      <c r="AE186" s="14">
        <f>IF($A186="","",IF(INDEX('潜水記録'!$AD$5:$AD$3004,$AS186)="","",INDEX('潜水記録'!$AD$5:$AD$3004,$AS186)))</f>
        <v/>
      </c>
      <c r="AF186" s="14">
        <f>IF($A186="","",IF(INDEX('潜水記録'!$AE$5:$AE$3004,$AS186)="","",INDEX('潜水記録'!$AE$5:$AE$3004,$AS186)))</f>
        <v/>
      </c>
      <c r="AG186" s="14">
        <f>IF($A186="","",IF(INDEX('潜水記録'!$AL$5:$AL$3004,$AS186)="","",INDEX('潜水記録'!$AL$5:$AL$3004,$AS186)))</f>
        <v/>
      </c>
      <c r="AH186" s="14">
        <f>IF($A186="","",IF(INDEX('潜水記録'!$AM$5:$AM$3004,$AS186)="","",INDEX('潜水記録'!$AM$5:$AM$3004,$AS186)))</f>
        <v/>
      </c>
      <c r="AI186" s="46">
        <f>IF($A186="","",IF(INDEX('潜水記録'!$AN$5:$AN$3004,$AS186)="","",INDEX('潜水記録'!$AN$5:$AN$3004,$AS186)))</f>
        <v/>
      </c>
      <c r="AJ186" s="14">
        <f>IF($A186="","",IF(INDEX('潜水記録'!$AO$5:$AO$3004,$AS186)="","",INDEX('潜水記録'!$AO$5:$AO$3004,$AS186)))</f>
        <v/>
      </c>
      <c r="AK186" s="14">
        <f>IF($A186="","",IF(INDEX('潜水記録'!$AP$5:$AP$3004,$AS186)="","",INDEX('潜水記録'!$AP$5:$AP$3004,$AS186)))</f>
        <v/>
      </c>
      <c r="AL186" s="14">
        <f>IF($A186="","",IF(INDEX('潜水記録'!$AQ$5:$AQ$3004,$AS186)="","",INDEX('潜水記録'!$AQ$5:$AQ$3004,$AS186)))</f>
        <v/>
      </c>
      <c r="AM186" s="14">
        <f>IF($A186="","",IF(INDEX('潜水記録'!$AR$5:$AR$3004,$AS186)="","",INDEX('潜水記録'!$AR$5:$AR$3004,$AS186)))</f>
        <v/>
      </c>
      <c r="AN186" s="14">
        <f>IF($A186="","",IF(INDEX('潜水記録'!$AS$5:$AS$3004,$AS186)="","",INDEX('潜水記録'!$AS$5:$AS$3004,$AS186)))</f>
        <v/>
      </c>
      <c r="AO186" s="14">
        <f>IF($A186="","",IF(INDEX('潜水記録'!$AT$5:$AT$3004,$AS186)="","",INDEX('潜水記録'!$AT$5:$AT$3004,$AS186)))</f>
        <v/>
      </c>
      <c r="AP186" s="14">
        <f>IF($A186="","",IF(INDEX('潜水記録'!$AU$5:$AU$3004,$AS186)="","",INDEX('潜水記録'!$AU$5:$AU$3004,$AS186)))</f>
        <v/>
      </c>
      <c r="AQ186" s="14">
        <f>IF($A186="","",IF(INDEX('潜水記録'!$AV$5:$AV$3004,$AS186)="","",INDEX('潜水記録'!$AV$5:$AV$3004,$AS186)))</f>
        <v/>
      </c>
      <c r="AR186" s="14">
        <f>IF($A186="","",IF(INDEX('潜水記録'!$AW$5:$AW$3004,$AS186)="","",INDEX('潜水記録'!$AW$5:$AW$3004,$AS186)))</f>
        <v/>
      </c>
      <c r="AS186" s="20">
        <f>IF($A186="","",MATCH($A186,'潜水記録'!$AI$5:$AI$3004,0))</f>
        <v/>
      </c>
    </row>
    <row r="187">
      <c r="A187" s="14">
        <f>IF(177&lt;=$C$8,177,"")</f>
        <v/>
      </c>
      <c r="B187" s="16">
        <f>IF($A187="","",IF(INDEX('潜水記録'!$A$5:$A$3004,$AS187)="","",INDEX('潜水記録'!$A$5:$A$3004,$AS187)))</f>
        <v/>
      </c>
      <c r="C187" s="14">
        <f>IF($A187="","",IF(INDEX('潜水記録'!$B$5:$B$3004,$AS187)="","",INDEX('潜水記録'!$B$5:$B$3004,$AS187)))</f>
        <v/>
      </c>
      <c r="D187" s="14">
        <f>IF($A187="","",IF(INDEX('潜水記録'!$C$5:$C$3004,$AS187)="","",INDEX('潜水記録'!$C$5:$C$3004,$AS187)))</f>
        <v/>
      </c>
      <c r="E187" s="14">
        <f>IF($A187="","",IF(INDEX('潜水記録'!$D$5:$D$3004,$AS187)="","",INDEX('潜水記録'!$D$5:$D$3004,$AS187)))</f>
        <v/>
      </c>
      <c r="F187" s="14">
        <f>IF($A187="","",IF(INDEX('潜水記録'!$E$5:$E$3004,$AS187)="","",INDEX('潜水記録'!$E$5:$E$3004,$AS187)))</f>
        <v/>
      </c>
      <c r="G187" s="14">
        <f>IF($A187="","",IF(INDEX('潜水記録'!$F$5:$F$3004,$AS187)="","",INDEX('潜水記録'!$F$5:$F$3004,$AS187)))</f>
        <v/>
      </c>
      <c r="H187" s="14">
        <f>IF($A187="","",IF(INDEX('潜水記録'!$G$5:$G$3004,$AS187)="","",INDEX('潜水記録'!$G$5:$G$3004,$AS187)))</f>
        <v/>
      </c>
      <c r="I187" s="14">
        <f>IF($A187="","",IF(INDEX('潜水記録'!$H$5:$H$3004,$AS187)="","",INDEX('潜水記録'!$H$5:$H$3004,$AS187)))</f>
        <v/>
      </c>
      <c r="J187" s="14">
        <f>IF($A187="","",IF(INDEX('潜水記録'!$I$5:$I$3004,$AS187)="","",INDEX('潜水記録'!$I$5:$I$3004,$AS187)))</f>
        <v/>
      </c>
      <c r="K187" s="14">
        <f>IF($A187="","",IF(INDEX('潜水記録'!$J$5:$J$3004,$AS187)="","",INDEX('潜水記録'!$J$5:$J$3004,$AS187)))</f>
        <v/>
      </c>
      <c r="L187" s="14">
        <f>IF($A187="","",IF(INDEX('潜水記録'!$K$5:$K$3004,$AS187)="","",INDEX('潜水記録'!$K$5:$K$3004,$AS187)))</f>
        <v/>
      </c>
      <c r="M187" s="14">
        <f>IF($A187="","",IF(INDEX('潜水記録'!$L$5:$L$3004,$AS187)="","",INDEX('潜水記録'!$L$5:$L$3004,$AS187)))</f>
        <v/>
      </c>
      <c r="N187" s="14">
        <f>IF($A187="","",IF(INDEX('潜水記録'!$M$5:$M$3004,$AS187)="","",INDEX('潜水記録'!$M$5:$M$3004,$AS187)))</f>
        <v/>
      </c>
      <c r="O187" s="14">
        <f>IF($A187="","",IF(INDEX('潜水記録'!$N$5:$N$3004,$AS187)="","",INDEX('潜水記録'!$N$5:$N$3004,$AS187)))</f>
        <v/>
      </c>
      <c r="P187" s="14">
        <f>IF($A187="","",IF(INDEX('潜水記録'!$O$5:$O$3004,$AS187)="","",INDEX('潜水記録'!$O$5:$O$3004,$AS187)))</f>
        <v/>
      </c>
      <c r="Q187" s="14">
        <f>IF($A187="","",IF(INDEX('潜水記録'!$P$5:$P$3004,$AS187)="","",INDEX('潜水記録'!$P$5:$P$3004,$AS187)))</f>
        <v/>
      </c>
      <c r="R187" s="14">
        <f>IF($A187="","",IF(INDEX('潜水記録'!$Q$5:$Q$3004,$AS187)="","",INDEX('潜水記録'!$Q$5:$Q$3004,$AS187)))</f>
        <v/>
      </c>
      <c r="S187" s="14">
        <f>IF($A187="","",IF(INDEX('潜水記録'!$R$5:$R$3004,$AS187)="","",INDEX('潜水記録'!$R$5:$R$3004,$AS187)))</f>
        <v/>
      </c>
      <c r="T187" s="14">
        <f>IF($A187="","",IF(INDEX('潜水記録'!$S$5:$S$3004,$AS187)="","",INDEX('潜水記録'!$S$5:$S$3004,$AS187)))</f>
        <v/>
      </c>
      <c r="U187" s="14">
        <f>IF($A187="","",IF(INDEX('潜水記録'!$T$5:$T$3004,$AS187)="","",INDEX('潜水記録'!$T$5:$T$3004,$AS187)))</f>
        <v/>
      </c>
      <c r="V187" s="46">
        <f>IF($A187="","",IF(INDEX('潜水記録'!$U$5:$U$3004,$AS187)="","",INDEX('潜水記録'!$U$5:$U$3004,$AS187)))</f>
        <v/>
      </c>
      <c r="W187" s="46">
        <f>IF($A187="","",IF(INDEX('潜水記録'!$V$5:$V$3004,$AS187)="","",INDEX('潜水記録'!$V$5:$V$3004,$AS187)))</f>
        <v/>
      </c>
      <c r="X187" s="14">
        <f>IF($A187="","",IF(INDEX('潜水記録'!$W$5:$W$3004,$AS187)="","",INDEX('潜水記録'!$W$5:$W$3004,$AS187)))</f>
        <v/>
      </c>
      <c r="Y187" s="14">
        <f>IF($A187="","",IF(INDEX('潜水記録'!$X$5:$X$3004,$AS187)="","",INDEX('潜水記録'!$X$5:$X$3004,$AS187)))</f>
        <v/>
      </c>
      <c r="Z187" s="14">
        <f>IF($A187="","",IF(INDEX('潜水記録'!$Y$5:$Y$3004,$AS187)="","",INDEX('潜水記録'!$Y$5:$Y$3004,$AS187)))</f>
        <v/>
      </c>
      <c r="AA187" s="14">
        <f>IF($A187="","",IF(INDEX('潜水記録'!$Z$5:$Z$3004,$AS187)="","",INDEX('潜水記録'!$Z$5:$Z$3004,$AS187)))</f>
        <v/>
      </c>
      <c r="AB187" s="14">
        <f>IF($A187="","",IF(INDEX('潜水記録'!$AA$5:$AA$3004,$AS187)="","",INDEX('潜水記録'!$AA$5:$AA$3004,$AS187)))</f>
        <v/>
      </c>
      <c r="AC187" s="14">
        <f>IF($A187="","",IF(INDEX('潜水記録'!$AB$5:$AB$3004,$AS187)="","",INDEX('潜水記録'!$AB$5:$AB$3004,$AS187)))</f>
        <v/>
      </c>
      <c r="AD187" s="14">
        <f>IF($A187="","",IF(INDEX('潜水記録'!$AC$5:$AC$3004,$AS187)="","",INDEX('潜水記録'!$AC$5:$AC$3004,$AS187)))</f>
        <v/>
      </c>
      <c r="AE187" s="14">
        <f>IF($A187="","",IF(INDEX('潜水記録'!$AD$5:$AD$3004,$AS187)="","",INDEX('潜水記録'!$AD$5:$AD$3004,$AS187)))</f>
        <v/>
      </c>
      <c r="AF187" s="14">
        <f>IF($A187="","",IF(INDEX('潜水記録'!$AE$5:$AE$3004,$AS187)="","",INDEX('潜水記録'!$AE$5:$AE$3004,$AS187)))</f>
        <v/>
      </c>
      <c r="AG187" s="14">
        <f>IF($A187="","",IF(INDEX('潜水記録'!$AL$5:$AL$3004,$AS187)="","",INDEX('潜水記録'!$AL$5:$AL$3004,$AS187)))</f>
        <v/>
      </c>
      <c r="AH187" s="14">
        <f>IF($A187="","",IF(INDEX('潜水記録'!$AM$5:$AM$3004,$AS187)="","",INDEX('潜水記録'!$AM$5:$AM$3004,$AS187)))</f>
        <v/>
      </c>
      <c r="AI187" s="46">
        <f>IF($A187="","",IF(INDEX('潜水記録'!$AN$5:$AN$3004,$AS187)="","",INDEX('潜水記録'!$AN$5:$AN$3004,$AS187)))</f>
        <v/>
      </c>
      <c r="AJ187" s="14">
        <f>IF($A187="","",IF(INDEX('潜水記録'!$AO$5:$AO$3004,$AS187)="","",INDEX('潜水記録'!$AO$5:$AO$3004,$AS187)))</f>
        <v/>
      </c>
      <c r="AK187" s="14">
        <f>IF($A187="","",IF(INDEX('潜水記録'!$AP$5:$AP$3004,$AS187)="","",INDEX('潜水記録'!$AP$5:$AP$3004,$AS187)))</f>
        <v/>
      </c>
      <c r="AL187" s="14">
        <f>IF($A187="","",IF(INDEX('潜水記録'!$AQ$5:$AQ$3004,$AS187)="","",INDEX('潜水記録'!$AQ$5:$AQ$3004,$AS187)))</f>
        <v/>
      </c>
      <c r="AM187" s="14">
        <f>IF($A187="","",IF(INDEX('潜水記録'!$AR$5:$AR$3004,$AS187)="","",INDEX('潜水記録'!$AR$5:$AR$3004,$AS187)))</f>
        <v/>
      </c>
      <c r="AN187" s="14">
        <f>IF($A187="","",IF(INDEX('潜水記録'!$AS$5:$AS$3004,$AS187)="","",INDEX('潜水記録'!$AS$5:$AS$3004,$AS187)))</f>
        <v/>
      </c>
      <c r="AO187" s="14">
        <f>IF($A187="","",IF(INDEX('潜水記録'!$AT$5:$AT$3004,$AS187)="","",INDEX('潜水記録'!$AT$5:$AT$3004,$AS187)))</f>
        <v/>
      </c>
      <c r="AP187" s="14">
        <f>IF($A187="","",IF(INDEX('潜水記録'!$AU$5:$AU$3004,$AS187)="","",INDEX('潜水記録'!$AU$5:$AU$3004,$AS187)))</f>
        <v/>
      </c>
      <c r="AQ187" s="14">
        <f>IF($A187="","",IF(INDEX('潜水記録'!$AV$5:$AV$3004,$AS187)="","",INDEX('潜水記録'!$AV$5:$AV$3004,$AS187)))</f>
        <v/>
      </c>
      <c r="AR187" s="14">
        <f>IF($A187="","",IF(INDEX('潜水記録'!$AW$5:$AW$3004,$AS187)="","",INDEX('潜水記録'!$AW$5:$AW$3004,$AS187)))</f>
        <v/>
      </c>
      <c r="AS187" s="20">
        <f>IF($A187="","",MATCH($A187,'潜水記録'!$AI$5:$AI$3004,0))</f>
        <v/>
      </c>
    </row>
    <row r="188">
      <c r="A188" s="14">
        <f>IF(178&lt;=$C$8,178,"")</f>
        <v/>
      </c>
      <c r="B188" s="16">
        <f>IF($A188="","",IF(INDEX('潜水記録'!$A$5:$A$3004,$AS188)="","",INDEX('潜水記録'!$A$5:$A$3004,$AS188)))</f>
        <v/>
      </c>
      <c r="C188" s="14">
        <f>IF($A188="","",IF(INDEX('潜水記録'!$B$5:$B$3004,$AS188)="","",INDEX('潜水記録'!$B$5:$B$3004,$AS188)))</f>
        <v/>
      </c>
      <c r="D188" s="14">
        <f>IF($A188="","",IF(INDEX('潜水記録'!$C$5:$C$3004,$AS188)="","",INDEX('潜水記録'!$C$5:$C$3004,$AS188)))</f>
        <v/>
      </c>
      <c r="E188" s="14">
        <f>IF($A188="","",IF(INDEX('潜水記録'!$D$5:$D$3004,$AS188)="","",INDEX('潜水記録'!$D$5:$D$3004,$AS188)))</f>
        <v/>
      </c>
      <c r="F188" s="14">
        <f>IF($A188="","",IF(INDEX('潜水記録'!$E$5:$E$3004,$AS188)="","",INDEX('潜水記録'!$E$5:$E$3004,$AS188)))</f>
        <v/>
      </c>
      <c r="G188" s="14">
        <f>IF($A188="","",IF(INDEX('潜水記録'!$F$5:$F$3004,$AS188)="","",INDEX('潜水記録'!$F$5:$F$3004,$AS188)))</f>
        <v/>
      </c>
      <c r="H188" s="14">
        <f>IF($A188="","",IF(INDEX('潜水記録'!$G$5:$G$3004,$AS188)="","",INDEX('潜水記録'!$G$5:$G$3004,$AS188)))</f>
        <v/>
      </c>
      <c r="I188" s="14">
        <f>IF($A188="","",IF(INDEX('潜水記録'!$H$5:$H$3004,$AS188)="","",INDEX('潜水記録'!$H$5:$H$3004,$AS188)))</f>
        <v/>
      </c>
      <c r="J188" s="14">
        <f>IF($A188="","",IF(INDEX('潜水記録'!$I$5:$I$3004,$AS188)="","",INDEX('潜水記録'!$I$5:$I$3004,$AS188)))</f>
        <v/>
      </c>
      <c r="K188" s="14">
        <f>IF($A188="","",IF(INDEX('潜水記録'!$J$5:$J$3004,$AS188)="","",INDEX('潜水記録'!$J$5:$J$3004,$AS188)))</f>
        <v/>
      </c>
      <c r="L188" s="14">
        <f>IF($A188="","",IF(INDEX('潜水記録'!$K$5:$K$3004,$AS188)="","",INDEX('潜水記録'!$K$5:$K$3004,$AS188)))</f>
        <v/>
      </c>
      <c r="M188" s="14">
        <f>IF($A188="","",IF(INDEX('潜水記録'!$L$5:$L$3004,$AS188)="","",INDEX('潜水記録'!$L$5:$L$3004,$AS188)))</f>
        <v/>
      </c>
      <c r="N188" s="14">
        <f>IF($A188="","",IF(INDEX('潜水記録'!$M$5:$M$3004,$AS188)="","",INDEX('潜水記録'!$M$5:$M$3004,$AS188)))</f>
        <v/>
      </c>
      <c r="O188" s="14">
        <f>IF($A188="","",IF(INDEX('潜水記録'!$N$5:$N$3004,$AS188)="","",INDEX('潜水記録'!$N$5:$N$3004,$AS188)))</f>
        <v/>
      </c>
      <c r="P188" s="14">
        <f>IF($A188="","",IF(INDEX('潜水記録'!$O$5:$O$3004,$AS188)="","",INDEX('潜水記録'!$O$5:$O$3004,$AS188)))</f>
        <v/>
      </c>
      <c r="Q188" s="14">
        <f>IF($A188="","",IF(INDEX('潜水記録'!$P$5:$P$3004,$AS188)="","",INDEX('潜水記録'!$P$5:$P$3004,$AS188)))</f>
        <v/>
      </c>
      <c r="R188" s="14">
        <f>IF($A188="","",IF(INDEX('潜水記録'!$Q$5:$Q$3004,$AS188)="","",INDEX('潜水記録'!$Q$5:$Q$3004,$AS188)))</f>
        <v/>
      </c>
      <c r="S188" s="14">
        <f>IF($A188="","",IF(INDEX('潜水記録'!$R$5:$R$3004,$AS188)="","",INDEX('潜水記録'!$R$5:$R$3004,$AS188)))</f>
        <v/>
      </c>
      <c r="T188" s="14">
        <f>IF($A188="","",IF(INDEX('潜水記録'!$S$5:$S$3004,$AS188)="","",INDEX('潜水記録'!$S$5:$S$3004,$AS188)))</f>
        <v/>
      </c>
      <c r="U188" s="14">
        <f>IF($A188="","",IF(INDEX('潜水記録'!$T$5:$T$3004,$AS188)="","",INDEX('潜水記録'!$T$5:$T$3004,$AS188)))</f>
        <v/>
      </c>
      <c r="V188" s="46">
        <f>IF($A188="","",IF(INDEX('潜水記録'!$U$5:$U$3004,$AS188)="","",INDEX('潜水記録'!$U$5:$U$3004,$AS188)))</f>
        <v/>
      </c>
      <c r="W188" s="46">
        <f>IF($A188="","",IF(INDEX('潜水記録'!$V$5:$V$3004,$AS188)="","",INDEX('潜水記録'!$V$5:$V$3004,$AS188)))</f>
        <v/>
      </c>
      <c r="X188" s="14">
        <f>IF($A188="","",IF(INDEX('潜水記録'!$W$5:$W$3004,$AS188)="","",INDEX('潜水記録'!$W$5:$W$3004,$AS188)))</f>
        <v/>
      </c>
      <c r="Y188" s="14">
        <f>IF($A188="","",IF(INDEX('潜水記録'!$X$5:$X$3004,$AS188)="","",INDEX('潜水記録'!$X$5:$X$3004,$AS188)))</f>
        <v/>
      </c>
      <c r="Z188" s="14">
        <f>IF($A188="","",IF(INDEX('潜水記録'!$Y$5:$Y$3004,$AS188)="","",INDEX('潜水記録'!$Y$5:$Y$3004,$AS188)))</f>
        <v/>
      </c>
      <c r="AA188" s="14">
        <f>IF($A188="","",IF(INDEX('潜水記録'!$Z$5:$Z$3004,$AS188)="","",INDEX('潜水記録'!$Z$5:$Z$3004,$AS188)))</f>
        <v/>
      </c>
      <c r="AB188" s="14">
        <f>IF($A188="","",IF(INDEX('潜水記録'!$AA$5:$AA$3004,$AS188)="","",INDEX('潜水記録'!$AA$5:$AA$3004,$AS188)))</f>
        <v/>
      </c>
      <c r="AC188" s="14">
        <f>IF($A188="","",IF(INDEX('潜水記録'!$AB$5:$AB$3004,$AS188)="","",INDEX('潜水記録'!$AB$5:$AB$3004,$AS188)))</f>
        <v/>
      </c>
      <c r="AD188" s="14">
        <f>IF($A188="","",IF(INDEX('潜水記録'!$AC$5:$AC$3004,$AS188)="","",INDEX('潜水記録'!$AC$5:$AC$3004,$AS188)))</f>
        <v/>
      </c>
      <c r="AE188" s="14">
        <f>IF($A188="","",IF(INDEX('潜水記録'!$AD$5:$AD$3004,$AS188)="","",INDEX('潜水記録'!$AD$5:$AD$3004,$AS188)))</f>
        <v/>
      </c>
      <c r="AF188" s="14">
        <f>IF($A188="","",IF(INDEX('潜水記録'!$AE$5:$AE$3004,$AS188)="","",INDEX('潜水記録'!$AE$5:$AE$3004,$AS188)))</f>
        <v/>
      </c>
      <c r="AG188" s="14">
        <f>IF($A188="","",IF(INDEX('潜水記録'!$AL$5:$AL$3004,$AS188)="","",INDEX('潜水記録'!$AL$5:$AL$3004,$AS188)))</f>
        <v/>
      </c>
      <c r="AH188" s="14">
        <f>IF($A188="","",IF(INDEX('潜水記録'!$AM$5:$AM$3004,$AS188)="","",INDEX('潜水記録'!$AM$5:$AM$3004,$AS188)))</f>
        <v/>
      </c>
      <c r="AI188" s="46">
        <f>IF($A188="","",IF(INDEX('潜水記録'!$AN$5:$AN$3004,$AS188)="","",INDEX('潜水記録'!$AN$5:$AN$3004,$AS188)))</f>
        <v/>
      </c>
      <c r="AJ188" s="14">
        <f>IF($A188="","",IF(INDEX('潜水記録'!$AO$5:$AO$3004,$AS188)="","",INDEX('潜水記録'!$AO$5:$AO$3004,$AS188)))</f>
        <v/>
      </c>
      <c r="AK188" s="14">
        <f>IF($A188="","",IF(INDEX('潜水記録'!$AP$5:$AP$3004,$AS188)="","",INDEX('潜水記録'!$AP$5:$AP$3004,$AS188)))</f>
        <v/>
      </c>
      <c r="AL188" s="14">
        <f>IF($A188="","",IF(INDEX('潜水記録'!$AQ$5:$AQ$3004,$AS188)="","",INDEX('潜水記録'!$AQ$5:$AQ$3004,$AS188)))</f>
        <v/>
      </c>
      <c r="AM188" s="14">
        <f>IF($A188="","",IF(INDEX('潜水記録'!$AR$5:$AR$3004,$AS188)="","",INDEX('潜水記録'!$AR$5:$AR$3004,$AS188)))</f>
        <v/>
      </c>
      <c r="AN188" s="14">
        <f>IF($A188="","",IF(INDEX('潜水記録'!$AS$5:$AS$3004,$AS188)="","",INDEX('潜水記録'!$AS$5:$AS$3004,$AS188)))</f>
        <v/>
      </c>
      <c r="AO188" s="14">
        <f>IF($A188="","",IF(INDEX('潜水記録'!$AT$5:$AT$3004,$AS188)="","",INDEX('潜水記録'!$AT$5:$AT$3004,$AS188)))</f>
        <v/>
      </c>
      <c r="AP188" s="14">
        <f>IF($A188="","",IF(INDEX('潜水記録'!$AU$5:$AU$3004,$AS188)="","",INDEX('潜水記録'!$AU$5:$AU$3004,$AS188)))</f>
        <v/>
      </c>
      <c r="AQ188" s="14">
        <f>IF($A188="","",IF(INDEX('潜水記録'!$AV$5:$AV$3004,$AS188)="","",INDEX('潜水記録'!$AV$5:$AV$3004,$AS188)))</f>
        <v/>
      </c>
      <c r="AR188" s="14">
        <f>IF($A188="","",IF(INDEX('潜水記録'!$AW$5:$AW$3004,$AS188)="","",INDEX('潜水記録'!$AW$5:$AW$3004,$AS188)))</f>
        <v/>
      </c>
      <c r="AS188" s="20">
        <f>IF($A188="","",MATCH($A188,'潜水記録'!$AI$5:$AI$3004,0))</f>
        <v/>
      </c>
    </row>
    <row r="189">
      <c r="A189" s="14">
        <f>IF(179&lt;=$C$8,179,"")</f>
        <v/>
      </c>
      <c r="B189" s="16">
        <f>IF($A189="","",IF(INDEX('潜水記録'!$A$5:$A$3004,$AS189)="","",INDEX('潜水記録'!$A$5:$A$3004,$AS189)))</f>
        <v/>
      </c>
      <c r="C189" s="14">
        <f>IF($A189="","",IF(INDEX('潜水記録'!$B$5:$B$3004,$AS189)="","",INDEX('潜水記録'!$B$5:$B$3004,$AS189)))</f>
        <v/>
      </c>
      <c r="D189" s="14">
        <f>IF($A189="","",IF(INDEX('潜水記録'!$C$5:$C$3004,$AS189)="","",INDEX('潜水記録'!$C$5:$C$3004,$AS189)))</f>
        <v/>
      </c>
      <c r="E189" s="14">
        <f>IF($A189="","",IF(INDEX('潜水記録'!$D$5:$D$3004,$AS189)="","",INDEX('潜水記録'!$D$5:$D$3004,$AS189)))</f>
        <v/>
      </c>
      <c r="F189" s="14">
        <f>IF($A189="","",IF(INDEX('潜水記録'!$E$5:$E$3004,$AS189)="","",INDEX('潜水記録'!$E$5:$E$3004,$AS189)))</f>
        <v/>
      </c>
      <c r="G189" s="14">
        <f>IF($A189="","",IF(INDEX('潜水記録'!$F$5:$F$3004,$AS189)="","",INDEX('潜水記録'!$F$5:$F$3004,$AS189)))</f>
        <v/>
      </c>
      <c r="H189" s="14">
        <f>IF($A189="","",IF(INDEX('潜水記録'!$G$5:$G$3004,$AS189)="","",INDEX('潜水記録'!$G$5:$G$3004,$AS189)))</f>
        <v/>
      </c>
      <c r="I189" s="14">
        <f>IF($A189="","",IF(INDEX('潜水記録'!$H$5:$H$3004,$AS189)="","",INDEX('潜水記録'!$H$5:$H$3004,$AS189)))</f>
        <v/>
      </c>
      <c r="J189" s="14">
        <f>IF($A189="","",IF(INDEX('潜水記録'!$I$5:$I$3004,$AS189)="","",INDEX('潜水記録'!$I$5:$I$3004,$AS189)))</f>
        <v/>
      </c>
      <c r="K189" s="14">
        <f>IF($A189="","",IF(INDEX('潜水記録'!$J$5:$J$3004,$AS189)="","",INDEX('潜水記録'!$J$5:$J$3004,$AS189)))</f>
        <v/>
      </c>
      <c r="L189" s="14">
        <f>IF($A189="","",IF(INDEX('潜水記録'!$K$5:$K$3004,$AS189)="","",INDEX('潜水記録'!$K$5:$K$3004,$AS189)))</f>
        <v/>
      </c>
      <c r="M189" s="14">
        <f>IF($A189="","",IF(INDEX('潜水記録'!$L$5:$L$3004,$AS189)="","",INDEX('潜水記録'!$L$5:$L$3004,$AS189)))</f>
        <v/>
      </c>
      <c r="N189" s="14">
        <f>IF($A189="","",IF(INDEX('潜水記録'!$M$5:$M$3004,$AS189)="","",INDEX('潜水記録'!$M$5:$M$3004,$AS189)))</f>
        <v/>
      </c>
      <c r="O189" s="14">
        <f>IF($A189="","",IF(INDEX('潜水記録'!$N$5:$N$3004,$AS189)="","",INDEX('潜水記録'!$N$5:$N$3004,$AS189)))</f>
        <v/>
      </c>
      <c r="P189" s="14">
        <f>IF($A189="","",IF(INDEX('潜水記録'!$O$5:$O$3004,$AS189)="","",INDEX('潜水記録'!$O$5:$O$3004,$AS189)))</f>
        <v/>
      </c>
      <c r="Q189" s="14">
        <f>IF($A189="","",IF(INDEX('潜水記録'!$P$5:$P$3004,$AS189)="","",INDEX('潜水記録'!$P$5:$P$3004,$AS189)))</f>
        <v/>
      </c>
      <c r="R189" s="14">
        <f>IF($A189="","",IF(INDEX('潜水記録'!$Q$5:$Q$3004,$AS189)="","",INDEX('潜水記録'!$Q$5:$Q$3004,$AS189)))</f>
        <v/>
      </c>
      <c r="S189" s="14">
        <f>IF($A189="","",IF(INDEX('潜水記録'!$R$5:$R$3004,$AS189)="","",INDEX('潜水記録'!$R$5:$R$3004,$AS189)))</f>
        <v/>
      </c>
      <c r="T189" s="14">
        <f>IF($A189="","",IF(INDEX('潜水記録'!$S$5:$S$3004,$AS189)="","",INDEX('潜水記録'!$S$5:$S$3004,$AS189)))</f>
        <v/>
      </c>
      <c r="U189" s="14">
        <f>IF($A189="","",IF(INDEX('潜水記録'!$T$5:$T$3004,$AS189)="","",INDEX('潜水記録'!$T$5:$T$3004,$AS189)))</f>
        <v/>
      </c>
      <c r="V189" s="46">
        <f>IF($A189="","",IF(INDEX('潜水記録'!$U$5:$U$3004,$AS189)="","",INDEX('潜水記録'!$U$5:$U$3004,$AS189)))</f>
        <v/>
      </c>
      <c r="W189" s="46">
        <f>IF($A189="","",IF(INDEX('潜水記録'!$V$5:$V$3004,$AS189)="","",INDEX('潜水記録'!$V$5:$V$3004,$AS189)))</f>
        <v/>
      </c>
      <c r="X189" s="14">
        <f>IF($A189="","",IF(INDEX('潜水記録'!$W$5:$W$3004,$AS189)="","",INDEX('潜水記録'!$W$5:$W$3004,$AS189)))</f>
        <v/>
      </c>
      <c r="Y189" s="14">
        <f>IF($A189="","",IF(INDEX('潜水記録'!$X$5:$X$3004,$AS189)="","",INDEX('潜水記録'!$X$5:$X$3004,$AS189)))</f>
        <v/>
      </c>
      <c r="Z189" s="14">
        <f>IF($A189="","",IF(INDEX('潜水記録'!$Y$5:$Y$3004,$AS189)="","",INDEX('潜水記録'!$Y$5:$Y$3004,$AS189)))</f>
        <v/>
      </c>
      <c r="AA189" s="14">
        <f>IF($A189="","",IF(INDEX('潜水記録'!$Z$5:$Z$3004,$AS189)="","",INDEX('潜水記録'!$Z$5:$Z$3004,$AS189)))</f>
        <v/>
      </c>
      <c r="AB189" s="14">
        <f>IF($A189="","",IF(INDEX('潜水記録'!$AA$5:$AA$3004,$AS189)="","",INDEX('潜水記録'!$AA$5:$AA$3004,$AS189)))</f>
        <v/>
      </c>
      <c r="AC189" s="14">
        <f>IF($A189="","",IF(INDEX('潜水記録'!$AB$5:$AB$3004,$AS189)="","",INDEX('潜水記録'!$AB$5:$AB$3004,$AS189)))</f>
        <v/>
      </c>
      <c r="AD189" s="14">
        <f>IF($A189="","",IF(INDEX('潜水記録'!$AC$5:$AC$3004,$AS189)="","",INDEX('潜水記録'!$AC$5:$AC$3004,$AS189)))</f>
        <v/>
      </c>
      <c r="AE189" s="14">
        <f>IF($A189="","",IF(INDEX('潜水記録'!$AD$5:$AD$3004,$AS189)="","",INDEX('潜水記録'!$AD$5:$AD$3004,$AS189)))</f>
        <v/>
      </c>
      <c r="AF189" s="14">
        <f>IF($A189="","",IF(INDEX('潜水記録'!$AE$5:$AE$3004,$AS189)="","",INDEX('潜水記録'!$AE$5:$AE$3004,$AS189)))</f>
        <v/>
      </c>
      <c r="AG189" s="14">
        <f>IF($A189="","",IF(INDEX('潜水記録'!$AL$5:$AL$3004,$AS189)="","",INDEX('潜水記録'!$AL$5:$AL$3004,$AS189)))</f>
        <v/>
      </c>
      <c r="AH189" s="14">
        <f>IF($A189="","",IF(INDEX('潜水記録'!$AM$5:$AM$3004,$AS189)="","",INDEX('潜水記録'!$AM$5:$AM$3004,$AS189)))</f>
        <v/>
      </c>
      <c r="AI189" s="46">
        <f>IF($A189="","",IF(INDEX('潜水記録'!$AN$5:$AN$3004,$AS189)="","",INDEX('潜水記録'!$AN$5:$AN$3004,$AS189)))</f>
        <v/>
      </c>
      <c r="AJ189" s="14">
        <f>IF($A189="","",IF(INDEX('潜水記録'!$AO$5:$AO$3004,$AS189)="","",INDEX('潜水記録'!$AO$5:$AO$3004,$AS189)))</f>
        <v/>
      </c>
      <c r="AK189" s="14">
        <f>IF($A189="","",IF(INDEX('潜水記録'!$AP$5:$AP$3004,$AS189)="","",INDEX('潜水記録'!$AP$5:$AP$3004,$AS189)))</f>
        <v/>
      </c>
      <c r="AL189" s="14">
        <f>IF($A189="","",IF(INDEX('潜水記録'!$AQ$5:$AQ$3004,$AS189)="","",INDEX('潜水記録'!$AQ$5:$AQ$3004,$AS189)))</f>
        <v/>
      </c>
      <c r="AM189" s="14">
        <f>IF($A189="","",IF(INDEX('潜水記録'!$AR$5:$AR$3004,$AS189)="","",INDEX('潜水記録'!$AR$5:$AR$3004,$AS189)))</f>
        <v/>
      </c>
      <c r="AN189" s="14">
        <f>IF($A189="","",IF(INDEX('潜水記録'!$AS$5:$AS$3004,$AS189)="","",INDEX('潜水記録'!$AS$5:$AS$3004,$AS189)))</f>
        <v/>
      </c>
      <c r="AO189" s="14">
        <f>IF($A189="","",IF(INDEX('潜水記録'!$AT$5:$AT$3004,$AS189)="","",INDEX('潜水記録'!$AT$5:$AT$3004,$AS189)))</f>
        <v/>
      </c>
      <c r="AP189" s="14">
        <f>IF($A189="","",IF(INDEX('潜水記録'!$AU$5:$AU$3004,$AS189)="","",INDEX('潜水記録'!$AU$5:$AU$3004,$AS189)))</f>
        <v/>
      </c>
      <c r="AQ189" s="14">
        <f>IF($A189="","",IF(INDEX('潜水記録'!$AV$5:$AV$3004,$AS189)="","",INDEX('潜水記録'!$AV$5:$AV$3004,$AS189)))</f>
        <v/>
      </c>
      <c r="AR189" s="14">
        <f>IF($A189="","",IF(INDEX('潜水記録'!$AW$5:$AW$3004,$AS189)="","",INDEX('潜水記録'!$AW$5:$AW$3004,$AS189)))</f>
        <v/>
      </c>
      <c r="AS189" s="20">
        <f>IF($A189="","",MATCH($A189,'潜水記録'!$AI$5:$AI$3004,0))</f>
        <v/>
      </c>
    </row>
    <row r="190">
      <c r="A190" s="14">
        <f>IF(180&lt;=$C$8,180,"")</f>
        <v/>
      </c>
      <c r="B190" s="16">
        <f>IF($A190="","",IF(INDEX('潜水記録'!$A$5:$A$3004,$AS190)="","",INDEX('潜水記録'!$A$5:$A$3004,$AS190)))</f>
        <v/>
      </c>
      <c r="C190" s="14">
        <f>IF($A190="","",IF(INDEX('潜水記録'!$B$5:$B$3004,$AS190)="","",INDEX('潜水記録'!$B$5:$B$3004,$AS190)))</f>
        <v/>
      </c>
      <c r="D190" s="14">
        <f>IF($A190="","",IF(INDEX('潜水記録'!$C$5:$C$3004,$AS190)="","",INDEX('潜水記録'!$C$5:$C$3004,$AS190)))</f>
        <v/>
      </c>
      <c r="E190" s="14">
        <f>IF($A190="","",IF(INDEX('潜水記録'!$D$5:$D$3004,$AS190)="","",INDEX('潜水記録'!$D$5:$D$3004,$AS190)))</f>
        <v/>
      </c>
      <c r="F190" s="14">
        <f>IF($A190="","",IF(INDEX('潜水記録'!$E$5:$E$3004,$AS190)="","",INDEX('潜水記録'!$E$5:$E$3004,$AS190)))</f>
        <v/>
      </c>
      <c r="G190" s="14">
        <f>IF($A190="","",IF(INDEX('潜水記録'!$F$5:$F$3004,$AS190)="","",INDEX('潜水記録'!$F$5:$F$3004,$AS190)))</f>
        <v/>
      </c>
      <c r="H190" s="14">
        <f>IF($A190="","",IF(INDEX('潜水記録'!$G$5:$G$3004,$AS190)="","",INDEX('潜水記録'!$G$5:$G$3004,$AS190)))</f>
        <v/>
      </c>
      <c r="I190" s="14">
        <f>IF($A190="","",IF(INDEX('潜水記録'!$H$5:$H$3004,$AS190)="","",INDEX('潜水記録'!$H$5:$H$3004,$AS190)))</f>
        <v/>
      </c>
      <c r="J190" s="14">
        <f>IF($A190="","",IF(INDEX('潜水記録'!$I$5:$I$3004,$AS190)="","",INDEX('潜水記録'!$I$5:$I$3004,$AS190)))</f>
        <v/>
      </c>
      <c r="K190" s="14">
        <f>IF($A190="","",IF(INDEX('潜水記録'!$J$5:$J$3004,$AS190)="","",INDEX('潜水記録'!$J$5:$J$3004,$AS190)))</f>
        <v/>
      </c>
      <c r="L190" s="14">
        <f>IF($A190="","",IF(INDEX('潜水記録'!$K$5:$K$3004,$AS190)="","",INDEX('潜水記録'!$K$5:$K$3004,$AS190)))</f>
        <v/>
      </c>
      <c r="M190" s="14">
        <f>IF($A190="","",IF(INDEX('潜水記録'!$L$5:$L$3004,$AS190)="","",INDEX('潜水記録'!$L$5:$L$3004,$AS190)))</f>
        <v/>
      </c>
      <c r="N190" s="14">
        <f>IF($A190="","",IF(INDEX('潜水記録'!$M$5:$M$3004,$AS190)="","",INDEX('潜水記録'!$M$5:$M$3004,$AS190)))</f>
        <v/>
      </c>
      <c r="O190" s="14">
        <f>IF($A190="","",IF(INDEX('潜水記録'!$N$5:$N$3004,$AS190)="","",INDEX('潜水記録'!$N$5:$N$3004,$AS190)))</f>
        <v/>
      </c>
      <c r="P190" s="14">
        <f>IF($A190="","",IF(INDEX('潜水記録'!$O$5:$O$3004,$AS190)="","",INDEX('潜水記録'!$O$5:$O$3004,$AS190)))</f>
        <v/>
      </c>
      <c r="Q190" s="14">
        <f>IF($A190="","",IF(INDEX('潜水記録'!$P$5:$P$3004,$AS190)="","",INDEX('潜水記録'!$P$5:$P$3004,$AS190)))</f>
        <v/>
      </c>
      <c r="R190" s="14">
        <f>IF($A190="","",IF(INDEX('潜水記録'!$Q$5:$Q$3004,$AS190)="","",INDEX('潜水記録'!$Q$5:$Q$3004,$AS190)))</f>
        <v/>
      </c>
      <c r="S190" s="14">
        <f>IF($A190="","",IF(INDEX('潜水記録'!$R$5:$R$3004,$AS190)="","",INDEX('潜水記録'!$R$5:$R$3004,$AS190)))</f>
        <v/>
      </c>
      <c r="T190" s="14">
        <f>IF($A190="","",IF(INDEX('潜水記録'!$S$5:$S$3004,$AS190)="","",INDEX('潜水記録'!$S$5:$S$3004,$AS190)))</f>
        <v/>
      </c>
      <c r="U190" s="14">
        <f>IF($A190="","",IF(INDEX('潜水記録'!$T$5:$T$3004,$AS190)="","",INDEX('潜水記録'!$T$5:$T$3004,$AS190)))</f>
        <v/>
      </c>
      <c r="V190" s="46">
        <f>IF($A190="","",IF(INDEX('潜水記録'!$U$5:$U$3004,$AS190)="","",INDEX('潜水記録'!$U$5:$U$3004,$AS190)))</f>
        <v/>
      </c>
      <c r="W190" s="46">
        <f>IF($A190="","",IF(INDEX('潜水記録'!$V$5:$V$3004,$AS190)="","",INDEX('潜水記録'!$V$5:$V$3004,$AS190)))</f>
        <v/>
      </c>
      <c r="X190" s="14">
        <f>IF($A190="","",IF(INDEX('潜水記録'!$W$5:$W$3004,$AS190)="","",INDEX('潜水記録'!$W$5:$W$3004,$AS190)))</f>
        <v/>
      </c>
      <c r="Y190" s="14">
        <f>IF($A190="","",IF(INDEX('潜水記録'!$X$5:$X$3004,$AS190)="","",INDEX('潜水記録'!$X$5:$X$3004,$AS190)))</f>
        <v/>
      </c>
      <c r="Z190" s="14">
        <f>IF($A190="","",IF(INDEX('潜水記録'!$Y$5:$Y$3004,$AS190)="","",INDEX('潜水記録'!$Y$5:$Y$3004,$AS190)))</f>
        <v/>
      </c>
      <c r="AA190" s="14">
        <f>IF($A190="","",IF(INDEX('潜水記録'!$Z$5:$Z$3004,$AS190)="","",INDEX('潜水記録'!$Z$5:$Z$3004,$AS190)))</f>
        <v/>
      </c>
      <c r="AB190" s="14">
        <f>IF($A190="","",IF(INDEX('潜水記録'!$AA$5:$AA$3004,$AS190)="","",INDEX('潜水記録'!$AA$5:$AA$3004,$AS190)))</f>
        <v/>
      </c>
      <c r="AC190" s="14">
        <f>IF($A190="","",IF(INDEX('潜水記録'!$AB$5:$AB$3004,$AS190)="","",INDEX('潜水記録'!$AB$5:$AB$3004,$AS190)))</f>
        <v/>
      </c>
      <c r="AD190" s="14">
        <f>IF($A190="","",IF(INDEX('潜水記録'!$AC$5:$AC$3004,$AS190)="","",INDEX('潜水記録'!$AC$5:$AC$3004,$AS190)))</f>
        <v/>
      </c>
      <c r="AE190" s="14">
        <f>IF($A190="","",IF(INDEX('潜水記録'!$AD$5:$AD$3004,$AS190)="","",INDEX('潜水記録'!$AD$5:$AD$3004,$AS190)))</f>
        <v/>
      </c>
      <c r="AF190" s="14">
        <f>IF($A190="","",IF(INDEX('潜水記録'!$AE$5:$AE$3004,$AS190)="","",INDEX('潜水記録'!$AE$5:$AE$3004,$AS190)))</f>
        <v/>
      </c>
      <c r="AG190" s="14">
        <f>IF($A190="","",IF(INDEX('潜水記録'!$AL$5:$AL$3004,$AS190)="","",INDEX('潜水記録'!$AL$5:$AL$3004,$AS190)))</f>
        <v/>
      </c>
      <c r="AH190" s="14">
        <f>IF($A190="","",IF(INDEX('潜水記録'!$AM$5:$AM$3004,$AS190)="","",INDEX('潜水記録'!$AM$5:$AM$3004,$AS190)))</f>
        <v/>
      </c>
      <c r="AI190" s="46">
        <f>IF($A190="","",IF(INDEX('潜水記録'!$AN$5:$AN$3004,$AS190)="","",INDEX('潜水記録'!$AN$5:$AN$3004,$AS190)))</f>
        <v/>
      </c>
      <c r="AJ190" s="14">
        <f>IF($A190="","",IF(INDEX('潜水記録'!$AO$5:$AO$3004,$AS190)="","",INDEX('潜水記録'!$AO$5:$AO$3004,$AS190)))</f>
        <v/>
      </c>
      <c r="AK190" s="14">
        <f>IF($A190="","",IF(INDEX('潜水記録'!$AP$5:$AP$3004,$AS190)="","",INDEX('潜水記録'!$AP$5:$AP$3004,$AS190)))</f>
        <v/>
      </c>
      <c r="AL190" s="14">
        <f>IF($A190="","",IF(INDEX('潜水記録'!$AQ$5:$AQ$3004,$AS190)="","",INDEX('潜水記録'!$AQ$5:$AQ$3004,$AS190)))</f>
        <v/>
      </c>
      <c r="AM190" s="14">
        <f>IF($A190="","",IF(INDEX('潜水記録'!$AR$5:$AR$3004,$AS190)="","",INDEX('潜水記録'!$AR$5:$AR$3004,$AS190)))</f>
        <v/>
      </c>
      <c r="AN190" s="14">
        <f>IF($A190="","",IF(INDEX('潜水記録'!$AS$5:$AS$3004,$AS190)="","",INDEX('潜水記録'!$AS$5:$AS$3004,$AS190)))</f>
        <v/>
      </c>
      <c r="AO190" s="14">
        <f>IF($A190="","",IF(INDEX('潜水記録'!$AT$5:$AT$3004,$AS190)="","",INDEX('潜水記録'!$AT$5:$AT$3004,$AS190)))</f>
        <v/>
      </c>
      <c r="AP190" s="14">
        <f>IF($A190="","",IF(INDEX('潜水記録'!$AU$5:$AU$3004,$AS190)="","",INDEX('潜水記録'!$AU$5:$AU$3004,$AS190)))</f>
        <v/>
      </c>
      <c r="AQ190" s="14">
        <f>IF($A190="","",IF(INDEX('潜水記録'!$AV$5:$AV$3004,$AS190)="","",INDEX('潜水記録'!$AV$5:$AV$3004,$AS190)))</f>
        <v/>
      </c>
      <c r="AR190" s="14">
        <f>IF($A190="","",IF(INDEX('潜水記録'!$AW$5:$AW$3004,$AS190)="","",INDEX('潜水記録'!$AW$5:$AW$3004,$AS190)))</f>
        <v/>
      </c>
      <c r="AS190" s="20">
        <f>IF($A190="","",MATCH($A190,'潜水記録'!$AI$5:$AI$3004,0))</f>
        <v/>
      </c>
    </row>
    <row r="191">
      <c r="A191" s="14">
        <f>IF(181&lt;=$C$8,181,"")</f>
        <v/>
      </c>
      <c r="B191" s="16">
        <f>IF($A191="","",IF(INDEX('潜水記録'!$A$5:$A$3004,$AS191)="","",INDEX('潜水記録'!$A$5:$A$3004,$AS191)))</f>
        <v/>
      </c>
      <c r="C191" s="14">
        <f>IF($A191="","",IF(INDEX('潜水記録'!$B$5:$B$3004,$AS191)="","",INDEX('潜水記録'!$B$5:$B$3004,$AS191)))</f>
        <v/>
      </c>
      <c r="D191" s="14">
        <f>IF($A191="","",IF(INDEX('潜水記録'!$C$5:$C$3004,$AS191)="","",INDEX('潜水記録'!$C$5:$C$3004,$AS191)))</f>
        <v/>
      </c>
      <c r="E191" s="14">
        <f>IF($A191="","",IF(INDEX('潜水記録'!$D$5:$D$3004,$AS191)="","",INDEX('潜水記録'!$D$5:$D$3004,$AS191)))</f>
        <v/>
      </c>
      <c r="F191" s="14">
        <f>IF($A191="","",IF(INDEX('潜水記録'!$E$5:$E$3004,$AS191)="","",INDEX('潜水記録'!$E$5:$E$3004,$AS191)))</f>
        <v/>
      </c>
      <c r="G191" s="14">
        <f>IF($A191="","",IF(INDEX('潜水記録'!$F$5:$F$3004,$AS191)="","",INDEX('潜水記録'!$F$5:$F$3004,$AS191)))</f>
        <v/>
      </c>
      <c r="H191" s="14">
        <f>IF($A191="","",IF(INDEX('潜水記録'!$G$5:$G$3004,$AS191)="","",INDEX('潜水記録'!$G$5:$G$3004,$AS191)))</f>
        <v/>
      </c>
      <c r="I191" s="14">
        <f>IF($A191="","",IF(INDEX('潜水記録'!$H$5:$H$3004,$AS191)="","",INDEX('潜水記録'!$H$5:$H$3004,$AS191)))</f>
        <v/>
      </c>
      <c r="J191" s="14">
        <f>IF($A191="","",IF(INDEX('潜水記録'!$I$5:$I$3004,$AS191)="","",INDEX('潜水記録'!$I$5:$I$3004,$AS191)))</f>
        <v/>
      </c>
      <c r="K191" s="14">
        <f>IF($A191="","",IF(INDEX('潜水記録'!$J$5:$J$3004,$AS191)="","",INDEX('潜水記録'!$J$5:$J$3004,$AS191)))</f>
        <v/>
      </c>
      <c r="L191" s="14">
        <f>IF($A191="","",IF(INDEX('潜水記録'!$K$5:$K$3004,$AS191)="","",INDEX('潜水記録'!$K$5:$K$3004,$AS191)))</f>
        <v/>
      </c>
      <c r="M191" s="14">
        <f>IF($A191="","",IF(INDEX('潜水記録'!$L$5:$L$3004,$AS191)="","",INDEX('潜水記録'!$L$5:$L$3004,$AS191)))</f>
        <v/>
      </c>
      <c r="N191" s="14">
        <f>IF($A191="","",IF(INDEX('潜水記録'!$M$5:$M$3004,$AS191)="","",INDEX('潜水記録'!$M$5:$M$3004,$AS191)))</f>
        <v/>
      </c>
      <c r="O191" s="14">
        <f>IF($A191="","",IF(INDEX('潜水記録'!$N$5:$N$3004,$AS191)="","",INDEX('潜水記録'!$N$5:$N$3004,$AS191)))</f>
        <v/>
      </c>
      <c r="P191" s="14">
        <f>IF($A191="","",IF(INDEX('潜水記録'!$O$5:$O$3004,$AS191)="","",INDEX('潜水記録'!$O$5:$O$3004,$AS191)))</f>
        <v/>
      </c>
      <c r="Q191" s="14">
        <f>IF($A191="","",IF(INDEX('潜水記録'!$P$5:$P$3004,$AS191)="","",INDEX('潜水記録'!$P$5:$P$3004,$AS191)))</f>
        <v/>
      </c>
      <c r="R191" s="14">
        <f>IF($A191="","",IF(INDEX('潜水記録'!$Q$5:$Q$3004,$AS191)="","",INDEX('潜水記録'!$Q$5:$Q$3004,$AS191)))</f>
        <v/>
      </c>
      <c r="S191" s="14">
        <f>IF($A191="","",IF(INDEX('潜水記録'!$R$5:$R$3004,$AS191)="","",INDEX('潜水記録'!$R$5:$R$3004,$AS191)))</f>
        <v/>
      </c>
      <c r="T191" s="14">
        <f>IF($A191="","",IF(INDEX('潜水記録'!$S$5:$S$3004,$AS191)="","",INDEX('潜水記録'!$S$5:$S$3004,$AS191)))</f>
        <v/>
      </c>
      <c r="U191" s="14">
        <f>IF($A191="","",IF(INDEX('潜水記録'!$T$5:$T$3004,$AS191)="","",INDEX('潜水記録'!$T$5:$T$3004,$AS191)))</f>
        <v/>
      </c>
      <c r="V191" s="46">
        <f>IF($A191="","",IF(INDEX('潜水記録'!$U$5:$U$3004,$AS191)="","",INDEX('潜水記録'!$U$5:$U$3004,$AS191)))</f>
        <v/>
      </c>
      <c r="W191" s="46">
        <f>IF($A191="","",IF(INDEX('潜水記録'!$V$5:$V$3004,$AS191)="","",INDEX('潜水記録'!$V$5:$V$3004,$AS191)))</f>
        <v/>
      </c>
      <c r="X191" s="14">
        <f>IF($A191="","",IF(INDEX('潜水記録'!$W$5:$W$3004,$AS191)="","",INDEX('潜水記録'!$W$5:$W$3004,$AS191)))</f>
        <v/>
      </c>
      <c r="Y191" s="14">
        <f>IF($A191="","",IF(INDEX('潜水記録'!$X$5:$X$3004,$AS191)="","",INDEX('潜水記録'!$X$5:$X$3004,$AS191)))</f>
        <v/>
      </c>
      <c r="Z191" s="14">
        <f>IF($A191="","",IF(INDEX('潜水記録'!$Y$5:$Y$3004,$AS191)="","",INDEX('潜水記録'!$Y$5:$Y$3004,$AS191)))</f>
        <v/>
      </c>
      <c r="AA191" s="14">
        <f>IF($A191="","",IF(INDEX('潜水記録'!$Z$5:$Z$3004,$AS191)="","",INDEX('潜水記録'!$Z$5:$Z$3004,$AS191)))</f>
        <v/>
      </c>
      <c r="AB191" s="14">
        <f>IF($A191="","",IF(INDEX('潜水記録'!$AA$5:$AA$3004,$AS191)="","",INDEX('潜水記録'!$AA$5:$AA$3004,$AS191)))</f>
        <v/>
      </c>
      <c r="AC191" s="14">
        <f>IF($A191="","",IF(INDEX('潜水記録'!$AB$5:$AB$3004,$AS191)="","",INDEX('潜水記録'!$AB$5:$AB$3004,$AS191)))</f>
        <v/>
      </c>
      <c r="AD191" s="14">
        <f>IF($A191="","",IF(INDEX('潜水記録'!$AC$5:$AC$3004,$AS191)="","",INDEX('潜水記録'!$AC$5:$AC$3004,$AS191)))</f>
        <v/>
      </c>
      <c r="AE191" s="14">
        <f>IF($A191="","",IF(INDEX('潜水記録'!$AD$5:$AD$3004,$AS191)="","",INDEX('潜水記録'!$AD$5:$AD$3004,$AS191)))</f>
        <v/>
      </c>
      <c r="AF191" s="14">
        <f>IF($A191="","",IF(INDEX('潜水記録'!$AE$5:$AE$3004,$AS191)="","",INDEX('潜水記録'!$AE$5:$AE$3004,$AS191)))</f>
        <v/>
      </c>
      <c r="AG191" s="14">
        <f>IF($A191="","",IF(INDEX('潜水記録'!$AL$5:$AL$3004,$AS191)="","",INDEX('潜水記録'!$AL$5:$AL$3004,$AS191)))</f>
        <v/>
      </c>
      <c r="AH191" s="14">
        <f>IF($A191="","",IF(INDEX('潜水記録'!$AM$5:$AM$3004,$AS191)="","",INDEX('潜水記録'!$AM$5:$AM$3004,$AS191)))</f>
        <v/>
      </c>
      <c r="AI191" s="46">
        <f>IF($A191="","",IF(INDEX('潜水記録'!$AN$5:$AN$3004,$AS191)="","",INDEX('潜水記録'!$AN$5:$AN$3004,$AS191)))</f>
        <v/>
      </c>
      <c r="AJ191" s="14">
        <f>IF($A191="","",IF(INDEX('潜水記録'!$AO$5:$AO$3004,$AS191)="","",INDEX('潜水記録'!$AO$5:$AO$3004,$AS191)))</f>
        <v/>
      </c>
      <c r="AK191" s="14">
        <f>IF($A191="","",IF(INDEX('潜水記録'!$AP$5:$AP$3004,$AS191)="","",INDEX('潜水記録'!$AP$5:$AP$3004,$AS191)))</f>
        <v/>
      </c>
      <c r="AL191" s="14">
        <f>IF($A191="","",IF(INDEX('潜水記録'!$AQ$5:$AQ$3004,$AS191)="","",INDEX('潜水記録'!$AQ$5:$AQ$3004,$AS191)))</f>
        <v/>
      </c>
      <c r="AM191" s="14">
        <f>IF($A191="","",IF(INDEX('潜水記録'!$AR$5:$AR$3004,$AS191)="","",INDEX('潜水記録'!$AR$5:$AR$3004,$AS191)))</f>
        <v/>
      </c>
      <c r="AN191" s="14">
        <f>IF($A191="","",IF(INDEX('潜水記録'!$AS$5:$AS$3004,$AS191)="","",INDEX('潜水記録'!$AS$5:$AS$3004,$AS191)))</f>
        <v/>
      </c>
      <c r="AO191" s="14">
        <f>IF($A191="","",IF(INDEX('潜水記録'!$AT$5:$AT$3004,$AS191)="","",INDEX('潜水記録'!$AT$5:$AT$3004,$AS191)))</f>
        <v/>
      </c>
      <c r="AP191" s="14">
        <f>IF($A191="","",IF(INDEX('潜水記録'!$AU$5:$AU$3004,$AS191)="","",INDEX('潜水記録'!$AU$5:$AU$3004,$AS191)))</f>
        <v/>
      </c>
      <c r="AQ191" s="14">
        <f>IF($A191="","",IF(INDEX('潜水記録'!$AV$5:$AV$3004,$AS191)="","",INDEX('潜水記録'!$AV$5:$AV$3004,$AS191)))</f>
        <v/>
      </c>
      <c r="AR191" s="14">
        <f>IF($A191="","",IF(INDEX('潜水記録'!$AW$5:$AW$3004,$AS191)="","",INDEX('潜水記録'!$AW$5:$AW$3004,$AS191)))</f>
        <v/>
      </c>
      <c r="AS191" s="20">
        <f>IF($A191="","",MATCH($A191,'潜水記録'!$AI$5:$AI$3004,0))</f>
        <v/>
      </c>
    </row>
    <row r="192">
      <c r="A192" s="14">
        <f>IF(182&lt;=$C$8,182,"")</f>
        <v/>
      </c>
      <c r="B192" s="16">
        <f>IF($A192="","",IF(INDEX('潜水記録'!$A$5:$A$3004,$AS192)="","",INDEX('潜水記録'!$A$5:$A$3004,$AS192)))</f>
        <v/>
      </c>
      <c r="C192" s="14">
        <f>IF($A192="","",IF(INDEX('潜水記録'!$B$5:$B$3004,$AS192)="","",INDEX('潜水記録'!$B$5:$B$3004,$AS192)))</f>
        <v/>
      </c>
      <c r="D192" s="14">
        <f>IF($A192="","",IF(INDEX('潜水記録'!$C$5:$C$3004,$AS192)="","",INDEX('潜水記録'!$C$5:$C$3004,$AS192)))</f>
        <v/>
      </c>
      <c r="E192" s="14">
        <f>IF($A192="","",IF(INDEX('潜水記録'!$D$5:$D$3004,$AS192)="","",INDEX('潜水記録'!$D$5:$D$3004,$AS192)))</f>
        <v/>
      </c>
      <c r="F192" s="14">
        <f>IF($A192="","",IF(INDEX('潜水記録'!$E$5:$E$3004,$AS192)="","",INDEX('潜水記録'!$E$5:$E$3004,$AS192)))</f>
        <v/>
      </c>
      <c r="G192" s="14">
        <f>IF($A192="","",IF(INDEX('潜水記録'!$F$5:$F$3004,$AS192)="","",INDEX('潜水記録'!$F$5:$F$3004,$AS192)))</f>
        <v/>
      </c>
      <c r="H192" s="14">
        <f>IF($A192="","",IF(INDEX('潜水記録'!$G$5:$G$3004,$AS192)="","",INDEX('潜水記録'!$G$5:$G$3004,$AS192)))</f>
        <v/>
      </c>
      <c r="I192" s="14">
        <f>IF($A192="","",IF(INDEX('潜水記録'!$H$5:$H$3004,$AS192)="","",INDEX('潜水記録'!$H$5:$H$3004,$AS192)))</f>
        <v/>
      </c>
      <c r="J192" s="14">
        <f>IF($A192="","",IF(INDEX('潜水記録'!$I$5:$I$3004,$AS192)="","",INDEX('潜水記録'!$I$5:$I$3004,$AS192)))</f>
        <v/>
      </c>
      <c r="K192" s="14">
        <f>IF($A192="","",IF(INDEX('潜水記録'!$J$5:$J$3004,$AS192)="","",INDEX('潜水記録'!$J$5:$J$3004,$AS192)))</f>
        <v/>
      </c>
      <c r="L192" s="14">
        <f>IF($A192="","",IF(INDEX('潜水記録'!$K$5:$K$3004,$AS192)="","",INDEX('潜水記録'!$K$5:$K$3004,$AS192)))</f>
        <v/>
      </c>
      <c r="M192" s="14">
        <f>IF($A192="","",IF(INDEX('潜水記録'!$L$5:$L$3004,$AS192)="","",INDEX('潜水記録'!$L$5:$L$3004,$AS192)))</f>
        <v/>
      </c>
      <c r="N192" s="14">
        <f>IF($A192="","",IF(INDEX('潜水記録'!$M$5:$M$3004,$AS192)="","",INDEX('潜水記録'!$M$5:$M$3004,$AS192)))</f>
        <v/>
      </c>
      <c r="O192" s="14">
        <f>IF($A192="","",IF(INDEX('潜水記録'!$N$5:$N$3004,$AS192)="","",INDEX('潜水記録'!$N$5:$N$3004,$AS192)))</f>
        <v/>
      </c>
      <c r="P192" s="14">
        <f>IF($A192="","",IF(INDEX('潜水記録'!$O$5:$O$3004,$AS192)="","",INDEX('潜水記録'!$O$5:$O$3004,$AS192)))</f>
        <v/>
      </c>
      <c r="Q192" s="14">
        <f>IF($A192="","",IF(INDEX('潜水記録'!$P$5:$P$3004,$AS192)="","",INDEX('潜水記録'!$P$5:$P$3004,$AS192)))</f>
        <v/>
      </c>
      <c r="R192" s="14">
        <f>IF($A192="","",IF(INDEX('潜水記録'!$Q$5:$Q$3004,$AS192)="","",INDEX('潜水記録'!$Q$5:$Q$3004,$AS192)))</f>
        <v/>
      </c>
      <c r="S192" s="14">
        <f>IF($A192="","",IF(INDEX('潜水記録'!$R$5:$R$3004,$AS192)="","",INDEX('潜水記録'!$R$5:$R$3004,$AS192)))</f>
        <v/>
      </c>
      <c r="T192" s="14">
        <f>IF($A192="","",IF(INDEX('潜水記録'!$S$5:$S$3004,$AS192)="","",INDEX('潜水記録'!$S$5:$S$3004,$AS192)))</f>
        <v/>
      </c>
      <c r="U192" s="14">
        <f>IF($A192="","",IF(INDEX('潜水記録'!$T$5:$T$3004,$AS192)="","",INDEX('潜水記録'!$T$5:$T$3004,$AS192)))</f>
        <v/>
      </c>
      <c r="V192" s="46">
        <f>IF($A192="","",IF(INDEX('潜水記録'!$U$5:$U$3004,$AS192)="","",INDEX('潜水記録'!$U$5:$U$3004,$AS192)))</f>
        <v/>
      </c>
      <c r="W192" s="46">
        <f>IF($A192="","",IF(INDEX('潜水記録'!$V$5:$V$3004,$AS192)="","",INDEX('潜水記録'!$V$5:$V$3004,$AS192)))</f>
        <v/>
      </c>
      <c r="X192" s="14">
        <f>IF($A192="","",IF(INDEX('潜水記録'!$W$5:$W$3004,$AS192)="","",INDEX('潜水記録'!$W$5:$W$3004,$AS192)))</f>
        <v/>
      </c>
      <c r="Y192" s="14">
        <f>IF($A192="","",IF(INDEX('潜水記録'!$X$5:$X$3004,$AS192)="","",INDEX('潜水記録'!$X$5:$X$3004,$AS192)))</f>
        <v/>
      </c>
      <c r="Z192" s="14">
        <f>IF($A192="","",IF(INDEX('潜水記録'!$Y$5:$Y$3004,$AS192)="","",INDEX('潜水記録'!$Y$5:$Y$3004,$AS192)))</f>
        <v/>
      </c>
      <c r="AA192" s="14">
        <f>IF($A192="","",IF(INDEX('潜水記録'!$Z$5:$Z$3004,$AS192)="","",INDEX('潜水記録'!$Z$5:$Z$3004,$AS192)))</f>
        <v/>
      </c>
      <c r="AB192" s="14">
        <f>IF($A192="","",IF(INDEX('潜水記録'!$AA$5:$AA$3004,$AS192)="","",INDEX('潜水記録'!$AA$5:$AA$3004,$AS192)))</f>
        <v/>
      </c>
      <c r="AC192" s="14">
        <f>IF($A192="","",IF(INDEX('潜水記録'!$AB$5:$AB$3004,$AS192)="","",INDEX('潜水記録'!$AB$5:$AB$3004,$AS192)))</f>
        <v/>
      </c>
      <c r="AD192" s="14">
        <f>IF($A192="","",IF(INDEX('潜水記録'!$AC$5:$AC$3004,$AS192)="","",INDEX('潜水記録'!$AC$5:$AC$3004,$AS192)))</f>
        <v/>
      </c>
      <c r="AE192" s="14">
        <f>IF($A192="","",IF(INDEX('潜水記録'!$AD$5:$AD$3004,$AS192)="","",INDEX('潜水記録'!$AD$5:$AD$3004,$AS192)))</f>
        <v/>
      </c>
      <c r="AF192" s="14">
        <f>IF($A192="","",IF(INDEX('潜水記録'!$AE$5:$AE$3004,$AS192)="","",INDEX('潜水記録'!$AE$5:$AE$3004,$AS192)))</f>
        <v/>
      </c>
      <c r="AG192" s="14">
        <f>IF($A192="","",IF(INDEX('潜水記録'!$AL$5:$AL$3004,$AS192)="","",INDEX('潜水記録'!$AL$5:$AL$3004,$AS192)))</f>
        <v/>
      </c>
      <c r="AH192" s="14">
        <f>IF($A192="","",IF(INDEX('潜水記録'!$AM$5:$AM$3004,$AS192)="","",INDEX('潜水記録'!$AM$5:$AM$3004,$AS192)))</f>
        <v/>
      </c>
      <c r="AI192" s="46">
        <f>IF($A192="","",IF(INDEX('潜水記録'!$AN$5:$AN$3004,$AS192)="","",INDEX('潜水記録'!$AN$5:$AN$3004,$AS192)))</f>
        <v/>
      </c>
      <c r="AJ192" s="14">
        <f>IF($A192="","",IF(INDEX('潜水記録'!$AO$5:$AO$3004,$AS192)="","",INDEX('潜水記録'!$AO$5:$AO$3004,$AS192)))</f>
        <v/>
      </c>
      <c r="AK192" s="14">
        <f>IF($A192="","",IF(INDEX('潜水記録'!$AP$5:$AP$3004,$AS192)="","",INDEX('潜水記録'!$AP$5:$AP$3004,$AS192)))</f>
        <v/>
      </c>
      <c r="AL192" s="14">
        <f>IF($A192="","",IF(INDEX('潜水記録'!$AQ$5:$AQ$3004,$AS192)="","",INDEX('潜水記録'!$AQ$5:$AQ$3004,$AS192)))</f>
        <v/>
      </c>
      <c r="AM192" s="14">
        <f>IF($A192="","",IF(INDEX('潜水記録'!$AR$5:$AR$3004,$AS192)="","",INDEX('潜水記録'!$AR$5:$AR$3004,$AS192)))</f>
        <v/>
      </c>
      <c r="AN192" s="14">
        <f>IF($A192="","",IF(INDEX('潜水記録'!$AS$5:$AS$3004,$AS192)="","",INDEX('潜水記録'!$AS$5:$AS$3004,$AS192)))</f>
        <v/>
      </c>
      <c r="AO192" s="14">
        <f>IF($A192="","",IF(INDEX('潜水記録'!$AT$5:$AT$3004,$AS192)="","",INDEX('潜水記録'!$AT$5:$AT$3004,$AS192)))</f>
        <v/>
      </c>
      <c r="AP192" s="14">
        <f>IF($A192="","",IF(INDEX('潜水記録'!$AU$5:$AU$3004,$AS192)="","",INDEX('潜水記録'!$AU$5:$AU$3004,$AS192)))</f>
        <v/>
      </c>
      <c r="AQ192" s="14">
        <f>IF($A192="","",IF(INDEX('潜水記録'!$AV$5:$AV$3004,$AS192)="","",INDEX('潜水記録'!$AV$5:$AV$3004,$AS192)))</f>
        <v/>
      </c>
      <c r="AR192" s="14">
        <f>IF($A192="","",IF(INDEX('潜水記録'!$AW$5:$AW$3004,$AS192)="","",INDEX('潜水記録'!$AW$5:$AW$3004,$AS192)))</f>
        <v/>
      </c>
      <c r="AS192" s="20">
        <f>IF($A192="","",MATCH($A192,'潜水記録'!$AI$5:$AI$3004,0))</f>
        <v/>
      </c>
    </row>
    <row r="193">
      <c r="A193" s="14">
        <f>IF(183&lt;=$C$8,183,"")</f>
        <v/>
      </c>
      <c r="B193" s="16">
        <f>IF($A193="","",IF(INDEX('潜水記録'!$A$5:$A$3004,$AS193)="","",INDEX('潜水記録'!$A$5:$A$3004,$AS193)))</f>
        <v/>
      </c>
      <c r="C193" s="14">
        <f>IF($A193="","",IF(INDEX('潜水記録'!$B$5:$B$3004,$AS193)="","",INDEX('潜水記録'!$B$5:$B$3004,$AS193)))</f>
        <v/>
      </c>
      <c r="D193" s="14">
        <f>IF($A193="","",IF(INDEX('潜水記録'!$C$5:$C$3004,$AS193)="","",INDEX('潜水記録'!$C$5:$C$3004,$AS193)))</f>
        <v/>
      </c>
      <c r="E193" s="14">
        <f>IF($A193="","",IF(INDEX('潜水記録'!$D$5:$D$3004,$AS193)="","",INDEX('潜水記録'!$D$5:$D$3004,$AS193)))</f>
        <v/>
      </c>
      <c r="F193" s="14">
        <f>IF($A193="","",IF(INDEX('潜水記録'!$E$5:$E$3004,$AS193)="","",INDEX('潜水記録'!$E$5:$E$3004,$AS193)))</f>
        <v/>
      </c>
      <c r="G193" s="14">
        <f>IF($A193="","",IF(INDEX('潜水記録'!$F$5:$F$3004,$AS193)="","",INDEX('潜水記録'!$F$5:$F$3004,$AS193)))</f>
        <v/>
      </c>
      <c r="H193" s="14">
        <f>IF($A193="","",IF(INDEX('潜水記録'!$G$5:$G$3004,$AS193)="","",INDEX('潜水記録'!$G$5:$G$3004,$AS193)))</f>
        <v/>
      </c>
      <c r="I193" s="14">
        <f>IF($A193="","",IF(INDEX('潜水記録'!$H$5:$H$3004,$AS193)="","",INDEX('潜水記録'!$H$5:$H$3004,$AS193)))</f>
        <v/>
      </c>
      <c r="J193" s="14">
        <f>IF($A193="","",IF(INDEX('潜水記録'!$I$5:$I$3004,$AS193)="","",INDEX('潜水記録'!$I$5:$I$3004,$AS193)))</f>
        <v/>
      </c>
      <c r="K193" s="14">
        <f>IF($A193="","",IF(INDEX('潜水記録'!$J$5:$J$3004,$AS193)="","",INDEX('潜水記録'!$J$5:$J$3004,$AS193)))</f>
        <v/>
      </c>
      <c r="L193" s="14">
        <f>IF($A193="","",IF(INDEX('潜水記録'!$K$5:$K$3004,$AS193)="","",INDEX('潜水記録'!$K$5:$K$3004,$AS193)))</f>
        <v/>
      </c>
      <c r="M193" s="14">
        <f>IF($A193="","",IF(INDEX('潜水記録'!$L$5:$L$3004,$AS193)="","",INDEX('潜水記録'!$L$5:$L$3004,$AS193)))</f>
        <v/>
      </c>
      <c r="N193" s="14">
        <f>IF($A193="","",IF(INDEX('潜水記録'!$M$5:$M$3004,$AS193)="","",INDEX('潜水記録'!$M$5:$M$3004,$AS193)))</f>
        <v/>
      </c>
      <c r="O193" s="14">
        <f>IF($A193="","",IF(INDEX('潜水記録'!$N$5:$N$3004,$AS193)="","",INDEX('潜水記録'!$N$5:$N$3004,$AS193)))</f>
        <v/>
      </c>
      <c r="P193" s="14">
        <f>IF($A193="","",IF(INDEX('潜水記録'!$O$5:$O$3004,$AS193)="","",INDEX('潜水記録'!$O$5:$O$3004,$AS193)))</f>
        <v/>
      </c>
      <c r="Q193" s="14">
        <f>IF($A193="","",IF(INDEX('潜水記録'!$P$5:$P$3004,$AS193)="","",INDEX('潜水記録'!$P$5:$P$3004,$AS193)))</f>
        <v/>
      </c>
      <c r="R193" s="14">
        <f>IF($A193="","",IF(INDEX('潜水記録'!$Q$5:$Q$3004,$AS193)="","",INDEX('潜水記録'!$Q$5:$Q$3004,$AS193)))</f>
        <v/>
      </c>
      <c r="S193" s="14">
        <f>IF($A193="","",IF(INDEX('潜水記録'!$R$5:$R$3004,$AS193)="","",INDEX('潜水記録'!$R$5:$R$3004,$AS193)))</f>
        <v/>
      </c>
      <c r="T193" s="14">
        <f>IF($A193="","",IF(INDEX('潜水記録'!$S$5:$S$3004,$AS193)="","",INDEX('潜水記録'!$S$5:$S$3004,$AS193)))</f>
        <v/>
      </c>
      <c r="U193" s="14">
        <f>IF($A193="","",IF(INDEX('潜水記録'!$T$5:$T$3004,$AS193)="","",INDEX('潜水記録'!$T$5:$T$3004,$AS193)))</f>
        <v/>
      </c>
      <c r="V193" s="46">
        <f>IF($A193="","",IF(INDEX('潜水記録'!$U$5:$U$3004,$AS193)="","",INDEX('潜水記録'!$U$5:$U$3004,$AS193)))</f>
        <v/>
      </c>
      <c r="W193" s="46">
        <f>IF($A193="","",IF(INDEX('潜水記録'!$V$5:$V$3004,$AS193)="","",INDEX('潜水記録'!$V$5:$V$3004,$AS193)))</f>
        <v/>
      </c>
      <c r="X193" s="14">
        <f>IF($A193="","",IF(INDEX('潜水記録'!$W$5:$W$3004,$AS193)="","",INDEX('潜水記録'!$W$5:$W$3004,$AS193)))</f>
        <v/>
      </c>
      <c r="Y193" s="14">
        <f>IF($A193="","",IF(INDEX('潜水記録'!$X$5:$X$3004,$AS193)="","",INDEX('潜水記録'!$X$5:$X$3004,$AS193)))</f>
        <v/>
      </c>
      <c r="Z193" s="14">
        <f>IF($A193="","",IF(INDEX('潜水記録'!$Y$5:$Y$3004,$AS193)="","",INDEX('潜水記録'!$Y$5:$Y$3004,$AS193)))</f>
        <v/>
      </c>
      <c r="AA193" s="14">
        <f>IF($A193="","",IF(INDEX('潜水記録'!$Z$5:$Z$3004,$AS193)="","",INDEX('潜水記録'!$Z$5:$Z$3004,$AS193)))</f>
        <v/>
      </c>
      <c r="AB193" s="14">
        <f>IF($A193="","",IF(INDEX('潜水記録'!$AA$5:$AA$3004,$AS193)="","",INDEX('潜水記録'!$AA$5:$AA$3004,$AS193)))</f>
        <v/>
      </c>
      <c r="AC193" s="14">
        <f>IF($A193="","",IF(INDEX('潜水記録'!$AB$5:$AB$3004,$AS193)="","",INDEX('潜水記録'!$AB$5:$AB$3004,$AS193)))</f>
        <v/>
      </c>
      <c r="AD193" s="14">
        <f>IF($A193="","",IF(INDEX('潜水記録'!$AC$5:$AC$3004,$AS193)="","",INDEX('潜水記録'!$AC$5:$AC$3004,$AS193)))</f>
        <v/>
      </c>
      <c r="AE193" s="14">
        <f>IF($A193="","",IF(INDEX('潜水記録'!$AD$5:$AD$3004,$AS193)="","",INDEX('潜水記録'!$AD$5:$AD$3004,$AS193)))</f>
        <v/>
      </c>
      <c r="AF193" s="14">
        <f>IF($A193="","",IF(INDEX('潜水記録'!$AE$5:$AE$3004,$AS193)="","",INDEX('潜水記録'!$AE$5:$AE$3004,$AS193)))</f>
        <v/>
      </c>
      <c r="AG193" s="14">
        <f>IF($A193="","",IF(INDEX('潜水記録'!$AL$5:$AL$3004,$AS193)="","",INDEX('潜水記録'!$AL$5:$AL$3004,$AS193)))</f>
        <v/>
      </c>
      <c r="AH193" s="14">
        <f>IF($A193="","",IF(INDEX('潜水記録'!$AM$5:$AM$3004,$AS193)="","",INDEX('潜水記録'!$AM$5:$AM$3004,$AS193)))</f>
        <v/>
      </c>
      <c r="AI193" s="46">
        <f>IF($A193="","",IF(INDEX('潜水記録'!$AN$5:$AN$3004,$AS193)="","",INDEX('潜水記録'!$AN$5:$AN$3004,$AS193)))</f>
        <v/>
      </c>
      <c r="AJ193" s="14">
        <f>IF($A193="","",IF(INDEX('潜水記録'!$AO$5:$AO$3004,$AS193)="","",INDEX('潜水記録'!$AO$5:$AO$3004,$AS193)))</f>
        <v/>
      </c>
      <c r="AK193" s="14">
        <f>IF($A193="","",IF(INDEX('潜水記録'!$AP$5:$AP$3004,$AS193)="","",INDEX('潜水記録'!$AP$5:$AP$3004,$AS193)))</f>
        <v/>
      </c>
      <c r="AL193" s="14">
        <f>IF($A193="","",IF(INDEX('潜水記録'!$AQ$5:$AQ$3004,$AS193)="","",INDEX('潜水記録'!$AQ$5:$AQ$3004,$AS193)))</f>
        <v/>
      </c>
      <c r="AM193" s="14">
        <f>IF($A193="","",IF(INDEX('潜水記録'!$AR$5:$AR$3004,$AS193)="","",INDEX('潜水記録'!$AR$5:$AR$3004,$AS193)))</f>
        <v/>
      </c>
      <c r="AN193" s="14">
        <f>IF($A193="","",IF(INDEX('潜水記録'!$AS$5:$AS$3004,$AS193)="","",INDEX('潜水記録'!$AS$5:$AS$3004,$AS193)))</f>
        <v/>
      </c>
      <c r="AO193" s="14">
        <f>IF($A193="","",IF(INDEX('潜水記録'!$AT$5:$AT$3004,$AS193)="","",INDEX('潜水記録'!$AT$5:$AT$3004,$AS193)))</f>
        <v/>
      </c>
      <c r="AP193" s="14">
        <f>IF($A193="","",IF(INDEX('潜水記録'!$AU$5:$AU$3004,$AS193)="","",INDEX('潜水記録'!$AU$5:$AU$3004,$AS193)))</f>
        <v/>
      </c>
      <c r="AQ193" s="14">
        <f>IF($A193="","",IF(INDEX('潜水記録'!$AV$5:$AV$3004,$AS193)="","",INDEX('潜水記録'!$AV$5:$AV$3004,$AS193)))</f>
        <v/>
      </c>
      <c r="AR193" s="14">
        <f>IF($A193="","",IF(INDEX('潜水記録'!$AW$5:$AW$3004,$AS193)="","",INDEX('潜水記録'!$AW$5:$AW$3004,$AS193)))</f>
        <v/>
      </c>
      <c r="AS193" s="20">
        <f>IF($A193="","",MATCH($A193,'潜水記録'!$AI$5:$AI$3004,0))</f>
        <v/>
      </c>
    </row>
    <row r="194">
      <c r="A194" s="14">
        <f>IF(184&lt;=$C$8,184,"")</f>
        <v/>
      </c>
      <c r="B194" s="16">
        <f>IF($A194="","",IF(INDEX('潜水記録'!$A$5:$A$3004,$AS194)="","",INDEX('潜水記録'!$A$5:$A$3004,$AS194)))</f>
        <v/>
      </c>
      <c r="C194" s="14">
        <f>IF($A194="","",IF(INDEX('潜水記録'!$B$5:$B$3004,$AS194)="","",INDEX('潜水記録'!$B$5:$B$3004,$AS194)))</f>
        <v/>
      </c>
      <c r="D194" s="14">
        <f>IF($A194="","",IF(INDEX('潜水記録'!$C$5:$C$3004,$AS194)="","",INDEX('潜水記録'!$C$5:$C$3004,$AS194)))</f>
        <v/>
      </c>
      <c r="E194" s="14">
        <f>IF($A194="","",IF(INDEX('潜水記録'!$D$5:$D$3004,$AS194)="","",INDEX('潜水記録'!$D$5:$D$3004,$AS194)))</f>
        <v/>
      </c>
      <c r="F194" s="14">
        <f>IF($A194="","",IF(INDEX('潜水記録'!$E$5:$E$3004,$AS194)="","",INDEX('潜水記録'!$E$5:$E$3004,$AS194)))</f>
        <v/>
      </c>
      <c r="G194" s="14">
        <f>IF($A194="","",IF(INDEX('潜水記録'!$F$5:$F$3004,$AS194)="","",INDEX('潜水記録'!$F$5:$F$3004,$AS194)))</f>
        <v/>
      </c>
      <c r="H194" s="14">
        <f>IF($A194="","",IF(INDEX('潜水記録'!$G$5:$G$3004,$AS194)="","",INDEX('潜水記録'!$G$5:$G$3004,$AS194)))</f>
        <v/>
      </c>
      <c r="I194" s="14">
        <f>IF($A194="","",IF(INDEX('潜水記録'!$H$5:$H$3004,$AS194)="","",INDEX('潜水記録'!$H$5:$H$3004,$AS194)))</f>
        <v/>
      </c>
      <c r="J194" s="14">
        <f>IF($A194="","",IF(INDEX('潜水記録'!$I$5:$I$3004,$AS194)="","",INDEX('潜水記録'!$I$5:$I$3004,$AS194)))</f>
        <v/>
      </c>
      <c r="K194" s="14">
        <f>IF($A194="","",IF(INDEX('潜水記録'!$J$5:$J$3004,$AS194)="","",INDEX('潜水記録'!$J$5:$J$3004,$AS194)))</f>
        <v/>
      </c>
      <c r="L194" s="14">
        <f>IF($A194="","",IF(INDEX('潜水記録'!$K$5:$K$3004,$AS194)="","",INDEX('潜水記録'!$K$5:$K$3004,$AS194)))</f>
        <v/>
      </c>
      <c r="M194" s="14">
        <f>IF($A194="","",IF(INDEX('潜水記録'!$L$5:$L$3004,$AS194)="","",INDEX('潜水記録'!$L$5:$L$3004,$AS194)))</f>
        <v/>
      </c>
      <c r="N194" s="14">
        <f>IF($A194="","",IF(INDEX('潜水記録'!$M$5:$M$3004,$AS194)="","",INDEX('潜水記録'!$M$5:$M$3004,$AS194)))</f>
        <v/>
      </c>
      <c r="O194" s="14">
        <f>IF($A194="","",IF(INDEX('潜水記録'!$N$5:$N$3004,$AS194)="","",INDEX('潜水記録'!$N$5:$N$3004,$AS194)))</f>
        <v/>
      </c>
      <c r="P194" s="14">
        <f>IF($A194="","",IF(INDEX('潜水記録'!$O$5:$O$3004,$AS194)="","",INDEX('潜水記録'!$O$5:$O$3004,$AS194)))</f>
        <v/>
      </c>
      <c r="Q194" s="14">
        <f>IF($A194="","",IF(INDEX('潜水記録'!$P$5:$P$3004,$AS194)="","",INDEX('潜水記録'!$P$5:$P$3004,$AS194)))</f>
        <v/>
      </c>
      <c r="R194" s="14">
        <f>IF($A194="","",IF(INDEX('潜水記録'!$Q$5:$Q$3004,$AS194)="","",INDEX('潜水記録'!$Q$5:$Q$3004,$AS194)))</f>
        <v/>
      </c>
      <c r="S194" s="14">
        <f>IF($A194="","",IF(INDEX('潜水記録'!$R$5:$R$3004,$AS194)="","",INDEX('潜水記録'!$R$5:$R$3004,$AS194)))</f>
        <v/>
      </c>
      <c r="T194" s="14">
        <f>IF($A194="","",IF(INDEX('潜水記録'!$S$5:$S$3004,$AS194)="","",INDEX('潜水記録'!$S$5:$S$3004,$AS194)))</f>
        <v/>
      </c>
      <c r="U194" s="14">
        <f>IF($A194="","",IF(INDEX('潜水記録'!$T$5:$T$3004,$AS194)="","",INDEX('潜水記録'!$T$5:$T$3004,$AS194)))</f>
        <v/>
      </c>
      <c r="V194" s="46">
        <f>IF($A194="","",IF(INDEX('潜水記録'!$U$5:$U$3004,$AS194)="","",INDEX('潜水記録'!$U$5:$U$3004,$AS194)))</f>
        <v/>
      </c>
      <c r="W194" s="46">
        <f>IF($A194="","",IF(INDEX('潜水記録'!$V$5:$V$3004,$AS194)="","",INDEX('潜水記録'!$V$5:$V$3004,$AS194)))</f>
        <v/>
      </c>
      <c r="X194" s="14">
        <f>IF($A194="","",IF(INDEX('潜水記録'!$W$5:$W$3004,$AS194)="","",INDEX('潜水記録'!$W$5:$W$3004,$AS194)))</f>
        <v/>
      </c>
      <c r="Y194" s="14">
        <f>IF($A194="","",IF(INDEX('潜水記録'!$X$5:$X$3004,$AS194)="","",INDEX('潜水記録'!$X$5:$X$3004,$AS194)))</f>
        <v/>
      </c>
      <c r="Z194" s="14">
        <f>IF($A194="","",IF(INDEX('潜水記録'!$Y$5:$Y$3004,$AS194)="","",INDEX('潜水記録'!$Y$5:$Y$3004,$AS194)))</f>
        <v/>
      </c>
      <c r="AA194" s="14">
        <f>IF($A194="","",IF(INDEX('潜水記録'!$Z$5:$Z$3004,$AS194)="","",INDEX('潜水記録'!$Z$5:$Z$3004,$AS194)))</f>
        <v/>
      </c>
      <c r="AB194" s="14">
        <f>IF($A194="","",IF(INDEX('潜水記録'!$AA$5:$AA$3004,$AS194)="","",INDEX('潜水記録'!$AA$5:$AA$3004,$AS194)))</f>
        <v/>
      </c>
      <c r="AC194" s="14">
        <f>IF($A194="","",IF(INDEX('潜水記録'!$AB$5:$AB$3004,$AS194)="","",INDEX('潜水記録'!$AB$5:$AB$3004,$AS194)))</f>
        <v/>
      </c>
      <c r="AD194" s="14">
        <f>IF($A194="","",IF(INDEX('潜水記録'!$AC$5:$AC$3004,$AS194)="","",INDEX('潜水記録'!$AC$5:$AC$3004,$AS194)))</f>
        <v/>
      </c>
      <c r="AE194" s="14">
        <f>IF($A194="","",IF(INDEX('潜水記録'!$AD$5:$AD$3004,$AS194)="","",INDEX('潜水記録'!$AD$5:$AD$3004,$AS194)))</f>
        <v/>
      </c>
      <c r="AF194" s="14">
        <f>IF($A194="","",IF(INDEX('潜水記録'!$AE$5:$AE$3004,$AS194)="","",INDEX('潜水記録'!$AE$5:$AE$3004,$AS194)))</f>
        <v/>
      </c>
      <c r="AG194" s="14">
        <f>IF($A194="","",IF(INDEX('潜水記録'!$AL$5:$AL$3004,$AS194)="","",INDEX('潜水記録'!$AL$5:$AL$3004,$AS194)))</f>
        <v/>
      </c>
      <c r="AH194" s="14">
        <f>IF($A194="","",IF(INDEX('潜水記録'!$AM$5:$AM$3004,$AS194)="","",INDEX('潜水記録'!$AM$5:$AM$3004,$AS194)))</f>
        <v/>
      </c>
      <c r="AI194" s="46">
        <f>IF($A194="","",IF(INDEX('潜水記録'!$AN$5:$AN$3004,$AS194)="","",INDEX('潜水記録'!$AN$5:$AN$3004,$AS194)))</f>
        <v/>
      </c>
      <c r="AJ194" s="14">
        <f>IF($A194="","",IF(INDEX('潜水記録'!$AO$5:$AO$3004,$AS194)="","",INDEX('潜水記録'!$AO$5:$AO$3004,$AS194)))</f>
        <v/>
      </c>
      <c r="AK194" s="14">
        <f>IF($A194="","",IF(INDEX('潜水記録'!$AP$5:$AP$3004,$AS194)="","",INDEX('潜水記録'!$AP$5:$AP$3004,$AS194)))</f>
        <v/>
      </c>
      <c r="AL194" s="14">
        <f>IF($A194="","",IF(INDEX('潜水記録'!$AQ$5:$AQ$3004,$AS194)="","",INDEX('潜水記録'!$AQ$5:$AQ$3004,$AS194)))</f>
        <v/>
      </c>
      <c r="AM194" s="14">
        <f>IF($A194="","",IF(INDEX('潜水記録'!$AR$5:$AR$3004,$AS194)="","",INDEX('潜水記録'!$AR$5:$AR$3004,$AS194)))</f>
        <v/>
      </c>
      <c r="AN194" s="14">
        <f>IF($A194="","",IF(INDEX('潜水記録'!$AS$5:$AS$3004,$AS194)="","",INDEX('潜水記録'!$AS$5:$AS$3004,$AS194)))</f>
        <v/>
      </c>
      <c r="AO194" s="14">
        <f>IF($A194="","",IF(INDEX('潜水記録'!$AT$5:$AT$3004,$AS194)="","",INDEX('潜水記録'!$AT$5:$AT$3004,$AS194)))</f>
        <v/>
      </c>
      <c r="AP194" s="14">
        <f>IF($A194="","",IF(INDEX('潜水記録'!$AU$5:$AU$3004,$AS194)="","",INDEX('潜水記録'!$AU$5:$AU$3004,$AS194)))</f>
        <v/>
      </c>
      <c r="AQ194" s="14">
        <f>IF($A194="","",IF(INDEX('潜水記録'!$AV$5:$AV$3004,$AS194)="","",INDEX('潜水記録'!$AV$5:$AV$3004,$AS194)))</f>
        <v/>
      </c>
      <c r="AR194" s="14">
        <f>IF($A194="","",IF(INDEX('潜水記録'!$AW$5:$AW$3004,$AS194)="","",INDEX('潜水記録'!$AW$5:$AW$3004,$AS194)))</f>
        <v/>
      </c>
      <c r="AS194" s="20">
        <f>IF($A194="","",MATCH($A194,'潜水記録'!$AI$5:$AI$3004,0))</f>
        <v/>
      </c>
    </row>
    <row r="195">
      <c r="A195" s="14">
        <f>IF(185&lt;=$C$8,185,"")</f>
        <v/>
      </c>
      <c r="B195" s="16">
        <f>IF($A195="","",IF(INDEX('潜水記録'!$A$5:$A$3004,$AS195)="","",INDEX('潜水記録'!$A$5:$A$3004,$AS195)))</f>
        <v/>
      </c>
      <c r="C195" s="14">
        <f>IF($A195="","",IF(INDEX('潜水記録'!$B$5:$B$3004,$AS195)="","",INDEX('潜水記録'!$B$5:$B$3004,$AS195)))</f>
        <v/>
      </c>
      <c r="D195" s="14">
        <f>IF($A195="","",IF(INDEX('潜水記録'!$C$5:$C$3004,$AS195)="","",INDEX('潜水記録'!$C$5:$C$3004,$AS195)))</f>
        <v/>
      </c>
      <c r="E195" s="14">
        <f>IF($A195="","",IF(INDEX('潜水記録'!$D$5:$D$3004,$AS195)="","",INDEX('潜水記録'!$D$5:$D$3004,$AS195)))</f>
        <v/>
      </c>
      <c r="F195" s="14">
        <f>IF($A195="","",IF(INDEX('潜水記録'!$E$5:$E$3004,$AS195)="","",INDEX('潜水記録'!$E$5:$E$3004,$AS195)))</f>
        <v/>
      </c>
      <c r="G195" s="14">
        <f>IF($A195="","",IF(INDEX('潜水記録'!$F$5:$F$3004,$AS195)="","",INDEX('潜水記録'!$F$5:$F$3004,$AS195)))</f>
        <v/>
      </c>
      <c r="H195" s="14">
        <f>IF($A195="","",IF(INDEX('潜水記録'!$G$5:$G$3004,$AS195)="","",INDEX('潜水記録'!$G$5:$G$3004,$AS195)))</f>
        <v/>
      </c>
      <c r="I195" s="14">
        <f>IF($A195="","",IF(INDEX('潜水記録'!$H$5:$H$3004,$AS195)="","",INDEX('潜水記録'!$H$5:$H$3004,$AS195)))</f>
        <v/>
      </c>
      <c r="J195" s="14">
        <f>IF($A195="","",IF(INDEX('潜水記録'!$I$5:$I$3004,$AS195)="","",INDEX('潜水記録'!$I$5:$I$3004,$AS195)))</f>
        <v/>
      </c>
      <c r="K195" s="14">
        <f>IF($A195="","",IF(INDEX('潜水記録'!$J$5:$J$3004,$AS195)="","",INDEX('潜水記録'!$J$5:$J$3004,$AS195)))</f>
        <v/>
      </c>
      <c r="L195" s="14">
        <f>IF($A195="","",IF(INDEX('潜水記録'!$K$5:$K$3004,$AS195)="","",INDEX('潜水記録'!$K$5:$K$3004,$AS195)))</f>
        <v/>
      </c>
      <c r="M195" s="14">
        <f>IF($A195="","",IF(INDEX('潜水記録'!$L$5:$L$3004,$AS195)="","",INDEX('潜水記録'!$L$5:$L$3004,$AS195)))</f>
        <v/>
      </c>
      <c r="N195" s="14">
        <f>IF($A195="","",IF(INDEX('潜水記録'!$M$5:$M$3004,$AS195)="","",INDEX('潜水記録'!$M$5:$M$3004,$AS195)))</f>
        <v/>
      </c>
      <c r="O195" s="14">
        <f>IF($A195="","",IF(INDEX('潜水記録'!$N$5:$N$3004,$AS195)="","",INDEX('潜水記録'!$N$5:$N$3004,$AS195)))</f>
        <v/>
      </c>
      <c r="P195" s="14">
        <f>IF($A195="","",IF(INDEX('潜水記録'!$O$5:$O$3004,$AS195)="","",INDEX('潜水記録'!$O$5:$O$3004,$AS195)))</f>
        <v/>
      </c>
      <c r="Q195" s="14">
        <f>IF($A195="","",IF(INDEX('潜水記録'!$P$5:$P$3004,$AS195)="","",INDEX('潜水記録'!$P$5:$P$3004,$AS195)))</f>
        <v/>
      </c>
      <c r="R195" s="14">
        <f>IF($A195="","",IF(INDEX('潜水記録'!$Q$5:$Q$3004,$AS195)="","",INDEX('潜水記録'!$Q$5:$Q$3004,$AS195)))</f>
        <v/>
      </c>
      <c r="S195" s="14">
        <f>IF($A195="","",IF(INDEX('潜水記録'!$R$5:$R$3004,$AS195)="","",INDEX('潜水記録'!$R$5:$R$3004,$AS195)))</f>
        <v/>
      </c>
      <c r="T195" s="14">
        <f>IF($A195="","",IF(INDEX('潜水記録'!$S$5:$S$3004,$AS195)="","",INDEX('潜水記録'!$S$5:$S$3004,$AS195)))</f>
        <v/>
      </c>
      <c r="U195" s="14">
        <f>IF($A195="","",IF(INDEX('潜水記録'!$T$5:$T$3004,$AS195)="","",INDEX('潜水記録'!$T$5:$T$3004,$AS195)))</f>
        <v/>
      </c>
      <c r="V195" s="46">
        <f>IF($A195="","",IF(INDEX('潜水記録'!$U$5:$U$3004,$AS195)="","",INDEX('潜水記録'!$U$5:$U$3004,$AS195)))</f>
        <v/>
      </c>
      <c r="W195" s="46">
        <f>IF($A195="","",IF(INDEX('潜水記録'!$V$5:$V$3004,$AS195)="","",INDEX('潜水記録'!$V$5:$V$3004,$AS195)))</f>
        <v/>
      </c>
      <c r="X195" s="14">
        <f>IF($A195="","",IF(INDEX('潜水記録'!$W$5:$W$3004,$AS195)="","",INDEX('潜水記録'!$W$5:$W$3004,$AS195)))</f>
        <v/>
      </c>
      <c r="Y195" s="14">
        <f>IF($A195="","",IF(INDEX('潜水記録'!$X$5:$X$3004,$AS195)="","",INDEX('潜水記録'!$X$5:$X$3004,$AS195)))</f>
        <v/>
      </c>
      <c r="Z195" s="14">
        <f>IF($A195="","",IF(INDEX('潜水記録'!$Y$5:$Y$3004,$AS195)="","",INDEX('潜水記録'!$Y$5:$Y$3004,$AS195)))</f>
        <v/>
      </c>
      <c r="AA195" s="14">
        <f>IF($A195="","",IF(INDEX('潜水記録'!$Z$5:$Z$3004,$AS195)="","",INDEX('潜水記録'!$Z$5:$Z$3004,$AS195)))</f>
        <v/>
      </c>
      <c r="AB195" s="14">
        <f>IF($A195="","",IF(INDEX('潜水記録'!$AA$5:$AA$3004,$AS195)="","",INDEX('潜水記録'!$AA$5:$AA$3004,$AS195)))</f>
        <v/>
      </c>
      <c r="AC195" s="14">
        <f>IF($A195="","",IF(INDEX('潜水記録'!$AB$5:$AB$3004,$AS195)="","",INDEX('潜水記録'!$AB$5:$AB$3004,$AS195)))</f>
        <v/>
      </c>
      <c r="AD195" s="14">
        <f>IF($A195="","",IF(INDEX('潜水記録'!$AC$5:$AC$3004,$AS195)="","",INDEX('潜水記録'!$AC$5:$AC$3004,$AS195)))</f>
        <v/>
      </c>
      <c r="AE195" s="14">
        <f>IF($A195="","",IF(INDEX('潜水記録'!$AD$5:$AD$3004,$AS195)="","",INDEX('潜水記録'!$AD$5:$AD$3004,$AS195)))</f>
        <v/>
      </c>
      <c r="AF195" s="14">
        <f>IF($A195="","",IF(INDEX('潜水記録'!$AE$5:$AE$3004,$AS195)="","",INDEX('潜水記録'!$AE$5:$AE$3004,$AS195)))</f>
        <v/>
      </c>
      <c r="AG195" s="14">
        <f>IF($A195="","",IF(INDEX('潜水記録'!$AL$5:$AL$3004,$AS195)="","",INDEX('潜水記録'!$AL$5:$AL$3004,$AS195)))</f>
        <v/>
      </c>
      <c r="AH195" s="14">
        <f>IF($A195="","",IF(INDEX('潜水記録'!$AM$5:$AM$3004,$AS195)="","",INDEX('潜水記録'!$AM$5:$AM$3004,$AS195)))</f>
        <v/>
      </c>
      <c r="AI195" s="46">
        <f>IF($A195="","",IF(INDEX('潜水記録'!$AN$5:$AN$3004,$AS195)="","",INDEX('潜水記録'!$AN$5:$AN$3004,$AS195)))</f>
        <v/>
      </c>
      <c r="AJ195" s="14">
        <f>IF($A195="","",IF(INDEX('潜水記録'!$AO$5:$AO$3004,$AS195)="","",INDEX('潜水記録'!$AO$5:$AO$3004,$AS195)))</f>
        <v/>
      </c>
      <c r="AK195" s="14">
        <f>IF($A195="","",IF(INDEX('潜水記録'!$AP$5:$AP$3004,$AS195)="","",INDEX('潜水記録'!$AP$5:$AP$3004,$AS195)))</f>
        <v/>
      </c>
      <c r="AL195" s="14">
        <f>IF($A195="","",IF(INDEX('潜水記録'!$AQ$5:$AQ$3004,$AS195)="","",INDEX('潜水記録'!$AQ$5:$AQ$3004,$AS195)))</f>
        <v/>
      </c>
      <c r="AM195" s="14">
        <f>IF($A195="","",IF(INDEX('潜水記録'!$AR$5:$AR$3004,$AS195)="","",INDEX('潜水記録'!$AR$5:$AR$3004,$AS195)))</f>
        <v/>
      </c>
      <c r="AN195" s="14">
        <f>IF($A195="","",IF(INDEX('潜水記録'!$AS$5:$AS$3004,$AS195)="","",INDEX('潜水記録'!$AS$5:$AS$3004,$AS195)))</f>
        <v/>
      </c>
      <c r="AO195" s="14">
        <f>IF($A195="","",IF(INDEX('潜水記録'!$AT$5:$AT$3004,$AS195)="","",INDEX('潜水記録'!$AT$5:$AT$3004,$AS195)))</f>
        <v/>
      </c>
      <c r="AP195" s="14">
        <f>IF($A195="","",IF(INDEX('潜水記録'!$AU$5:$AU$3004,$AS195)="","",INDEX('潜水記録'!$AU$5:$AU$3004,$AS195)))</f>
        <v/>
      </c>
      <c r="AQ195" s="14">
        <f>IF($A195="","",IF(INDEX('潜水記録'!$AV$5:$AV$3004,$AS195)="","",INDEX('潜水記録'!$AV$5:$AV$3004,$AS195)))</f>
        <v/>
      </c>
      <c r="AR195" s="14">
        <f>IF($A195="","",IF(INDEX('潜水記録'!$AW$5:$AW$3004,$AS195)="","",INDEX('潜水記録'!$AW$5:$AW$3004,$AS195)))</f>
        <v/>
      </c>
      <c r="AS195" s="20">
        <f>IF($A195="","",MATCH($A195,'潜水記録'!$AI$5:$AI$3004,0))</f>
        <v/>
      </c>
    </row>
    <row r="196">
      <c r="A196" s="14">
        <f>IF(186&lt;=$C$8,186,"")</f>
        <v/>
      </c>
      <c r="B196" s="16">
        <f>IF($A196="","",IF(INDEX('潜水記録'!$A$5:$A$3004,$AS196)="","",INDEX('潜水記録'!$A$5:$A$3004,$AS196)))</f>
        <v/>
      </c>
      <c r="C196" s="14">
        <f>IF($A196="","",IF(INDEX('潜水記録'!$B$5:$B$3004,$AS196)="","",INDEX('潜水記録'!$B$5:$B$3004,$AS196)))</f>
        <v/>
      </c>
      <c r="D196" s="14">
        <f>IF($A196="","",IF(INDEX('潜水記録'!$C$5:$C$3004,$AS196)="","",INDEX('潜水記録'!$C$5:$C$3004,$AS196)))</f>
        <v/>
      </c>
      <c r="E196" s="14">
        <f>IF($A196="","",IF(INDEX('潜水記録'!$D$5:$D$3004,$AS196)="","",INDEX('潜水記録'!$D$5:$D$3004,$AS196)))</f>
        <v/>
      </c>
      <c r="F196" s="14">
        <f>IF($A196="","",IF(INDEX('潜水記録'!$E$5:$E$3004,$AS196)="","",INDEX('潜水記録'!$E$5:$E$3004,$AS196)))</f>
        <v/>
      </c>
      <c r="G196" s="14">
        <f>IF($A196="","",IF(INDEX('潜水記録'!$F$5:$F$3004,$AS196)="","",INDEX('潜水記録'!$F$5:$F$3004,$AS196)))</f>
        <v/>
      </c>
      <c r="H196" s="14">
        <f>IF($A196="","",IF(INDEX('潜水記録'!$G$5:$G$3004,$AS196)="","",INDEX('潜水記録'!$G$5:$G$3004,$AS196)))</f>
        <v/>
      </c>
      <c r="I196" s="14">
        <f>IF($A196="","",IF(INDEX('潜水記録'!$H$5:$H$3004,$AS196)="","",INDEX('潜水記録'!$H$5:$H$3004,$AS196)))</f>
        <v/>
      </c>
      <c r="J196" s="14">
        <f>IF($A196="","",IF(INDEX('潜水記録'!$I$5:$I$3004,$AS196)="","",INDEX('潜水記録'!$I$5:$I$3004,$AS196)))</f>
        <v/>
      </c>
      <c r="K196" s="14">
        <f>IF($A196="","",IF(INDEX('潜水記録'!$J$5:$J$3004,$AS196)="","",INDEX('潜水記録'!$J$5:$J$3004,$AS196)))</f>
        <v/>
      </c>
      <c r="L196" s="14">
        <f>IF($A196="","",IF(INDEX('潜水記録'!$K$5:$K$3004,$AS196)="","",INDEX('潜水記録'!$K$5:$K$3004,$AS196)))</f>
        <v/>
      </c>
      <c r="M196" s="14">
        <f>IF($A196="","",IF(INDEX('潜水記録'!$L$5:$L$3004,$AS196)="","",INDEX('潜水記録'!$L$5:$L$3004,$AS196)))</f>
        <v/>
      </c>
      <c r="N196" s="14">
        <f>IF($A196="","",IF(INDEX('潜水記録'!$M$5:$M$3004,$AS196)="","",INDEX('潜水記録'!$M$5:$M$3004,$AS196)))</f>
        <v/>
      </c>
      <c r="O196" s="14">
        <f>IF($A196="","",IF(INDEX('潜水記録'!$N$5:$N$3004,$AS196)="","",INDEX('潜水記録'!$N$5:$N$3004,$AS196)))</f>
        <v/>
      </c>
      <c r="P196" s="14">
        <f>IF($A196="","",IF(INDEX('潜水記録'!$O$5:$O$3004,$AS196)="","",INDEX('潜水記録'!$O$5:$O$3004,$AS196)))</f>
        <v/>
      </c>
      <c r="Q196" s="14">
        <f>IF($A196="","",IF(INDEX('潜水記録'!$P$5:$P$3004,$AS196)="","",INDEX('潜水記録'!$P$5:$P$3004,$AS196)))</f>
        <v/>
      </c>
      <c r="R196" s="14">
        <f>IF($A196="","",IF(INDEX('潜水記録'!$Q$5:$Q$3004,$AS196)="","",INDEX('潜水記録'!$Q$5:$Q$3004,$AS196)))</f>
        <v/>
      </c>
      <c r="S196" s="14">
        <f>IF($A196="","",IF(INDEX('潜水記録'!$R$5:$R$3004,$AS196)="","",INDEX('潜水記録'!$R$5:$R$3004,$AS196)))</f>
        <v/>
      </c>
      <c r="T196" s="14">
        <f>IF($A196="","",IF(INDEX('潜水記録'!$S$5:$S$3004,$AS196)="","",INDEX('潜水記録'!$S$5:$S$3004,$AS196)))</f>
        <v/>
      </c>
      <c r="U196" s="14">
        <f>IF($A196="","",IF(INDEX('潜水記録'!$T$5:$T$3004,$AS196)="","",INDEX('潜水記録'!$T$5:$T$3004,$AS196)))</f>
        <v/>
      </c>
      <c r="V196" s="46">
        <f>IF($A196="","",IF(INDEX('潜水記録'!$U$5:$U$3004,$AS196)="","",INDEX('潜水記録'!$U$5:$U$3004,$AS196)))</f>
        <v/>
      </c>
      <c r="W196" s="46">
        <f>IF($A196="","",IF(INDEX('潜水記録'!$V$5:$V$3004,$AS196)="","",INDEX('潜水記録'!$V$5:$V$3004,$AS196)))</f>
        <v/>
      </c>
      <c r="X196" s="14">
        <f>IF($A196="","",IF(INDEX('潜水記録'!$W$5:$W$3004,$AS196)="","",INDEX('潜水記録'!$W$5:$W$3004,$AS196)))</f>
        <v/>
      </c>
      <c r="Y196" s="14">
        <f>IF($A196="","",IF(INDEX('潜水記録'!$X$5:$X$3004,$AS196)="","",INDEX('潜水記録'!$X$5:$X$3004,$AS196)))</f>
        <v/>
      </c>
      <c r="Z196" s="14">
        <f>IF($A196="","",IF(INDEX('潜水記録'!$Y$5:$Y$3004,$AS196)="","",INDEX('潜水記録'!$Y$5:$Y$3004,$AS196)))</f>
        <v/>
      </c>
      <c r="AA196" s="14">
        <f>IF($A196="","",IF(INDEX('潜水記録'!$Z$5:$Z$3004,$AS196)="","",INDEX('潜水記録'!$Z$5:$Z$3004,$AS196)))</f>
        <v/>
      </c>
      <c r="AB196" s="14">
        <f>IF($A196="","",IF(INDEX('潜水記録'!$AA$5:$AA$3004,$AS196)="","",INDEX('潜水記録'!$AA$5:$AA$3004,$AS196)))</f>
        <v/>
      </c>
      <c r="AC196" s="14">
        <f>IF($A196="","",IF(INDEX('潜水記録'!$AB$5:$AB$3004,$AS196)="","",INDEX('潜水記録'!$AB$5:$AB$3004,$AS196)))</f>
        <v/>
      </c>
      <c r="AD196" s="14">
        <f>IF($A196="","",IF(INDEX('潜水記録'!$AC$5:$AC$3004,$AS196)="","",INDEX('潜水記録'!$AC$5:$AC$3004,$AS196)))</f>
        <v/>
      </c>
      <c r="AE196" s="14">
        <f>IF($A196="","",IF(INDEX('潜水記録'!$AD$5:$AD$3004,$AS196)="","",INDEX('潜水記録'!$AD$5:$AD$3004,$AS196)))</f>
        <v/>
      </c>
      <c r="AF196" s="14">
        <f>IF($A196="","",IF(INDEX('潜水記録'!$AE$5:$AE$3004,$AS196)="","",INDEX('潜水記録'!$AE$5:$AE$3004,$AS196)))</f>
        <v/>
      </c>
      <c r="AG196" s="14">
        <f>IF($A196="","",IF(INDEX('潜水記録'!$AL$5:$AL$3004,$AS196)="","",INDEX('潜水記録'!$AL$5:$AL$3004,$AS196)))</f>
        <v/>
      </c>
      <c r="AH196" s="14">
        <f>IF($A196="","",IF(INDEX('潜水記録'!$AM$5:$AM$3004,$AS196)="","",INDEX('潜水記録'!$AM$5:$AM$3004,$AS196)))</f>
        <v/>
      </c>
      <c r="AI196" s="46">
        <f>IF($A196="","",IF(INDEX('潜水記録'!$AN$5:$AN$3004,$AS196)="","",INDEX('潜水記録'!$AN$5:$AN$3004,$AS196)))</f>
        <v/>
      </c>
      <c r="AJ196" s="14">
        <f>IF($A196="","",IF(INDEX('潜水記録'!$AO$5:$AO$3004,$AS196)="","",INDEX('潜水記録'!$AO$5:$AO$3004,$AS196)))</f>
        <v/>
      </c>
      <c r="AK196" s="14">
        <f>IF($A196="","",IF(INDEX('潜水記録'!$AP$5:$AP$3004,$AS196)="","",INDEX('潜水記録'!$AP$5:$AP$3004,$AS196)))</f>
        <v/>
      </c>
      <c r="AL196" s="14">
        <f>IF($A196="","",IF(INDEX('潜水記録'!$AQ$5:$AQ$3004,$AS196)="","",INDEX('潜水記録'!$AQ$5:$AQ$3004,$AS196)))</f>
        <v/>
      </c>
      <c r="AM196" s="14">
        <f>IF($A196="","",IF(INDEX('潜水記録'!$AR$5:$AR$3004,$AS196)="","",INDEX('潜水記録'!$AR$5:$AR$3004,$AS196)))</f>
        <v/>
      </c>
      <c r="AN196" s="14">
        <f>IF($A196="","",IF(INDEX('潜水記録'!$AS$5:$AS$3004,$AS196)="","",INDEX('潜水記録'!$AS$5:$AS$3004,$AS196)))</f>
        <v/>
      </c>
      <c r="AO196" s="14">
        <f>IF($A196="","",IF(INDEX('潜水記録'!$AT$5:$AT$3004,$AS196)="","",INDEX('潜水記録'!$AT$5:$AT$3004,$AS196)))</f>
        <v/>
      </c>
      <c r="AP196" s="14">
        <f>IF($A196="","",IF(INDEX('潜水記録'!$AU$5:$AU$3004,$AS196)="","",INDEX('潜水記録'!$AU$5:$AU$3004,$AS196)))</f>
        <v/>
      </c>
      <c r="AQ196" s="14">
        <f>IF($A196="","",IF(INDEX('潜水記録'!$AV$5:$AV$3004,$AS196)="","",INDEX('潜水記録'!$AV$5:$AV$3004,$AS196)))</f>
        <v/>
      </c>
      <c r="AR196" s="14">
        <f>IF($A196="","",IF(INDEX('潜水記録'!$AW$5:$AW$3004,$AS196)="","",INDEX('潜水記録'!$AW$5:$AW$3004,$AS196)))</f>
        <v/>
      </c>
      <c r="AS196" s="20">
        <f>IF($A196="","",MATCH($A196,'潜水記録'!$AI$5:$AI$3004,0))</f>
        <v/>
      </c>
    </row>
    <row r="197">
      <c r="A197" s="14">
        <f>IF(187&lt;=$C$8,187,"")</f>
        <v/>
      </c>
      <c r="B197" s="16">
        <f>IF($A197="","",IF(INDEX('潜水記録'!$A$5:$A$3004,$AS197)="","",INDEX('潜水記録'!$A$5:$A$3004,$AS197)))</f>
        <v/>
      </c>
      <c r="C197" s="14">
        <f>IF($A197="","",IF(INDEX('潜水記録'!$B$5:$B$3004,$AS197)="","",INDEX('潜水記録'!$B$5:$B$3004,$AS197)))</f>
        <v/>
      </c>
      <c r="D197" s="14">
        <f>IF($A197="","",IF(INDEX('潜水記録'!$C$5:$C$3004,$AS197)="","",INDEX('潜水記録'!$C$5:$C$3004,$AS197)))</f>
        <v/>
      </c>
      <c r="E197" s="14">
        <f>IF($A197="","",IF(INDEX('潜水記録'!$D$5:$D$3004,$AS197)="","",INDEX('潜水記録'!$D$5:$D$3004,$AS197)))</f>
        <v/>
      </c>
      <c r="F197" s="14">
        <f>IF($A197="","",IF(INDEX('潜水記録'!$E$5:$E$3004,$AS197)="","",INDEX('潜水記録'!$E$5:$E$3004,$AS197)))</f>
        <v/>
      </c>
      <c r="G197" s="14">
        <f>IF($A197="","",IF(INDEX('潜水記録'!$F$5:$F$3004,$AS197)="","",INDEX('潜水記録'!$F$5:$F$3004,$AS197)))</f>
        <v/>
      </c>
      <c r="H197" s="14">
        <f>IF($A197="","",IF(INDEX('潜水記録'!$G$5:$G$3004,$AS197)="","",INDEX('潜水記録'!$G$5:$G$3004,$AS197)))</f>
        <v/>
      </c>
      <c r="I197" s="14">
        <f>IF($A197="","",IF(INDEX('潜水記録'!$H$5:$H$3004,$AS197)="","",INDEX('潜水記録'!$H$5:$H$3004,$AS197)))</f>
        <v/>
      </c>
      <c r="J197" s="14">
        <f>IF($A197="","",IF(INDEX('潜水記録'!$I$5:$I$3004,$AS197)="","",INDEX('潜水記録'!$I$5:$I$3004,$AS197)))</f>
        <v/>
      </c>
      <c r="K197" s="14">
        <f>IF($A197="","",IF(INDEX('潜水記録'!$J$5:$J$3004,$AS197)="","",INDEX('潜水記録'!$J$5:$J$3004,$AS197)))</f>
        <v/>
      </c>
      <c r="L197" s="14">
        <f>IF($A197="","",IF(INDEX('潜水記録'!$K$5:$K$3004,$AS197)="","",INDEX('潜水記録'!$K$5:$K$3004,$AS197)))</f>
        <v/>
      </c>
      <c r="M197" s="14">
        <f>IF($A197="","",IF(INDEX('潜水記録'!$L$5:$L$3004,$AS197)="","",INDEX('潜水記録'!$L$5:$L$3004,$AS197)))</f>
        <v/>
      </c>
      <c r="N197" s="14">
        <f>IF($A197="","",IF(INDEX('潜水記録'!$M$5:$M$3004,$AS197)="","",INDEX('潜水記録'!$M$5:$M$3004,$AS197)))</f>
        <v/>
      </c>
      <c r="O197" s="14">
        <f>IF($A197="","",IF(INDEX('潜水記録'!$N$5:$N$3004,$AS197)="","",INDEX('潜水記録'!$N$5:$N$3004,$AS197)))</f>
        <v/>
      </c>
      <c r="P197" s="14">
        <f>IF($A197="","",IF(INDEX('潜水記録'!$O$5:$O$3004,$AS197)="","",INDEX('潜水記録'!$O$5:$O$3004,$AS197)))</f>
        <v/>
      </c>
      <c r="Q197" s="14">
        <f>IF($A197="","",IF(INDEX('潜水記録'!$P$5:$P$3004,$AS197)="","",INDEX('潜水記録'!$P$5:$P$3004,$AS197)))</f>
        <v/>
      </c>
      <c r="R197" s="14">
        <f>IF($A197="","",IF(INDEX('潜水記録'!$Q$5:$Q$3004,$AS197)="","",INDEX('潜水記録'!$Q$5:$Q$3004,$AS197)))</f>
        <v/>
      </c>
      <c r="S197" s="14">
        <f>IF($A197="","",IF(INDEX('潜水記録'!$R$5:$R$3004,$AS197)="","",INDEX('潜水記録'!$R$5:$R$3004,$AS197)))</f>
        <v/>
      </c>
      <c r="T197" s="14">
        <f>IF($A197="","",IF(INDEX('潜水記録'!$S$5:$S$3004,$AS197)="","",INDEX('潜水記録'!$S$5:$S$3004,$AS197)))</f>
        <v/>
      </c>
      <c r="U197" s="14">
        <f>IF($A197="","",IF(INDEX('潜水記録'!$T$5:$T$3004,$AS197)="","",INDEX('潜水記録'!$T$5:$T$3004,$AS197)))</f>
        <v/>
      </c>
      <c r="V197" s="46">
        <f>IF($A197="","",IF(INDEX('潜水記録'!$U$5:$U$3004,$AS197)="","",INDEX('潜水記録'!$U$5:$U$3004,$AS197)))</f>
        <v/>
      </c>
      <c r="W197" s="46">
        <f>IF($A197="","",IF(INDEX('潜水記録'!$V$5:$V$3004,$AS197)="","",INDEX('潜水記録'!$V$5:$V$3004,$AS197)))</f>
        <v/>
      </c>
      <c r="X197" s="14">
        <f>IF($A197="","",IF(INDEX('潜水記録'!$W$5:$W$3004,$AS197)="","",INDEX('潜水記録'!$W$5:$W$3004,$AS197)))</f>
        <v/>
      </c>
      <c r="Y197" s="14">
        <f>IF($A197="","",IF(INDEX('潜水記録'!$X$5:$X$3004,$AS197)="","",INDEX('潜水記録'!$X$5:$X$3004,$AS197)))</f>
        <v/>
      </c>
      <c r="Z197" s="14">
        <f>IF($A197="","",IF(INDEX('潜水記録'!$Y$5:$Y$3004,$AS197)="","",INDEX('潜水記録'!$Y$5:$Y$3004,$AS197)))</f>
        <v/>
      </c>
      <c r="AA197" s="14">
        <f>IF($A197="","",IF(INDEX('潜水記録'!$Z$5:$Z$3004,$AS197)="","",INDEX('潜水記録'!$Z$5:$Z$3004,$AS197)))</f>
        <v/>
      </c>
      <c r="AB197" s="14">
        <f>IF($A197="","",IF(INDEX('潜水記録'!$AA$5:$AA$3004,$AS197)="","",INDEX('潜水記録'!$AA$5:$AA$3004,$AS197)))</f>
        <v/>
      </c>
      <c r="AC197" s="14">
        <f>IF($A197="","",IF(INDEX('潜水記録'!$AB$5:$AB$3004,$AS197)="","",INDEX('潜水記録'!$AB$5:$AB$3004,$AS197)))</f>
        <v/>
      </c>
      <c r="AD197" s="14">
        <f>IF($A197="","",IF(INDEX('潜水記録'!$AC$5:$AC$3004,$AS197)="","",INDEX('潜水記録'!$AC$5:$AC$3004,$AS197)))</f>
        <v/>
      </c>
      <c r="AE197" s="14">
        <f>IF($A197="","",IF(INDEX('潜水記録'!$AD$5:$AD$3004,$AS197)="","",INDEX('潜水記録'!$AD$5:$AD$3004,$AS197)))</f>
        <v/>
      </c>
      <c r="AF197" s="14">
        <f>IF($A197="","",IF(INDEX('潜水記録'!$AE$5:$AE$3004,$AS197)="","",INDEX('潜水記録'!$AE$5:$AE$3004,$AS197)))</f>
        <v/>
      </c>
      <c r="AG197" s="14">
        <f>IF($A197="","",IF(INDEX('潜水記録'!$AL$5:$AL$3004,$AS197)="","",INDEX('潜水記録'!$AL$5:$AL$3004,$AS197)))</f>
        <v/>
      </c>
      <c r="AH197" s="14">
        <f>IF($A197="","",IF(INDEX('潜水記録'!$AM$5:$AM$3004,$AS197)="","",INDEX('潜水記録'!$AM$5:$AM$3004,$AS197)))</f>
        <v/>
      </c>
      <c r="AI197" s="46">
        <f>IF($A197="","",IF(INDEX('潜水記録'!$AN$5:$AN$3004,$AS197)="","",INDEX('潜水記録'!$AN$5:$AN$3004,$AS197)))</f>
        <v/>
      </c>
      <c r="AJ197" s="14">
        <f>IF($A197="","",IF(INDEX('潜水記録'!$AO$5:$AO$3004,$AS197)="","",INDEX('潜水記録'!$AO$5:$AO$3004,$AS197)))</f>
        <v/>
      </c>
      <c r="AK197" s="14">
        <f>IF($A197="","",IF(INDEX('潜水記録'!$AP$5:$AP$3004,$AS197)="","",INDEX('潜水記録'!$AP$5:$AP$3004,$AS197)))</f>
        <v/>
      </c>
      <c r="AL197" s="14">
        <f>IF($A197="","",IF(INDEX('潜水記録'!$AQ$5:$AQ$3004,$AS197)="","",INDEX('潜水記録'!$AQ$5:$AQ$3004,$AS197)))</f>
        <v/>
      </c>
      <c r="AM197" s="14">
        <f>IF($A197="","",IF(INDEX('潜水記録'!$AR$5:$AR$3004,$AS197)="","",INDEX('潜水記録'!$AR$5:$AR$3004,$AS197)))</f>
        <v/>
      </c>
      <c r="AN197" s="14">
        <f>IF($A197="","",IF(INDEX('潜水記録'!$AS$5:$AS$3004,$AS197)="","",INDEX('潜水記録'!$AS$5:$AS$3004,$AS197)))</f>
        <v/>
      </c>
      <c r="AO197" s="14">
        <f>IF($A197="","",IF(INDEX('潜水記録'!$AT$5:$AT$3004,$AS197)="","",INDEX('潜水記録'!$AT$5:$AT$3004,$AS197)))</f>
        <v/>
      </c>
      <c r="AP197" s="14">
        <f>IF($A197="","",IF(INDEX('潜水記録'!$AU$5:$AU$3004,$AS197)="","",INDEX('潜水記録'!$AU$5:$AU$3004,$AS197)))</f>
        <v/>
      </c>
      <c r="AQ197" s="14">
        <f>IF($A197="","",IF(INDEX('潜水記録'!$AV$5:$AV$3004,$AS197)="","",INDEX('潜水記録'!$AV$5:$AV$3004,$AS197)))</f>
        <v/>
      </c>
      <c r="AR197" s="14">
        <f>IF($A197="","",IF(INDEX('潜水記録'!$AW$5:$AW$3004,$AS197)="","",INDEX('潜水記録'!$AW$5:$AW$3004,$AS197)))</f>
        <v/>
      </c>
      <c r="AS197" s="20">
        <f>IF($A197="","",MATCH($A197,'潜水記録'!$AI$5:$AI$3004,0))</f>
        <v/>
      </c>
    </row>
    <row r="198">
      <c r="A198" s="14">
        <f>IF(188&lt;=$C$8,188,"")</f>
        <v/>
      </c>
      <c r="B198" s="16">
        <f>IF($A198="","",IF(INDEX('潜水記録'!$A$5:$A$3004,$AS198)="","",INDEX('潜水記録'!$A$5:$A$3004,$AS198)))</f>
        <v/>
      </c>
      <c r="C198" s="14">
        <f>IF($A198="","",IF(INDEX('潜水記録'!$B$5:$B$3004,$AS198)="","",INDEX('潜水記録'!$B$5:$B$3004,$AS198)))</f>
        <v/>
      </c>
      <c r="D198" s="14">
        <f>IF($A198="","",IF(INDEX('潜水記録'!$C$5:$C$3004,$AS198)="","",INDEX('潜水記録'!$C$5:$C$3004,$AS198)))</f>
        <v/>
      </c>
      <c r="E198" s="14">
        <f>IF($A198="","",IF(INDEX('潜水記録'!$D$5:$D$3004,$AS198)="","",INDEX('潜水記録'!$D$5:$D$3004,$AS198)))</f>
        <v/>
      </c>
      <c r="F198" s="14">
        <f>IF($A198="","",IF(INDEX('潜水記録'!$E$5:$E$3004,$AS198)="","",INDEX('潜水記録'!$E$5:$E$3004,$AS198)))</f>
        <v/>
      </c>
      <c r="G198" s="14">
        <f>IF($A198="","",IF(INDEX('潜水記録'!$F$5:$F$3004,$AS198)="","",INDEX('潜水記録'!$F$5:$F$3004,$AS198)))</f>
        <v/>
      </c>
      <c r="H198" s="14">
        <f>IF($A198="","",IF(INDEX('潜水記録'!$G$5:$G$3004,$AS198)="","",INDEX('潜水記録'!$G$5:$G$3004,$AS198)))</f>
        <v/>
      </c>
      <c r="I198" s="14">
        <f>IF($A198="","",IF(INDEX('潜水記録'!$H$5:$H$3004,$AS198)="","",INDEX('潜水記録'!$H$5:$H$3004,$AS198)))</f>
        <v/>
      </c>
      <c r="J198" s="14">
        <f>IF($A198="","",IF(INDEX('潜水記録'!$I$5:$I$3004,$AS198)="","",INDEX('潜水記録'!$I$5:$I$3004,$AS198)))</f>
        <v/>
      </c>
      <c r="K198" s="14">
        <f>IF($A198="","",IF(INDEX('潜水記録'!$J$5:$J$3004,$AS198)="","",INDEX('潜水記録'!$J$5:$J$3004,$AS198)))</f>
        <v/>
      </c>
      <c r="L198" s="14">
        <f>IF($A198="","",IF(INDEX('潜水記録'!$K$5:$K$3004,$AS198)="","",INDEX('潜水記録'!$K$5:$K$3004,$AS198)))</f>
        <v/>
      </c>
      <c r="M198" s="14">
        <f>IF($A198="","",IF(INDEX('潜水記録'!$L$5:$L$3004,$AS198)="","",INDEX('潜水記録'!$L$5:$L$3004,$AS198)))</f>
        <v/>
      </c>
      <c r="N198" s="14">
        <f>IF($A198="","",IF(INDEX('潜水記録'!$M$5:$M$3004,$AS198)="","",INDEX('潜水記録'!$M$5:$M$3004,$AS198)))</f>
        <v/>
      </c>
      <c r="O198" s="14">
        <f>IF($A198="","",IF(INDEX('潜水記録'!$N$5:$N$3004,$AS198)="","",INDEX('潜水記録'!$N$5:$N$3004,$AS198)))</f>
        <v/>
      </c>
      <c r="P198" s="14">
        <f>IF($A198="","",IF(INDEX('潜水記録'!$O$5:$O$3004,$AS198)="","",INDEX('潜水記録'!$O$5:$O$3004,$AS198)))</f>
        <v/>
      </c>
      <c r="Q198" s="14">
        <f>IF($A198="","",IF(INDEX('潜水記録'!$P$5:$P$3004,$AS198)="","",INDEX('潜水記録'!$P$5:$P$3004,$AS198)))</f>
        <v/>
      </c>
      <c r="R198" s="14">
        <f>IF($A198="","",IF(INDEX('潜水記録'!$Q$5:$Q$3004,$AS198)="","",INDEX('潜水記録'!$Q$5:$Q$3004,$AS198)))</f>
        <v/>
      </c>
      <c r="S198" s="14">
        <f>IF($A198="","",IF(INDEX('潜水記録'!$R$5:$R$3004,$AS198)="","",INDEX('潜水記録'!$R$5:$R$3004,$AS198)))</f>
        <v/>
      </c>
      <c r="T198" s="14">
        <f>IF($A198="","",IF(INDEX('潜水記録'!$S$5:$S$3004,$AS198)="","",INDEX('潜水記録'!$S$5:$S$3004,$AS198)))</f>
        <v/>
      </c>
      <c r="U198" s="14">
        <f>IF($A198="","",IF(INDEX('潜水記録'!$T$5:$T$3004,$AS198)="","",INDEX('潜水記録'!$T$5:$T$3004,$AS198)))</f>
        <v/>
      </c>
      <c r="V198" s="46">
        <f>IF($A198="","",IF(INDEX('潜水記録'!$U$5:$U$3004,$AS198)="","",INDEX('潜水記録'!$U$5:$U$3004,$AS198)))</f>
        <v/>
      </c>
      <c r="W198" s="46">
        <f>IF($A198="","",IF(INDEX('潜水記録'!$V$5:$V$3004,$AS198)="","",INDEX('潜水記録'!$V$5:$V$3004,$AS198)))</f>
        <v/>
      </c>
      <c r="X198" s="14">
        <f>IF($A198="","",IF(INDEX('潜水記録'!$W$5:$W$3004,$AS198)="","",INDEX('潜水記録'!$W$5:$W$3004,$AS198)))</f>
        <v/>
      </c>
      <c r="Y198" s="14">
        <f>IF($A198="","",IF(INDEX('潜水記録'!$X$5:$X$3004,$AS198)="","",INDEX('潜水記録'!$X$5:$X$3004,$AS198)))</f>
        <v/>
      </c>
      <c r="Z198" s="14">
        <f>IF($A198="","",IF(INDEX('潜水記録'!$Y$5:$Y$3004,$AS198)="","",INDEX('潜水記録'!$Y$5:$Y$3004,$AS198)))</f>
        <v/>
      </c>
      <c r="AA198" s="14">
        <f>IF($A198="","",IF(INDEX('潜水記録'!$Z$5:$Z$3004,$AS198)="","",INDEX('潜水記録'!$Z$5:$Z$3004,$AS198)))</f>
        <v/>
      </c>
      <c r="AB198" s="14">
        <f>IF($A198="","",IF(INDEX('潜水記録'!$AA$5:$AA$3004,$AS198)="","",INDEX('潜水記録'!$AA$5:$AA$3004,$AS198)))</f>
        <v/>
      </c>
      <c r="AC198" s="14">
        <f>IF($A198="","",IF(INDEX('潜水記録'!$AB$5:$AB$3004,$AS198)="","",INDEX('潜水記録'!$AB$5:$AB$3004,$AS198)))</f>
        <v/>
      </c>
      <c r="AD198" s="14">
        <f>IF($A198="","",IF(INDEX('潜水記録'!$AC$5:$AC$3004,$AS198)="","",INDEX('潜水記録'!$AC$5:$AC$3004,$AS198)))</f>
        <v/>
      </c>
      <c r="AE198" s="14">
        <f>IF($A198="","",IF(INDEX('潜水記録'!$AD$5:$AD$3004,$AS198)="","",INDEX('潜水記録'!$AD$5:$AD$3004,$AS198)))</f>
        <v/>
      </c>
      <c r="AF198" s="14">
        <f>IF($A198="","",IF(INDEX('潜水記録'!$AE$5:$AE$3004,$AS198)="","",INDEX('潜水記録'!$AE$5:$AE$3004,$AS198)))</f>
        <v/>
      </c>
      <c r="AG198" s="14">
        <f>IF($A198="","",IF(INDEX('潜水記録'!$AL$5:$AL$3004,$AS198)="","",INDEX('潜水記録'!$AL$5:$AL$3004,$AS198)))</f>
        <v/>
      </c>
      <c r="AH198" s="14">
        <f>IF($A198="","",IF(INDEX('潜水記録'!$AM$5:$AM$3004,$AS198)="","",INDEX('潜水記録'!$AM$5:$AM$3004,$AS198)))</f>
        <v/>
      </c>
      <c r="AI198" s="46">
        <f>IF($A198="","",IF(INDEX('潜水記録'!$AN$5:$AN$3004,$AS198)="","",INDEX('潜水記録'!$AN$5:$AN$3004,$AS198)))</f>
        <v/>
      </c>
      <c r="AJ198" s="14">
        <f>IF($A198="","",IF(INDEX('潜水記録'!$AO$5:$AO$3004,$AS198)="","",INDEX('潜水記録'!$AO$5:$AO$3004,$AS198)))</f>
        <v/>
      </c>
      <c r="AK198" s="14">
        <f>IF($A198="","",IF(INDEX('潜水記録'!$AP$5:$AP$3004,$AS198)="","",INDEX('潜水記録'!$AP$5:$AP$3004,$AS198)))</f>
        <v/>
      </c>
      <c r="AL198" s="14">
        <f>IF($A198="","",IF(INDEX('潜水記録'!$AQ$5:$AQ$3004,$AS198)="","",INDEX('潜水記録'!$AQ$5:$AQ$3004,$AS198)))</f>
        <v/>
      </c>
      <c r="AM198" s="14">
        <f>IF($A198="","",IF(INDEX('潜水記録'!$AR$5:$AR$3004,$AS198)="","",INDEX('潜水記録'!$AR$5:$AR$3004,$AS198)))</f>
        <v/>
      </c>
      <c r="AN198" s="14">
        <f>IF($A198="","",IF(INDEX('潜水記録'!$AS$5:$AS$3004,$AS198)="","",INDEX('潜水記録'!$AS$5:$AS$3004,$AS198)))</f>
        <v/>
      </c>
      <c r="AO198" s="14">
        <f>IF($A198="","",IF(INDEX('潜水記録'!$AT$5:$AT$3004,$AS198)="","",INDEX('潜水記録'!$AT$5:$AT$3004,$AS198)))</f>
        <v/>
      </c>
      <c r="AP198" s="14">
        <f>IF($A198="","",IF(INDEX('潜水記録'!$AU$5:$AU$3004,$AS198)="","",INDEX('潜水記録'!$AU$5:$AU$3004,$AS198)))</f>
        <v/>
      </c>
      <c r="AQ198" s="14">
        <f>IF($A198="","",IF(INDEX('潜水記録'!$AV$5:$AV$3004,$AS198)="","",INDEX('潜水記録'!$AV$5:$AV$3004,$AS198)))</f>
        <v/>
      </c>
      <c r="AR198" s="14">
        <f>IF($A198="","",IF(INDEX('潜水記録'!$AW$5:$AW$3004,$AS198)="","",INDEX('潜水記録'!$AW$5:$AW$3004,$AS198)))</f>
        <v/>
      </c>
      <c r="AS198" s="20">
        <f>IF($A198="","",MATCH($A198,'潜水記録'!$AI$5:$AI$3004,0))</f>
        <v/>
      </c>
    </row>
    <row r="199">
      <c r="A199" s="14">
        <f>IF(189&lt;=$C$8,189,"")</f>
        <v/>
      </c>
      <c r="B199" s="16">
        <f>IF($A199="","",IF(INDEX('潜水記録'!$A$5:$A$3004,$AS199)="","",INDEX('潜水記録'!$A$5:$A$3004,$AS199)))</f>
        <v/>
      </c>
      <c r="C199" s="14">
        <f>IF($A199="","",IF(INDEX('潜水記録'!$B$5:$B$3004,$AS199)="","",INDEX('潜水記録'!$B$5:$B$3004,$AS199)))</f>
        <v/>
      </c>
      <c r="D199" s="14">
        <f>IF($A199="","",IF(INDEX('潜水記録'!$C$5:$C$3004,$AS199)="","",INDEX('潜水記録'!$C$5:$C$3004,$AS199)))</f>
        <v/>
      </c>
      <c r="E199" s="14">
        <f>IF($A199="","",IF(INDEX('潜水記録'!$D$5:$D$3004,$AS199)="","",INDEX('潜水記録'!$D$5:$D$3004,$AS199)))</f>
        <v/>
      </c>
      <c r="F199" s="14">
        <f>IF($A199="","",IF(INDEX('潜水記録'!$E$5:$E$3004,$AS199)="","",INDEX('潜水記録'!$E$5:$E$3004,$AS199)))</f>
        <v/>
      </c>
      <c r="G199" s="14">
        <f>IF($A199="","",IF(INDEX('潜水記録'!$F$5:$F$3004,$AS199)="","",INDEX('潜水記録'!$F$5:$F$3004,$AS199)))</f>
        <v/>
      </c>
      <c r="H199" s="14">
        <f>IF($A199="","",IF(INDEX('潜水記録'!$G$5:$G$3004,$AS199)="","",INDEX('潜水記録'!$G$5:$G$3004,$AS199)))</f>
        <v/>
      </c>
      <c r="I199" s="14">
        <f>IF($A199="","",IF(INDEX('潜水記録'!$H$5:$H$3004,$AS199)="","",INDEX('潜水記録'!$H$5:$H$3004,$AS199)))</f>
        <v/>
      </c>
      <c r="J199" s="14">
        <f>IF($A199="","",IF(INDEX('潜水記録'!$I$5:$I$3004,$AS199)="","",INDEX('潜水記録'!$I$5:$I$3004,$AS199)))</f>
        <v/>
      </c>
      <c r="K199" s="14">
        <f>IF($A199="","",IF(INDEX('潜水記録'!$J$5:$J$3004,$AS199)="","",INDEX('潜水記録'!$J$5:$J$3004,$AS199)))</f>
        <v/>
      </c>
      <c r="L199" s="14">
        <f>IF($A199="","",IF(INDEX('潜水記録'!$K$5:$K$3004,$AS199)="","",INDEX('潜水記録'!$K$5:$K$3004,$AS199)))</f>
        <v/>
      </c>
      <c r="M199" s="14">
        <f>IF($A199="","",IF(INDEX('潜水記録'!$L$5:$L$3004,$AS199)="","",INDEX('潜水記録'!$L$5:$L$3004,$AS199)))</f>
        <v/>
      </c>
      <c r="N199" s="14">
        <f>IF($A199="","",IF(INDEX('潜水記録'!$M$5:$M$3004,$AS199)="","",INDEX('潜水記録'!$M$5:$M$3004,$AS199)))</f>
        <v/>
      </c>
      <c r="O199" s="14">
        <f>IF($A199="","",IF(INDEX('潜水記録'!$N$5:$N$3004,$AS199)="","",INDEX('潜水記録'!$N$5:$N$3004,$AS199)))</f>
        <v/>
      </c>
      <c r="P199" s="14">
        <f>IF($A199="","",IF(INDEX('潜水記録'!$O$5:$O$3004,$AS199)="","",INDEX('潜水記録'!$O$5:$O$3004,$AS199)))</f>
        <v/>
      </c>
      <c r="Q199" s="14">
        <f>IF($A199="","",IF(INDEX('潜水記録'!$P$5:$P$3004,$AS199)="","",INDEX('潜水記録'!$P$5:$P$3004,$AS199)))</f>
        <v/>
      </c>
      <c r="R199" s="14">
        <f>IF($A199="","",IF(INDEX('潜水記録'!$Q$5:$Q$3004,$AS199)="","",INDEX('潜水記録'!$Q$5:$Q$3004,$AS199)))</f>
        <v/>
      </c>
      <c r="S199" s="14">
        <f>IF($A199="","",IF(INDEX('潜水記録'!$R$5:$R$3004,$AS199)="","",INDEX('潜水記録'!$R$5:$R$3004,$AS199)))</f>
        <v/>
      </c>
      <c r="T199" s="14">
        <f>IF($A199="","",IF(INDEX('潜水記録'!$S$5:$S$3004,$AS199)="","",INDEX('潜水記録'!$S$5:$S$3004,$AS199)))</f>
        <v/>
      </c>
      <c r="U199" s="14">
        <f>IF($A199="","",IF(INDEX('潜水記録'!$T$5:$T$3004,$AS199)="","",INDEX('潜水記録'!$T$5:$T$3004,$AS199)))</f>
        <v/>
      </c>
      <c r="V199" s="46">
        <f>IF($A199="","",IF(INDEX('潜水記録'!$U$5:$U$3004,$AS199)="","",INDEX('潜水記録'!$U$5:$U$3004,$AS199)))</f>
        <v/>
      </c>
      <c r="W199" s="46">
        <f>IF($A199="","",IF(INDEX('潜水記録'!$V$5:$V$3004,$AS199)="","",INDEX('潜水記録'!$V$5:$V$3004,$AS199)))</f>
        <v/>
      </c>
      <c r="X199" s="14">
        <f>IF($A199="","",IF(INDEX('潜水記録'!$W$5:$W$3004,$AS199)="","",INDEX('潜水記録'!$W$5:$W$3004,$AS199)))</f>
        <v/>
      </c>
      <c r="Y199" s="14">
        <f>IF($A199="","",IF(INDEX('潜水記録'!$X$5:$X$3004,$AS199)="","",INDEX('潜水記録'!$X$5:$X$3004,$AS199)))</f>
        <v/>
      </c>
      <c r="Z199" s="14">
        <f>IF($A199="","",IF(INDEX('潜水記録'!$Y$5:$Y$3004,$AS199)="","",INDEX('潜水記録'!$Y$5:$Y$3004,$AS199)))</f>
        <v/>
      </c>
      <c r="AA199" s="14">
        <f>IF($A199="","",IF(INDEX('潜水記録'!$Z$5:$Z$3004,$AS199)="","",INDEX('潜水記録'!$Z$5:$Z$3004,$AS199)))</f>
        <v/>
      </c>
      <c r="AB199" s="14">
        <f>IF($A199="","",IF(INDEX('潜水記録'!$AA$5:$AA$3004,$AS199)="","",INDEX('潜水記録'!$AA$5:$AA$3004,$AS199)))</f>
        <v/>
      </c>
      <c r="AC199" s="14">
        <f>IF($A199="","",IF(INDEX('潜水記録'!$AB$5:$AB$3004,$AS199)="","",INDEX('潜水記録'!$AB$5:$AB$3004,$AS199)))</f>
        <v/>
      </c>
      <c r="AD199" s="14">
        <f>IF($A199="","",IF(INDEX('潜水記録'!$AC$5:$AC$3004,$AS199)="","",INDEX('潜水記録'!$AC$5:$AC$3004,$AS199)))</f>
        <v/>
      </c>
      <c r="AE199" s="14">
        <f>IF($A199="","",IF(INDEX('潜水記録'!$AD$5:$AD$3004,$AS199)="","",INDEX('潜水記録'!$AD$5:$AD$3004,$AS199)))</f>
        <v/>
      </c>
      <c r="AF199" s="14">
        <f>IF($A199="","",IF(INDEX('潜水記録'!$AE$5:$AE$3004,$AS199)="","",INDEX('潜水記録'!$AE$5:$AE$3004,$AS199)))</f>
        <v/>
      </c>
      <c r="AG199" s="14">
        <f>IF($A199="","",IF(INDEX('潜水記録'!$AL$5:$AL$3004,$AS199)="","",INDEX('潜水記録'!$AL$5:$AL$3004,$AS199)))</f>
        <v/>
      </c>
      <c r="AH199" s="14">
        <f>IF($A199="","",IF(INDEX('潜水記録'!$AM$5:$AM$3004,$AS199)="","",INDEX('潜水記録'!$AM$5:$AM$3004,$AS199)))</f>
        <v/>
      </c>
      <c r="AI199" s="46">
        <f>IF($A199="","",IF(INDEX('潜水記録'!$AN$5:$AN$3004,$AS199)="","",INDEX('潜水記録'!$AN$5:$AN$3004,$AS199)))</f>
        <v/>
      </c>
      <c r="AJ199" s="14">
        <f>IF($A199="","",IF(INDEX('潜水記録'!$AO$5:$AO$3004,$AS199)="","",INDEX('潜水記録'!$AO$5:$AO$3004,$AS199)))</f>
        <v/>
      </c>
      <c r="AK199" s="14">
        <f>IF($A199="","",IF(INDEX('潜水記録'!$AP$5:$AP$3004,$AS199)="","",INDEX('潜水記録'!$AP$5:$AP$3004,$AS199)))</f>
        <v/>
      </c>
      <c r="AL199" s="14">
        <f>IF($A199="","",IF(INDEX('潜水記録'!$AQ$5:$AQ$3004,$AS199)="","",INDEX('潜水記録'!$AQ$5:$AQ$3004,$AS199)))</f>
        <v/>
      </c>
      <c r="AM199" s="14">
        <f>IF($A199="","",IF(INDEX('潜水記録'!$AR$5:$AR$3004,$AS199)="","",INDEX('潜水記録'!$AR$5:$AR$3004,$AS199)))</f>
        <v/>
      </c>
      <c r="AN199" s="14">
        <f>IF($A199="","",IF(INDEX('潜水記録'!$AS$5:$AS$3004,$AS199)="","",INDEX('潜水記録'!$AS$5:$AS$3004,$AS199)))</f>
        <v/>
      </c>
      <c r="AO199" s="14">
        <f>IF($A199="","",IF(INDEX('潜水記録'!$AT$5:$AT$3004,$AS199)="","",INDEX('潜水記録'!$AT$5:$AT$3004,$AS199)))</f>
        <v/>
      </c>
      <c r="AP199" s="14">
        <f>IF($A199="","",IF(INDEX('潜水記録'!$AU$5:$AU$3004,$AS199)="","",INDEX('潜水記録'!$AU$5:$AU$3004,$AS199)))</f>
        <v/>
      </c>
      <c r="AQ199" s="14">
        <f>IF($A199="","",IF(INDEX('潜水記録'!$AV$5:$AV$3004,$AS199)="","",INDEX('潜水記録'!$AV$5:$AV$3004,$AS199)))</f>
        <v/>
      </c>
      <c r="AR199" s="14">
        <f>IF($A199="","",IF(INDEX('潜水記録'!$AW$5:$AW$3004,$AS199)="","",INDEX('潜水記録'!$AW$5:$AW$3004,$AS199)))</f>
        <v/>
      </c>
      <c r="AS199" s="20">
        <f>IF($A199="","",MATCH($A199,'潜水記録'!$AI$5:$AI$3004,0))</f>
        <v/>
      </c>
    </row>
    <row r="200">
      <c r="A200" s="14">
        <f>IF(190&lt;=$C$8,190,"")</f>
        <v/>
      </c>
      <c r="B200" s="16">
        <f>IF($A200="","",IF(INDEX('潜水記録'!$A$5:$A$3004,$AS200)="","",INDEX('潜水記録'!$A$5:$A$3004,$AS200)))</f>
        <v/>
      </c>
      <c r="C200" s="14">
        <f>IF($A200="","",IF(INDEX('潜水記録'!$B$5:$B$3004,$AS200)="","",INDEX('潜水記録'!$B$5:$B$3004,$AS200)))</f>
        <v/>
      </c>
      <c r="D200" s="14">
        <f>IF($A200="","",IF(INDEX('潜水記録'!$C$5:$C$3004,$AS200)="","",INDEX('潜水記録'!$C$5:$C$3004,$AS200)))</f>
        <v/>
      </c>
      <c r="E200" s="14">
        <f>IF($A200="","",IF(INDEX('潜水記録'!$D$5:$D$3004,$AS200)="","",INDEX('潜水記録'!$D$5:$D$3004,$AS200)))</f>
        <v/>
      </c>
      <c r="F200" s="14">
        <f>IF($A200="","",IF(INDEX('潜水記録'!$E$5:$E$3004,$AS200)="","",INDEX('潜水記録'!$E$5:$E$3004,$AS200)))</f>
        <v/>
      </c>
      <c r="G200" s="14">
        <f>IF($A200="","",IF(INDEX('潜水記録'!$F$5:$F$3004,$AS200)="","",INDEX('潜水記録'!$F$5:$F$3004,$AS200)))</f>
        <v/>
      </c>
      <c r="H200" s="14">
        <f>IF($A200="","",IF(INDEX('潜水記録'!$G$5:$G$3004,$AS200)="","",INDEX('潜水記録'!$G$5:$G$3004,$AS200)))</f>
        <v/>
      </c>
      <c r="I200" s="14">
        <f>IF($A200="","",IF(INDEX('潜水記録'!$H$5:$H$3004,$AS200)="","",INDEX('潜水記録'!$H$5:$H$3004,$AS200)))</f>
        <v/>
      </c>
      <c r="J200" s="14">
        <f>IF($A200="","",IF(INDEX('潜水記録'!$I$5:$I$3004,$AS200)="","",INDEX('潜水記録'!$I$5:$I$3004,$AS200)))</f>
        <v/>
      </c>
      <c r="K200" s="14">
        <f>IF($A200="","",IF(INDEX('潜水記録'!$J$5:$J$3004,$AS200)="","",INDEX('潜水記録'!$J$5:$J$3004,$AS200)))</f>
        <v/>
      </c>
      <c r="L200" s="14">
        <f>IF($A200="","",IF(INDEX('潜水記録'!$K$5:$K$3004,$AS200)="","",INDEX('潜水記録'!$K$5:$K$3004,$AS200)))</f>
        <v/>
      </c>
      <c r="M200" s="14">
        <f>IF($A200="","",IF(INDEX('潜水記録'!$L$5:$L$3004,$AS200)="","",INDEX('潜水記録'!$L$5:$L$3004,$AS200)))</f>
        <v/>
      </c>
      <c r="N200" s="14">
        <f>IF($A200="","",IF(INDEX('潜水記録'!$M$5:$M$3004,$AS200)="","",INDEX('潜水記録'!$M$5:$M$3004,$AS200)))</f>
        <v/>
      </c>
      <c r="O200" s="14">
        <f>IF($A200="","",IF(INDEX('潜水記録'!$N$5:$N$3004,$AS200)="","",INDEX('潜水記録'!$N$5:$N$3004,$AS200)))</f>
        <v/>
      </c>
      <c r="P200" s="14">
        <f>IF($A200="","",IF(INDEX('潜水記録'!$O$5:$O$3004,$AS200)="","",INDEX('潜水記録'!$O$5:$O$3004,$AS200)))</f>
        <v/>
      </c>
      <c r="Q200" s="14">
        <f>IF($A200="","",IF(INDEX('潜水記録'!$P$5:$P$3004,$AS200)="","",INDEX('潜水記録'!$P$5:$P$3004,$AS200)))</f>
        <v/>
      </c>
      <c r="R200" s="14">
        <f>IF($A200="","",IF(INDEX('潜水記録'!$Q$5:$Q$3004,$AS200)="","",INDEX('潜水記録'!$Q$5:$Q$3004,$AS200)))</f>
        <v/>
      </c>
      <c r="S200" s="14">
        <f>IF($A200="","",IF(INDEX('潜水記録'!$R$5:$R$3004,$AS200)="","",INDEX('潜水記録'!$R$5:$R$3004,$AS200)))</f>
        <v/>
      </c>
      <c r="T200" s="14">
        <f>IF($A200="","",IF(INDEX('潜水記録'!$S$5:$S$3004,$AS200)="","",INDEX('潜水記録'!$S$5:$S$3004,$AS200)))</f>
        <v/>
      </c>
      <c r="U200" s="14">
        <f>IF($A200="","",IF(INDEX('潜水記録'!$T$5:$T$3004,$AS200)="","",INDEX('潜水記録'!$T$5:$T$3004,$AS200)))</f>
        <v/>
      </c>
      <c r="V200" s="46">
        <f>IF($A200="","",IF(INDEX('潜水記録'!$U$5:$U$3004,$AS200)="","",INDEX('潜水記録'!$U$5:$U$3004,$AS200)))</f>
        <v/>
      </c>
      <c r="W200" s="46">
        <f>IF($A200="","",IF(INDEX('潜水記録'!$V$5:$V$3004,$AS200)="","",INDEX('潜水記録'!$V$5:$V$3004,$AS200)))</f>
        <v/>
      </c>
      <c r="X200" s="14">
        <f>IF($A200="","",IF(INDEX('潜水記録'!$W$5:$W$3004,$AS200)="","",INDEX('潜水記録'!$W$5:$W$3004,$AS200)))</f>
        <v/>
      </c>
      <c r="Y200" s="14">
        <f>IF($A200="","",IF(INDEX('潜水記録'!$X$5:$X$3004,$AS200)="","",INDEX('潜水記録'!$X$5:$X$3004,$AS200)))</f>
        <v/>
      </c>
      <c r="Z200" s="14">
        <f>IF($A200="","",IF(INDEX('潜水記録'!$Y$5:$Y$3004,$AS200)="","",INDEX('潜水記録'!$Y$5:$Y$3004,$AS200)))</f>
        <v/>
      </c>
      <c r="AA200" s="14">
        <f>IF($A200="","",IF(INDEX('潜水記録'!$Z$5:$Z$3004,$AS200)="","",INDEX('潜水記録'!$Z$5:$Z$3004,$AS200)))</f>
        <v/>
      </c>
      <c r="AB200" s="14">
        <f>IF($A200="","",IF(INDEX('潜水記録'!$AA$5:$AA$3004,$AS200)="","",INDEX('潜水記録'!$AA$5:$AA$3004,$AS200)))</f>
        <v/>
      </c>
      <c r="AC200" s="14">
        <f>IF($A200="","",IF(INDEX('潜水記録'!$AB$5:$AB$3004,$AS200)="","",INDEX('潜水記録'!$AB$5:$AB$3004,$AS200)))</f>
        <v/>
      </c>
      <c r="AD200" s="14">
        <f>IF($A200="","",IF(INDEX('潜水記録'!$AC$5:$AC$3004,$AS200)="","",INDEX('潜水記録'!$AC$5:$AC$3004,$AS200)))</f>
        <v/>
      </c>
      <c r="AE200" s="14">
        <f>IF($A200="","",IF(INDEX('潜水記録'!$AD$5:$AD$3004,$AS200)="","",INDEX('潜水記録'!$AD$5:$AD$3004,$AS200)))</f>
        <v/>
      </c>
      <c r="AF200" s="14">
        <f>IF($A200="","",IF(INDEX('潜水記録'!$AE$5:$AE$3004,$AS200)="","",INDEX('潜水記録'!$AE$5:$AE$3004,$AS200)))</f>
        <v/>
      </c>
      <c r="AG200" s="14">
        <f>IF($A200="","",IF(INDEX('潜水記録'!$AL$5:$AL$3004,$AS200)="","",INDEX('潜水記録'!$AL$5:$AL$3004,$AS200)))</f>
        <v/>
      </c>
      <c r="AH200" s="14">
        <f>IF($A200="","",IF(INDEX('潜水記録'!$AM$5:$AM$3004,$AS200)="","",INDEX('潜水記録'!$AM$5:$AM$3004,$AS200)))</f>
        <v/>
      </c>
      <c r="AI200" s="46">
        <f>IF($A200="","",IF(INDEX('潜水記録'!$AN$5:$AN$3004,$AS200)="","",INDEX('潜水記録'!$AN$5:$AN$3004,$AS200)))</f>
        <v/>
      </c>
      <c r="AJ200" s="14">
        <f>IF($A200="","",IF(INDEX('潜水記録'!$AO$5:$AO$3004,$AS200)="","",INDEX('潜水記録'!$AO$5:$AO$3004,$AS200)))</f>
        <v/>
      </c>
      <c r="AK200" s="14">
        <f>IF($A200="","",IF(INDEX('潜水記録'!$AP$5:$AP$3004,$AS200)="","",INDEX('潜水記録'!$AP$5:$AP$3004,$AS200)))</f>
        <v/>
      </c>
      <c r="AL200" s="14">
        <f>IF($A200="","",IF(INDEX('潜水記録'!$AQ$5:$AQ$3004,$AS200)="","",INDEX('潜水記録'!$AQ$5:$AQ$3004,$AS200)))</f>
        <v/>
      </c>
      <c r="AM200" s="14">
        <f>IF($A200="","",IF(INDEX('潜水記録'!$AR$5:$AR$3004,$AS200)="","",INDEX('潜水記録'!$AR$5:$AR$3004,$AS200)))</f>
        <v/>
      </c>
      <c r="AN200" s="14">
        <f>IF($A200="","",IF(INDEX('潜水記録'!$AS$5:$AS$3004,$AS200)="","",INDEX('潜水記録'!$AS$5:$AS$3004,$AS200)))</f>
        <v/>
      </c>
      <c r="AO200" s="14">
        <f>IF($A200="","",IF(INDEX('潜水記録'!$AT$5:$AT$3004,$AS200)="","",INDEX('潜水記録'!$AT$5:$AT$3004,$AS200)))</f>
        <v/>
      </c>
      <c r="AP200" s="14">
        <f>IF($A200="","",IF(INDEX('潜水記録'!$AU$5:$AU$3004,$AS200)="","",INDEX('潜水記録'!$AU$5:$AU$3004,$AS200)))</f>
        <v/>
      </c>
      <c r="AQ200" s="14">
        <f>IF($A200="","",IF(INDEX('潜水記録'!$AV$5:$AV$3004,$AS200)="","",INDEX('潜水記録'!$AV$5:$AV$3004,$AS200)))</f>
        <v/>
      </c>
      <c r="AR200" s="14">
        <f>IF($A200="","",IF(INDEX('潜水記録'!$AW$5:$AW$3004,$AS200)="","",INDEX('潜水記録'!$AW$5:$AW$3004,$AS200)))</f>
        <v/>
      </c>
      <c r="AS200" s="20">
        <f>IF($A200="","",MATCH($A200,'潜水記録'!$AI$5:$AI$3004,0))</f>
        <v/>
      </c>
    </row>
    <row r="201">
      <c r="A201" s="14">
        <f>IF(191&lt;=$C$8,191,"")</f>
        <v/>
      </c>
      <c r="B201" s="16">
        <f>IF($A201="","",IF(INDEX('潜水記録'!$A$5:$A$3004,$AS201)="","",INDEX('潜水記録'!$A$5:$A$3004,$AS201)))</f>
        <v/>
      </c>
      <c r="C201" s="14">
        <f>IF($A201="","",IF(INDEX('潜水記録'!$B$5:$B$3004,$AS201)="","",INDEX('潜水記録'!$B$5:$B$3004,$AS201)))</f>
        <v/>
      </c>
      <c r="D201" s="14">
        <f>IF($A201="","",IF(INDEX('潜水記録'!$C$5:$C$3004,$AS201)="","",INDEX('潜水記録'!$C$5:$C$3004,$AS201)))</f>
        <v/>
      </c>
      <c r="E201" s="14">
        <f>IF($A201="","",IF(INDEX('潜水記録'!$D$5:$D$3004,$AS201)="","",INDEX('潜水記録'!$D$5:$D$3004,$AS201)))</f>
        <v/>
      </c>
      <c r="F201" s="14">
        <f>IF($A201="","",IF(INDEX('潜水記録'!$E$5:$E$3004,$AS201)="","",INDEX('潜水記録'!$E$5:$E$3004,$AS201)))</f>
        <v/>
      </c>
      <c r="G201" s="14">
        <f>IF($A201="","",IF(INDEX('潜水記録'!$F$5:$F$3004,$AS201)="","",INDEX('潜水記録'!$F$5:$F$3004,$AS201)))</f>
        <v/>
      </c>
      <c r="H201" s="14">
        <f>IF($A201="","",IF(INDEX('潜水記録'!$G$5:$G$3004,$AS201)="","",INDEX('潜水記録'!$G$5:$G$3004,$AS201)))</f>
        <v/>
      </c>
      <c r="I201" s="14">
        <f>IF($A201="","",IF(INDEX('潜水記録'!$H$5:$H$3004,$AS201)="","",INDEX('潜水記録'!$H$5:$H$3004,$AS201)))</f>
        <v/>
      </c>
      <c r="J201" s="14">
        <f>IF($A201="","",IF(INDEX('潜水記録'!$I$5:$I$3004,$AS201)="","",INDEX('潜水記録'!$I$5:$I$3004,$AS201)))</f>
        <v/>
      </c>
      <c r="K201" s="14">
        <f>IF($A201="","",IF(INDEX('潜水記録'!$J$5:$J$3004,$AS201)="","",INDEX('潜水記録'!$J$5:$J$3004,$AS201)))</f>
        <v/>
      </c>
      <c r="L201" s="14">
        <f>IF($A201="","",IF(INDEX('潜水記録'!$K$5:$K$3004,$AS201)="","",INDEX('潜水記録'!$K$5:$K$3004,$AS201)))</f>
        <v/>
      </c>
      <c r="M201" s="14">
        <f>IF($A201="","",IF(INDEX('潜水記録'!$L$5:$L$3004,$AS201)="","",INDEX('潜水記録'!$L$5:$L$3004,$AS201)))</f>
        <v/>
      </c>
      <c r="N201" s="14">
        <f>IF($A201="","",IF(INDEX('潜水記録'!$M$5:$M$3004,$AS201)="","",INDEX('潜水記録'!$M$5:$M$3004,$AS201)))</f>
        <v/>
      </c>
      <c r="O201" s="14">
        <f>IF($A201="","",IF(INDEX('潜水記録'!$N$5:$N$3004,$AS201)="","",INDEX('潜水記録'!$N$5:$N$3004,$AS201)))</f>
        <v/>
      </c>
      <c r="P201" s="14">
        <f>IF($A201="","",IF(INDEX('潜水記録'!$O$5:$O$3004,$AS201)="","",INDEX('潜水記録'!$O$5:$O$3004,$AS201)))</f>
        <v/>
      </c>
      <c r="Q201" s="14">
        <f>IF($A201="","",IF(INDEX('潜水記録'!$P$5:$P$3004,$AS201)="","",INDEX('潜水記録'!$P$5:$P$3004,$AS201)))</f>
        <v/>
      </c>
      <c r="R201" s="14">
        <f>IF($A201="","",IF(INDEX('潜水記録'!$Q$5:$Q$3004,$AS201)="","",INDEX('潜水記録'!$Q$5:$Q$3004,$AS201)))</f>
        <v/>
      </c>
      <c r="S201" s="14">
        <f>IF($A201="","",IF(INDEX('潜水記録'!$R$5:$R$3004,$AS201)="","",INDEX('潜水記録'!$R$5:$R$3004,$AS201)))</f>
        <v/>
      </c>
      <c r="T201" s="14">
        <f>IF($A201="","",IF(INDEX('潜水記録'!$S$5:$S$3004,$AS201)="","",INDEX('潜水記録'!$S$5:$S$3004,$AS201)))</f>
        <v/>
      </c>
      <c r="U201" s="14">
        <f>IF($A201="","",IF(INDEX('潜水記録'!$T$5:$T$3004,$AS201)="","",INDEX('潜水記録'!$T$5:$T$3004,$AS201)))</f>
        <v/>
      </c>
      <c r="V201" s="46">
        <f>IF($A201="","",IF(INDEX('潜水記録'!$U$5:$U$3004,$AS201)="","",INDEX('潜水記録'!$U$5:$U$3004,$AS201)))</f>
        <v/>
      </c>
      <c r="W201" s="46">
        <f>IF($A201="","",IF(INDEX('潜水記録'!$V$5:$V$3004,$AS201)="","",INDEX('潜水記録'!$V$5:$V$3004,$AS201)))</f>
        <v/>
      </c>
      <c r="X201" s="14">
        <f>IF($A201="","",IF(INDEX('潜水記録'!$W$5:$W$3004,$AS201)="","",INDEX('潜水記録'!$W$5:$W$3004,$AS201)))</f>
        <v/>
      </c>
      <c r="Y201" s="14">
        <f>IF($A201="","",IF(INDEX('潜水記録'!$X$5:$X$3004,$AS201)="","",INDEX('潜水記録'!$X$5:$X$3004,$AS201)))</f>
        <v/>
      </c>
      <c r="Z201" s="14">
        <f>IF($A201="","",IF(INDEX('潜水記録'!$Y$5:$Y$3004,$AS201)="","",INDEX('潜水記録'!$Y$5:$Y$3004,$AS201)))</f>
        <v/>
      </c>
      <c r="AA201" s="14">
        <f>IF($A201="","",IF(INDEX('潜水記録'!$Z$5:$Z$3004,$AS201)="","",INDEX('潜水記録'!$Z$5:$Z$3004,$AS201)))</f>
        <v/>
      </c>
      <c r="AB201" s="14">
        <f>IF($A201="","",IF(INDEX('潜水記録'!$AA$5:$AA$3004,$AS201)="","",INDEX('潜水記録'!$AA$5:$AA$3004,$AS201)))</f>
        <v/>
      </c>
      <c r="AC201" s="14">
        <f>IF($A201="","",IF(INDEX('潜水記録'!$AB$5:$AB$3004,$AS201)="","",INDEX('潜水記録'!$AB$5:$AB$3004,$AS201)))</f>
        <v/>
      </c>
      <c r="AD201" s="14">
        <f>IF($A201="","",IF(INDEX('潜水記録'!$AC$5:$AC$3004,$AS201)="","",INDEX('潜水記録'!$AC$5:$AC$3004,$AS201)))</f>
        <v/>
      </c>
      <c r="AE201" s="14">
        <f>IF($A201="","",IF(INDEX('潜水記録'!$AD$5:$AD$3004,$AS201)="","",INDEX('潜水記録'!$AD$5:$AD$3004,$AS201)))</f>
        <v/>
      </c>
      <c r="AF201" s="14">
        <f>IF($A201="","",IF(INDEX('潜水記録'!$AE$5:$AE$3004,$AS201)="","",INDEX('潜水記録'!$AE$5:$AE$3004,$AS201)))</f>
        <v/>
      </c>
      <c r="AG201" s="14">
        <f>IF($A201="","",IF(INDEX('潜水記録'!$AL$5:$AL$3004,$AS201)="","",INDEX('潜水記録'!$AL$5:$AL$3004,$AS201)))</f>
        <v/>
      </c>
      <c r="AH201" s="14">
        <f>IF($A201="","",IF(INDEX('潜水記録'!$AM$5:$AM$3004,$AS201)="","",INDEX('潜水記録'!$AM$5:$AM$3004,$AS201)))</f>
        <v/>
      </c>
      <c r="AI201" s="46">
        <f>IF($A201="","",IF(INDEX('潜水記録'!$AN$5:$AN$3004,$AS201)="","",INDEX('潜水記録'!$AN$5:$AN$3004,$AS201)))</f>
        <v/>
      </c>
      <c r="AJ201" s="14">
        <f>IF($A201="","",IF(INDEX('潜水記録'!$AO$5:$AO$3004,$AS201)="","",INDEX('潜水記録'!$AO$5:$AO$3004,$AS201)))</f>
        <v/>
      </c>
      <c r="AK201" s="14">
        <f>IF($A201="","",IF(INDEX('潜水記録'!$AP$5:$AP$3004,$AS201)="","",INDEX('潜水記録'!$AP$5:$AP$3004,$AS201)))</f>
        <v/>
      </c>
      <c r="AL201" s="14">
        <f>IF($A201="","",IF(INDEX('潜水記録'!$AQ$5:$AQ$3004,$AS201)="","",INDEX('潜水記録'!$AQ$5:$AQ$3004,$AS201)))</f>
        <v/>
      </c>
      <c r="AM201" s="14">
        <f>IF($A201="","",IF(INDEX('潜水記録'!$AR$5:$AR$3004,$AS201)="","",INDEX('潜水記録'!$AR$5:$AR$3004,$AS201)))</f>
        <v/>
      </c>
      <c r="AN201" s="14">
        <f>IF($A201="","",IF(INDEX('潜水記録'!$AS$5:$AS$3004,$AS201)="","",INDEX('潜水記録'!$AS$5:$AS$3004,$AS201)))</f>
        <v/>
      </c>
      <c r="AO201" s="14">
        <f>IF($A201="","",IF(INDEX('潜水記録'!$AT$5:$AT$3004,$AS201)="","",INDEX('潜水記録'!$AT$5:$AT$3004,$AS201)))</f>
        <v/>
      </c>
      <c r="AP201" s="14">
        <f>IF($A201="","",IF(INDEX('潜水記録'!$AU$5:$AU$3004,$AS201)="","",INDEX('潜水記録'!$AU$5:$AU$3004,$AS201)))</f>
        <v/>
      </c>
      <c r="AQ201" s="14">
        <f>IF($A201="","",IF(INDEX('潜水記録'!$AV$5:$AV$3004,$AS201)="","",INDEX('潜水記録'!$AV$5:$AV$3004,$AS201)))</f>
        <v/>
      </c>
      <c r="AR201" s="14">
        <f>IF($A201="","",IF(INDEX('潜水記録'!$AW$5:$AW$3004,$AS201)="","",INDEX('潜水記録'!$AW$5:$AW$3004,$AS201)))</f>
        <v/>
      </c>
      <c r="AS201" s="20">
        <f>IF($A201="","",MATCH($A201,'潜水記録'!$AI$5:$AI$3004,0))</f>
        <v/>
      </c>
    </row>
    <row r="202">
      <c r="A202" s="14">
        <f>IF(192&lt;=$C$8,192,"")</f>
        <v/>
      </c>
      <c r="B202" s="16">
        <f>IF($A202="","",IF(INDEX('潜水記録'!$A$5:$A$3004,$AS202)="","",INDEX('潜水記録'!$A$5:$A$3004,$AS202)))</f>
        <v/>
      </c>
      <c r="C202" s="14">
        <f>IF($A202="","",IF(INDEX('潜水記録'!$B$5:$B$3004,$AS202)="","",INDEX('潜水記録'!$B$5:$B$3004,$AS202)))</f>
        <v/>
      </c>
      <c r="D202" s="14">
        <f>IF($A202="","",IF(INDEX('潜水記録'!$C$5:$C$3004,$AS202)="","",INDEX('潜水記録'!$C$5:$C$3004,$AS202)))</f>
        <v/>
      </c>
      <c r="E202" s="14">
        <f>IF($A202="","",IF(INDEX('潜水記録'!$D$5:$D$3004,$AS202)="","",INDEX('潜水記録'!$D$5:$D$3004,$AS202)))</f>
        <v/>
      </c>
      <c r="F202" s="14">
        <f>IF($A202="","",IF(INDEX('潜水記録'!$E$5:$E$3004,$AS202)="","",INDEX('潜水記録'!$E$5:$E$3004,$AS202)))</f>
        <v/>
      </c>
      <c r="G202" s="14">
        <f>IF($A202="","",IF(INDEX('潜水記録'!$F$5:$F$3004,$AS202)="","",INDEX('潜水記録'!$F$5:$F$3004,$AS202)))</f>
        <v/>
      </c>
      <c r="H202" s="14">
        <f>IF($A202="","",IF(INDEX('潜水記録'!$G$5:$G$3004,$AS202)="","",INDEX('潜水記録'!$G$5:$G$3004,$AS202)))</f>
        <v/>
      </c>
      <c r="I202" s="14">
        <f>IF($A202="","",IF(INDEX('潜水記録'!$H$5:$H$3004,$AS202)="","",INDEX('潜水記録'!$H$5:$H$3004,$AS202)))</f>
        <v/>
      </c>
      <c r="J202" s="14">
        <f>IF($A202="","",IF(INDEX('潜水記録'!$I$5:$I$3004,$AS202)="","",INDEX('潜水記録'!$I$5:$I$3004,$AS202)))</f>
        <v/>
      </c>
      <c r="K202" s="14">
        <f>IF($A202="","",IF(INDEX('潜水記録'!$J$5:$J$3004,$AS202)="","",INDEX('潜水記録'!$J$5:$J$3004,$AS202)))</f>
        <v/>
      </c>
      <c r="L202" s="14">
        <f>IF($A202="","",IF(INDEX('潜水記録'!$K$5:$K$3004,$AS202)="","",INDEX('潜水記録'!$K$5:$K$3004,$AS202)))</f>
        <v/>
      </c>
      <c r="M202" s="14">
        <f>IF($A202="","",IF(INDEX('潜水記録'!$L$5:$L$3004,$AS202)="","",INDEX('潜水記録'!$L$5:$L$3004,$AS202)))</f>
        <v/>
      </c>
      <c r="N202" s="14">
        <f>IF($A202="","",IF(INDEX('潜水記録'!$M$5:$M$3004,$AS202)="","",INDEX('潜水記録'!$M$5:$M$3004,$AS202)))</f>
        <v/>
      </c>
      <c r="O202" s="14">
        <f>IF($A202="","",IF(INDEX('潜水記録'!$N$5:$N$3004,$AS202)="","",INDEX('潜水記録'!$N$5:$N$3004,$AS202)))</f>
        <v/>
      </c>
      <c r="P202" s="14">
        <f>IF($A202="","",IF(INDEX('潜水記録'!$O$5:$O$3004,$AS202)="","",INDEX('潜水記録'!$O$5:$O$3004,$AS202)))</f>
        <v/>
      </c>
      <c r="Q202" s="14">
        <f>IF($A202="","",IF(INDEX('潜水記録'!$P$5:$P$3004,$AS202)="","",INDEX('潜水記録'!$P$5:$P$3004,$AS202)))</f>
        <v/>
      </c>
      <c r="R202" s="14">
        <f>IF($A202="","",IF(INDEX('潜水記録'!$Q$5:$Q$3004,$AS202)="","",INDEX('潜水記録'!$Q$5:$Q$3004,$AS202)))</f>
        <v/>
      </c>
      <c r="S202" s="14">
        <f>IF($A202="","",IF(INDEX('潜水記録'!$R$5:$R$3004,$AS202)="","",INDEX('潜水記録'!$R$5:$R$3004,$AS202)))</f>
        <v/>
      </c>
      <c r="T202" s="14">
        <f>IF($A202="","",IF(INDEX('潜水記録'!$S$5:$S$3004,$AS202)="","",INDEX('潜水記録'!$S$5:$S$3004,$AS202)))</f>
        <v/>
      </c>
      <c r="U202" s="14">
        <f>IF($A202="","",IF(INDEX('潜水記録'!$T$5:$T$3004,$AS202)="","",INDEX('潜水記録'!$T$5:$T$3004,$AS202)))</f>
        <v/>
      </c>
      <c r="V202" s="46">
        <f>IF($A202="","",IF(INDEX('潜水記録'!$U$5:$U$3004,$AS202)="","",INDEX('潜水記録'!$U$5:$U$3004,$AS202)))</f>
        <v/>
      </c>
      <c r="W202" s="46">
        <f>IF($A202="","",IF(INDEX('潜水記録'!$V$5:$V$3004,$AS202)="","",INDEX('潜水記録'!$V$5:$V$3004,$AS202)))</f>
        <v/>
      </c>
      <c r="X202" s="14">
        <f>IF($A202="","",IF(INDEX('潜水記録'!$W$5:$W$3004,$AS202)="","",INDEX('潜水記録'!$W$5:$W$3004,$AS202)))</f>
        <v/>
      </c>
      <c r="Y202" s="14">
        <f>IF($A202="","",IF(INDEX('潜水記録'!$X$5:$X$3004,$AS202)="","",INDEX('潜水記録'!$X$5:$X$3004,$AS202)))</f>
        <v/>
      </c>
      <c r="Z202" s="14">
        <f>IF($A202="","",IF(INDEX('潜水記録'!$Y$5:$Y$3004,$AS202)="","",INDEX('潜水記録'!$Y$5:$Y$3004,$AS202)))</f>
        <v/>
      </c>
      <c r="AA202" s="14">
        <f>IF($A202="","",IF(INDEX('潜水記録'!$Z$5:$Z$3004,$AS202)="","",INDEX('潜水記録'!$Z$5:$Z$3004,$AS202)))</f>
        <v/>
      </c>
      <c r="AB202" s="14">
        <f>IF($A202="","",IF(INDEX('潜水記録'!$AA$5:$AA$3004,$AS202)="","",INDEX('潜水記録'!$AA$5:$AA$3004,$AS202)))</f>
        <v/>
      </c>
      <c r="AC202" s="14">
        <f>IF($A202="","",IF(INDEX('潜水記録'!$AB$5:$AB$3004,$AS202)="","",INDEX('潜水記録'!$AB$5:$AB$3004,$AS202)))</f>
        <v/>
      </c>
      <c r="AD202" s="14">
        <f>IF($A202="","",IF(INDEX('潜水記録'!$AC$5:$AC$3004,$AS202)="","",INDEX('潜水記録'!$AC$5:$AC$3004,$AS202)))</f>
        <v/>
      </c>
      <c r="AE202" s="14">
        <f>IF($A202="","",IF(INDEX('潜水記録'!$AD$5:$AD$3004,$AS202)="","",INDEX('潜水記録'!$AD$5:$AD$3004,$AS202)))</f>
        <v/>
      </c>
      <c r="AF202" s="14">
        <f>IF($A202="","",IF(INDEX('潜水記録'!$AE$5:$AE$3004,$AS202)="","",INDEX('潜水記録'!$AE$5:$AE$3004,$AS202)))</f>
        <v/>
      </c>
      <c r="AG202" s="14">
        <f>IF($A202="","",IF(INDEX('潜水記録'!$AL$5:$AL$3004,$AS202)="","",INDEX('潜水記録'!$AL$5:$AL$3004,$AS202)))</f>
        <v/>
      </c>
      <c r="AH202" s="14">
        <f>IF($A202="","",IF(INDEX('潜水記録'!$AM$5:$AM$3004,$AS202)="","",INDEX('潜水記録'!$AM$5:$AM$3004,$AS202)))</f>
        <v/>
      </c>
      <c r="AI202" s="46">
        <f>IF($A202="","",IF(INDEX('潜水記録'!$AN$5:$AN$3004,$AS202)="","",INDEX('潜水記録'!$AN$5:$AN$3004,$AS202)))</f>
        <v/>
      </c>
      <c r="AJ202" s="14">
        <f>IF($A202="","",IF(INDEX('潜水記録'!$AO$5:$AO$3004,$AS202)="","",INDEX('潜水記録'!$AO$5:$AO$3004,$AS202)))</f>
        <v/>
      </c>
      <c r="AK202" s="14">
        <f>IF($A202="","",IF(INDEX('潜水記録'!$AP$5:$AP$3004,$AS202)="","",INDEX('潜水記録'!$AP$5:$AP$3004,$AS202)))</f>
        <v/>
      </c>
      <c r="AL202" s="14">
        <f>IF($A202="","",IF(INDEX('潜水記録'!$AQ$5:$AQ$3004,$AS202)="","",INDEX('潜水記録'!$AQ$5:$AQ$3004,$AS202)))</f>
        <v/>
      </c>
      <c r="AM202" s="14">
        <f>IF($A202="","",IF(INDEX('潜水記録'!$AR$5:$AR$3004,$AS202)="","",INDEX('潜水記録'!$AR$5:$AR$3004,$AS202)))</f>
        <v/>
      </c>
      <c r="AN202" s="14">
        <f>IF($A202="","",IF(INDEX('潜水記録'!$AS$5:$AS$3004,$AS202)="","",INDEX('潜水記録'!$AS$5:$AS$3004,$AS202)))</f>
        <v/>
      </c>
      <c r="AO202" s="14">
        <f>IF($A202="","",IF(INDEX('潜水記録'!$AT$5:$AT$3004,$AS202)="","",INDEX('潜水記録'!$AT$5:$AT$3004,$AS202)))</f>
        <v/>
      </c>
      <c r="AP202" s="14">
        <f>IF($A202="","",IF(INDEX('潜水記録'!$AU$5:$AU$3004,$AS202)="","",INDEX('潜水記録'!$AU$5:$AU$3004,$AS202)))</f>
        <v/>
      </c>
      <c r="AQ202" s="14">
        <f>IF($A202="","",IF(INDEX('潜水記録'!$AV$5:$AV$3004,$AS202)="","",INDEX('潜水記録'!$AV$5:$AV$3004,$AS202)))</f>
        <v/>
      </c>
      <c r="AR202" s="14">
        <f>IF($A202="","",IF(INDEX('潜水記録'!$AW$5:$AW$3004,$AS202)="","",INDEX('潜水記録'!$AW$5:$AW$3004,$AS202)))</f>
        <v/>
      </c>
      <c r="AS202" s="20">
        <f>IF($A202="","",MATCH($A202,'潜水記録'!$AI$5:$AI$3004,0))</f>
        <v/>
      </c>
    </row>
    <row r="203">
      <c r="A203" s="14">
        <f>IF(193&lt;=$C$8,193,"")</f>
        <v/>
      </c>
      <c r="B203" s="16">
        <f>IF($A203="","",IF(INDEX('潜水記録'!$A$5:$A$3004,$AS203)="","",INDEX('潜水記録'!$A$5:$A$3004,$AS203)))</f>
        <v/>
      </c>
      <c r="C203" s="14">
        <f>IF($A203="","",IF(INDEX('潜水記録'!$B$5:$B$3004,$AS203)="","",INDEX('潜水記録'!$B$5:$B$3004,$AS203)))</f>
        <v/>
      </c>
      <c r="D203" s="14">
        <f>IF($A203="","",IF(INDEX('潜水記録'!$C$5:$C$3004,$AS203)="","",INDEX('潜水記録'!$C$5:$C$3004,$AS203)))</f>
        <v/>
      </c>
      <c r="E203" s="14">
        <f>IF($A203="","",IF(INDEX('潜水記録'!$D$5:$D$3004,$AS203)="","",INDEX('潜水記録'!$D$5:$D$3004,$AS203)))</f>
        <v/>
      </c>
      <c r="F203" s="14">
        <f>IF($A203="","",IF(INDEX('潜水記録'!$E$5:$E$3004,$AS203)="","",INDEX('潜水記録'!$E$5:$E$3004,$AS203)))</f>
        <v/>
      </c>
      <c r="G203" s="14">
        <f>IF($A203="","",IF(INDEX('潜水記録'!$F$5:$F$3004,$AS203)="","",INDEX('潜水記録'!$F$5:$F$3004,$AS203)))</f>
        <v/>
      </c>
      <c r="H203" s="14">
        <f>IF($A203="","",IF(INDEX('潜水記録'!$G$5:$G$3004,$AS203)="","",INDEX('潜水記録'!$G$5:$G$3004,$AS203)))</f>
        <v/>
      </c>
      <c r="I203" s="14">
        <f>IF($A203="","",IF(INDEX('潜水記録'!$H$5:$H$3004,$AS203)="","",INDEX('潜水記録'!$H$5:$H$3004,$AS203)))</f>
        <v/>
      </c>
      <c r="J203" s="14">
        <f>IF($A203="","",IF(INDEX('潜水記録'!$I$5:$I$3004,$AS203)="","",INDEX('潜水記録'!$I$5:$I$3004,$AS203)))</f>
        <v/>
      </c>
      <c r="K203" s="14">
        <f>IF($A203="","",IF(INDEX('潜水記録'!$J$5:$J$3004,$AS203)="","",INDEX('潜水記録'!$J$5:$J$3004,$AS203)))</f>
        <v/>
      </c>
      <c r="L203" s="14">
        <f>IF($A203="","",IF(INDEX('潜水記録'!$K$5:$K$3004,$AS203)="","",INDEX('潜水記録'!$K$5:$K$3004,$AS203)))</f>
        <v/>
      </c>
      <c r="M203" s="14">
        <f>IF($A203="","",IF(INDEX('潜水記録'!$L$5:$L$3004,$AS203)="","",INDEX('潜水記録'!$L$5:$L$3004,$AS203)))</f>
        <v/>
      </c>
      <c r="N203" s="14">
        <f>IF($A203="","",IF(INDEX('潜水記録'!$M$5:$M$3004,$AS203)="","",INDEX('潜水記録'!$M$5:$M$3004,$AS203)))</f>
        <v/>
      </c>
      <c r="O203" s="14">
        <f>IF($A203="","",IF(INDEX('潜水記録'!$N$5:$N$3004,$AS203)="","",INDEX('潜水記録'!$N$5:$N$3004,$AS203)))</f>
        <v/>
      </c>
      <c r="P203" s="14">
        <f>IF($A203="","",IF(INDEX('潜水記録'!$O$5:$O$3004,$AS203)="","",INDEX('潜水記録'!$O$5:$O$3004,$AS203)))</f>
        <v/>
      </c>
      <c r="Q203" s="14">
        <f>IF($A203="","",IF(INDEX('潜水記録'!$P$5:$P$3004,$AS203)="","",INDEX('潜水記録'!$P$5:$P$3004,$AS203)))</f>
        <v/>
      </c>
      <c r="R203" s="14">
        <f>IF($A203="","",IF(INDEX('潜水記録'!$Q$5:$Q$3004,$AS203)="","",INDEX('潜水記録'!$Q$5:$Q$3004,$AS203)))</f>
        <v/>
      </c>
      <c r="S203" s="14">
        <f>IF($A203="","",IF(INDEX('潜水記録'!$R$5:$R$3004,$AS203)="","",INDEX('潜水記録'!$R$5:$R$3004,$AS203)))</f>
        <v/>
      </c>
      <c r="T203" s="14">
        <f>IF($A203="","",IF(INDEX('潜水記録'!$S$5:$S$3004,$AS203)="","",INDEX('潜水記録'!$S$5:$S$3004,$AS203)))</f>
        <v/>
      </c>
      <c r="U203" s="14">
        <f>IF($A203="","",IF(INDEX('潜水記録'!$T$5:$T$3004,$AS203)="","",INDEX('潜水記録'!$T$5:$T$3004,$AS203)))</f>
        <v/>
      </c>
      <c r="V203" s="46">
        <f>IF($A203="","",IF(INDEX('潜水記録'!$U$5:$U$3004,$AS203)="","",INDEX('潜水記録'!$U$5:$U$3004,$AS203)))</f>
        <v/>
      </c>
      <c r="W203" s="46">
        <f>IF($A203="","",IF(INDEX('潜水記録'!$V$5:$V$3004,$AS203)="","",INDEX('潜水記録'!$V$5:$V$3004,$AS203)))</f>
        <v/>
      </c>
      <c r="X203" s="14">
        <f>IF($A203="","",IF(INDEX('潜水記録'!$W$5:$W$3004,$AS203)="","",INDEX('潜水記録'!$W$5:$W$3004,$AS203)))</f>
        <v/>
      </c>
      <c r="Y203" s="14">
        <f>IF($A203="","",IF(INDEX('潜水記録'!$X$5:$X$3004,$AS203)="","",INDEX('潜水記録'!$X$5:$X$3004,$AS203)))</f>
        <v/>
      </c>
      <c r="Z203" s="14">
        <f>IF($A203="","",IF(INDEX('潜水記録'!$Y$5:$Y$3004,$AS203)="","",INDEX('潜水記録'!$Y$5:$Y$3004,$AS203)))</f>
        <v/>
      </c>
      <c r="AA203" s="14">
        <f>IF($A203="","",IF(INDEX('潜水記録'!$Z$5:$Z$3004,$AS203)="","",INDEX('潜水記録'!$Z$5:$Z$3004,$AS203)))</f>
        <v/>
      </c>
      <c r="AB203" s="14">
        <f>IF($A203="","",IF(INDEX('潜水記録'!$AA$5:$AA$3004,$AS203)="","",INDEX('潜水記録'!$AA$5:$AA$3004,$AS203)))</f>
        <v/>
      </c>
      <c r="AC203" s="14">
        <f>IF($A203="","",IF(INDEX('潜水記録'!$AB$5:$AB$3004,$AS203)="","",INDEX('潜水記録'!$AB$5:$AB$3004,$AS203)))</f>
        <v/>
      </c>
      <c r="AD203" s="14">
        <f>IF($A203="","",IF(INDEX('潜水記録'!$AC$5:$AC$3004,$AS203)="","",INDEX('潜水記録'!$AC$5:$AC$3004,$AS203)))</f>
        <v/>
      </c>
      <c r="AE203" s="14">
        <f>IF($A203="","",IF(INDEX('潜水記録'!$AD$5:$AD$3004,$AS203)="","",INDEX('潜水記録'!$AD$5:$AD$3004,$AS203)))</f>
        <v/>
      </c>
      <c r="AF203" s="14">
        <f>IF($A203="","",IF(INDEX('潜水記録'!$AE$5:$AE$3004,$AS203)="","",INDEX('潜水記録'!$AE$5:$AE$3004,$AS203)))</f>
        <v/>
      </c>
      <c r="AG203" s="14">
        <f>IF($A203="","",IF(INDEX('潜水記録'!$AL$5:$AL$3004,$AS203)="","",INDEX('潜水記録'!$AL$5:$AL$3004,$AS203)))</f>
        <v/>
      </c>
      <c r="AH203" s="14">
        <f>IF($A203="","",IF(INDEX('潜水記録'!$AM$5:$AM$3004,$AS203)="","",INDEX('潜水記録'!$AM$5:$AM$3004,$AS203)))</f>
        <v/>
      </c>
      <c r="AI203" s="46">
        <f>IF($A203="","",IF(INDEX('潜水記録'!$AN$5:$AN$3004,$AS203)="","",INDEX('潜水記録'!$AN$5:$AN$3004,$AS203)))</f>
        <v/>
      </c>
      <c r="AJ203" s="14">
        <f>IF($A203="","",IF(INDEX('潜水記録'!$AO$5:$AO$3004,$AS203)="","",INDEX('潜水記録'!$AO$5:$AO$3004,$AS203)))</f>
        <v/>
      </c>
      <c r="AK203" s="14">
        <f>IF($A203="","",IF(INDEX('潜水記録'!$AP$5:$AP$3004,$AS203)="","",INDEX('潜水記録'!$AP$5:$AP$3004,$AS203)))</f>
        <v/>
      </c>
      <c r="AL203" s="14">
        <f>IF($A203="","",IF(INDEX('潜水記録'!$AQ$5:$AQ$3004,$AS203)="","",INDEX('潜水記録'!$AQ$5:$AQ$3004,$AS203)))</f>
        <v/>
      </c>
      <c r="AM203" s="14">
        <f>IF($A203="","",IF(INDEX('潜水記録'!$AR$5:$AR$3004,$AS203)="","",INDEX('潜水記録'!$AR$5:$AR$3004,$AS203)))</f>
        <v/>
      </c>
      <c r="AN203" s="14">
        <f>IF($A203="","",IF(INDEX('潜水記録'!$AS$5:$AS$3004,$AS203)="","",INDEX('潜水記録'!$AS$5:$AS$3004,$AS203)))</f>
        <v/>
      </c>
      <c r="AO203" s="14">
        <f>IF($A203="","",IF(INDEX('潜水記録'!$AT$5:$AT$3004,$AS203)="","",INDEX('潜水記録'!$AT$5:$AT$3004,$AS203)))</f>
        <v/>
      </c>
      <c r="AP203" s="14">
        <f>IF($A203="","",IF(INDEX('潜水記録'!$AU$5:$AU$3004,$AS203)="","",INDEX('潜水記録'!$AU$5:$AU$3004,$AS203)))</f>
        <v/>
      </c>
      <c r="AQ203" s="14">
        <f>IF($A203="","",IF(INDEX('潜水記録'!$AV$5:$AV$3004,$AS203)="","",INDEX('潜水記録'!$AV$5:$AV$3004,$AS203)))</f>
        <v/>
      </c>
      <c r="AR203" s="14">
        <f>IF($A203="","",IF(INDEX('潜水記録'!$AW$5:$AW$3004,$AS203)="","",INDEX('潜水記録'!$AW$5:$AW$3004,$AS203)))</f>
        <v/>
      </c>
      <c r="AS203" s="20">
        <f>IF($A203="","",MATCH($A203,'潜水記録'!$AI$5:$AI$3004,0))</f>
        <v/>
      </c>
    </row>
    <row r="204">
      <c r="A204" s="14">
        <f>IF(194&lt;=$C$8,194,"")</f>
        <v/>
      </c>
      <c r="B204" s="16">
        <f>IF($A204="","",IF(INDEX('潜水記録'!$A$5:$A$3004,$AS204)="","",INDEX('潜水記録'!$A$5:$A$3004,$AS204)))</f>
        <v/>
      </c>
      <c r="C204" s="14">
        <f>IF($A204="","",IF(INDEX('潜水記録'!$B$5:$B$3004,$AS204)="","",INDEX('潜水記録'!$B$5:$B$3004,$AS204)))</f>
        <v/>
      </c>
      <c r="D204" s="14">
        <f>IF($A204="","",IF(INDEX('潜水記録'!$C$5:$C$3004,$AS204)="","",INDEX('潜水記録'!$C$5:$C$3004,$AS204)))</f>
        <v/>
      </c>
      <c r="E204" s="14">
        <f>IF($A204="","",IF(INDEX('潜水記録'!$D$5:$D$3004,$AS204)="","",INDEX('潜水記録'!$D$5:$D$3004,$AS204)))</f>
        <v/>
      </c>
      <c r="F204" s="14">
        <f>IF($A204="","",IF(INDEX('潜水記録'!$E$5:$E$3004,$AS204)="","",INDEX('潜水記録'!$E$5:$E$3004,$AS204)))</f>
        <v/>
      </c>
      <c r="G204" s="14">
        <f>IF($A204="","",IF(INDEX('潜水記録'!$F$5:$F$3004,$AS204)="","",INDEX('潜水記録'!$F$5:$F$3004,$AS204)))</f>
        <v/>
      </c>
      <c r="H204" s="14">
        <f>IF($A204="","",IF(INDEX('潜水記録'!$G$5:$G$3004,$AS204)="","",INDEX('潜水記録'!$G$5:$G$3004,$AS204)))</f>
        <v/>
      </c>
      <c r="I204" s="14">
        <f>IF($A204="","",IF(INDEX('潜水記録'!$H$5:$H$3004,$AS204)="","",INDEX('潜水記録'!$H$5:$H$3004,$AS204)))</f>
        <v/>
      </c>
      <c r="J204" s="14">
        <f>IF($A204="","",IF(INDEX('潜水記録'!$I$5:$I$3004,$AS204)="","",INDEX('潜水記録'!$I$5:$I$3004,$AS204)))</f>
        <v/>
      </c>
      <c r="K204" s="14">
        <f>IF($A204="","",IF(INDEX('潜水記録'!$J$5:$J$3004,$AS204)="","",INDEX('潜水記録'!$J$5:$J$3004,$AS204)))</f>
        <v/>
      </c>
      <c r="L204" s="14">
        <f>IF($A204="","",IF(INDEX('潜水記録'!$K$5:$K$3004,$AS204)="","",INDEX('潜水記録'!$K$5:$K$3004,$AS204)))</f>
        <v/>
      </c>
      <c r="M204" s="14">
        <f>IF($A204="","",IF(INDEX('潜水記録'!$L$5:$L$3004,$AS204)="","",INDEX('潜水記録'!$L$5:$L$3004,$AS204)))</f>
        <v/>
      </c>
      <c r="N204" s="14">
        <f>IF($A204="","",IF(INDEX('潜水記録'!$M$5:$M$3004,$AS204)="","",INDEX('潜水記録'!$M$5:$M$3004,$AS204)))</f>
        <v/>
      </c>
      <c r="O204" s="14">
        <f>IF($A204="","",IF(INDEX('潜水記録'!$N$5:$N$3004,$AS204)="","",INDEX('潜水記録'!$N$5:$N$3004,$AS204)))</f>
        <v/>
      </c>
      <c r="P204" s="14">
        <f>IF($A204="","",IF(INDEX('潜水記録'!$O$5:$O$3004,$AS204)="","",INDEX('潜水記録'!$O$5:$O$3004,$AS204)))</f>
        <v/>
      </c>
      <c r="Q204" s="14">
        <f>IF($A204="","",IF(INDEX('潜水記録'!$P$5:$P$3004,$AS204)="","",INDEX('潜水記録'!$P$5:$P$3004,$AS204)))</f>
        <v/>
      </c>
      <c r="R204" s="14">
        <f>IF($A204="","",IF(INDEX('潜水記録'!$Q$5:$Q$3004,$AS204)="","",INDEX('潜水記録'!$Q$5:$Q$3004,$AS204)))</f>
        <v/>
      </c>
      <c r="S204" s="14">
        <f>IF($A204="","",IF(INDEX('潜水記録'!$R$5:$R$3004,$AS204)="","",INDEX('潜水記録'!$R$5:$R$3004,$AS204)))</f>
        <v/>
      </c>
      <c r="T204" s="14">
        <f>IF($A204="","",IF(INDEX('潜水記録'!$S$5:$S$3004,$AS204)="","",INDEX('潜水記録'!$S$5:$S$3004,$AS204)))</f>
        <v/>
      </c>
      <c r="U204" s="14">
        <f>IF($A204="","",IF(INDEX('潜水記録'!$T$5:$T$3004,$AS204)="","",INDEX('潜水記録'!$T$5:$T$3004,$AS204)))</f>
        <v/>
      </c>
      <c r="V204" s="46">
        <f>IF($A204="","",IF(INDEX('潜水記録'!$U$5:$U$3004,$AS204)="","",INDEX('潜水記録'!$U$5:$U$3004,$AS204)))</f>
        <v/>
      </c>
      <c r="W204" s="46">
        <f>IF($A204="","",IF(INDEX('潜水記録'!$V$5:$V$3004,$AS204)="","",INDEX('潜水記録'!$V$5:$V$3004,$AS204)))</f>
        <v/>
      </c>
      <c r="X204" s="14">
        <f>IF($A204="","",IF(INDEX('潜水記録'!$W$5:$W$3004,$AS204)="","",INDEX('潜水記録'!$W$5:$W$3004,$AS204)))</f>
        <v/>
      </c>
      <c r="Y204" s="14">
        <f>IF($A204="","",IF(INDEX('潜水記録'!$X$5:$X$3004,$AS204)="","",INDEX('潜水記録'!$X$5:$X$3004,$AS204)))</f>
        <v/>
      </c>
      <c r="Z204" s="14">
        <f>IF($A204="","",IF(INDEX('潜水記録'!$Y$5:$Y$3004,$AS204)="","",INDEX('潜水記録'!$Y$5:$Y$3004,$AS204)))</f>
        <v/>
      </c>
      <c r="AA204" s="14">
        <f>IF($A204="","",IF(INDEX('潜水記録'!$Z$5:$Z$3004,$AS204)="","",INDEX('潜水記録'!$Z$5:$Z$3004,$AS204)))</f>
        <v/>
      </c>
      <c r="AB204" s="14">
        <f>IF($A204="","",IF(INDEX('潜水記録'!$AA$5:$AA$3004,$AS204)="","",INDEX('潜水記録'!$AA$5:$AA$3004,$AS204)))</f>
        <v/>
      </c>
      <c r="AC204" s="14">
        <f>IF($A204="","",IF(INDEX('潜水記録'!$AB$5:$AB$3004,$AS204)="","",INDEX('潜水記録'!$AB$5:$AB$3004,$AS204)))</f>
        <v/>
      </c>
      <c r="AD204" s="14">
        <f>IF($A204="","",IF(INDEX('潜水記録'!$AC$5:$AC$3004,$AS204)="","",INDEX('潜水記録'!$AC$5:$AC$3004,$AS204)))</f>
        <v/>
      </c>
      <c r="AE204" s="14">
        <f>IF($A204="","",IF(INDEX('潜水記録'!$AD$5:$AD$3004,$AS204)="","",INDEX('潜水記録'!$AD$5:$AD$3004,$AS204)))</f>
        <v/>
      </c>
      <c r="AF204" s="14">
        <f>IF($A204="","",IF(INDEX('潜水記録'!$AE$5:$AE$3004,$AS204)="","",INDEX('潜水記録'!$AE$5:$AE$3004,$AS204)))</f>
        <v/>
      </c>
      <c r="AG204" s="14">
        <f>IF($A204="","",IF(INDEX('潜水記録'!$AL$5:$AL$3004,$AS204)="","",INDEX('潜水記録'!$AL$5:$AL$3004,$AS204)))</f>
        <v/>
      </c>
      <c r="AH204" s="14">
        <f>IF($A204="","",IF(INDEX('潜水記録'!$AM$5:$AM$3004,$AS204)="","",INDEX('潜水記録'!$AM$5:$AM$3004,$AS204)))</f>
        <v/>
      </c>
      <c r="AI204" s="46">
        <f>IF($A204="","",IF(INDEX('潜水記録'!$AN$5:$AN$3004,$AS204)="","",INDEX('潜水記録'!$AN$5:$AN$3004,$AS204)))</f>
        <v/>
      </c>
      <c r="AJ204" s="14">
        <f>IF($A204="","",IF(INDEX('潜水記録'!$AO$5:$AO$3004,$AS204)="","",INDEX('潜水記録'!$AO$5:$AO$3004,$AS204)))</f>
        <v/>
      </c>
      <c r="AK204" s="14">
        <f>IF($A204="","",IF(INDEX('潜水記録'!$AP$5:$AP$3004,$AS204)="","",INDEX('潜水記録'!$AP$5:$AP$3004,$AS204)))</f>
        <v/>
      </c>
      <c r="AL204" s="14">
        <f>IF($A204="","",IF(INDEX('潜水記録'!$AQ$5:$AQ$3004,$AS204)="","",INDEX('潜水記録'!$AQ$5:$AQ$3004,$AS204)))</f>
        <v/>
      </c>
      <c r="AM204" s="14">
        <f>IF($A204="","",IF(INDEX('潜水記録'!$AR$5:$AR$3004,$AS204)="","",INDEX('潜水記録'!$AR$5:$AR$3004,$AS204)))</f>
        <v/>
      </c>
      <c r="AN204" s="14">
        <f>IF($A204="","",IF(INDEX('潜水記録'!$AS$5:$AS$3004,$AS204)="","",INDEX('潜水記録'!$AS$5:$AS$3004,$AS204)))</f>
        <v/>
      </c>
      <c r="AO204" s="14">
        <f>IF($A204="","",IF(INDEX('潜水記録'!$AT$5:$AT$3004,$AS204)="","",INDEX('潜水記録'!$AT$5:$AT$3004,$AS204)))</f>
        <v/>
      </c>
      <c r="AP204" s="14">
        <f>IF($A204="","",IF(INDEX('潜水記録'!$AU$5:$AU$3004,$AS204)="","",INDEX('潜水記録'!$AU$5:$AU$3004,$AS204)))</f>
        <v/>
      </c>
      <c r="AQ204" s="14">
        <f>IF($A204="","",IF(INDEX('潜水記録'!$AV$5:$AV$3004,$AS204)="","",INDEX('潜水記録'!$AV$5:$AV$3004,$AS204)))</f>
        <v/>
      </c>
      <c r="AR204" s="14">
        <f>IF($A204="","",IF(INDEX('潜水記録'!$AW$5:$AW$3004,$AS204)="","",INDEX('潜水記録'!$AW$5:$AW$3004,$AS204)))</f>
        <v/>
      </c>
      <c r="AS204" s="20">
        <f>IF($A204="","",MATCH($A204,'潜水記録'!$AI$5:$AI$3004,0))</f>
        <v/>
      </c>
    </row>
    <row r="205">
      <c r="A205" s="14">
        <f>IF(195&lt;=$C$8,195,"")</f>
        <v/>
      </c>
      <c r="B205" s="16">
        <f>IF($A205="","",IF(INDEX('潜水記録'!$A$5:$A$3004,$AS205)="","",INDEX('潜水記録'!$A$5:$A$3004,$AS205)))</f>
        <v/>
      </c>
      <c r="C205" s="14">
        <f>IF($A205="","",IF(INDEX('潜水記録'!$B$5:$B$3004,$AS205)="","",INDEX('潜水記録'!$B$5:$B$3004,$AS205)))</f>
        <v/>
      </c>
      <c r="D205" s="14">
        <f>IF($A205="","",IF(INDEX('潜水記録'!$C$5:$C$3004,$AS205)="","",INDEX('潜水記録'!$C$5:$C$3004,$AS205)))</f>
        <v/>
      </c>
      <c r="E205" s="14">
        <f>IF($A205="","",IF(INDEX('潜水記録'!$D$5:$D$3004,$AS205)="","",INDEX('潜水記録'!$D$5:$D$3004,$AS205)))</f>
        <v/>
      </c>
      <c r="F205" s="14">
        <f>IF($A205="","",IF(INDEX('潜水記録'!$E$5:$E$3004,$AS205)="","",INDEX('潜水記録'!$E$5:$E$3004,$AS205)))</f>
        <v/>
      </c>
      <c r="G205" s="14">
        <f>IF($A205="","",IF(INDEX('潜水記録'!$F$5:$F$3004,$AS205)="","",INDEX('潜水記録'!$F$5:$F$3004,$AS205)))</f>
        <v/>
      </c>
      <c r="H205" s="14">
        <f>IF($A205="","",IF(INDEX('潜水記録'!$G$5:$G$3004,$AS205)="","",INDEX('潜水記録'!$G$5:$G$3004,$AS205)))</f>
        <v/>
      </c>
      <c r="I205" s="14">
        <f>IF($A205="","",IF(INDEX('潜水記録'!$H$5:$H$3004,$AS205)="","",INDEX('潜水記録'!$H$5:$H$3004,$AS205)))</f>
        <v/>
      </c>
      <c r="J205" s="14">
        <f>IF($A205="","",IF(INDEX('潜水記録'!$I$5:$I$3004,$AS205)="","",INDEX('潜水記録'!$I$5:$I$3004,$AS205)))</f>
        <v/>
      </c>
      <c r="K205" s="14">
        <f>IF($A205="","",IF(INDEX('潜水記録'!$J$5:$J$3004,$AS205)="","",INDEX('潜水記録'!$J$5:$J$3004,$AS205)))</f>
        <v/>
      </c>
      <c r="L205" s="14">
        <f>IF($A205="","",IF(INDEX('潜水記録'!$K$5:$K$3004,$AS205)="","",INDEX('潜水記録'!$K$5:$K$3004,$AS205)))</f>
        <v/>
      </c>
      <c r="M205" s="14">
        <f>IF($A205="","",IF(INDEX('潜水記録'!$L$5:$L$3004,$AS205)="","",INDEX('潜水記録'!$L$5:$L$3004,$AS205)))</f>
        <v/>
      </c>
      <c r="N205" s="14">
        <f>IF($A205="","",IF(INDEX('潜水記録'!$M$5:$M$3004,$AS205)="","",INDEX('潜水記録'!$M$5:$M$3004,$AS205)))</f>
        <v/>
      </c>
      <c r="O205" s="14">
        <f>IF($A205="","",IF(INDEX('潜水記録'!$N$5:$N$3004,$AS205)="","",INDEX('潜水記録'!$N$5:$N$3004,$AS205)))</f>
        <v/>
      </c>
      <c r="P205" s="14">
        <f>IF($A205="","",IF(INDEX('潜水記録'!$O$5:$O$3004,$AS205)="","",INDEX('潜水記録'!$O$5:$O$3004,$AS205)))</f>
        <v/>
      </c>
      <c r="Q205" s="14">
        <f>IF($A205="","",IF(INDEX('潜水記録'!$P$5:$P$3004,$AS205)="","",INDEX('潜水記録'!$P$5:$P$3004,$AS205)))</f>
        <v/>
      </c>
      <c r="R205" s="14">
        <f>IF($A205="","",IF(INDEX('潜水記録'!$Q$5:$Q$3004,$AS205)="","",INDEX('潜水記録'!$Q$5:$Q$3004,$AS205)))</f>
        <v/>
      </c>
      <c r="S205" s="14">
        <f>IF($A205="","",IF(INDEX('潜水記録'!$R$5:$R$3004,$AS205)="","",INDEX('潜水記録'!$R$5:$R$3004,$AS205)))</f>
        <v/>
      </c>
      <c r="T205" s="14">
        <f>IF($A205="","",IF(INDEX('潜水記録'!$S$5:$S$3004,$AS205)="","",INDEX('潜水記録'!$S$5:$S$3004,$AS205)))</f>
        <v/>
      </c>
      <c r="U205" s="14">
        <f>IF($A205="","",IF(INDEX('潜水記録'!$T$5:$T$3004,$AS205)="","",INDEX('潜水記録'!$T$5:$T$3004,$AS205)))</f>
        <v/>
      </c>
      <c r="V205" s="46">
        <f>IF($A205="","",IF(INDEX('潜水記録'!$U$5:$U$3004,$AS205)="","",INDEX('潜水記録'!$U$5:$U$3004,$AS205)))</f>
        <v/>
      </c>
      <c r="W205" s="46">
        <f>IF($A205="","",IF(INDEX('潜水記録'!$V$5:$V$3004,$AS205)="","",INDEX('潜水記録'!$V$5:$V$3004,$AS205)))</f>
        <v/>
      </c>
      <c r="X205" s="14">
        <f>IF($A205="","",IF(INDEX('潜水記録'!$W$5:$W$3004,$AS205)="","",INDEX('潜水記録'!$W$5:$W$3004,$AS205)))</f>
        <v/>
      </c>
      <c r="Y205" s="14">
        <f>IF($A205="","",IF(INDEX('潜水記録'!$X$5:$X$3004,$AS205)="","",INDEX('潜水記録'!$X$5:$X$3004,$AS205)))</f>
        <v/>
      </c>
      <c r="Z205" s="14">
        <f>IF($A205="","",IF(INDEX('潜水記録'!$Y$5:$Y$3004,$AS205)="","",INDEX('潜水記録'!$Y$5:$Y$3004,$AS205)))</f>
        <v/>
      </c>
      <c r="AA205" s="14">
        <f>IF($A205="","",IF(INDEX('潜水記録'!$Z$5:$Z$3004,$AS205)="","",INDEX('潜水記録'!$Z$5:$Z$3004,$AS205)))</f>
        <v/>
      </c>
      <c r="AB205" s="14">
        <f>IF($A205="","",IF(INDEX('潜水記録'!$AA$5:$AA$3004,$AS205)="","",INDEX('潜水記録'!$AA$5:$AA$3004,$AS205)))</f>
        <v/>
      </c>
      <c r="AC205" s="14">
        <f>IF($A205="","",IF(INDEX('潜水記録'!$AB$5:$AB$3004,$AS205)="","",INDEX('潜水記録'!$AB$5:$AB$3004,$AS205)))</f>
        <v/>
      </c>
      <c r="AD205" s="14">
        <f>IF($A205="","",IF(INDEX('潜水記録'!$AC$5:$AC$3004,$AS205)="","",INDEX('潜水記録'!$AC$5:$AC$3004,$AS205)))</f>
        <v/>
      </c>
      <c r="AE205" s="14">
        <f>IF($A205="","",IF(INDEX('潜水記録'!$AD$5:$AD$3004,$AS205)="","",INDEX('潜水記録'!$AD$5:$AD$3004,$AS205)))</f>
        <v/>
      </c>
      <c r="AF205" s="14">
        <f>IF($A205="","",IF(INDEX('潜水記録'!$AE$5:$AE$3004,$AS205)="","",INDEX('潜水記録'!$AE$5:$AE$3004,$AS205)))</f>
        <v/>
      </c>
      <c r="AG205" s="14">
        <f>IF($A205="","",IF(INDEX('潜水記録'!$AL$5:$AL$3004,$AS205)="","",INDEX('潜水記録'!$AL$5:$AL$3004,$AS205)))</f>
        <v/>
      </c>
      <c r="AH205" s="14">
        <f>IF($A205="","",IF(INDEX('潜水記録'!$AM$5:$AM$3004,$AS205)="","",INDEX('潜水記録'!$AM$5:$AM$3004,$AS205)))</f>
        <v/>
      </c>
      <c r="AI205" s="46">
        <f>IF($A205="","",IF(INDEX('潜水記録'!$AN$5:$AN$3004,$AS205)="","",INDEX('潜水記録'!$AN$5:$AN$3004,$AS205)))</f>
        <v/>
      </c>
      <c r="AJ205" s="14">
        <f>IF($A205="","",IF(INDEX('潜水記録'!$AO$5:$AO$3004,$AS205)="","",INDEX('潜水記録'!$AO$5:$AO$3004,$AS205)))</f>
        <v/>
      </c>
      <c r="AK205" s="14">
        <f>IF($A205="","",IF(INDEX('潜水記録'!$AP$5:$AP$3004,$AS205)="","",INDEX('潜水記録'!$AP$5:$AP$3004,$AS205)))</f>
        <v/>
      </c>
      <c r="AL205" s="14">
        <f>IF($A205="","",IF(INDEX('潜水記録'!$AQ$5:$AQ$3004,$AS205)="","",INDEX('潜水記録'!$AQ$5:$AQ$3004,$AS205)))</f>
        <v/>
      </c>
      <c r="AM205" s="14">
        <f>IF($A205="","",IF(INDEX('潜水記録'!$AR$5:$AR$3004,$AS205)="","",INDEX('潜水記録'!$AR$5:$AR$3004,$AS205)))</f>
        <v/>
      </c>
      <c r="AN205" s="14">
        <f>IF($A205="","",IF(INDEX('潜水記録'!$AS$5:$AS$3004,$AS205)="","",INDEX('潜水記録'!$AS$5:$AS$3004,$AS205)))</f>
        <v/>
      </c>
      <c r="AO205" s="14">
        <f>IF($A205="","",IF(INDEX('潜水記録'!$AT$5:$AT$3004,$AS205)="","",INDEX('潜水記録'!$AT$5:$AT$3004,$AS205)))</f>
        <v/>
      </c>
      <c r="AP205" s="14">
        <f>IF($A205="","",IF(INDEX('潜水記録'!$AU$5:$AU$3004,$AS205)="","",INDEX('潜水記録'!$AU$5:$AU$3004,$AS205)))</f>
        <v/>
      </c>
      <c r="AQ205" s="14">
        <f>IF($A205="","",IF(INDEX('潜水記録'!$AV$5:$AV$3004,$AS205)="","",INDEX('潜水記録'!$AV$5:$AV$3004,$AS205)))</f>
        <v/>
      </c>
      <c r="AR205" s="14">
        <f>IF($A205="","",IF(INDEX('潜水記録'!$AW$5:$AW$3004,$AS205)="","",INDEX('潜水記録'!$AW$5:$AW$3004,$AS205)))</f>
        <v/>
      </c>
      <c r="AS205" s="20">
        <f>IF($A205="","",MATCH($A205,'潜水記録'!$AI$5:$AI$3004,0))</f>
        <v/>
      </c>
    </row>
    <row r="206">
      <c r="A206" s="14">
        <f>IF(196&lt;=$C$8,196,"")</f>
        <v/>
      </c>
      <c r="B206" s="16">
        <f>IF($A206="","",IF(INDEX('潜水記録'!$A$5:$A$3004,$AS206)="","",INDEX('潜水記録'!$A$5:$A$3004,$AS206)))</f>
        <v/>
      </c>
      <c r="C206" s="14">
        <f>IF($A206="","",IF(INDEX('潜水記録'!$B$5:$B$3004,$AS206)="","",INDEX('潜水記録'!$B$5:$B$3004,$AS206)))</f>
        <v/>
      </c>
      <c r="D206" s="14">
        <f>IF($A206="","",IF(INDEX('潜水記録'!$C$5:$C$3004,$AS206)="","",INDEX('潜水記録'!$C$5:$C$3004,$AS206)))</f>
        <v/>
      </c>
      <c r="E206" s="14">
        <f>IF($A206="","",IF(INDEX('潜水記録'!$D$5:$D$3004,$AS206)="","",INDEX('潜水記録'!$D$5:$D$3004,$AS206)))</f>
        <v/>
      </c>
      <c r="F206" s="14">
        <f>IF($A206="","",IF(INDEX('潜水記録'!$E$5:$E$3004,$AS206)="","",INDEX('潜水記録'!$E$5:$E$3004,$AS206)))</f>
        <v/>
      </c>
      <c r="G206" s="14">
        <f>IF($A206="","",IF(INDEX('潜水記録'!$F$5:$F$3004,$AS206)="","",INDEX('潜水記録'!$F$5:$F$3004,$AS206)))</f>
        <v/>
      </c>
      <c r="H206" s="14">
        <f>IF($A206="","",IF(INDEX('潜水記録'!$G$5:$G$3004,$AS206)="","",INDEX('潜水記録'!$G$5:$G$3004,$AS206)))</f>
        <v/>
      </c>
      <c r="I206" s="14">
        <f>IF($A206="","",IF(INDEX('潜水記録'!$H$5:$H$3004,$AS206)="","",INDEX('潜水記録'!$H$5:$H$3004,$AS206)))</f>
        <v/>
      </c>
      <c r="J206" s="14">
        <f>IF($A206="","",IF(INDEX('潜水記録'!$I$5:$I$3004,$AS206)="","",INDEX('潜水記録'!$I$5:$I$3004,$AS206)))</f>
        <v/>
      </c>
      <c r="K206" s="14">
        <f>IF($A206="","",IF(INDEX('潜水記録'!$J$5:$J$3004,$AS206)="","",INDEX('潜水記録'!$J$5:$J$3004,$AS206)))</f>
        <v/>
      </c>
      <c r="L206" s="14">
        <f>IF($A206="","",IF(INDEX('潜水記録'!$K$5:$K$3004,$AS206)="","",INDEX('潜水記録'!$K$5:$K$3004,$AS206)))</f>
        <v/>
      </c>
      <c r="M206" s="14">
        <f>IF($A206="","",IF(INDEX('潜水記録'!$L$5:$L$3004,$AS206)="","",INDEX('潜水記録'!$L$5:$L$3004,$AS206)))</f>
        <v/>
      </c>
      <c r="N206" s="14">
        <f>IF($A206="","",IF(INDEX('潜水記録'!$M$5:$M$3004,$AS206)="","",INDEX('潜水記録'!$M$5:$M$3004,$AS206)))</f>
        <v/>
      </c>
      <c r="O206" s="14">
        <f>IF($A206="","",IF(INDEX('潜水記録'!$N$5:$N$3004,$AS206)="","",INDEX('潜水記録'!$N$5:$N$3004,$AS206)))</f>
        <v/>
      </c>
      <c r="P206" s="14">
        <f>IF($A206="","",IF(INDEX('潜水記録'!$O$5:$O$3004,$AS206)="","",INDEX('潜水記録'!$O$5:$O$3004,$AS206)))</f>
        <v/>
      </c>
      <c r="Q206" s="14">
        <f>IF($A206="","",IF(INDEX('潜水記録'!$P$5:$P$3004,$AS206)="","",INDEX('潜水記録'!$P$5:$P$3004,$AS206)))</f>
        <v/>
      </c>
      <c r="R206" s="14">
        <f>IF($A206="","",IF(INDEX('潜水記録'!$Q$5:$Q$3004,$AS206)="","",INDEX('潜水記録'!$Q$5:$Q$3004,$AS206)))</f>
        <v/>
      </c>
      <c r="S206" s="14">
        <f>IF($A206="","",IF(INDEX('潜水記録'!$R$5:$R$3004,$AS206)="","",INDEX('潜水記録'!$R$5:$R$3004,$AS206)))</f>
        <v/>
      </c>
      <c r="T206" s="14">
        <f>IF($A206="","",IF(INDEX('潜水記録'!$S$5:$S$3004,$AS206)="","",INDEX('潜水記録'!$S$5:$S$3004,$AS206)))</f>
        <v/>
      </c>
      <c r="U206" s="14">
        <f>IF($A206="","",IF(INDEX('潜水記録'!$T$5:$T$3004,$AS206)="","",INDEX('潜水記録'!$T$5:$T$3004,$AS206)))</f>
        <v/>
      </c>
      <c r="V206" s="46">
        <f>IF($A206="","",IF(INDEX('潜水記録'!$U$5:$U$3004,$AS206)="","",INDEX('潜水記録'!$U$5:$U$3004,$AS206)))</f>
        <v/>
      </c>
      <c r="W206" s="46">
        <f>IF($A206="","",IF(INDEX('潜水記録'!$V$5:$V$3004,$AS206)="","",INDEX('潜水記録'!$V$5:$V$3004,$AS206)))</f>
        <v/>
      </c>
      <c r="X206" s="14">
        <f>IF($A206="","",IF(INDEX('潜水記録'!$W$5:$W$3004,$AS206)="","",INDEX('潜水記録'!$W$5:$W$3004,$AS206)))</f>
        <v/>
      </c>
      <c r="Y206" s="14">
        <f>IF($A206="","",IF(INDEX('潜水記録'!$X$5:$X$3004,$AS206)="","",INDEX('潜水記録'!$X$5:$X$3004,$AS206)))</f>
        <v/>
      </c>
      <c r="Z206" s="14">
        <f>IF($A206="","",IF(INDEX('潜水記録'!$Y$5:$Y$3004,$AS206)="","",INDEX('潜水記録'!$Y$5:$Y$3004,$AS206)))</f>
        <v/>
      </c>
      <c r="AA206" s="14">
        <f>IF($A206="","",IF(INDEX('潜水記録'!$Z$5:$Z$3004,$AS206)="","",INDEX('潜水記録'!$Z$5:$Z$3004,$AS206)))</f>
        <v/>
      </c>
      <c r="AB206" s="14">
        <f>IF($A206="","",IF(INDEX('潜水記録'!$AA$5:$AA$3004,$AS206)="","",INDEX('潜水記録'!$AA$5:$AA$3004,$AS206)))</f>
        <v/>
      </c>
      <c r="AC206" s="14">
        <f>IF($A206="","",IF(INDEX('潜水記録'!$AB$5:$AB$3004,$AS206)="","",INDEX('潜水記録'!$AB$5:$AB$3004,$AS206)))</f>
        <v/>
      </c>
      <c r="AD206" s="14">
        <f>IF($A206="","",IF(INDEX('潜水記録'!$AC$5:$AC$3004,$AS206)="","",INDEX('潜水記録'!$AC$5:$AC$3004,$AS206)))</f>
        <v/>
      </c>
      <c r="AE206" s="14">
        <f>IF($A206="","",IF(INDEX('潜水記録'!$AD$5:$AD$3004,$AS206)="","",INDEX('潜水記録'!$AD$5:$AD$3004,$AS206)))</f>
        <v/>
      </c>
      <c r="AF206" s="14">
        <f>IF($A206="","",IF(INDEX('潜水記録'!$AE$5:$AE$3004,$AS206)="","",INDEX('潜水記録'!$AE$5:$AE$3004,$AS206)))</f>
        <v/>
      </c>
      <c r="AG206" s="14">
        <f>IF($A206="","",IF(INDEX('潜水記録'!$AL$5:$AL$3004,$AS206)="","",INDEX('潜水記録'!$AL$5:$AL$3004,$AS206)))</f>
        <v/>
      </c>
      <c r="AH206" s="14">
        <f>IF($A206="","",IF(INDEX('潜水記録'!$AM$5:$AM$3004,$AS206)="","",INDEX('潜水記録'!$AM$5:$AM$3004,$AS206)))</f>
        <v/>
      </c>
      <c r="AI206" s="46">
        <f>IF($A206="","",IF(INDEX('潜水記録'!$AN$5:$AN$3004,$AS206)="","",INDEX('潜水記録'!$AN$5:$AN$3004,$AS206)))</f>
        <v/>
      </c>
      <c r="AJ206" s="14">
        <f>IF($A206="","",IF(INDEX('潜水記録'!$AO$5:$AO$3004,$AS206)="","",INDEX('潜水記録'!$AO$5:$AO$3004,$AS206)))</f>
        <v/>
      </c>
      <c r="AK206" s="14">
        <f>IF($A206="","",IF(INDEX('潜水記録'!$AP$5:$AP$3004,$AS206)="","",INDEX('潜水記録'!$AP$5:$AP$3004,$AS206)))</f>
        <v/>
      </c>
      <c r="AL206" s="14">
        <f>IF($A206="","",IF(INDEX('潜水記録'!$AQ$5:$AQ$3004,$AS206)="","",INDEX('潜水記録'!$AQ$5:$AQ$3004,$AS206)))</f>
        <v/>
      </c>
      <c r="AM206" s="14">
        <f>IF($A206="","",IF(INDEX('潜水記録'!$AR$5:$AR$3004,$AS206)="","",INDEX('潜水記録'!$AR$5:$AR$3004,$AS206)))</f>
        <v/>
      </c>
      <c r="AN206" s="14">
        <f>IF($A206="","",IF(INDEX('潜水記録'!$AS$5:$AS$3004,$AS206)="","",INDEX('潜水記録'!$AS$5:$AS$3004,$AS206)))</f>
        <v/>
      </c>
      <c r="AO206" s="14">
        <f>IF($A206="","",IF(INDEX('潜水記録'!$AT$5:$AT$3004,$AS206)="","",INDEX('潜水記録'!$AT$5:$AT$3004,$AS206)))</f>
        <v/>
      </c>
      <c r="AP206" s="14">
        <f>IF($A206="","",IF(INDEX('潜水記録'!$AU$5:$AU$3004,$AS206)="","",INDEX('潜水記録'!$AU$5:$AU$3004,$AS206)))</f>
        <v/>
      </c>
      <c r="AQ206" s="14">
        <f>IF($A206="","",IF(INDEX('潜水記録'!$AV$5:$AV$3004,$AS206)="","",INDEX('潜水記録'!$AV$5:$AV$3004,$AS206)))</f>
        <v/>
      </c>
      <c r="AR206" s="14">
        <f>IF($A206="","",IF(INDEX('潜水記録'!$AW$5:$AW$3004,$AS206)="","",INDEX('潜水記録'!$AW$5:$AW$3004,$AS206)))</f>
        <v/>
      </c>
      <c r="AS206" s="20">
        <f>IF($A206="","",MATCH($A206,'潜水記録'!$AI$5:$AI$3004,0))</f>
        <v/>
      </c>
    </row>
    <row r="207">
      <c r="A207" s="14">
        <f>IF(197&lt;=$C$8,197,"")</f>
        <v/>
      </c>
      <c r="B207" s="16">
        <f>IF($A207="","",IF(INDEX('潜水記録'!$A$5:$A$3004,$AS207)="","",INDEX('潜水記録'!$A$5:$A$3004,$AS207)))</f>
        <v/>
      </c>
      <c r="C207" s="14">
        <f>IF($A207="","",IF(INDEX('潜水記録'!$B$5:$B$3004,$AS207)="","",INDEX('潜水記録'!$B$5:$B$3004,$AS207)))</f>
        <v/>
      </c>
      <c r="D207" s="14">
        <f>IF($A207="","",IF(INDEX('潜水記録'!$C$5:$C$3004,$AS207)="","",INDEX('潜水記録'!$C$5:$C$3004,$AS207)))</f>
        <v/>
      </c>
      <c r="E207" s="14">
        <f>IF($A207="","",IF(INDEX('潜水記録'!$D$5:$D$3004,$AS207)="","",INDEX('潜水記録'!$D$5:$D$3004,$AS207)))</f>
        <v/>
      </c>
      <c r="F207" s="14">
        <f>IF($A207="","",IF(INDEX('潜水記録'!$E$5:$E$3004,$AS207)="","",INDEX('潜水記録'!$E$5:$E$3004,$AS207)))</f>
        <v/>
      </c>
      <c r="G207" s="14">
        <f>IF($A207="","",IF(INDEX('潜水記録'!$F$5:$F$3004,$AS207)="","",INDEX('潜水記録'!$F$5:$F$3004,$AS207)))</f>
        <v/>
      </c>
      <c r="H207" s="14">
        <f>IF($A207="","",IF(INDEX('潜水記録'!$G$5:$G$3004,$AS207)="","",INDEX('潜水記録'!$G$5:$G$3004,$AS207)))</f>
        <v/>
      </c>
      <c r="I207" s="14">
        <f>IF($A207="","",IF(INDEX('潜水記録'!$H$5:$H$3004,$AS207)="","",INDEX('潜水記録'!$H$5:$H$3004,$AS207)))</f>
        <v/>
      </c>
      <c r="J207" s="14">
        <f>IF($A207="","",IF(INDEX('潜水記録'!$I$5:$I$3004,$AS207)="","",INDEX('潜水記録'!$I$5:$I$3004,$AS207)))</f>
        <v/>
      </c>
      <c r="K207" s="14">
        <f>IF($A207="","",IF(INDEX('潜水記録'!$J$5:$J$3004,$AS207)="","",INDEX('潜水記録'!$J$5:$J$3004,$AS207)))</f>
        <v/>
      </c>
      <c r="L207" s="14">
        <f>IF($A207="","",IF(INDEX('潜水記録'!$K$5:$K$3004,$AS207)="","",INDEX('潜水記録'!$K$5:$K$3004,$AS207)))</f>
        <v/>
      </c>
      <c r="M207" s="14">
        <f>IF($A207="","",IF(INDEX('潜水記録'!$L$5:$L$3004,$AS207)="","",INDEX('潜水記録'!$L$5:$L$3004,$AS207)))</f>
        <v/>
      </c>
      <c r="N207" s="14">
        <f>IF($A207="","",IF(INDEX('潜水記録'!$M$5:$M$3004,$AS207)="","",INDEX('潜水記録'!$M$5:$M$3004,$AS207)))</f>
        <v/>
      </c>
      <c r="O207" s="14">
        <f>IF($A207="","",IF(INDEX('潜水記録'!$N$5:$N$3004,$AS207)="","",INDEX('潜水記録'!$N$5:$N$3004,$AS207)))</f>
        <v/>
      </c>
      <c r="P207" s="14">
        <f>IF($A207="","",IF(INDEX('潜水記録'!$O$5:$O$3004,$AS207)="","",INDEX('潜水記録'!$O$5:$O$3004,$AS207)))</f>
        <v/>
      </c>
      <c r="Q207" s="14">
        <f>IF($A207="","",IF(INDEX('潜水記録'!$P$5:$P$3004,$AS207)="","",INDEX('潜水記録'!$P$5:$P$3004,$AS207)))</f>
        <v/>
      </c>
      <c r="R207" s="14">
        <f>IF($A207="","",IF(INDEX('潜水記録'!$Q$5:$Q$3004,$AS207)="","",INDEX('潜水記録'!$Q$5:$Q$3004,$AS207)))</f>
        <v/>
      </c>
      <c r="S207" s="14">
        <f>IF($A207="","",IF(INDEX('潜水記録'!$R$5:$R$3004,$AS207)="","",INDEX('潜水記録'!$R$5:$R$3004,$AS207)))</f>
        <v/>
      </c>
      <c r="T207" s="14">
        <f>IF($A207="","",IF(INDEX('潜水記録'!$S$5:$S$3004,$AS207)="","",INDEX('潜水記録'!$S$5:$S$3004,$AS207)))</f>
        <v/>
      </c>
      <c r="U207" s="14">
        <f>IF($A207="","",IF(INDEX('潜水記録'!$T$5:$T$3004,$AS207)="","",INDEX('潜水記録'!$T$5:$T$3004,$AS207)))</f>
        <v/>
      </c>
      <c r="V207" s="46">
        <f>IF($A207="","",IF(INDEX('潜水記録'!$U$5:$U$3004,$AS207)="","",INDEX('潜水記録'!$U$5:$U$3004,$AS207)))</f>
        <v/>
      </c>
      <c r="W207" s="46">
        <f>IF($A207="","",IF(INDEX('潜水記録'!$V$5:$V$3004,$AS207)="","",INDEX('潜水記録'!$V$5:$V$3004,$AS207)))</f>
        <v/>
      </c>
      <c r="X207" s="14">
        <f>IF($A207="","",IF(INDEX('潜水記録'!$W$5:$W$3004,$AS207)="","",INDEX('潜水記録'!$W$5:$W$3004,$AS207)))</f>
        <v/>
      </c>
      <c r="Y207" s="14">
        <f>IF($A207="","",IF(INDEX('潜水記録'!$X$5:$X$3004,$AS207)="","",INDEX('潜水記録'!$X$5:$X$3004,$AS207)))</f>
        <v/>
      </c>
      <c r="Z207" s="14">
        <f>IF($A207="","",IF(INDEX('潜水記録'!$Y$5:$Y$3004,$AS207)="","",INDEX('潜水記録'!$Y$5:$Y$3004,$AS207)))</f>
        <v/>
      </c>
      <c r="AA207" s="14">
        <f>IF($A207="","",IF(INDEX('潜水記録'!$Z$5:$Z$3004,$AS207)="","",INDEX('潜水記録'!$Z$5:$Z$3004,$AS207)))</f>
        <v/>
      </c>
      <c r="AB207" s="14">
        <f>IF($A207="","",IF(INDEX('潜水記録'!$AA$5:$AA$3004,$AS207)="","",INDEX('潜水記録'!$AA$5:$AA$3004,$AS207)))</f>
        <v/>
      </c>
      <c r="AC207" s="14">
        <f>IF($A207="","",IF(INDEX('潜水記録'!$AB$5:$AB$3004,$AS207)="","",INDEX('潜水記録'!$AB$5:$AB$3004,$AS207)))</f>
        <v/>
      </c>
      <c r="AD207" s="14">
        <f>IF($A207="","",IF(INDEX('潜水記録'!$AC$5:$AC$3004,$AS207)="","",INDEX('潜水記録'!$AC$5:$AC$3004,$AS207)))</f>
        <v/>
      </c>
      <c r="AE207" s="14">
        <f>IF($A207="","",IF(INDEX('潜水記録'!$AD$5:$AD$3004,$AS207)="","",INDEX('潜水記録'!$AD$5:$AD$3004,$AS207)))</f>
        <v/>
      </c>
      <c r="AF207" s="14">
        <f>IF($A207="","",IF(INDEX('潜水記録'!$AE$5:$AE$3004,$AS207)="","",INDEX('潜水記録'!$AE$5:$AE$3004,$AS207)))</f>
        <v/>
      </c>
      <c r="AG207" s="14">
        <f>IF($A207="","",IF(INDEX('潜水記録'!$AL$5:$AL$3004,$AS207)="","",INDEX('潜水記録'!$AL$5:$AL$3004,$AS207)))</f>
        <v/>
      </c>
      <c r="AH207" s="14">
        <f>IF($A207="","",IF(INDEX('潜水記録'!$AM$5:$AM$3004,$AS207)="","",INDEX('潜水記録'!$AM$5:$AM$3004,$AS207)))</f>
        <v/>
      </c>
      <c r="AI207" s="46">
        <f>IF($A207="","",IF(INDEX('潜水記録'!$AN$5:$AN$3004,$AS207)="","",INDEX('潜水記録'!$AN$5:$AN$3004,$AS207)))</f>
        <v/>
      </c>
      <c r="AJ207" s="14">
        <f>IF($A207="","",IF(INDEX('潜水記録'!$AO$5:$AO$3004,$AS207)="","",INDEX('潜水記録'!$AO$5:$AO$3004,$AS207)))</f>
        <v/>
      </c>
      <c r="AK207" s="14">
        <f>IF($A207="","",IF(INDEX('潜水記録'!$AP$5:$AP$3004,$AS207)="","",INDEX('潜水記録'!$AP$5:$AP$3004,$AS207)))</f>
        <v/>
      </c>
      <c r="AL207" s="14">
        <f>IF($A207="","",IF(INDEX('潜水記録'!$AQ$5:$AQ$3004,$AS207)="","",INDEX('潜水記録'!$AQ$5:$AQ$3004,$AS207)))</f>
        <v/>
      </c>
      <c r="AM207" s="14">
        <f>IF($A207="","",IF(INDEX('潜水記録'!$AR$5:$AR$3004,$AS207)="","",INDEX('潜水記録'!$AR$5:$AR$3004,$AS207)))</f>
        <v/>
      </c>
      <c r="AN207" s="14">
        <f>IF($A207="","",IF(INDEX('潜水記録'!$AS$5:$AS$3004,$AS207)="","",INDEX('潜水記録'!$AS$5:$AS$3004,$AS207)))</f>
        <v/>
      </c>
      <c r="AO207" s="14">
        <f>IF($A207="","",IF(INDEX('潜水記録'!$AT$5:$AT$3004,$AS207)="","",INDEX('潜水記録'!$AT$5:$AT$3004,$AS207)))</f>
        <v/>
      </c>
      <c r="AP207" s="14">
        <f>IF($A207="","",IF(INDEX('潜水記録'!$AU$5:$AU$3004,$AS207)="","",INDEX('潜水記録'!$AU$5:$AU$3004,$AS207)))</f>
        <v/>
      </c>
      <c r="AQ207" s="14">
        <f>IF($A207="","",IF(INDEX('潜水記録'!$AV$5:$AV$3004,$AS207)="","",INDEX('潜水記録'!$AV$5:$AV$3004,$AS207)))</f>
        <v/>
      </c>
      <c r="AR207" s="14">
        <f>IF($A207="","",IF(INDEX('潜水記録'!$AW$5:$AW$3004,$AS207)="","",INDEX('潜水記録'!$AW$5:$AW$3004,$AS207)))</f>
        <v/>
      </c>
      <c r="AS207" s="20">
        <f>IF($A207="","",MATCH($A207,'潜水記録'!$AI$5:$AI$3004,0))</f>
        <v/>
      </c>
    </row>
    <row r="208">
      <c r="A208" s="14">
        <f>IF(198&lt;=$C$8,198,"")</f>
        <v/>
      </c>
      <c r="B208" s="16">
        <f>IF($A208="","",IF(INDEX('潜水記録'!$A$5:$A$3004,$AS208)="","",INDEX('潜水記録'!$A$5:$A$3004,$AS208)))</f>
        <v/>
      </c>
      <c r="C208" s="14">
        <f>IF($A208="","",IF(INDEX('潜水記録'!$B$5:$B$3004,$AS208)="","",INDEX('潜水記録'!$B$5:$B$3004,$AS208)))</f>
        <v/>
      </c>
      <c r="D208" s="14">
        <f>IF($A208="","",IF(INDEX('潜水記録'!$C$5:$C$3004,$AS208)="","",INDEX('潜水記録'!$C$5:$C$3004,$AS208)))</f>
        <v/>
      </c>
      <c r="E208" s="14">
        <f>IF($A208="","",IF(INDEX('潜水記録'!$D$5:$D$3004,$AS208)="","",INDEX('潜水記録'!$D$5:$D$3004,$AS208)))</f>
        <v/>
      </c>
      <c r="F208" s="14">
        <f>IF($A208="","",IF(INDEX('潜水記録'!$E$5:$E$3004,$AS208)="","",INDEX('潜水記録'!$E$5:$E$3004,$AS208)))</f>
        <v/>
      </c>
      <c r="G208" s="14">
        <f>IF($A208="","",IF(INDEX('潜水記録'!$F$5:$F$3004,$AS208)="","",INDEX('潜水記録'!$F$5:$F$3004,$AS208)))</f>
        <v/>
      </c>
      <c r="H208" s="14">
        <f>IF($A208="","",IF(INDEX('潜水記録'!$G$5:$G$3004,$AS208)="","",INDEX('潜水記録'!$G$5:$G$3004,$AS208)))</f>
        <v/>
      </c>
      <c r="I208" s="14">
        <f>IF($A208="","",IF(INDEX('潜水記録'!$H$5:$H$3004,$AS208)="","",INDEX('潜水記録'!$H$5:$H$3004,$AS208)))</f>
        <v/>
      </c>
      <c r="J208" s="14">
        <f>IF($A208="","",IF(INDEX('潜水記録'!$I$5:$I$3004,$AS208)="","",INDEX('潜水記録'!$I$5:$I$3004,$AS208)))</f>
        <v/>
      </c>
      <c r="K208" s="14">
        <f>IF($A208="","",IF(INDEX('潜水記録'!$J$5:$J$3004,$AS208)="","",INDEX('潜水記録'!$J$5:$J$3004,$AS208)))</f>
        <v/>
      </c>
      <c r="L208" s="14">
        <f>IF($A208="","",IF(INDEX('潜水記録'!$K$5:$K$3004,$AS208)="","",INDEX('潜水記録'!$K$5:$K$3004,$AS208)))</f>
        <v/>
      </c>
      <c r="M208" s="14">
        <f>IF($A208="","",IF(INDEX('潜水記録'!$L$5:$L$3004,$AS208)="","",INDEX('潜水記録'!$L$5:$L$3004,$AS208)))</f>
        <v/>
      </c>
      <c r="N208" s="14">
        <f>IF($A208="","",IF(INDEX('潜水記録'!$M$5:$M$3004,$AS208)="","",INDEX('潜水記録'!$M$5:$M$3004,$AS208)))</f>
        <v/>
      </c>
      <c r="O208" s="14">
        <f>IF($A208="","",IF(INDEX('潜水記録'!$N$5:$N$3004,$AS208)="","",INDEX('潜水記録'!$N$5:$N$3004,$AS208)))</f>
        <v/>
      </c>
      <c r="P208" s="14">
        <f>IF($A208="","",IF(INDEX('潜水記録'!$O$5:$O$3004,$AS208)="","",INDEX('潜水記録'!$O$5:$O$3004,$AS208)))</f>
        <v/>
      </c>
      <c r="Q208" s="14">
        <f>IF($A208="","",IF(INDEX('潜水記録'!$P$5:$P$3004,$AS208)="","",INDEX('潜水記録'!$P$5:$P$3004,$AS208)))</f>
        <v/>
      </c>
      <c r="R208" s="14">
        <f>IF($A208="","",IF(INDEX('潜水記録'!$Q$5:$Q$3004,$AS208)="","",INDEX('潜水記録'!$Q$5:$Q$3004,$AS208)))</f>
        <v/>
      </c>
      <c r="S208" s="14">
        <f>IF($A208="","",IF(INDEX('潜水記録'!$R$5:$R$3004,$AS208)="","",INDEX('潜水記録'!$R$5:$R$3004,$AS208)))</f>
        <v/>
      </c>
      <c r="T208" s="14">
        <f>IF($A208="","",IF(INDEX('潜水記録'!$S$5:$S$3004,$AS208)="","",INDEX('潜水記録'!$S$5:$S$3004,$AS208)))</f>
        <v/>
      </c>
      <c r="U208" s="14">
        <f>IF($A208="","",IF(INDEX('潜水記録'!$T$5:$T$3004,$AS208)="","",INDEX('潜水記録'!$T$5:$T$3004,$AS208)))</f>
        <v/>
      </c>
      <c r="V208" s="46">
        <f>IF($A208="","",IF(INDEX('潜水記録'!$U$5:$U$3004,$AS208)="","",INDEX('潜水記録'!$U$5:$U$3004,$AS208)))</f>
        <v/>
      </c>
      <c r="W208" s="46">
        <f>IF($A208="","",IF(INDEX('潜水記録'!$V$5:$V$3004,$AS208)="","",INDEX('潜水記録'!$V$5:$V$3004,$AS208)))</f>
        <v/>
      </c>
      <c r="X208" s="14">
        <f>IF($A208="","",IF(INDEX('潜水記録'!$W$5:$W$3004,$AS208)="","",INDEX('潜水記録'!$W$5:$W$3004,$AS208)))</f>
        <v/>
      </c>
      <c r="Y208" s="14">
        <f>IF($A208="","",IF(INDEX('潜水記録'!$X$5:$X$3004,$AS208)="","",INDEX('潜水記録'!$X$5:$X$3004,$AS208)))</f>
        <v/>
      </c>
      <c r="Z208" s="14">
        <f>IF($A208="","",IF(INDEX('潜水記録'!$Y$5:$Y$3004,$AS208)="","",INDEX('潜水記録'!$Y$5:$Y$3004,$AS208)))</f>
        <v/>
      </c>
      <c r="AA208" s="14">
        <f>IF($A208="","",IF(INDEX('潜水記録'!$Z$5:$Z$3004,$AS208)="","",INDEX('潜水記録'!$Z$5:$Z$3004,$AS208)))</f>
        <v/>
      </c>
      <c r="AB208" s="14">
        <f>IF($A208="","",IF(INDEX('潜水記録'!$AA$5:$AA$3004,$AS208)="","",INDEX('潜水記録'!$AA$5:$AA$3004,$AS208)))</f>
        <v/>
      </c>
      <c r="AC208" s="14">
        <f>IF($A208="","",IF(INDEX('潜水記録'!$AB$5:$AB$3004,$AS208)="","",INDEX('潜水記録'!$AB$5:$AB$3004,$AS208)))</f>
        <v/>
      </c>
      <c r="AD208" s="14">
        <f>IF($A208="","",IF(INDEX('潜水記録'!$AC$5:$AC$3004,$AS208)="","",INDEX('潜水記録'!$AC$5:$AC$3004,$AS208)))</f>
        <v/>
      </c>
      <c r="AE208" s="14">
        <f>IF($A208="","",IF(INDEX('潜水記録'!$AD$5:$AD$3004,$AS208)="","",INDEX('潜水記録'!$AD$5:$AD$3004,$AS208)))</f>
        <v/>
      </c>
      <c r="AF208" s="14">
        <f>IF($A208="","",IF(INDEX('潜水記録'!$AE$5:$AE$3004,$AS208)="","",INDEX('潜水記録'!$AE$5:$AE$3004,$AS208)))</f>
        <v/>
      </c>
      <c r="AG208" s="14">
        <f>IF($A208="","",IF(INDEX('潜水記録'!$AL$5:$AL$3004,$AS208)="","",INDEX('潜水記録'!$AL$5:$AL$3004,$AS208)))</f>
        <v/>
      </c>
      <c r="AH208" s="14">
        <f>IF($A208="","",IF(INDEX('潜水記録'!$AM$5:$AM$3004,$AS208)="","",INDEX('潜水記録'!$AM$5:$AM$3004,$AS208)))</f>
        <v/>
      </c>
      <c r="AI208" s="46">
        <f>IF($A208="","",IF(INDEX('潜水記録'!$AN$5:$AN$3004,$AS208)="","",INDEX('潜水記録'!$AN$5:$AN$3004,$AS208)))</f>
        <v/>
      </c>
      <c r="AJ208" s="14">
        <f>IF($A208="","",IF(INDEX('潜水記録'!$AO$5:$AO$3004,$AS208)="","",INDEX('潜水記録'!$AO$5:$AO$3004,$AS208)))</f>
        <v/>
      </c>
      <c r="AK208" s="14">
        <f>IF($A208="","",IF(INDEX('潜水記録'!$AP$5:$AP$3004,$AS208)="","",INDEX('潜水記録'!$AP$5:$AP$3004,$AS208)))</f>
        <v/>
      </c>
      <c r="AL208" s="14">
        <f>IF($A208="","",IF(INDEX('潜水記録'!$AQ$5:$AQ$3004,$AS208)="","",INDEX('潜水記録'!$AQ$5:$AQ$3004,$AS208)))</f>
        <v/>
      </c>
      <c r="AM208" s="14">
        <f>IF($A208="","",IF(INDEX('潜水記録'!$AR$5:$AR$3004,$AS208)="","",INDEX('潜水記録'!$AR$5:$AR$3004,$AS208)))</f>
        <v/>
      </c>
      <c r="AN208" s="14">
        <f>IF($A208="","",IF(INDEX('潜水記録'!$AS$5:$AS$3004,$AS208)="","",INDEX('潜水記録'!$AS$5:$AS$3004,$AS208)))</f>
        <v/>
      </c>
      <c r="AO208" s="14">
        <f>IF($A208="","",IF(INDEX('潜水記録'!$AT$5:$AT$3004,$AS208)="","",INDEX('潜水記録'!$AT$5:$AT$3004,$AS208)))</f>
        <v/>
      </c>
      <c r="AP208" s="14">
        <f>IF($A208="","",IF(INDEX('潜水記録'!$AU$5:$AU$3004,$AS208)="","",INDEX('潜水記録'!$AU$5:$AU$3004,$AS208)))</f>
        <v/>
      </c>
      <c r="AQ208" s="14">
        <f>IF($A208="","",IF(INDEX('潜水記録'!$AV$5:$AV$3004,$AS208)="","",INDEX('潜水記録'!$AV$5:$AV$3004,$AS208)))</f>
        <v/>
      </c>
      <c r="AR208" s="14">
        <f>IF($A208="","",IF(INDEX('潜水記録'!$AW$5:$AW$3004,$AS208)="","",INDEX('潜水記録'!$AW$5:$AW$3004,$AS208)))</f>
        <v/>
      </c>
      <c r="AS208" s="20">
        <f>IF($A208="","",MATCH($A208,'潜水記録'!$AI$5:$AI$3004,0))</f>
        <v/>
      </c>
    </row>
    <row r="209">
      <c r="A209" s="14">
        <f>IF(199&lt;=$C$8,199,"")</f>
        <v/>
      </c>
      <c r="B209" s="16">
        <f>IF($A209="","",IF(INDEX('潜水記録'!$A$5:$A$3004,$AS209)="","",INDEX('潜水記録'!$A$5:$A$3004,$AS209)))</f>
        <v/>
      </c>
      <c r="C209" s="14">
        <f>IF($A209="","",IF(INDEX('潜水記録'!$B$5:$B$3004,$AS209)="","",INDEX('潜水記録'!$B$5:$B$3004,$AS209)))</f>
        <v/>
      </c>
      <c r="D209" s="14">
        <f>IF($A209="","",IF(INDEX('潜水記録'!$C$5:$C$3004,$AS209)="","",INDEX('潜水記録'!$C$5:$C$3004,$AS209)))</f>
        <v/>
      </c>
      <c r="E209" s="14">
        <f>IF($A209="","",IF(INDEX('潜水記録'!$D$5:$D$3004,$AS209)="","",INDEX('潜水記録'!$D$5:$D$3004,$AS209)))</f>
        <v/>
      </c>
      <c r="F209" s="14">
        <f>IF($A209="","",IF(INDEX('潜水記録'!$E$5:$E$3004,$AS209)="","",INDEX('潜水記録'!$E$5:$E$3004,$AS209)))</f>
        <v/>
      </c>
      <c r="G209" s="14">
        <f>IF($A209="","",IF(INDEX('潜水記録'!$F$5:$F$3004,$AS209)="","",INDEX('潜水記録'!$F$5:$F$3004,$AS209)))</f>
        <v/>
      </c>
      <c r="H209" s="14">
        <f>IF($A209="","",IF(INDEX('潜水記録'!$G$5:$G$3004,$AS209)="","",INDEX('潜水記録'!$G$5:$G$3004,$AS209)))</f>
        <v/>
      </c>
      <c r="I209" s="14">
        <f>IF($A209="","",IF(INDEX('潜水記録'!$H$5:$H$3004,$AS209)="","",INDEX('潜水記録'!$H$5:$H$3004,$AS209)))</f>
        <v/>
      </c>
      <c r="J209" s="14">
        <f>IF($A209="","",IF(INDEX('潜水記録'!$I$5:$I$3004,$AS209)="","",INDEX('潜水記録'!$I$5:$I$3004,$AS209)))</f>
        <v/>
      </c>
      <c r="K209" s="14">
        <f>IF($A209="","",IF(INDEX('潜水記録'!$J$5:$J$3004,$AS209)="","",INDEX('潜水記録'!$J$5:$J$3004,$AS209)))</f>
        <v/>
      </c>
      <c r="L209" s="14">
        <f>IF($A209="","",IF(INDEX('潜水記録'!$K$5:$K$3004,$AS209)="","",INDEX('潜水記録'!$K$5:$K$3004,$AS209)))</f>
        <v/>
      </c>
      <c r="M209" s="14">
        <f>IF($A209="","",IF(INDEX('潜水記録'!$L$5:$L$3004,$AS209)="","",INDEX('潜水記録'!$L$5:$L$3004,$AS209)))</f>
        <v/>
      </c>
      <c r="N209" s="14">
        <f>IF($A209="","",IF(INDEX('潜水記録'!$M$5:$M$3004,$AS209)="","",INDEX('潜水記録'!$M$5:$M$3004,$AS209)))</f>
        <v/>
      </c>
      <c r="O209" s="14">
        <f>IF($A209="","",IF(INDEX('潜水記録'!$N$5:$N$3004,$AS209)="","",INDEX('潜水記録'!$N$5:$N$3004,$AS209)))</f>
        <v/>
      </c>
      <c r="P209" s="14">
        <f>IF($A209="","",IF(INDEX('潜水記録'!$O$5:$O$3004,$AS209)="","",INDEX('潜水記録'!$O$5:$O$3004,$AS209)))</f>
        <v/>
      </c>
      <c r="Q209" s="14">
        <f>IF($A209="","",IF(INDEX('潜水記録'!$P$5:$P$3004,$AS209)="","",INDEX('潜水記録'!$P$5:$P$3004,$AS209)))</f>
        <v/>
      </c>
      <c r="R209" s="14">
        <f>IF($A209="","",IF(INDEX('潜水記録'!$Q$5:$Q$3004,$AS209)="","",INDEX('潜水記録'!$Q$5:$Q$3004,$AS209)))</f>
        <v/>
      </c>
      <c r="S209" s="14">
        <f>IF($A209="","",IF(INDEX('潜水記録'!$R$5:$R$3004,$AS209)="","",INDEX('潜水記録'!$R$5:$R$3004,$AS209)))</f>
        <v/>
      </c>
      <c r="T209" s="14">
        <f>IF($A209="","",IF(INDEX('潜水記録'!$S$5:$S$3004,$AS209)="","",INDEX('潜水記録'!$S$5:$S$3004,$AS209)))</f>
        <v/>
      </c>
      <c r="U209" s="14">
        <f>IF($A209="","",IF(INDEX('潜水記録'!$T$5:$T$3004,$AS209)="","",INDEX('潜水記録'!$T$5:$T$3004,$AS209)))</f>
        <v/>
      </c>
      <c r="V209" s="46">
        <f>IF($A209="","",IF(INDEX('潜水記録'!$U$5:$U$3004,$AS209)="","",INDEX('潜水記録'!$U$5:$U$3004,$AS209)))</f>
        <v/>
      </c>
      <c r="W209" s="46">
        <f>IF($A209="","",IF(INDEX('潜水記録'!$V$5:$V$3004,$AS209)="","",INDEX('潜水記録'!$V$5:$V$3004,$AS209)))</f>
        <v/>
      </c>
      <c r="X209" s="14">
        <f>IF($A209="","",IF(INDEX('潜水記録'!$W$5:$W$3004,$AS209)="","",INDEX('潜水記録'!$W$5:$W$3004,$AS209)))</f>
        <v/>
      </c>
      <c r="Y209" s="14">
        <f>IF($A209="","",IF(INDEX('潜水記録'!$X$5:$X$3004,$AS209)="","",INDEX('潜水記録'!$X$5:$X$3004,$AS209)))</f>
        <v/>
      </c>
      <c r="Z209" s="14">
        <f>IF($A209="","",IF(INDEX('潜水記録'!$Y$5:$Y$3004,$AS209)="","",INDEX('潜水記録'!$Y$5:$Y$3004,$AS209)))</f>
        <v/>
      </c>
      <c r="AA209" s="14">
        <f>IF($A209="","",IF(INDEX('潜水記録'!$Z$5:$Z$3004,$AS209)="","",INDEX('潜水記録'!$Z$5:$Z$3004,$AS209)))</f>
        <v/>
      </c>
      <c r="AB209" s="14">
        <f>IF($A209="","",IF(INDEX('潜水記録'!$AA$5:$AA$3004,$AS209)="","",INDEX('潜水記録'!$AA$5:$AA$3004,$AS209)))</f>
        <v/>
      </c>
      <c r="AC209" s="14">
        <f>IF($A209="","",IF(INDEX('潜水記録'!$AB$5:$AB$3004,$AS209)="","",INDEX('潜水記録'!$AB$5:$AB$3004,$AS209)))</f>
        <v/>
      </c>
      <c r="AD209" s="14">
        <f>IF($A209="","",IF(INDEX('潜水記録'!$AC$5:$AC$3004,$AS209)="","",INDEX('潜水記録'!$AC$5:$AC$3004,$AS209)))</f>
        <v/>
      </c>
      <c r="AE209" s="14">
        <f>IF($A209="","",IF(INDEX('潜水記録'!$AD$5:$AD$3004,$AS209)="","",INDEX('潜水記録'!$AD$5:$AD$3004,$AS209)))</f>
        <v/>
      </c>
      <c r="AF209" s="14">
        <f>IF($A209="","",IF(INDEX('潜水記録'!$AE$5:$AE$3004,$AS209)="","",INDEX('潜水記録'!$AE$5:$AE$3004,$AS209)))</f>
        <v/>
      </c>
      <c r="AG209" s="14">
        <f>IF($A209="","",IF(INDEX('潜水記録'!$AL$5:$AL$3004,$AS209)="","",INDEX('潜水記録'!$AL$5:$AL$3004,$AS209)))</f>
        <v/>
      </c>
      <c r="AH209" s="14">
        <f>IF($A209="","",IF(INDEX('潜水記録'!$AM$5:$AM$3004,$AS209)="","",INDEX('潜水記録'!$AM$5:$AM$3004,$AS209)))</f>
        <v/>
      </c>
      <c r="AI209" s="46">
        <f>IF($A209="","",IF(INDEX('潜水記録'!$AN$5:$AN$3004,$AS209)="","",INDEX('潜水記録'!$AN$5:$AN$3004,$AS209)))</f>
        <v/>
      </c>
      <c r="AJ209" s="14">
        <f>IF($A209="","",IF(INDEX('潜水記録'!$AO$5:$AO$3004,$AS209)="","",INDEX('潜水記録'!$AO$5:$AO$3004,$AS209)))</f>
        <v/>
      </c>
      <c r="AK209" s="14">
        <f>IF($A209="","",IF(INDEX('潜水記録'!$AP$5:$AP$3004,$AS209)="","",INDEX('潜水記録'!$AP$5:$AP$3004,$AS209)))</f>
        <v/>
      </c>
      <c r="AL209" s="14">
        <f>IF($A209="","",IF(INDEX('潜水記録'!$AQ$5:$AQ$3004,$AS209)="","",INDEX('潜水記録'!$AQ$5:$AQ$3004,$AS209)))</f>
        <v/>
      </c>
      <c r="AM209" s="14">
        <f>IF($A209="","",IF(INDEX('潜水記録'!$AR$5:$AR$3004,$AS209)="","",INDEX('潜水記録'!$AR$5:$AR$3004,$AS209)))</f>
        <v/>
      </c>
      <c r="AN209" s="14">
        <f>IF($A209="","",IF(INDEX('潜水記録'!$AS$5:$AS$3004,$AS209)="","",INDEX('潜水記録'!$AS$5:$AS$3004,$AS209)))</f>
        <v/>
      </c>
      <c r="AO209" s="14">
        <f>IF($A209="","",IF(INDEX('潜水記録'!$AT$5:$AT$3004,$AS209)="","",INDEX('潜水記録'!$AT$5:$AT$3004,$AS209)))</f>
        <v/>
      </c>
      <c r="AP209" s="14">
        <f>IF($A209="","",IF(INDEX('潜水記録'!$AU$5:$AU$3004,$AS209)="","",INDEX('潜水記録'!$AU$5:$AU$3004,$AS209)))</f>
        <v/>
      </c>
      <c r="AQ209" s="14">
        <f>IF($A209="","",IF(INDEX('潜水記録'!$AV$5:$AV$3004,$AS209)="","",INDEX('潜水記録'!$AV$5:$AV$3004,$AS209)))</f>
        <v/>
      </c>
      <c r="AR209" s="14">
        <f>IF($A209="","",IF(INDEX('潜水記録'!$AW$5:$AW$3004,$AS209)="","",INDEX('潜水記録'!$AW$5:$AW$3004,$AS209)))</f>
        <v/>
      </c>
      <c r="AS209" s="20">
        <f>IF($A209="","",MATCH($A209,'潜水記録'!$AI$5:$AI$3004,0))</f>
        <v/>
      </c>
    </row>
    <row r="210">
      <c r="A210" s="14">
        <f>IF(200&lt;=$C$8,200,"")</f>
        <v/>
      </c>
      <c r="B210" s="16">
        <f>IF($A210="","",IF(INDEX('潜水記録'!$A$5:$A$3004,$AS210)="","",INDEX('潜水記録'!$A$5:$A$3004,$AS210)))</f>
        <v/>
      </c>
      <c r="C210" s="14">
        <f>IF($A210="","",IF(INDEX('潜水記録'!$B$5:$B$3004,$AS210)="","",INDEX('潜水記録'!$B$5:$B$3004,$AS210)))</f>
        <v/>
      </c>
      <c r="D210" s="14">
        <f>IF($A210="","",IF(INDEX('潜水記録'!$C$5:$C$3004,$AS210)="","",INDEX('潜水記録'!$C$5:$C$3004,$AS210)))</f>
        <v/>
      </c>
      <c r="E210" s="14">
        <f>IF($A210="","",IF(INDEX('潜水記録'!$D$5:$D$3004,$AS210)="","",INDEX('潜水記録'!$D$5:$D$3004,$AS210)))</f>
        <v/>
      </c>
      <c r="F210" s="14">
        <f>IF($A210="","",IF(INDEX('潜水記録'!$E$5:$E$3004,$AS210)="","",INDEX('潜水記録'!$E$5:$E$3004,$AS210)))</f>
        <v/>
      </c>
      <c r="G210" s="14">
        <f>IF($A210="","",IF(INDEX('潜水記録'!$F$5:$F$3004,$AS210)="","",INDEX('潜水記録'!$F$5:$F$3004,$AS210)))</f>
        <v/>
      </c>
      <c r="H210" s="14">
        <f>IF($A210="","",IF(INDEX('潜水記録'!$G$5:$G$3004,$AS210)="","",INDEX('潜水記録'!$G$5:$G$3004,$AS210)))</f>
        <v/>
      </c>
      <c r="I210" s="14">
        <f>IF($A210="","",IF(INDEX('潜水記録'!$H$5:$H$3004,$AS210)="","",INDEX('潜水記録'!$H$5:$H$3004,$AS210)))</f>
        <v/>
      </c>
      <c r="J210" s="14">
        <f>IF($A210="","",IF(INDEX('潜水記録'!$I$5:$I$3004,$AS210)="","",INDEX('潜水記録'!$I$5:$I$3004,$AS210)))</f>
        <v/>
      </c>
      <c r="K210" s="14">
        <f>IF($A210="","",IF(INDEX('潜水記録'!$J$5:$J$3004,$AS210)="","",INDEX('潜水記録'!$J$5:$J$3004,$AS210)))</f>
        <v/>
      </c>
      <c r="L210" s="14">
        <f>IF($A210="","",IF(INDEX('潜水記録'!$K$5:$K$3004,$AS210)="","",INDEX('潜水記録'!$K$5:$K$3004,$AS210)))</f>
        <v/>
      </c>
      <c r="M210" s="14">
        <f>IF($A210="","",IF(INDEX('潜水記録'!$L$5:$L$3004,$AS210)="","",INDEX('潜水記録'!$L$5:$L$3004,$AS210)))</f>
        <v/>
      </c>
      <c r="N210" s="14">
        <f>IF($A210="","",IF(INDEX('潜水記録'!$M$5:$M$3004,$AS210)="","",INDEX('潜水記録'!$M$5:$M$3004,$AS210)))</f>
        <v/>
      </c>
      <c r="O210" s="14">
        <f>IF($A210="","",IF(INDEX('潜水記録'!$N$5:$N$3004,$AS210)="","",INDEX('潜水記録'!$N$5:$N$3004,$AS210)))</f>
        <v/>
      </c>
      <c r="P210" s="14">
        <f>IF($A210="","",IF(INDEX('潜水記録'!$O$5:$O$3004,$AS210)="","",INDEX('潜水記録'!$O$5:$O$3004,$AS210)))</f>
        <v/>
      </c>
      <c r="Q210" s="14">
        <f>IF($A210="","",IF(INDEX('潜水記録'!$P$5:$P$3004,$AS210)="","",INDEX('潜水記録'!$P$5:$P$3004,$AS210)))</f>
        <v/>
      </c>
      <c r="R210" s="14">
        <f>IF($A210="","",IF(INDEX('潜水記録'!$Q$5:$Q$3004,$AS210)="","",INDEX('潜水記録'!$Q$5:$Q$3004,$AS210)))</f>
        <v/>
      </c>
      <c r="S210" s="14">
        <f>IF($A210="","",IF(INDEX('潜水記録'!$R$5:$R$3004,$AS210)="","",INDEX('潜水記録'!$R$5:$R$3004,$AS210)))</f>
        <v/>
      </c>
      <c r="T210" s="14">
        <f>IF($A210="","",IF(INDEX('潜水記録'!$S$5:$S$3004,$AS210)="","",INDEX('潜水記録'!$S$5:$S$3004,$AS210)))</f>
        <v/>
      </c>
      <c r="U210" s="14">
        <f>IF($A210="","",IF(INDEX('潜水記録'!$T$5:$T$3004,$AS210)="","",INDEX('潜水記録'!$T$5:$T$3004,$AS210)))</f>
        <v/>
      </c>
      <c r="V210" s="46">
        <f>IF($A210="","",IF(INDEX('潜水記録'!$U$5:$U$3004,$AS210)="","",INDEX('潜水記録'!$U$5:$U$3004,$AS210)))</f>
        <v/>
      </c>
      <c r="W210" s="46">
        <f>IF($A210="","",IF(INDEX('潜水記録'!$V$5:$V$3004,$AS210)="","",INDEX('潜水記録'!$V$5:$V$3004,$AS210)))</f>
        <v/>
      </c>
      <c r="X210" s="14">
        <f>IF($A210="","",IF(INDEX('潜水記録'!$W$5:$W$3004,$AS210)="","",INDEX('潜水記録'!$W$5:$W$3004,$AS210)))</f>
        <v/>
      </c>
      <c r="Y210" s="14">
        <f>IF($A210="","",IF(INDEX('潜水記録'!$X$5:$X$3004,$AS210)="","",INDEX('潜水記録'!$X$5:$X$3004,$AS210)))</f>
        <v/>
      </c>
      <c r="Z210" s="14">
        <f>IF($A210="","",IF(INDEX('潜水記録'!$Y$5:$Y$3004,$AS210)="","",INDEX('潜水記録'!$Y$5:$Y$3004,$AS210)))</f>
        <v/>
      </c>
      <c r="AA210" s="14">
        <f>IF($A210="","",IF(INDEX('潜水記録'!$Z$5:$Z$3004,$AS210)="","",INDEX('潜水記録'!$Z$5:$Z$3004,$AS210)))</f>
        <v/>
      </c>
      <c r="AB210" s="14">
        <f>IF($A210="","",IF(INDEX('潜水記録'!$AA$5:$AA$3004,$AS210)="","",INDEX('潜水記録'!$AA$5:$AA$3004,$AS210)))</f>
        <v/>
      </c>
      <c r="AC210" s="14">
        <f>IF($A210="","",IF(INDEX('潜水記録'!$AB$5:$AB$3004,$AS210)="","",INDEX('潜水記録'!$AB$5:$AB$3004,$AS210)))</f>
        <v/>
      </c>
      <c r="AD210" s="14">
        <f>IF($A210="","",IF(INDEX('潜水記録'!$AC$5:$AC$3004,$AS210)="","",INDEX('潜水記録'!$AC$5:$AC$3004,$AS210)))</f>
        <v/>
      </c>
      <c r="AE210" s="14">
        <f>IF($A210="","",IF(INDEX('潜水記録'!$AD$5:$AD$3004,$AS210)="","",INDEX('潜水記録'!$AD$5:$AD$3004,$AS210)))</f>
        <v/>
      </c>
      <c r="AF210" s="14">
        <f>IF($A210="","",IF(INDEX('潜水記録'!$AE$5:$AE$3004,$AS210)="","",INDEX('潜水記録'!$AE$5:$AE$3004,$AS210)))</f>
        <v/>
      </c>
      <c r="AG210" s="14">
        <f>IF($A210="","",IF(INDEX('潜水記録'!$AL$5:$AL$3004,$AS210)="","",INDEX('潜水記録'!$AL$5:$AL$3004,$AS210)))</f>
        <v/>
      </c>
      <c r="AH210" s="14">
        <f>IF($A210="","",IF(INDEX('潜水記録'!$AM$5:$AM$3004,$AS210)="","",INDEX('潜水記録'!$AM$5:$AM$3004,$AS210)))</f>
        <v/>
      </c>
      <c r="AI210" s="46">
        <f>IF($A210="","",IF(INDEX('潜水記録'!$AN$5:$AN$3004,$AS210)="","",INDEX('潜水記録'!$AN$5:$AN$3004,$AS210)))</f>
        <v/>
      </c>
      <c r="AJ210" s="14">
        <f>IF($A210="","",IF(INDEX('潜水記録'!$AO$5:$AO$3004,$AS210)="","",INDEX('潜水記録'!$AO$5:$AO$3004,$AS210)))</f>
        <v/>
      </c>
      <c r="AK210" s="14">
        <f>IF($A210="","",IF(INDEX('潜水記録'!$AP$5:$AP$3004,$AS210)="","",INDEX('潜水記録'!$AP$5:$AP$3004,$AS210)))</f>
        <v/>
      </c>
      <c r="AL210" s="14">
        <f>IF($A210="","",IF(INDEX('潜水記録'!$AQ$5:$AQ$3004,$AS210)="","",INDEX('潜水記録'!$AQ$5:$AQ$3004,$AS210)))</f>
        <v/>
      </c>
      <c r="AM210" s="14">
        <f>IF($A210="","",IF(INDEX('潜水記録'!$AR$5:$AR$3004,$AS210)="","",INDEX('潜水記録'!$AR$5:$AR$3004,$AS210)))</f>
        <v/>
      </c>
      <c r="AN210" s="14">
        <f>IF($A210="","",IF(INDEX('潜水記録'!$AS$5:$AS$3004,$AS210)="","",INDEX('潜水記録'!$AS$5:$AS$3004,$AS210)))</f>
        <v/>
      </c>
      <c r="AO210" s="14">
        <f>IF($A210="","",IF(INDEX('潜水記録'!$AT$5:$AT$3004,$AS210)="","",INDEX('潜水記録'!$AT$5:$AT$3004,$AS210)))</f>
        <v/>
      </c>
      <c r="AP210" s="14">
        <f>IF($A210="","",IF(INDEX('潜水記録'!$AU$5:$AU$3004,$AS210)="","",INDEX('潜水記録'!$AU$5:$AU$3004,$AS210)))</f>
        <v/>
      </c>
      <c r="AQ210" s="14">
        <f>IF($A210="","",IF(INDEX('潜水記録'!$AV$5:$AV$3004,$AS210)="","",INDEX('潜水記録'!$AV$5:$AV$3004,$AS210)))</f>
        <v/>
      </c>
      <c r="AR210" s="14">
        <f>IF($A210="","",IF(INDEX('潜水記録'!$AW$5:$AW$3004,$AS210)="","",INDEX('潜水記録'!$AW$5:$AW$3004,$AS210)))</f>
        <v/>
      </c>
      <c r="AS210" s="20">
        <f>IF($A210="","",MATCH($A210,'潜水記録'!$AI$5:$AI$3004,0))</f>
        <v/>
      </c>
    </row>
    <row r="211">
      <c r="A211" s="14">
        <f>IF(201&lt;=$C$8,201,"")</f>
        <v/>
      </c>
      <c r="B211" s="16">
        <f>IF($A211="","",IF(INDEX('潜水記録'!$A$5:$A$3004,$AS211)="","",INDEX('潜水記録'!$A$5:$A$3004,$AS211)))</f>
        <v/>
      </c>
      <c r="C211" s="14">
        <f>IF($A211="","",IF(INDEX('潜水記録'!$B$5:$B$3004,$AS211)="","",INDEX('潜水記録'!$B$5:$B$3004,$AS211)))</f>
        <v/>
      </c>
      <c r="D211" s="14">
        <f>IF($A211="","",IF(INDEX('潜水記録'!$C$5:$C$3004,$AS211)="","",INDEX('潜水記録'!$C$5:$C$3004,$AS211)))</f>
        <v/>
      </c>
      <c r="E211" s="14">
        <f>IF($A211="","",IF(INDEX('潜水記録'!$D$5:$D$3004,$AS211)="","",INDEX('潜水記録'!$D$5:$D$3004,$AS211)))</f>
        <v/>
      </c>
      <c r="F211" s="14">
        <f>IF($A211="","",IF(INDEX('潜水記録'!$E$5:$E$3004,$AS211)="","",INDEX('潜水記録'!$E$5:$E$3004,$AS211)))</f>
        <v/>
      </c>
      <c r="G211" s="14">
        <f>IF($A211="","",IF(INDEX('潜水記録'!$F$5:$F$3004,$AS211)="","",INDEX('潜水記録'!$F$5:$F$3004,$AS211)))</f>
        <v/>
      </c>
      <c r="H211" s="14">
        <f>IF($A211="","",IF(INDEX('潜水記録'!$G$5:$G$3004,$AS211)="","",INDEX('潜水記録'!$G$5:$G$3004,$AS211)))</f>
        <v/>
      </c>
      <c r="I211" s="14">
        <f>IF($A211="","",IF(INDEX('潜水記録'!$H$5:$H$3004,$AS211)="","",INDEX('潜水記録'!$H$5:$H$3004,$AS211)))</f>
        <v/>
      </c>
      <c r="J211" s="14">
        <f>IF($A211="","",IF(INDEX('潜水記録'!$I$5:$I$3004,$AS211)="","",INDEX('潜水記録'!$I$5:$I$3004,$AS211)))</f>
        <v/>
      </c>
      <c r="K211" s="14">
        <f>IF($A211="","",IF(INDEX('潜水記録'!$J$5:$J$3004,$AS211)="","",INDEX('潜水記録'!$J$5:$J$3004,$AS211)))</f>
        <v/>
      </c>
      <c r="L211" s="14">
        <f>IF($A211="","",IF(INDEX('潜水記録'!$K$5:$K$3004,$AS211)="","",INDEX('潜水記録'!$K$5:$K$3004,$AS211)))</f>
        <v/>
      </c>
      <c r="M211" s="14">
        <f>IF($A211="","",IF(INDEX('潜水記録'!$L$5:$L$3004,$AS211)="","",INDEX('潜水記録'!$L$5:$L$3004,$AS211)))</f>
        <v/>
      </c>
      <c r="N211" s="14">
        <f>IF($A211="","",IF(INDEX('潜水記録'!$M$5:$M$3004,$AS211)="","",INDEX('潜水記録'!$M$5:$M$3004,$AS211)))</f>
        <v/>
      </c>
      <c r="O211" s="14">
        <f>IF($A211="","",IF(INDEX('潜水記録'!$N$5:$N$3004,$AS211)="","",INDEX('潜水記録'!$N$5:$N$3004,$AS211)))</f>
        <v/>
      </c>
      <c r="P211" s="14">
        <f>IF($A211="","",IF(INDEX('潜水記録'!$O$5:$O$3004,$AS211)="","",INDEX('潜水記録'!$O$5:$O$3004,$AS211)))</f>
        <v/>
      </c>
      <c r="Q211" s="14">
        <f>IF($A211="","",IF(INDEX('潜水記録'!$P$5:$P$3004,$AS211)="","",INDEX('潜水記録'!$P$5:$P$3004,$AS211)))</f>
        <v/>
      </c>
      <c r="R211" s="14">
        <f>IF($A211="","",IF(INDEX('潜水記録'!$Q$5:$Q$3004,$AS211)="","",INDEX('潜水記録'!$Q$5:$Q$3004,$AS211)))</f>
        <v/>
      </c>
      <c r="S211" s="14">
        <f>IF($A211="","",IF(INDEX('潜水記録'!$R$5:$R$3004,$AS211)="","",INDEX('潜水記録'!$R$5:$R$3004,$AS211)))</f>
        <v/>
      </c>
      <c r="T211" s="14">
        <f>IF($A211="","",IF(INDEX('潜水記録'!$S$5:$S$3004,$AS211)="","",INDEX('潜水記録'!$S$5:$S$3004,$AS211)))</f>
        <v/>
      </c>
      <c r="U211" s="14">
        <f>IF($A211="","",IF(INDEX('潜水記録'!$T$5:$T$3004,$AS211)="","",INDEX('潜水記録'!$T$5:$T$3004,$AS211)))</f>
        <v/>
      </c>
      <c r="V211" s="46">
        <f>IF($A211="","",IF(INDEX('潜水記録'!$U$5:$U$3004,$AS211)="","",INDEX('潜水記録'!$U$5:$U$3004,$AS211)))</f>
        <v/>
      </c>
      <c r="W211" s="46">
        <f>IF($A211="","",IF(INDEX('潜水記録'!$V$5:$V$3004,$AS211)="","",INDEX('潜水記録'!$V$5:$V$3004,$AS211)))</f>
        <v/>
      </c>
      <c r="X211" s="14">
        <f>IF($A211="","",IF(INDEX('潜水記録'!$W$5:$W$3004,$AS211)="","",INDEX('潜水記録'!$W$5:$W$3004,$AS211)))</f>
        <v/>
      </c>
      <c r="Y211" s="14">
        <f>IF($A211="","",IF(INDEX('潜水記録'!$X$5:$X$3004,$AS211)="","",INDEX('潜水記録'!$X$5:$X$3004,$AS211)))</f>
        <v/>
      </c>
      <c r="Z211" s="14">
        <f>IF($A211="","",IF(INDEX('潜水記録'!$Y$5:$Y$3004,$AS211)="","",INDEX('潜水記録'!$Y$5:$Y$3004,$AS211)))</f>
        <v/>
      </c>
      <c r="AA211" s="14">
        <f>IF($A211="","",IF(INDEX('潜水記録'!$Z$5:$Z$3004,$AS211)="","",INDEX('潜水記録'!$Z$5:$Z$3004,$AS211)))</f>
        <v/>
      </c>
      <c r="AB211" s="14">
        <f>IF($A211="","",IF(INDEX('潜水記録'!$AA$5:$AA$3004,$AS211)="","",INDEX('潜水記録'!$AA$5:$AA$3004,$AS211)))</f>
        <v/>
      </c>
      <c r="AC211" s="14">
        <f>IF($A211="","",IF(INDEX('潜水記録'!$AB$5:$AB$3004,$AS211)="","",INDEX('潜水記録'!$AB$5:$AB$3004,$AS211)))</f>
        <v/>
      </c>
      <c r="AD211" s="14">
        <f>IF($A211="","",IF(INDEX('潜水記録'!$AC$5:$AC$3004,$AS211)="","",INDEX('潜水記録'!$AC$5:$AC$3004,$AS211)))</f>
        <v/>
      </c>
      <c r="AE211" s="14">
        <f>IF($A211="","",IF(INDEX('潜水記録'!$AD$5:$AD$3004,$AS211)="","",INDEX('潜水記録'!$AD$5:$AD$3004,$AS211)))</f>
        <v/>
      </c>
      <c r="AF211" s="14">
        <f>IF($A211="","",IF(INDEX('潜水記録'!$AE$5:$AE$3004,$AS211)="","",INDEX('潜水記録'!$AE$5:$AE$3004,$AS211)))</f>
        <v/>
      </c>
      <c r="AG211" s="14">
        <f>IF($A211="","",IF(INDEX('潜水記録'!$AL$5:$AL$3004,$AS211)="","",INDEX('潜水記録'!$AL$5:$AL$3004,$AS211)))</f>
        <v/>
      </c>
      <c r="AH211" s="14">
        <f>IF($A211="","",IF(INDEX('潜水記録'!$AM$5:$AM$3004,$AS211)="","",INDEX('潜水記録'!$AM$5:$AM$3004,$AS211)))</f>
        <v/>
      </c>
      <c r="AI211" s="46">
        <f>IF($A211="","",IF(INDEX('潜水記録'!$AN$5:$AN$3004,$AS211)="","",INDEX('潜水記録'!$AN$5:$AN$3004,$AS211)))</f>
        <v/>
      </c>
      <c r="AJ211" s="14">
        <f>IF($A211="","",IF(INDEX('潜水記録'!$AO$5:$AO$3004,$AS211)="","",INDEX('潜水記録'!$AO$5:$AO$3004,$AS211)))</f>
        <v/>
      </c>
      <c r="AK211" s="14">
        <f>IF($A211="","",IF(INDEX('潜水記録'!$AP$5:$AP$3004,$AS211)="","",INDEX('潜水記録'!$AP$5:$AP$3004,$AS211)))</f>
        <v/>
      </c>
      <c r="AL211" s="14">
        <f>IF($A211="","",IF(INDEX('潜水記録'!$AQ$5:$AQ$3004,$AS211)="","",INDEX('潜水記録'!$AQ$5:$AQ$3004,$AS211)))</f>
        <v/>
      </c>
      <c r="AM211" s="14">
        <f>IF($A211="","",IF(INDEX('潜水記録'!$AR$5:$AR$3004,$AS211)="","",INDEX('潜水記録'!$AR$5:$AR$3004,$AS211)))</f>
        <v/>
      </c>
      <c r="AN211" s="14">
        <f>IF($A211="","",IF(INDEX('潜水記録'!$AS$5:$AS$3004,$AS211)="","",INDEX('潜水記録'!$AS$5:$AS$3004,$AS211)))</f>
        <v/>
      </c>
      <c r="AO211" s="14">
        <f>IF($A211="","",IF(INDEX('潜水記録'!$AT$5:$AT$3004,$AS211)="","",INDEX('潜水記録'!$AT$5:$AT$3004,$AS211)))</f>
        <v/>
      </c>
      <c r="AP211" s="14">
        <f>IF($A211="","",IF(INDEX('潜水記録'!$AU$5:$AU$3004,$AS211)="","",INDEX('潜水記録'!$AU$5:$AU$3004,$AS211)))</f>
        <v/>
      </c>
      <c r="AQ211" s="14">
        <f>IF($A211="","",IF(INDEX('潜水記録'!$AV$5:$AV$3004,$AS211)="","",INDEX('潜水記録'!$AV$5:$AV$3004,$AS211)))</f>
        <v/>
      </c>
      <c r="AR211" s="14">
        <f>IF($A211="","",IF(INDEX('潜水記録'!$AW$5:$AW$3004,$AS211)="","",INDEX('潜水記録'!$AW$5:$AW$3004,$AS211)))</f>
        <v/>
      </c>
      <c r="AS211" s="20">
        <f>IF($A211="","",MATCH($A211,'潜水記録'!$AI$5:$AI$3004,0))</f>
        <v/>
      </c>
    </row>
    <row r="212">
      <c r="A212" s="14">
        <f>IF(202&lt;=$C$8,202,"")</f>
        <v/>
      </c>
      <c r="B212" s="16">
        <f>IF($A212="","",IF(INDEX('潜水記録'!$A$5:$A$3004,$AS212)="","",INDEX('潜水記録'!$A$5:$A$3004,$AS212)))</f>
        <v/>
      </c>
      <c r="C212" s="14">
        <f>IF($A212="","",IF(INDEX('潜水記録'!$B$5:$B$3004,$AS212)="","",INDEX('潜水記録'!$B$5:$B$3004,$AS212)))</f>
        <v/>
      </c>
      <c r="D212" s="14">
        <f>IF($A212="","",IF(INDEX('潜水記録'!$C$5:$C$3004,$AS212)="","",INDEX('潜水記録'!$C$5:$C$3004,$AS212)))</f>
        <v/>
      </c>
      <c r="E212" s="14">
        <f>IF($A212="","",IF(INDEX('潜水記録'!$D$5:$D$3004,$AS212)="","",INDEX('潜水記録'!$D$5:$D$3004,$AS212)))</f>
        <v/>
      </c>
      <c r="F212" s="14">
        <f>IF($A212="","",IF(INDEX('潜水記録'!$E$5:$E$3004,$AS212)="","",INDEX('潜水記録'!$E$5:$E$3004,$AS212)))</f>
        <v/>
      </c>
      <c r="G212" s="14">
        <f>IF($A212="","",IF(INDEX('潜水記録'!$F$5:$F$3004,$AS212)="","",INDEX('潜水記録'!$F$5:$F$3004,$AS212)))</f>
        <v/>
      </c>
      <c r="H212" s="14">
        <f>IF($A212="","",IF(INDEX('潜水記録'!$G$5:$G$3004,$AS212)="","",INDEX('潜水記録'!$G$5:$G$3004,$AS212)))</f>
        <v/>
      </c>
      <c r="I212" s="14">
        <f>IF($A212="","",IF(INDEX('潜水記録'!$H$5:$H$3004,$AS212)="","",INDEX('潜水記録'!$H$5:$H$3004,$AS212)))</f>
        <v/>
      </c>
      <c r="J212" s="14">
        <f>IF($A212="","",IF(INDEX('潜水記録'!$I$5:$I$3004,$AS212)="","",INDEX('潜水記録'!$I$5:$I$3004,$AS212)))</f>
        <v/>
      </c>
      <c r="K212" s="14">
        <f>IF($A212="","",IF(INDEX('潜水記録'!$J$5:$J$3004,$AS212)="","",INDEX('潜水記録'!$J$5:$J$3004,$AS212)))</f>
        <v/>
      </c>
      <c r="L212" s="14">
        <f>IF($A212="","",IF(INDEX('潜水記録'!$K$5:$K$3004,$AS212)="","",INDEX('潜水記録'!$K$5:$K$3004,$AS212)))</f>
        <v/>
      </c>
      <c r="M212" s="14">
        <f>IF($A212="","",IF(INDEX('潜水記録'!$L$5:$L$3004,$AS212)="","",INDEX('潜水記録'!$L$5:$L$3004,$AS212)))</f>
        <v/>
      </c>
      <c r="N212" s="14">
        <f>IF($A212="","",IF(INDEX('潜水記録'!$M$5:$M$3004,$AS212)="","",INDEX('潜水記録'!$M$5:$M$3004,$AS212)))</f>
        <v/>
      </c>
      <c r="O212" s="14">
        <f>IF($A212="","",IF(INDEX('潜水記録'!$N$5:$N$3004,$AS212)="","",INDEX('潜水記録'!$N$5:$N$3004,$AS212)))</f>
        <v/>
      </c>
      <c r="P212" s="14">
        <f>IF($A212="","",IF(INDEX('潜水記録'!$O$5:$O$3004,$AS212)="","",INDEX('潜水記録'!$O$5:$O$3004,$AS212)))</f>
        <v/>
      </c>
      <c r="Q212" s="14">
        <f>IF($A212="","",IF(INDEX('潜水記録'!$P$5:$P$3004,$AS212)="","",INDEX('潜水記録'!$P$5:$P$3004,$AS212)))</f>
        <v/>
      </c>
      <c r="R212" s="14">
        <f>IF($A212="","",IF(INDEX('潜水記録'!$Q$5:$Q$3004,$AS212)="","",INDEX('潜水記録'!$Q$5:$Q$3004,$AS212)))</f>
        <v/>
      </c>
      <c r="S212" s="14">
        <f>IF($A212="","",IF(INDEX('潜水記録'!$R$5:$R$3004,$AS212)="","",INDEX('潜水記録'!$R$5:$R$3004,$AS212)))</f>
        <v/>
      </c>
      <c r="T212" s="14">
        <f>IF($A212="","",IF(INDEX('潜水記録'!$S$5:$S$3004,$AS212)="","",INDEX('潜水記録'!$S$5:$S$3004,$AS212)))</f>
        <v/>
      </c>
      <c r="U212" s="14">
        <f>IF($A212="","",IF(INDEX('潜水記録'!$T$5:$T$3004,$AS212)="","",INDEX('潜水記録'!$T$5:$T$3004,$AS212)))</f>
        <v/>
      </c>
      <c r="V212" s="46">
        <f>IF($A212="","",IF(INDEX('潜水記録'!$U$5:$U$3004,$AS212)="","",INDEX('潜水記録'!$U$5:$U$3004,$AS212)))</f>
        <v/>
      </c>
      <c r="W212" s="46">
        <f>IF($A212="","",IF(INDEX('潜水記録'!$V$5:$V$3004,$AS212)="","",INDEX('潜水記録'!$V$5:$V$3004,$AS212)))</f>
        <v/>
      </c>
      <c r="X212" s="14">
        <f>IF($A212="","",IF(INDEX('潜水記録'!$W$5:$W$3004,$AS212)="","",INDEX('潜水記録'!$W$5:$W$3004,$AS212)))</f>
        <v/>
      </c>
      <c r="Y212" s="14">
        <f>IF($A212="","",IF(INDEX('潜水記録'!$X$5:$X$3004,$AS212)="","",INDEX('潜水記録'!$X$5:$X$3004,$AS212)))</f>
        <v/>
      </c>
      <c r="Z212" s="14">
        <f>IF($A212="","",IF(INDEX('潜水記録'!$Y$5:$Y$3004,$AS212)="","",INDEX('潜水記録'!$Y$5:$Y$3004,$AS212)))</f>
        <v/>
      </c>
      <c r="AA212" s="14">
        <f>IF($A212="","",IF(INDEX('潜水記録'!$Z$5:$Z$3004,$AS212)="","",INDEX('潜水記録'!$Z$5:$Z$3004,$AS212)))</f>
        <v/>
      </c>
      <c r="AB212" s="14">
        <f>IF($A212="","",IF(INDEX('潜水記録'!$AA$5:$AA$3004,$AS212)="","",INDEX('潜水記録'!$AA$5:$AA$3004,$AS212)))</f>
        <v/>
      </c>
      <c r="AC212" s="14">
        <f>IF($A212="","",IF(INDEX('潜水記録'!$AB$5:$AB$3004,$AS212)="","",INDEX('潜水記録'!$AB$5:$AB$3004,$AS212)))</f>
        <v/>
      </c>
      <c r="AD212" s="14">
        <f>IF($A212="","",IF(INDEX('潜水記録'!$AC$5:$AC$3004,$AS212)="","",INDEX('潜水記録'!$AC$5:$AC$3004,$AS212)))</f>
        <v/>
      </c>
      <c r="AE212" s="14">
        <f>IF($A212="","",IF(INDEX('潜水記録'!$AD$5:$AD$3004,$AS212)="","",INDEX('潜水記録'!$AD$5:$AD$3004,$AS212)))</f>
        <v/>
      </c>
      <c r="AF212" s="14">
        <f>IF($A212="","",IF(INDEX('潜水記録'!$AE$5:$AE$3004,$AS212)="","",INDEX('潜水記録'!$AE$5:$AE$3004,$AS212)))</f>
        <v/>
      </c>
      <c r="AG212" s="14">
        <f>IF($A212="","",IF(INDEX('潜水記録'!$AL$5:$AL$3004,$AS212)="","",INDEX('潜水記録'!$AL$5:$AL$3004,$AS212)))</f>
        <v/>
      </c>
      <c r="AH212" s="14">
        <f>IF($A212="","",IF(INDEX('潜水記録'!$AM$5:$AM$3004,$AS212)="","",INDEX('潜水記録'!$AM$5:$AM$3004,$AS212)))</f>
        <v/>
      </c>
      <c r="AI212" s="46">
        <f>IF($A212="","",IF(INDEX('潜水記録'!$AN$5:$AN$3004,$AS212)="","",INDEX('潜水記録'!$AN$5:$AN$3004,$AS212)))</f>
        <v/>
      </c>
      <c r="AJ212" s="14">
        <f>IF($A212="","",IF(INDEX('潜水記録'!$AO$5:$AO$3004,$AS212)="","",INDEX('潜水記録'!$AO$5:$AO$3004,$AS212)))</f>
        <v/>
      </c>
      <c r="AK212" s="14">
        <f>IF($A212="","",IF(INDEX('潜水記録'!$AP$5:$AP$3004,$AS212)="","",INDEX('潜水記録'!$AP$5:$AP$3004,$AS212)))</f>
        <v/>
      </c>
      <c r="AL212" s="14">
        <f>IF($A212="","",IF(INDEX('潜水記録'!$AQ$5:$AQ$3004,$AS212)="","",INDEX('潜水記録'!$AQ$5:$AQ$3004,$AS212)))</f>
        <v/>
      </c>
      <c r="AM212" s="14">
        <f>IF($A212="","",IF(INDEX('潜水記録'!$AR$5:$AR$3004,$AS212)="","",INDEX('潜水記録'!$AR$5:$AR$3004,$AS212)))</f>
        <v/>
      </c>
      <c r="AN212" s="14">
        <f>IF($A212="","",IF(INDEX('潜水記録'!$AS$5:$AS$3004,$AS212)="","",INDEX('潜水記録'!$AS$5:$AS$3004,$AS212)))</f>
        <v/>
      </c>
      <c r="AO212" s="14">
        <f>IF($A212="","",IF(INDEX('潜水記録'!$AT$5:$AT$3004,$AS212)="","",INDEX('潜水記録'!$AT$5:$AT$3004,$AS212)))</f>
        <v/>
      </c>
      <c r="AP212" s="14">
        <f>IF($A212="","",IF(INDEX('潜水記録'!$AU$5:$AU$3004,$AS212)="","",INDEX('潜水記録'!$AU$5:$AU$3004,$AS212)))</f>
        <v/>
      </c>
      <c r="AQ212" s="14">
        <f>IF($A212="","",IF(INDEX('潜水記録'!$AV$5:$AV$3004,$AS212)="","",INDEX('潜水記録'!$AV$5:$AV$3004,$AS212)))</f>
        <v/>
      </c>
      <c r="AR212" s="14">
        <f>IF($A212="","",IF(INDEX('潜水記録'!$AW$5:$AW$3004,$AS212)="","",INDEX('潜水記録'!$AW$5:$AW$3004,$AS212)))</f>
        <v/>
      </c>
      <c r="AS212" s="20">
        <f>IF($A212="","",MATCH($A212,'潜水記録'!$AI$5:$AI$3004,0))</f>
        <v/>
      </c>
    </row>
    <row r="213">
      <c r="A213" s="14">
        <f>IF(203&lt;=$C$8,203,"")</f>
        <v/>
      </c>
      <c r="B213" s="16">
        <f>IF($A213="","",IF(INDEX('潜水記録'!$A$5:$A$3004,$AS213)="","",INDEX('潜水記録'!$A$5:$A$3004,$AS213)))</f>
        <v/>
      </c>
      <c r="C213" s="14">
        <f>IF($A213="","",IF(INDEX('潜水記録'!$B$5:$B$3004,$AS213)="","",INDEX('潜水記録'!$B$5:$B$3004,$AS213)))</f>
        <v/>
      </c>
      <c r="D213" s="14">
        <f>IF($A213="","",IF(INDEX('潜水記録'!$C$5:$C$3004,$AS213)="","",INDEX('潜水記録'!$C$5:$C$3004,$AS213)))</f>
        <v/>
      </c>
      <c r="E213" s="14">
        <f>IF($A213="","",IF(INDEX('潜水記録'!$D$5:$D$3004,$AS213)="","",INDEX('潜水記録'!$D$5:$D$3004,$AS213)))</f>
        <v/>
      </c>
      <c r="F213" s="14">
        <f>IF($A213="","",IF(INDEX('潜水記録'!$E$5:$E$3004,$AS213)="","",INDEX('潜水記録'!$E$5:$E$3004,$AS213)))</f>
        <v/>
      </c>
      <c r="G213" s="14">
        <f>IF($A213="","",IF(INDEX('潜水記録'!$F$5:$F$3004,$AS213)="","",INDEX('潜水記録'!$F$5:$F$3004,$AS213)))</f>
        <v/>
      </c>
      <c r="H213" s="14">
        <f>IF($A213="","",IF(INDEX('潜水記録'!$G$5:$G$3004,$AS213)="","",INDEX('潜水記録'!$G$5:$G$3004,$AS213)))</f>
        <v/>
      </c>
      <c r="I213" s="14">
        <f>IF($A213="","",IF(INDEX('潜水記録'!$H$5:$H$3004,$AS213)="","",INDEX('潜水記録'!$H$5:$H$3004,$AS213)))</f>
        <v/>
      </c>
      <c r="J213" s="14">
        <f>IF($A213="","",IF(INDEX('潜水記録'!$I$5:$I$3004,$AS213)="","",INDEX('潜水記録'!$I$5:$I$3004,$AS213)))</f>
        <v/>
      </c>
      <c r="K213" s="14">
        <f>IF($A213="","",IF(INDEX('潜水記録'!$J$5:$J$3004,$AS213)="","",INDEX('潜水記録'!$J$5:$J$3004,$AS213)))</f>
        <v/>
      </c>
      <c r="L213" s="14">
        <f>IF($A213="","",IF(INDEX('潜水記録'!$K$5:$K$3004,$AS213)="","",INDEX('潜水記録'!$K$5:$K$3004,$AS213)))</f>
        <v/>
      </c>
      <c r="M213" s="14">
        <f>IF($A213="","",IF(INDEX('潜水記録'!$L$5:$L$3004,$AS213)="","",INDEX('潜水記録'!$L$5:$L$3004,$AS213)))</f>
        <v/>
      </c>
      <c r="N213" s="14">
        <f>IF($A213="","",IF(INDEX('潜水記録'!$M$5:$M$3004,$AS213)="","",INDEX('潜水記録'!$M$5:$M$3004,$AS213)))</f>
        <v/>
      </c>
      <c r="O213" s="14">
        <f>IF($A213="","",IF(INDEX('潜水記録'!$N$5:$N$3004,$AS213)="","",INDEX('潜水記録'!$N$5:$N$3004,$AS213)))</f>
        <v/>
      </c>
      <c r="P213" s="14">
        <f>IF($A213="","",IF(INDEX('潜水記録'!$O$5:$O$3004,$AS213)="","",INDEX('潜水記録'!$O$5:$O$3004,$AS213)))</f>
        <v/>
      </c>
      <c r="Q213" s="14">
        <f>IF($A213="","",IF(INDEX('潜水記録'!$P$5:$P$3004,$AS213)="","",INDEX('潜水記録'!$P$5:$P$3004,$AS213)))</f>
        <v/>
      </c>
      <c r="R213" s="14">
        <f>IF($A213="","",IF(INDEX('潜水記録'!$Q$5:$Q$3004,$AS213)="","",INDEX('潜水記録'!$Q$5:$Q$3004,$AS213)))</f>
        <v/>
      </c>
      <c r="S213" s="14">
        <f>IF($A213="","",IF(INDEX('潜水記録'!$R$5:$R$3004,$AS213)="","",INDEX('潜水記録'!$R$5:$R$3004,$AS213)))</f>
        <v/>
      </c>
      <c r="T213" s="14">
        <f>IF($A213="","",IF(INDEX('潜水記録'!$S$5:$S$3004,$AS213)="","",INDEX('潜水記録'!$S$5:$S$3004,$AS213)))</f>
        <v/>
      </c>
      <c r="U213" s="14">
        <f>IF($A213="","",IF(INDEX('潜水記録'!$T$5:$T$3004,$AS213)="","",INDEX('潜水記録'!$T$5:$T$3004,$AS213)))</f>
        <v/>
      </c>
      <c r="V213" s="46">
        <f>IF($A213="","",IF(INDEX('潜水記録'!$U$5:$U$3004,$AS213)="","",INDEX('潜水記録'!$U$5:$U$3004,$AS213)))</f>
        <v/>
      </c>
      <c r="W213" s="46">
        <f>IF($A213="","",IF(INDEX('潜水記録'!$V$5:$V$3004,$AS213)="","",INDEX('潜水記録'!$V$5:$V$3004,$AS213)))</f>
        <v/>
      </c>
      <c r="X213" s="14">
        <f>IF($A213="","",IF(INDEX('潜水記録'!$W$5:$W$3004,$AS213)="","",INDEX('潜水記録'!$W$5:$W$3004,$AS213)))</f>
        <v/>
      </c>
      <c r="Y213" s="14">
        <f>IF($A213="","",IF(INDEX('潜水記録'!$X$5:$X$3004,$AS213)="","",INDEX('潜水記録'!$X$5:$X$3004,$AS213)))</f>
        <v/>
      </c>
      <c r="Z213" s="14">
        <f>IF($A213="","",IF(INDEX('潜水記録'!$Y$5:$Y$3004,$AS213)="","",INDEX('潜水記録'!$Y$5:$Y$3004,$AS213)))</f>
        <v/>
      </c>
      <c r="AA213" s="14">
        <f>IF($A213="","",IF(INDEX('潜水記録'!$Z$5:$Z$3004,$AS213)="","",INDEX('潜水記録'!$Z$5:$Z$3004,$AS213)))</f>
        <v/>
      </c>
      <c r="AB213" s="14">
        <f>IF($A213="","",IF(INDEX('潜水記録'!$AA$5:$AA$3004,$AS213)="","",INDEX('潜水記録'!$AA$5:$AA$3004,$AS213)))</f>
        <v/>
      </c>
      <c r="AC213" s="14">
        <f>IF($A213="","",IF(INDEX('潜水記録'!$AB$5:$AB$3004,$AS213)="","",INDEX('潜水記録'!$AB$5:$AB$3004,$AS213)))</f>
        <v/>
      </c>
      <c r="AD213" s="14">
        <f>IF($A213="","",IF(INDEX('潜水記録'!$AC$5:$AC$3004,$AS213)="","",INDEX('潜水記録'!$AC$5:$AC$3004,$AS213)))</f>
        <v/>
      </c>
      <c r="AE213" s="14">
        <f>IF($A213="","",IF(INDEX('潜水記録'!$AD$5:$AD$3004,$AS213)="","",INDEX('潜水記録'!$AD$5:$AD$3004,$AS213)))</f>
        <v/>
      </c>
      <c r="AF213" s="14">
        <f>IF($A213="","",IF(INDEX('潜水記録'!$AE$5:$AE$3004,$AS213)="","",INDEX('潜水記録'!$AE$5:$AE$3004,$AS213)))</f>
        <v/>
      </c>
      <c r="AG213" s="14">
        <f>IF($A213="","",IF(INDEX('潜水記録'!$AL$5:$AL$3004,$AS213)="","",INDEX('潜水記録'!$AL$5:$AL$3004,$AS213)))</f>
        <v/>
      </c>
      <c r="AH213" s="14">
        <f>IF($A213="","",IF(INDEX('潜水記録'!$AM$5:$AM$3004,$AS213)="","",INDEX('潜水記録'!$AM$5:$AM$3004,$AS213)))</f>
        <v/>
      </c>
      <c r="AI213" s="46">
        <f>IF($A213="","",IF(INDEX('潜水記録'!$AN$5:$AN$3004,$AS213)="","",INDEX('潜水記録'!$AN$5:$AN$3004,$AS213)))</f>
        <v/>
      </c>
      <c r="AJ213" s="14">
        <f>IF($A213="","",IF(INDEX('潜水記録'!$AO$5:$AO$3004,$AS213)="","",INDEX('潜水記録'!$AO$5:$AO$3004,$AS213)))</f>
        <v/>
      </c>
      <c r="AK213" s="14">
        <f>IF($A213="","",IF(INDEX('潜水記録'!$AP$5:$AP$3004,$AS213)="","",INDEX('潜水記録'!$AP$5:$AP$3004,$AS213)))</f>
        <v/>
      </c>
      <c r="AL213" s="14">
        <f>IF($A213="","",IF(INDEX('潜水記録'!$AQ$5:$AQ$3004,$AS213)="","",INDEX('潜水記録'!$AQ$5:$AQ$3004,$AS213)))</f>
        <v/>
      </c>
      <c r="AM213" s="14">
        <f>IF($A213="","",IF(INDEX('潜水記録'!$AR$5:$AR$3004,$AS213)="","",INDEX('潜水記録'!$AR$5:$AR$3004,$AS213)))</f>
        <v/>
      </c>
      <c r="AN213" s="14">
        <f>IF($A213="","",IF(INDEX('潜水記録'!$AS$5:$AS$3004,$AS213)="","",INDEX('潜水記録'!$AS$5:$AS$3004,$AS213)))</f>
        <v/>
      </c>
      <c r="AO213" s="14">
        <f>IF($A213="","",IF(INDEX('潜水記録'!$AT$5:$AT$3004,$AS213)="","",INDEX('潜水記録'!$AT$5:$AT$3004,$AS213)))</f>
        <v/>
      </c>
      <c r="AP213" s="14">
        <f>IF($A213="","",IF(INDEX('潜水記録'!$AU$5:$AU$3004,$AS213)="","",INDEX('潜水記録'!$AU$5:$AU$3004,$AS213)))</f>
        <v/>
      </c>
      <c r="AQ213" s="14">
        <f>IF($A213="","",IF(INDEX('潜水記録'!$AV$5:$AV$3004,$AS213)="","",INDEX('潜水記録'!$AV$5:$AV$3004,$AS213)))</f>
        <v/>
      </c>
      <c r="AR213" s="14">
        <f>IF($A213="","",IF(INDEX('潜水記録'!$AW$5:$AW$3004,$AS213)="","",INDEX('潜水記録'!$AW$5:$AW$3004,$AS213)))</f>
        <v/>
      </c>
      <c r="AS213" s="20">
        <f>IF($A213="","",MATCH($A213,'潜水記録'!$AI$5:$AI$3004,0))</f>
        <v/>
      </c>
    </row>
    <row r="214">
      <c r="A214" s="14">
        <f>IF(204&lt;=$C$8,204,"")</f>
        <v/>
      </c>
      <c r="B214" s="16">
        <f>IF($A214="","",IF(INDEX('潜水記録'!$A$5:$A$3004,$AS214)="","",INDEX('潜水記録'!$A$5:$A$3004,$AS214)))</f>
        <v/>
      </c>
      <c r="C214" s="14">
        <f>IF($A214="","",IF(INDEX('潜水記録'!$B$5:$B$3004,$AS214)="","",INDEX('潜水記録'!$B$5:$B$3004,$AS214)))</f>
        <v/>
      </c>
      <c r="D214" s="14">
        <f>IF($A214="","",IF(INDEX('潜水記録'!$C$5:$C$3004,$AS214)="","",INDEX('潜水記録'!$C$5:$C$3004,$AS214)))</f>
        <v/>
      </c>
      <c r="E214" s="14">
        <f>IF($A214="","",IF(INDEX('潜水記録'!$D$5:$D$3004,$AS214)="","",INDEX('潜水記録'!$D$5:$D$3004,$AS214)))</f>
        <v/>
      </c>
      <c r="F214" s="14">
        <f>IF($A214="","",IF(INDEX('潜水記録'!$E$5:$E$3004,$AS214)="","",INDEX('潜水記録'!$E$5:$E$3004,$AS214)))</f>
        <v/>
      </c>
      <c r="G214" s="14">
        <f>IF($A214="","",IF(INDEX('潜水記録'!$F$5:$F$3004,$AS214)="","",INDEX('潜水記録'!$F$5:$F$3004,$AS214)))</f>
        <v/>
      </c>
      <c r="H214" s="14">
        <f>IF($A214="","",IF(INDEX('潜水記録'!$G$5:$G$3004,$AS214)="","",INDEX('潜水記録'!$G$5:$G$3004,$AS214)))</f>
        <v/>
      </c>
      <c r="I214" s="14">
        <f>IF($A214="","",IF(INDEX('潜水記録'!$H$5:$H$3004,$AS214)="","",INDEX('潜水記録'!$H$5:$H$3004,$AS214)))</f>
        <v/>
      </c>
      <c r="J214" s="14">
        <f>IF($A214="","",IF(INDEX('潜水記録'!$I$5:$I$3004,$AS214)="","",INDEX('潜水記録'!$I$5:$I$3004,$AS214)))</f>
        <v/>
      </c>
      <c r="K214" s="14">
        <f>IF($A214="","",IF(INDEX('潜水記録'!$J$5:$J$3004,$AS214)="","",INDEX('潜水記録'!$J$5:$J$3004,$AS214)))</f>
        <v/>
      </c>
      <c r="L214" s="14">
        <f>IF($A214="","",IF(INDEX('潜水記録'!$K$5:$K$3004,$AS214)="","",INDEX('潜水記録'!$K$5:$K$3004,$AS214)))</f>
        <v/>
      </c>
      <c r="M214" s="14">
        <f>IF($A214="","",IF(INDEX('潜水記録'!$L$5:$L$3004,$AS214)="","",INDEX('潜水記録'!$L$5:$L$3004,$AS214)))</f>
        <v/>
      </c>
      <c r="N214" s="14">
        <f>IF($A214="","",IF(INDEX('潜水記録'!$M$5:$M$3004,$AS214)="","",INDEX('潜水記録'!$M$5:$M$3004,$AS214)))</f>
        <v/>
      </c>
      <c r="O214" s="14">
        <f>IF($A214="","",IF(INDEX('潜水記録'!$N$5:$N$3004,$AS214)="","",INDEX('潜水記録'!$N$5:$N$3004,$AS214)))</f>
        <v/>
      </c>
      <c r="P214" s="14">
        <f>IF($A214="","",IF(INDEX('潜水記録'!$O$5:$O$3004,$AS214)="","",INDEX('潜水記録'!$O$5:$O$3004,$AS214)))</f>
        <v/>
      </c>
      <c r="Q214" s="14">
        <f>IF($A214="","",IF(INDEX('潜水記録'!$P$5:$P$3004,$AS214)="","",INDEX('潜水記録'!$P$5:$P$3004,$AS214)))</f>
        <v/>
      </c>
      <c r="R214" s="14">
        <f>IF($A214="","",IF(INDEX('潜水記録'!$Q$5:$Q$3004,$AS214)="","",INDEX('潜水記録'!$Q$5:$Q$3004,$AS214)))</f>
        <v/>
      </c>
      <c r="S214" s="14">
        <f>IF($A214="","",IF(INDEX('潜水記録'!$R$5:$R$3004,$AS214)="","",INDEX('潜水記録'!$R$5:$R$3004,$AS214)))</f>
        <v/>
      </c>
      <c r="T214" s="14">
        <f>IF($A214="","",IF(INDEX('潜水記録'!$S$5:$S$3004,$AS214)="","",INDEX('潜水記録'!$S$5:$S$3004,$AS214)))</f>
        <v/>
      </c>
      <c r="U214" s="14">
        <f>IF($A214="","",IF(INDEX('潜水記録'!$T$5:$T$3004,$AS214)="","",INDEX('潜水記録'!$T$5:$T$3004,$AS214)))</f>
        <v/>
      </c>
      <c r="V214" s="46">
        <f>IF($A214="","",IF(INDEX('潜水記録'!$U$5:$U$3004,$AS214)="","",INDEX('潜水記録'!$U$5:$U$3004,$AS214)))</f>
        <v/>
      </c>
      <c r="W214" s="46">
        <f>IF($A214="","",IF(INDEX('潜水記録'!$V$5:$V$3004,$AS214)="","",INDEX('潜水記録'!$V$5:$V$3004,$AS214)))</f>
        <v/>
      </c>
      <c r="X214" s="14">
        <f>IF($A214="","",IF(INDEX('潜水記録'!$W$5:$W$3004,$AS214)="","",INDEX('潜水記録'!$W$5:$W$3004,$AS214)))</f>
        <v/>
      </c>
      <c r="Y214" s="14">
        <f>IF($A214="","",IF(INDEX('潜水記録'!$X$5:$X$3004,$AS214)="","",INDEX('潜水記録'!$X$5:$X$3004,$AS214)))</f>
        <v/>
      </c>
      <c r="Z214" s="14">
        <f>IF($A214="","",IF(INDEX('潜水記録'!$Y$5:$Y$3004,$AS214)="","",INDEX('潜水記録'!$Y$5:$Y$3004,$AS214)))</f>
        <v/>
      </c>
      <c r="AA214" s="14">
        <f>IF($A214="","",IF(INDEX('潜水記録'!$Z$5:$Z$3004,$AS214)="","",INDEX('潜水記録'!$Z$5:$Z$3004,$AS214)))</f>
        <v/>
      </c>
      <c r="AB214" s="14">
        <f>IF($A214="","",IF(INDEX('潜水記録'!$AA$5:$AA$3004,$AS214)="","",INDEX('潜水記録'!$AA$5:$AA$3004,$AS214)))</f>
        <v/>
      </c>
      <c r="AC214" s="14">
        <f>IF($A214="","",IF(INDEX('潜水記録'!$AB$5:$AB$3004,$AS214)="","",INDEX('潜水記録'!$AB$5:$AB$3004,$AS214)))</f>
        <v/>
      </c>
      <c r="AD214" s="14">
        <f>IF($A214="","",IF(INDEX('潜水記録'!$AC$5:$AC$3004,$AS214)="","",INDEX('潜水記録'!$AC$5:$AC$3004,$AS214)))</f>
        <v/>
      </c>
      <c r="AE214" s="14">
        <f>IF($A214="","",IF(INDEX('潜水記録'!$AD$5:$AD$3004,$AS214)="","",INDEX('潜水記録'!$AD$5:$AD$3004,$AS214)))</f>
        <v/>
      </c>
      <c r="AF214" s="14">
        <f>IF($A214="","",IF(INDEX('潜水記録'!$AE$5:$AE$3004,$AS214)="","",INDEX('潜水記録'!$AE$5:$AE$3004,$AS214)))</f>
        <v/>
      </c>
      <c r="AG214" s="14">
        <f>IF($A214="","",IF(INDEX('潜水記録'!$AL$5:$AL$3004,$AS214)="","",INDEX('潜水記録'!$AL$5:$AL$3004,$AS214)))</f>
        <v/>
      </c>
      <c r="AH214" s="14">
        <f>IF($A214="","",IF(INDEX('潜水記録'!$AM$5:$AM$3004,$AS214)="","",INDEX('潜水記録'!$AM$5:$AM$3004,$AS214)))</f>
        <v/>
      </c>
      <c r="AI214" s="46">
        <f>IF($A214="","",IF(INDEX('潜水記録'!$AN$5:$AN$3004,$AS214)="","",INDEX('潜水記録'!$AN$5:$AN$3004,$AS214)))</f>
        <v/>
      </c>
      <c r="AJ214" s="14">
        <f>IF($A214="","",IF(INDEX('潜水記録'!$AO$5:$AO$3004,$AS214)="","",INDEX('潜水記録'!$AO$5:$AO$3004,$AS214)))</f>
        <v/>
      </c>
      <c r="AK214" s="14">
        <f>IF($A214="","",IF(INDEX('潜水記録'!$AP$5:$AP$3004,$AS214)="","",INDEX('潜水記録'!$AP$5:$AP$3004,$AS214)))</f>
        <v/>
      </c>
      <c r="AL214" s="14">
        <f>IF($A214="","",IF(INDEX('潜水記録'!$AQ$5:$AQ$3004,$AS214)="","",INDEX('潜水記録'!$AQ$5:$AQ$3004,$AS214)))</f>
        <v/>
      </c>
      <c r="AM214" s="14">
        <f>IF($A214="","",IF(INDEX('潜水記録'!$AR$5:$AR$3004,$AS214)="","",INDEX('潜水記録'!$AR$5:$AR$3004,$AS214)))</f>
        <v/>
      </c>
      <c r="AN214" s="14">
        <f>IF($A214="","",IF(INDEX('潜水記録'!$AS$5:$AS$3004,$AS214)="","",INDEX('潜水記録'!$AS$5:$AS$3004,$AS214)))</f>
        <v/>
      </c>
      <c r="AO214" s="14">
        <f>IF($A214="","",IF(INDEX('潜水記録'!$AT$5:$AT$3004,$AS214)="","",INDEX('潜水記録'!$AT$5:$AT$3004,$AS214)))</f>
        <v/>
      </c>
      <c r="AP214" s="14">
        <f>IF($A214="","",IF(INDEX('潜水記録'!$AU$5:$AU$3004,$AS214)="","",INDEX('潜水記録'!$AU$5:$AU$3004,$AS214)))</f>
        <v/>
      </c>
      <c r="AQ214" s="14">
        <f>IF($A214="","",IF(INDEX('潜水記録'!$AV$5:$AV$3004,$AS214)="","",INDEX('潜水記録'!$AV$5:$AV$3004,$AS214)))</f>
        <v/>
      </c>
      <c r="AR214" s="14">
        <f>IF($A214="","",IF(INDEX('潜水記録'!$AW$5:$AW$3004,$AS214)="","",INDEX('潜水記録'!$AW$5:$AW$3004,$AS214)))</f>
        <v/>
      </c>
      <c r="AS214" s="20">
        <f>IF($A214="","",MATCH($A214,'潜水記録'!$AI$5:$AI$3004,0))</f>
        <v/>
      </c>
    </row>
    <row r="215">
      <c r="A215" s="14">
        <f>IF(205&lt;=$C$8,205,"")</f>
        <v/>
      </c>
      <c r="B215" s="16">
        <f>IF($A215="","",IF(INDEX('潜水記録'!$A$5:$A$3004,$AS215)="","",INDEX('潜水記録'!$A$5:$A$3004,$AS215)))</f>
        <v/>
      </c>
      <c r="C215" s="14">
        <f>IF($A215="","",IF(INDEX('潜水記録'!$B$5:$B$3004,$AS215)="","",INDEX('潜水記録'!$B$5:$B$3004,$AS215)))</f>
        <v/>
      </c>
      <c r="D215" s="14">
        <f>IF($A215="","",IF(INDEX('潜水記録'!$C$5:$C$3004,$AS215)="","",INDEX('潜水記録'!$C$5:$C$3004,$AS215)))</f>
        <v/>
      </c>
      <c r="E215" s="14">
        <f>IF($A215="","",IF(INDEX('潜水記録'!$D$5:$D$3004,$AS215)="","",INDEX('潜水記録'!$D$5:$D$3004,$AS215)))</f>
        <v/>
      </c>
      <c r="F215" s="14">
        <f>IF($A215="","",IF(INDEX('潜水記録'!$E$5:$E$3004,$AS215)="","",INDEX('潜水記録'!$E$5:$E$3004,$AS215)))</f>
        <v/>
      </c>
      <c r="G215" s="14">
        <f>IF($A215="","",IF(INDEX('潜水記録'!$F$5:$F$3004,$AS215)="","",INDEX('潜水記録'!$F$5:$F$3004,$AS215)))</f>
        <v/>
      </c>
      <c r="H215" s="14">
        <f>IF($A215="","",IF(INDEX('潜水記録'!$G$5:$G$3004,$AS215)="","",INDEX('潜水記録'!$G$5:$G$3004,$AS215)))</f>
        <v/>
      </c>
      <c r="I215" s="14">
        <f>IF($A215="","",IF(INDEX('潜水記録'!$H$5:$H$3004,$AS215)="","",INDEX('潜水記録'!$H$5:$H$3004,$AS215)))</f>
        <v/>
      </c>
      <c r="J215" s="14">
        <f>IF($A215="","",IF(INDEX('潜水記録'!$I$5:$I$3004,$AS215)="","",INDEX('潜水記録'!$I$5:$I$3004,$AS215)))</f>
        <v/>
      </c>
      <c r="K215" s="14">
        <f>IF($A215="","",IF(INDEX('潜水記録'!$J$5:$J$3004,$AS215)="","",INDEX('潜水記録'!$J$5:$J$3004,$AS215)))</f>
        <v/>
      </c>
      <c r="L215" s="14">
        <f>IF($A215="","",IF(INDEX('潜水記録'!$K$5:$K$3004,$AS215)="","",INDEX('潜水記録'!$K$5:$K$3004,$AS215)))</f>
        <v/>
      </c>
      <c r="M215" s="14">
        <f>IF($A215="","",IF(INDEX('潜水記録'!$L$5:$L$3004,$AS215)="","",INDEX('潜水記録'!$L$5:$L$3004,$AS215)))</f>
        <v/>
      </c>
      <c r="N215" s="14">
        <f>IF($A215="","",IF(INDEX('潜水記録'!$M$5:$M$3004,$AS215)="","",INDEX('潜水記録'!$M$5:$M$3004,$AS215)))</f>
        <v/>
      </c>
      <c r="O215" s="14">
        <f>IF($A215="","",IF(INDEX('潜水記録'!$N$5:$N$3004,$AS215)="","",INDEX('潜水記録'!$N$5:$N$3004,$AS215)))</f>
        <v/>
      </c>
      <c r="P215" s="14">
        <f>IF($A215="","",IF(INDEX('潜水記録'!$O$5:$O$3004,$AS215)="","",INDEX('潜水記録'!$O$5:$O$3004,$AS215)))</f>
        <v/>
      </c>
      <c r="Q215" s="14">
        <f>IF($A215="","",IF(INDEX('潜水記録'!$P$5:$P$3004,$AS215)="","",INDEX('潜水記録'!$P$5:$P$3004,$AS215)))</f>
        <v/>
      </c>
      <c r="R215" s="14">
        <f>IF($A215="","",IF(INDEX('潜水記録'!$Q$5:$Q$3004,$AS215)="","",INDEX('潜水記録'!$Q$5:$Q$3004,$AS215)))</f>
        <v/>
      </c>
      <c r="S215" s="14">
        <f>IF($A215="","",IF(INDEX('潜水記録'!$R$5:$R$3004,$AS215)="","",INDEX('潜水記録'!$R$5:$R$3004,$AS215)))</f>
        <v/>
      </c>
      <c r="T215" s="14">
        <f>IF($A215="","",IF(INDEX('潜水記録'!$S$5:$S$3004,$AS215)="","",INDEX('潜水記録'!$S$5:$S$3004,$AS215)))</f>
        <v/>
      </c>
      <c r="U215" s="14">
        <f>IF($A215="","",IF(INDEX('潜水記録'!$T$5:$T$3004,$AS215)="","",INDEX('潜水記録'!$T$5:$T$3004,$AS215)))</f>
        <v/>
      </c>
      <c r="V215" s="46">
        <f>IF($A215="","",IF(INDEX('潜水記録'!$U$5:$U$3004,$AS215)="","",INDEX('潜水記録'!$U$5:$U$3004,$AS215)))</f>
        <v/>
      </c>
      <c r="W215" s="46">
        <f>IF($A215="","",IF(INDEX('潜水記録'!$V$5:$V$3004,$AS215)="","",INDEX('潜水記録'!$V$5:$V$3004,$AS215)))</f>
        <v/>
      </c>
      <c r="X215" s="14">
        <f>IF($A215="","",IF(INDEX('潜水記録'!$W$5:$W$3004,$AS215)="","",INDEX('潜水記録'!$W$5:$W$3004,$AS215)))</f>
        <v/>
      </c>
      <c r="Y215" s="14">
        <f>IF($A215="","",IF(INDEX('潜水記録'!$X$5:$X$3004,$AS215)="","",INDEX('潜水記録'!$X$5:$X$3004,$AS215)))</f>
        <v/>
      </c>
      <c r="Z215" s="14">
        <f>IF($A215="","",IF(INDEX('潜水記録'!$Y$5:$Y$3004,$AS215)="","",INDEX('潜水記録'!$Y$5:$Y$3004,$AS215)))</f>
        <v/>
      </c>
      <c r="AA215" s="14">
        <f>IF($A215="","",IF(INDEX('潜水記録'!$Z$5:$Z$3004,$AS215)="","",INDEX('潜水記録'!$Z$5:$Z$3004,$AS215)))</f>
        <v/>
      </c>
      <c r="AB215" s="14">
        <f>IF($A215="","",IF(INDEX('潜水記録'!$AA$5:$AA$3004,$AS215)="","",INDEX('潜水記録'!$AA$5:$AA$3004,$AS215)))</f>
        <v/>
      </c>
      <c r="AC215" s="14">
        <f>IF($A215="","",IF(INDEX('潜水記録'!$AB$5:$AB$3004,$AS215)="","",INDEX('潜水記録'!$AB$5:$AB$3004,$AS215)))</f>
        <v/>
      </c>
      <c r="AD215" s="14">
        <f>IF($A215="","",IF(INDEX('潜水記録'!$AC$5:$AC$3004,$AS215)="","",INDEX('潜水記録'!$AC$5:$AC$3004,$AS215)))</f>
        <v/>
      </c>
      <c r="AE215" s="14">
        <f>IF($A215="","",IF(INDEX('潜水記録'!$AD$5:$AD$3004,$AS215)="","",INDEX('潜水記録'!$AD$5:$AD$3004,$AS215)))</f>
        <v/>
      </c>
      <c r="AF215" s="14">
        <f>IF($A215="","",IF(INDEX('潜水記録'!$AE$5:$AE$3004,$AS215)="","",INDEX('潜水記録'!$AE$5:$AE$3004,$AS215)))</f>
        <v/>
      </c>
      <c r="AG215" s="14">
        <f>IF($A215="","",IF(INDEX('潜水記録'!$AL$5:$AL$3004,$AS215)="","",INDEX('潜水記録'!$AL$5:$AL$3004,$AS215)))</f>
        <v/>
      </c>
      <c r="AH215" s="14">
        <f>IF($A215="","",IF(INDEX('潜水記録'!$AM$5:$AM$3004,$AS215)="","",INDEX('潜水記録'!$AM$5:$AM$3004,$AS215)))</f>
        <v/>
      </c>
      <c r="AI215" s="46">
        <f>IF($A215="","",IF(INDEX('潜水記録'!$AN$5:$AN$3004,$AS215)="","",INDEX('潜水記録'!$AN$5:$AN$3004,$AS215)))</f>
        <v/>
      </c>
      <c r="AJ215" s="14">
        <f>IF($A215="","",IF(INDEX('潜水記録'!$AO$5:$AO$3004,$AS215)="","",INDEX('潜水記録'!$AO$5:$AO$3004,$AS215)))</f>
        <v/>
      </c>
      <c r="AK215" s="14">
        <f>IF($A215="","",IF(INDEX('潜水記録'!$AP$5:$AP$3004,$AS215)="","",INDEX('潜水記録'!$AP$5:$AP$3004,$AS215)))</f>
        <v/>
      </c>
      <c r="AL215" s="14">
        <f>IF($A215="","",IF(INDEX('潜水記録'!$AQ$5:$AQ$3004,$AS215)="","",INDEX('潜水記録'!$AQ$5:$AQ$3004,$AS215)))</f>
        <v/>
      </c>
      <c r="AM215" s="14">
        <f>IF($A215="","",IF(INDEX('潜水記録'!$AR$5:$AR$3004,$AS215)="","",INDEX('潜水記録'!$AR$5:$AR$3004,$AS215)))</f>
        <v/>
      </c>
      <c r="AN215" s="14">
        <f>IF($A215="","",IF(INDEX('潜水記録'!$AS$5:$AS$3004,$AS215)="","",INDEX('潜水記録'!$AS$5:$AS$3004,$AS215)))</f>
        <v/>
      </c>
      <c r="AO215" s="14">
        <f>IF($A215="","",IF(INDEX('潜水記録'!$AT$5:$AT$3004,$AS215)="","",INDEX('潜水記録'!$AT$5:$AT$3004,$AS215)))</f>
        <v/>
      </c>
      <c r="AP215" s="14">
        <f>IF($A215="","",IF(INDEX('潜水記録'!$AU$5:$AU$3004,$AS215)="","",INDEX('潜水記録'!$AU$5:$AU$3004,$AS215)))</f>
        <v/>
      </c>
      <c r="AQ215" s="14">
        <f>IF($A215="","",IF(INDEX('潜水記録'!$AV$5:$AV$3004,$AS215)="","",INDEX('潜水記録'!$AV$5:$AV$3004,$AS215)))</f>
        <v/>
      </c>
      <c r="AR215" s="14">
        <f>IF($A215="","",IF(INDEX('潜水記録'!$AW$5:$AW$3004,$AS215)="","",INDEX('潜水記録'!$AW$5:$AW$3004,$AS215)))</f>
        <v/>
      </c>
      <c r="AS215" s="20">
        <f>IF($A215="","",MATCH($A215,'潜水記録'!$AI$5:$AI$3004,0))</f>
        <v/>
      </c>
    </row>
    <row r="216">
      <c r="A216" s="14">
        <f>IF(206&lt;=$C$8,206,"")</f>
        <v/>
      </c>
      <c r="B216" s="16">
        <f>IF($A216="","",IF(INDEX('潜水記録'!$A$5:$A$3004,$AS216)="","",INDEX('潜水記録'!$A$5:$A$3004,$AS216)))</f>
        <v/>
      </c>
      <c r="C216" s="14">
        <f>IF($A216="","",IF(INDEX('潜水記録'!$B$5:$B$3004,$AS216)="","",INDEX('潜水記録'!$B$5:$B$3004,$AS216)))</f>
        <v/>
      </c>
      <c r="D216" s="14">
        <f>IF($A216="","",IF(INDEX('潜水記録'!$C$5:$C$3004,$AS216)="","",INDEX('潜水記録'!$C$5:$C$3004,$AS216)))</f>
        <v/>
      </c>
      <c r="E216" s="14">
        <f>IF($A216="","",IF(INDEX('潜水記録'!$D$5:$D$3004,$AS216)="","",INDEX('潜水記録'!$D$5:$D$3004,$AS216)))</f>
        <v/>
      </c>
      <c r="F216" s="14">
        <f>IF($A216="","",IF(INDEX('潜水記録'!$E$5:$E$3004,$AS216)="","",INDEX('潜水記録'!$E$5:$E$3004,$AS216)))</f>
        <v/>
      </c>
      <c r="G216" s="14">
        <f>IF($A216="","",IF(INDEX('潜水記録'!$F$5:$F$3004,$AS216)="","",INDEX('潜水記録'!$F$5:$F$3004,$AS216)))</f>
        <v/>
      </c>
      <c r="H216" s="14">
        <f>IF($A216="","",IF(INDEX('潜水記録'!$G$5:$G$3004,$AS216)="","",INDEX('潜水記録'!$G$5:$G$3004,$AS216)))</f>
        <v/>
      </c>
      <c r="I216" s="14">
        <f>IF($A216="","",IF(INDEX('潜水記録'!$H$5:$H$3004,$AS216)="","",INDEX('潜水記録'!$H$5:$H$3004,$AS216)))</f>
        <v/>
      </c>
      <c r="J216" s="14">
        <f>IF($A216="","",IF(INDEX('潜水記録'!$I$5:$I$3004,$AS216)="","",INDEX('潜水記録'!$I$5:$I$3004,$AS216)))</f>
        <v/>
      </c>
      <c r="K216" s="14">
        <f>IF($A216="","",IF(INDEX('潜水記録'!$J$5:$J$3004,$AS216)="","",INDEX('潜水記録'!$J$5:$J$3004,$AS216)))</f>
        <v/>
      </c>
      <c r="L216" s="14">
        <f>IF($A216="","",IF(INDEX('潜水記録'!$K$5:$K$3004,$AS216)="","",INDEX('潜水記録'!$K$5:$K$3004,$AS216)))</f>
        <v/>
      </c>
      <c r="M216" s="14">
        <f>IF($A216="","",IF(INDEX('潜水記録'!$L$5:$L$3004,$AS216)="","",INDEX('潜水記録'!$L$5:$L$3004,$AS216)))</f>
        <v/>
      </c>
      <c r="N216" s="14">
        <f>IF($A216="","",IF(INDEX('潜水記録'!$M$5:$M$3004,$AS216)="","",INDEX('潜水記録'!$M$5:$M$3004,$AS216)))</f>
        <v/>
      </c>
      <c r="O216" s="14">
        <f>IF($A216="","",IF(INDEX('潜水記録'!$N$5:$N$3004,$AS216)="","",INDEX('潜水記録'!$N$5:$N$3004,$AS216)))</f>
        <v/>
      </c>
      <c r="P216" s="14">
        <f>IF($A216="","",IF(INDEX('潜水記録'!$O$5:$O$3004,$AS216)="","",INDEX('潜水記録'!$O$5:$O$3004,$AS216)))</f>
        <v/>
      </c>
      <c r="Q216" s="14">
        <f>IF($A216="","",IF(INDEX('潜水記録'!$P$5:$P$3004,$AS216)="","",INDEX('潜水記録'!$P$5:$P$3004,$AS216)))</f>
        <v/>
      </c>
      <c r="R216" s="14">
        <f>IF($A216="","",IF(INDEX('潜水記録'!$Q$5:$Q$3004,$AS216)="","",INDEX('潜水記録'!$Q$5:$Q$3004,$AS216)))</f>
        <v/>
      </c>
      <c r="S216" s="14">
        <f>IF($A216="","",IF(INDEX('潜水記録'!$R$5:$R$3004,$AS216)="","",INDEX('潜水記録'!$R$5:$R$3004,$AS216)))</f>
        <v/>
      </c>
      <c r="T216" s="14">
        <f>IF($A216="","",IF(INDEX('潜水記録'!$S$5:$S$3004,$AS216)="","",INDEX('潜水記録'!$S$5:$S$3004,$AS216)))</f>
        <v/>
      </c>
      <c r="U216" s="14">
        <f>IF($A216="","",IF(INDEX('潜水記録'!$T$5:$T$3004,$AS216)="","",INDEX('潜水記録'!$T$5:$T$3004,$AS216)))</f>
        <v/>
      </c>
      <c r="V216" s="46">
        <f>IF($A216="","",IF(INDEX('潜水記録'!$U$5:$U$3004,$AS216)="","",INDEX('潜水記録'!$U$5:$U$3004,$AS216)))</f>
        <v/>
      </c>
      <c r="W216" s="46">
        <f>IF($A216="","",IF(INDEX('潜水記録'!$V$5:$V$3004,$AS216)="","",INDEX('潜水記録'!$V$5:$V$3004,$AS216)))</f>
        <v/>
      </c>
      <c r="X216" s="14">
        <f>IF($A216="","",IF(INDEX('潜水記録'!$W$5:$W$3004,$AS216)="","",INDEX('潜水記録'!$W$5:$W$3004,$AS216)))</f>
        <v/>
      </c>
      <c r="Y216" s="14">
        <f>IF($A216="","",IF(INDEX('潜水記録'!$X$5:$X$3004,$AS216)="","",INDEX('潜水記録'!$X$5:$X$3004,$AS216)))</f>
        <v/>
      </c>
      <c r="Z216" s="14">
        <f>IF($A216="","",IF(INDEX('潜水記録'!$Y$5:$Y$3004,$AS216)="","",INDEX('潜水記録'!$Y$5:$Y$3004,$AS216)))</f>
        <v/>
      </c>
      <c r="AA216" s="14">
        <f>IF($A216="","",IF(INDEX('潜水記録'!$Z$5:$Z$3004,$AS216)="","",INDEX('潜水記録'!$Z$5:$Z$3004,$AS216)))</f>
        <v/>
      </c>
      <c r="AB216" s="14">
        <f>IF($A216="","",IF(INDEX('潜水記録'!$AA$5:$AA$3004,$AS216)="","",INDEX('潜水記録'!$AA$5:$AA$3004,$AS216)))</f>
        <v/>
      </c>
      <c r="AC216" s="14">
        <f>IF($A216="","",IF(INDEX('潜水記録'!$AB$5:$AB$3004,$AS216)="","",INDEX('潜水記録'!$AB$5:$AB$3004,$AS216)))</f>
        <v/>
      </c>
      <c r="AD216" s="14">
        <f>IF($A216="","",IF(INDEX('潜水記録'!$AC$5:$AC$3004,$AS216)="","",INDEX('潜水記録'!$AC$5:$AC$3004,$AS216)))</f>
        <v/>
      </c>
      <c r="AE216" s="14">
        <f>IF($A216="","",IF(INDEX('潜水記録'!$AD$5:$AD$3004,$AS216)="","",INDEX('潜水記録'!$AD$5:$AD$3004,$AS216)))</f>
        <v/>
      </c>
      <c r="AF216" s="14">
        <f>IF($A216="","",IF(INDEX('潜水記録'!$AE$5:$AE$3004,$AS216)="","",INDEX('潜水記録'!$AE$5:$AE$3004,$AS216)))</f>
        <v/>
      </c>
      <c r="AG216" s="14">
        <f>IF($A216="","",IF(INDEX('潜水記録'!$AL$5:$AL$3004,$AS216)="","",INDEX('潜水記録'!$AL$5:$AL$3004,$AS216)))</f>
        <v/>
      </c>
      <c r="AH216" s="14">
        <f>IF($A216="","",IF(INDEX('潜水記録'!$AM$5:$AM$3004,$AS216)="","",INDEX('潜水記録'!$AM$5:$AM$3004,$AS216)))</f>
        <v/>
      </c>
      <c r="AI216" s="46">
        <f>IF($A216="","",IF(INDEX('潜水記録'!$AN$5:$AN$3004,$AS216)="","",INDEX('潜水記録'!$AN$5:$AN$3004,$AS216)))</f>
        <v/>
      </c>
      <c r="AJ216" s="14">
        <f>IF($A216="","",IF(INDEX('潜水記録'!$AO$5:$AO$3004,$AS216)="","",INDEX('潜水記録'!$AO$5:$AO$3004,$AS216)))</f>
        <v/>
      </c>
      <c r="AK216" s="14">
        <f>IF($A216="","",IF(INDEX('潜水記録'!$AP$5:$AP$3004,$AS216)="","",INDEX('潜水記録'!$AP$5:$AP$3004,$AS216)))</f>
        <v/>
      </c>
      <c r="AL216" s="14">
        <f>IF($A216="","",IF(INDEX('潜水記録'!$AQ$5:$AQ$3004,$AS216)="","",INDEX('潜水記録'!$AQ$5:$AQ$3004,$AS216)))</f>
        <v/>
      </c>
      <c r="AM216" s="14">
        <f>IF($A216="","",IF(INDEX('潜水記録'!$AR$5:$AR$3004,$AS216)="","",INDEX('潜水記録'!$AR$5:$AR$3004,$AS216)))</f>
        <v/>
      </c>
      <c r="AN216" s="14">
        <f>IF($A216="","",IF(INDEX('潜水記録'!$AS$5:$AS$3004,$AS216)="","",INDEX('潜水記録'!$AS$5:$AS$3004,$AS216)))</f>
        <v/>
      </c>
      <c r="AO216" s="14">
        <f>IF($A216="","",IF(INDEX('潜水記録'!$AT$5:$AT$3004,$AS216)="","",INDEX('潜水記録'!$AT$5:$AT$3004,$AS216)))</f>
        <v/>
      </c>
      <c r="AP216" s="14">
        <f>IF($A216="","",IF(INDEX('潜水記録'!$AU$5:$AU$3004,$AS216)="","",INDEX('潜水記録'!$AU$5:$AU$3004,$AS216)))</f>
        <v/>
      </c>
      <c r="AQ216" s="14">
        <f>IF($A216="","",IF(INDEX('潜水記録'!$AV$5:$AV$3004,$AS216)="","",INDEX('潜水記録'!$AV$5:$AV$3004,$AS216)))</f>
        <v/>
      </c>
      <c r="AR216" s="14">
        <f>IF($A216="","",IF(INDEX('潜水記録'!$AW$5:$AW$3004,$AS216)="","",INDEX('潜水記録'!$AW$5:$AW$3004,$AS216)))</f>
        <v/>
      </c>
      <c r="AS216" s="20">
        <f>IF($A216="","",MATCH($A216,'潜水記録'!$AI$5:$AI$3004,0))</f>
        <v/>
      </c>
    </row>
    <row r="217">
      <c r="A217" s="14">
        <f>IF(207&lt;=$C$8,207,"")</f>
        <v/>
      </c>
      <c r="B217" s="16">
        <f>IF($A217="","",IF(INDEX('潜水記録'!$A$5:$A$3004,$AS217)="","",INDEX('潜水記録'!$A$5:$A$3004,$AS217)))</f>
        <v/>
      </c>
      <c r="C217" s="14">
        <f>IF($A217="","",IF(INDEX('潜水記録'!$B$5:$B$3004,$AS217)="","",INDEX('潜水記録'!$B$5:$B$3004,$AS217)))</f>
        <v/>
      </c>
      <c r="D217" s="14">
        <f>IF($A217="","",IF(INDEX('潜水記録'!$C$5:$C$3004,$AS217)="","",INDEX('潜水記録'!$C$5:$C$3004,$AS217)))</f>
        <v/>
      </c>
      <c r="E217" s="14">
        <f>IF($A217="","",IF(INDEX('潜水記録'!$D$5:$D$3004,$AS217)="","",INDEX('潜水記録'!$D$5:$D$3004,$AS217)))</f>
        <v/>
      </c>
      <c r="F217" s="14">
        <f>IF($A217="","",IF(INDEX('潜水記録'!$E$5:$E$3004,$AS217)="","",INDEX('潜水記録'!$E$5:$E$3004,$AS217)))</f>
        <v/>
      </c>
      <c r="G217" s="14">
        <f>IF($A217="","",IF(INDEX('潜水記録'!$F$5:$F$3004,$AS217)="","",INDEX('潜水記録'!$F$5:$F$3004,$AS217)))</f>
        <v/>
      </c>
      <c r="H217" s="14">
        <f>IF($A217="","",IF(INDEX('潜水記録'!$G$5:$G$3004,$AS217)="","",INDEX('潜水記録'!$G$5:$G$3004,$AS217)))</f>
        <v/>
      </c>
      <c r="I217" s="14">
        <f>IF($A217="","",IF(INDEX('潜水記録'!$H$5:$H$3004,$AS217)="","",INDEX('潜水記録'!$H$5:$H$3004,$AS217)))</f>
        <v/>
      </c>
      <c r="J217" s="14">
        <f>IF($A217="","",IF(INDEX('潜水記録'!$I$5:$I$3004,$AS217)="","",INDEX('潜水記録'!$I$5:$I$3004,$AS217)))</f>
        <v/>
      </c>
      <c r="K217" s="14">
        <f>IF($A217="","",IF(INDEX('潜水記録'!$J$5:$J$3004,$AS217)="","",INDEX('潜水記録'!$J$5:$J$3004,$AS217)))</f>
        <v/>
      </c>
      <c r="L217" s="14">
        <f>IF($A217="","",IF(INDEX('潜水記録'!$K$5:$K$3004,$AS217)="","",INDEX('潜水記録'!$K$5:$K$3004,$AS217)))</f>
        <v/>
      </c>
      <c r="M217" s="14">
        <f>IF($A217="","",IF(INDEX('潜水記録'!$L$5:$L$3004,$AS217)="","",INDEX('潜水記録'!$L$5:$L$3004,$AS217)))</f>
        <v/>
      </c>
      <c r="N217" s="14">
        <f>IF($A217="","",IF(INDEX('潜水記録'!$M$5:$M$3004,$AS217)="","",INDEX('潜水記録'!$M$5:$M$3004,$AS217)))</f>
        <v/>
      </c>
      <c r="O217" s="14">
        <f>IF($A217="","",IF(INDEX('潜水記録'!$N$5:$N$3004,$AS217)="","",INDEX('潜水記録'!$N$5:$N$3004,$AS217)))</f>
        <v/>
      </c>
      <c r="P217" s="14">
        <f>IF($A217="","",IF(INDEX('潜水記録'!$O$5:$O$3004,$AS217)="","",INDEX('潜水記録'!$O$5:$O$3004,$AS217)))</f>
        <v/>
      </c>
      <c r="Q217" s="14">
        <f>IF($A217="","",IF(INDEX('潜水記録'!$P$5:$P$3004,$AS217)="","",INDEX('潜水記録'!$P$5:$P$3004,$AS217)))</f>
        <v/>
      </c>
      <c r="R217" s="14">
        <f>IF($A217="","",IF(INDEX('潜水記録'!$Q$5:$Q$3004,$AS217)="","",INDEX('潜水記録'!$Q$5:$Q$3004,$AS217)))</f>
        <v/>
      </c>
      <c r="S217" s="14">
        <f>IF($A217="","",IF(INDEX('潜水記録'!$R$5:$R$3004,$AS217)="","",INDEX('潜水記録'!$R$5:$R$3004,$AS217)))</f>
        <v/>
      </c>
      <c r="T217" s="14">
        <f>IF($A217="","",IF(INDEX('潜水記録'!$S$5:$S$3004,$AS217)="","",INDEX('潜水記録'!$S$5:$S$3004,$AS217)))</f>
        <v/>
      </c>
      <c r="U217" s="14">
        <f>IF($A217="","",IF(INDEX('潜水記録'!$T$5:$T$3004,$AS217)="","",INDEX('潜水記録'!$T$5:$T$3004,$AS217)))</f>
        <v/>
      </c>
      <c r="V217" s="46">
        <f>IF($A217="","",IF(INDEX('潜水記録'!$U$5:$U$3004,$AS217)="","",INDEX('潜水記録'!$U$5:$U$3004,$AS217)))</f>
        <v/>
      </c>
      <c r="W217" s="46">
        <f>IF($A217="","",IF(INDEX('潜水記録'!$V$5:$V$3004,$AS217)="","",INDEX('潜水記録'!$V$5:$V$3004,$AS217)))</f>
        <v/>
      </c>
      <c r="X217" s="14">
        <f>IF($A217="","",IF(INDEX('潜水記録'!$W$5:$W$3004,$AS217)="","",INDEX('潜水記録'!$W$5:$W$3004,$AS217)))</f>
        <v/>
      </c>
      <c r="Y217" s="14">
        <f>IF($A217="","",IF(INDEX('潜水記録'!$X$5:$X$3004,$AS217)="","",INDEX('潜水記録'!$X$5:$X$3004,$AS217)))</f>
        <v/>
      </c>
      <c r="Z217" s="14">
        <f>IF($A217="","",IF(INDEX('潜水記録'!$Y$5:$Y$3004,$AS217)="","",INDEX('潜水記録'!$Y$5:$Y$3004,$AS217)))</f>
        <v/>
      </c>
      <c r="AA217" s="14">
        <f>IF($A217="","",IF(INDEX('潜水記録'!$Z$5:$Z$3004,$AS217)="","",INDEX('潜水記録'!$Z$5:$Z$3004,$AS217)))</f>
        <v/>
      </c>
      <c r="AB217" s="14">
        <f>IF($A217="","",IF(INDEX('潜水記録'!$AA$5:$AA$3004,$AS217)="","",INDEX('潜水記録'!$AA$5:$AA$3004,$AS217)))</f>
        <v/>
      </c>
      <c r="AC217" s="14">
        <f>IF($A217="","",IF(INDEX('潜水記録'!$AB$5:$AB$3004,$AS217)="","",INDEX('潜水記録'!$AB$5:$AB$3004,$AS217)))</f>
        <v/>
      </c>
      <c r="AD217" s="14">
        <f>IF($A217="","",IF(INDEX('潜水記録'!$AC$5:$AC$3004,$AS217)="","",INDEX('潜水記録'!$AC$5:$AC$3004,$AS217)))</f>
        <v/>
      </c>
      <c r="AE217" s="14">
        <f>IF($A217="","",IF(INDEX('潜水記録'!$AD$5:$AD$3004,$AS217)="","",INDEX('潜水記録'!$AD$5:$AD$3004,$AS217)))</f>
        <v/>
      </c>
      <c r="AF217" s="14">
        <f>IF($A217="","",IF(INDEX('潜水記録'!$AE$5:$AE$3004,$AS217)="","",INDEX('潜水記録'!$AE$5:$AE$3004,$AS217)))</f>
        <v/>
      </c>
      <c r="AG217" s="14">
        <f>IF($A217="","",IF(INDEX('潜水記録'!$AL$5:$AL$3004,$AS217)="","",INDEX('潜水記録'!$AL$5:$AL$3004,$AS217)))</f>
        <v/>
      </c>
      <c r="AH217" s="14">
        <f>IF($A217="","",IF(INDEX('潜水記録'!$AM$5:$AM$3004,$AS217)="","",INDEX('潜水記録'!$AM$5:$AM$3004,$AS217)))</f>
        <v/>
      </c>
      <c r="AI217" s="46">
        <f>IF($A217="","",IF(INDEX('潜水記録'!$AN$5:$AN$3004,$AS217)="","",INDEX('潜水記録'!$AN$5:$AN$3004,$AS217)))</f>
        <v/>
      </c>
      <c r="AJ217" s="14">
        <f>IF($A217="","",IF(INDEX('潜水記録'!$AO$5:$AO$3004,$AS217)="","",INDEX('潜水記録'!$AO$5:$AO$3004,$AS217)))</f>
        <v/>
      </c>
      <c r="AK217" s="14">
        <f>IF($A217="","",IF(INDEX('潜水記録'!$AP$5:$AP$3004,$AS217)="","",INDEX('潜水記録'!$AP$5:$AP$3004,$AS217)))</f>
        <v/>
      </c>
      <c r="AL217" s="14">
        <f>IF($A217="","",IF(INDEX('潜水記録'!$AQ$5:$AQ$3004,$AS217)="","",INDEX('潜水記録'!$AQ$5:$AQ$3004,$AS217)))</f>
        <v/>
      </c>
      <c r="AM217" s="14">
        <f>IF($A217="","",IF(INDEX('潜水記録'!$AR$5:$AR$3004,$AS217)="","",INDEX('潜水記録'!$AR$5:$AR$3004,$AS217)))</f>
        <v/>
      </c>
      <c r="AN217" s="14">
        <f>IF($A217="","",IF(INDEX('潜水記録'!$AS$5:$AS$3004,$AS217)="","",INDEX('潜水記録'!$AS$5:$AS$3004,$AS217)))</f>
        <v/>
      </c>
      <c r="AO217" s="14">
        <f>IF($A217="","",IF(INDEX('潜水記録'!$AT$5:$AT$3004,$AS217)="","",INDEX('潜水記録'!$AT$5:$AT$3004,$AS217)))</f>
        <v/>
      </c>
      <c r="AP217" s="14">
        <f>IF($A217="","",IF(INDEX('潜水記録'!$AU$5:$AU$3004,$AS217)="","",INDEX('潜水記録'!$AU$5:$AU$3004,$AS217)))</f>
        <v/>
      </c>
      <c r="AQ217" s="14">
        <f>IF($A217="","",IF(INDEX('潜水記録'!$AV$5:$AV$3004,$AS217)="","",INDEX('潜水記録'!$AV$5:$AV$3004,$AS217)))</f>
        <v/>
      </c>
      <c r="AR217" s="14">
        <f>IF($A217="","",IF(INDEX('潜水記録'!$AW$5:$AW$3004,$AS217)="","",INDEX('潜水記録'!$AW$5:$AW$3004,$AS217)))</f>
        <v/>
      </c>
      <c r="AS217" s="20">
        <f>IF($A217="","",MATCH($A217,'潜水記録'!$AI$5:$AI$3004,0))</f>
        <v/>
      </c>
    </row>
    <row r="218">
      <c r="A218" s="14">
        <f>IF(208&lt;=$C$8,208,"")</f>
        <v/>
      </c>
      <c r="B218" s="16">
        <f>IF($A218="","",IF(INDEX('潜水記録'!$A$5:$A$3004,$AS218)="","",INDEX('潜水記録'!$A$5:$A$3004,$AS218)))</f>
        <v/>
      </c>
      <c r="C218" s="14">
        <f>IF($A218="","",IF(INDEX('潜水記録'!$B$5:$B$3004,$AS218)="","",INDEX('潜水記録'!$B$5:$B$3004,$AS218)))</f>
        <v/>
      </c>
      <c r="D218" s="14">
        <f>IF($A218="","",IF(INDEX('潜水記録'!$C$5:$C$3004,$AS218)="","",INDEX('潜水記録'!$C$5:$C$3004,$AS218)))</f>
        <v/>
      </c>
      <c r="E218" s="14">
        <f>IF($A218="","",IF(INDEX('潜水記録'!$D$5:$D$3004,$AS218)="","",INDEX('潜水記録'!$D$5:$D$3004,$AS218)))</f>
        <v/>
      </c>
      <c r="F218" s="14">
        <f>IF($A218="","",IF(INDEX('潜水記録'!$E$5:$E$3004,$AS218)="","",INDEX('潜水記録'!$E$5:$E$3004,$AS218)))</f>
        <v/>
      </c>
      <c r="G218" s="14">
        <f>IF($A218="","",IF(INDEX('潜水記録'!$F$5:$F$3004,$AS218)="","",INDEX('潜水記録'!$F$5:$F$3004,$AS218)))</f>
        <v/>
      </c>
      <c r="H218" s="14">
        <f>IF($A218="","",IF(INDEX('潜水記録'!$G$5:$G$3004,$AS218)="","",INDEX('潜水記録'!$G$5:$G$3004,$AS218)))</f>
        <v/>
      </c>
      <c r="I218" s="14">
        <f>IF($A218="","",IF(INDEX('潜水記録'!$H$5:$H$3004,$AS218)="","",INDEX('潜水記録'!$H$5:$H$3004,$AS218)))</f>
        <v/>
      </c>
      <c r="J218" s="14">
        <f>IF($A218="","",IF(INDEX('潜水記録'!$I$5:$I$3004,$AS218)="","",INDEX('潜水記録'!$I$5:$I$3004,$AS218)))</f>
        <v/>
      </c>
      <c r="K218" s="14">
        <f>IF($A218="","",IF(INDEX('潜水記録'!$J$5:$J$3004,$AS218)="","",INDEX('潜水記録'!$J$5:$J$3004,$AS218)))</f>
        <v/>
      </c>
      <c r="L218" s="14">
        <f>IF($A218="","",IF(INDEX('潜水記録'!$K$5:$K$3004,$AS218)="","",INDEX('潜水記録'!$K$5:$K$3004,$AS218)))</f>
        <v/>
      </c>
      <c r="M218" s="14">
        <f>IF($A218="","",IF(INDEX('潜水記録'!$L$5:$L$3004,$AS218)="","",INDEX('潜水記録'!$L$5:$L$3004,$AS218)))</f>
        <v/>
      </c>
      <c r="N218" s="14">
        <f>IF($A218="","",IF(INDEX('潜水記録'!$M$5:$M$3004,$AS218)="","",INDEX('潜水記録'!$M$5:$M$3004,$AS218)))</f>
        <v/>
      </c>
      <c r="O218" s="14">
        <f>IF($A218="","",IF(INDEX('潜水記録'!$N$5:$N$3004,$AS218)="","",INDEX('潜水記録'!$N$5:$N$3004,$AS218)))</f>
        <v/>
      </c>
      <c r="P218" s="14">
        <f>IF($A218="","",IF(INDEX('潜水記録'!$O$5:$O$3004,$AS218)="","",INDEX('潜水記録'!$O$5:$O$3004,$AS218)))</f>
        <v/>
      </c>
      <c r="Q218" s="14">
        <f>IF($A218="","",IF(INDEX('潜水記録'!$P$5:$P$3004,$AS218)="","",INDEX('潜水記録'!$P$5:$P$3004,$AS218)))</f>
        <v/>
      </c>
      <c r="R218" s="14">
        <f>IF($A218="","",IF(INDEX('潜水記録'!$Q$5:$Q$3004,$AS218)="","",INDEX('潜水記録'!$Q$5:$Q$3004,$AS218)))</f>
        <v/>
      </c>
      <c r="S218" s="14">
        <f>IF($A218="","",IF(INDEX('潜水記録'!$R$5:$R$3004,$AS218)="","",INDEX('潜水記録'!$R$5:$R$3004,$AS218)))</f>
        <v/>
      </c>
      <c r="T218" s="14">
        <f>IF($A218="","",IF(INDEX('潜水記録'!$S$5:$S$3004,$AS218)="","",INDEX('潜水記録'!$S$5:$S$3004,$AS218)))</f>
        <v/>
      </c>
      <c r="U218" s="14">
        <f>IF($A218="","",IF(INDEX('潜水記録'!$T$5:$T$3004,$AS218)="","",INDEX('潜水記録'!$T$5:$T$3004,$AS218)))</f>
        <v/>
      </c>
      <c r="V218" s="46">
        <f>IF($A218="","",IF(INDEX('潜水記録'!$U$5:$U$3004,$AS218)="","",INDEX('潜水記録'!$U$5:$U$3004,$AS218)))</f>
        <v/>
      </c>
      <c r="W218" s="46">
        <f>IF($A218="","",IF(INDEX('潜水記録'!$V$5:$V$3004,$AS218)="","",INDEX('潜水記録'!$V$5:$V$3004,$AS218)))</f>
        <v/>
      </c>
      <c r="X218" s="14">
        <f>IF($A218="","",IF(INDEX('潜水記録'!$W$5:$W$3004,$AS218)="","",INDEX('潜水記録'!$W$5:$W$3004,$AS218)))</f>
        <v/>
      </c>
      <c r="Y218" s="14">
        <f>IF($A218="","",IF(INDEX('潜水記録'!$X$5:$X$3004,$AS218)="","",INDEX('潜水記録'!$X$5:$X$3004,$AS218)))</f>
        <v/>
      </c>
      <c r="Z218" s="14">
        <f>IF($A218="","",IF(INDEX('潜水記録'!$Y$5:$Y$3004,$AS218)="","",INDEX('潜水記録'!$Y$5:$Y$3004,$AS218)))</f>
        <v/>
      </c>
      <c r="AA218" s="14">
        <f>IF($A218="","",IF(INDEX('潜水記録'!$Z$5:$Z$3004,$AS218)="","",INDEX('潜水記録'!$Z$5:$Z$3004,$AS218)))</f>
        <v/>
      </c>
      <c r="AB218" s="14">
        <f>IF($A218="","",IF(INDEX('潜水記録'!$AA$5:$AA$3004,$AS218)="","",INDEX('潜水記録'!$AA$5:$AA$3004,$AS218)))</f>
        <v/>
      </c>
      <c r="AC218" s="14">
        <f>IF($A218="","",IF(INDEX('潜水記録'!$AB$5:$AB$3004,$AS218)="","",INDEX('潜水記録'!$AB$5:$AB$3004,$AS218)))</f>
        <v/>
      </c>
      <c r="AD218" s="14">
        <f>IF($A218="","",IF(INDEX('潜水記録'!$AC$5:$AC$3004,$AS218)="","",INDEX('潜水記録'!$AC$5:$AC$3004,$AS218)))</f>
        <v/>
      </c>
      <c r="AE218" s="14">
        <f>IF($A218="","",IF(INDEX('潜水記録'!$AD$5:$AD$3004,$AS218)="","",INDEX('潜水記録'!$AD$5:$AD$3004,$AS218)))</f>
        <v/>
      </c>
      <c r="AF218" s="14">
        <f>IF($A218="","",IF(INDEX('潜水記録'!$AE$5:$AE$3004,$AS218)="","",INDEX('潜水記録'!$AE$5:$AE$3004,$AS218)))</f>
        <v/>
      </c>
      <c r="AG218" s="14">
        <f>IF($A218="","",IF(INDEX('潜水記録'!$AL$5:$AL$3004,$AS218)="","",INDEX('潜水記録'!$AL$5:$AL$3004,$AS218)))</f>
        <v/>
      </c>
      <c r="AH218" s="14">
        <f>IF($A218="","",IF(INDEX('潜水記録'!$AM$5:$AM$3004,$AS218)="","",INDEX('潜水記録'!$AM$5:$AM$3004,$AS218)))</f>
        <v/>
      </c>
      <c r="AI218" s="46">
        <f>IF($A218="","",IF(INDEX('潜水記録'!$AN$5:$AN$3004,$AS218)="","",INDEX('潜水記録'!$AN$5:$AN$3004,$AS218)))</f>
        <v/>
      </c>
      <c r="AJ218" s="14">
        <f>IF($A218="","",IF(INDEX('潜水記録'!$AO$5:$AO$3004,$AS218)="","",INDEX('潜水記録'!$AO$5:$AO$3004,$AS218)))</f>
        <v/>
      </c>
      <c r="AK218" s="14">
        <f>IF($A218="","",IF(INDEX('潜水記録'!$AP$5:$AP$3004,$AS218)="","",INDEX('潜水記録'!$AP$5:$AP$3004,$AS218)))</f>
        <v/>
      </c>
      <c r="AL218" s="14">
        <f>IF($A218="","",IF(INDEX('潜水記録'!$AQ$5:$AQ$3004,$AS218)="","",INDEX('潜水記録'!$AQ$5:$AQ$3004,$AS218)))</f>
        <v/>
      </c>
      <c r="AM218" s="14">
        <f>IF($A218="","",IF(INDEX('潜水記録'!$AR$5:$AR$3004,$AS218)="","",INDEX('潜水記録'!$AR$5:$AR$3004,$AS218)))</f>
        <v/>
      </c>
      <c r="AN218" s="14">
        <f>IF($A218="","",IF(INDEX('潜水記録'!$AS$5:$AS$3004,$AS218)="","",INDEX('潜水記録'!$AS$5:$AS$3004,$AS218)))</f>
        <v/>
      </c>
      <c r="AO218" s="14">
        <f>IF($A218="","",IF(INDEX('潜水記録'!$AT$5:$AT$3004,$AS218)="","",INDEX('潜水記録'!$AT$5:$AT$3004,$AS218)))</f>
        <v/>
      </c>
      <c r="AP218" s="14">
        <f>IF($A218="","",IF(INDEX('潜水記録'!$AU$5:$AU$3004,$AS218)="","",INDEX('潜水記録'!$AU$5:$AU$3004,$AS218)))</f>
        <v/>
      </c>
      <c r="AQ218" s="14">
        <f>IF($A218="","",IF(INDEX('潜水記録'!$AV$5:$AV$3004,$AS218)="","",INDEX('潜水記録'!$AV$5:$AV$3004,$AS218)))</f>
        <v/>
      </c>
      <c r="AR218" s="14">
        <f>IF($A218="","",IF(INDEX('潜水記録'!$AW$5:$AW$3004,$AS218)="","",INDEX('潜水記録'!$AW$5:$AW$3004,$AS218)))</f>
        <v/>
      </c>
      <c r="AS218" s="20">
        <f>IF($A218="","",MATCH($A218,'潜水記録'!$AI$5:$AI$3004,0))</f>
        <v/>
      </c>
    </row>
    <row r="219">
      <c r="A219" s="14">
        <f>IF(209&lt;=$C$8,209,"")</f>
        <v/>
      </c>
      <c r="B219" s="16">
        <f>IF($A219="","",IF(INDEX('潜水記録'!$A$5:$A$3004,$AS219)="","",INDEX('潜水記録'!$A$5:$A$3004,$AS219)))</f>
        <v/>
      </c>
      <c r="C219" s="14">
        <f>IF($A219="","",IF(INDEX('潜水記録'!$B$5:$B$3004,$AS219)="","",INDEX('潜水記録'!$B$5:$B$3004,$AS219)))</f>
        <v/>
      </c>
      <c r="D219" s="14">
        <f>IF($A219="","",IF(INDEX('潜水記録'!$C$5:$C$3004,$AS219)="","",INDEX('潜水記録'!$C$5:$C$3004,$AS219)))</f>
        <v/>
      </c>
      <c r="E219" s="14">
        <f>IF($A219="","",IF(INDEX('潜水記録'!$D$5:$D$3004,$AS219)="","",INDEX('潜水記録'!$D$5:$D$3004,$AS219)))</f>
        <v/>
      </c>
      <c r="F219" s="14">
        <f>IF($A219="","",IF(INDEX('潜水記録'!$E$5:$E$3004,$AS219)="","",INDEX('潜水記録'!$E$5:$E$3004,$AS219)))</f>
        <v/>
      </c>
      <c r="G219" s="14">
        <f>IF($A219="","",IF(INDEX('潜水記録'!$F$5:$F$3004,$AS219)="","",INDEX('潜水記録'!$F$5:$F$3004,$AS219)))</f>
        <v/>
      </c>
      <c r="H219" s="14">
        <f>IF($A219="","",IF(INDEX('潜水記録'!$G$5:$G$3004,$AS219)="","",INDEX('潜水記録'!$G$5:$G$3004,$AS219)))</f>
        <v/>
      </c>
      <c r="I219" s="14">
        <f>IF($A219="","",IF(INDEX('潜水記録'!$H$5:$H$3004,$AS219)="","",INDEX('潜水記録'!$H$5:$H$3004,$AS219)))</f>
        <v/>
      </c>
      <c r="J219" s="14">
        <f>IF($A219="","",IF(INDEX('潜水記録'!$I$5:$I$3004,$AS219)="","",INDEX('潜水記録'!$I$5:$I$3004,$AS219)))</f>
        <v/>
      </c>
      <c r="K219" s="14">
        <f>IF($A219="","",IF(INDEX('潜水記録'!$J$5:$J$3004,$AS219)="","",INDEX('潜水記録'!$J$5:$J$3004,$AS219)))</f>
        <v/>
      </c>
      <c r="L219" s="14">
        <f>IF($A219="","",IF(INDEX('潜水記録'!$K$5:$K$3004,$AS219)="","",INDEX('潜水記録'!$K$5:$K$3004,$AS219)))</f>
        <v/>
      </c>
      <c r="M219" s="14">
        <f>IF($A219="","",IF(INDEX('潜水記録'!$L$5:$L$3004,$AS219)="","",INDEX('潜水記録'!$L$5:$L$3004,$AS219)))</f>
        <v/>
      </c>
      <c r="N219" s="14">
        <f>IF($A219="","",IF(INDEX('潜水記録'!$M$5:$M$3004,$AS219)="","",INDEX('潜水記録'!$M$5:$M$3004,$AS219)))</f>
        <v/>
      </c>
      <c r="O219" s="14">
        <f>IF($A219="","",IF(INDEX('潜水記録'!$N$5:$N$3004,$AS219)="","",INDEX('潜水記録'!$N$5:$N$3004,$AS219)))</f>
        <v/>
      </c>
      <c r="P219" s="14">
        <f>IF($A219="","",IF(INDEX('潜水記録'!$O$5:$O$3004,$AS219)="","",INDEX('潜水記録'!$O$5:$O$3004,$AS219)))</f>
        <v/>
      </c>
      <c r="Q219" s="14">
        <f>IF($A219="","",IF(INDEX('潜水記録'!$P$5:$P$3004,$AS219)="","",INDEX('潜水記録'!$P$5:$P$3004,$AS219)))</f>
        <v/>
      </c>
      <c r="R219" s="14">
        <f>IF($A219="","",IF(INDEX('潜水記録'!$Q$5:$Q$3004,$AS219)="","",INDEX('潜水記録'!$Q$5:$Q$3004,$AS219)))</f>
        <v/>
      </c>
      <c r="S219" s="14">
        <f>IF($A219="","",IF(INDEX('潜水記録'!$R$5:$R$3004,$AS219)="","",INDEX('潜水記録'!$R$5:$R$3004,$AS219)))</f>
        <v/>
      </c>
      <c r="T219" s="14">
        <f>IF($A219="","",IF(INDEX('潜水記録'!$S$5:$S$3004,$AS219)="","",INDEX('潜水記録'!$S$5:$S$3004,$AS219)))</f>
        <v/>
      </c>
      <c r="U219" s="14">
        <f>IF($A219="","",IF(INDEX('潜水記録'!$T$5:$T$3004,$AS219)="","",INDEX('潜水記録'!$T$5:$T$3004,$AS219)))</f>
        <v/>
      </c>
      <c r="V219" s="46">
        <f>IF($A219="","",IF(INDEX('潜水記録'!$U$5:$U$3004,$AS219)="","",INDEX('潜水記録'!$U$5:$U$3004,$AS219)))</f>
        <v/>
      </c>
      <c r="W219" s="46">
        <f>IF($A219="","",IF(INDEX('潜水記録'!$V$5:$V$3004,$AS219)="","",INDEX('潜水記録'!$V$5:$V$3004,$AS219)))</f>
        <v/>
      </c>
      <c r="X219" s="14">
        <f>IF($A219="","",IF(INDEX('潜水記録'!$W$5:$W$3004,$AS219)="","",INDEX('潜水記録'!$W$5:$W$3004,$AS219)))</f>
        <v/>
      </c>
      <c r="Y219" s="14">
        <f>IF($A219="","",IF(INDEX('潜水記録'!$X$5:$X$3004,$AS219)="","",INDEX('潜水記録'!$X$5:$X$3004,$AS219)))</f>
        <v/>
      </c>
      <c r="Z219" s="14">
        <f>IF($A219="","",IF(INDEX('潜水記録'!$Y$5:$Y$3004,$AS219)="","",INDEX('潜水記録'!$Y$5:$Y$3004,$AS219)))</f>
        <v/>
      </c>
      <c r="AA219" s="14">
        <f>IF($A219="","",IF(INDEX('潜水記録'!$Z$5:$Z$3004,$AS219)="","",INDEX('潜水記録'!$Z$5:$Z$3004,$AS219)))</f>
        <v/>
      </c>
      <c r="AB219" s="14">
        <f>IF($A219="","",IF(INDEX('潜水記録'!$AA$5:$AA$3004,$AS219)="","",INDEX('潜水記録'!$AA$5:$AA$3004,$AS219)))</f>
        <v/>
      </c>
      <c r="AC219" s="14">
        <f>IF($A219="","",IF(INDEX('潜水記録'!$AB$5:$AB$3004,$AS219)="","",INDEX('潜水記録'!$AB$5:$AB$3004,$AS219)))</f>
        <v/>
      </c>
      <c r="AD219" s="14">
        <f>IF($A219="","",IF(INDEX('潜水記録'!$AC$5:$AC$3004,$AS219)="","",INDEX('潜水記録'!$AC$5:$AC$3004,$AS219)))</f>
        <v/>
      </c>
      <c r="AE219" s="14">
        <f>IF($A219="","",IF(INDEX('潜水記録'!$AD$5:$AD$3004,$AS219)="","",INDEX('潜水記録'!$AD$5:$AD$3004,$AS219)))</f>
        <v/>
      </c>
      <c r="AF219" s="14">
        <f>IF($A219="","",IF(INDEX('潜水記録'!$AE$5:$AE$3004,$AS219)="","",INDEX('潜水記録'!$AE$5:$AE$3004,$AS219)))</f>
        <v/>
      </c>
      <c r="AG219" s="14">
        <f>IF($A219="","",IF(INDEX('潜水記録'!$AL$5:$AL$3004,$AS219)="","",INDEX('潜水記録'!$AL$5:$AL$3004,$AS219)))</f>
        <v/>
      </c>
      <c r="AH219" s="14">
        <f>IF($A219="","",IF(INDEX('潜水記録'!$AM$5:$AM$3004,$AS219)="","",INDEX('潜水記録'!$AM$5:$AM$3004,$AS219)))</f>
        <v/>
      </c>
      <c r="AI219" s="46">
        <f>IF($A219="","",IF(INDEX('潜水記録'!$AN$5:$AN$3004,$AS219)="","",INDEX('潜水記録'!$AN$5:$AN$3004,$AS219)))</f>
        <v/>
      </c>
      <c r="AJ219" s="14">
        <f>IF($A219="","",IF(INDEX('潜水記録'!$AO$5:$AO$3004,$AS219)="","",INDEX('潜水記録'!$AO$5:$AO$3004,$AS219)))</f>
        <v/>
      </c>
      <c r="AK219" s="14">
        <f>IF($A219="","",IF(INDEX('潜水記録'!$AP$5:$AP$3004,$AS219)="","",INDEX('潜水記録'!$AP$5:$AP$3004,$AS219)))</f>
        <v/>
      </c>
      <c r="AL219" s="14">
        <f>IF($A219="","",IF(INDEX('潜水記録'!$AQ$5:$AQ$3004,$AS219)="","",INDEX('潜水記録'!$AQ$5:$AQ$3004,$AS219)))</f>
        <v/>
      </c>
      <c r="AM219" s="14">
        <f>IF($A219="","",IF(INDEX('潜水記録'!$AR$5:$AR$3004,$AS219)="","",INDEX('潜水記録'!$AR$5:$AR$3004,$AS219)))</f>
        <v/>
      </c>
      <c r="AN219" s="14">
        <f>IF($A219="","",IF(INDEX('潜水記録'!$AS$5:$AS$3004,$AS219)="","",INDEX('潜水記録'!$AS$5:$AS$3004,$AS219)))</f>
        <v/>
      </c>
      <c r="AO219" s="14">
        <f>IF($A219="","",IF(INDEX('潜水記録'!$AT$5:$AT$3004,$AS219)="","",INDEX('潜水記録'!$AT$5:$AT$3004,$AS219)))</f>
        <v/>
      </c>
      <c r="AP219" s="14">
        <f>IF($A219="","",IF(INDEX('潜水記録'!$AU$5:$AU$3004,$AS219)="","",INDEX('潜水記録'!$AU$5:$AU$3004,$AS219)))</f>
        <v/>
      </c>
      <c r="AQ219" s="14">
        <f>IF($A219="","",IF(INDEX('潜水記録'!$AV$5:$AV$3004,$AS219)="","",INDEX('潜水記録'!$AV$5:$AV$3004,$AS219)))</f>
        <v/>
      </c>
      <c r="AR219" s="14">
        <f>IF($A219="","",IF(INDEX('潜水記録'!$AW$5:$AW$3004,$AS219)="","",INDEX('潜水記録'!$AW$5:$AW$3004,$AS219)))</f>
        <v/>
      </c>
      <c r="AS219" s="20">
        <f>IF($A219="","",MATCH($A219,'潜水記録'!$AI$5:$AI$3004,0))</f>
        <v/>
      </c>
    </row>
    <row r="220">
      <c r="A220" s="14">
        <f>IF(210&lt;=$C$8,210,"")</f>
        <v/>
      </c>
      <c r="B220" s="16">
        <f>IF($A220="","",IF(INDEX('潜水記録'!$A$5:$A$3004,$AS220)="","",INDEX('潜水記録'!$A$5:$A$3004,$AS220)))</f>
        <v/>
      </c>
      <c r="C220" s="14">
        <f>IF($A220="","",IF(INDEX('潜水記録'!$B$5:$B$3004,$AS220)="","",INDEX('潜水記録'!$B$5:$B$3004,$AS220)))</f>
        <v/>
      </c>
      <c r="D220" s="14">
        <f>IF($A220="","",IF(INDEX('潜水記録'!$C$5:$C$3004,$AS220)="","",INDEX('潜水記録'!$C$5:$C$3004,$AS220)))</f>
        <v/>
      </c>
      <c r="E220" s="14">
        <f>IF($A220="","",IF(INDEX('潜水記録'!$D$5:$D$3004,$AS220)="","",INDEX('潜水記録'!$D$5:$D$3004,$AS220)))</f>
        <v/>
      </c>
      <c r="F220" s="14">
        <f>IF($A220="","",IF(INDEX('潜水記録'!$E$5:$E$3004,$AS220)="","",INDEX('潜水記録'!$E$5:$E$3004,$AS220)))</f>
        <v/>
      </c>
      <c r="G220" s="14">
        <f>IF($A220="","",IF(INDEX('潜水記録'!$F$5:$F$3004,$AS220)="","",INDEX('潜水記録'!$F$5:$F$3004,$AS220)))</f>
        <v/>
      </c>
      <c r="H220" s="14">
        <f>IF($A220="","",IF(INDEX('潜水記録'!$G$5:$G$3004,$AS220)="","",INDEX('潜水記録'!$G$5:$G$3004,$AS220)))</f>
        <v/>
      </c>
      <c r="I220" s="14">
        <f>IF($A220="","",IF(INDEX('潜水記録'!$H$5:$H$3004,$AS220)="","",INDEX('潜水記録'!$H$5:$H$3004,$AS220)))</f>
        <v/>
      </c>
      <c r="J220" s="14">
        <f>IF($A220="","",IF(INDEX('潜水記録'!$I$5:$I$3004,$AS220)="","",INDEX('潜水記録'!$I$5:$I$3004,$AS220)))</f>
        <v/>
      </c>
      <c r="K220" s="14">
        <f>IF($A220="","",IF(INDEX('潜水記録'!$J$5:$J$3004,$AS220)="","",INDEX('潜水記録'!$J$5:$J$3004,$AS220)))</f>
        <v/>
      </c>
      <c r="L220" s="14">
        <f>IF($A220="","",IF(INDEX('潜水記録'!$K$5:$K$3004,$AS220)="","",INDEX('潜水記録'!$K$5:$K$3004,$AS220)))</f>
        <v/>
      </c>
      <c r="M220" s="14">
        <f>IF($A220="","",IF(INDEX('潜水記録'!$L$5:$L$3004,$AS220)="","",INDEX('潜水記録'!$L$5:$L$3004,$AS220)))</f>
        <v/>
      </c>
      <c r="N220" s="14">
        <f>IF($A220="","",IF(INDEX('潜水記録'!$M$5:$M$3004,$AS220)="","",INDEX('潜水記録'!$M$5:$M$3004,$AS220)))</f>
        <v/>
      </c>
      <c r="O220" s="14">
        <f>IF($A220="","",IF(INDEX('潜水記録'!$N$5:$N$3004,$AS220)="","",INDEX('潜水記録'!$N$5:$N$3004,$AS220)))</f>
        <v/>
      </c>
      <c r="P220" s="14">
        <f>IF($A220="","",IF(INDEX('潜水記録'!$O$5:$O$3004,$AS220)="","",INDEX('潜水記録'!$O$5:$O$3004,$AS220)))</f>
        <v/>
      </c>
      <c r="Q220" s="14">
        <f>IF($A220="","",IF(INDEX('潜水記録'!$P$5:$P$3004,$AS220)="","",INDEX('潜水記録'!$P$5:$P$3004,$AS220)))</f>
        <v/>
      </c>
      <c r="R220" s="14">
        <f>IF($A220="","",IF(INDEX('潜水記録'!$Q$5:$Q$3004,$AS220)="","",INDEX('潜水記録'!$Q$5:$Q$3004,$AS220)))</f>
        <v/>
      </c>
      <c r="S220" s="14">
        <f>IF($A220="","",IF(INDEX('潜水記録'!$R$5:$R$3004,$AS220)="","",INDEX('潜水記録'!$R$5:$R$3004,$AS220)))</f>
        <v/>
      </c>
      <c r="T220" s="14">
        <f>IF($A220="","",IF(INDEX('潜水記録'!$S$5:$S$3004,$AS220)="","",INDEX('潜水記録'!$S$5:$S$3004,$AS220)))</f>
        <v/>
      </c>
      <c r="U220" s="14">
        <f>IF($A220="","",IF(INDEX('潜水記録'!$T$5:$T$3004,$AS220)="","",INDEX('潜水記録'!$T$5:$T$3004,$AS220)))</f>
        <v/>
      </c>
      <c r="V220" s="46">
        <f>IF($A220="","",IF(INDEX('潜水記録'!$U$5:$U$3004,$AS220)="","",INDEX('潜水記録'!$U$5:$U$3004,$AS220)))</f>
        <v/>
      </c>
      <c r="W220" s="46">
        <f>IF($A220="","",IF(INDEX('潜水記録'!$V$5:$V$3004,$AS220)="","",INDEX('潜水記録'!$V$5:$V$3004,$AS220)))</f>
        <v/>
      </c>
      <c r="X220" s="14">
        <f>IF($A220="","",IF(INDEX('潜水記録'!$W$5:$W$3004,$AS220)="","",INDEX('潜水記録'!$W$5:$W$3004,$AS220)))</f>
        <v/>
      </c>
      <c r="Y220" s="14">
        <f>IF($A220="","",IF(INDEX('潜水記録'!$X$5:$X$3004,$AS220)="","",INDEX('潜水記録'!$X$5:$X$3004,$AS220)))</f>
        <v/>
      </c>
      <c r="Z220" s="14">
        <f>IF($A220="","",IF(INDEX('潜水記録'!$Y$5:$Y$3004,$AS220)="","",INDEX('潜水記録'!$Y$5:$Y$3004,$AS220)))</f>
        <v/>
      </c>
      <c r="AA220" s="14">
        <f>IF($A220="","",IF(INDEX('潜水記録'!$Z$5:$Z$3004,$AS220)="","",INDEX('潜水記録'!$Z$5:$Z$3004,$AS220)))</f>
        <v/>
      </c>
      <c r="AB220" s="14">
        <f>IF($A220="","",IF(INDEX('潜水記録'!$AA$5:$AA$3004,$AS220)="","",INDEX('潜水記録'!$AA$5:$AA$3004,$AS220)))</f>
        <v/>
      </c>
      <c r="AC220" s="14">
        <f>IF($A220="","",IF(INDEX('潜水記録'!$AB$5:$AB$3004,$AS220)="","",INDEX('潜水記録'!$AB$5:$AB$3004,$AS220)))</f>
        <v/>
      </c>
      <c r="AD220" s="14">
        <f>IF($A220="","",IF(INDEX('潜水記録'!$AC$5:$AC$3004,$AS220)="","",INDEX('潜水記録'!$AC$5:$AC$3004,$AS220)))</f>
        <v/>
      </c>
      <c r="AE220" s="14">
        <f>IF($A220="","",IF(INDEX('潜水記録'!$AD$5:$AD$3004,$AS220)="","",INDEX('潜水記録'!$AD$5:$AD$3004,$AS220)))</f>
        <v/>
      </c>
      <c r="AF220" s="14">
        <f>IF($A220="","",IF(INDEX('潜水記録'!$AE$5:$AE$3004,$AS220)="","",INDEX('潜水記録'!$AE$5:$AE$3004,$AS220)))</f>
        <v/>
      </c>
      <c r="AG220" s="14">
        <f>IF($A220="","",IF(INDEX('潜水記録'!$AL$5:$AL$3004,$AS220)="","",INDEX('潜水記録'!$AL$5:$AL$3004,$AS220)))</f>
        <v/>
      </c>
      <c r="AH220" s="14">
        <f>IF($A220="","",IF(INDEX('潜水記録'!$AM$5:$AM$3004,$AS220)="","",INDEX('潜水記録'!$AM$5:$AM$3004,$AS220)))</f>
        <v/>
      </c>
      <c r="AI220" s="46">
        <f>IF($A220="","",IF(INDEX('潜水記録'!$AN$5:$AN$3004,$AS220)="","",INDEX('潜水記録'!$AN$5:$AN$3004,$AS220)))</f>
        <v/>
      </c>
      <c r="AJ220" s="14">
        <f>IF($A220="","",IF(INDEX('潜水記録'!$AO$5:$AO$3004,$AS220)="","",INDEX('潜水記録'!$AO$5:$AO$3004,$AS220)))</f>
        <v/>
      </c>
      <c r="AK220" s="14">
        <f>IF($A220="","",IF(INDEX('潜水記録'!$AP$5:$AP$3004,$AS220)="","",INDEX('潜水記録'!$AP$5:$AP$3004,$AS220)))</f>
        <v/>
      </c>
      <c r="AL220" s="14">
        <f>IF($A220="","",IF(INDEX('潜水記録'!$AQ$5:$AQ$3004,$AS220)="","",INDEX('潜水記録'!$AQ$5:$AQ$3004,$AS220)))</f>
        <v/>
      </c>
      <c r="AM220" s="14">
        <f>IF($A220="","",IF(INDEX('潜水記録'!$AR$5:$AR$3004,$AS220)="","",INDEX('潜水記録'!$AR$5:$AR$3004,$AS220)))</f>
        <v/>
      </c>
      <c r="AN220" s="14">
        <f>IF($A220="","",IF(INDEX('潜水記録'!$AS$5:$AS$3004,$AS220)="","",INDEX('潜水記録'!$AS$5:$AS$3004,$AS220)))</f>
        <v/>
      </c>
      <c r="AO220" s="14">
        <f>IF($A220="","",IF(INDEX('潜水記録'!$AT$5:$AT$3004,$AS220)="","",INDEX('潜水記録'!$AT$5:$AT$3004,$AS220)))</f>
        <v/>
      </c>
      <c r="AP220" s="14">
        <f>IF($A220="","",IF(INDEX('潜水記録'!$AU$5:$AU$3004,$AS220)="","",INDEX('潜水記録'!$AU$5:$AU$3004,$AS220)))</f>
        <v/>
      </c>
      <c r="AQ220" s="14">
        <f>IF($A220="","",IF(INDEX('潜水記録'!$AV$5:$AV$3004,$AS220)="","",INDEX('潜水記録'!$AV$5:$AV$3004,$AS220)))</f>
        <v/>
      </c>
      <c r="AR220" s="14">
        <f>IF($A220="","",IF(INDEX('潜水記録'!$AW$5:$AW$3004,$AS220)="","",INDEX('潜水記録'!$AW$5:$AW$3004,$AS220)))</f>
        <v/>
      </c>
      <c r="AS220" s="20">
        <f>IF($A220="","",MATCH($A220,'潜水記録'!$AI$5:$AI$3004,0))</f>
        <v/>
      </c>
    </row>
    <row r="221">
      <c r="A221" s="14">
        <f>IF(211&lt;=$C$8,211,"")</f>
        <v/>
      </c>
      <c r="B221" s="16">
        <f>IF($A221="","",IF(INDEX('潜水記録'!$A$5:$A$3004,$AS221)="","",INDEX('潜水記録'!$A$5:$A$3004,$AS221)))</f>
        <v/>
      </c>
      <c r="C221" s="14">
        <f>IF($A221="","",IF(INDEX('潜水記録'!$B$5:$B$3004,$AS221)="","",INDEX('潜水記録'!$B$5:$B$3004,$AS221)))</f>
        <v/>
      </c>
      <c r="D221" s="14">
        <f>IF($A221="","",IF(INDEX('潜水記録'!$C$5:$C$3004,$AS221)="","",INDEX('潜水記録'!$C$5:$C$3004,$AS221)))</f>
        <v/>
      </c>
      <c r="E221" s="14">
        <f>IF($A221="","",IF(INDEX('潜水記録'!$D$5:$D$3004,$AS221)="","",INDEX('潜水記録'!$D$5:$D$3004,$AS221)))</f>
        <v/>
      </c>
      <c r="F221" s="14">
        <f>IF($A221="","",IF(INDEX('潜水記録'!$E$5:$E$3004,$AS221)="","",INDEX('潜水記録'!$E$5:$E$3004,$AS221)))</f>
        <v/>
      </c>
      <c r="G221" s="14">
        <f>IF($A221="","",IF(INDEX('潜水記録'!$F$5:$F$3004,$AS221)="","",INDEX('潜水記録'!$F$5:$F$3004,$AS221)))</f>
        <v/>
      </c>
      <c r="H221" s="14">
        <f>IF($A221="","",IF(INDEX('潜水記録'!$G$5:$G$3004,$AS221)="","",INDEX('潜水記録'!$G$5:$G$3004,$AS221)))</f>
        <v/>
      </c>
      <c r="I221" s="14">
        <f>IF($A221="","",IF(INDEX('潜水記録'!$H$5:$H$3004,$AS221)="","",INDEX('潜水記録'!$H$5:$H$3004,$AS221)))</f>
        <v/>
      </c>
      <c r="J221" s="14">
        <f>IF($A221="","",IF(INDEX('潜水記録'!$I$5:$I$3004,$AS221)="","",INDEX('潜水記録'!$I$5:$I$3004,$AS221)))</f>
        <v/>
      </c>
      <c r="K221" s="14">
        <f>IF($A221="","",IF(INDEX('潜水記録'!$J$5:$J$3004,$AS221)="","",INDEX('潜水記録'!$J$5:$J$3004,$AS221)))</f>
        <v/>
      </c>
      <c r="L221" s="14">
        <f>IF($A221="","",IF(INDEX('潜水記録'!$K$5:$K$3004,$AS221)="","",INDEX('潜水記録'!$K$5:$K$3004,$AS221)))</f>
        <v/>
      </c>
      <c r="M221" s="14">
        <f>IF($A221="","",IF(INDEX('潜水記録'!$L$5:$L$3004,$AS221)="","",INDEX('潜水記録'!$L$5:$L$3004,$AS221)))</f>
        <v/>
      </c>
      <c r="N221" s="14">
        <f>IF($A221="","",IF(INDEX('潜水記録'!$M$5:$M$3004,$AS221)="","",INDEX('潜水記録'!$M$5:$M$3004,$AS221)))</f>
        <v/>
      </c>
      <c r="O221" s="14">
        <f>IF($A221="","",IF(INDEX('潜水記録'!$N$5:$N$3004,$AS221)="","",INDEX('潜水記録'!$N$5:$N$3004,$AS221)))</f>
        <v/>
      </c>
      <c r="P221" s="14">
        <f>IF($A221="","",IF(INDEX('潜水記録'!$O$5:$O$3004,$AS221)="","",INDEX('潜水記録'!$O$5:$O$3004,$AS221)))</f>
        <v/>
      </c>
      <c r="Q221" s="14">
        <f>IF($A221="","",IF(INDEX('潜水記録'!$P$5:$P$3004,$AS221)="","",INDEX('潜水記録'!$P$5:$P$3004,$AS221)))</f>
        <v/>
      </c>
      <c r="R221" s="14">
        <f>IF($A221="","",IF(INDEX('潜水記録'!$Q$5:$Q$3004,$AS221)="","",INDEX('潜水記録'!$Q$5:$Q$3004,$AS221)))</f>
        <v/>
      </c>
      <c r="S221" s="14">
        <f>IF($A221="","",IF(INDEX('潜水記録'!$R$5:$R$3004,$AS221)="","",INDEX('潜水記録'!$R$5:$R$3004,$AS221)))</f>
        <v/>
      </c>
      <c r="T221" s="14">
        <f>IF($A221="","",IF(INDEX('潜水記録'!$S$5:$S$3004,$AS221)="","",INDEX('潜水記録'!$S$5:$S$3004,$AS221)))</f>
        <v/>
      </c>
      <c r="U221" s="14">
        <f>IF($A221="","",IF(INDEX('潜水記録'!$T$5:$T$3004,$AS221)="","",INDEX('潜水記録'!$T$5:$T$3004,$AS221)))</f>
        <v/>
      </c>
      <c r="V221" s="46">
        <f>IF($A221="","",IF(INDEX('潜水記録'!$U$5:$U$3004,$AS221)="","",INDEX('潜水記録'!$U$5:$U$3004,$AS221)))</f>
        <v/>
      </c>
      <c r="W221" s="46">
        <f>IF($A221="","",IF(INDEX('潜水記録'!$V$5:$V$3004,$AS221)="","",INDEX('潜水記録'!$V$5:$V$3004,$AS221)))</f>
        <v/>
      </c>
      <c r="X221" s="14">
        <f>IF($A221="","",IF(INDEX('潜水記録'!$W$5:$W$3004,$AS221)="","",INDEX('潜水記録'!$W$5:$W$3004,$AS221)))</f>
        <v/>
      </c>
      <c r="Y221" s="14">
        <f>IF($A221="","",IF(INDEX('潜水記録'!$X$5:$X$3004,$AS221)="","",INDEX('潜水記録'!$X$5:$X$3004,$AS221)))</f>
        <v/>
      </c>
      <c r="Z221" s="14">
        <f>IF($A221="","",IF(INDEX('潜水記録'!$Y$5:$Y$3004,$AS221)="","",INDEX('潜水記録'!$Y$5:$Y$3004,$AS221)))</f>
        <v/>
      </c>
      <c r="AA221" s="14">
        <f>IF($A221="","",IF(INDEX('潜水記録'!$Z$5:$Z$3004,$AS221)="","",INDEX('潜水記録'!$Z$5:$Z$3004,$AS221)))</f>
        <v/>
      </c>
      <c r="AB221" s="14">
        <f>IF($A221="","",IF(INDEX('潜水記録'!$AA$5:$AA$3004,$AS221)="","",INDEX('潜水記録'!$AA$5:$AA$3004,$AS221)))</f>
        <v/>
      </c>
      <c r="AC221" s="14">
        <f>IF($A221="","",IF(INDEX('潜水記録'!$AB$5:$AB$3004,$AS221)="","",INDEX('潜水記録'!$AB$5:$AB$3004,$AS221)))</f>
        <v/>
      </c>
      <c r="AD221" s="14">
        <f>IF($A221="","",IF(INDEX('潜水記録'!$AC$5:$AC$3004,$AS221)="","",INDEX('潜水記録'!$AC$5:$AC$3004,$AS221)))</f>
        <v/>
      </c>
      <c r="AE221" s="14">
        <f>IF($A221="","",IF(INDEX('潜水記録'!$AD$5:$AD$3004,$AS221)="","",INDEX('潜水記録'!$AD$5:$AD$3004,$AS221)))</f>
        <v/>
      </c>
      <c r="AF221" s="14">
        <f>IF($A221="","",IF(INDEX('潜水記録'!$AE$5:$AE$3004,$AS221)="","",INDEX('潜水記録'!$AE$5:$AE$3004,$AS221)))</f>
        <v/>
      </c>
      <c r="AG221" s="14">
        <f>IF($A221="","",IF(INDEX('潜水記録'!$AL$5:$AL$3004,$AS221)="","",INDEX('潜水記録'!$AL$5:$AL$3004,$AS221)))</f>
        <v/>
      </c>
      <c r="AH221" s="14">
        <f>IF($A221="","",IF(INDEX('潜水記録'!$AM$5:$AM$3004,$AS221)="","",INDEX('潜水記録'!$AM$5:$AM$3004,$AS221)))</f>
        <v/>
      </c>
      <c r="AI221" s="46">
        <f>IF($A221="","",IF(INDEX('潜水記録'!$AN$5:$AN$3004,$AS221)="","",INDEX('潜水記録'!$AN$5:$AN$3004,$AS221)))</f>
        <v/>
      </c>
      <c r="AJ221" s="14">
        <f>IF($A221="","",IF(INDEX('潜水記録'!$AO$5:$AO$3004,$AS221)="","",INDEX('潜水記録'!$AO$5:$AO$3004,$AS221)))</f>
        <v/>
      </c>
      <c r="AK221" s="14">
        <f>IF($A221="","",IF(INDEX('潜水記録'!$AP$5:$AP$3004,$AS221)="","",INDEX('潜水記録'!$AP$5:$AP$3004,$AS221)))</f>
        <v/>
      </c>
      <c r="AL221" s="14">
        <f>IF($A221="","",IF(INDEX('潜水記録'!$AQ$5:$AQ$3004,$AS221)="","",INDEX('潜水記録'!$AQ$5:$AQ$3004,$AS221)))</f>
        <v/>
      </c>
      <c r="AM221" s="14">
        <f>IF($A221="","",IF(INDEX('潜水記録'!$AR$5:$AR$3004,$AS221)="","",INDEX('潜水記録'!$AR$5:$AR$3004,$AS221)))</f>
        <v/>
      </c>
      <c r="AN221" s="14">
        <f>IF($A221="","",IF(INDEX('潜水記録'!$AS$5:$AS$3004,$AS221)="","",INDEX('潜水記録'!$AS$5:$AS$3004,$AS221)))</f>
        <v/>
      </c>
      <c r="AO221" s="14">
        <f>IF($A221="","",IF(INDEX('潜水記録'!$AT$5:$AT$3004,$AS221)="","",INDEX('潜水記録'!$AT$5:$AT$3004,$AS221)))</f>
        <v/>
      </c>
      <c r="AP221" s="14">
        <f>IF($A221="","",IF(INDEX('潜水記録'!$AU$5:$AU$3004,$AS221)="","",INDEX('潜水記録'!$AU$5:$AU$3004,$AS221)))</f>
        <v/>
      </c>
      <c r="AQ221" s="14">
        <f>IF($A221="","",IF(INDEX('潜水記録'!$AV$5:$AV$3004,$AS221)="","",INDEX('潜水記録'!$AV$5:$AV$3004,$AS221)))</f>
        <v/>
      </c>
      <c r="AR221" s="14">
        <f>IF($A221="","",IF(INDEX('潜水記録'!$AW$5:$AW$3004,$AS221)="","",INDEX('潜水記録'!$AW$5:$AW$3004,$AS221)))</f>
        <v/>
      </c>
      <c r="AS221" s="20">
        <f>IF($A221="","",MATCH($A221,'潜水記録'!$AI$5:$AI$3004,0))</f>
        <v/>
      </c>
    </row>
    <row r="222">
      <c r="A222" s="14">
        <f>IF(212&lt;=$C$8,212,"")</f>
        <v/>
      </c>
      <c r="B222" s="16">
        <f>IF($A222="","",IF(INDEX('潜水記録'!$A$5:$A$3004,$AS222)="","",INDEX('潜水記録'!$A$5:$A$3004,$AS222)))</f>
        <v/>
      </c>
      <c r="C222" s="14">
        <f>IF($A222="","",IF(INDEX('潜水記録'!$B$5:$B$3004,$AS222)="","",INDEX('潜水記録'!$B$5:$B$3004,$AS222)))</f>
        <v/>
      </c>
      <c r="D222" s="14">
        <f>IF($A222="","",IF(INDEX('潜水記録'!$C$5:$C$3004,$AS222)="","",INDEX('潜水記録'!$C$5:$C$3004,$AS222)))</f>
        <v/>
      </c>
      <c r="E222" s="14">
        <f>IF($A222="","",IF(INDEX('潜水記録'!$D$5:$D$3004,$AS222)="","",INDEX('潜水記録'!$D$5:$D$3004,$AS222)))</f>
        <v/>
      </c>
      <c r="F222" s="14">
        <f>IF($A222="","",IF(INDEX('潜水記録'!$E$5:$E$3004,$AS222)="","",INDEX('潜水記録'!$E$5:$E$3004,$AS222)))</f>
        <v/>
      </c>
      <c r="G222" s="14">
        <f>IF($A222="","",IF(INDEX('潜水記録'!$F$5:$F$3004,$AS222)="","",INDEX('潜水記録'!$F$5:$F$3004,$AS222)))</f>
        <v/>
      </c>
      <c r="H222" s="14">
        <f>IF($A222="","",IF(INDEX('潜水記録'!$G$5:$G$3004,$AS222)="","",INDEX('潜水記録'!$G$5:$G$3004,$AS222)))</f>
        <v/>
      </c>
      <c r="I222" s="14">
        <f>IF($A222="","",IF(INDEX('潜水記録'!$H$5:$H$3004,$AS222)="","",INDEX('潜水記録'!$H$5:$H$3004,$AS222)))</f>
        <v/>
      </c>
      <c r="J222" s="14">
        <f>IF($A222="","",IF(INDEX('潜水記録'!$I$5:$I$3004,$AS222)="","",INDEX('潜水記録'!$I$5:$I$3004,$AS222)))</f>
        <v/>
      </c>
      <c r="K222" s="14">
        <f>IF($A222="","",IF(INDEX('潜水記録'!$J$5:$J$3004,$AS222)="","",INDEX('潜水記録'!$J$5:$J$3004,$AS222)))</f>
        <v/>
      </c>
      <c r="L222" s="14">
        <f>IF($A222="","",IF(INDEX('潜水記録'!$K$5:$K$3004,$AS222)="","",INDEX('潜水記録'!$K$5:$K$3004,$AS222)))</f>
        <v/>
      </c>
      <c r="M222" s="14">
        <f>IF($A222="","",IF(INDEX('潜水記録'!$L$5:$L$3004,$AS222)="","",INDEX('潜水記録'!$L$5:$L$3004,$AS222)))</f>
        <v/>
      </c>
      <c r="N222" s="14">
        <f>IF($A222="","",IF(INDEX('潜水記録'!$M$5:$M$3004,$AS222)="","",INDEX('潜水記録'!$M$5:$M$3004,$AS222)))</f>
        <v/>
      </c>
      <c r="O222" s="14">
        <f>IF($A222="","",IF(INDEX('潜水記録'!$N$5:$N$3004,$AS222)="","",INDEX('潜水記録'!$N$5:$N$3004,$AS222)))</f>
        <v/>
      </c>
      <c r="P222" s="14">
        <f>IF($A222="","",IF(INDEX('潜水記録'!$O$5:$O$3004,$AS222)="","",INDEX('潜水記録'!$O$5:$O$3004,$AS222)))</f>
        <v/>
      </c>
      <c r="Q222" s="14">
        <f>IF($A222="","",IF(INDEX('潜水記録'!$P$5:$P$3004,$AS222)="","",INDEX('潜水記録'!$P$5:$P$3004,$AS222)))</f>
        <v/>
      </c>
      <c r="R222" s="14">
        <f>IF($A222="","",IF(INDEX('潜水記録'!$Q$5:$Q$3004,$AS222)="","",INDEX('潜水記録'!$Q$5:$Q$3004,$AS222)))</f>
        <v/>
      </c>
      <c r="S222" s="14">
        <f>IF($A222="","",IF(INDEX('潜水記録'!$R$5:$R$3004,$AS222)="","",INDEX('潜水記録'!$R$5:$R$3004,$AS222)))</f>
        <v/>
      </c>
      <c r="T222" s="14">
        <f>IF($A222="","",IF(INDEX('潜水記録'!$S$5:$S$3004,$AS222)="","",INDEX('潜水記録'!$S$5:$S$3004,$AS222)))</f>
        <v/>
      </c>
      <c r="U222" s="14">
        <f>IF($A222="","",IF(INDEX('潜水記録'!$T$5:$T$3004,$AS222)="","",INDEX('潜水記録'!$T$5:$T$3004,$AS222)))</f>
        <v/>
      </c>
      <c r="V222" s="46">
        <f>IF($A222="","",IF(INDEX('潜水記録'!$U$5:$U$3004,$AS222)="","",INDEX('潜水記録'!$U$5:$U$3004,$AS222)))</f>
        <v/>
      </c>
      <c r="W222" s="46">
        <f>IF($A222="","",IF(INDEX('潜水記録'!$V$5:$V$3004,$AS222)="","",INDEX('潜水記録'!$V$5:$V$3004,$AS222)))</f>
        <v/>
      </c>
      <c r="X222" s="14">
        <f>IF($A222="","",IF(INDEX('潜水記録'!$W$5:$W$3004,$AS222)="","",INDEX('潜水記録'!$W$5:$W$3004,$AS222)))</f>
        <v/>
      </c>
      <c r="Y222" s="14">
        <f>IF($A222="","",IF(INDEX('潜水記録'!$X$5:$X$3004,$AS222)="","",INDEX('潜水記録'!$X$5:$X$3004,$AS222)))</f>
        <v/>
      </c>
      <c r="Z222" s="14">
        <f>IF($A222="","",IF(INDEX('潜水記録'!$Y$5:$Y$3004,$AS222)="","",INDEX('潜水記録'!$Y$5:$Y$3004,$AS222)))</f>
        <v/>
      </c>
      <c r="AA222" s="14">
        <f>IF($A222="","",IF(INDEX('潜水記録'!$Z$5:$Z$3004,$AS222)="","",INDEX('潜水記録'!$Z$5:$Z$3004,$AS222)))</f>
        <v/>
      </c>
      <c r="AB222" s="14">
        <f>IF($A222="","",IF(INDEX('潜水記録'!$AA$5:$AA$3004,$AS222)="","",INDEX('潜水記録'!$AA$5:$AA$3004,$AS222)))</f>
        <v/>
      </c>
      <c r="AC222" s="14">
        <f>IF($A222="","",IF(INDEX('潜水記録'!$AB$5:$AB$3004,$AS222)="","",INDEX('潜水記録'!$AB$5:$AB$3004,$AS222)))</f>
        <v/>
      </c>
      <c r="AD222" s="14">
        <f>IF($A222="","",IF(INDEX('潜水記録'!$AC$5:$AC$3004,$AS222)="","",INDEX('潜水記録'!$AC$5:$AC$3004,$AS222)))</f>
        <v/>
      </c>
      <c r="AE222" s="14">
        <f>IF($A222="","",IF(INDEX('潜水記録'!$AD$5:$AD$3004,$AS222)="","",INDEX('潜水記録'!$AD$5:$AD$3004,$AS222)))</f>
        <v/>
      </c>
      <c r="AF222" s="14">
        <f>IF($A222="","",IF(INDEX('潜水記録'!$AE$5:$AE$3004,$AS222)="","",INDEX('潜水記録'!$AE$5:$AE$3004,$AS222)))</f>
        <v/>
      </c>
      <c r="AG222" s="14">
        <f>IF($A222="","",IF(INDEX('潜水記録'!$AL$5:$AL$3004,$AS222)="","",INDEX('潜水記録'!$AL$5:$AL$3004,$AS222)))</f>
        <v/>
      </c>
      <c r="AH222" s="14">
        <f>IF($A222="","",IF(INDEX('潜水記録'!$AM$5:$AM$3004,$AS222)="","",INDEX('潜水記録'!$AM$5:$AM$3004,$AS222)))</f>
        <v/>
      </c>
      <c r="AI222" s="46">
        <f>IF($A222="","",IF(INDEX('潜水記録'!$AN$5:$AN$3004,$AS222)="","",INDEX('潜水記録'!$AN$5:$AN$3004,$AS222)))</f>
        <v/>
      </c>
      <c r="AJ222" s="14">
        <f>IF($A222="","",IF(INDEX('潜水記録'!$AO$5:$AO$3004,$AS222)="","",INDEX('潜水記録'!$AO$5:$AO$3004,$AS222)))</f>
        <v/>
      </c>
      <c r="AK222" s="14">
        <f>IF($A222="","",IF(INDEX('潜水記録'!$AP$5:$AP$3004,$AS222)="","",INDEX('潜水記録'!$AP$5:$AP$3004,$AS222)))</f>
        <v/>
      </c>
      <c r="AL222" s="14">
        <f>IF($A222="","",IF(INDEX('潜水記録'!$AQ$5:$AQ$3004,$AS222)="","",INDEX('潜水記録'!$AQ$5:$AQ$3004,$AS222)))</f>
        <v/>
      </c>
      <c r="AM222" s="14">
        <f>IF($A222="","",IF(INDEX('潜水記録'!$AR$5:$AR$3004,$AS222)="","",INDEX('潜水記録'!$AR$5:$AR$3004,$AS222)))</f>
        <v/>
      </c>
      <c r="AN222" s="14">
        <f>IF($A222="","",IF(INDEX('潜水記録'!$AS$5:$AS$3004,$AS222)="","",INDEX('潜水記録'!$AS$5:$AS$3004,$AS222)))</f>
        <v/>
      </c>
      <c r="AO222" s="14">
        <f>IF($A222="","",IF(INDEX('潜水記録'!$AT$5:$AT$3004,$AS222)="","",INDEX('潜水記録'!$AT$5:$AT$3004,$AS222)))</f>
        <v/>
      </c>
      <c r="AP222" s="14">
        <f>IF($A222="","",IF(INDEX('潜水記録'!$AU$5:$AU$3004,$AS222)="","",INDEX('潜水記録'!$AU$5:$AU$3004,$AS222)))</f>
        <v/>
      </c>
      <c r="AQ222" s="14">
        <f>IF($A222="","",IF(INDEX('潜水記録'!$AV$5:$AV$3004,$AS222)="","",INDEX('潜水記録'!$AV$5:$AV$3004,$AS222)))</f>
        <v/>
      </c>
      <c r="AR222" s="14">
        <f>IF($A222="","",IF(INDEX('潜水記録'!$AW$5:$AW$3004,$AS222)="","",INDEX('潜水記録'!$AW$5:$AW$3004,$AS222)))</f>
        <v/>
      </c>
      <c r="AS222" s="20">
        <f>IF($A222="","",MATCH($A222,'潜水記録'!$AI$5:$AI$3004,0))</f>
        <v/>
      </c>
    </row>
    <row r="223">
      <c r="A223" s="14">
        <f>IF(213&lt;=$C$8,213,"")</f>
        <v/>
      </c>
      <c r="B223" s="16">
        <f>IF($A223="","",IF(INDEX('潜水記録'!$A$5:$A$3004,$AS223)="","",INDEX('潜水記録'!$A$5:$A$3004,$AS223)))</f>
        <v/>
      </c>
      <c r="C223" s="14">
        <f>IF($A223="","",IF(INDEX('潜水記録'!$B$5:$B$3004,$AS223)="","",INDEX('潜水記録'!$B$5:$B$3004,$AS223)))</f>
        <v/>
      </c>
      <c r="D223" s="14">
        <f>IF($A223="","",IF(INDEX('潜水記録'!$C$5:$C$3004,$AS223)="","",INDEX('潜水記録'!$C$5:$C$3004,$AS223)))</f>
        <v/>
      </c>
      <c r="E223" s="14">
        <f>IF($A223="","",IF(INDEX('潜水記録'!$D$5:$D$3004,$AS223)="","",INDEX('潜水記録'!$D$5:$D$3004,$AS223)))</f>
        <v/>
      </c>
      <c r="F223" s="14">
        <f>IF($A223="","",IF(INDEX('潜水記録'!$E$5:$E$3004,$AS223)="","",INDEX('潜水記録'!$E$5:$E$3004,$AS223)))</f>
        <v/>
      </c>
      <c r="G223" s="14">
        <f>IF($A223="","",IF(INDEX('潜水記録'!$F$5:$F$3004,$AS223)="","",INDEX('潜水記録'!$F$5:$F$3004,$AS223)))</f>
        <v/>
      </c>
      <c r="H223" s="14">
        <f>IF($A223="","",IF(INDEX('潜水記録'!$G$5:$G$3004,$AS223)="","",INDEX('潜水記録'!$G$5:$G$3004,$AS223)))</f>
        <v/>
      </c>
      <c r="I223" s="14">
        <f>IF($A223="","",IF(INDEX('潜水記録'!$H$5:$H$3004,$AS223)="","",INDEX('潜水記録'!$H$5:$H$3004,$AS223)))</f>
        <v/>
      </c>
      <c r="J223" s="14">
        <f>IF($A223="","",IF(INDEX('潜水記録'!$I$5:$I$3004,$AS223)="","",INDEX('潜水記録'!$I$5:$I$3004,$AS223)))</f>
        <v/>
      </c>
      <c r="K223" s="14">
        <f>IF($A223="","",IF(INDEX('潜水記録'!$J$5:$J$3004,$AS223)="","",INDEX('潜水記録'!$J$5:$J$3004,$AS223)))</f>
        <v/>
      </c>
      <c r="L223" s="14">
        <f>IF($A223="","",IF(INDEX('潜水記録'!$K$5:$K$3004,$AS223)="","",INDEX('潜水記録'!$K$5:$K$3004,$AS223)))</f>
        <v/>
      </c>
      <c r="M223" s="14">
        <f>IF($A223="","",IF(INDEX('潜水記録'!$L$5:$L$3004,$AS223)="","",INDEX('潜水記録'!$L$5:$L$3004,$AS223)))</f>
        <v/>
      </c>
      <c r="N223" s="14">
        <f>IF($A223="","",IF(INDEX('潜水記録'!$M$5:$M$3004,$AS223)="","",INDEX('潜水記録'!$M$5:$M$3004,$AS223)))</f>
        <v/>
      </c>
      <c r="O223" s="14">
        <f>IF($A223="","",IF(INDEX('潜水記録'!$N$5:$N$3004,$AS223)="","",INDEX('潜水記録'!$N$5:$N$3004,$AS223)))</f>
        <v/>
      </c>
      <c r="P223" s="14">
        <f>IF($A223="","",IF(INDEX('潜水記録'!$O$5:$O$3004,$AS223)="","",INDEX('潜水記録'!$O$5:$O$3004,$AS223)))</f>
        <v/>
      </c>
      <c r="Q223" s="14">
        <f>IF($A223="","",IF(INDEX('潜水記録'!$P$5:$P$3004,$AS223)="","",INDEX('潜水記録'!$P$5:$P$3004,$AS223)))</f>
        <v/>
      </c>
      <c r="R223" s="14">
        <f>IF($A223="","",IF(INDEX('潜水記録'!$Q$5:$Q$3004,$AS223)="","",INDEX('潜水記録'!$Q$5:$Q$3004,$AS223)))</f>
        <v/>
      </c>
      <c r="S223" s="14">
        <f>IF($A223="","",IF(INDEX('潜水記録'!$R$5:$R$3004,$AS223)="","",INDEX('潜水記録'!$R$5:$R$3004,$AS223)))</f>
        <v/>
      </c>
      <c r="T223" s="14">
        <f>IF($A223="","",IF(INDEX('潜水記録'!$S$5:$S$3004,$AS223)="","",INDEX('潜水記録'!$S$5:$S$3004,$AS223)))</f>
        <v/>
      </c>
      <c r="U223" s="14">
        <f>IF($A223="","",IF(INDEX('潜水記録'!$T$5:$T$3004,$AS223)="","",INDEX('潜水記録'!$T$5:$T$3004,$AS223)))</f>
        <v/>
      </c>
      <c r="V223" s="46">
        <f>IF($A223="","",IF(INDEX('潜水記録'!$U$5:$U$3004,$AS223)="","",INDEX('潜水記録'!$U$5:$U$3004,$AS223)))</f>
        <v/>
      </c>
      <c r="W223" s="46">
        <f>IF($A223="","",IF(INDEX('潜水記録'!$V$5:$V$3004,$AS223)="","",INDEX('潜水記録'!$V$5:$V$3004,$AS223)))</f>
        <v/>
      </c>
      <c r="X223" s="14">
        <f>IF($A223="","",IF(INDEX('潜水記録'!$W$5:$W$3004,$AS223)="","",INDEX('潜水記録'!$W$5:$W$3004,$AS223)))</f>
        <v/>
      </c>
      <c r="Y223" s="14">
        <f>IF($A223="","",IF(INDEX('潜水記録'!$X$5:$X$3004,$AS223)="","",INDEX('潜水記録'!$X$5:$X$3004,$AS223)))</f>
        <v/>
      </c>
      <c r="Z223" s="14">
        <f>IF($A223="","",IF(INDEX('潜水記録'!$Y$5:$Y$3004,$AS223)="","",INDEX('潜水記録'!$Y$5:$Y$3004,$AS223)))</f>
        <v/>
      </c>
      <c r="AA223" s="14">
        <f>IF($A223="","",IF(INDEX('潜水記録'!$Z$5:$Z$3004,$AS223)="","",INDEX('潜水記録'!$Z$5:$Z$3004,$AS223)))</f>
        <v/>
      </c>
      <c r="AB223" s="14">
        <f>IF($A223="","",IF(INDEX('潜水記録'!$AA$5:$AA$3004,$AS223)="","",INDEX('潜水記録'!$AA$5:$AA$3004,$AS223)))</f>
        <v/>
      </c>
      <c r="AC223" s="14">
        <f>IF($A223="","",IF(INDEX('潜水記録'!$AB$5:$AB$3004,$AS223)="","",INDEX('潜水記録'!$AB$5:$AB$3004,$AS223)))</f>
        <v/>
      </c>
      <c r="AD223" s="14">
        <f>IF($A223="","",IF(INDEX('潜水記録'!$AC$5:$AC$3004,$AS223)="","",INDEX('潜水記録'!$AC$5:$AC$3004,$AS223)))</f>
        <v/>
      </c>
      <c r="AE223" s="14">
        <f>IF($A223="","",IF(INDEX('潜水記録'!$AD$5:$AD$3004,$AS223)="","",INDEX('潜水記録'!$AD$5:$AD$3004,$AS223)))</f>
        <v/>
      </c>
      <c r="AF223" s="14">
        <f>IF($A223="","",IF(INDEX('潜水記録'!$AE$5:$AE$3004,$AS223)="","",INDEX('潜水記録'!$AE$5:$AE$3004,$AS223)))</f>
        <v/>
      </c>
      <c r="AG223" s="14">
        <f>IF($A223="","",IF(INDEX('潜水記録'!$AL$5:$AL$3004,$AS223)="","",INDEX('潜水記録'!$AL$5:$AL$3004,$AS223)))</f>
        <v/>
      </c>
      <c r="AH223" s="14">
        <f>IF($A223="","",IF(INDEX('潜水記録'!$AM$5:$AM$3004,$AS223)="","",INDEX('潜水記録'!$AM$5:$AM$3004,$AS223)))</f>
        <v/>
      </c>
      <c r="AI223" s="46">
        <f>IF($A223="","",IF(INDEX('潜水記録'!$AN$5:$AN$3004,$AS223)="","",INDEX('潜水記録'!$AN$5:$AN$3004,$AS223)))</f>
        <v/>
      </c>
      <c r="AJ223" s="14">
        <f>IF($A223="","",IF(INDEX('潜水記録'!$AO$5:$AO$3004,$AS223)="","",INDEX('潜水記録'!$AO$5:$AO$3004,$AS223)))</f>
        <v/>
      </c>
      <c r="AK223" s="14">
        <f>IF($A223="","",IF(INDEX('潜水記録'!$AP$5:$AP$3004,$AS223)="","",INDEX('潜水記録'!$AP$5:$AP$3004,$AS223)))</f>
        <v/>
      </c>
      <c r="AL223" s="14">
        <f>IF($A223="","",IF(INDEX('潜水記録'!$AQ$5:$AQ$3004,$AS223)="","",INDEX('潜水記録'!$AQ$5:$AQ$3004,$AS223)))</f>
        <v/>
      </c>
      <c r="AM223" s="14">
        <f>IF($A223="","",IF(INDEX('潜水記録'!$AR$5:$AR$3004,$AS223)="","",INDEX('潜水記録'!$AR$5:$AR$3004,$AS223)))</f>
        <v/>
      </c>
      <c r="AN223" s="14">
        <f>IF($A223="","",IF(INDEX('潜水記録'!$AS$5:$AS$3004,$AS223)="","",INDEX('潜水記録'!$AS$5:$AS$3004,$AS223)))</f>
        <v/>
      </c>
      <c r="AO223" s="14">
        <f>IF($A223="","",IF(INDEX('潜水記録'!$AT$5:$AT$3004,$AS223)="","",INDEX('潜水記録'!$AT$5:$AT$3004,$AS223)))</f>
        <v/>
      </c>
      <c r="AP223" s="14">
        <f>IF($A223="","",IF(INDEX('潜水記録'!$AU$5:$AU$3004,$AS223)="","",INDEX('潜水記録'!$AU$5:$AU$3004,$AS223)))</f>
        <v/>
      </c>
      <c r="AQ223" s="14">
        <f>IF($A223="","",IF(INDEX('潜水記録'!$AV$5:$AV$3004,$AS223)="","",INDEX('潜水記録'!$AV$5:$AV$3004,$AS223)))</f>
        <v/>
      </c>
      <c r="AR223" s="14">
        <f>IF($A223="","",IF(INDEX('潜水記録'!$AW$5:$AW$3004,$AS223)="","",INDEX('潜水記録'!$AW$5:$AW$3004,$AS223)))</f>
        <v/>
      </c>
      <c r="AS223" s="20">
        <f>IF($A223="","",MATCH($A223,'潜水記録'!$AI$5:$AI$3004,0))</f>
        <v/>
      </c>
    </row>
    <row r="224">
      <c r="A224" s="14">
        <f>IF(214&lt;=$C$8,214,"")</f>
        <v/>
      </c>
      <c r="B224" s="16">
        <f>IF($A224="","",IF(INDEX('潜水記録'!$A$5:$A$3004,$AS224)="","",INDEX('潜水記録'!$A$5:$A$3004,$AS224)))</f>
        <v/>
      </c>
      <c r="C224" s="14">
        <f>IF($A224="","",IF(INDEX('潜水記録'!$B$5:$B$3004,$AS224)="","",INDEX('潜水記録'!$B$5:$B$3004,$AS224)))</f>
        <v/>
      </c>
      <c r="D224" s="14">
        <f>IF($A224="","",IF(INDEX('潜水記録'!$C$5:$C$3004,$AS224)="","",INDEX('潜水記録'!$C$5:$C$3004,$AS224)))</f>
        <v/>
      </c>
      <c r="E224" s="14">
        <f>IF($A224="","",IF(INDEX('潜水記録'!$D$5:$D$3004,$AS224)="","",INDEX('潜水記録'!$D$5:$D$3004,$AS224)))</f>
        <v/>
      </c>
      <c r="F224" s="14">
        <f>IF($A224="","",IF(INDEX('潜水記録'!$E$5:$E$3004,$AS224)="","",INDEX('潜水記録'!$E$5:$E$3004,$AS224)))</f>
        <v/>
      </c>
      <c r="G224" s="14">
        <f>IF($A224="","",IF(INDEX('潜水記録'!$F$5:$F$3004,$AS224)="","",INDEX('潜水記録'!$F$5:$F$3004,$AS224)))</f>
        <v/>
      </c>
      <c r="H224" s="14">
        <f>IF($A224="","",IF(INDEX('潜水記録'!$G$5:$G$3004,$AS224)="","",INDEX('潜水記録'!$G$5:$G$3004,$AS224)))</f>
        <v/>
      </c>
      <c r="I224" s="14">
        <f>IF($A224="","",IF(INDEX('潜水記録'!$H$5:$H$3004,$AS224)="","",INDEX('潜水記録'!$H$5:$H$3004,$AS224)))</f>
        <v/>
      </c>
      <c r="J224" s="14">
        <f>IF($A224="","",IF(INDEX('潜水記録'!$I$5:$I$3004,$AS224)="","",INDEX('潜水記録'!$I$5:$I$3004,$AS224)))</f>
        <v/>
      </c>
      <c r="K224" s="14">
        <f>IF($A224="","",IF(INDEX('潜水記録'!$J$5:$J$3004,$AS224)="","",INDEX('潜水記録'!$J$5:$J$3004,$AS224)))</f>
        <v/>
      </c>
      <c r="L224" s="14">
        <f>IF($A224="","",IF(INDEX('潜水記録'!$K$5:$K$3004,$AS224)="","",INDEX('潜水記録'!$K$5:$K$3004,$AS224)))</f>
        <v/>
      </c>
      <c r="M224" s="14">
        <f>IF($A224="","",IF(INDEX('潜水記録'!$L$5:$L$3004,$AS224)="","",INDEX('潜水記録'!$L$5:$L$3004,$AS224)))</f>
        <v/>
      </c>
      <c r="N224" s="14">
        <f>IF($A224="","",IF(INDEX('潜水記録'!$M$5:$M$3004,$AS224)="","",INDEX('潜水記録'!$M$5:$M$3004,$AS224)))</f>
        <v/>
      </c>
      <c r="O224" s="14">
        <f>IF($A224="","",IF(INDEX('潜水記録'!$N$5:$N$3004,$AS224)="","",INDEX('潜水記録'!$N$5:$N$3004,$AS224)))</f>
        <v/>
      </c>
      <c r="P224" s="14">
        <f>IF($A224="","",IF(INDEX('潜水記録'!$O$5:$O$3004,$AS224)="","",INDEX('潜水記録'!$O$5:$O$3004,$AS224)))</f>
        <v/>
      </c>
      <c r="Q224" s="14">
        <f>IF($A224="","",IF(INDEX('潜水記録'!$P$5:$P$3004,$AS224)="","",INDEX('潜水記録'!$P$5:$P$3004,$AS224)))</f>
        <v/>
      </c>
      <c r="R224" s="14">
        <f>IF($A224="","",IF(INDEX('潜水記録'!$Q$5:$Q$3004,$AS224)="","",INDEX('潜水記録'!$Q$5:$Q$3004,$AS224)))</f>
        <v/>
      </c>
      <c r="S224" s="14">
        <f>IF($A224="","",IF(INDEX('潜水記録'!$R$5:$R$3004,$AS224)="","",INDEX('潜水記録'!$R$5:$R$3004,$AS224)))</f>
        <v/>
      </c>
      <c r="T224" s="14">
        <f>IF($A224="","",IF(INDEX('潜水記録'!$S$5:$S$3004,$AS224)="","",INDEX('潜水記録'!$S$5:$S$3004,$AS224)))</f>
        <v/>
      </c>
      <c r="U224" s="14">
        <f>IF($A224="","",IF(INDEX('潜水記録'!$T$5:$T$3004,$AS224)="","",INDEX('潜水記録'!$T$5:$T$3004,$AS224)))</f>
        <v/>
      </c>
      <c r="V224" s="46">
        <f>IF($A224="","",IF(INDEX('潜水記録'!$U$5:$U$3004,$AS224)="","",INDEX('潜水記録'!$U$5:$U$3004,$AS224)))</f>
        <v/>
      </c>
      <c r="W224" s="46">
        <f>IF($A224="","",IF(INDEX('潜水記録'!$V$5:$V$3004,$AS224)="","",INDEX('潜水記録'!$V$5:$V$3004,$AS224)))</f>
        <v/>
      </c>
      <c r="X224" s="14">
        <f>IF($A224="","",IF(INDEX('潜水記録'!$W$5:$W$3004,$AS224)="","",INDEX('潜水記録'!$W$5:$W$3004,$AS224)))</f>
        <v/>
      </c>
      <c r="Y224" s="14">
        <f>IF($A224="","",IF(INDEX('潜水記録'!$X$5:$X$3004,$AS224)="","",INDEX('潜水記録'!$X$5:$X$3004,$AS224)))</f>
        <v/>
      </c>
      <c r="Z224" s="14">
        <f>IF($A224="","",IF(INDEX('潜水記録'!$Y$5:$Y$3004,$AS224)="","",INDEX('潜水記録'!$Y$5:$Y$3004,$AS224)))</f>
        <v/>
      </c>
      <c r="AA224" s="14">
        <f>IF($A224="","",IF(INDEX('潜水記録'!$Z$5:$Z$3004,$AS224)="","",INDEX('潜水記録'!$Z$5:$Z$3004,$AS224)))</f>
        <v/>
      </c>
      <c r="AB224" s="14">
        <f>IF($A224="","",IF(INDEX('潜水記録'!$AA$5:$AA$3004,$AS224)="","",INDEX('潜水記録'!$AA$5:$AA$3004,$AS224)))</f>
        <v/>
      </c>
      <c r="AC224" s="14">
        <f>IF($A224="","",IF(INDEX('潜水記録'!$AB$5:$AB$3004,$AS224)="","",INDEX('潜水記録'!$AB$5:$AB$3004,$AS224)))</f>
        <v/>
      </c>
      <c r="AD224" s="14">
        <f>IF($A224="","",IF(INDEX('潜水記録'!$AC$5:$AC$3004,$AS224)="","",INDEX('潜水記録'!$AC$5:$AC$3004,$AS224)))</f>
        <v/>
      </c>
      <c r="AE224" s="14">
        <f>IF($A224="","",IF(INDEX('潜水記録'!$AD$5:$AD$3004,$AS224)="","",INDEX('潜水記録'!$AD$5:$AD$3004,$AS224)))</f>
        <v/>
      </c>
      <c r="AF224" s="14">
        <f>IF($A224="","",IF(INDEX('潜水記録'!$AE$5:$AE$3004,$AS224)="","",INDEX('潜水記録'!$AE$5:$AE$3004,$AS224)))</f>
        <v/>
      </c>
      <c r="AG224" s="14">
        <f>IF($A224="","",IF(INDEX('潜水記録'!$AL$5:$AL$3004,$AS224)="","",INDEX('潜水記録'!$AL$5:$AL$3004,$AS224)))</f>
        <v/>
      </c>
      <c r="AH224" s="14">
        <f>IF($A224="","",IF(INDEX('潜水記録'!$AM$5:$AM$3004,$AS224)="","",INDEX('潜水記録'!$AM$5:$AM$3004,$AS224)))</f>
        <v/>
      </c>
      <c r="AI224" s="46">
        <f>IF($A224="","",IF(INDEX('潜水記録'!$AN$5:$AN$3004,$AS224)="","",INDEX('潜水記録'!$AN$5:$AN$3004,$AS224)))</f>
        <v/>
      </c>
      <c r="AJ224" s="14">
        <f>IF($A224="","",IF(INDEX('潜水記録'!$AO$5:$AO$3004,$AS224)="","",INDEX('潜水記録'!$AO$5:$AO$3004,$AS224)))</f>
        <v/>
      </c>
      <c r="AK224" s="14">
        <f>IF($A224="","",IF(INDEX('潜水記録'!$AP$5:$AP$3004,$AS224)="","",INDEX('潜水記録'!$AP$5:$AP$3004,$AS224)))</f>
        <v/>
      </c>
      <c r="AL224" s="14">
        <f>IF($A224="","",IF(INDEX('潜水記録'!$AQ$5:$AQ$3004,$AS224)="","",INDEX('潜水記録'!$AQ$5:$AQ$3004,$AS224)))</f>
        <v/>
      </c>
      <c r="AM224" s="14">
        <f>IF($A224="","",IF(INDEX('潜水記録'!$AR$5:$AR$3004,$AS224)="","",INDEX('潜水記録'!$AR$5:$AR$3004,$AS224)))</f>
        <v/>
      </c>
      <c r="AN224" s="14">
        <f>IF($A224="","",IF(INDEX('潜水記録'!$AS$5:$AS$3004,$AS224)="","",INDEX('潜水記録'!$AS$5:$AS$3004,$AS224)))</f>
        <v/>
      </c>
      <c r="AO224" s="14">
        <f>IF($A224="","",IF(INDEX('潜水記録'!$AT$5:$AT$3004,$AS224)="","",INDEX('潜水記録'!$AT$5:$AT$3004,$AS224)))</f>
        <v/>
      </c>
      <c r="AP224" s="14">
        <f>IF($A224="","",IF(INDEX('潜水記録'!$AU$5:$AU$3004,$AS224)="","",INDEX('潜水記録'!$AU$5:$AU$3004,$AS224)))</f>
        <v/>
      </c>
      <c r="AQ224" s="14">
        <f>IF($A224="","",IF(INDEX('潜水記録'!$AV$5:$AV$3004,$AS224)="","",INDEX('潜水記録'!$AV$5:$AV$3004,$AS224)))</f>
        <v/>
      </c>
      <c r="AR224" s="14">
        <f>IF($A224="","",IF(INDEX('潜水記録'!$AW$5:$AW$3004,$AS224)="","",INDEX('潜水記録'!$AW$5:$AW$3004,$AS224)))</f>
        <v/>
      </c>
      <c r="AS224" s="20">
        <f>IF($A224="","",MATCH($A224,'潜水記録'!$AI$5:$AI$3004,0))</f>
        <v/>
      </c>
    </row>
    <row r="225">
      <c r="A225" s="14">
        <f>IF(215&lt;=$C$8,215,"")</f>
        <v/>
      </c>
      <c r="B225" s="16">
        <f>IF($A225="","",IF(INDEX('潜水記録'!$A$5:$A$3004,$AS225)="","",INDEX('潜水記録'!$A$5:$A$3004,$AS225)))</f>
        <v/>
      </c>
      <c r="C225" s="14">
        <f>IF($A225="","",IF(INDEX('潜水記録'!$B$5:$B$3004,$AS225)="","",INDEX('潜水記録'!$B$5:$B$3004,$AS225)))</f>
        <v/>
      </c>
      <c r="D225" s="14">
        <f>IF($A225="","",IF(INDEX('潜水記録'!$C$5:$C$3004,$AS225)="","",INDEX('潜水記録'!$C$5:$C$3004,$AS225)))</f>
        <v/>
      </c>
      <c r="E225" s="14">
        <f>IF($A225="","",IF(INDEX('潜水記録'!$D$5:$D$3004,$AS225)="","",INDEX('潜水記録'!$D$5:$D$3004,$AS225)))</f>
        <v/>
      </c>
      <c r="F225" s="14">
        <f>IF($A225="","",IF(INDEX('潜水記録'!$E$5:$E$3004,$AS225)="","",INDEX('潜水記録'!$E$5:$E$3004,$AS225)))</f>
        <v/>
      </c>
      <c r="G225" s="14">
        <f>IF($A225="","",IF(INDEX('潜水記録'!$F$5:$F$3004,$AS225)="","",INDEX('潜水記録'!$F$5:$F$3004,$AS225)))</f>
        <v/>
      </c>
      <c r="H225" s="14">
        <f>IF($A225="","",IF(INDEX('潜水記録'!$G$5:$G$3004,$AS225)="","",INDEX('潜水記録'!$G$5:$G$3004,$AS225)))</f>
        <v/>
      </c>
      <c r="I225" s="14">
        <f>IF($A225="","",IF(INDEX('潜水記録'!$H$5:$H$3004,$AS225)="","",INDEX('潜水記録'!$H$5:$H$3004,$AS225)))</f>
        <v/>
      </c>
      <c r="J225" s="14">
        <f>IF($A225="","",IF(INDEX('潜水記録'!$I$5:$I$3004,$AS225)="","",INDEX('潜水記録'!$I$5:$I$3004,$AS225)))</f>
        <v/>
      </c>
      <c r="K225" s="14">
        <f>IF($A225="","",IF(INDEX('潜水記録'!$J$5:$J$3004,$AS225)="","",INDEX('潜水記録'!$J$5:$J$3004,$AS225)))</f>
        <v/>
      </c>
      <c r="L225" s="14">
        <f>IF($A225="","",IF(INDEX('潜水記録'!$K$5:$K$3004,$AS225)="","",INDEX('潜水記録'!$K$5:$K$3004,$AS225)))</f>
        <v/>
      </c>
      <c r="M225" s="14">
        <f>IF($A225="","",IF(INDEX('潜水記録'!$L$5:$L$3004,$AS225)="","",INDEX('潜水記録'!$L$5:$L$3004,$AS225)))</f>
        <v/>
      </c>
      <c r="N225" s="14">
        <f>IF($A225="","",IF(INDEX('潜水記録'!$M$5:$M$3004,$AS225)="","",INDEX('潜水記録'!$M$5:$M$3004,$AS225)))</f>
        <v/>
      </c>
      <c r="O225" s="14">
        <f>IF($A225="","",IF(INDEX('潜水記録'!$N$5:$N$3004,$AS225)="","",INDEX('潜水記録'!$N$5:$N$3004,$AS225)))</f>
        <v/>
      </c>
      <c r="P225" s="14">
        <f>IF($A225="","",IF(INDEX('潜水記録'!$O$5:$O$3004,$AS225)="","",INDEX('潜水記録'!$O$5:$O$3004,$AS225)))</f>
        <v/>
      </c>
      <c r="Q225" s="14">
        <f>IF($A225="","",IF(INDEX('潜水記録'!$P$5:$P$3004,$AS225)="","",INDEX('潜水記録'!$P$5:$P$3004,$AS225)))</f>
        <v/>
      </c>
      <c r="R225" s="14">
        <f>IF($A225="","",IF(INDEX('潜水記録'!$Q$5:$Q$3004,$AS225)="","",INDEX('潜水記録'!$Q$5:$Q$3004,$AS225)))</f>
        <v/>
      </c>
      <c r="S225" s="14">
        <f>IF($A225="","",IF(INDEX('潜水記録'!$R$5:$R$3004,$AS225)="","",INDEX('潜水記録'!$R$5:$R$3004,$AS225)))</f>
        <v/>
      </c>
      <c r="T225" s="14">
        <f>IF($A225="","",IF(INDEX('潜水記録'!$S$5:$S$3004,$AS225)="","",INDEX('潜水記録'!$S$5:$S$3004,$AS225)))</f>
        <v/>
      </c>
      <c r="U225" s="14">
        <f>IF($A225="","",IF(INDEX('潜水記録'!$T$5:$T$3004,$AS225)="","",INDEX('潜水記録'!$T$5:$T$3004,$AS225)))</f>
        <v/>
      </c>
      <c r="V225" s="46">
        <f>IF($A225="","",IF(INDEX('潜水記録'!$U$5:$U$3004,$AS225)="","",INDEX('潜水記録'!$U$5:$U$3004,$AS225)))</f>
        <v/>
      </c>
      <c r="W225" s="46">
        <f>IF($A225="","",IF(INDEX('潜水記録'!$V$5:$V$3004,$AS225)="","",INDEX('潜水記録'!$V$5:$V$3004,$AS225)))</f>
        <v/>
      </c>
      <c r="X225" s="14">
        <f>IF($A225="","",IF(INDEX('潜水記録'!$W$5:$W$3004,$AS225)="","",INDEX('潜水記録'!$W$5:$W$3004,$AS225)))</f>
        <v/>
      </c>
      <c r="Y225" s="14">
        <f>IF($A225="","",IF(INDEX('潜水記録'!$X$5:$X$3004,$AS225)="","",INDEX('潜水記録'!$X$5:$X$3004,$AS225)))</f>
        <v/>
      </c>
      <c r="Z225" s="14">
        <f>IF($A225="","",IF(INDEX('潜水記録'!$Y$5:$Y$3004,$AS225)="","",INDEX('潜水記録'!$Y$5:$Y$3004,$AS225)))</f>
        <v/>
      </c>
      <c r="AA225" s="14">
        <f>IF($A225="","",IF(INDEX('潜水記録'!$Z$5:$Z$3004,$AS225)="","",INDEX('潜水記録'!$Z$5:$Z$3004,$AS225)))</f>
        <v/>
      </c>
      <c r="AB225" s="14">
        <f>IF($A225="","",IF(INDEX('潜水記録'!$AA$5:$AA$3004,$AS225)="","",INDEX('潜水記録'!$AA$5:$AA$3004,$AS225)))</f>
        <v/>
      </c>
      <c r="AC225" s="14">
        <f>IF($A225="","",IF(INDEX('潜水記録'!$AB$5:$AB$3004,$AS225)="","",INDEX('潜水記録'!$AB$5:$AB$3004,$AS225)))</f>
        <v/>
      </c>
      <c r="AD225" s="14">
        <f>IF($A225="","",IF(INDEX('潜水記録'!$AC$5:$AC$3004,$AS225)="","",INDEX('潜水記録'!$AC$5:$AC$3004,$AS225)))</f>
        <v/>
      </c>
      <c r="AE225" s="14">
        <f>IF($A225="","",IF(INDEX('潜水記録'!$AD$5:$AD$3004,$AS225)="","",INDEX('潜水記録'!$AD$5:$AD$3004,$AS225)))</f>
        <v/>
      </c>
      <c r="AF225" s="14">
        <f>IF($A225="","",IF(INDEX('潜水記録'!$AE$5:$AE$3004,$AS225)="","",INDEX('潜水記録'!$AE$5:$AE$3004,$AS225)))</f>
        <v/>
      </c>
      <c r="AG225" s="14">
        <f>IF($A225="","",IF(INDEX('潜水記録'!$AL$5:$AL$3004,$AS225)="","",INDEX('潜水記録'!$AL$5:$AL$3004,$AS225)))</f>
        <v/>
      </c>
      <c r="AH225" s="14">
        <f>IF($A225="","",IF(INDEX('潜水記録'!$AM$5:$AM$3004,$AS225)="","",INDEX('潜水記録'!$AM$5:$AM$3004,$AS225)))</f>
        <v/>
      </c>
      <c r="AI225" s="46">
        <f>IF($A225="","",IF(INDEX('潜水記録'!$AN$5:$AN$3004,$AS225)="","",INDEX('潜水記録'!$AN$5:$AN$3004,$AS225)))</f>
        <v/>
      </c>
      <c r="AJ225" s="14">
        <f>IF($A225="","",IF(INDEX('潜水記録'!$AO$5:$AO$3004,$AS225)="","",INDEX('潜水記録'!$AO$5:$AO$3004,$AS225)))</f>
        <v/>
      </c>
      <c r="AK225" s="14">
        <f>IF($A225="","",IF(INDEX('潜水記録'!$AP$5:$AP$3004,$AS225)="","",INDEX('潜水記録'!$AP$5:$AP$3004,$AS225)))</f>
        <v/>
      </c>
      <c r="AL225" s="14">
        <f>IF($A225="","",IF(INDEX('潜水記録'!$AQ$5:$AQ$3004,$AS225)="","",INDEX('潜水記録'!$AQ$5:$AQ$3004,$AS225)))</f>
        <v/>
      </c>
      <c r="AM225" s="14">
        <f>IF($A225="","",IF(INDEX('潜水記録'!$AR$5:$AR$3004,$AS225)="","",INDEX('潜水記録'!$AR$5:$AR$3004,$AS225)))</f>
        <v/>
      </c>
      <c r="AN225" s="14">
        <f>IF($A225="","",IF(INDEX('潜水記録'!$AS$5:$AS$3004,$AS225)="","",INDEX('潜水記録'!$AS$5:$AS$3004,$AS225)))</f>
        <v/>
      </c>
      <c r="AO225" s="14">
        <f>IF($A225="","",IF(INDEX('潜水記録'!$AT$5:$AT$3004,$AS225)="","",INDEX('潜水記録'!$AT$5:$AT$3004,$AS225)))</f>
        <v/>
      </c>
      <c r="AP225" s="14">
        <f>IF($A225="","",IF(INDEX('潜水記録'!$AU$5:$AU$3004,$AS225)="","",INDEX('潜水記録'!$AU$5:$AU$3004,$AS225)))</f>
        <v/>
      </c>
      <c r="AQ225" s="14">
        <f>IF($A225="","",IF(INDEX('潜水記録'!$AV$5:$AV$3004,$AS225)="","",INDEX('潜水記録'!$AV$5:$AV$3004,$AS225)))</f>
        <v/>
      </c>
      <c r="AR225" s="14">
        <f>IF($A225="","",IF(INDEX('潜水記録'!$AW$5:$AW$3004,$AS225)="","",INDEX('潜水記録'!$AW$5:$AW$3004,$AS225)))</f>
        <v/>
      </c>
      <c r="AS225" s="20">
        <f>IF($A225="","",MATCH($A225,'潜水記録'!$AI$5:$AI$3004,0))</f>
        <v/>
      </c>
    </row>
    <row r="226">
      <c r="A226" s="14">
        <f>IF(216&lt;=$C$8,216,"")</f>
        <v/>
      </c>
      <c r="B226" s="16">
        <f>IF($A226="","",IF(INDEX('潜水記録'!$A$5:$A$3004,$AS226)="","",INDEX('潜水記録'!$A$5:$A$3004,$AS226)))</f>
        <v/>
      </c>
      <c r="C226" s="14">
        <f>IF($A226="","",IF(INDEX('潜水記録'!$B$5:$B$3004,$AS226)="","",INDEX('潜水記録'!$B$5:$B$3004,$AS226)))</f>
        <v/>
      </c>
      <c r="D226" s="14">
        <f>IF($A226="","",IF(INDEX('潜水記録'!$C$5:$C$3004,$AS226)="","",INDEX('潜水記録'!$C$5:$C$3004,$AS226)))</f>
        <v/>
      </c>
      <c r="E226" s="14">
        <f>IF($A226="","",IF(INDEX('潜水記録'!$D$5:$D$3004,$AS226)="","",INDEX('潜水記録'!$D$5:$D$3004,$AS226)))</f>
        <v/>
      </c>
      <c r="F226" s="14">
        <f>IF($A226="","",IF(INDEX('潜水記録'!$E$5:$E$3004,$AS226)="","",INDEX('潜水記録'!$E$5:$E$3004,$AS226)))</f>
        <v/>
      </c>
      <c r="G226" s="14">
        <f>IF($A226="","",IF(INDEX('潜水記録'!$F$5:$F$3004,$AS226)="","",INDEX('潜水記録'!$F$5:$F$3004,$AS226)))</f>
        <v/>
      </c>
      <c r="H226" s="14">
        <f>IF($A226="","",IF(INDEX('潜水記録'!$G$5:$G$3004,$AS226)="","",INDEX('潜水記録'!$G$5:$G$3004,$AS226)))</f>
        <v/>
      </c>
      <c r="I226" s="14">
        <f>IF($A226="","",IF(INDEX('潜水記録'!$H$5:$H$3004,$AS226)="","",INDEX('潜水記録'!$H$5:$H$3004,$AS226)))</f>
        <v/>
      </c>
      <c r="J226" s="14">
        <f>IF($A226="","",IF(INDEX('潜水記録'!$I$5:$I$3004,$AS226)="","",INDEX('潜水記録'!$I$5:$I$3004,$AS226)))</f>
        <v/>
      </c>
      <c r="K226" s="14">
        <f>IF($A226="","",IF(INDEX('潜水記録'!$J$5:$J$3004,$AS226)="","",INDEX('潜水記録'!$J$5:$J$3004,$AS226)))</f>
        <v/>
      </c>
      <c r="L226" s="14">
        <f>IF($A226="","",IF(INDEX('潜水記録'!$K$5:$K$3004,$AS226)="","",INDEX('潜水記録'!$K$5:$K$3004,$AS226)))</f>
        <v/>
      </c>
      <c r="M226" s="14">
        <f>IF($A226="","",IF(INDEX('潜水記録'!$L$5:$L$3004,$AS226)="","",INDEX('潜水記録'!$L$5:$L$3004,$AS226)))</f>
        <v/>
      </c>
      <c r="N226" s="14">
        <f>IF($A226="","",IF(INDEX('潜水記録'!$M$5:$M$3004,$AS226)="","",INDEX('潜水記録'!$M$5:$M$3004,$AS226)))</f>
        <v/>
      </c>
      <c r="O226" s="14">
        <f>IF($A226="","",IF(INDEX('潜水記録'!$N$5:$N$3004,$AS226)="","",INDEX('潜水記録'!$N$5:$N$3004,$AS226)))</f>
        <v/>
      </c>
      <c r="P226" s="14">
        <f>IF($A226="","",IF(INDEX('潜水記録'!$O$5:$O$3004,$AS226)="","",INDEX('潜水記録'!$O$5:$O$3004,$AS226)))</f>
        <v/>
      </c>
      <c r="Q226" s="14">
        <f>IF($A226="","",IF(INDEX('潜水記録'!$P$5:$P$3004,$AS226)="","",INDEX('潜水記録'!$P$5:$P$3004,$AS226)))</f>
        <v/>
      </c>
      <c r="R226" s="14">
        <f>IF($A226="","",IF(INDEX('潜水記録'!$Q$5:$Q$3004,$AS226)="","",INDEX('潜水記録'!$Q$5:$Q$3004,$AS226)))</f>
        <v/>
      </c>
      <c r="S226" s="14">
        <f>IF($A226="","",IF(INDEX('潜水記録'!$R$5:$R$3004,$AS226)="","",INDEX('潜水記録'!$R$5:$R$3004,$AS226)))</f>
        <v/>
      </c>
      <c r="T226" s="14">
        <f>IF($A226="","",IF(INDEX('潜水記録'!$S$5:$S$3004,$AS226)="","",INDEX('潜水記録'!$S$5:$S$3004,$AS226)))</f>
        <v/>
      </c>
      <c r="U226" s="14">
        <f>IF($A226="","",IF(INDEX('潜水記録'!$T$5:$T$3004,$AS226)="","",INDEX('潜水記録'!$T$5:$T$3004,$AS226)))</f>
        <v/>
      </c>
      <c r="V226" s="46">
        <f>IF($A226="","",IF(INDEX('潜水記録'!$U$5:$U$3004,$AS226)="","",INDEX('潜水記録'!$U$5:$U$3004,$AS226)))</f>
        <v/>
      </c>
      <c r="W226" s="46">
        <f>IF($A226="","",IF(INDEX('潜水記録'!$V$5:$V$3004,$AS226)="","",INDEX('潜水記録'!$V$5:$V$3004,$AS226)))</f>
        <v/>
      </c>
      <c r="X226" s="14">
        <f>IF($A226="","",IF(INDEX('潜水記録'!$W$5:$W$3004,$AS226)="","",INDEX('潜水記録'!$W$5:$W$3004,$AS226)))</f>
        <v/>
      </c>
      <c r="Y226" s="14">
        <f>IF($A226="","",IF(INDEX('潜水記録'!$X$5:$X$3004,$AS226)="","",INDEX('潜水記録'!$X$5:$X$3004,$AS226)))</f>
        <v/>
      </c>
      <c r="Z226" s="14">
        <f>IF($A226="","",IF(INDEX('潜水記録'!$Y$5:$Y$3004,$AS226)="","",INDEX('潜水記録'!$Y$5:$Y$3004,$AS226)))</f>
        <v/>
      </c>
      <c r="AA226" s="14">
        <f>IF($A226="","",IF(INDEX('潜水記録'!$Z$5:$Z$3004,$AS226)="","",INDEX('潜水記録'!$Z$5:$Z$3004,$AS226)))</f>
        <v/>
      </c>
      <c r="AB226" s="14">
        <f>IF($A226="","",IF(INDEX('潜水記録'!$AA$5:$AA$3004,$AS226)="","",INDEX('潜水記録'!$AA$5:$AA$3004,$AS226)))</f>
        <v/>
      </c>
      <c r="AC226" s="14">
        <f>IF($A226="","",IF(INDEX('潜水記録'!$AB$5:$AB$3004,$AS226)="","",INDEX('潜水記録'!$AB$5:$AB$3004,$AS226)))</f>
        <v/>
      </c>
      <c r="AD226" s="14">
        <f>IF($A226="","",IF(INDEX('潜水記録'!$AC$5:$AC$3004,$AS226)="","",INDEX('潜水記録'!$AC$5:$AC$3004,$AS226)))</f>
        <v/>
      </c>
      <c r="AE226" s="14">
        <f>IF($A226="","",IF(INDEX('潜水記録'!$AD$5:$AD$3004,$AS226)="","",INDEX('潜水記録'!$AD$5:$AD$3004,$AS226)))</f>
        <v/>
      </c>
      <c r="AF226" s="14">
        <f>IF($A226="","",IF(INDEX('潜水記録'!$AE$5:$AE$3004,$AS226)="","",INDEX('潜水記録'!$AE$5:$AE$3004,$AS226)))</f>
        <v/>
      </c>
      <c r="AG226" s="14">
        <f>IF($A226="","",IF(INDEX('潜水記録'!$AL$5:$AL$3004,$AS226)="","",INDEX('潜水記録'!$AL$5:$AL$3004,$AS226)))</f>
        <v/>
      </c>
      <c r="AH226" s="14">
        <f>IF($A226="","",IF(INDEX('潜水記録'!$AM$5:$AM$3004,$AS226)="","",INDEX('潜水記録'!$AM$5:$AM$3004,$AS226)))</f>
        <v/>
      </c>
      <c r="AI226" s="46">
        <f>IF($A226="","",IF(INDEX('潜水記録'!$AN$5:$AN$3004,$AS226)="","",INDEX('潜水記録'!$AN$5:$AN$3004,$AS226)))</f>
        <v/>
      </c>
      <c r="AJ226" s="14">
        <f>IF($A226="","",IF(INDEX('潜水記録'!$AO$5:$AO$3004,$AS226)="","",INDEX('潜水記録'!$AO$5:$AO$3004,$AS226)))</f>
        <v/>
      </c>
      <c r="AK226" s="14">
        <f>IF($A226="","",IF(INDEX('潜水記録'!$AP$5:$AP$3004,$AS226)="","",INDEX('潜水記録'!$AP$5:$AP$3004,$AS226)))</f>
        <v/>
      </c>
      <c r="AL226" s="14">
        <f>IF($A226="","",IF(INDEX('潜水記録'!$AQ$5:$AQ$3004,$AS226)="","",INDEX('潜水記録'!$AQ$5:$AQ$3004,$AS226)))</f>
        <v/>
      </c>
      <c r="AM226" s="14">
        <f>IF($A226="","",IF(INDEX('潜水記録'!$AR$5:$AR$3004,$AS226)="","",INDEX('潜水記録'!$AR$5:$AR$3004,$AS226)))</f>
        <v/>
      </c>
      <c r="AN226" s="14">
        <f>IF($A226="","",IF(INDEX('潜水記録'!$AS$5:$AS$3004,$AS226)="","",INDEX('潜水記録'!$AS$5:$AS$3004,$AS226)))</f>
        <v/>
      </c>
      <c r="AO226" s="14">
        <f>IF($A226="","",IF(INDEX('潜水記録'!$AT$5:$AT$3004,$AS226)="","",INDEX('潜水記録'!$AT$5:$AT$3004,$AS226)))</f>
        <v/>
      </c>
      <c r="AP226" s="14">
        <f>IF($A226="","",IF(INDEX('潜水記録'!$AU$5:$AU$3004,$AS226)="","",INDEX('潜水記録'!$AU$5:$AU$3004,$AS226)))</f>
        <v/>
      </c>
      <c r="AQ226" s="14">
        <f>IF($A226="","",IF(INDEX('潜水記録'!$AV$5:$AV$3004,$AS226)="","",INDEX('潜水記録'!$AV$5:$AV$3004,$AS226)))</f>
        <v/>
      </c>
      <c r="AR226" s="14">
        <f>IF($A226="","",IF(INDEX('潜水記録'!$AW$5:$AW$3004,$AS226)="","",INDEX('潜水記録'!$AW$5:$AW$3004,$AS226)))</f>
        <v/>
      </c>
      <c r="AS226" s="20">
        <f>IF($A226="","",MATCH($A226,'潜水記録'!$AI$5:$AI$3004,0))</f>
        <v/>
      </c>
    </row>
    <row r="227">
      <c r="A227" s="14">
        <f>IF(217&lt;=$C$8,217,"")</f>
        <v/>
      </c>
      <c r="B227" s="16">
        <f>IF($A227="","",IF(INDEX('潜水記録'!$A$5:$A$3004,$AS227)="","",INDEX('潜水記録'!$A$5:$A$3004,$AS227)))</f>
        <v/>
      </c>
      <c r="C227" s="14">
        <f>IF($A227="","",IF(INDEX('潜水記録'!$B$5:$B$3004,$AS227)="","",INDEX('潜水記録'!$B$5:$B$3004,$AS227)))</f>
        <v/>
      </c>
      <c r="D227" s="14">
        <f>IF($A227="","",IF(INDEX('潜水記録'!$C$5:$C$3004,$AS227)="","",INDEX('潜水記録'!$C$5:$C$3004,$AS227)))</f>
        <v/>
      </c>
      <c r="E227" s="14">
        <f>IF($A227="","",IF(INDEX('潜水記録'!$D$5:$D$3004,$AS227)="","",INDEX('潜水記録'!$D$5:$D$3004,$AS227)))</f>
        <v/>
      </c>
      <c r="F227" s="14">
        <f>IF($A227="","",IF(INDEX('潜水記録'!$E$5:$E$3004,$AS227)="","",INDEX('潜水記録'!$E$5:$E$3004,$AS227)))</f>
        <v/>
      </c>
      <c r="G227" s="14">
        <f>IF($A227="","",IF(INDEX('潜水記録'!$F$5:$F$3004,$AS227)="","",INDEX('潜水記録'!$F$5:$F$3004,$AS227)))</f>
        <v/>
      </c>
      <c r="H227" s="14">
        <f>IF($A227="","",IF(INDEX('潜水記録'!$G$5:$G$3004,$AS227)="","",INDEX('潜水記録'!$G$5:$G$3004,$AS227)))</f>
        <v/>
      </c>
      <c r="I227" s="14">
        <f>IF($A227="","",IF(INDEX('潜水記録'!$H$5:$H$3004,$AS227)="","",INDEX('潜水記録'!$H$5:$H$3004,$AS227)))</f>
        <v/>
      </c>
      <c r="J227" s="14">
        <f>IF($A227="","",IF(INDEX('潜水記録'!$I$5:$I$3004,$AS227)="","",INDEX('潜水記録'!$I$5:$I$3004,$AS227)))</f>
        <v/>
      </c>
      <c r="K227" s="14">
        <f>IF($A227="","",IF(INDEX('潜水記録'!$J$5:$J$3004,$AS227)="","",INDEX('潜水記録'!$J$5:$J$3004,$AS227)))</f>
        <v/>
      </c>
      <c r="L227" s="14">
        <f>IF($A227="","",IF(INDEX('潜水記録'!$K$5:$K$3004,$AS227)="","",INDEX('潜水記録'!$K$5:$K$3004,$AS227)))</f>
        <v/>
      </c>
      <c r="M227" s="14">
        <f>IF($A227="","",IF(INDEX('潜水記録'!$L$5:$L$3004,$AS227)="","",INDEX('潜水記録'!$L$5:$L$3004,$AS227)))</f>
        <v/>
      </c>
      <c r="N227" s="14">
        <f>IF($A227="","",IF(INDEX('潜水記録'!$M$5:$M$3004,$AS227)="","",INDEX('潜水記録'!$M$5:$M$3004,$AS227)))</f>
        <v/>
      </c>
      <c r="O227" s="14">
        <f>IF($A227="","",IF(INDEX('潜水記録'!$N$5:$N$3004,$AS227)="","",INDEX('潜水記録'!$N$5:$N$3004,$AS227)))</f>
        <v/>
      </c>
      <c r="P227" s="14">
        <f>IF($A227="","",IF(INDEX('潜水記録'!$O$5:$O$3004,$AS227)="","",INDEX('潜水記録'!$O$5:$O$3004,$AS227)))</f>
        <v/>
      </c>
      <c r="Q227" s="14">
        <f>IF($A227="","",IF(INDEX('潜水記録'!$P$5:$P$3004,$AS227)="","",INDEX('潜水記録'!$P$5:$P$3004,$AS227)))</f>
        <v/>
      </c>
      <c r="R227" s="14">
        <f>IF($A227="","",IF(INDEX('潜水記録'!$Q$5:$Q$3004,$AS227)="","",INDEX('潜水記録'!$Q$5:$Q$3004,$AS227)))</f>
        <v/>
      </c>
      <c r="S227" s="14">
        <f>IF($A227="","",IF(INDEX('潜水記録'!$R$5:$R$3004,$AS227)="","",INDEX('潜水記録'!$R$5:$R$3004,$AS227)))</f>
        <v/>
      </c>
      <c r="T227" s="14">
        <f>IF($A227="","",IF(INDEX('潜水記録'!$S$5:$S$3004,$AS227)="","",INDEX('潜水記録'!$S$5:$S$3004,$AS227)))</f>
        <v/>
      </c>
      <c r="U227" s="14">
        <f>IF($A227="","",IF(INDEX('潜水記録'!$T$5:$T$3004,$AS227)="","",INDEX('潜水記録'!$T$5:$T$3004,$AS227)))</f>
        <v/>
      </c>
      <c r="V227" s="46">
        <f>IF($A227="","",IF(INDEX('潜水記録'!$U$5:$U$3004,$AS227)="","",INDEX('潜水記録'!$U$5:$U$3004,$AS227)))</f>
        <v/>
      </c>
      <c r="W227" s="46">
        <f>IF($A227="","",IF(INDEX('潜水記録'!$V$5:$V$3004,$AS227)="","",INDEX('潜水記録'!$V$5:$V$3004,$AS227)))</f>
        <v/>
      </c>
      <c r="X227" s="14">
        <f>IF($A227="","",IF(INDEX('潜水記録'!$W$5:$W$3004,$AS227)="","",INDEX('潜水記録'!$W$5:$W$3004,$AS227)))</f>
        <v/>
      </c>
      <c r="Y227" s="14">
        <f>IF($A227="","",IF(INDEX('潜水記録'!$X$5:$X$3004,$AS227)="","",INDEX('潜水記録'!$X$5:$X$3004,$AS227)))</f>
        <v/>
      </c>
      <c r="Z227" s="14">
        <f>IF($A227="","",IF(INDEX('潜水記録'!$Y$5:$Y$3004,$AS227)="","",INDEX('潜水記録'!$Y$5:$Y$3004,$AS227)))</f>
        <v/>
      </c>
      <c r="AA227" s="14">
        <f>IF($A227="","",IF(INDEX('潜水記録'!$Z$5:$Z$3004,$AS227)="","",INDEX('潜水記録'!$Z$5:$Z$3004,$AS227)))</f>
        <v/>
      </c>
      <c r="AB227" s="14">
        <f>IF($A227="","",IF(INDEX('潜水記録'!$AA$5:$AA$3004,$AS227)="","",INDEX('潜水記録'!$AA$5:$AA$3004,$AS227)))</f>
        <v/>
      </c>
      <c r="AC227" s="14">
        <f>IF($A227="","",IF(INDEX('潜水記録'!$AB$5:$AB$3004,$AS227)="","",INDEX('潜水記録'!$AB$5:$AB$3004,$AS227)))</f>
        <v/>
      </c>
      <c r="AD227" s="14">
        <f>IF($A227="","",IF(INDEX('潜水記録'!$AC$5:$AC$3004,$AS227)="","",INDEX('潜水記録'!$AC$5:$AC$3004,$AS227)))</f>
        <v/>
      </c>
      <c r="AE227" s="14">
        <f>IF($A227="","",IF(INDEX('潜水記録'!$AD$5:$AD$3004,$AS227)="","",INDEX('潜水記録'!$AD$5:$AD$3004,$AS227)))</f>
        <v/>
      </c>
      <c r="AF227" s="14">
        <f>IF($A227="","",IF(INDEX('潜水記録'!$AE$5:$AE$3004,$AS227)="","",INDEX('潜水記録'!$AE$5:$AE$3004,$AS227)))</f>
        <v/>
      </c>
      <c r="AG227" s="14">
        <f>IF($A227="","",IF(INDEX('潜水記録'!$AL$5:$AL$3004,$AS227)="","",INDEX('潜水記録'!$AL$5:$AL$3004,$AS227)))</f>
        <v/>
      </c>
      <c r="AH227" s="14">
        <f>IF($A227="","",IF(INDEX('潜水記録'!$AM$5:$AM$3004,$AS227)="","",INDEX('潜水記録'!$AM$5:$AM$3004,$AS227)))</f>
        <v/>
      </c>
      <c r="AI227" s="46">
        <f>IF($A227="","",IF(INDEX('潜水記録'!$AN$5:$AN$3004,$AS227)="","",INDEX('潜水記録'!$AN$5:$AN$3004,$AS227)))</f>
        <v/>
      </c>
      <c r="AJ227" s="14">
        <f>IF($A227="","",IF(INDEX('潜水記録'!$AO$5:$AO$3004,$AS227)="","",INDEX('潜水記録'!$AO$5:$AO$3004,$AS227)))</f>
        <v/>
      </c>
      <c r="AK227" s="14">
        <f>IF($A227="","",IF(INDEX('潜水記録'!$AP$5:$AP$3004,$AS227)="","",INDEX('潜水記録'!$AP$5:$AP$3004,$AS227)))</f>
        <v/>
      </c>
      <c r="AL227" s="14">
        <f>IF($A227="","",IF(INDEX('潜水記録'!$AQ$5:$AQ$3004,$AS227)="","",INDEX('潜水記録'!$AQ$5:$AQ$3004,$AS227)))</f>
        <v/>
      </c>
      <c r="AM227" s="14">
        <f>IF($A227="","",IF(INDEX('潜水記録'!$AR$5:$AR$3004,$AS227)="","",INDEX('潜水記録'!$AR$5:$AR$3004,$AS227)))</f>
        <v/>
      </c>
      <c r="AN227" s="14">
        <f>IF($A227="","",IF(INDEX('潜水記録'!$AS$5:$AS$3004,$AS227)="","",INDEX('潜水記録'!$AS$5:$AS$3004,$AS227)))</f>
        <v/>
      </c>
      <c r="AO227" s="14">
        <f>IF($A227="","",IF(INDEX('潜水記録'!$AT$5:$AT$3004,$AS227)="","",INDEX('潜水記録'!$AT$5:$AT$3004,$AS227)))</f>
        <v/>
      </c>
      <c r="AP227" s="14">
        <f>IF($A227="","",IF(INDEX('潜水記録'!$AU$5:$AU$3004,$AS227)="","",INDEX('潜水記録'!$AU$5:$AU$3004,$AS227)))</f>
        <v/>
      </c>
      <c r="AQ227" s="14">
        <f>IF($A227="","",IF(INDEX('潜水記録'!$AV$5:$AV$3004,$AS227)="","",INDEX('潜水記録'!$AV$5:$AV$3004,$AS227)))</f>
        <v/>
      </c>
      <c r="AR227" s="14">
        <f>IF($A227="","",IF(INDEX('潜水記録'!$AW$5:$AW$3004,$AS227)="","",INDEX('潜水記録'!$AW$5:$AW$3004,$AS227)))</f>
        <v/>
      </c>
      <c r="AS227" s="20">
        <f>IF($A227="","",MATCH($A227,'潜水記録'!$AI$5:$AI$3004,0))</f>
        <v/>
      </c>
    </row>
    <row r="228">
      <c r="A228" s="14">
        <f>IF(218&lt;=$C$8,218,"")</f>
        <v/>
      </c>
      <c r="B228" s="16">
        <f>IF($A228="","",IF(INDEX('潜水記録'!$A$5:$A$3004,$AS228)="","",INDEX('潜水記録'!$A$5:$A$3004,$AS228)))</f>
        <v/>
      </c>
      <c r="C228" s="14">
        <f>IF($A228="","",IF(INDEX('潜水記録'!$B$5:$B$3004,$AS228)="","",INDEX('潜水記録'!$B$5:$B$3004,$AS228)))</f>
        <v/>
      </c>
      <c r="D228" s="14">
        <f>IF($A228="","",IF(INDEX('潜水記録'!$C$5:$C$3004,$AS228)="","",INDEX('潜水記録'!$C$5:$C$3004,$AS228)))</f>
        <v/>
      </c>
      <c r="E228" s="14">
        <f>IF($A228="","",IF(INDEX('潜水記録'!$D$5:$D$3004,$AS228)="","",INDEX('潜水記録'!$D$5:$D$3004,$AS228)))</f>
        <v/>
      </c>
      <c r="F228" s="14">
        <f>IF($A228="","",IF(INDEX('潜水記録'!$E$5:$E$3004,$AS228)="","",INDEX('潜水記録'!$E$5:$E$3004,$AS228)))</f>
        <v/>
      </c>
      <c r="G228" s="14">
        <f>IF($A228="","",IF(INDEX('潜水記録'!$F$5:$F$3004,$AS228)="","",INDEX('潜水記録'!$F$5:$F$3004,$AS228)))</f>
        <v/>
      </c>
      <c r="H228" s="14">
        <f>IF($A228="","",IF(INDEX('潜水記録'!$G$5:$G$3004,$AS228)="","",INDEX('潜水記録'!$G$5:$G$3004,$AS228)))</f>
        <v/>
      </c>
      <c r="I228" s="14">
        <f>IF($A228="","",IF(INDEX('潜水記録'!$H$5:$H$3004,$AS228)="","",INDEX('潜水記録'!$H$5:$H$3004,$AS228)))</f>
        <v/>
      </c>
      <c r="J228" s="14">
        <f>IF($A228="","",IF(INDEX('潜水記録'!$I$5:$I$3004,$AS228)="","",INDEX('潜水記録'!$I$5:$I$3004,$AS228)))</f>
        <v/>
      </c>
      <c r="K228" s="14">
        <f>IF($A228="","",IF(INDEX('潜水記録'!$J$5:$J$3004,$AS228)="","",INDEX('潜水記録'!$J$5:$J$3004,$AS228)))</f>
        <v/>
      </c>
      <c r="L228" s="14">
        <f>IF($A228="","",IF(INDEX('潜水記録'!$K$5:$K$3004,$AS228)="","",INDEX('潜水記録'!$K$5:$K$3004,$AS228)))</f>
        <v/>
      </c>
      <c r="M228" s="14">
        <f>IF($A228="","",IF(INDEX('潜水記録'!$L$5:$L$3004,$AS228)="","",INDEX('潜水記録'!$L$5:$L$3004,$AS228)))</f>
        <v/>
      </c>
      <c r="N228" s="14">
        <f>IF($A228="","",IF(INDEX('潜水記録'!$M$5:$M$3004,$AS228)="","",INDEX('潜水記録'!$M$5:$M$3004,$AS228)))</f>
        <v/>
      </c>
      <c r="O228" s="14">
        <f>IF($A228="","",IF(INDEX('潜水記録'!$N$5:$N$3004,$AS228)="","",INDEX('潜水記録'!$N$5:$N$3004,$AS228)))</f>
        <v/>
      </c>
      <c r="P228" s="14">
        <f>IF($A228="","",IF(INDEX('潜水記録'!$O$5:$O$3004,$AS228)="","",INDEX('潜水記録'!$O$5:$O$3004,$AS228)))</f>
        <v/>
      </c>
      <c r="Q228" s="14">
        <f>IF($A228="","",IF(INDEX('潜水記録'!$P$5:$P$3004,$AS228)="","",INDEX('潜水記録'!$P$5:$P$3004,$AS228)))</f>
        <v/>
      </c>
      <c r="R228" s="14">
        <f>IF($A228="","",IF(INDEX('潜水記録'!$Q$5:$Q$3004,$AS228)="","",INDEX('潜水記録'!$Q$5:$Q$3004,$AS228)))</f>
        <v/>
      </c>
      <c r="S228" s="14">
        <f>IF($A228="","",IF(INDEX('潜水記録'!$R$5:$R$3004,$AS228)="","",INDEX('潜水記録'!$R$5:$R$3004,$AS228)))</f>
        <v/>
      </c>
      <c r="T228" s="14">
        <f>IF($A228="","",IF(INDEX('潜水記録'!$S$5:$S$3004,$AS228)="","",INDEX('潜水記録'!$S$5:$S$3004,$AS228)))</f>
        <v/>
      </c>
      <c r="U228" s="14">
        <f>IF($A228="","",IF(INDEX('潜水記録'!$T$5:$T$3004,$AS228)="","",INDEX('潜水記録'!$T$5:$T$3004,$AS228)))</f>
        <v/>
      </c>
      <c r="V228" s="46">
        <f>IF($A228="","",IF(INDEX('潜水記録'!$U$5:$U$3004,$AS228)="","",INDEX('潜水記録'!$U$5:$U$3004,$AS228)))</f>
        <v/>
      </c>
      <c r="W228" s="46">
        <f>IF($A228="","",IF(INDEX('潜水記録'!$V$5:$V$3004,$AS228)="","",INDEX('潜水記録'!$V$5:$V$3004,$AS228)))</f>
        <v/>
      </c>
      <c r="X228" s="14">
        <f>IF($A228="","",IF(INDEX('潜水記録'!$W$5:$W$3004,$AS228)="","",INDEX('潜水記録'!$W$5:$W$3004,$AS228)))</f>
        <v/>
      </c>
      <c r="Y228" s="14">
        <f>IF($A228="","",IF(INDEX('潜水記録'!$X$5:$X$3004,$AS228)="","",INDEX('潜水記録'!$X$5:$X$3004,$AS228)))</f>
        <v/>
      </c>
      <c r="Z228" s="14">
        <f>IF($A228="","",IF(INDEX('潜水記録'!$Y$5:$Y$3004,$AS228)="","",INDEX('潜水記録'!$Y$5:$Y$3004,$AS228)))</f>
        <v/>
      </c>
      <c r="AA228" s="14">
        <f>IF($A228="","",IF(INDEX('潜水記録'!$Z$5:$Z$3004,$AS228)="","",INDEX('潜水記録'!$Z$5:$Z$3004,$AS228)))</f>
        <v/>
      </c>
      <c r="AB228" s="14">
        <f>IF($A228="","",IF(INDEX('潜水記録'!$AA$5:$AA$3004,$AS228)="","",INDEX('潜水記録'!$AA$5:$AA$3004,$AS228)))</f>
        <v/>
      </c>
      <c r="AC228" s="14">
        <f>IF($A228="","",IF(INDEX('潜水記録'!$AB$5:$AB$3004,$AS228)="","",INDEX('潜水記録'!$AB$5:$AB$3004,$AS228)))</f>
        <v/>
      </c>
      <c r="AD228" s="14">
        <f>IF($A228="","",IF(INDEX('潜水記録'!$AC$5:$AC$3004,$AS228)="","",INDEX('潜水記録'!$AC$5:$AC$3004,$AS228)))</f>
        <v/>
      </c>
      <c r="AE228" s="14">
        <f>IF($A228="","",IF(INDEX('潜水記録'!$AD$5:$AD$3004,$AS228)="","",INDEX('潜水記録'!$AD$5:$AD$3004,$AS228)))</f>
        <v/>
      </c>
      <c r="AF228" s="14">
        <f>IF($A228="","",IF(INDEX('潜水記録'!$AE$5:$AE$3004,$AS228)="","",INDEX('潜水記録'!$AE$5:$AE$3004,$AS228)))</f>
        <v/>
      </c>
      <c r="AG228" s="14">
        <f>IF($A228="","",IF(INDEX('潜水記録'!$AL$5:$AL$3004,$AS228)="","",INDEX('潜水記録'!$AL$5:$AL$3004,$AS228)))</f>
        <v/>
      </c>
      <c r="AH228" s="14">
        <f>IF($A228="","",IF(INDEX('潜水記録'!$AM$5:$AM$3004,$AS228)="","",INDEX('潜水記録'!$AM$5:$AM$3004,$AS228)))</f>
        <v/>
      </c>
      <c r="AI228" s="46">
        <f>IF($A228="","",IF(INDEX('潜水記録'!$AN$5:$AN$3004,$AS228)="","",INDEX('潜水記録'!$AN$5:$AN$3004,$AS228)))</f>
        <v/>
      </c>
      <c r="AJ228" s="14">
        <f>IF($A228="","",IF(INDEX('潜水記録'!$AO$5:$AO$3004,$AS228)="","",INDEX('潜水記録'!$AO$5:$AO$3004,$AS228)))</f>
        <v/>
      </c>
      <c r="AK228" s="14">
        <f>IF($A228="","",IF(INDEX('潜水記録'!$AP$5:$AP$3004,$AS228)="","",INDEX('潜水記録'!$AP$5:$AP$3004,$AS228)))</f>
        <v/>
      </c>
      <c r="AL228" s="14">
        <f>IF($A228="","",IF(INDEX('潜水記録'!$AQ$5:$AQ$3004,$AS228)="","",INDEX('潜水記録'!$AQ$5:$AQ$3004,$AS228)))</f>
        <v/>
      </c>
      <c r="AM228" s="14">
        <f>IF($A228="","",IF(INDEX('潜水記録'!$AR$5:$AR$3004,$AS228)="","",INDEX('潜水記録'!$AR$5:$AR$3004,$AS228)))</f>
        <v/>
      </c>
      <c r="AN228" s="14">
        <f>IF($A228="","",IF(INDEX('潜水記録'!$AS$5:$AS$3004,$AS228)="","",INDEX('潜水記録'!$AS$5:$AS$3004,$AS228)))</f>
        <v/>
      </c>
      <c r="AO228" s="14">
        <f>IF($A228="","",IF(INDEX('潜水記録'!$AT$5:$AT$3004,$AS228)="","",INDEX('潜水記録'!$AT$5:$AT$3004,$AS228)))</f>
        <v/>
      </c>
      <c r="AP228" s="14">
        <f>IF($A228="","",IF(INDEX('潜水記録'!$AU$5:$AU$3004,$AS228)="","",INDEX('潜水記録'!$AU$5:$AU$3004,$AS228)))</f>
        <v/>
      </c>
      <c r="AQ228" s="14">
        <f>IF($A228="","",IF(INDEX('潜水記録'!$AV$5:$AV$3004,$AS228)="","",INDEX('潜水記録'!$AV$5:$AV$3004,$AS228)))</f>
        <v/>
      </c>
      <c r="AR228" s="14">
        <f>IF($A228="","",IF(INDEX('潜水記録'!$AW$5:$AW$3004,$AS228)="","",INDEX('潜水記録'!$AW$5:$AW$3004,$AS228)))</f>
        <v/>
      </c>
      <c r="AS228" s="20">
        <f>IF($A228="","",MATCH($A228,'潜水記録'!$AI$5:$AI$3004,0))</f>
        <v/>
      </c>
    </row>
    <row r="229">
      <c r="A229" s="14">
        <f>IF(219&lt;=$C$8,219,"")</f>
        <v/>
      </c>
      <c r="B229" s="16">
        <f>IF($A229="","",IF(INDEX('潜水記録'!$A$5:$A$3004,$AS229)="","",INDEX('潜水記録'!$A$5:$A$3004,$AS229)))</f>
        <v/>
      </c>
      <c r="C229" s="14">
        <f>IF($A229="","",IF(INDEX('潜水記録'!$B$5:$B$3004,$AS229)="","",INDEX('潜水記録'!$B$5:$B$3004,$AS229)))</f>
        <v/>
      </c>
      <c r="D229" s="14">
        <f>IF($A229="","",IF(INDEX('潜水記録'!$C$5:$C$3004,$AS229)="","",INDEX('潜水記録'!$C$5:$C$3004,$AS229)))</f>
        <v/>
      </c>
      <c r="E229" s="14">
        <f>IF($A229="","",IF(INDEX('潜水記録'!$D$5:$D$3004,$AS229)="","",INDEX('潜水記録'!$D$5:$D$3004,$AS229)))</f>
        <v/>
      </c>
      <c r="F229" s="14">
        <f>IF($A229="","",IF(INDEX('潜水記録'!$E$5:$E$3004,$AS229)="","",INDEX('潜水記録'!$E$5:$E$3004,$AS229)))</f>
        <v/>
      </c>
      <c r="G229" s="14">
        <f>IF($A229="","",IF(INDEX('潜水記録'!$F$5:$F$3004,$AS229)="","",INDEX('潜水記録'!$F$5:$F$3004,$AS229)))</f>
        <v/>
      </c>
      <c r="H229" s="14">
        <f>IF($A229="","",IF(INDEX('潜水記録'!$G$5:$G$3004,$AS229)="","",INDEX('潜水記録'!$G$5:$G$3004,$AS229)))</f>
        <v/>
      </c>
      <c r="I229" s="14">
        <f>IF($A229="","",IF(INDEX('潜水記録'!$H$5:$H$3004,$AS229)="","",INDEX('潜水記録'!$H$5:$H$3004,$AS229)))</f>
        <v/>
      </c>
      <c r="J229" s="14">
        <f>IF($A229="","",IF(INDEX('潜水記録'!$I$5:$I$3004,$AS229)="","",INDEX('潜水記録'!$I$5:$I$3004,$AS229)))</f>
        <v/>
      </c>
      <c r="K229" s="14">
        <f>IF($A229="","",IF(INDEX('潜水記録'!$J$5:$J$3004,$AS229)="","",INDEX('潜水記録'!$J$5:$J$3004,$AS229)))</f>
        <v/>
      </c>
      <c r="L229" s="14">
        <f>IF($A229="","",IF(INDEX('潜水記録'!$K$5:$K$3004,$AS229)="","",INDEX('潜水記録'!$K$5:$K$3004,$AS229)))</f>
        <v/>
      </c>
      <c r="M229" s="14">
        <f>IF($A229="","",IF(INDEX('潜水記録'!$L$5:$L$3004,$AS229)="","",INDEX('潜水記録'!$L$5:$L$3004,$AS229)))</f>
        <v/>
      </c>
      <c r="N229" s="14">
        <f>IF($A229="","",IF(INDEX('潜水記録'!$M$5:$M$3004,$AS229)="","",INDEX('潜水記録'!$M$5:$M$3004,$AS229)))</f>
        <v/>
      </c>
      <c r="O229" s="14">
        <f>IF($A229="","",IF(INDEX('潜水記録'!$N$5:$N$3004,$AS229)="","",INDEX('潜水記録'!$N$5:$N$3004,$AS229)))</f>
        <v/>
      </c>
      <c r="P229" s="14">
        <f>IF($A229="","",IF(INDEX('潜水記録'!$O$5:$O$3004,$AS229)="","",INDEX('潜水記録'!$O$5:$O$3004,$AS229)))</f>
        <v/>
      </c>
      <c r="Q229" s="14">
        <f>IF($A229="","",IF(INDEX('潜水記録'!$P$5:$P$3004,$AS229)="","",INDEX('潜水記録'!$P$5:$P$3004,$AS229)))</f>
        <v/>
      </c>
      <c r="R229" s="14">
        <f>IF($A229="","",IF(INDEX('潜水記録'!$Q$5:$Q$3004,$AS229)="","",INDEX('潜水記録'!$Q$5:$Q$3004,$AS229)))</f>
        <v/>
      </c>
      <c r="S229" s="14">
        <f>IF($A229="","",IF(INDEX('潜水記録'!$R$5:$R$3004,$AS229)="","",INDEX('潜水記録'!$R$5:$R$3004,$AS229)))</f>
        <v/>
      </c>
      <c r="T229" s="14">
        <f>IF($A229="","",IF(INDEX('潜水記録'!$S$5:$S$3004,$AS229)="","",INDEX('潜水記録'!$S$5:$S$3004,$AS229)))</f>
        <v/>
      </c>
      <c r="U229" s="14">
        <f>IF($A229="","",IF(INDEX('潜水記録'!$T$5:$T$3004,$AS229)="","",INDEX('潜水記録'!$T$5:$T$3004,$AS229)))</f>
        <v/>
      </c>
      <c r="V229" s="46">
        <f>IF($A229="","",IF(INDEX('潜水記録'!$U$5:$U$3004,$AS229)="","",INDEX('潜水記録'!$U$5:$U$3004,$AS229)))</f>
        <v/>
      </c>
      <c r="W229" s="46">
        <f>IF($A229="","",IF(INDEX('潜水記録'!$V$5:$V$3004,$AS229)="","",INDEX('潜水記録'!$V$5:$V$3004,$AS229)))</f>
        <v/>
      </c>
      <c r="X229" s="14">
        <f>IF($A229="","",IF(INDEX('潜水記録'!$W$5:$W$3004,$AS229)="","",INDEX('潜水記録'!$W$5:$W$3004,$AS229)))</f>
        <v/>
      </c>
      <c r="Y229" s="14">
        <f>IF($A229="","",IF(INDEX('潜水記録'!$X$5:$X$3004,$AS229)="","",INDEX('潜水記録'!$X$5:$X$3004,$AS229)))</f>
        <v/>
      </c>
      <c r="Z229" s="14">
        <f>IF($A229="","",IF(INDEX('潜水記録'!$Y$5:$Y$3004,$AS229)="","",INDEX('潜水記録'!$Y$5:$Y$3004,$AS229)))</f>
        <v/>
      </c>
      <c r="AA229" s="14">
        <f>IF($A229="","",IF(INDEX('潜水記録'!$Z$5:$Z$3004,$AS229)="","",INDEX('潜水記録'!$Z$5:$Z$3004,$AS229)))</f>
        <v/>
      </c>
      <c r="AB229" s="14">
        <f>IF($A229="","",IF(INDEX('潜水記録'!$AA$5:$AA$3004,$AS229)="","",INDEX('潜水記録'!$AA$5:$AA$3004,$AS229)))</f>
        <v/>
      </c>
      <c r="AC229" s="14">
        <f>IF($A229="","",IF(INDEX('潜水記録'!$AB$5:$AB$3004,$AS229)="","",INDEX('潜水記録'!$AB$5:$AB$3004,$AS229)))</f>
        <v/>
      </c>
      <c r="AD229" s="14">
        <f>IF($A229="","",IF(INDEX('潜水記録'!$AC$5:$AC$3004,$AS229)="","",INDEX('潜水記録'!$AC$5:$AC$3004,$AS229)))</f>
        <v/>
      </c>
      <c r="AE229" s="14">
        <f>IF($A229="","",IF(INDEX('潜水記録'!$AD$5:$AD$3004,$AS229)="","",INDEX('潜水記録'!$AD$5:$AD$3004,$AS229)))</f>
        <v/>
      </c>
      <c r="AF229" s="14">
        <f>IF($A229="","",IF(INDEX('潜水記録'!$AE$5:$AE$3004,$AS229)="","",INDEX('潜水記録'!$AE$5:$AE$3004,$AS229)))</f>
        <v/>
      </c>
      <c r="AG229" s="14">
        <f>IF($A229="","",IF(INDEX('潜水記録'!$AL$5:$AL$3004,$AS229)="","",INDEX('潜水記録'!$AL$5:$AL$3004,$AS229)))</f>
        <v/>
      </c>
      <c r="AH229" s="14">
        <f>IF($A229="","",IF(INDEX('潜水記録'!$AM$5:$AM$3004,$AS229)="","",INDEX('潜水記録'!$AM$5:$AM$3004,$AS229)))</f>
        <v/>
      </c>
      <c r="AI229" s="46">
        <f>IF($A229="","",IF(INDEX('潜水記録'!$AN$5:$AN$3004,$AS229)="","",INDEX('潜水記録'!$AN$5:$AN$3004,$AS229)))</f>
        <v/>
      </c>
      <c r="AJ229" s="14">
        <f>IF($A229="","",IF(INDEX('潜水記録'!$AO$5:$AO$3004,$AS229)="","",INDEX('潜水記録'!$AO$5:$AO$3004,$AS229)))</f>
        <v/>
      </c>
      <c r="AK229" s="14">
        <f>IF($A229="","",IF(INDEX('潜水記録'!$AP$5:$AP$3004,$AS229)="","",INDEX('潜水記録'!$AP$5:$AP$3004,$AS229)))</f>
        <v/>
      </c>
      <c r="AL229" s="14">
        <f>IF($A229="","",IF(INDEX('潜水記録'!$AQ$5:$AQ$3004,$AS229)="","",INDEX('潜水記録'!$AQ$5:$AQ$3004,$AS229)))</f>
        <v/>
      </c>
      <c r="AM229" s="14">
        <f>IF($A229="","",IF(INDEX('潜水記録'!$AR$5:$AR$3004,$AS229)="","",INDEX('潜水記録'!$AR$5:$AR$3004,$AS229)))</f>
        <v/>
      </c>
      <c r="AN229" s="14">
        <f>IF($A229="","",IF(INDEX('潜水記録'!$AS$5:$AS$3004,$AS229)="","",INDEX('潜水記録'!$AS$5:$AS$3004,$AS229)))</f>
        <v/>
      </c>
      <c r="AO229" s="14">
        <f>IF($A229="","",IF(INDEX('潜水記録'!$AT$5:$AT$3004,$AS229)="","",INDEX('潜水記録'!$AT$5:$AT$3004,$AS229)))</f>
        <v/>
      </c>
      <c r="AP229" s="14">
        <f>IF($A229="","",IF(INDEX('潜水記録'!$AU$5:$AU$3004,$AS229)="","",INDEX('潜水記録'!$AU$5:$AU$3004,$AS229)))</f>
        <v/>
      </c>
      <c r="AQ229" s="14">
        <f>IF($A229="","",IF(INDEX('潜水記録'!$AV$5:$AV$3004,$AS229)="","",INDEX('潜水記録'!$AV$5:$AV$3004,$AS229)))</f>
        <v/>
      </c>
      <c r="AR229" s="14">
        <f>IF($A229="","",IF(INDEX('潜水記録'!$AW$5:$AW$3004,$AS229)="","",INDEX('潜水記録'!$AW$5:$AW$3004,$AS229)))</f>
        <v/>
      </c>
      <c r="AS229" s="20">
        <f>IF($A229="","",MATCH($A229,'潜水記録'!$AI$5:$AI$3004,0))</f>
        <v/>
      </c>
    </row>
    <row r="230">
      <c r="A230" s="14">
        <f>IF(220&lt;=$C$8,220,"")</f>
        <v/>
      </c>
      <c r="B230" s="16">
        <f>IF($A230="","",IF(INDEX('潜水記録'!$A$5:$A$3004,$AS230)="","",INDEX('潜水記録'!$A$5:$A$3004,$AS230)))</f>
        <v/>
      </c>
      <c r="C230" s="14">
        <f>IF($A230="","",IF(INDEX('潜水記録'!$B$5:$B$3004,$AS230)="","",INDEX('潜水記録'!$B$5:$B$3004,$AS230)))</f>
        <v/>
      </c>
      <c r="D230" s="14">
        <f>IF($A230="","",IF(INDEX('潜水記録'!$C$5:$C$3004,$AS230)="","",INDEX('潜水記録'!$C$5:$C$3004,$AS230)))</f>
        <v/>
      </c>
      <c r="E230" s="14">
        <f>IF($A230="","",IF(INDEX('潜水記録'!$D$5:$D$3004,$AS230)="","",INDEX('潜水記録'!$D$5:$D$3004,$AS230)))</f>
        <v/>
      </c>
      <c r="F230" s="14">
        <f>IF($A230="","",IF(INDEX('潜水記録'!$E$5:$E$3004,$AS230)="","",INDEX('潜水記録'!$E$5:$E$3004,$AS230)))</f>
        <v/>
      </c>
      <c r="G230" s="14">
        <f>IF($A230="","",IF(INDEX('潜水記録'!$F$5:$F$3004,$AS230)="","",INDEX('潜水記録'!$F$5:$F$3004,$AS230)))</f>
        <v/>
      </c>
      <c r="H230" s="14">
        <f>IF($A230="","",IF(INDEX('潜水記録'!$G$5:$G$3004,$AS230)="","",INDEX('潜水記録'!$G$5:$G$3004,$AS230)))</f>
        <v/>
      </c>
      <c r="I230" s="14">
        <f>IF($A230="","",IF(INDEX('潜水記録'!$H$5:$H$3004,$AS230)="","",INDEX('潜水記録'!$H$5:$H$3004,$AS230)))</f>
        <v/>
      </c>
      <c r="J230" s="14">
        <f>IF($A230="","",IF(INDEX('潜水記録'!$I$5:$I$3004,$AS230)="","",INDEX('潜水記録'!$I$5:$I$3004,$AS230)))</f>
        <v/>
      </c>
      <c r="K230" s="14">
        <f>IF($A230="","",IF(INDEX('潜水記録'!$J$5:$J$3004,$AS230)="","",INDEX('潜水記録'!$J$5:$J$3004,$AS230)))</f>
        <v/>
      </c>
      <c r="L230" s="14">
        <f>IF($A230="","",IF(INDEX('潜水記録'!$K$5:$K$3004,$AS230)="","",INDEX('潜水記録'!$K$5:$K$3004,$AS230)))</f>
        <v/>
      </c>
      <c r="M230" s="14">
        <f>IF($A230="","",IF(INDEX('潜水記録'!$L$5:$L$3004,$AS230)="","",INDEX('潜水記録'!$L$5:$L$3004,$AS230)))</f>
        <v/>
      </c>
      <c r="N230" s="14">
        <f>IF($A230="","",IF(INDEX('潜水記録'!$M$5:$M$3004,$AS230)="","",INDEX('潜水記録'!$M$5:$M$3004,$AS230)))</f>
        <v/>
      </c>
      <c r="O230" s="14">
        <f>IF($A230="","",IF(INDEX('潜水記録'!$N$5:$N$3004,$AS230)="","",INDEX('潜水記録'!$N$5:$N$3004,$AS230)))</f>
        <v/>
      </c>
      <c r="P230" s="14">
        <f>IF($A230="","",IF(INDEX('潜水記録'!$O$5:$O$3004,$AS230)="","",INDEX('潜水記録'!$O$5:$O$3004,$AS230)))</f>
        <v/>
      </c>
      <c r="Q230" s="14">
        <f>IF($A230="","",IF(INDEX('潜水記録'!$P$5:$P$3004,$AS230)="","",INDEX('潜水記録'!$P$5:$P$3004,$AS230)))</f>
        <v/>
      </c>
      <c r="R230" s="14">
        <f>IF($A230="","",IF(INDEX('潜水記録'!$Q$5:$Q$3004,$AS230)="","",INDEX('潜水記録'!$Q$5:$Q$3004,$AS230)))</f>
        <v/>
      </c>
      <c r="S230" s="14">
        <f>IF($A230="","",IF(INDEX('潜水記録'!$R$5:$R$3004,$AS230)="","",INDEX('潜水記録'!$R$5:$R$3004,$AS230)))</f>
        <v/>
      </c>
      <c r="T230" s="14">
        <f>IF($A230="","",IF(INDEX('潜水記録'!$S$5:$S$3004,$AS230)="","",INDEX('潜水記録'!$S$5:$S$3004,$AS230)))</f>
        <v/>
      </c>
      <c r="U230" s="14">
        <f>IF($A230="","",IF(INDEX('潜水記録'!$T$5:$T$3004,$AS230)="","",INDEX('潜水記録'!$T$5:$T$3004,$AS230)))</f>
        <v/>
      </c>
      <c r="V230" s="46">
        <f>IF($A230="","",IF(INDEX('潜水記録'!$U$5:$U$3004,$AS230)="","",INDEX('潜水記録'!$U$5:$U$3004,$AS230)))</f>
        <v/>
      </c>
      <c r="W230" s="46">
        <f>IF($A230="","",IF(INDEX('潜水記録'!$V$5:$V$3004,$AS230)="","",INDEX('潜水記録'!$V$5:$V$3004,$AS230)))</f>
        <v/>
      </c>
      <c r="X230" s="14">
        <f>IF($A230="","",IF(INDEX('潜水記録'!$W$5:$W$3004,$AS230)="","",INDEX('潜水記録'!$W$5:$W$3004,$AS230)))</f>
        <v/>
      </c>
      <c r="Y230" s="14">
        <f>IF($A230="","",IF(INDEX('潜水記録'!$X$5:$X$3004,$AS230)="","",INDEX('潜水記録'!$X$5:$X$3004,$AS230)))</f>
        <v/>
      </c>
      <c r="Z230" s="14">
        <f>IF($A230="","",IF(INDEX('潜水記録'!$Y$5:$Y$3004,$AS230)="","",INDEX('潜水記録'!$Y$5:$Y$3004,$AS230)))</f>
        <v/>
      </c>
      <c r="AA230" s="14">
        <f>IF($A230="","",IF(INDEX('潜水記録'!$Z$5:$Z$3004,$AS230)="","",INDEX('潜水記録'!$Z$5:$Z$3004,$AS230)))</f>
        <v/>
      </c>
      <c r="AB230" s="14">
        <f>IF($A230="","",IF(INDEX('潜水記録'!$AA$5:$AA$3004,$AS230)="","",INDEX('潜水記録'!$AA$5:$AA$3004,$AS230)))</f>
        <v/>
      </c>
      <c r="AC230" s="14">
        <f>IF($A230="","",IF(INDEX('潜水記録'!$AB$5:$AB$3004,$AS230)="","",INDEX('潜水記録'!$AB$5:$AB$3004,$AS230)))</f>
        <v/>
      </c>
      <c r="AD230" s="14">
        <f>IF($A230="","",IF(INDEX('潜水記録'!$AC$5:$AC$3004,$AS230)="","",INDEX('潜水記録'!$AC$5:$AC$3004,$AS230)))</f>
        <v/>
      </c>
      <c r="AE230" s="14">
        <f>IF($A230="","",IF(INDEX('潜水記録'!$AD$5:$AD$3004,$AS230)="","",INDEX('潜水記録'!$AD$5:$AD$3004,$AS230)))</f>
        <v/>
      </c>
      <c r="AF230" s="14">
        <f>IF($A230="","",IF(INDEX('潜水記録'!$AE$5:$AE$3004,$AS230)="","",INDEX('潜水記録'!$AE$5:$AE$3004,$AS230)))</f>
        <v/>
      </c>
      <c r="AG230" s="14">
        <f>IF($A230="","",IF(INDEX('潜水記録'!$AL$5:$AL$3004,$AS230)="","",INDEX('潜水記録'!$AL$5:$AL$3004,$AS230)))</f>
        <v/>
      </c>
      <c r="AH230" s="14">
        <f>IF($A230="","",IF(INDEX('潜水記録'!$AM$5:$AM$3004,$AS230)="","",INDEX('潜水記録'!$AM$5:$AM$3004,$AS230)))</f>
        <v/>
      </c>
      <c r="AI230" s="46">
        <f>IF($A230="","",IF(INDEX('潜水記録'!$AN$5:$AN$3004,$AS230)="","",INDEX('潜水記録'!$AN$5:$AN$3004,$AS230)))</f>
        <v/>
      </c>
      <c r="AJ230" s="14">
        <f>IF($A230="","",IF(INDEX('潜水記録'!$AO$5:$AO$3004,$AS230)="","",INDEX('潜水記録'!$AO$5:$AO$3004,$AS230)))</f>
        <v/>
      </c>
      <c r="AK230" s="14">
        <f>IF($A230="","",IF(INDEX('潜水記録'!$AP$5:$AP$3004,$AS230)="","",INDEX('潜水記録'!$AP$5:$AP$3004,$AS230)))</f>
        <v/>
      </c>
      <c r="AL230" s="14">
        <f>IF($A230="","",IF(INDEX('潜水記録'!$AQ$5:$AQ$3004,$AS230)="","",INDEX('潜水記録'!$AQ$5:$AQ$3004,$AS230)))</f>
        <v/>
      </c>
      <c r="AM230" s="14">
        <f>IF($A230="","",IF(INDEX('潜水記録'!$AR$5:$AR$3004,$AS230)="","",INDEX('潜水記録'!$AR$5:$AR$3004,$AS230)))</f>
        <v/>
      </c>
      <c r="AN230" s="14">
        <f>IF($A230="","",IF(INDEX('潜水記録'!$AS$5:$AS$3004,$AS230)="","",INDEX('潜水記録'!$AS$5:$AS$3004,$AS230)))</f>
        <v/>
      </c>
      <c r="AO230" s="14">
        <f>IF($A230="","",IF(INDEX('潜水記録'!$AT$5:$AT$3004,$AS230)="","",INDEX('潜水記録'!$AT$5:$AT$3004,$AS230)))</f>
        <v/>
      </c>
      <c r="AP230" s="14">
        <f>IF($A230="","",IF(INDEX('潜水記録'!$AU$5:$AU$3004,$AS230)="","",INDEX('潜水記録'!$AU$5:$AU$3004,$AS230)))</f>
        <v/>
      </c>
      <c r="AQ230" s="14">
        <f>IF($A230="","",IF(INDEX('潜水記録'!$AV$5:$AV$3004,$AS230)="","",INDEX('潜水記録'!$AV$5:$AV$3004,$AS230)))</f>
        <v/>
      </c>
      <c r="AR230" s="14">
        <f>IF($A230="","",IF(INDEX('潜水記録'!$AW$5:$AW$3004,$AS230)="","",INDEX('潜水記録'!$AW$5:$AW$3004,$AS230)))</f>
        <v/>
      </c>
      <c r="AS230" s="20">
        <f>IF($A230="","",MATCH($A230,'潜水記録'!$AI$5:$AI$3004,0))</f>
        <v/>
      </c>
    </row>
    <row r="231">
      <c r="A231" s="14">
        <f>IF(221&lt;=$C$8,221,"")</f>
        <v/>
      </c>
      <c r="B231" s="16">
        <f>IF($A231="","",IF(INDEX('潜水記録'!$A$5:$A$3004,$AS231)="","",INDEX('潜水記録'!$A$5:$A$3004,$AS231)))</f>
        <v/>
      </c>
      <c r="C231" s="14">
        <f>IF($A231="","",IF(INDEX('潜水記録'!$B$5:$B$3004,$AS231)="","",INDEX('潜水記録'!$B$5:$B$3004,$AS231)))</f>
        <v/>
      </c>
      <c r="D231" s="14">
        <f>IF($A231="","",IF(INDEX('潜水記録'!$C$5:$C$3004,$AS231)="","",INDEX('潜水記録'!$C$5:$C$3004,$AS231)))</f>
        <v/>
      </c>
      <c r="E231" s="14">
        <f>IF($A231="","",IF(INDEX('潜水記録'!$D$5:$D$3004,$AS231)="","",INDEX('潜水記録'!$D$5:$D$3004,$AS231)))</f>
        <v/>
      </c>
      <c r="F231" s="14">
        <f>IF($A231="","",IF(INDEX('潜水記録'!$E$5:$E$3004,$AS231)="","",INDEX('潜水記録'!$E$5:$E$3004,$AS231)))</f>
        <v/>
      </c>
      <c r="G231" s="14">
        <f>IF($A231="","",IF(INDEX('潜水記録'!$F$5:$F$3004,$AS231)="","",INDEX('潜水記録'!$F$5:$F$3004,$AS231)))</f>
        <v/>
      </c>
      <c r="H231" s="14">
        <f>IF($A231="","",IF(INDEX('潜水記録'!$G$5:$G$3004,$AS231)="","",INDEX('潜水記録'!$G$5:$G$3004,$AS231)))</f>
        <v/>
      </c>
      <c r="I231" s="14">
        <f>IF($A231="","",IF(INDEX('潜水記録'!$H$5:$H$3004,$AS231)="","",INDEX('潜水記録'!$H$5:$H$3004,$AS231)))</f>
        <v/>
      </c>
      <c r="J231" s="14">
        <f>IF($A231="","",IF(INDEX('潜水記録'!$I$5:$I$3004,$AS231)="","",INDEX('潜水記録'!$I$5:$I$3004,$AS231)))</f>
        <v/>
      </c>
      <c r="K231" s="14">
        <f>IF($A231="","",IF(INDEX('潜水記録'!$J$5:$J$3004,$AS231)="","",INDEX('潜水記録'!$J$5:$J$3004,$AS231)))</f>
        <v/>
      </c>
      <c r="L231" s="14">
        <f>IF($A231="","",IF(INDEX('潜水記録'!$K$5:$K$3004,$AS231)="","",INDEX('潜水記録'!$K$5:$K$3004,$AS231)))</f>
        <v/>
      </c>
      <c r="M231" s="14">
        <f>IF($A231="","",IF(INDEX('潜水記録'!$L$5:$L$3004,$AS231)="","",INDEX('潜水記録'!$L$5:$L$3004,$AS231)))</f>
        <v/>
      </c>
      <c r="N231" s="14">
        <f>IF($A231="","",IF(INDEX('潜水記録'!$M$5:$M$3004,$AS231)="","",INDEX('潜水記録'!$M$5:$M$3004,$AS231)))</f>
        <v/>
      </c>
      <c r="O231" s="14">
        <f>IF($A231="","",IF(INDEX('潜水記録'!$N$5:$N$3004,$AS231)="","",INDEX('潜水記録'!$N$5:$N$3004,$AS231)))</f>
        <v/>
      </c>
      <c r="P231" s="14">
        <f>IF($A231="","",IF(INDEX('潜水記録'!$O$5:$O$3004,$AS231)="","",INDEX('潜水記録'!$O$5:$O$3004,$AS231)))</f>
        <v/>
      </c>
      <c r="Q231" s="14">
        <f>IF($A231="","",IF(INDEX('潜水記録'!$P$5:$P$3004,$AS231)="","",INDEX('潜水記録'!$P$5:$P$3004,$AS231)))</f>
        <v/>
      </c>
      <c r="R231" s="14">
        <f>IF($A231="","",IF(INDEX('潜水記録'!$Q$5:$Q$3004,$AS231)="","",INDEX('潜水記録'!$Q$5:$Q$3004,$AS231)))</f>
        <v/>
      </c>
      <c r="S231" s="14">
        <f>IF($A231="","",IF(INDEX('潜水記録'!$R$5:$R$3004,$AS231)="","",INDEX('潜水記録'!$R$5:$R$3004,$AS231)))</f>
        <v/>
      </c>
      <c r="T231" s="14">
        <f>IF($A231="","",IF(INDEX('潜水記録'!$S$5:$S$3004,$AS231)="","",INDEX('潜水記録'!$S$5:$S$3004,$AS231)))</f>
        <v/>
      </c>
      <c r="U231" s="14">
        <f>IF($A231="","",IF(INDEX('潜水記録'!$T$5:$T$3004,$AS231)="","",INDEX('潜水記録'!$T$5:$T$3004,$AS231)))</f>
        <v/>
      </c>
      <c r="V231" s="46">
        <f>IF($A231="","",IF(INDEX('潜水記録'!$U$5:$U$3004,$AS231)="","",INDEX('潜水記録'!$U$5:$U$3004,$AS231)))</f>
        <v/>
      </c>
      <c r="W231" s="46">
        <f>IF($A231="","",IF(INDEX('潜水記録'!$V$5:$V$3004,$AS231)="","",INDEX('潜水記録'!$V$5:$V$3004,$AS231)))</f>
        <v/>
      </c>
      <c r="X231" s="14">
        <f>IF($A231="","",IF(INDEX('潜水記録'!$W$5:$W$3004,$AS231)="","",INDEX('潜水記録'!$W$5:$W$3004,$AS231)))</f>
        <v/>
      </c>
      <c r="Y231" s="14">
        <f>IF($A231="","",IF(INDEX('潜水記録'!$X$5:$X$3004,$AS231)="","",INDEX('潜水記録'!$X$5:$X$3004,$AS231)))</f>
        <v/>
      </c>
      <c r="Z231" s="14">
        <f>IF($A231="","",IF(INDEX('潜水記録'!$Y$5:$Y$3004,$AS231)="","",INDEX('潜水記録'!$Y$5:$Y$3004,$AS231)))</f>
        <v/>
      </c>
      <c r="AA231" s="14">
        <f>IF($A231="","",IF(INDEX('潜水記録'!$Z$5:$Z$3004,$AS231)="","",INDEX('潜水記録'!$Z$5:$Z$3004,$AS231)))</f>
        <v/>
      </c>
      <c r="AB231" s="14">
        <f>IF($A231="","",IF(INDEX('潜水記録'!$AA$5:$AA$3004,$AS231)="","",INDEX('潜水記録'!$AA$5:$AA$3004,$AS231)))</f>
        <v/>
      </c>
      <c r="AC231" s="14">
        <f>IF($A231="","",IF(INDEX('潜水記録'!$AB$5:$AB$3004,$AS231)="","",INDEX('潜水記録'!$AB$5:$AB$3004,$AS231)))</f>
        <v/>
      </c>
      <c r="AD231" s="14">
        <f>IF($A231="","",IF(INDEX('潜水記録'!$AC$5:$AC$3004,$AS231)="","",INDEX('潜水記録'!$AC$5:$AC$3004,$AS231)))</f>
        <v/>
      </c>
      <c r="AE231" s="14">
        <f>IF($A231="","",IF(INDEX('潜水記録'!$AD$5:$AD$3004,$AS231)="","",INDEX('潜水記録'!$AD$5:$AD$3004,$AS231)))</f>
        <v/>
      </c>
      <c r="AF231" s="14">
        <f>IF($A231="","",IF(INDEX('潜水記録'!$AE$5:$AE$3004,$AS231)="","",INDEX('潜水記録'!$AE$5:$AE$3004,$AS231)))</f>
        <v/>
      </c>
      <c r="AG231" s="14">
        <f>IF($A231="","",IF(INDEX('潜水記録'!$AL$5:$AL$3004,$AS231)="","",INDEX('潜水記録'!$AL$5:$AL$3004,$AS231)))</f>
        <v/>
      </c>
      <c r="AH231" s="14">
        <f>IF($A231="","",IF(INDEX('潜水記録'!$AM$5:$AM$3004,$AS231)="","",INDEX('潜水記録'!$AM$5:$AM$3004,$AS231)))</f>
        <v/>
      </c>
      <c r="AI231" s="46">
        <f>IF($A231="","",IF(INDEX('潜水記録'!$AN$5:$AN$3004,$AS231)="","",INDEX('潜水記録'!$AN$5:$AN$3004,$AS231)))</f>
        <v/>
      </c>
      <c r="AJ231" s="14">
        <f>IF($A231="","",IF(INDEX('潜水記録'!$AO$5:$AO$3004,$AS231)="","",INDEX('潜水記録'!$AO$5:$AO$3004,$AS231)))</f>
        <v/>
      </c>
      <c r="AK231" s="14">
        <f>IF($A231="","",IF(INDEX('潜水記録'!$AP$5:$AP$3004,$AS231)="","",INDEX('潜水記録'!$AP$5:$AP$3004,$AS231)))</f>
        <v/>
      </c>
      <c r="AL231" s="14">
        <f>IF($A231="","",IF(INDEX('潜水記録'!$AQ$5:$AQ$3004,$AS231)="","",INDEX('潜水記録'!$AQ$5:$AQ$3004,$AS231)))</f>
        <v/>
      </c>
      <c r="AM231" s="14">
        <f>IF($A231="","",IF(INDEX('潜水記録'!$AR$5:$AR$3004,$AS231)="","",INDEX('潜水記録'!$AR$5:$AR$3004,$AS231)))</f>
        <v/>
      </c>
      <c r="AN231" s="14">
        <f>IF($A231="","",IF(INDEX('潜水記録'!$AS$5:$AS$3004,$AS231)="","",INDEX('潜水記録'!$AS$5:$AS$3004,$AS231)))</f>
        <v/>
      </c>
      <c r="AO231" s="14">
        <f>IF($A231="","",IF(INDEX('潜水記録'!$AT$5:$AT$3004,$AS231)="","",INDEX('潜水記録'!$AT$5:$AT$3004,$AS231)))</f>
        <v/>
      </c>
      <c r="AP231" s="14">
        <f>IF($A231="","",IF(INDEX('潜水記録'!$AU$5:$AU$3004,$AS231)="","",INDEX('潜水記録'!$AU$5:$AU$3004,$AS231)))</f>
        <v/>
      </c>
      <c r="AQ231" s="14">
        <f>IF($A231="","",IF(INDEX('潜水記録'!$AV$5:$AV$3004,$AS231)="","",INDEX('潜水記録'!$AV$5:$AV$3004,$AS231)))</f>
        <v/>
      </c>
      <c r="AR231" s="14">
        <f>IF($A231="","",IF(INDEX('潜水記録'!$AW$5:$AW$3004,$AS231)="","",INDEX('潜水記録'!$AW$5:$AW$3004,$AS231)))</f>
        <v/>
      </c>
      <c r="AS231" s="20">
        <f>IF($A231="","",MATCH($A231,'潜水記録'!$AI$5:$AI$3004,0))</f>
        <v/>
      </c>
    </row>
    <row r="232">
      <c r="A232" s="14">
        <f>IF(222&lt;=$C$8,222,"")</f>
        <v/>
      </c>
      <c r="B232" s="16">
        <f>IF($A232="","",IF(INDEX('潜水記録'!$A$5:$A$3004,$AS232)="","",INDEX('潜水記録'!$A$5:$A$3004,$AS232)))</f>
        <v/>
      </c>
      <c r="C232" s="14">
        <f>IF($A232="","",IF(INDEX('潜水記録'!$B$5:$B$3004,$AS232)="","",INDEX('潜水記録'!$B$5:$B$3004,$AS232)))</f>
        <v/>
      </c>
      <c r="D232" s="14">
        <f>IF($A232="","",IF(INDEX('潜水記録'!$C$5:$C$3004,$AS232)="","",INDEX('潜水記録'!$C$5:$C$3004,$AS232)))</f>
        <v/>
      </c>
      <c r="E232" s="14">
        <f>IF($A232="","",IF(INDEX('潜水記録'!$D$5:$D$3004,$AS232)="","",INDEX('潜水記録'!$D$5:$D$3004,$AS232)))</f>
        <v/>
      </c>
      <c r="F232" s="14">
        <f>IF($A232="","",IF(INDEX('潜水記録'!$E$5:$E$3004,$AS232)="","",INDEX('潜水記録'!$E$5:$E$3004,$AS232)))</f>
        <v/>
      </c>
      <c r="G232" s="14">
        <f>IF($A232="","",IF(INDEX('潜水記録'!$F$5:$F$3004,$AS232)="","",INDEX('潜水記録'!$F$5:$F$3004,$AS232)))</f>
        <v/>
      </c>
      <c r="H232" s="14">
        <f>IF($A232="","",IF(INDEX('潜水記録'!$G$5:$G$3004,$AS232)="","",INDEX('潜水記録'!$G$5:$G$3004,$AS232)))</f>
        <v/>
      </c>
      <c r="I232" s="14">
        <f>IF($A232="","",IF(INDEX('潜水記録'!$H$5:$H$3004,$AS232)="","",INDEX('潜水記録'!$H$5:$H$3004,$AS232)))</f>
        <v/>
      </c>
      <c r="J232" s="14">
        <f>IF($A232="","",IF(INDEX('潜水記録'!$I$5:$I$3004,$AS232)="","",INDEX('潜水記録'!$I$5:$I$3004,$AS232)))</f>
        <v/>
      </c>
      <c r="K232" s="14">
        <f>IF($A232="","",IF(INDEX('潜水記録'!$J$5:$J$3004,$AS232)="","",INDEX('潜水記録'!$J$5:$J$3004,$AS232)))</f>
        <v/>
      </c>
      <c r="L232" s="14">
        <f>IF($A232="","",IF(INDEX('潜水記録'!$K$5:$K$3004,$AS232)="","",INDEX('潜水記録'!$K$5:$K$3004,$AS232)))</f>
        <v/>
      </c>
      <c r="M232" s="14">
        <f>IF($A232="","",IF(INDEX('潜水記録'!$L$5:$L$3004,$AS232)="","",INDEX('潜水記録'!$L$5:$L$3004,$AS232)))</f>
        <v/>
      </c>
      <c r="N232" s="14">
        <f>IF($A232="","",IF(INDEX('潜水記録'!$M$5:$M$3004,$AS232)="","",INDEX('潜水記録'!$M$5:$M$3004,$AS232)))</f>
        <v/>
      </c>
      <c r="O232" s="14">
        <f>IF($A232="","",IF(INDEX('潜水記録'!$N$5:$N$3004,$AS232)="","",INDEX('潜水記録'!$N$5:$N$3004,$AS232)))</f>
        <v/>
      </c>
      <c r="P232" s="14">
        <f>IF($A232="","",IF(INDEX('潜水記録'!$O$5:$O$3004,$AS232)="","",INDEX('潜水記録'!$O$5:$O$3004,$AS232)))</f>
        <v/>
      </c>
      <c r="Q232" s="14">
        <f>IF($A232="","",IF(INDEX('潜水記録'!$P$5:$P$3004,$AS232)="","",INDEX('潜水記録'!$P$5:$P$3004,$AS232)))</f>
        <v/>
      </c>
      <c r="R232" s="14">
        <f>IF($A232="","",IF(INDEX('潜水記録'!$Q$5:$Q$3004,$AS232)="","",INDEX('潜水記録'!$Q$5:$Q$3004,$AS232)))</f>
        <v/>
      </c>
      <c r="S232" s="14">
        <f>IF($A232="","",IF(INDEX('潜水記録'!$R$5:$R$3004,$AS232)="","",INDEX('潜水記録'!$R$5:$R$3004,$AS232)))</f>
        <v/>
      </c>
      <c r="T232" s="14">
        <f>IF($A232="","",IF(INDEX('潜水記録'!$S$5:$S$3004,$AS232)="","",INDEX('潜水記録'!$S$5:$S$3004,$AS232)))</f>
        <v/>
      </c>
      <c r="U232" s="14">
        <f>IF($A232="","",IF(INDEX('潜水記録'!$T$5:$T$3004,$AS232)="","",INDEX('潜水記録'!$T$5:$T$3004,$AS232)))</f>
        <v/>
      </c>
      <c r="V232" s="46">
        <f>IF($A232="","",IF(INDEX('潜水記録'!$U$5:$U$3004,$AS232)="","",INDEX('潜水記録'!$U$5:$U$3004,$AS232)))</f>
        <v/>
      </c>
      <c r="W232" s="46">
        <f>IF($A232="","",IF(INDEX('潜水記録'!$V$5:$V$3004,$AS232)="","",INDEX('潜水記録'!$V$5:$V$3004,$AS232)))</f>
        <v/>
      </c>
      <c r="X232" s="14">
        <f>IF($A232="","",IF(INDEX('潜水記録'!$W$5:$W$3004,$AS232)="","",INDEX('潜水記録'!$W$5:$W$3004,$AS232)))</f>
        <v/>
      </c>
      <c r="Y232" s="14">
        <f>IF($A232="","",IF(INDEX('潜水記録'!$X$5:$X$3004,$AS232)="","",INDEX('潜水記録'!$X$5:$X$3004,$AS232)))</f>
        <v/>
      </c>
      <c r="Z232" s="14">
        <f>IF($A232="","",IF(INDEX('潜水記録'!$Y$5:$Y$3004,$AS232)="","",INDEX('潜水記録'!$Y$5:$Y$3004,$AS232)))</f>
        <v/>
      </c>
      <c r="AA232" s="14">
        <f>IF($A232="","",IF(INDEX('潜水記録'!$Z$5:$Z$3004,$AS232)="","",INDEX('潜水記録'!$Z$5:$Z$3004,$AS232)))</f>
        <v/>
      </c>
      <c r="AB232" s="14">
        <f>IF($A232="","",IF(INDEX('潜水記録'!$AA$5:$AA$3004,$AS232)="","",INDEX('潜水記録'!$AA$5:$AA$3004,$AS232)))</f>
        <v/>
      </c>
      <c r="AC232" s="14">
        <f>IF($A232="","",IF(INDEX('潜水記録'!$AB$5:$AB$3004,$AS232)="","",INDEX('潜水記録'!$AB$5:$AB$3004,$AS232)))</f>
        <v/>
      </c>
      <c r="AD232" s="14">
        <f>IF($A232="","",IF(INDEX('潜水記録'!$AC$5:$AC$3004,$AS232)="","",INDEX('潜水記録'!$AC$5:$AC$3004,$AS232)))</f>
        <v/>
      </c>
      <c r="AE232" s="14">
        <f>IF($A232="","",IF(INDEX('潜水記録'!$AD$5:$AD$3004,$AS232)="","",INDEX('潜水記録'!$AD$5:$AD$3004,$AS232)))</f>
        <v/>
      </c>
      <c r="AF232" s="14">
        <f>IF($A232="","",IF(INDEX('潜水記録'!$AE$5:$AE$3004,$AS232)="","",INDEX('潜水記録'!$AE$5:$AE$3004,$AS232)))</f>
        <v/>
      </c>
      <c r="AG232" s="14">
        <f>IF($A232="","",IF(INDEX('潜水記録'!$AL$5:$AL$3004,$AS232)="","",INDEX('潜水記録'!$AL$5:$AL$3004,$AS232)))</f>
        <v/>
      </c>
      <c r="AH232" s="14">
        <f>IF($A232="","",IF(INDEX('潜水記録'!$AM$5:$AM$3004,$AS232)="","",INDEX('潜水記録'!$AM$5:$AM$3004,$AS232)))</f>
        <v/>
      </c>
      <c r="AI232" s="46">
        <f>IF($A232="","",IF(INDEX('潜水記録'!$AN$5:$AN$3004,$AS232)="","",INDEX('潜水記録'!$AN$5:$AN$3004,$AS232)))</f>
        <v/>
      </c>
      <c r="AJ232" s="14">
        <f>IF($A232="","",IF(INDEX('潜水記録'!$AO$5:$AO$3004,$AS232)="","",INDEX('潜水記録'!$AO$5:$AO$3004,$AS232)))</f>
        <v/>
      </c>
      <c r="AK232" s="14">
        <f>IF($A232="","",IF(INDEX('潜水記録'!$AP$5:$AP$3004,$AS232)="","",INDEX('潜水記録'!$AP$5:$AP$3004,$AS232)))</f>
        <v/>
      </c>
      <c r="AL232" s="14">
        <f>IF($A232="","",IF(INDEX('潜水記録'!$AQ$5:$AQ$3004,$AS232)="","",INDEX('潜水記録'!$AQ$5:$AQ$3004,$AS232)))</f>
        <v/>
      </c>
      <c r="AM232" s="14">
        <f>IF($A232="","",IF(INDEX('潜水記録'!$AR$5:$AR$3004,$AS232)="","",INDEX('潜水記録'!$AR$5:$AR$3004,$AS232)))</f>
        <v/>
      </c>
      <c r="AN232" s="14">
        <f>IF($A232="","",IF(INDEX('潜水記録'!$AS$5:$AS$3004,$AS232)="","",INDEX('潜水記録'!$AS$5:$AS$3004,$AS232)))</f>
        <v/>
      </c>
      <c r="AO232" s="14">
        <f>IF($A232="","",IF(INDEX('潜水記録'!$AT$5:$AT$3004,$AS232)="","",INDEX('潜水記録'!$AT$5:$AT$3004,$AS232)))</f>
        <v/>
      </c>
      <c r="AP232" s="14">
        <f>IF($A232="","",IF(INDEX('潜水記録'!$AU$5:$AU$3004,$AS232)="","",INDEX('潜水記録'!$AU$5:$AU$3004,$AS232)))</f>
        <v/>
      </c>
      <c r="AQ232" s="14">
        <f>IF($A232="","",IF(INDEX('潜水記録'!$AV$5:$AV$3004,$AS232)="","",INDEX('潜水記録'!$AV$5:$AV$3004,$AS232)))</f>
        <v/>
      </c>
      <c r="AR232" s="14">
        <f>IF($A232="","",IF(INDEX('潜水記録'!$AW$5:$AW$3004,$AS232)="","",INDEX('潜水記録'!$AW$5:$AW$3004,$AS232)))</f>
        <v/>
      </c>
      <c r="AS232" s="20">
        <f>IF($A232="","",MATCH($A232,'潜水記録'!$AI$5:$AI$3004,0))</f>
        <v/>
      </c>
    </row>
    <row r="233">
      <c r="A233" s="14">
        <f>IF(223&lt;=$C$8,223,"")</f>
        <v/>
      </c>
      <c r="B233" s="16">
        <f>IF($A233="","",IF(INDEX('潜水記録'!$A$5:$A$3004,$AS233)="","",INDEX('潜水記録'!$A$5:$A$3004,$AS233)))</f>
        <v/>
      </c>
      <c r="C233" s="14">
        <f>IF($A233="","",IF(INDEX('潜水記録'!$B$5:$B$3004,$AS233)="","",INDEX('潜水記録'!$B$5:$B$3004,$AS233)))</f>
        <v/>
      </c>
      <c r="D233" s="14">
        <f>IF($A233="","",IF(INDEX('潜水記録'!$C$5:$C$3004,$AS233)="","",INDEX('潜水記録'!$C$5:$C$3004,$AS233)))</f>
        <v/>
      </c>
      <c r="E233" s="14">
        <f>IF($A233="","",IF(INDEX('潜水記録'!$D$5:$D$3004,$AS233)="","",INDEX('潜水記録'!$D$5:$D$3004,$AS233)))</f>
        <v/>
      </c>
      <c r="F233" s="14">
        <f>IF($A233="","",IF(INDEX('潜水記録'!$E$5:$E$3004,$AS233)="","",INDEX('潜水記録'!$E$5:$E$3004,$AS233)))</f>
        <v/>
      </c>
      <c r="G233" s="14">
        <f>IF($A233="","",IF(INDEX('潜水記録'!$F$5:$F$3004,$AS233)="","",INDEX('潜水記録'!$F$5:$F$3004,$AS233)))</f>
        <v/>
      </c>
      <c r="H233" s="14">
        <f>IF($A233="","",IF(INDEX('潜水記録'!$G$5:$G$3004,$AS233)="","",INDEX('潜水記録'!$G$5:$G$3004,$AS233)))</f>
        <v/>
      </c>
      <c r="I233" s="14">
        <f>IF($A233="","",IF(INDEX('潜水記録'!$H$5:$H$3004,$AS233)="","",INDEX('潜水記録'!$H$5:$H$3004,$AS233)))</f>
        <v/>
      </c>
      <c r="J233" s="14">
        <f>IF($A233="","",IF(INDEX('潜水記録'!$I$5:$I$3004,$AS233)="","",INDEX('潜水記録'!$I$5:$I$3004,$AS233)))</f>
        <v/>
      </c>
      <c r="K233" s="14">
        <f>IF($A233="","",IF(INDEX('潜水記録'!$J$5:$J$3004,$AS233)="","",INDEX('潜水記録'!$J$5:$J$3004,$AS233)))</f>
        <v/>
      </c>
      <c r="L233" s="14">
        <f>IF($A233="","",IF(INDEX('潜水記録'!$K$5:$K$3004,$AS233)="","",INDEX('潜水記録'!$K$5:$K$3004,$AS233)))</f>
        <v/>
      </c>
      <c r="M233" s="14">
        <f>IF($A233="","",IF(INDEX('潜水記録'!$L$5:$L$3004,$AS233)="","",INDEX('潜水記録'!$L$5:$L$3004,$AS233)))</f>
        <v/>
      </c>
      <c r="N233" s="14">
        <f>IF($A233="","",IF(INDEX('潜水記録'!$M$5:$M$3004,$AS233)="","",INDEX('潜水記録'!$M$5:$M$3004,$AS233)))</f>
        <v/>
      </c>
      <c r="O233" s="14">
        <f>IF($A233="","",IF(INDEX('潜水記録'!$N$5:$N$3004,$AS233)="","",INDEX('潜水記録'!$N$5:$N$3004,$AS233)))</f>
        <v/>
      </c>
      <c r="P233" s="14">
        <f>IF($A233="","",IF(INDEX('潜水記録'!$O$5:$O$3004,$AS233)="","",INDEX('潜水記録'!$O$5:$O$3004,$AS233)))</f>
        <v/>
      </c>
      <c r="Q233" s="14">
        <f>IF($A233="","",IF(INDEX('潜水記録'!$P$5:$P$3004,$AS233)="","",INDEX('潜水記録'!$P$5:$P$3004,$AS233)))</f>
        <v/>
      </c>
      <c r="R233" s="14">
        <f>IF($A233="","",IF(INDEX('潜水記録'!$Q$5:$Q$3004,$AS233)="","",INDEX('潜水記録'!$Q$5:$Q$3004,$AS233)))</f>
        <v/>
      </c>
      <c r="S233" s="14">
        <f>IF($A233="","",IF(INDEX('潜水記録'!$R$5:$R$3004,$AS233)="","",INDEX('潜水記録'!$R$5:$R$3004,$AS233)))</f>
        <v/>
      </c>
      <c r="T233" s="14">
        <f>IF($A233="","",IF(INDEX('潜水記録'!$S$5:$S$3004,$AS233)="","",INDEX('潜水記録'!$S$5:$S$3004,$AS233)))</f>
        <v/>
      </c>
      <c r="U233" s="14">
        <f>IF($A233="","",IF(INDEX('潜水記録'!$T$5:$T$3004,$AS233)="","",INDEX('潜水記録'!$T$5:$T$3004,$AS233)))</f>
        <v/>
      </c>
      <c r="V233" s="46">
        <f>IF($A233="","",IF(INDEX('潜水記録'!$U$5:$U$3004,$AS233)="","",INDEX('潜水記録'!$U$5:$U$3004,$AS233)))</f>
        <v/>
      </c>
      <c r="W233" s="46">
        <f>IF($A233="","",IF(INDEX('潜水記録'!$V$5:$V$3004,$AS233)="","",INDEX('潜水記録'!$V$5:$V$3004,$AS233)))</f>
        <v/>
      </c>
      <c r="X233" s="14">
        <f>IF($A233="","",IF(INDEX('潜水記録'!$W$5:$W$3004,$AS233)="","",INDEX('潜水記録'!$W$5:$W$3004,$AS233)))</f>
        <v/>
      </c>
      <c r="Y233" s="14">
        <f>IF($A233="","",IF(INDEX('潜水記録'!$X$5:$X$3004,$AS233)="","",INDEX('潜水記録'!$X$5:$X$3004,$AS233)))</f>
        <v/>
      </c>
      <c r="Z233" s="14">
        <f>IF($A233="","",IF(INDEX('潜水記録'!$Y$5:$Y$3004,$AS233)="","",INDEX('潜水記録'!$Y$5:$Y$3004,$AS233)))</f>
        <v/>
      </c>
      <c r="AA233" s="14">
        <f>IF($A233="","",IF(INDEX('潜水記録'!$Z$5:$Z$3004,$AS233)="","",INDEX('潜水記録'!$Z$5:$Z$3004,$AS233)))</f>
        <v/>
      </c>
      <c r="AB233" s="14">
        <f>IF($A233="","",IF(INDEX('潜水記録'!$AA$5:$AA$3004,$AS233)="","",INDEX('潜水記録'!$AA$5:$AA$3004,$AS233)))</f>
        <v/>
      </c>
      <c r="AC233" s="14">
        <f>IF($A233="","",IF(INDEX('潜水記録'!$AB$5:$AB$3004,$AS233)="","",INDEX('潜水記録'!$AB$5:$AB$3004,$AS233)))</f>
        <v/>
      </c>
      <c r="AD233" s="14">
        <f>IF($A233="","",IF(INDEX('潜水記録'!$AC$5:$AC$3004,$AS233)="","",INDEX('潜水記録'!$AC$5:$AC$3004,$AS233)))</f>
        <v/>
      </c>
      <c r="AE233" s="14">
        <f>IF($A233="","",IF(INDEX('潜水記録'!$AD$5:$AD$3004,$AS233)="","",INDEX('潜水記録'!$AD$5:$AD$3004,$AS233)))</f>
        <v/>
      </c>
      <c r="AF233" s="14">
        <f>IF($A233="","",IF(INDEX('潜水記録'!$AE$5:$AE$3004,$AS233)="","",INDEX('潜水記録'!$AE$5:$AE$3004,$AS233)))</f>
        <v/>
      </c>
      <c r="AG233" s="14">
        <f>IF($A233="","",IF(INDEX('潜水記録'!$AL$5:$AL$3004,$AS233)="","",INDEX('潜水記録'!$AL$5:$AL$3004,$AS233)))</f>
        <v/>
      </c>
      <c r="AH233" s="14">
        <f>IF($A233="","",IF(INDEX('潜水記録'!$AM$5:$AM$3004,$AS233)="","",INDEX('潜水記録'!$AM$5:$AM$3004,$AS233)))</f>
        <v/>
      </c>
      <c r="AI233" s="46">
        <f>IF($A233="","",IF(INDEX('潜水記録'!$AN$5:$AN$3004,$AS233)="","",INDEX('潜水記録'!$AN$5:$AN$3004,$AS233)))</f>
        <v/>
      </c>
      <c r="AJ233" s="14">
        <f>IF($A233="","",IF(INDEX('潜水記録'!$AO$5:$AO$3004,$AS233)="","",INDEX('潜水記録'!$AO$5:$AO$3004,$AS233)))</f>
        <v/>
      </c>
      <c r="AK233" s="14">
        <f>IF($A233="","",IF(INDEX('潜水記録'!$AP$5:$AP$3004,$AS233)="","",INDEX('潜水記録'!$AP$5:$AP$3004,$AS233)))</f>
        <v/>
      </c>
      <c r="AL233" s="14">
        <f>IF($A233="","",IF(INDEX('潜水記録'!$AQ$5:$AQ$3004,$AS233)="","",INDEX('潜水記録'!$AQ$5:$AQ$3004,$AS233)))</f>
        <v/>
      </c>
      <c r="AM233" s="14">
        <f>IF($A233="","",IF(INDEX('潜水記録'!$AR$5:$AR$3004,$AS233)="","",INDEX('潜水記録'!$AR$5:$AR$3004,$AS233)))</f>
        <v/>
      </c>
      <c r="AN233" s="14">
        <f>IF($A233="","",IF(INDEX('潜水記録'!$AS$5:$AS$3004,$AS233)="","",INDEX('潜水記録'!$AS$5:$AS$3004,$AS233)))</f>
        <v/>
      </c>
      <c r="AO233" s="14">
        <f>IF($A233="","",IF(INDEX('潜水記録'!$AT$5:$AT$3004,$AS233)="","",INDEX('潜水記録'!$AT$5:$AT$3004,$AS233)))</f>
        <v/>
      </c>
      <c r="AP233" s="14">
        <f>IF($A233="","",IF(INDEX('潜水記録'!$AU$5:$AU$3004,$AS233)="","",INDEX('潜水記録'!$AU$5:$AU$3004,$AS233)))</f>
        <v/>
      </c>
      <c r="AQ233" s="14">
        <f>IF($A233="","",IF(INDEX('潜水記録'!$AV$5:$AV$3004,$AS233)="","",INDEX('潜水記録'!$AV$5:$AV$3004,$AS233)))</f>
        <v/>
      </c>
      <c r="AR233" s="14">
        <f>IF($A233="","",IF(INDEX('潜水記録'!$AW$5:$AW$3004,$AS233)="","",INDEX('潜水記録'!$AW$5:$AW$3004,$AS233)))</f>
        <v/>
      </c>
      <c r="AS233" s="20">
        <f>IF($A233="","",MATCH($A233,'潜水記録'!$AI$5:$AI$3004,0))</f>
        <v/>
      </c>
    </row>
    <row r="234">
      <c r="A234" s="14">
        <f>IF(224&lt;=$C$8,224,"")</f>
        <v/>
      </c>
      <c r="B234" s="16">
        <f>IF($A234="","",IF(INDEX('潜水記録'!$A$5:$A$3004,$AS234)="","",INDEX('潜水記録'!$A$5:$A$3004,$AS234)))</f>
        <v/>
      </c>
      <c r="C234" s="14">
        <f>IF($A234="","",IF(INDEX('潜水記録'!$B$5:$B$3004,$AS234)="","",INDEX('潜水記録'!$B$5:$B$3004,$AS234)))</f>
        <v/>
      </c>
      <c r="D234" s="14">
        <f>IF($A234="","",IF(INDEX('潜水記録'!$C$5:$C$3004,$AS234)="","",INDEX('潜水記録'!$C$5:$C$3004,$AS234)))</f>
        <v/>
      </c>
      <c r="E234" s="14">
        <f>IF($A234="","",IF(INDEX('潜水記録'!$D$5:$D$3004,$AS234)="","",INDEX('潜水記録'!$D$5:$D$3004,$AS234)))</f>
        <v/>
      </c>
      <c r="F234" s="14">
        <f>IF($A234="","",IF(INDEX('潜水記録'!$E$5:$E$3004,$AS234)="","",INDEX('潜水記録'!$E$5:$E$3004,$AS234)))</f>
        <v/>
      </c>
      <c r="G234" s="14">
        <f>IF($A234="","",IF(INDEX('潜水記録'!$F$5:$F$3004,$AS234)="","",INDEX('潜水記録'!$F$5:$F$3004,$AS234)))</f>
        <v/>
      </c>
      <c r="H234" s="14">
        <f>IF($A234="","",IF(INDEX('潜水記録'!$G$5:$G$3004,$AS234)="","",INDEX('潜水記録'!$G$5:$G$3004,$AS234)))</f>
        <v/>
      </c>
      <c r="I234" s="14">
        <f>IF($A234="","",IF(INDEX('潜水記録'!$H$5:$H$3004,$AS234)="","",INDEX('潜水記録'!$H$5:$H$3004,$AS234)))</f>
        <v/>
      </c>
      <c r="J234" s="14">
        <f>IF($A234="","",IF(INDEX('潜水記録'!$I$5:$I$3004,$AS234)="","",INDEX('潜水記録'!$I$5:$I$3004,$AS234)))</f>
        <v/>
      </c>
      <c r="K234" s="14">
        <f>IF($A234="","",IF(INDEX('潜水記録'!$J$5:$J$3004,$AS234)="","",INDEX('潜水記録'!$J$5:$J$3004,$AS234)))</f>
        <v/>
      </c>
      <c r="L234" s="14">
        <f>IF($A234="","",IF(INDEX('潜水記録'!$K$5:$K$3004,$AS234)="","",INDEX('潜水記録'!$K$5:$K$3004,$AS234)))</f>
        <v/>
      </c>
      <c r="M234" s="14">
        <f>IF($A234="","",IF(INDEX('潜水記録'!$L$5:$L$3004,$AS234)="","",INDEX('潜水記録'!$L$5:$L$3004,$AS234)))</f>
        <v/>
      </c>
      <c r="N234" s="14">
        <f>IF($A234="","",IF(INDEX('潜水記録'!$M$5:$M$3004,$AS234)="","",INDEX('潜水記録'!$M$5:$M$3004,$AS234)))</f>
        <v/>
      </c>
      <c r="O234" s="14">
        <f>IF($A234="","",IF(INDEX('潜水記録'!$N$5:$N$3004,$AS234)="","",INDEX('潜水記録'!$N$5:$N$3004,$AS234)))</f>
        <v/>
      </c>
      <c r="P234" s="14">
        <f>IF($A234="","",IF(INDEX('潜水記録'!$O$5:$O$3004,$AS234)="","",INDEX('潜水記録'!$O$5:$O$3004,$AS234)))</f>
        <v/>
      </c>
      <c r="Q234" s="14">
        <f>IF($A234="","",IF(INDEX('潜水記録'!$P$5:$P$3004,$AS234)="","",INDEX('潜水記録'!$P$5:$P$3004,$AS234)))</f>
        <v/>
      </c>
      <c r="R234" s="14">
        <f>IF($A234="","",IF(INDEX('潜水記録'!$Q$5:$Q$3004,$AS234)="","",INDEX('潜水記録'!$Q$5:$Q$3004,$AS234)))</f>
        <v/>
      </c>
      <c r="S234" s="14">
        <f>IF($A234="","",IF(INDEX('潜水記録'!$R$5:$R$3004,$AS234)="","",INDEX('潜水記録'!$R$5:$R$3004,$AS234)))</f>
        <v/>
      </c>
      <c r="T234" s="14">
        <f>IF($A234="","",IF(INDEX('潜水記録'!$S$5:$S$3004,$AS234)="","",INDEX('潜水記録'!$S$5:$S$3004,$AS234)))</f>
        <v/>
      </c>
      <c r="U234" s="14">
        <f>IF($A234="","",IF(INDEX('潜水記録'!$T$5:$T$3004,$AS234)="","",INDEX('潜水記録'!$T$5:$T$3004,$AS234)))</f>
        <v/>
      </c>
      <c r="V234" s="46">
        <f>IF($A234="","",IF(INDEX('潜水記録'!$U$5:$U$3004,$AS234)="","",INDEX('潜水記録'!$U$5:$U$3004,$AS234)))</f>
        <v/>
      </c>
      <c r="W234" s="46">
        <f>IF($A234="","",IF(INDEX('潜水記録'!$V$5:$V$3004,$AS234)="","",INDEX('潜水記録'!$V$5:$V$3004,$AS234)))</f>
        <v/>
      </c>
      <c r="X234" s="14">
        <f>IF($A234="","",IF(INDEX('潜水記録'!$W$5:$W$3004,$AS234)="","",INDEX('潜水記録'!$W$5:$W$3004,$AS234)))</f>
        <v/>
      </c>
      <c r="Y234" s="14">
        <f>IF($A234="","",IF(INDEX('潜水記録'!$X$5:$X$3004,$AS234)="","",INDEX('潜水記録'!$X$5:$X$3004,$AS234)))</f>
        <v/>
      </c>
      <c r="Z234" s="14">
        <f>IF($A234="","",IF(INDEX('潜水記録'!$Y$5:$Y$3004,$AS234)="","",INDEX('潜水記録'!$Y$5:$Y$3004,$AS234)))</f>
        <v/>
      </c>
      <c r="AA234" s="14">
        <f>IF($A234="","",IF(INDEX('潜水記録'!$Z$5:$Z$3004,$AS234)="","",INDEX('潜水記録'!$Z$5:$Z$3004,$AS234)))</f>
        <v/>
      </c>
      <c r="AB234" s="14">
        <f>IF($A234="","",IF(INDEX('潜水記録'!$AA$5:$AA$3004,$AS234)="","",INDEX('潜水記録'!$AA$5:$AA$3004,$AS234)))</f>
        <v/>
      </c>
      <c r="AC234" s="14">
        <f>IF($A234="","",IF(INDEX('潜水記録'!$AB$5:$AB$3004,$AS234)="","",INDEX('潜水記録'!$AB$5:$AB$3004,$AS234)))</f>
        <v/>
      </c>
      <c r="AD234" s="14">
        <f>IF($A234="","",IF(INDEX('潜水記録'!$AC$5:$AC$3004,$AS234)="","",INDEX('潜水記録'!$AC$5:$AC$3004,$AS234)))</f>
        <v/>
      </c>
      <c r="AE234" s="14">
        <f>IF($A234="","",IF(INDEX('潜水記録'!$AD$5:$AD$3004,$AS234)="","",INDEX('潜水記録'!$AD$5:$AD$3004,$AS234)))</f>
        <v/>
      </c>
      <c r="AF234" s="14">
        <f>IF($A234="","",IF(INDEX('潜水記録'!$AE$5:$AE$3004,$AS234)="","",INDEX('潜水記録'!$AE$5:$AE$3004,$AS234)))</f>
        <v/>
      </c>
      <c r="AG234" s="14">
        <f>IF($A234="","",IF(INDEX('潜水記録'!$AL$5:$AL$3004,$AS234)="","",INDEX('潜水記録'!$AL$5:$AL$3004,$AS234)))</f>
        <v/>
      </c>
      <c r="AH234" s="14">
        <f>IF($A234="","",IF(INDEX('潜水記録'!$AM$5:$AM$3004,$AS234)="","",INDEX('潜水記録'!$AM$5:$AM$3004,$AS234)))</f>
        <v/>
      </c>
      <c r="AI234" s="46">
        <f>IF($A234="","",IF(INDEX('潜水記録'!$AN$5:$AN$3004,$AS234)="","",INDEX('潜水記録'!$AN$5:$AN$3004,$AS234)))</f>
        <v/>
      </c>
      <c r="AJ234" s="14">
        <f>IF($A234="","",IF(INDEX('潜水記録'!$AO$5:$AO$3004,$AS234)="","",INDEX('潜水記録'!$AO$5:$AO$3004,$AS234)))</f>
        <v/>
      </c>
      <c r="AK234" s="14">
        <f>IF($A234="","",IF(INDEX('潜水記録'!$AP$5:$AP$3004,$AS234)="","",INDEX('潜水記録'!$AP$5:$AP$3004,$AS234)))</f>
        <v/>
      </c>
      <c r="AL234" s="14">
        <f>IF($A234="","",IF(INDEX('潜水記録'!$AQ$5:$AQ$3004,$AS234)="","",INDEX('潜水記録'!$AQ$5:$AQ$3004,$AS234)))</f>
        <v/>
      </c>
      <c r="AM234" s="14">
        <f>IF($A234="","",IF(INDEX('潜水記録'!$AR$5:$AR$3004,$AS234)="","",INDEX('潜水記録'!$AR$5:$AR$3004,$AS234)))</f>
        <v/>
      </c>
      <c r="AN234" s="14">
        <f>IF($A234="","",IF(INDEX('潜水記録'!$AS$5:$AS$3004,$AS234)="","",INDEX('潜水記録'!$AS$5:$AS$3004,$AS234)))</f>
        <v/>
      </c>
      <c r="AO234" s="14">
        <f>IF($A234="","",IF(INDEX('潜水記録'!$AT$5:$AT$3004,$AS234)="","",INDEX('潜水記録'!$AT$5:$AT$3004,$AS234)))</f>
        <v/>
      </c>
      <c r="AP234" s="14">
        <f>IF($A234="","",IF(INDEX('潜水記録'!$AU$5:$AU$3004,$AS234)="","",INDEX('潜水記録'!$AU$5:$AU$3004,$AS234)))</f>
        <v/>
      </c>
      <c r="AQ234" s="14">
        <f>IF($A234="","",IF(INDEX('潜水記録'!$AV$5:$AV$3004,$AS234)="","",INDEX('潜水記録'!$AV$5:$AV$3004,$AS234)))</f>
        <v/>
      </c>
      <c r="AR234" s="14">
        <f>IF($A234="","",IF(INDEX('潜水記録'!$AW$5:$AW$3004,$AS234)="","",INDEX('潜水記録'!$AW$5:$AW$3004,$AS234)))</f>
        <v/>
      </c>
      <c r="AS234" s="20">
        <f>IF($A234="","",MATCH($A234,'潜水記録'!$AI$5:$AI$3004,0))</f>
        <v/>
      </c>
    </row>
    <row r="235">
      <c r="A235" s="14">
        <f>IF(225&lt;=$C$8,225,"")</f>
        <v/>
      </c>
      <c r="B235" s="16">
        <f>IF($A235="","",IF(INDEX('潜水記録'!$A$5:$A$3004,$AS235)="","",INDEX('潜水記録'!$A$5:$A$3004,$AS235)))</f>
        <v/>
      </c>
      <c r="C235" s="14">
        <f>IF($A235="","",IF(INDEX('潜水記録'!$B$5:$B$3004,$AS235)="","",INDEX('潜水記録'!$B$5:$B$3004,$AS235)))</f>
        <v/>
      </c>
      <c r="D235" s="14">
        <f>IF($A235="","",IF(INDEX('潜水記録'!$C$5:$C$3004,$AS235)="","",INDEX('潜水記録'!$C$5:$C$3004,$AS235)))</f>
        <v/>
      </c>
      <c r="E235" s="14">
        <f>IF($A235="","",IF(INDEX('潜水記録'!$D$5:$D$3004,$AS235)="","",INDEX('潜水記録'!$D$5:$D$3004,$AS235)))</f>
        <v/>
      </c>
      <c r="F235" s="14">
        <f>IF($A235="","",IF(INDEX('潜水記録'!$E$5:$E$3004,$AS235)="","",INDEX('潜水記録'!$E$5:$E$3004,$AS235)))</f>
        <v/>
      </c>
      <c r="G235" s="14">
        <f>IF($A235="","",IF(INDEX('潜水記録'!$F$5:$F$3004,$AS235)="","",INDEX('潜水記録'!$F$5:$F$3004,$AS235)))</f>
        <v/>
      </c>
      <c r="H235" s="14">
        <f>IF($A235="","",IF(INDEX('潜水記録'!$G$5:$G$3004,$AS235)="","",INDEX('潜水記録'!$G$5:$G$3004,$AS235)))</f>
        <v/>
      </c>
      <c r="I235" s="14">
        <f>IF($A235="","",IF(INDEX('潜水記録'!$H$5:$H$3004,$AS235)="","",INDEX('潜水記録'!$H$5:$H$3004,$AS235)))</f>
        <v/>
      </c>
      <c r="J235" s="14">
        <f>IF($A235="","",IF(INDEX('潜水記録'!$I$5:$I$3004,$AS235)="","",INDEX('潜水記録'!$I$5:$I$3004,$AS235)))</f>
        <v/>
      </c>
      <c r="K235" s="14">
        <f>IF($A235="","",IF(INDEX('潜水記録'!$J$5:$J$3004,$AS235)="","",INDEX('潜水記録'!$J$5:$J$3004,$AS235)))</f>
        <v/>
      </c>
      <c r="L235" s="14">
        <f>IF($A235="","",IF(INDEX('潜水記録'!$K$5:$K$3004,$AS235)="","",INDEX('潜水記録'!$K$5:$K$3004,$AS235)))</f>
        <v/>
      </c>
      <c r="M235" s="14">
        <f>IF($A235="","",IF(INDEX('潜水記録'!$L$5:$L$3004,$AS235)="","",INDEX('潜水記録'!$L$5:$L$3004,$AS235)))</f>
        <v/>
      </c>
      <c r="N235" s="14">
        <f>IF($A235="","",IF(INDEX('潜水記録'!$M$5:$M$3004,$AS235)="","",INDEX('潜水記録'!$M$5:$M$3004,$AS235)))</f>
        <v/>
      </c>
      <c r="O235" s="14">
        <f>IF($A235="","",IF(INDEX('潜水記録'!$N$5:$N$3004,$AS235)="","",INDEX('潜水記録'!$N$5:$N$3004,$AS235)))</f>
        <v/>
      </c>
      <c r="P235" s="14">
        <f>IF($A235="","",IF(INDEX('潜水記録'!$O$5:$O$3004,$AS235)="","",INDEX('潜水記録'!$O$5:$O$3004,$AS235)))</f>
        <v/>
      </c>
      <c r="Q235" s="14">
        <f>IF($A235="","",IF(INDEX('潜水記録'!$P$5:$P$3004,$AS235)="","",INDEX('潜水記録'!$P$5:$P$3004,$AS235)))</f>
        <v/>
      </c>
      <c r="R235" s="14">
        <f>IF($A235="","",IF(INDEX('潜水記録'!$Q$5:$Q$3004,$AS235)="","",INDEX('潜水記録'!$Q$5:$Q$3004,$AS235)))</f>
        <v/>
      </c>
      <c r="S235" s="14">
        <f>IF($A235="","",IF(INDEX('潜水記録'!$R$5:$R$3004,$AS235)="","",INDEX('潜水記録'!$R$5:$R$3004,$AS235)))</f>
        <v/>
      </c>
      <c r="T235" s="14">
        <f>IF($A235="","",IF(INDEX('潜水記録'!$S$5:$S$3004,$AS235)="","",INDEX('潜水記録'!$S$5:$S$3004,$AS235)))</f>
        <v/>
      </c>
      <c r="U235" s="14">
        <f>IF($A235="","",IF(INDEX('潜水記録'!$T$5:$T$3004,$AS235)="","",INDEX('潜水記録'!$T$5:$T$3004,$AS235)))</f>
        <v/>
      </c>
      <c r="V235" s="46">
        <f>IF($A235="","",IF(INDEX('潜水記録'!$U$5:$U$3004,$AS235)="","",INDEX('潜水記録'!$U$5:$U$3004,$AS235)))</f>
        <v/>
      </c>
      <c r="W235" s="46">
        <f>IF($A235="","",IF(INDEX('潜水記録'!$V$5:$V$3004,$AS235)="","",INDEX('潜水記録'!$V$5:$V$3004,$AS235)))</f>
        <v/>
      </c>
      <c r="X235" s="14">
        <f>IF($A235="","",IF(INDEX('潜水記録'!$W$5:$W$3004,$AS235)="","",INDEX('潜水記録'!$W$5:$W$3004,$AS235)))</f>
        <v/>
      </c>
      <c r="Y235" s="14">
        <f>IF($A235="","",IF(INDEX('潜水記録'!$X$5:$X$3004,$AS235)="","",INDEX('潜水記録'!$X$5:$X$3004,$AS235)))</f>
        <v/>
      </c>
      <c r="Z235" s="14">
        <f>IF($A235="","",IF(INDEX('潜水記録'!$Y$5:$Y$3004,$AS235)="","",INDEX('潜水記録'!$Y$5:$Y$3004,$AS235)))</f>
        <v/>
      </c>
      <c r="AA235" s="14">
        <f>IF($A235="","",IF(INDEX('潜水記録'!$Z$5:$Z$3004,$AS235)="","",INDEX('潜水記録'!$Z$5:$Z$3004,$AS235)))</f>
        <v/>
      </c>
      <c r="AB235" s="14">
        <f>IF($A235="","",IF(INDEX('潜水記録'!$AA$5:$AA$3004,$AS235)="","",INDEX('潜水記録'!$AA$5:$AA$3004,$AS235)))</f>
        <v/>
      </c>
      <c r="AC235" s="14">
        <f>IF($A235="","",IF(INDEX('潜水記録'!$AB$5:$AB$3004,$AS235)="","",INDEX('潜水記録'!$AB$5:$AB$3004,$AS235)))</f>
        <v/>
      </c>
      <c r="AD235" s="14">
        <f>IF($A235="","",IF(INDEX('潜水記録'!$AC$5:$AC$3004,$AS235)="","",INDEX('潜水記録'!$AC$5:$AC$3004,$AS235)))</f>
        <v/>
      </c>
      <c r="AE235" s="14">
        <f>IF($A235="","",IF(INDEX('潜水記録'!$AD$5:$AD$3004,$AS235)="","",INDEX('潜水記録'!$AD$5:$AD$3004,$AS235)))</f>
        <v/>
      </c>
      <c r="AF235" s="14">
        <f>IF($A235="","",IF(INDEX('潜水記録'!$AE$5:$AE$3004,$AS235)="","",INDEX('潜水記録'!$AE$5:$AE$3004,$AS235)))</f>
        <v/>
      </c>
      <c r="AG235" s="14">
        <f>IF($A235="","",IF(INDEX('潜水記録'!$AL$5:$AL$3004,$AS235)="","",INDEX('潜水記録'!$AL$5:$AL$3004,$AS235)))</f>
        <v/>
      </c>
      <c r="AH235" s="14">
        <f>IF($A235="","",IF(INDEX('潜水記録'!$AM$5:$AM$3004,$AS235)="","",INDEX('潜水記録'!$AM$5:$AM$3004,$AS235)))</f>
        <v/>
      </c>
      <c r="AI235" s="46">
        <f>IF($A235="","",IF(INDEX('潜水記録'!$AN$5:$AN$3004,$AS235)="","",INDEX('潜水記録'!$AN$5:$AN$3004,$AS235)))</f>
        <v/>
      </c>
      <c r="AJ235" s="14">
        <f>IF($A235="","",IF(INDEX('潜水記録'!$AO$5:$AO$3004,$AS235)="","",INDEX('潜水記録'!$AO$5:$AO$3004,$AS235)))</f>
        <v/>
      </c>
      <c r="AK235" s="14">
        <f>IF($A235="","",IF(INDEX('潜水記録'!$AP$5:$AP$3004,$AS235)="","",INDEX('潜水記録'!$AP$5:$AP$3004,$AS235)))</f>
        <v/>
      </c>
      <c r="AL235" s="14">
        <f>IF($A235="","",IF(INDEX('潜水記録'!$AQ$5:$AQ$3004,$AS235)="","",INDEX('潜水記録'!$AQ$5:$AQ$3004,$AS235)))</f>
        <v/>
      </c>
      <c r="AM235" s="14">
        <f>IF($A235="","",IF(INDEX('潜水記録'!$AR$5:$AR$3004,$AS235)="","",INDEX('潜水記録'!$AR$5:$AR$3004,$AS235)))</f>
        <v/>
      </c>
      <c r="AN235" s="14">
        <f>IF($A235="","",IF(INDEX('潜水記録'!$AS$5:$AS$3004,$AS235)="","",INDEX('潜水記録'!$AS$5:$AS$3004,$AS235)))</f>
        <v/>
      </c>
      <c r="AO235" s="14">
        <f>IF($A235="","",IF(INDEX('潜水記録'!$AT$5:$AT$3004,$AS235)="","",INDEX('潜水記録'!$AT$5:$AT$3004,$AS235)))</f>
        <v/>
      </c>
      <c r="AP235" s="14">
        <f>IF($A235="","",IF(INDEX('潜水記録'!$AU$5:$AU$3004,$AS235)="","",INDEX('潜水記録'!$AU$5:$AU$3004,$AS235)))</f>
        <v/>
      </c>
      <c r="AQ235" s="14">
        <f>IF($A235="","",IF(INDEX('潜水記録'!$AV$5:$AV$3004,$AS235)="","",INDEX('潜水記録'!$AV$5:$AV$3004,$AS235)))</f>
        <v/>
      </c>
      <c r="AR235" s="14">
        <f>IF($A235="","",IF(INDEX('潜水記録'!$AW$5:$AW$3004,$AS235)="","",INDEX('潜水記録'!$AW$5:$AW$3004,$AS235)))</f>
        <v/>
      </c>
      <c r="AS235" s="20">
        <f>IF($A235="","",MATCH($A235,'潜水記録'!$AI$5:$AI$3004,0))</f>
        <v/>
      </c>
    </row>
    <row r="236">
      <c r="A236" s="14">
        <f>IF(226&lt;=$C$8,226,"")</f>
        <v/>
      </c>
      <c r="B236" s="16">
        <f>IF($A236="","",IF(INDEX('潜水記録'!$A$5:$A$3004,$AS236)="","",INDEX('潜水記録'!$A$5:$A$3004,$AS236)))</f>
        <v/>
      </c>
      <c r="C236" s="14">
        <f>IF($A236="","",IF(INDEX('潜水記録'!$B$5:$B$3004,$AS236)="","",INDEX('潜水記録'!$B$5:$B$3004,$AS236)))</f>
        <v/>
      </c>
      <c r="D236" s="14">
        <f>IF($A236="","",IF(INDEX('潜水記録'!$C$5:$C$3004,$AS236)="","",INDEX('潜水記録'!$C$5:$C$3004,$AS236)))</f>
        <v/>
      </c>
      <c r="E236" s="14">
        <f>IF($A236="","",IF(INDEX('潜水記録'!$D$5:$D$3004,$AS236)="","",INDEX('潜水記録'!$D$5:$D$3004,$AS236)))</f>
        <v/>
      </c>
      <c r="F236" s="14">
        <f>IF($A236="","",IF(INDEX('潜水記録'!$E$5:$E$3004,$AS236)="","",INDEX('潜水記録'!$E$5:$E$3004,$AS236)))</f>
        <v/>
      </c>
      <c r="G236" s="14">
        <f>IF($A236="","",IF(INDEX('潜水記録'!$F$5:$F$3004,$AS236)="","",INDEX('潜水記録'!$F$5:$F$3004,$AS236)))</f>
        <v/>
      </c>
      <c r="H236" s="14">
        <f>IF($A236="","",IF(INDEX('潜水記録'!$G$5:$G$3004,$AS236)="","",INDEX('潜水記録'!$G$5:$G$3004,$AS236)))</f>
        <v/>
      </c>
      <c r="I236" s="14">
        <f>IF($A236="","",IF(INDEX('潜水記録'!$H$5:$H$3004,$AS236)="","",INDEX('潜水記録'!$H$5:$H$3004,$AS236)))</f>
        <v/>
      </c>
      <c r="J236" s="14">
        <f>IF($A236="","",IF(INDEX('潜水記録'!$I$5:$I$3004,$AS236)="","",INDEX('潜水記録'!$I$5:$I$3004,$AS236)))</f>
        <v/>
      </c>
      <c r="K236" s="14">
        <f>IF($A236="","",IF(INDEX('潜水記録'!$J$5:$J$3004,$AS236)="","",INDEX('潜水記録'!$J$5:$J$3004,$AS236)))</f>
        <v/>
      </c>
      <c r="L236" s="14">
        <f>IF($A236="","",IF(INDEX('潜水記録'!$K$5:$K$3004,$AS236)="","",INDEX('潜水記録'!$K$5:$K$3004,$AS236)))</f>
        <v/>
      </c>
      <c r="M236" s="14">
        <f>IF($A236="","",IF(INDEX('潜水記録'!$L$5:$L$3004,$AS236)="","",INDEX('潜水記録'!$L$5:$L$3004,$AS236)))</f>
        <v/>
      </c>
      <c r="N236" s="14">
        <f>IF($A236="","",IF(INDEX('潜水記録'!$M$5:$M$3004,$AS236)="","",INDEX('潜水記録'!$M$5:$M$3004,$AS236)))</f>
        <v/>
      </c>
      <c r="O236" s="14">
        <f>IF($A236="","",IF(INDEX('潜水記録'!$N$5:$N$3004,$AS236)="","",INDEX('潜水記録'!$N$5:$N$3004,$AS236)))</f>
        <v/>
      </c>
      <c r="P236" s="14">
        <f>IF($A236="","",IF(INDEX('潜水記録'!$O$5:$O$3004,$AS236)="","",INDEX('潜水記録'!$O$5:$O$3004,$AS236)))</f>
        <v/>
      </c>
      <c r="Q236" s="14">
        <f>IF($A236="","",IF(INDEX('潜水記録'!$P$5:$P$3004,$AS236)="","",INDEX('潜水記録'!$P$5:$P$3004,$AS236)))</f>
        <v/>
      </c>
      <c r="R236" s="14">
        <f>IF($A236="","",IF(INDEX('潜水記録'!$Q$5:$Q$3004,$AS236)="","",INDEX('潜水記録'!$Q$5:$Q$3004,$AS236)))</f>
        <v/>
      </c>
      <c r="S236" s="14">
        <f>IF($A236="","",IF(INDEX('潜水記録'!$R$5:$R$3004,$AS236)="","",INDEX('潜水記録'!$R$5:$R$3004,$AS236)))</f>
        <v/>
      </c>
      <c r="T236" s="14">
        <f>IF($A236="","",IF(INDEX('潜水記録'!$S$5:$S$3004,$AS236)="","",INDEX('潜水記録'!$S$5:$S$3004,$AS236)))</f>
        <v/>
      </c>
      <c r="U236" s="14">
        <f>IF($A236="","",IF(INDEX('潜水記録'!$T$5:$T$3004,$AS236)="","",INDEX('潜水記録'!$T$5:$T$3004,$AS236)))</f>
        <v/>
      </c>
      <c r="V236" s="46">
        <f>IF($A236="","",IF(INDEX('潜水記録'!$U$5:$U$3004,$AS236)="","",INDEX('潜水記録'!$U$5:$U$3004,$AS236)))</f>
        <v/>
      </c>
      <c r="W236" s="46">
        <f>IF($A236="","",IF(INDEX('潜水記録'!$V$5:$V$3004,$AS236)="","",INDEX('潜水記録'!$V$5:$V$3004,$AS236)))</f>
        <v/>
      </c>
      <c r="X236" s="14">
        <f>IF($A236="","",IF(INDEX('潜水記録'!$W$5:$W$3004,$AS236)="","",INDEX('潜水記録'!$W$5:$W$3004,$AS236)))</f>
        <v/>
      </c>
      <c r="Y236" s="14">
        <f>IF($A236="","",IF(INDEX('潜水記録'!$X$5:$X$3004,$AS236)="","",INDEX('潜水記録'!$X$5:$X$3004,$AS236)))</f>
        <v/>
      </c>
      <c r="Z236" s="14">
        <f>IF($A236="","",IF(INDEX('潜水記録'!$Y$5:$Y$3004,$AS236)="","",INDEX('潜水記録'!$Y$5:$Y$3004,$AS236)))</f>
        <v/>
      </c>
      <c r="AA236" s="14">
        <f>IF($A236="","",IF(INDEX('潜水記録'!$Z$5:$Z$3004,$AS236)="","",INDEX('潜水記録'!$Z$5:$Z$3004,$AS236)))</f>
        <v/>
      </c>
      <c r="AB236" s="14">
        <f>IF($A236="","",IF(INDEX('潜水記録'!$AA$5:$AA$3004,$AS236)="","",INDEX('潜水記録'!$AA$5:$AA$3004,$AS236)))</f>
        <v/>
      </c>
      <c r="AC236" s="14">
        <f>IF($A236="","",IF(INDEX('潜水記録'!$AB$5:$AB$3004,$AS236)="","",INDEX('潜水記録'!$AB$5:$AB$3004,$AS236)))</f>
        <v/>
      </c>
      <c r="AD236" s="14">
        <f>IF($A236="","",IF(INDEX('潜水記録'!$AC$5:$AC$3004,$AS236)="","",INDEX('潜水記録'!$AC$5:$AC$3004,$AS236)))</f>
        <v/>
      </c>
      <c r="AE236" s="14">
        <f>IF($A236="","",IF(INDEX('潜水記録'!$AD$5:$AD$3004,$AS236)="","",INDEX('潜水記録'!$AD$5:$AD$3004,$AS236)))</f>
        <v/>
      </c>
      <c r="AF236" s="14">
        <f>IF($A236="","",IF(INDEX('潜水記録'!$AE$5:$AE$3004,$AS236)="","",INDEX('潜水記録'!$AE$5:$AE$3004,$AS236)))</f>
        <v/>
      </c>
      <c r="AG236" s="14">
        <f>IF($A236="","",IF(INDEX('潜水記録'!$AL$5:$AL$3004,$AS236)="","",INDEX('潜水記録'!$AL$5:$AL$3004,$AS236)))</f>
        <v/>
      </c>
      <c r="AH236" s="14">
        <f>IF($A236="","",IF(INDEX('潜水記録'!$AM$5:$AM$3004,$AS236)="","",INDEX('潜水記録'!$AM$5:$AM$3004,$AS236)))</f>
        <v/>
      </c>
      <c r="AI236" s="46">
        <f>IF($A236="","",IF(INDEX('潜水記録'!$AN$5:$AN$3004,$AS236)="","",INDEX('潜水記録'!$AN$5:$AN$3004,$AS236)))</f>
        <v/>
      </c>
      <c r="AJ236" s="14">
        <f>IF($A236="","",IF(INDEX('潜水記録'!$AO$5:$AO$3004,$AS236)="","",INDEX('潜水記録'!$AO$5:$AO$3004,$AS236)))</f>
        <v/>
      </c>
      <c r="AK236" s="14">
        <f>IF($A236="","",IF(INDEX('潜水記録'!$AP$5:$AP$3004,$AS236)="","",INDEX('潜水記録'!$AP$5:$AP$3004,$AS236)))</f>
        <v/>
      </c>
      <c r="AL236" s="14">
        <f>IF($A236="","",IF(INDEX('潜水記録'!$AQ$5:$AQ$3004,$AS236)="","",INDEX('潜水記録'!$AQ$5:$AQ$3004,$AS236)))</f>
        <v/>
      </c>
      <c r="AM236" s="14">
        <f>IF($A236="","",IF(INDEX('潜水記録'!$AR$5:$AR$3004,$AS236)="","",INDEX('潜水記録'!$AR$5:$AR$3004,$AS236)))</f>
        <v/>
      </c>
      <c r="AN236" s="14">
        <f>IF($A236="","",IF(INDEX('潜水記録'!$AS$5:$AS$3004,$AS236)="","",INDEX('潜水記録'!$AS$5:$AS$3004,$AS236)))</f>
        <v/>
      </c>
      <c r="AO236" s="14">
        <f>IF($A236="","",IF(INDEX('潜水記録'!$AT$5:$AT$3004,$AS236)="","",INDEX('潜水記録'!$AT$5:$AT$3004,$AS236)))</f>
        <v/>
      </c>
      <c r="AP236" s="14">
        <f>IF($A236="","",IF(INDEX('潜水記録'!$AU$5:$AU$3004,$AS236)="","",INDEX('潜水記録'!$AU$5:$AU$3004,$AS236)))</f>
        <v/>
      </c>
      <c r="AQ236" s="14">
        <f>IF($A236="","",IF(INDEX('潜水記録'!$AV$5:$AV$3004,$AS236)="","",INDEX('潜水記録'!$AV$5:$AV$3004,$AS236)))</f>
        <v/>
      </c>
      <c r="AR236" s="14">
        <f>IF($A236="","",IF(INDEX('潜水記録'!$AW$5:$AW$3004,$AS236)="","",INDEX('潜水記録'!$AW$5:$AW$3004,$AS236)))</f>
        <v/>
      </c>
      <c r="AS236" s="20">
        <f>IF($A236="","",MATCH($A236,'潜水記録'!$AI$5:$AI$3004,0))</f>
        <v/>
      </c>
    </row>
    <row r="237">
      <c r="A237" s="14">
        <f>IF(227&lt;=$C$8,227,"")</f>
        <v/>
      </c>
      <c r="B237" s="16">
        <f>IF($A237="","",IF(INDEX('潜水記録'!$A$5:$A$3004,$AS237)="","",INDEX('潜水記録'!$A$5:$A$3004,$AS237)))</f>
        <v/>
      </c>
      <c r="C237" s="14">
        <f>IF($A237="","",IF(INDEX('潜水記録'!$B$5:$B$3004,$AS237)="","",INDEX('潜水記録'!$B$5:$B$3004,$AS237)))</f>
        <v/>
      </c>
      <c r="D237" s="14">
        <f>IF($A237="","",IF(INDEX('潜水記録'!$C$5:$C$3004,$AS237)="","",INDEX('潜水記録'!$C$5:$C$3004,$AS237)))</f>
        <v/>
      </c>
      <c r="E237" s="14">
        <f>IF($A237="","",IF(INDEX('潜水記録'!$D$5:$D$3004,$AS237)="","",INDEX('潜水記録'!$D$5:$D$3004,$AS237)))</f>
        <v/>
      </c>
      <c r="F237" s="14">
        <f>IF($A237="","",IF(INDEX('潜水記録'!$E$5:$E$3004,$AS237)="","",INDEX('潜水記録'!$E$5:$E$3004,$AS237)))</f>
        <v/>
      </c>
      <c r="G237" s="14">
        <f>IF($A237="","",IF(INDEX('潜水記録'!$F$5:$F$3004,$AS237)="","",INDEX('潜水記録'!$F$5:$F$3004,$AS237)))</f>
        <v/>
      </c>
      <c r="H237" s="14">
        <f>IF($A237="","",IF(INDEX('潜水記録'!$G$5:$G$3004,$AS237)="","",INDEX('潜水記録'!$G$5:$G$3004,$AS237)))</f>
        <v/>
      </c>
      <c r="I237" s="14">
        <f>IF($A237="","",IF(INDEX('潜水記録'!$H$5:$H$3004,$AS237)="","",INDEX('潜水記録'!$H$5:$H$3004,$AS237)))</f>
        <v/>
      </c>
      <c r="J237" s="14">
        <f>IF($A237="","",IF(INDEX('潜水記録'!$I$5:$I$3004,$AS237)="","",INDEX('潜水記録'!$I$5:$I$3004,$AS237)))</f>
        <v/>
      </c>
      <c r="K237" s="14">
        <f>IF($A237="","",IF(INDEX('潜水記録'!$J$5:$J$3004,$AS237)="","",INDEX('潜水記録'!$J$5:$J$3004,$AS237)))</f>
        <v/>
      </c>
      <c r="L237" s="14">
        <f>IF($A237="","",IF(INDEX('潜水記録'!$K$5:$K$3004,$AS237)="","",INDEX('潜水記録'!$K$5:$K$3004,$AS237)))</f>
        <v/>
      </c>
      <c r="M237" s="14">
        <f>IF($A237="","",IF(INDEX('潜水記録'!$L$5:$L$3004,$AS237)="","",INDEX('潜水記録'!$L$5:$L$3004,$AS237)))</f>
        <v/>
      </c>
      <c r="N237" s="14">
        <f>IF($A237="","",IF(INDEX('潜水記録'!$M$5:$M$3004,$AS237)="","",INDEX('潜水記録'!$M$5:$M$3004,$AS237)))</f>
        <v/>
      </c>
      <c r="O237" s="14">
        <f>IF($A237="","",IF(INDEX('潜水記録'!$N$5:$N$3004,$AS237)="","",INDEX('潜水記録'!$N$5:$N$3004,$AS237)))</f>
        <v/>
      </c>
      <c r="P237" s="14">
        <f>IF($A237="","",IF(INDEX('潜水記録'!$O$5:$O$3004,$AS237)="","",INDEX('潜水記録'!$O$5:$O$3004,$AS237)))</f>
        <v/>
      </c>
      <c r="Q237" s="14">
        <f>IF($A237="","",IF(INDEX('潜水記録'!$P$5:$P$3004,$AS237)="","",INDEX('潜水記録'!$P$5:$P$3004,$AS237)))</f>
        <v/>
      </c>
      <c r="R237" s="14">
        <f>IF($A237="","",IF(INDEX('潜水記録'!$Q$5:$Q$3004,$AS237)="","",INDEX('潜水記録'!$Q$5:$Q$3004,$AS237)))</f>
        <v/>
      </c>
      <c r="S237" s="14">
        <f>IF($A237="","",IF(INDEX('潜水記録'!$R$5:$R$3004,$AS237)="","",INDEX('潜水記録'!$R$5:$R$3004,$AS237)))</f>
        <v/>
      </c>
      <c r="T237" s="14">
        <f>IF($A237="","",IF(INDEX('潜水記録'!$S$5:$S$3004,$AS237)="","",INDEX('潜水記録'!$S$5:$S$3004,$AS237)))</f>
        <v/>
      </c>
      <c r="U237" s="14">
        <f>IF($A237="","",IF(INDEX('潜水記録'!$T$5:$T$3004,$AS237)="","",INDEX('潜水記録'!$T$5:$T$3004,$AS237)))</f>
        <v/>
      </c>
      <c r="V237" s="46">
        <f>IF($A237="","",IF(INDEX('潜水記録'!$U$5:$U$3004,$AS237)="","",INDEX('潜水記録'!$U$5:$U$3004,$AS237)))</f>
        <v/>
      </c>
      <c r="W237" s="46">
        <f>IF($A237="","",IF(INDEX('潜水記録'!$V$5:$V$3004,$AS237)="","",INDEX('潜水記録'!$V$5:$V$3004,$AS237)))</f>
        <v/>
      </c>
      <c r="X237" s="14">
        <f>IF($A237="","",IF(INDEX('潜水記録'!$W$5:$W$3004,$AS237)="","",INDEX('潜水記録'!$W$5:$W$3004,$AS237)))</f>
        <v/>
      </c>
      <c r="Y237" s="14">
        <f>IF($A237="","",IF(INDEX('潜水記録'!$X$5:$X$3004,$AS237)="","",INDEX('潜水記録'!$X$5:$X$3004,$AS237)))</f>
        <v/>
      </c>
      <c r="Z237" s="14">
        <f>IF($A237="","",IF(INDEX('潜水記録'!$Y$5:$Y$3004,$AS237)="","",INDEX('潜水記録'!$Y$5:$Y$3004,$AS237)))</f>
        <v/>
      </c>
      <c r="AA237" s="14">
        <f>IF($A237="","",IF(INDEX('潜水記録'!$Z$5:$Z$3004,$AS237)="","",INDEX('潜水記録'!$Z$5:$Z$3004,$AS237)))</f>
        <v/>
      </c>
      <c r="AB237" s="14">
        <f>IF($A237="","",IF(INDEX('潜水記録'!$AA$5:$AA$3004,$AS237)="","",INDEX('潜水記録'!$AA$5:$AA$3004,$AS237)))</f>
        <v/>
      </c>
      <c r="AC237" s="14">
        <f>IF($A237="","",IF(INDEX('潜水記録'!$AB$5:$AB$3004,$AS237)="","",INDEX('潜水記録'!$AB$5:$AB$3004,$AS237)))</f>
        <v/>
      </c>
      <c r="AD237" s="14">
        <f>IF($A237="","",IF(INDEX('潜水記録'!$AC$5:$AC$3004,$AS237)="","",INDEX('潜水記録'!$AC$5:$AC$3004,$AS237)))</f>
        <v/>
      </c>
      <c r="AE237" s="14">
        <f>IF($A237="","",IF(INDEX('潜水記録'!$AD$5:$AD$3004,$AS237)="","",INDEX('潜水記録'!$AD$5:$AD$3004,$AS237)))</f>
        <v/>
      </c>
      <c r="AF237" s="14">
        <f>IF($A237="","",IF(INDEX('潜水記録'!$AE$5:$AE$3004,$AS237)="","",INDEX('潜水記録'!$AE$5:$AE$3004,$AS237)))</f>
        <v/>
      </c>
      <c r="AG237" s="14">
        <f>IF($A237="","",IF(INDEX('潜水記録'!$AL$5:$AL$3004,$AS237)="","",INDEX('潜水記録'!$AL$5:$AL$3004,$AS237)))</f>
        <v/>
      </c>
      <c r="AH237" s="14">
        <f>IF($A237="","",IF(INDEX('潜水記録'!$AM$5:$AM$3004,$AS237)="","",INDEX('潜水記録'!$AM$5:$AM$3004,$AS237)))</f>
        <v/>
      </c>
      <c r="AI237" s="46">
        <f>IF($A237="","",IF(INDEX('潜水記録'!$AN$5:$AN$3004,$AS237)="","",INDEX('潜水記録'!$AN$5:$AN$3004,$AS237)))</f>
        <v/>
      </c>
      <c r="AJ237" s="14">
        <f>IF($A237="","",IF(INDEX('潜水記録'!$AO$5:$AO$3004,$AS237)="","",INDEX('潜水記録'!$AO$5:$AO$3004,$AS237)))</f>
        <v/>
      </c>
      <c r="AK237" s="14">
        <f>IF($A237="","",IF(INDEX('潜水記録'!$AP$5:$AP$3004,$AS237)="","",INDEX('潜水記録'!$AP$5:$AP$3004,$AS237)))</f>
        <v/>
      </c>
      <c r="AL237" s="14">
        <f>IF($A237="","",IF(INDEX('潜水記録'!$AQ$5:$AQ$3004,$AS237)="","",INDEX('潜水記録'!$AQ$5:$AQ$3004,$AS237)))</f>
        <v/>
      </c>
      <c r="AM237" s="14">
        <f>IF($A237="","",IF(INDEX('潜水記録'!$AR$5:$AR$3004,$AS237)="","",INDEX('潜水記録'!$AR$5:$AR$3004,$AS237)))</f>
        <v/>
      </c>
      <c r="AN237" s="14">
        <f>IF($A237="","",IF(INDEX('潜水記録'!$AS$5:$AS$3004,$AS237)="","",INDEX('潜水記録'!$AS$5:$AS$3004,$AS237)))</f>
        <v/>
      </c>
      <c r="AO237" s="14">
        <f>IF($A237="","",IF(INDEX('潜水記録'!$AT$5:$AT$3004,$AS237)="","",INDEX('潜水記録'!$AT$5:$AT$3004,$AS237)))</f>
        <v/>
      </c>
      <c r="AP237" s="14">
        <f>IF($A237="","",IF(INDEX('潜水記録'!$AU$5:$AU$3004,$AS237)="","",INDEX('潜水記録'!$AU$5:$AU$3004,$AS237)))</f>
        <v/>
      </c>
      <c r="AQ237" s="14">
        <f>IF($A237="","",IF(INDEX('潜水記録'!$AV$5:$AV$3004,$AS237)="","",INDEX('潜水記録'!$AV$5:$AV$3004,$AS237)))</f>
        <v/>
      </c>
      <c r="AR237" s="14">
        <f>IF($A237="","",IF(INDEX('潜水記録'!$AW$5:$AW$3004,$AS237)="","",INDEX('潜水記録'!$AW$5:$AW$3004,$AS237)))</f>
        <v/>
      </c>
      <c r="AS237" s="20">
        <f>IF($A237="","",MATCH($A237,'潜水記録'!$AI$5:$AI$3004,0))</f>
        <v/>
      </c>
    </row>
    <row r="238">
      <c r="A238" s="14">
        <f>IF(228&lt;=$C$8,228,"")</f>
        <v/>
      </c>
      <c r="B238" s="16">
        <f>IF($A238="","",IF(INDEX('潜水記録'!$A$5:$A$3004,$AS238)="","",INDEX('潜水記録'!$A$5:$A$3004,$AS238)))</f>
        <v/>
      </c>
      <c r="C238" s="14">
        <f>IF($A238="","",IF(INDEX('潜水記録'!$B$5:$B$3004,$AS238)="","",INDEX('潜水記録'!$B$5:$B$3004,$AS238)))</f>
        <v/>
      </c>
      <c r="D238" s="14">
        <f>IF($A238="","",IF(INDEX('潜水記録'!$C$5:$C$3004,$AS238)="","",INDEX('潜水記録'!$C$5:$C$3004,$AS238)))</f>
        <v/>
      </c>
      <c r="E238" s="14">
        <f>IF($A238="","",IF(INDEX('潜水記録'!$D$5:$D$3004,$AS238)="","",INDEX('潜水記録'!$D$5:$D$3004,$AS238)))</f>
        <v/>
      </c>
      <c r="F238" s="14">
        <f>IF($A238="","",IF(INDEX('潜水記録'!$E$5:$E$3004,$AS238)="","",INDEX('潜水記録'!$E$5:$E$3004,$AS238)))</f>
        <v/>
      </c>
      <c r="G238" s="14">
        <f>IF($A238="","",IF(INDEX('潜水記録'!$F$5:$F$3004,$AS238)="","",INDEX('潜水記録'!$F$5:$F$3004,$AS238)))</f>
        <v/>
      </c>
      <c r="H238" s="14">
        <f>IF($A238="","",IF(INDEX('潜水記録'!$G$5:$G$3004,$AS238)="","",INDEX('潜水記録'!$G$5:$G$3004,$AS238)))</f>
        <v/>
      </c>
      <c r="I238" s="14">
        <f>IF($A238="","",IF(INDEX('潜水記録'!$H$5:$H$3004,$AS238)="","",INDEX('潜水記録'!$H$5:$H$3004,$AS238)))</f>
        <v/>
      </c>
      <c r="J238" s="14">
        <f>IF($A238="","",IF(INDEX('潜水記録'!$I$5:$I$3004,$AS238)="","",INDEX('潜水記録'!$I$5:$I$3004,$AS238)))</f>
        <v/>
      </c>
      <c r="K238" s="14">
        <f>IF($A238="","",IF(INDEX('潜水記録'!$J$5:$J$3004,$AS238)="","",INDEX('潜水記録'!$J$5:$J$3004,$AS238)))</f>
        <v/>
      </c>
      <c r="L238" s="14">
        <f>IF($A238="","",IF(INDEX('潜水記録'!$K$5:$K$3004,$AS238)="","",INDEX('潜水記録'!$K$5:$K$3004,$AS238)))</f>
        <v/>
      </c>
      <c r="M238" s="14">
        <f>IF($A238="","",IF(INDEX('潜水記録'!$L$5:$L$3004,$AS238)="","",INDEX('潜水記録'!$L$5:$L$3004,$AS238)))</f>
        <v/>
      </c>
      <c r="N238" s="14">
        <f>IF($A238="","",IF(INDEX('潜水記録'!$M$5:$M$3004,$AS238)="","",INDEX('潜水記録'!$M$5:$M$3004,$AS238)))</f>
        <v/>
      </c>
      <c r="O238" s="14">
        <f>IF($A238="","",IF(INDEX('潜水記録'!$N$5:$N$3004,$AS238)="","",INDEX('潜水記録'!$N$5:$N$3004,$AS238)))</f>
        <v/>
      </c>
      <c r="P238" s="14">
        <f>IF($A238="","",IF(INDEX('潜水記録'!$O$5:$O$3004,$AS238)="","",INDEX('潜水記録'!$O$5:$O$3004,$AS238)))</f>
        <v/>
      </c>
      <c r="Q238" s="14">
        <f>IF($A238="","",IF(INDEX('潜水記録'!$P$5:$P$3004,$AS238)="","",INDEX('潜水記録'!$P$5:$P$3004,$AS238)))</f>
        <v/>
      </c>
      <c r="R238" s="14">
        <f>IF($A238="","",IF(INDEX('潜水記録'!$Q$5:$Q$3004,$AS238)="","",INDEX('潜水記録'!$Q$5:$Q$3004,$AS238)))</f>
        <v/>
      </c>
      <c r="S238" s="14">
        <f>IF($A238="","",IF(INDEX('潜水記録'!$R$5:$R$3004,$AS238)="","",INDEX('潜水記録'!$R$5:$R$3004,$AS238)))</f>
        <v/>
      </c>
      <c r="T238" s="14">
        <f>IF($A238="","",IF(INDEX('潜水記録'!$S$5:$S$3004,$AS238)="","",INDEX('潜水記録'!$S$5:$S$3004,$AS238)))</f>
        <v/>
      </c>
      <c r="U238" s="14">
        <f>IF($A238="","",IF(INDEX('潜水記録'!$T$5:$T$3004,$AS238)="","",INDEX('潜水記録'!$T$5:$T$3004,$AS238)))</f>
        <v/>
      </c>
      <c r="V238" s="46">
        <f>IF($A238="","",IF(INDEX('潜水記録'!$U$5:$U$3004,$AS238)="","",INDEX('潜水記録'!$U$5:$U$3004,$AS238)))</f>
        <v/>
      </c>
      <c r="W238" s="46">
        <f>IF($A238="","",IF(INDEX('潜水記録'!$V$5:$V$3004,$AS238)="","",INDEX('潜水記録'!$V$5:$V$3004,$AS238)))</f>
        <v/>
      </c>
      <c r="X238" s="14">
        <f>IF($A238="","",IF(INDEX('潜水記録'!$W$5:$W$3004,$AS238)="","",INDEX('潜水記録'!$W$5:$W$3004,$AS238)))</f>
        <v/>
      </c>
      <c r="Y238" s="14">
        <f>IF($A238="","",IF(INDEX('潜水記録'!$X$5:$X$3004,$AS238)="","",INDEX('潜水記録'!$X$5:$X$3004,$AS238)))</f>
        <v/>
      </c>
      <c r="Z238" s="14">
        <f>IF($A238="","",IF(INDEX('潜水記録'!$Y$5:$Y$3004,$AS238)="","",INDEX('潜水記録'!$Y$5:$Y$3004,$AS238)))</f>
        <v/>
      </c>
      <c r="AA238" s="14">
        <f>IF($A238="","",IF(INDEX('潜水記録'!$Z$5:$Z$3004,$AS238)="","",INDEX('潜水記録'!$Z$5:$Z$3004,$AS238)))</f>
        <v/>
      </c>
      <c r="AB238" s="14">
        <f>IF($A238="","",IF(INDEX('潜水記録'!$AA$5:$AA$3004,$AS238)="","",INDEX('潜水記録'!$AA$5:$AA$3004,$AS238)))</f>
        <v/>
      </c>
      <c r="AC238" s="14">
        <f>IF($A238="","",IF(INDEX('潜水記録'!$AB$5:$AB$3004,$AS238)="","",INDEX('潜水記録'!$AB$5:$AB$3004,$AS238)))</f>
        <v/>
      </c>
      <c r="AD238" s="14">
        <f>IF($A238="","",IF(INDEX('潜水記録'!$AC$5:$AC$3004,$AS238)="","",INDEX('潜水記録'!$AC$5:$AC$3004,$AS238)))</f>
        <v/>
      </c>
      <c r="AE238" s="14">
        <f>IF($A238="","",IF(INDEX('潜水記録'!$AD$5:$AD$3004,$AS238)="","",INDEX('潜水記録'!$AD$5:$AD$3004,$AS238)))</f>
        <v/>
      </c>
      <c r="AF238" s="14">
        <f>IF($A238="","",IF(INDEX('潜水記録'!$AE$5:$AE$3004,$AS238)="","",INDEX('潜水記録'!$AE$5:$AE$3004,$AS238)))</f>
        <v/>
      </c>
      <c r="AG238" s="14">
        <f>IF($A238="","",IF(INDEX('潜水記録'!$AL$5:$AL$3004,$AS238)="","",INDEX('潜水記録'!$AL$5:$AL$3004,$AS238)))</f>
        <v/>
      </c>
      <c r="AH238" s="14">
        <f>IF($A238="","",IF(INDEX('潜水記録'!$AM$5:$AM$3004,$AS238)="","",INDEX('潜水記録'!$AM$5:$AM$3004,$AS238)))</f>
        <v/>
      </c>
      <c r="AI238" s="46">
        <f>IF($A238="","",IF(INDEX('潜水記録'!$AN$5:$AN$3004,$AS238)="","",INDEX('潜水記録'!$AN$5:$AN$3004,$AS238)))</f>
        <v/>
      </c>
      <c r="AJ238" s="14">
        <f>IF($A238="","",IF(INDEX('潜水記録'!$AO$5:$AO$3004,$AS238)="","",INDEX('潜水記録'!$AO$5:$AO$3004,$AS238)))</f>
        <v/>
      </c>
      <c r="AK238" s="14">
        <f>IF($A238="","",IF(INDEX('潜水記録'!$AP$5:$AP$3004,$AS238)="","",INDEX('潜水記録'!$AP$5:$AP$3004,$AS238)))</f>
        <v/>
      </c>
      <c r="AL238" s="14">
        <f>IF($A238="","",IF(INDEX('潜水記録'!$AQ$5:$AQ$3004,$AS238)="","",INDEX('潜水記録'!$AQ$5:$AQ$3004,$AS238)))</f>
        <v/>
      </c>
      <c r="AM238" s="14">
        <f>IF($A238="","",IF(INDEX('潜水記録'!$AR$5:$AR$3004,$AS238)="","",INDEX('潜水記録'!$AR$5:$AR$3004,$AS238)))</f>
        <v/>
      </c>
      <c r="AN238" s="14">
        <f>IF($A238="","",IF(INDEX('潜水記録'!$AS$5:$AS$3004,$AS238)="","",INDEX('潜水記録'!$AS$5:$AS$3004,$AS238)))</f>
        <v/>
      </c>
      <c r="AO238" s="14">
        <f>IF($A238="","",IF(INDEX('潜水記録'!$AT$5:$AT$3004,$AS238)="","",INDEX('潜水記録'!$AT$5:$AT$3004,$AS238)))</f>
        <v/>
      </c>
      <c r="AP238" s="14">
        <f>IF($A238="","",IF(INDEX('潜水記録'!$AU$5:$AU$3004,$AS238)="","",INDEX('潜水記録'!$AU$5:$AU$3004,$AS238)))</f>
        <v/>
      </c>
      <c r="AQ238" s="14">
        <f>IF($A238="","",IF(INDEX('潜水記録'!$AV$5:$AV$3004,$AS238)="","",INDEX('潜水記録'!$AV$5:$AV$3004,$AS238)))</f>
        <v/>
      </c>
      <c r="AR238" s="14">
        <f>IF($A238="","",IF(INDEX('潜水記録'!$AW$5:$AW$3004,$AS238)="","",INDEX('潜水記録'!$AW$5:$AW$3004,$AS238)))</f>
        <v/>
      </c>
      <c r="AS238" s="20">
        <f>IF($A238="","",MATCH($A238,'潜水記録'!$AI$5:$AI$3004,0))</f>
        <v/>
      </c>
    </row>
    <row r="239">
      <c r="A239" s="14">
        <f>IF(229&lt;=$C$8,229,"")</f>
        <v/>
      </c>
      <c r="B239" s="16">
        <f>IF($A239="","",IF(INDEX('潜水記録'!$A$5:$A$3004,$AS239)="","",INDEX('潜水記録'!$A$5:$A$3004,$AS239)))</f>
        <v/>
      </c>
      <c r="C239" s="14">
        <f>IF($A239="","",IF(INDEX('潜水記録'!$B$5:$B$3004,$AS239)="","",INDEX('潜水記録'!$B$5:$B$3004,$AS239)))</f>
        <v/>
      </c>
      <c r="D239" s="14">
        <f>IF($A239="","",IF(INDEX('潜水記録'!$C$5:$C$3004,$AS239)="","",INDEX('潜水記録'!$C$5:$C$3004,$AS239)))</f>
        <v/>
      </c>
      <c r="E239" s="14">
        <f>IF($A239="","",IF(INDEX('潜水記録'!$D$5:$D$3004,$AS239)="","",INDEX('潜水記録'!$D$5:$D$3004,$AS239)))</f>
        <v/>
      </c>
      <c r="F239" s="14">
        <f>IF($A239="","",IF(INDEX('潜水記録'!$E$5:$E$3004,$AS239)="","",INDEX('潜水記録'!$E$5:$E$3004,$AS239)))</f>
        <v/>
      </c>
      <c r="G239" s="14">
        <f>IF($A239="","",IF(INDEX('潜水記録'!$F$5:$F$3004,$AS239)="","",INDEX('潜水記録'!$F$5:$F$3004,$AS239)))</f>
        <v/>
      </c>
      <c r="H239" s="14">
        <f>IF($A239="","",IF(INDEX('潜水記録'!$G$5:$G$3004,$AS239)="","",INDEX('潜水記録'!$G$5:$G$3004,$AS239)))</f>
        <v/>
      </c>
      <c r="I239" s="14">
        <f>IF($A239="","",IF(INDEX('潜水記録'!$H$5:$H$3004,$AS239)="","",INDEX('潜水記録'!$H$5:$H$3004,$AS239)))</f>
        <v/>
      </c>
      <c r="J239" s="14">
        <f>IF($A239="","",IF(INDEX('潜水記録'!$I$5:$I$3004,$AS239)="","",INDEX('潜水記録'!$I$5:$I$3004,$AS239)))</f>
        <v/>
      </c>
      <c r="K239" s="14">
        <f>IF($A239="","",IF(INDEX('潜水記録'!$J$5:$J$3004,$AS239)="","",INDEX('潜水記録'!$J$5:$J$3004,$AS239)))</f>
        <v/>
      </c>
      <c r="L239" s="14">
        <f>IF($A239="","",IF(INDEX('潜水記録'!$K$5:$K$3004,$AS239)="","",INDEX('潜水記録'!$K$5:$K$3004,$AS239)))</f>
        <v/>
      </c>
      <c r="M239" s="14">
        <f>IF($A239="","",IF(INDEX('潜水記録'!$L$5:$L$3004,$AS239)="","",INDEX('潜水記録'!$L$5:$L$3004,$AS239)))</f>
        <v/>
      </c>
      <c r="N239" s="14">
        <f>IF($A239="","",IF(INDEX('潜水記録'!$M$5:$M$3004,$AS239)="","",INDEX('潜水記録'!$M$5:$M$3004,$AS239)))</f>
        <v/>
      </c>
      <c r="O239" s="14">
        <f>IF($A239="","",IF(INDEX('潜水記録'!$N$5:$N$3004,$AS239)="","",INDEX('潜水記録'!$N$5:$N$3004,$AS239)))</f>
        <v/>
      </c>
      <c r="P239" s="14">
        <f>IF($A239="","",IF(INDEX('潜水記録'!$O$5:$O$3004,$AS239)="","",INDEX('潜水記録'!$O$5:$O$3004,$AS239)))</f>
        <v/>
      </c>
      <c r="Q239" s="14">
        <f>IF($A239="","",IF(INDEX('潜水記録'!$P$5:$P$3004,$AS239)="","",INDEX('潜水記録'!$P$5:$P$3004,$AS239)))</f>
        <v/>
      </c>
      <c r="R239" s="14">
        <f>IF($A239="","",IF(INDEX('潜水記録'!$Q$5:$Q$3004,$AS239)="","",INDEX('潜水記録'!$Q$5:$Q$3004,$AS239)))</f>
        <v/>
      </c>
      <c r="S239" s="14">
        <f>IF($A239="","",IF(INDEX('潜水記録'!$R$5:$R$3004,$AS239)="","",INDEX('潜水記録'!$R$5:$R$3004,$AS239)))</f>
        <v/>
      </c>
      <c r="T239" s="14">
        <f>IF($A239="","",IF(INDEX('潜水記録'!$S$5:$S$3004,$AS239)="","",INDEX('潜水記録'!$S$5:$S$3004,$AS239)))</f>
        <v/>
      </c>
      <c r="U239" s="14">
        <f>IF($A239="","",IF(INDEX('潜水記録'!$T$5:$T$3004,$AS239)="","",INDEX('潜水記録'!$T$5:$T$3004,$AS239)))</f>
        <v/>
      </c>
      <c r="V239" s="46">
        <f>IF($A239="","",IF(INDEX('潜水記録'!$U$5:$U$3004,$AS239)="","",INDEX('潜水記録'!$U$5:$U$3004,$AS239)))</f>
        <v/>
      </c>
      <c r="W239" s="46">
        <f>IF($A239="","",IF(INDEX('潜水記録'!$V$5:$V$3004,$AS239)="","",INDEX('潜水記録'!$V$5:$V$3004,$AS239)))</f>
        <v/>
      </c>
      <c r="X239" s="14">
        <f>IF($A239="","",IF(INDEX('潜水記録'!$W$5:$W$3004,$AS239)="","",INDEX('潜水記録'!$W$5:$W$3004,$AS239)))</f>
        <v/>
      </c>
      <c r="Y239" s="14">
        <f>IF($A239="","",IF(INDEX('潜水記録'!$X$5:$X$3004,$AS239)="","",INDEX('潜水記録'!$X$5:$X$3004,$AS239)))</f>
        <v/>
      </c>
      <c r="Z239" s="14">
        <f>IF($A239="","",IF(INDEX('潜水記録'!$Y$5:$Y$3004,$AS239)="","",INDEX('潜水記録'!$Y$5:$Y$3004,$AS239)))</f>
        <v/>
      </c>
      <c r="AA239" s="14">
        <f>IF($A239="","",IF(INDEX('潜水記録'!$Z$5:$Z$3004,$AS239)="","",INDEX('潜水記録'!$Z$5:$Z$3004,$AS239)))</f>
        <v/>
      </c>
      <c r="AB239" s="14">
        <f>IF($A239="","",IF(INDEX('潜水記録'!$AA$5:$AA$3004,$AS239)="","",INDEX('潜水記録'!$AA$5:$AA$3004,$AS239)))</f>
        <v/>
      </c>
      <c r="AC239" s="14">
        <f>IF($A239="","",IF(INDEX('潜水記録'!$AB$5:$AB$3004,$AS239)="","",INDEX('潜水記録'!$AB$5:$AB$3004,$AS239)))</f>
        <v/>
      </c>
      <c r="AD239" s="14">
        <f>IF($A239="","",IF(INDEX('潜水記録'!$AC$5:$AC$3004,$AS239)="","",INDEX('潜水記録'!$AC$5:$AC$3004,$AS239)))</f>
        <v/>
      </c>
      <c r="AE239" s="14">
        <f>IF($A239="","",IF(INDEX('潜水記録'!$AD$5:$AD$3004,$AS239)="","",INDEX('潜水記録'!$AD$5:$AD$3004,$AS239)))</f>
        <v/>
      </c>
      <c r="AF239" s="14">
        <f>IF($A239="","",IF(INDEX('潜水記録'!$AE$5:$AE$3004,$AS239)="","",INDEX('潜水記録'!$AE$5:$AE$3004,$AS239)))</f>
        <v/>
      </c>
      <c r="AG239" s="14">
        <f>IF($A239="","",IF(INDEX('潜水記録'!$AL$5:$AL$3004,$AS239)="","",INDEX('潜水記録'!$AL$5:$AL$3004,$AS239)))</f>
        <v/>
      </c>
      <c r="AH239" s="14">
        <f>IF($A239="","",IF(INDEX('潜水記録'!$AM$5:$AM$3004,$AS239)="","",INDEX('潜水記録'!$AM$5:$AM$3004,$AS239)))</f>
        <v/>
      </c>
      <c r="AI239" s="46">
        <f>IF($A239="","",IF(INDEX('潜水記録'!$AN$5:$AN$3004,$AS239)="","",INDEX('潜水記録'!$AN$5:$AN$3004,$AS239)))</f>
        <v/>
      </c>
      <c r="AJ239" s="14">
        <f>IF($A239="","",IF(INDEX('潜水記録'!$AO$5:$AO$3004,$AS239)="","",INDEX('潜水記録'!$AO$5:$AO$3004,$AS239)))</f>
        <v/>
      </c>
      <c r="AK239" s="14">
        <f>IF($A239="","",IF(INDEX('潜水記録'!$AP$5:$AP$3004,$AS239)="","",INDEX('潜水記録'!$AP$5:$AP$3004,$AS239)))</f>
        <v/>
      </c>
      <c r="AL239" s="14">
        <f>IF($A239="","",IF(INDEX('潜水記録'!$AQ$5:$AQ$3004,$AS239)="","",INDEX('潜水記録'!$AQ$5:$AQ$3004,$AS239)))</f>
        <v/>
      </c>
      <c r="AM239" s="14">
        <f>IF($A239="","",IF(INDEX('潜水記録'!$AR$5:$AR$3004,$AS239)="","",INDEX('潜水記録'!$AR$5:$AR$3004,$AS239)))</f>
        <v/>
      </c>
      <c r="AN239" s="14">
        <f>IF($A239="","",IF(INDEX('潜水記録'!$AS$5:$AS$3004,$AS239)="","",INDEX('潜水記録'!$AS$5:$AS$3004,$AS239)))</f>
        <v/>
      </c>
      <c r="AO239" s="14">
        <f>IF($A239="","",IF(INDEX('潜水記録'!$AT$5:$AT$3004,$AS239)="","",INDEX('潜水記録'!$AT$5:$AT$3004,$AS239)))</f>
        <v/>
      </c>
      <c r="AP239" s="14">
        <f>IF($A239="","",IF(INDEX('潜水記録'!$AU$5:$AU$3004,$AS239)="","",INDEX('潜水記録'!$AU$5:$AU$3004,$AS239)))</f>
        <v/>
      </c>
      <c r="AQ239" s="14">
        <f>IF($A239="","",IF(INDEX('潜水記録'!$AV$5:$AV$3004,$AS239)="","",INDEX('潜水記録'!$AV$5:$AV$3004,$AS239)))</f>
        <v/>
      </c>
      <c r="AR239" s="14">
        <f>IF($A239="","",IF(INDEX('潜水記録'!$AW$5:$AW$3004,$AS239)="","",INDEX('潜水記録'!$AW$5:$AW$3004,$AS239)))</f>
        <v/>
      </c>
      <c r="AS239" s="20">
        <f>IF($A239="","",MATCH($A239,'潜水記録'!$AI$5:$AI$3004,0))</f>
        <v/>
      </c>
    </row>
    <row r="240">
      <c r="A240" s="14">
        <f>IF(230&lt;=$C$8,230,"")</f>
        <v/>
      </c>
      <c r="B240" s="16">
        <f>IF($A240="","",IF(INDEX('潜水記録'!$A$5:$A$3004,$AS240)="","",INDEX('潜水記録'!$A$5:$A$3004,$AS240)))</f>
        <v/>
      </c>
      <c r="C240" s="14">
        <f>IF($A240="","",IF(INDEX('潜水記録'!$B$5:$B$3004,$AS240)="","",INDEX('潜水記録'!$B$5:$B$3004,$AS240)))</f>
        <v/>
      </c>
      <c r="D240" s="14">
        <f>IF($A240="","",IF(INDEX('潜水記録'!$C$5:$C$3004,$AS240)="","",INDEX('潜水記録'!$C$5:$C$3004,$AS240)))</f>
        <v/>
      </c>
      <c r="E240" s="14">
        <f>IF($A240="","",IF(INDEX('潜水記録'!$D$5:$D$3004,$AS240)="","",INDEX('潜水記録'!$D$5:$D$3004,$AS240)))</f>
        <v/>
      </c>
      <c r="F240" s="14">
        <f>IF($A240="","",IF(INDEX('潜水記録'!$E$5:$E$3004,$AS240)="","",INDEX('潜水記録'!$E$5:$E$3004,$AS240)))</f>
        <v/>
      </c>
      <c r="G240" s="14">
        <f>IF($A240="","",IF(INDEX('潜水記録'!$F$5:$F$3004,$AS240)="","",INDEX('潜水記録'!$F$5:$F$3004,$AS240)))</f>
        <v/>
      </c>
      <c r="H240" s="14">
        <f>IF($A240="","",IF(INDEX('潜水記録'!$G$5:$G$3004,$AS240)="","",INDEX('潜水記録'!$G$5:$G$3004,$AS240)))</f>
        <v/>
      </c>
      <c r="I240" s="14">
        <f>IF($A240="","",IF(INDEX('潜水記録'!$H$5:$H$3004,$AS240)="","",INDEX('潜水記録'!$H$5:$H$3004,$AS240)))</f>
        <v/>
      </c>
      <c r="J240" s="14">
        <f>IF($A240="","",IF(INDEX('潜水記録'!$I$5:$I$3004,$AS240)="","",INDEX('潜水記録'!$I$5:$I$3004,$AS240)))</f>
        <v/>
      </c>
      <c r="K240" s="14">
        <f>IF($A240="","",IF(INDEX('潜水記録'!$J$5:$J$3004,$AS240)="","",INDEX('潜水記録'!$J$5:$J$3004,$AS240)))</f>
        <v/>
      </c>
      <c r="L240" s="14">
        <f>IF($A240="","",IF(INDEX('潜水記録'!$K$5:$K$3004,$AS240)="","",INDEX('潜水記録'!$K$5:$K$3004,$AS240)))</f>
        <v/>
      </c>
      <c r="M240" s="14">
        <f>IF($A240="","",IF(INDEX('潜水記録'!$L$5:$L$3004,$AS240)="","",INDEX('潜水記録'!$L$5:$L$3004,$AS240)))</f>
        <v/>
      </c>
      <c r="N240" s="14">
        <f>IF($A240="","",IF(INDEX('潜水記録'!$M$5:$M$3004,$AS240)="","",INDEX('潜水記録'!$M$5:$M$3004,$AS240)))</f>
        <v/>
      </c>
      <c r="O240" s="14">
        <f>IF($A240="","",IF(INDEX('潜水記録'!$N$5:$N$3004,$AS240)="","",INDEX('潜水記録'!$N$5:$N$3004,$AS240)))</f>
        <v/>
      </c>
      <c r="P240" s="14">
        <f>IF($A240="","",IF(INDEX('潜水記録'!$O$5:$O$3004,$AS240)="","",INDEX('潜水記録'!$O$5:$O$3004,$AS240)))</f>
        <v/>
      </c>
      <c r="Q240" s="14">
        <f>IF($A240="","",IF(INDEX('潜水記録'!$P$5:$P$3004,$AS240)="","",INDEX('潜水記録'!$P$5:$P$3004,$AS240)))</f>
        <v/>
      </c>
      <c r="R240" s="14">
        <f>IF($A240="","",IF(INDEX('潜水記録'!$Q$5:$Q$3004,$AS240)="","",INDEX('潜水記録'!$Q$5:$Q$3004,$AS240)))</f>
        <v/>
      </c>
      <c r="S240" s="14">
        <f>IF($A240="","",IF(INDEX('潜水記録'!$R$5:$R$3004,$AS240)="","",INDEX('潜水記録'!$R$5:$R$3004,$AS240)))</f>
        <v/>
      </c>
      <c r="T240" s="14">
        <f>IF($A240="","",IF(INDEX('潜水記録'!$S$5:$S$3004,$AS240)="","",INDEX('潜水記録'!$S$5:$S$3004,$AS240)))</f>
        <v/>
      </c>
      <c r="U240" s="14">
        <f>IF($A240="","",IF(INDEX('潜水記録'!$T$5:$T$3004,$AS240)="","",INDEX('潜水記録'!$T$5:$T$3004,$AS240)))</f>
        <v/>
      </c>
      <c r="V240" s="46">
        <f>IF($A240="","",IF(INDEX('潜水記録'!$U$5:$U$3004,$AS240)="","",INDEX('潜水記録'!$U$5:$U$3004,$AS240)))</f>
        <v/>
      </c>
      <c r="W240" s="46">
        <f>IF($A240="","",IF(INDEX('潜水記録'!$V$5:$V$3004,$AS240)="","",INDEX('潜水記録'!$V$5:$V$3004,$AS240)))</f>
        <v/>
      </c>
      <c r="X240" s="14">
        <f>IF($A240="","",IF(INDEX('潜水記録'!$W$5:$W$3004,$AS240)="","",INDEX('潜水記録'!$W$5:$W$3004,$AS240)))</f>
        <v/>
      </c>
      <c r="Y240" s="14">
        <f>IF($A240="","",IF(INDEX('潜水記録'!$X$5:$X$3004,$AS240)="","",INDEX('潜水記録'!$X$5:$X$3004,$AS240)))</f>
        <v/>
      </c>
      <c r="Z240" s="14">
        <f>IF($A240="","",IF(INDEX('潜水記録'!$Y$5:$Y$3004,$AS240)="","",INDEX('潜水記録'!$Y$5:$Y$3004,$AS240)))</f>
        <v/>
      </c>
      <c r="AA240" s="14">
        <f>IF($A240="","",IF(INDEX('潜水記録'!$Z$5:$Z$3004,$AS240)="","",INDEX('潜水記録'!$Z$5:$Z$3004,$AS240)))</f>
        <v/>
      </c>
      <c r="AB240" s="14">
        <f>IF($A240="","",IF(INDEX('潜水記録'!$AA$5:$AA$3004,$AS240)="","",INDEX('潜水記録'!$AA$5:$AA$3004,$AS240)))</f>
        <v/>
      </c>
      <c r="AC240" s="14">
        <f>IF($A240="","",IF(INDEX('潜水記録'!$AB$5:$AB$3004,$AS240)="","",INDEX('潜水記録'!$AB$5:$AB$3004,$AS240)))</f>
        <v/>
      </c>
      <c r="AD240" s="14">
        <f>IF($A240="","",IF(INDEX('潜水記録'!$AC$5:$AC$3004,$AS240)="","",INDEX('潜水記録'!$AC$5:$AC$3004,$AS240)))</f>
        <v/>
      </c>
      <c r="AE240" s="14">
        <f>IF($A240="","",IF(INDEX('潜水記録'!$AD$5:$AD$3004,$AS240)="","",INDEX('潜水記録'!$AD$5:$AD$3004,$AS240)))</f>
        <v/>
      </c>
      <c r="AF240" s="14">
        <f>IF($A240="","",IF(INDEX('潜水記録'!$AE$5:$AE$3004,$AS240)="","",INDEX('潜水記録'!$AE$5:$AE$3004,$AS240)))</f>
        <v/>
      </c>
      <c r="AG240" s="14">
        <f>IF($A240="","",IF(INDEX('潜水記録'!$AL$5:$AL$3004,$AS240)="","",INDEX('潜水記録'!$AL$5:$AL$3004,$AS240)))</f>
        <v/>
      </c>
      <c r="AH240" s="14">
        <f>IF($A240="","",IF(INDEX('潜水記録'!$AM$5:$AM$3004,$AS240)="","",INDEX('潜水記録'!$AM$5:$AM$3004,$AS240)))</f>
        <v/>
      </c>
      <c r="AI240" s="46">
        <f>IF($A240="","",IF(INDEX('潜水記録'!$AN$5:$AN$3004,$AS240)="","",INDEX('潜水記録'!$AN$5:$AN$3004,$AS240)))</f>
        <v/>
      </c>
      <c r="AJ240" s="14">
        <f>IF($A240="","",IF(INDEX('潜水記録'!$AO$5:$AO$3004,$AS240)="","",INDEX('潜水記録'!$AO$5:$AO$3004,$AS240)))</f>
        <v/>
      </c>
      <c r="AK240" s="14">
        <f>IF($A240="","",IF(INDEX('潜水記録'!$AP$5:$AP$3004,$AS240)="","",INDEX('潜水記録'!$AP$5:$AP$3004,$AS240)))</f>
        <v/>
      </c>
      <c r="AL240" s="14">
        <f>IF($A240="","",IF(INDEX('潜水記録'!$AQ$5:$AQ$3004,$AS240)="","",INDEX('潜水記録'!$AQ$5:$AQ$3004,$AS240)))</f>
        <v/>
      </c>
      <c r="AM240" s="14">
        <f>IF($A240="","",IF(INDEX('潜水記録'!$AR$5:$AR$3004,$AS240)="","",INDEX('潜水記録'!$AR$5:$AR$3004,$AS240)))</f>
        <v/>
      </c>
      <c r="AN240" s="14">
        <f>IF($A240="","",IF(INDEX('潜水記録'!$AS$5:$AS$3004,$AS240)="","",INDEX('潜水記録'!$AS$5:$AS$3004,$AS240)))</f>
        <v/>
      </c>
      <c r="AO240" s="14">
        <f>IF($A240="","",IF(INDEX('潜水記録'!$AT$5:$AT$3004,$AS240)="","",INDEX('潜水記録'!$AT$5:$AT$3004,$AS240)))</f>
        <v/>
      </c>
      <c r="AP240" s="14">
        <f>IF($A240="","",IF(INDEX('潜水記録'!$AU$5:$AU$3004,$AS240)="","",INDEX('潜水記録'!$AU$5:$AU$3004,$AS240)))</f>
        <v/>
      </c>
      <c r="AQ240" s="14">
        <f>IF($A240="","",IF(INDEX('潜水記録'!$AV$5:$AV$3004,$AS240)="","",INDEX('潜水記録'!$AV$5:$AV$3004,$AS240)))</f>
        <v/>
      </c>
      <c r="AR240" s="14">
        <f>IF($A240="","",IF(INDEX('潜水記録'!$AW$5:$AW$3004,$AS240)="","",INDEX('潜水記録'!$AW$5:$AW$3004,$AS240)))</f>
        <v/>
      </c>
      <c r="AS240" s="20">
        <f>IF($A240="","",MATCH($A240,'潜水記録'!$AI$5:$AI$3004,0))</f>
        <v/>
      </c>
    </row>
    <row r="241">
      <c r="A241" s="14">
        <f>IF(231&lt;=$C$8,231,"")</f>
        <v/>
      </c>
      <c r="B241" s="16">
        <f>IF($A241="","",IF(INDEX('潜水記録'!$A$5:$A$3004,$AS241)="","",INDEX('潜水記録'!$A$5:$A$3004,$AS241)))</f>
        <v/>
      </c>
      <c r="C241" s="14">
        <f>IF($A241="","",IF(INDEX('潜水記録'!$B$5:$B$3004,$AS241)="","",INDEX('潜水記録'!$B$5:$B$3004,$AS241)))</f>
        <v/>
      </c>
      <c r="D241" s="14">
        <f>IF($A241="","",IF(INDEX('潜水記録'!$C$5:$C$3004,$AS241)="","",INDEX('潜水記録'!$C$5:$C$3004,$AS241)))</f>
        <v/>
      </c>
      <c r="E241" s="14">
        <f>IF($A241="","",IF(INDEX('潜水記録'!$D$5:$D$3004,$AS241)="","",INDEX('潜水記録'!$D$5:$D$3004,$AS241)))</f>
        <v/>
      </c>
      <c r="F241" s="14">
        <f>IF($A241="","",IF(INDEX('潜水記録'!$E$5:$E$3004,$AS241)="","",INDEX('潜水記録'!$E$5:$E$3004,$AS241)))</f>
        <v/>
      </c>
      <c r="G241" s="14">
        <f>IF($A241="","",IF(INDEX('潜水記録'!$F$5:$F$3004,$AS241)="","",INDEX('潜水記録'!$F$5:$F$3004,$AS241)))</f>
        <v/>
      </c>
      <c r="H241" s="14">
        <f>IF($A241="","",IF(INDEX('潜水記録'!$G$5:$G$3004,$AS241)="","",INDEX('潜水記録'!$G$5:$G$3004,$AS241)))</f>
        <v/>
      </c>
      <c r="I241" s="14">
        <f>IF($A241="","",IF(INDEX('潜水記録'!$H$5:$H$3004,$AS241)="","",INDEX('潜水記録'!$H$5:$H$3004,$AS241)))</f>
        <v/>
      </c>
      <c r="J241" s="14">
        <f>IF($A241="","",IF(INDEX('潜水記録'!$I$5:$I$3004,$AS241)="","",INDEX('潜水記録'!$I$5:$I$3004,$AS241)))</f>
        <v/>
      </c>
      <c r="K241" s="14">
        <f>IF($A241="","",IF(INDEX('潜水記録'!$J$5:$J$3004,$AS241)="","",INDEX('潜水記録'!$J$5:$J$3004,$AS241)))</f>
        <v/>
      </c>
      <c r="L241" s="14">
        <f>IF($A241="","",IF(INDEX('潜水記録'!$K$5:$K$3004,$AS241)="","",INDEX('潜水記録'!$K$5:$K$3004,$AS241)))</f>
        <v/>
      </c>
      <c r="M241" s="14">
        <f>IF($A241="","",IF(INDEX('潜水記録'!$L$5:$L$3004,$AS241)="","",INDEX('潜水記録'!$L$5:$L$3004,$AS241)))</f>
        <v/>
      </c>
      <c r="N241" s="14">
        <f>IF($A241="","",IF(INDEX('潜水記録'!$M$5:$M$3004,$AS241)="","",INDEX('潜水記録'!$M$5:$M$3004,$AS241)))</f>
        <v/>
      </c>
      <c r="O241" s="14">
        <f>IF($A241="","",IF(INDEX('潜水記録'!$N$5:$N$3004,$AS241)="","",INDEX('潜水記録'!$N$5:$N$3004,$AS241)))</f>
        <v/>
      </c>
      <c r="P241" s="14">
        <f>IF($A241="","",IF(INDEX('潜水記録'!$O$5:$O$3004,$AS241)="","",INDEX('潜水記録'!$O$5:$O$3004,$AS241)))</f>
        <v/>
      </c>
      <c r="Q241" s="14">
        <f>IF($A241="","",IF(INDEX('潜水記録'!$P$5:$P$3004,$AS241)="","",INDEX('潜水記録'!$P$5:$P$3004,$AS241)))</f>
        <v/>
      </c>
      <c r="R241" s="14">
        <f>IF($A241="","",IF(INDEX('潜水記録'!$Q$5:$Q$3004,$AS241)="","",INDEX('潜水記録'!$Q$5:$Q$3004,$AS241)))</f>
        <v/>
      </c>
      <c r="S241" s="14">
        <f>IF($A241="","",IF(INDEX('潜水記録'!$R$5:$R$3004,$AS241)="","",INDEX('潜水記録'!$R$5:$R$3004,$AS241)))</f>
        <v/>
      </c>
      <c r="T241" s="14">
        <f>IF($A241="","",IF(INDEX('潜水記録'!$S$5:$S$3004,$AS241)="","",INDEX('潜水記録'!$S$5:$S$3004,$AS241)))</f>
        <v/>
      </c>
      <c r="U241" s="14">
        <f>IF($A241="","",IF(INDEX('潜水記録'!$T$5:$T$3004,$AS241)="","",INDEX('潜水記録'!$T$5:$T$3004,$AS241)))</f>
        <v/>
      </c>
      <c r="V241" s="46">
        <f>IF($A241="","",IF(INDEX('潜水記録'!$U$5:$U$3004,$AS241)="","",INDEX('潜水記録'!$U$5:$U$3004,$AS241)))</f>
        <v/>
      </c>
      <c r="W241" s="46">
        <f>IF($A241="","",IF(INDEX('潜水記録'!$V$5:$V$3004,$AS241)="","",INDEX('潜水記録'!$V$5:$V$3004,$AS241)))</f>
        <v/>
      </c>
      <c r="X241" s="14">
        <f>IF($A241="","",IF(INDEX('潜水記録'!$W$5:$W$3004,$AS241)="","",INDEX('潜水記録'!$W$5:$W$3004,$AS241)))</f>
        <v/>
      </c>
      <c r="Y241" s="14">
        <f>IF($A241="","",IF(INDEX('潜水記録'!$X$5:$X$3004,$AS241)="","",INDEX('潜水記録'!$X$5:$X$3004,$AS241)))</f>
        <v/>
      </c>
      <c r="Z241" s="14">
        <f>IF($A241="","",IF(INDEX('潜水記録'!$Y$5:$Y$3004,$AS241)="","",INDEX('潜水記録'!$Y$5:$Y$3004,$AS241)))</f>
        <v/>
      </c>
      <c r="AA241" s="14">
        <f>IF($A241="","",IF(INDEX('潜水記録'!$Z$5:$Z$3004,$AS241)="","",INDEX('潜水記録'!$Z$5:$Z$3004,$AS241)))</f>
        <v/>
      </c>
      <c r="AB241" s="14">
        <f>IF($A241="","",IF(INDEX('潜水記録'!$AA$5:$AA$3004,$AS241)="","",INDEX('潜水記録'!$AA$5:$AA$3004,$AS241)))</f>
        <v/>
      </c>
      <c r="AC241" s="14">
        <f>IF($A241="","",IF(INDEX('潜水記録'!$AB$5:$AB$3004,$AS241)="","",INDEX('潜水記録'!$AB$5:$AB$3004,$AS241)))</f>
        <v/>
      </c>
      <c r="AD241" s="14">
        <f>IF($A241="","",IF(INDEX('潜水記録'!$AC$5:$AC$3004,$AS241)="","",INDEX('潜水記録'!$AC$5:$AC$3004,$AS241)))</f>
        <v/>
      </c>
      <c r="AE241" s="14">
        <f>IF($A241="","",IF(INDEX('潜水記録'!$AD$5:$AD$3004,$AS241)="","",INDEX('潜水記録'!$AD$5:$AD$3004,$AS241)))</f>
        <v/>
      </c>
      <c r="AF241" s="14">
        <f>IF($A241="","",IF(INDEX('潜水記録'!$AE$5:$AE$3004,$AS241)="","",INDEX('潜水記録'!$AE$5:$AE$3004,$AS241)))</f>
        <v/>
      </c>
      <c r="AG241" s="14">
        <f>IF($A241="","",IF(INDEX('潜水記録'!$AL$5:$AL$3004,$AS241)="","",INDEX('潜水記録'!$AL$5:$AL$3004,$AS241)))</f>
        <v/>
      </c>
      <c r="AH241" s="14">
        <f>IF($A241="","",IF(INDEX('潜水記録'!$AM$5:$AM$3004,$AS241)="","",INDEX('潜水記録'!$AM$5:$AM$3004,$AS241)))</f>
        <v/>
      </c>
      <c r="AI241" s="46">
        <f>IF($A241="","",IF(INDEX('潜水記録'!$AN$5:$AN$3004,$AS241)="","",INDEX('潜水記録'!$AN$5:$AN$3004,$AS241)))</f>
        <v/>
      </c>
      <c r="AJ241" s="14">
        <f>IF($A241="","",IF(INDEX('潜水記録'!$AO$5:$AO$3004,$AS241)="","",INDEX('潜水記録'!$AO$5:$AO$3004,$AS241)))</f>
        <v/>
      </c>
      <c r="AK241" s="14">
        <f>IF($A241="","",IF(INDEX('潜水記録'!$AP$5:$AP$3004,$AS241)="","",INDEX('潜水記録'!$AP$5:$AP$3004,$AS241)))</f>
        <v/>
      </c>
      <c r="AL241" s="14">
        <f>IF($A241="","",IF(INDEX('潜水記録'!$AQ$5:$AQ$3004,$AS241)="","",INDEX('潜水記録'!$AQ$5:$AQ$3004,$AS241)))</f>
        <v/>
      </c>
      <c r="AM241" s="14">
        <f>IF($A241="","",IF(INDEX('潜水記録'!$AR$5:$AR$3004,$AS241)="","",INDEX('潜水記録'!$AR$5:$AR$3004,$AS241)))</f>
        <v/>
      </c>
      <c r="AN241" s="14">
        <f>IF($A241="","",IF(INDEX('潜水記録'!$AS$5:$AS$3004,$AS241)="","",INDEX('潜水記録'!$AS$5:$AS$3004,$AS241)))</f>
        <v/>
      </c>
      <c r="AO241" s="14">
        <f>IF($A241="","",IF(INDEX('潜水記録'!$AT$5:$AT$3004,$AS241)="","",INDEX('潜水記録'!$AT$5:$AT$3004,$AS241)))</f>
        <v/>
      </c>
      <c r="AP241" s="14">
        <f>IF($A241="","",IF(INDEX('潜水記録'!$AU$5:$AU$3004,$AS241)="","",INDEX('潜水記録'!$AU$5:$AU$3004,$AS241)))</f>
        <v/>
      </c>
      <c r="AQ241" s="14">
        <f>IF($A241="","",IF(INDEX('潜水記録'!$AV$5:$AV$3004,$AS241)="","",INDEX('潜水記録'!$AV$5:$AV$3004,$AS241)))</f>
        <v/>
      </c>
      <c r="AR241" s="14">
        <f>IF($A241="","",IF(INDEX('潜水記録'!$AW$5:$AW$3004,$AS241)="","",INDEX('潜水記録'!$AW$5:$AW$3004,$AS241)))</f>
        <v/>
      </c>
      <c r="AS241" s="20">
        <f>IF($A241="","",MATCH($A241,'潜水記録'!$AI$5:$AI$3004,0))</f>
        <v/>
      </c>
    </row>
    <row r="242">
      <c r="A242" s="14">
        <f>IF(232&lt;=$C$8,232,"")</f>
        <v/>
      </c>
      <c r="B242" s="16">
        <f>IF($A242="","",IF(INDEX('潜水記録'!$A$5:$A$3004,$AS242)="","",INDEX('潜水記録'!$A$5:$A$3004,$AS242)))</f>
        <v/>
      </c>
      <c r="C242" s="14">
        <f>IF($A242="","",IF(INDEX('潜水記録'!$B$5:$B$3004,$AS242)="","",INDEX('潜水記録'!$B$5:$B$3004,$AS242)))</f>
        <v/>
      </c>
      <c r="D242" s="14">
        <f>IF($A242="","",IF(INDEX('潜水記録'!$C$5:$C$3004,$AS242)="","",INDEX('潜水記録'!$C$5:$C$3004,$AS242)))</f>
        <v/>
      </c>
      <c r="E242" s="14">
        <f>IF($A242="","",IF(INDEX('潜水記録'!$D$5:$D$3004,$AS242)="","",INDEX('潜水記録'!$D$5:$D$3004,$AS242)))</f>
        <v/>
      </c>
      <c r="F242" s="14">
        <f>IF($A242="","",IF(INDEX('潜水記録'!$E$5:$E$3004,$AS242)="","",INDEX('潜水記録'!$E$5:$E$3004,$AS242)))</f>
        <v/>
      </c>
      <c r="G242" s="14">
        <f>IF($A242="","",IF(INDEX('潜水記録'!$F$5:$F$3004,$AS242)="","",INDEX('潜水記録'!$F$5:$F$3004,$AS242)))</f>
        <v/>
      </c>
      <c r="H242" s="14">
        <f>IF($A242="","",IF(INDEX('潜水記録'!$G$5:$G$3004,$AS242)="","",INDEX('潜水記録'!$G$5:$G$3004,$AS242)))</f>
        <v/>
      </c>
      <c r="I242" s="14">
        <f>IF($A242="","",IF(INDEX('潜水記録'!$H$5:$H$3004,$AS242)="","",INDEX('潜水記録'!$H$5:$H$3004,$AS242)))</f>
        <v/>
      </c>
      <c r="J242" s="14">
        <f>IF($A242="","",IF(INDEX('潜水記録'!$I$5:$I$3004,$AS242)="","",INDEX('潜水記録'!$I$5:$I$3004,$AS242)))</f>
        <v/>
      </c>
      <c r="K242" s="14">
        <f>IF($A242="","",IF(INDEX('潜水記録'!$J$5:$J$3004,$AS242)="","",INDEX('潜水記録'!$J$5:$J$3004,$AS242)))</f>
        <v/>
      </c>
      <c r="L242" s="14">
        <f>IF($A242="","",IF(INDEX('潜水記録'!$K$5:$K$3004,$AS242)="","",INDEX('潜水記録'!$K$5:$K$3004,$AS242)))</f>
        <v/>
      </c>
      <c r="M242" s="14">
        <f>IF($A242="","",IF(INDEX('潜水記録'!$L$5:$L$3004,$AS242)="","",INDEX('潜水記録'!$L$5:$L$3004,$AS242)))</f>
        <v/>
      </c>
      <c r="N242" s="14">
        <f>IF($A242="","",IF(INDEX('潜水記録'!$M$5:$M$3004,$AS242)="","",INDEX('潜水記録'!$M$5:$M$3004,$AS242)))</f>
        <v/>
      </c>
      <c r="O242" s="14">
        <f>IF($A242="","",IF(INDEX('潜水記録'!$N$5:$N$3004,$AS242)="","",INDEX('潜水記録'!$N$5:$N$3004,$AS242)))</f>
        <v/>
      </c>
      <c r="P242" s="14">
        <f>IF($A242="","",IF(INDEX('潜水記録'!$O$5:$O$3004,$AS242)="","",INDEX('潜水記録'!$O$5:$O$3004,$AS242)))</f>
        <v/>
      </c>
      <c r="Q242" s="14">
        <f>IF($A242="","",IF(INDEX('潜水記録'!$P$5:$P$3004,$AS242)="","",INDEX('潜水記録'!$P$5:$P$3004,$AS242)))</f>
        <v/>
      </c>
      <c r="R242" s="14">
        <f>IF($A242="","",IF(INDEX('潜水記録'!$Q$5:$Q$3004,$AS242)="","",INDEX('潜水記録'!$Q$5:$Q$3004,$AS242)))</f>
        <v/>
      </c>
      <c r="S242" s="14">
        <f>IF($A242="","",IF(INDEX('潜水記録'!$R$5:$R$3004,$AS242)="","",INDEX('潜水記録'!$R$5:$R$3004,$AS242)))</f>
        <v/>
      </c>
      <c r="T242" s="14">
        <f>IF($A242="","",IF(INDEX('潜水記録'!$S$5:$S$3004,$AS242)="","",INDEX('潜水記録'!$S$5:$S$3004,$AS242)))</f>
        <v/>
      </c>
      <c r="U242" s="14">
        <f>IF($A242="","",IF(INDEX('潜水記録'!$T$5:$T$3004,$AS242)="","",INDEX('潜水記録'!$T$5:$T$3004,$AS242)))</f>
        <v/>
      </c>
      <c r="V242" s="46">
        <f>IF($A242="","",IF(INDEX('潜水記録'!$U$5:$U$3004,$AS242)="","",INDEX('潜水記録'!$U$5:$U$3004,$AS242)))</f>
        <v/>
      </c>
      <c r="W242" s="46">
        <f>IF($A242="","",IF(INDEX('潜水記録'!$V$5:$V$3004,$AS242)="","",INDEX('潜水記録'!$V$5:$V$3004,$AS242)))</f>
        <v/>
      </c>
      <c r="X242" s="14">
        <f>IF($A242="","",IF(INDEX('潜水記録'!$W$5:$W$3004,$AS242)="","",INDEX('潜水記録'!$W$5:$W$3004,$AS242)))</f>
        <v/>
      </c>
      <c r="Y242" s="14">
        <f>IF($A242="","",IF(INDEX('潜水記録'!$X$5:$X$3004,$AS242)="","",INDEX('潜水記録'!$X$5:$X$3004,$AS242)))</f>
        <v/>
      </c>
      <c r="Z242" s="14">
        <f>IF($A242="","",IF(INDEX('潜水記録'!$Y$5:$Y$3004,$AS242)="","",INDEX('潜水記録'!$Y$5:$Y$3004,$AS242)))</f>
        <v/>
      </c>
      <c r="AA242" s="14">
        <f>IF($A242="","",IF(INDEX('潜水記録'!$Z$5:$Z$3004,$AS242)="","",INDEX('潜水記録'!$Z$5:$Z$3004,$AS242)))</f>
        <v/>
      </c>
      <c r="AB242" s="14">
        <f>IF($A242="","",IF(INDEX('潜水記録'!$AA$5:$AA$3004,$AS242)="","",INDEX('潜水記録'!$AA$5:$AA$3004,$AS242)))</f>
        <v/>
      </c>
      <c r="AC242" s="14">
        <f>IF($A242="","",IF(INDEX('潜水記録'!$AB$5:$AB$3004,$AS242)="","",INDEX('潜水記録'!$AB$5:$AB$3004,$AS242)))</f>
        <v/>
      </c>
      <c r="AD242" s="14">
        <f>IF($A242="","",IF(INDEX('潜水記録'!$AC$5:$AC$3004,$AS242)="","",INDEX('潜水記録'!$AC$5:$AC$3004,$AS242)))</f>
        <v/>
      </c>
      <c r="AE242" s="14">
        <f>IF($A242="","",IF(INDEX('潜水記録'!$AD$5:$AD$3004,$AS242)="","",INDEX('潜水記録'!$AD$5:$AD$3004,$AS242)))</f>
        <v/>
      </c>
      <c r="AF242" s="14">
        <f>IF($A242="","",IF(INDEX('潜水記録'!$AE$5:$AE$3004,$AS242)="","",INDEX('潜水記録'!$AE$5:$AE$3004,$AS242)))</f>
        <v/>
      </c>
      <c r="AG242" s="14">
        <f>IF($A242="","",IF(INDEX('潜水記録'!$AL$5:$AL$3004,$AS242)="","",INDEX('潜水記録'!$AL$5:$AL$3004,$AS242)))</f>
        <v/>
      </c>
      <c r="AH242" s="14">
        <f>IF($A242="","",IF(INDEX('潜水記録'!$AM$5:$AM$3004,$AS242)="","",INDEX('潜水記録'!$AM$5:$AM$3004,$AS242)))</f>
        <v/>
      </c>
      <c r="AI242" s="46">
        <f>IF($A242="","",IF(INDEX('潜水記録'!$AN$5:$AN$3004,$AS242)="","",INDEX('潜水記録'!$AN$5:$AN$3004,$AS242)))</f>
        <v/>
      </c>
      <c r="AJ242" s="14">
        <f>IF($A242="","",IF(INDEX('潜水記録'!$AO$5:$AO$3004,$AS242)="","",INDEX('潜水記録'!$AO$5:$AO$3004,$AS242)))</f>
        <v/>
      </c>
      <c r="AK242" s="14">
        <f>IF($A242="","",IF(INDEX('潜水記録'!$AP$5:$AP$3004,$AS242)="","",INDEX('潜水記録'!$AP$5:$AP$3004,$AS242)))</f>
        <v/>
      </c>
      <c r="AL242" s="14">
        <f>IF($A242="","",IF(INDEX('潜水記録'!$AQ$5:$AQ$3004,$AS242)="","",INDEX('潜水記録'!$AQ$5:$AQ$3004,$AS242)))</f>
        <v/>
      </c>
      <c r="AM242" s="14">
        <f>IF($A242="","",IF(INDEX('潜水記録'!$AR$5:$AR$3004,$AS242)="","",INDEX('潜水記録'!$AR$5:$AR$3004,$AS242)))</f>
        <v/>
      </c>
      <c r="AN242" s="14">
        <f>IF($A242="","",IF(INDEX('潜水記録'!$AS$5:$AS$3004,$AS242)="","",INDEX('潜水記録'!$AS$5:$AS$3004,$AS242)))</f>
        <v/>
      </c>
      <c r="AO242" s="14">
        <f>IF($A242="","",IF(INDEX('潜水記録'!$AT$5:$AT$3004,$AS242)="","",INDEX('潜水記録'!$AT$5:$AT$3004,$AS242)))</f>
        <v/>
      </c>
      <c r="AP242" s="14">
        <f>IF($A242="","",IF(INDEX('潜水記録'!$AU$5:$AU$3004,$AS242)="","",INDEX('潜水記録'!$AU$5:$AU$3004,$AS242)))</f>
        <v/>
      </c>
      <c r="AQ242" s="14">
        <f>IF($A242="","",IF(INDEX('潜水記録'!$AV$5:$AV$3004,$AS242)="","",INDEX('潜水記録'!$AV$5:$AV$3004,$AS242)))</f>
        <v/>
      </c>
      <c r="AR242" s="14">
        <f>IF($A242="","",IF(INDEX('潜水記録'!$AW$5:$AW$3004,$AS242)="","",INDEX('潜水記録'!$AW$5:$AW$3004,$AS242)))</f>
        <v/>
      </c>
      <c r="AS242" s="20">
        <f>IF($A242="","",MATCH($A242,'潜水記録'!$AI$5:$AI$3004,0))</f>
        <v/>
      </c>
    </row>
    <row r="243">
      <c r="A243" s="14">
        <f>IF(233&lt;=$C$8,233,"")</f>
        <v/>
      </c>
      <c r="B243" s="16">
        <f>IF($A243="","",IF(INDEX('潜水記録'!$A$5:$A$3004,$AS243)="","",INDEX('潜水記録'!$A$5:$A$3004,$AS243)))</f>
        <v/>
      </c>
      <c r="C243" s="14">
        <f>IF($A243="","",IF(INDEX('潜水記録'!$B$5:$B$3004,$AS243)="","",INDEX('潜水記録'!$B$5:$B$3004,$AS243)))</f>
        <v/>
      </c>
      <c r="D243" s="14">
        <f>IF($A243="","",IF(INDEX('潜水記録'!$C$5:$C$3004,$AS243)="","",INDEX('潜水記録'!$C$5:$C$3004,$AS243)))</f>
        <v/>
      </c>
      <c r="E243" s="14">
        <f>IF($A243="","",IF(INDEX('潜水記録'!$D$5:$D$3004,$AS243)="","",INDEX('潜水記録'!$D$5:$D$3004,$AS243)))</f>
        <v/>
      </c>
      <c r="F243" s="14">
        <f>IF($A243="","",IF(INDEX('潜水記録'!$E$5:$E$3004,$AS243)="","",INDEX('潜水記録'!$E$5:$E$3004,$AS243)))</f>
        <v/>
      </c>
      <c r="G243" s="14">
        <f>IF($A243="","",IF(INDEX('潜水記録'!$F$5:$F$3004,$AS243)="","",INDEX('潜水記録'!$F$5:$F$3004,$AS243)))</f>
        <v/>
      </c>
      <c r="H243" s="14">
        <f>IF($A243="","",IF(INDEX('潜水記録'!$G$5:$G$3004,$AS243)="","",INDEX('潜水記録'!$G$5:$G$3004,$AS243)))</f>
        <v/>
      </c>
      <c r="I243" s="14">
        <f>IF($A243="","",IF(INDEX('潜水記録'!$H$5:$H$3004,$AS243)="","",INDEX('潜水記録'!$H$5:$H$3004,$AS243)))</f>
        <v/>
      </c>
      <c r="J243" s="14">
        <f>IF($A243="","",IF(INDEX('潜水記録'!$I$5:$I$3004,$AS243)="","",INDEX('潜水記録'!$I$5:$I$3004,$AS243)))</f>
        <v/>
      </c>
      <c r="K243" s="14">
        <f>IF($A243="","",IF(INDEX('潜水記録'!$J$5:$J$3004,$AS243)="","",INDEX('潜水記録'!$J$5:$J$3004,$AS243)))</f>
        <v/>
      </c>
      <c r="L243" s="14">
        <f>IF($A243="","",IF(INDEX('潜水記録'!$K$5:$K$3004,$AS243)="","",INDEX('潜水記録'!$K$5:$K$3004,$AS243)))</f>
        <v/>
      </c>
      <c r="M243" s="14">
        <f>IF($A243="","",IF(INDEX('潜水記録'!$L$5:$L$3004,$AS243)="","",INDEX('潜水記録'!$L$5:$L$3004,$AS243)))</f>
        <v/>
      </c>
      <c r="N243" s="14">
        <f>IF($A243="","",IF(INDEX('潜水記録'!$M$5:$M$3004,$AS243)="","",INDEX('潜水記録'!$M$5:$M$3004,$AS243)))</f>
        <v/>
      </c>
      <c r="O243" s="14">
        <f>IF($A243="","",IF(INDEX('潜水記録'!$N$5:$N$3004,$AS243)="","",INDEX('潜水記録'!$N$5:$N$3004,$AS243)))</f>
        <v/>
      </c>
      <c r="P243" s="14">
        <f>IF($A243="","",IF(INDEX('潜水記録'!$O$5:$O$3004,$AS243)="","",INDEX('潜水記録'!$O$5:$O$3004,$AS243)))</f>
        <v/>
      </c>
      <c r="Q243" s="14">
        <f>IF($A243="","",IF(INDEX('潜水記録'!$P$5:$P$3004,$AS243)="","",INDEX('潜水記録'!$P$5:$P$3004,$AS243)))</f>
        <v/>
      </c>
      <c r="R243" s="14">
        <f>IF($A243="","",IF(INDEX('潜水記録'!$Q$5:$Q$3004,$AS243)="","",INDEX('潜水記録'!$Q$5:$Q$3004,$AS243)))</f>
        <v/>
      </c>
      <c r="S243" s="14">
        <f>IF($A243="","",IF(INDEX('潜水記録'!$R$5:$R$3004,$AS243)="","",INDEX('潜水記録'!$R$5:$R$3004,$AS243)))</f>
        <v/>
      </c>
      <c r="T243" s="14">
        <f>IF($A243="","",IF(INDEX('潜水記録'!$S$5:$S$3004,$AS243)="","",INDEX('潜水記録'!$S$5:$S$3004,$AS243)))</f>
        <v/>
      </c>
      <c r="U243" s="14">
        <f>IF($A243="","",IF(INDEX('潜水記録'!$T$5:$T$3004,$AS243)="","",INDEX('潜水記録'!$T$5:$T$3004,$AS243)))</f>
        <v/>
      </c>
      <c r="V243" s="46">
        <f>IF($A243="","",IF(INDEX('潜水記録'!$U$5:$U$3004,$AS243)="","",INDEX('潜水記録'!$U$5:$U$3004,$AS243)))</f>
        <v/>
      </c>
      <c r="W243" s="46">
        <f>IF($A243="","",IF(INDEX('潜水記録'!$V$5:$V$3004,$AS243)="","",INDEX('潜水記録'!$V$5:$V$3004,$AS243)))</f>
        <v/>
      </c>
      <c r="X243" s="14">
        <f>IF($A243="","",IF(INDEX('潜水記録'!$W$5:$W$3004,$AS243)="","",INDEX('潜水記録'!$W$5:$W$3004,$AS243)))</f>
        <v/>
      </c>
      <c r="Y243" s="14">
        <f>IF($A243="","",IF(INDEX('潜水記録'!$X$5:$X$3004,$AS243)="","",INDEX('潜水記録'!$X$5:$X$3004,$AS243)))</f>
        <v/>
      </c>
      <c r="Z243" s="14">
        <f>IF($A243="","",IF(INDEX('潜水記録'!$Y$5:$Y$3004,$AS243)="","",INDEX('潜水記録'!$Y$5:$Y$3004,$AS243)))</f>
        <v/>
      </c>
      <c r="AA243" s="14">
        <f>IF($A243="","",IF(INDEX('潜水記録'!$Z$5:$Z$3004,$AS243)="","",INDEX('潜水記録'!$Z$5:$Z$3004,$AS243)))</f>
        <v/>
      </c>
      <c r="AB243" s="14">
        <f>IF($A243="","",IF(INDEX('潜水記録'!$AA$5:$AA$3004,$AS243)="","",INDEX('潜水記録'!$AA$5:$AA$3004,$AS243)))</f>
        <v/>
      </c>
      <c r="AC243" s="14">
        <f>IF($A243="","",IF(INDEX('潜水記録'!$AB$5:$AB$3004,$AS243)="","",INDEX('潜水記録'!$AB$5:$AB$3004,$AS243)))</f>
        <v/>
      </c>
      <c r="AD243" s="14">
        <f>IF($A243="","",IF(INDEX('潜水記録'!$AC$5:$AC$3004,$AS243)="","",INDEX('潜水記録'!$AC$5:$AC$3004,$AS243)))</f>
        <v/>
      </c>
      <c r="AE243" s="14">
        <f>IF($A243="","",IF(INDEX('潜水記録'!$AD$5:$AD$3004,$AS243)="","",INDEX('潜水記録'!$AD$5:$AD$3004,$AS243)))</f>
        <v/>
      </c>
      <c r="AF243" s="14">
        <f>IF($A243="","",IF(INDEX('潜水記録'!$AE$5:$AE$3004,$AS243)="","",INDEX('潜水記録'!$AE$5:$AE$3004,$AS243)))</f>
        <v/>
      </c>
      <c r="AG243" s="14">
        <f>IF($A243="","",IF(INDEX('潜水記録'!$AL$5:$AL$3004,$AS243)="","",INDEX('潜水記録'!$AL$5:$AL$3004,$AS243)))</f>
        <v/>
      </c>
      <c r="AH243" s="14">
        <f>IF($A243="","",IF(INDEX('潜水記録'!$AM$5:$AM$3004,$AS243)="","",INDEX('潜水記録'!$AM$5:$AM$3004,$AS243)))</f>
        <v/>
      </c>
      <c r="AI243" s="46">
        <f>IF($A243="","",IF(INDEX('潜水記録'!$AN$5:$AN$3004,$AS243)="","",INDEX('潜水記録'!$AN$5:$AN$3004,$AS243)))</f>
        <v/>
      </c>
      <c r="AJ243" s="14">
        <f>IF($A243="","",IF(INDEX('潜水記録'!$AO$5:$AO$3004,$AS243)="","",INDEX('潜水記録'!$AO$5:$AO$3004,$AS243)))</f>
        <v/>
      </c>
      <c r="AK243" s="14">
        <f>IF($A243="","",IF(INDEX('潜水記録'!$AP$5:$AP$3004,$AS243)="","",INDEX('潜水記録'!$AP$5:$AP$3004,$AS243)))</f>
        <v/>
      </c>
      <c r="AL243" s="14">
        <f>IF($A243="","",IF(INDEX('潜水記録'!$AQ$5:$AQ$3004,$AS243)="","",INDEX('潜水記録'!$AQ$5:$AQ$3004,$AS243)))</f>
        <v/>
      </c>
      <c r="AM243" s="14">
        <f>IF($A243="","",IF(INDEX('潜水記録'!$AR$5:$AR$3004,$AS243)="","",INDEX('潜水記録'!$AR$5:$AR$3004,$AS243)))</f>
        <v/>
      </c>
      <c r="AN243" s="14">
        <f>IF($A243="","",IF(INDEX('潜水記録'!$AS$5:$AS$3004,$AS243)="","",INDEX('潜水記録'!$AS$5:$AS$3004,$AS243)))</f>
        <v/>
      </c>
      <c r="AO243" s="14">
        <f>IF($A243="","",IF(INDEX('潜水記録'!$AT$5:$AT$3004,$AS243)="","",INDEX('潜水記録'!$AT$5:$AT$3004,$AS243)))</f>
        <v/>
      </c>
      <c r="AP243" s="14">
        <f>IF($A243="","",IF(INDEX('潜水記録'!$AU$5:$AU$3004,$AS243)="","",INDEX('潜水記録'!$AU$5:$AU$3004,$AS243)))</f>
        <v/>
      </c>
      <c r="AQ243" s="14">
        <f>IF($A243="","",IF(INDEX('潜水記録'!$AV$5:$AV$3004,$AS243)="","",INDEX('潜水記録'!$AV$5:$AV$3004,$AS243)))</f>
        <v/>
      </c>
      <c r="AR243" s="14">
        <f>IF($A243="","",IF(INDEX('潜水記録'!$AW$5:$AW$3004,$AS243)="","",INDEX('潜水記録'!$AW$5:$AW$3004,$AS243)))</f>
        <v/>
      </c>
      <c r="AS243" s="20">
        <f>IF($A243="","",MATCH($A243,'潜水記録'!$AI$5:$AI$3004,0))</f>
        <v/>
      </c>
    </row>
    <row r="244">
      <c r="A244" s="14">
        <f>IF(234&lt;=$C$8,234,"")</f>
        <v/>
      </c>
      <c r="B244" s="16">
        <f>IF($A244="","",IF(INDEX('潜水記録'!$A$5:$A$3004,$AS244)="","",INDEX('潜水記録'!$A$5:$A$3004,$AS244)))</f>
        <v/>
      </c>
      <c r="C244" s="14">
        <f>IF($A244="","",IF(INDEX('潜水記録'!$B$5:$B$3004,$AS244)="","",INDEX('潜水記録'!$B$5:$B$3004,$AS244)))</f>
        <v/>
      </c>
      <c r="D244" s="14">
        <f>IF($A244="","",IF(INDEX('潜水記録'!$C$5:$C$3004,$AS244)="","",INDEX('潜水記録'!$C$5:$C$3004,$AS244)))</f>
        <v/>
      </c>
      <c r="E244" s="14">
        <f>IF($A244="","",IF(INDEX('潜水記録'!$D$5:$D$3004,$AS244)="","",INDEX('潜水記録'!$D$5:$D$3004,$AS244)))</f>
        <v/>
      </c>
      <c r="F244" s="14">
        <f>IF($A244="","",IF(INDEX('潜水記録'!$E$5:$E$3004,$AS244)="","",INDEX('潜水記録'!$E$5:$E$3004,$AS244)))</f>
        <v/>
      </c>
      <c r="G244" s="14">
        <f>IF($A244="","",IF(INDEX('潜水記録'!$F$5:$F$3004,$AS244)="","",INDEX('潜水記録'!$F$5:$F$3004,$AS244)))</f>
        <v/>
      </c>
      <c r="H244" s="14">
        <f>IF($A244="","",IF(INDEX('潜水記録'!$G$5:$G$3004,$AS244)="","",INDEX('潜水記録'!$G$5:$G$3004,$AS244)))</f>
        <v/>
      </c>
      <c r="I244" s="14">
        <f>IF($A244="","",IF(INDEX('潜水記録'!$H$5:$H$3004,$AS244)="","",INDEX('潜水記録'!$H$5:$H$3004,$AS244)))</f>
        <v/>
      </c>
      <c r="J244" s="14">
        <f>IF($A244="","",IF(INDEX('潜水記録'!$I$5:$I$3004,$AS244)="","",INDEX('潜水記録'!$I$5:$I$3004,$AS244)))</f>
        <v/>
      </c>
      <c r="K244" s="14">
        <f>IF($A244="","",IF(INDEX('潜水記録'!$J$5:$J$3004,$AS244)="","",INDEX('潜水記録'!$J$5:$J$3004,$AS244)))</f>
        <v/>
      </c>
      <c r="L244" s="14">
        <f>IF($A244="","",IF(INDEX('潜水記録'!$K$5:$K$3004,$AS244)="","",INDEX('潜水記録'!$K$5:$K$3004,$AS244)))</f>
        <v/>
      </c>
      <c r="M244" s="14">
        <f>IF($A244="","",IF(INDEX('潜水記録'!$L$5:$L$3004,$AS244)="","",INDEX('潜水記録'!$L$5:$L$3004,$AS244)))</f>
        <v/>
      </c>
      <c r="N244" s="14">
        <f>IF($A244="","",IF(INDEX('潜水記録'!$M$5:$M$3004,$AS244)="","",INDEX('潜水記録'!$M$5:$M$3004,$AS244)))</f>
        <v/>
      </c>
      <c r="O244" s="14">
        <f>IF($A244="","",IF(INDEX('潜水記録'!$N$5:$N$3004,$AS244)="","",INDEX('潜水記録'!$N$5:$N$3004,$AS244)))</f>
        <v/>
      </c>
      <c r="P244" s="14">
        <f>IF($A244="","",IF(INDEX('潜水記録'!$O$5:$O$3004,$AS244)="","",INDEX('潜水記録'!$O$5:$O$3004,$AS244)))</f>
        <v/>
      </c>
      <c r="Q244" s="14">
        <f>IF($A244="","",IF(INDEX('潜水記録'!$P$5:$P$3004,$AS244)="","",INDEX('潜水記録'!$P$5:$P$3004,$AS244)))</f>
        <v/>
      </c>
      <c r="R244" s="14">
        <f>IF($A244="","",IF(INDEX('潜水記録'!$Q$5:$Q$3004,$AS244)="","",INDEX('潜水記録'!$Q$5:$Q$3004,$AS244)))</f>
        <v/>
      </c>
      <c r="S244" s="14">
        <f>IF($A244="","",IF(INDEX('潜水記録'!$R$5:$R$3004,$AS244)="","",INDEX('潜水記録'!$R$5:$R$3004,$AS244)))</f>
        <v/>
      </c>
      <c r="T244" s="14">
        <f>IF($A244="","",IF(INDEX('潜水記録'!$S$5:$S$3004,$AS244)="","",INDEX('潜水記録'!$S$5:$S$3004,$AS244)))</f>
        <v/>
      </c>
      <c r="U244" s="14">
        <f>IF($A244="","",IF(INDEX('潜水記録'!$T$5:$T$3004,$AS244)="","",INDEX('潜水記録'!$T$5:$T$3004,$AS244)))</f>
        <v/>
      </c>
      <c r="V244" s="46">
        <f>IF($A244="","",IF(INDEX('潜水記録'!$U$5:$U$3004,$AS244)="","",INDEX('潜水記録'!$U$5:$U$3004,$AS244)))</f>
        <v/>
      </c>
      <c r="W244" s="46">
        <f>IF($A244="","",IF(INDEX('潜水記録'!$V$5:$V$3004,$AS244)="","",INDEX('潜水記録'!$V$5:$V$3004,$AS244)))</f>
        <v/>
      </c>
      <c r="X244" s="14">
        <f>IF($A244="","",IF(INDEX('潜水記録'!$W$5:$W$3004,$AS244)="","",INDEX('潜水記録'!$W$5:$W$3004,$AS244)))</f>
        <v/>
      </c>
      <c r="Y244" s="14">
        <f>IF($A244="","",IF(INDEX('潜水記録'!$X$5:$X$3004,$AS244)="","",INDEX('潜水記録'!$X$5:$X$3004,$AS244)))</f>
        <v/>
      </c>
      <c r="Z244" s="14">
        <f>IF($A244="","",IF(INDEX('潜水記録'!$Y$5:$Y$3004,$AS244)="","",INDEX('潜水記録'!$Y$5:$Y$3004,$AS244)))</f>
        <v/>
      </c>
      <c r="AA244" s="14">
        <f>IF($A244="","",IF(INDEX('潜水記録'!$Z$5:$Z$3004,$AS244)="","",INDEX('潜水記録'!$Z$5:$Z$3004,$AS244)))</f>
        <v/>
      </c>
      <c r="AB244" s="14">
        <f>IF($A244="","",IF(INDEX('潜水記録'!$AA$5:$AA$3004,$AS244)="","",INDEX('潜水記録'!$AA$5:$AA$3004,$AS244)))</f>
        <v/>
      </c>
      <c r="AC244" s="14">
        <f>IF($A244="","",IF(INDEX('潜水記録'!$AB$5:$AB$3004,$AS244)="","",INDEX('潜水記録'!$AB$5:$AB$3004,$AS244)))</f>
        <v/>
      </c>
      <c r="AD244" s="14">
        <f>IF($A244="","",IF(INDEX('潜水記録'!$AC$5:$AC$3004,$AS244)="","",INDEX('潜水記録'!$AC$5:$AC$3004,$AS244)))</f>
        <v/>
      </c>
      <c r="AE244" s="14">
        <f>IF($A244="","",IF(INDEX('潜水記録'!$AD$5:$AD$3004,$AS244)="","",INDEX('潜水記録'!$AD$5:$AD$3004,$AS244)))</f>
        <v/>
      </c>
      <c r="AF244" s="14">
        <f>IF($A244="","",IF(INDEX('潜水記録'!$AE$5:$AE$3004,$AS244)="","",INDEX('潜水記録'!$AE$5:$AE$3004,$AS244)))</f>
        <v/>
      </c>
      <c r="AG244" s="14">
        <f>IF($A244="","",IF(INDEX('潜水記録'!$AL$5:$AL$3004,$AS244)="","",INDEX('潜水記録'!$AL$5:$AL$3004,$AS244)))</f>
        <v/>
      </c>
      <c r="AH244" s="14">
        <f>IF($A244="","",IF(INDEX('潜水記録'!$AM$5:$AM$3004,$AS244)="","",INDEX('潜水記録'!$AM$5:$AM$3004,$AS244)))</f>
        <v/>
      </c>
      <c r="AI244" s="46">
        <f>IF($A244="","",IF(INDEX('潜水記録'!$AN$5:$AN$3004,$AS244)="","",INDEX('潜水記録'!$AN$5:$AN$3004,$AS244)))</f>
        <v/>
      </c>
      <c r="AJ244" s="14">
        <f>IF($A244="","",IF(INDEX('潜水記録'!$AO$5:$AO$3004,$AS244)="","",INDEX('潜水記録'!$AO$5:$AO$3004,$AS244)))</f>
        <v/>
      </c>
      <c r="AK244" s="14">
        <f>IF($A244="","",IF(INDEX('潜水記録'!$AP$5:$AP$3004,$AS244)="","",INDEX('潜水記録'!$AP$5:$AP$3004,$AS244)))</f>
        <v/>
      </c>
      <c r="AL244" s="14">
        <f>IF($A244="","",IF(INDEX('潜水記録'!$AQ$5:$AQ$3004,$AS244)="","",INDEX('潜水記録'!$AQ$5:$AQ$3004,$AS244)))</f>
        <v/>
      </c>
      <c r="AM244" s="14">
        <f>IF($A244="","",IF(INDEX('潜水記録'!$AR$5:$AR$3004,$AS244)="","",INDEX('潜水記録'!$AR$5:$AR$3004,$AS244)))</f>
        <v/>
      </c>
      <c r="AN244" s="14">
        <f>IF($A244="","",IF(INDEX('潜水記録'!$AS$5:$AS$3004,$AS244)="","",INDEX('潜水記録'!$AS$5:$AS$3004,$AS244)))</f>
        <v/>
      </c>
      <c r="AO244" s="14">
        <f>IF($A244="","",IF(INDEX('潜水記録'!$AT$5:$AT$3004,$AS244)="","",INDEX('潜水記録'!$AT$5:$AT$3004,$AS244)))</f>
        <v/>
      </c>
      <c r="AP244" s="14">
        <f>IF($A244="","",IF(INDEX('潜水記録'!$AU$5:$AU$3004,$AS244)="","",INDEX('潜水記録'!$AU$5:$AU$3004,$AS244)))</f>
        <v/>
      </c>
      <c r="AQ244" s="14">
        <f>IF($A244="","",IF(INDEX('潜水記録'!$AV$5:$AV$3004,$AS244)="","",INDEX('潜水記録'!$AV$5:$AV$3004,$AS244)))</f>
        <v/>
      </c>
      <c r="AR244" s="14">
        <f>IF($A244="","",IF(INDEX('潜水記録'!$AW$5:$AW$3004,$AS244)="","",INDEX('潜水記録'!$AW$5:$AW$3004,$AS244)))</f>
        <v/>
      </c>
      <c r="AS244" s="20">
        <f>IF($A244="","",MATCH($A244,'潜水記録'!$AI$5:$AI$3004,0))</f>
        <v/>
      </c>
    </row>
    <row r="245">
      <c r="A245" s="14">
        <f>IF(235&lt;=$C$8,235,"")</f>
        <v/>
      </c>
      <c r="B245" s="16">
        <f>IF($A245="","",IF(INDEX('潜水記録'!$A$5:$A$3004,$AS245)="","",INDEX('潜水記録'!$A$5:$A$3004,$AS245)))</f>
        <v/>
      </c>
      <c r="C245" s="14">
        <f>IF($A245="","",IF(INDEX('潜水記録'!$B$5:$B$3004,$AS245)="","",INDEX('潜水記録'!$B$5:$B$3004,$AS245)))</f>
        <v/>
      </c>
      <c r="D245" s="14">
        <f>IF($A245="","",IF(INDEX('潜水記録'!$C$5:$C$3004,$AS245)="","",INDEX('潜水記録'!$C$5:$C$3004,$AS245)))</f>
        <v/>
      </c>
      <c r="E245" s="14">
        <f>IF($A245="","",IF(INDEX('潜水記録'!$D$5:$D$3004,$AS245)="","",INDEX('潜水記録'!$D$5:$D$3004,$AS245)))</f>
        <v/>
      </c>
      <c r="F245" s="14">
        <f>IF($A245="","",IF(INDEX('潜水記録'!$E$5:$E$3004,$AS245)="","",INDEX('潜水記録'!$E$5:$E$3004,$AS245)))</f>
        <v/>
      </c>
      <c r="G245" s="14">
        <f>IF($A245="","",IF(INDEX('潜水記録'!$F$5:$F$3004,$AS245)="","",INDEX('潜水記録'!$F$5:$F$3004,$AS245)))</f>
        <v/>
      </c>
      <c r="H245" s="14">
        <f>IF($A245="","",IF(INDEX('潜水記録'!$G$5:$G$3004,$AS245)="","",INDEX('潜水記録'!$G$5:$G$3004,$AS245)))</f>
        <v/>
      </c>
      <c r="I245" s="14">
        <f>IF($A245="","",IF(INDEX('潜水記録'!$H$5:$H$3004,$AS245)="","",INDEX('潜水記録'!$H$5:$H$3004,$AS245)))</f>
        <v/>
      </c>
      <c r="J245" s="14">
        <f>IF($A245="","",IF(INDEX('潜水記録'!$I$5:$I$3004,$AS245)="","",INDEX('潜水記録'!$I$5:$I$3004,$AS245)))</f>
        <v/>
      </c>
      <c r="K245" s="14">
        <f>IF($A245="","",IF(INDEX('潜水記録'!$J$5:$J$3004,$AS245)="","",INDEX('潜水記録'!$J$5:$J$3004,$AS245)))</f>
        <v/>
      </c>
      <c r="L245" s="14">
        <f>IF($A245="","",IF(INDEX('潜水記録'!$K$5:$K$3004,$AS245)="","",INDEX('潜水記録'!$K$5:$K$3004,$AS245)))</f>
        <v/>
      </c>
      <c r="M245" s="14">
        <f>IF($A245="","",IF(INDEX('潜水記録'!$L$5:$L$3004,$AS245)="","",INDEX('潜水記録'!$L$5:$L$3004,$AS245)))</f>
        <v/>
      </c>
      <c r="N245" s="14">
        <f>IF($A245="","",IF(INDEX('潜水記録'!$M$5:$M$3004,$AS245)="","",INDEX('潜水記録'!$M$5:$M$3004,$AS245)))</f>
        <v/>
      </c>
      <c r="O245" s="14">
        <f>IF($A245="","",IF(INDEX('潜水記録'!$N$5:$N$3004,$AS245)="","",INDEX('潜水記録'!$N$5:$N$3004,$AS245)))</f>
        <v/>
      </c>
      <c r="P245" s="14">
        <f>IF($A245="","",IF(INDEX('潜水記録'!$O$5:$O$3004,$AS245)="","",INDEX('潜水記録'!$O$5:$O$3004,$AS245)))</f>
        <v/>
      </c>
      <c r="Q245" s="14">
        <f>IF($A245="","",IF(INDEX('潜水記録'!$P$5:$P$3004,$AS245)="","",INDEX('潜水記録'!$P$5:$P$3004,$AS245)))</f>
        <v/>
      </c>
      <c r="R245" s="14">
        <f>IF($A245="","",IF(INDEX('潜水記録'!$Q$5:$Q$3004,$AS245)="","",INDEX('潜水記録'!$Q$5:$Q$3004,$AS245)))</f>
        <v/>
      </c>
      <c r="S245" s="14">
        <f>IF($A245="","",IF(INDEX('潜水記録'!$R$5:$R$3004,$AS245)="","",INDEX('潜水記録'!$R$5:$R$3004,$AS245)))</f>
        <v/>
      </c>
      <c r="T245" s="14">
        <f>IF($A245="","",IF(INDEX('潜水記録'!$S$5:$S$3004,$AS245)="","",INDEX('潜水記録'!$S$5:$S$3004,$AS245)))</f>
        <v/>
      </c>
      <c r="U245" s="14">
        <f>IF($A245="","",IF(INDEX('潜水記録'!$T$5:$T$3004,$AS245)="","",INDEX('潜水記録'!$T$5:$T$3004,$AS245)))</f>
        <v/>
      </c>
      <c r="V245" s="46">
        <f>IF($A245="","",IF(INDEX('潜水記録'!$U$5:$U$3004,$AS245)="","",INDEX('潜水記録'!$U$5:$U$3004,$AS245)))</f>
        <v/>
      </c>
      <c r="W245" s="46">
        <f>IF($A245="","",IF(INDEX('潜水記録'!$V$5:$V$3004,$AS245)="","",INDEX('潜水記録'!$V$5:$V$3004,$AS245)))</f>
        <v/>
      </c>
      <c r="X245" s="14">
        <f>IF($A245="","",IF(INDEX('潜水記録'!$W$5:$W$3004,$AS245)="","",INDEX('潜水記録'!$W$5:$W$3004,$AS245)))</f>
        <v/>
      </c>
      <c r="Y245" s="14">
        <f>IF($A245="","",IF(INDEX('潜水記録'!$X$5:$X$3004,$AS245)="","",INDEX('潜水記録'!$X$5:$X$3004,$AS245)))</f>
        <v/>
      </c>
      <c r="Z245" s="14">
        <f>IF($A245="","",IF(INDEX('潜水記録'!$Y$5:$Y$3004,$AS245)="","",INDEX('潜水記録'!$Y$5:$Y$3004,$AS245)))</f>
        <v/>
      </c>
      <c r="AA245" s="14">
        <f>IF($A245="","",IF(INDEX('潜水記録'!$Z$5:$Z$3004,$AS245)="","",INDEX('潜水記録'!$Z$5:$Z$3004,$AS245)))</f>
        <v/>
      </c>
      <c r="AB245" s="14">
        <f>IF($A245="","",IF(INDEX('潜水記録'!$AA$5:$AA$3004,$AS245)="","",INDEX('潜水記録'!$AA$5:$AA$3004,$AS245)))</f>
        <v/>
      </c>
      <c r="AC245" s="14">
        <f>IF($A245="","",IF(INDEX('潜水記録'!$AB$5:$AB$3004,$AS245)="","",INDEX('潜水記録'!$AB$5:$AB$3004,$AS245)))</f>
        <v/>
      </c>
      <c r="AD245" s="14">
        <f>IF($A245="","",IF(INDEX('潜水記録'!$AC$5:$AC$3004,$AS245)="","",INDEX('潜水記録'!$AC$5:$AC$3004,$AS245)))</f>
        <v/>
      </c>
      <c r="AE245" s="14">
        <f>IF($A245="","",IF(INDEX('潜水記録'!$AD$5:$AD$3004,$AS245)="","",INDEX('潜水記録'!$AD$5:$AD$3004,$AS245)))</f>
        <v/>
      </c>
      <c r="AF245" s="14">
        <f>IF($A245="","",IF(INDEX('潜水記録'!$AE$5:$AE$3004,$AS245)="","",INDEX('潜水記録'!$AE$5:$AE$3004,$AS245)))</f>
        <v/>
      </c>
      <c r="AG245" s="14">
        <f>IF($A245="","",IF(INDEX('潜水記録'!$AL$5:$AL$3004,$AS245)="","",INDEX('潜水記録'!$AL$5:$AL$3004,$AS245)))</f>
        <v/>
      </c>
      <c r="AH245" s="14">
        <f>IF($A245="","",IF(INDEX('潜水記録'!$AM$5:$AM$3004,$AS245)="","",INDEX('潜水記録'!$AM$5:$AM$3004,$AS245)))</f>
        <v/>
      </c>
      <c r="AI245" s="46">
        <f>IF($A245="","",IF(INDEX('潜水記録'!$AN$5:$AN$3004,$AS245)="","",INDEX('潜水記録'!$AN$5:$AN$3004,$AS245)))</f>
        <v/>
      </c>
      <c r="AJ245" s="14">
        <f>IF($A245="","",IF(INDEX('潜水記録'!$AO$5:$AO$3004,$AS245)="","",INDEX('潜水記録'!$AO$5:$AO$3004,$AS245)))</f>
        <v/>
      </c>
      <c r="AK245" s="14">
        <f>IF($A245="","",IF(INDEX('潜水記録'!$AP$5:$AP$3004,$AS245)="","",INDEX('潜水記録'!$AP$5:$AP$3004,$AS245)))</f>
        <v/>
      </c>
      <c r="AL245" s="14">
        <f>IF($A245="","",IF(INDEX('潜水記録'!$AQ$5:$AQ$3004,$AS245)="","",INDEX('潜水記録'!$AQ$5:$AQ$3004,$AS245)))</f>
        <v/>
      </c>
      <c r="AM245" s="14">
        <f>IF($A245="","",IF(INDEX('潜水記録'!$AR$5:$AR$3004,$AS245)="","",INDEX('潜水記録'!$AR$5:$AR$3004,$AS245)))</f>
        <v/>
      </c>
      <c r="AN245" s="14">
        <f>IF($A245="","",IF(INDEX('潜水記録'!$AS$5:$AS$3004,$AS245)="","",INDEX('潜水記録'!$AS$5:$AS$3004,$AS245)))</f>
        <v/>
      </c>
      <c r="AO245" s="14">
        <f>IF($A245="","",IF(INDEX('潜水記録'!$AT$5:$AT$3004,$AS245)="","",INDEX('潜水記録'!$AT$5:$AT$3004,$AS245)))</f>
        <v/>
      </c>
      <c r="AP245" s="14">
        <f>IF($A245="","",IF(INDEX('潜水記録'!$AU$5:$AU$3004,$AS245)="","",INDEX('潜水記録'!$AU$5:$AU$3004,$AS245)))</f>
        <v/>
      </c>
      <c r="AQ245" s="14">
        <f>IF($A245="","",IF(INDEX('潜水記録'!$AV$5:$AV$3004,$AS245)="","",INDEX('潜水記録'!$AV$5:$AV$3004,$AS245)))</f>
        <v/>
      </c>
      <c r="AR245" s="14">
        <f>IF($A245="","",IF(INDEX('潜水記録'!$AW$5:$AW$3004,$AS245)="","",INDEX('潜水記録'!$AW$5:$AW$3004,$AS245)))</f>
        <v/>
      </c>
      <c r="AS245" s="20">
        <f>IF($A245="","",MATCH($A245,'潜水記録'!$AI$5:$AI$3004,0))</f>
        <v/>
      </c>
    </row>
    <row r="246">
      <c r="A246" s="14">
        <f>IF(236&lt;=$C$8,236,"")</f>
        <v/>
      </c>
      <c r="B246" s="16">
        <f>IF($A246="","",IF(INDEX('潜水記録'!$A$5:$A$3004,$AS246)="","",INDEX('潜水記録'!$A$5:$A$3004,$AS246)))</f>
        <v/>
      </c>
      <c r="C246" s="14">
        <f>IF($A246="","",IF(INDEX('潜水記録'!$B$5:$B$3004,$AS246)="","",INDEX('潜水記録'!$B$5:$B$3004,$AS246)))</f>
        <v/>
      </c>
      <c r="D246" s="14">
        <f>IF($A246="","",IF(INDEX('潜水記録'!$C$5:$C$3004,$AS246)="","",INDEX('潜水記録'!$C$5:$C$3004,$AS246)))</f>
        <v/>
      </c>
      <c r="E246" s="14">
        <f>IF($A246="","",IF(INDEX('潜水記録'!$D$5:$D$3004,$AS246)="","",INDEX('潜水記録'!$D$5:$D$3004,$AS246)))</f>
        <v/>
      </c>
      <c r="F246" s="14">
        <f>IF($A246="","",IF(INDEX('潜水記録'!$E$5:$E$3004,$AS246)="","",INDEX('潜水記録'!$E$5:$E$3004,$AS246)))</f>
        <v/>
      </c>
      <c r="G246" s="14">
        <f>IF($A246="","",IF(INDEX('潜水記録'!$F$5:$F$3004,$AS246)="","",INDEX('潜水記録'!$F$5:$F$3004,$AS246)))</f>
        <v/>
      </c>
      <c r="H246" s="14">
        <f>IF($A246="","",IF(INDEX('潜水記録'!$G$5:$G$3004,$AS246)="","",INDEX('潜水記録'!$G$5:$G$3004,$AS246)))</f>
        <v/>
      </c>
      <c r="I246" s="14">
        <f>IF($A246="","",IF(INDEX('潜水記録'!$H$5:$H$3004,$AS246)="","",INDEX('潜水記録'!$H$5:$H$3004,$AS246)))</f>
        <v/>
      </c>
      <c r="J246" s="14">
        <f>IF($A246="","",IF(INDEX('潜水記録'!$I$5:$I$3004,$AS246)="","",INDEX('潜水記録'!$I$5:$I$3004,$AS246)))</f>
        <v/>
      </c>
      <c r="K246" s="14">
        <f>IF($A246="","",IF(INDEX('潜水記録'!$J$5:$J$3004,$AS246)="","",INDEX('潜水記録'!$J$5:$J$3004,$AS246)))</f>
        <v/>
      </c>
      <c r="L246" s="14">
        <f>IF($A246="","",IF(INDEX('潜水記録'!$K$5:$K$3004,$AS246)="","",INDEX('潜水記録'!$K$5:$K$3004,$AS246)))</f>
        <v/>
      </c>
      <c r="M246" s="14">
        <f>IF($A246="","",IF(INDEX('潜水記録'!$L$5:$L$3004,$AS246)="","",INDEX('潜水記録'!$L$5:$L$3004,$AS246)))</f>
        <v/>
      </c>
      <c r="N246" s="14">
        <f>IF($A246="","",IF(INDEX('潜水記録'!$M$5:$M$3004,$AS246)="","",INDEX('潜水記録'!$M$5:$M$3004,$AS246)))</f>
        <v/>
      </c>
      <c r="O246" s="14">
        <f>IF($A246="","",IF(INDEX('潜水記録'!$N$5:$N$3004,$AS246)="","",INDEX('潜水記録'!$N$5:$N$3004,$AS246)))</f>
        <v/>
      </c>
      <c r="P246" s="14">
        <f>IF($A246="","",IF(INDEX('潜水記録'!$O$5:$O$3004,$AS246)="","",INDEX('潜水記録'!$O$5:$O$3004,$AS246)))</f>
        <v/>
      </c>
      <c r="Q246" s="14">
        <f>IF($A246="","",IF(INDEX('潜水記録'!$P$5:$P$3004,$AS246)="","",INDEX('潜水記録'!$P$5:$P$3004,$AS246)))</f>
        <v/>
      </c>
      <c r="R246" s="14">
        <f>IF($A246="","",IF(INDEX('潜水記録'!$Q$5:$Q$3004,$AS246)="","",INDEX('潜水記録'!$Q$5:$Q$3004,$AS246)))</f>
        <v/>
      </c>
      <c r="S246" s="14">
        <f>IF($A246="","",IF(INDEX('潜水記録'!$R$5:$R$3004,$AS246)="","",INDEX('潜水記録'!$R$5:$R$3004,$AS246)))</f>
        <v/>
      </c>
      <c r="T246" s="14">
        <f>IF($A246="","",IF(INDEX('潜水記録'!$S$5:$S$3004,$AS246)="","",INDEX('潜水記録'!$S$5:$S$3004,$AS246)))</f>
        <v/>
      </c>
      <c r="U246" s="14">
        <f>IF($A246="","",IF(INDEX('潜水記録'!$T$5:$T$3004,$AS246)="","",INDEX('潜水記録'!$T$5:$T$3004,$AS246)))</f>
        <v/>
      </c>
      <c r="V246" s="46">
        <f>IF($A246="","",IF(INDEX('潜水記録'!$U$5:$U$3004,$AS246)="","",INDEX('潜水記録'!$U$5:$U$3004,$AS246)))</f>
        <v/>
      </c>
      <c r="W246" s="46">
        <f>IF($A246="","",IF(INDEX('潜水記録'!$V$5:$V$3004,$AS246)="","",INDEX('潜水記録'!$V$5:$V$3004,$AS246)))</f>
        <v/>
      </c>
      <c r="X246" s="14">
        <f>IF($A246="","",IF(INDEX('潜水記録'!$W$5:$W$3004,$AS246)="","",INDEX('潜水記録'!$W$5:$W$3004,$AS246)))</f>
        <v/>
      </c>
      <c r="Y246" s="14">
        <f>IF($A246="","",IF(INDEX('潜水記録'!$X$5:$X$3004,$AS246)="","",INDEX('潜水記録'!$X$5:$X$3004,$AS246)))</f>
        <v/>
      </c>
      <c r="Z246" s="14">
        <f>IF($A246="","",IF(INDEX('潜水記録'!$Y$5:$Y$3004,$AS246)="","",INDEX('潜水記録'!$Y$5:$Y$3004,$AS246)))</f>
        <v/>
      </c>
      <c r="AA246" s="14">
        <f>IF($A246="","",IF(INDEX('潜水記録'!$Z$5:$Z$3004,$AS246)="","",INDEX('潜水記録'!$Z$5:$Z$3004,$AS246)))</f>
        <v/>
      </c>
      <c r="AB246" s="14">
        <f>IF($A246="","",IF(INDEX('潜水記録'!$AA$5:$AA$3004,$AS246)="","",INDEX('潜水記録'!$AA$5:$AA$3004,$AS246)))</f>
        <v/>
      </c>
      <c r="AC246" s="14">
        <f>IF($A246="","",IF(INDEX('潜水記録'!$AB$5:$AB$3004,$AS246)="","",INDEX('潜水記録'!$AB$5:$AB$3004,$AS246)))</f>
        <v/>
      </c>
      <c r="AD246" s="14">
        <f>IF($A246="","",IF(INDEX('潜水記録'!$AC$5:$AC$3004,$AS246)="","",INDEX('潜水記録'!$AC$5:$AC$3004,$AS246)))</f>
        <v/>
      </c>
      <c r="AE246" s="14">
        <f>IF($A246="","",IF(INDEX('潜水記録'!$AD$5:$AD$3004,$AS246)="","",INDEX('潜水記録'!$AD$5:$AD$3004,$AS246)))</f>
        <v/>
      </c>
      <c r="AF246" s="14">
        <f>IF($A246="","",IF(INDEX('潜水記録'!$AE$5:$AE$3004,$AS246)="","",INDEX('潜水記録'!$AE$5:$AE$3004,$AS246)))</f>
        <v/>
      </c>
      <c r="AG246" s="14">
        <f>IF($A246="","",IF(INDEX('潜水記録'!$AL$5:$AL$3004,$AS246)="","",INDEX('潜水記録'!$AL$5:$AL$3004,$AS246)))</f>
        <v/>
      </c>
      <c r="AH246" s="14">
        <f>IF($A246="","",IF(INDEX('潜水記録'!$AM$5:$AM$3004,$AS246)="","",INDEX('潜水記録'!$AM$5:$AM$3004,$AS246)))</f>
        <v/>
      </c>
      <c r="AI246" s="46">
        <f>IF($A246="","",IF(INDEX('潜水記録'!$AN$5:$AN$3004,$AS246)="","",INDEX('潜水記録'!$AN$5:$AN$3004,$AS246)))</f>
        <v/>
      </c>
      <c r="AJ246" s="14">
        <f>IF($A246="","",IF(INDEX('潜水記録'!$AO$5:$AO$3004,$AS246)="","",INDEX('潜水記録'!$AO$5:$AO$3004,$AS246)))</f>
        <v/>
      </c>
      <c r="AK246" s="14">
        <f>IF($A246="","",IF(INDEX('潜水記録'!$AP$5:$AP$3004,$AS246)="","",INDEX('潜水記録'!$AP$5:$AP$3004,$AS246)))</f>
        <v/>
      </c>
      <c r="AL246" s="14">
        <f>IF($A246="","",IF(INDEX('潜水記録'!$AQ$5:$AQ$3004,$AS246)="","",INDEX('潜水記録'!$AQ$5:$AQ$3004,$AS246)))</f>
        <v/>
      </c>
      <c r="AM246" s="14">
        <f>IF($A246="","",IF(INDEX('潜水記録'!$AR$5:$AR$3004,$AS246)="","",INDEX('潜水記録'!$AR$5:$AR$3004,$AS246)))</f>
        <v/>
      </c>
      <c r="AN246" s="14">
        <f>IF($A246="","",IF(INDEX('潜水記録'!$AS$5:$AS$3004,$AS246)="","",INDEX('潜水記録'!$AS$5:$AS$3004,$AS246)))</f>
        <v/>
      </c>
      <c r="AO246" s="14">
        <f>IF($A246="","",IF(INDEX('潜水記録'!$AT$5:$AT$3004,$AS246)="","",INDEX('潜水記録'!$AT$5:$AT$3004,$AS246)))</f>
        <v/>
      </c>
      <c r="AP246" s="14">
        <f>IF($A246="","",IF(INDEX('潜水記録'!$AU$5:$AU$3004,$AS246)="","",INDEX('潜水記録'!$AU$5:$AU$3004,$AS246)))</f>
        <v/>
      </c>
      <c r="AQ246" s="14">
        <f>IF($A246="","",IF(INDEX('潜水記録'!$AV$5:$AV$3004,$AS246)="","",INDEX('潜水記録'!$AV$5:$AV$3004,$AS246)))</f>
        <v/>
      </c>
      <c r="AR246" s="14">
        <f>IF($A246="","",IF(INDEX('潜水記録'!$AW$5:$AW$3004,$AS246)="","",INDEX('潜水記録'!$AW$5:$AW$3004,$AS246)))</f>
        <v/>
      </c>
      <c r="AS246" s="20">
        <f>IF($A246="","",MATCH($A246,'潜水記録'!$AI$5:$AI$3004,0))</f>
        <v/>
      </c>
    </row>
    <row r="247">
      <c r="A247" s="14">
        <f>IF(237&lt;=$C$8,237,"")</f>
        <v/>
      </c>
      <c r="B247" s="16">
        <f>IF($A247="","",IF(INDEX('潜水記録'!$A$5:$A$3004,$AS247)="","",INDEX('潜水記録'!$A$5:$A$3004,$AS247)))</f>
        <v/>
      </c>
      <c r="C247" s="14">
        <f>IF($A247="","",IF(INDEX('潜水記録'!$B$5:$B$3004,$AS247)="","",INDEX('潜水記録'!$B$5:$B$3004,$AS247)))</f>
        <v/>
      </c>
      <c r="D247" s="14">
        <f>IF($A247="","",IF(INDEX('潜水記録'!$C$5:$C$3004,$AS247)="","",INDEX('潜水記録'!$C$5:$C$3004,$AS247)))</f>
        <v/>
      </c>
      <c r="E247" s="14">
        <f>IF($A247="","",IF(INDEX('潜水記録'!$D$5:$D$3004,$AS247)="","",INDEX('潜水記録'!$D$5:$D$3004,$AS247)))</f>
        <v/>
      </c>
      <c r="F247" s="14">
        <f>IF($A247="","",IF(INDEX('潜水記録'!$E$5:$E$3004,$AS247)="","",INDEX('潜水記録'!$E$5:$E$3004,$AS247)))</f>
        <v/>
      </c>
      <c r="G247" s="14">
        <f>IF($A247="","",IF(INDEX('潜水記録'!$F$5:$F$3004,$AS247)="","",INDEX('潜水記録'!$F$5:$F$3004,$AS247)))</f>
        <v/>
      </c>
      <c r="H247" s="14">
        <f>IF($A247="","",IF(INDEX('潜水記録'!$G$5:$G$3004,$AS247)="","",INDEX('潜水記録'!$G$5:$G$3004,$AS247)))</f>
        <v/>
      </c>
      <c r="I247" s="14">
        <f>IF($A247="","",IF(INDEX('潜水記録'!$H$5:$H$3004,$AS247)="","",INDEX('潜水記録'!$H$5:$H$3004,$AS247)))</f>
        <v/>
      </c>
      <c r="J247" s="14">
        <f>IF($A247="","",IF(INDEX('潜水記録'!$I$5:$I$3004,$AS247)="","",INDEX('潜水記録'!$I$5:$I$3004,$AS247)))</f>
        <v/>
      </c>
      <c r="K247" s="14">
        <f>IF($A247="","",IF(INDEX('潜水記録'!$J$5:$J$3004,$AS247)="","",INDEX('潜水記録'!$J$5:$J$3004,$AS247)))</f>
        <v/>
      </c>
      <c r="L247" s="14">
        <f>IF($A247="","",IF(INDEX('潜水記録'!$K$5:$K$3004,$AS247)="","",INDEX('潜水記録'!$K$5:$K$3004,$AS247)))</f>
        <v/>
      </c>
      <c r="M247" s="14">
        <f>IF($A247="","",IF(INDEX('潜水記録'!$L$5:$L$3004,$AS247)="","",INDEX('潜水記録'!$L$5:$L$3004,$AS247)))</f>
        <v/>
      </c>
      <c r="N247" s="14">
        <f>IF($A247="","",IF(INDEX('潜水記録'!$M$5:$M$3004,$AS247)="","",INDEX('潜水記録'!$M$5:$M$3004,$AS247)))</f>
        <v/>
      </c>
      <c r="O247" s="14">
        <f>IF($A247="","",IF(INDEX('潜水記録'!$N$5:$N$3004,$AS247)="","",INDEX('潜水記録'!$N$5:$N$3004,$AS247)))</f>
        <v/>
      </c>
      <c r="P247" s="14">
        <f>IF($A247="","",IF(INDEX('潜水記録'!$O$5:$O$3004,$AS247)="","",INDEX('潜水記録'!$O$5:$O$3004,$AS247)))</f>
        <v/>
      </c>
      <c r="Q247" s="14">
        <f>IF($A247="","",IF(INDEX('潜水記録'!$P$5:$P$3004,$AS247)="","",INDEX('潜水記録'!$P$5:$P$3004,$AS247)))</f>
        <v/>
      </c>
      <c r="R247" s="14">
        <f>IF($A247="","",IF(INDEX('潜水記録'!$Q$5:$Q$3004,$AS247)="","",INDEX('潜水記録'!$Q$5:$Q$3004,$AS247)))</f>
        <v/>
      </c>
      <c r="S247" s="14">
        <f>IF($A247="","",IF(INDEX('潜水記録'!$R$5:$R$3004,$AS247)="","",INDEX('潜水記録'!$R$5:$R$3004,$AS247)))</f>
        <v/>
      </c>
      <c r="T247" s="14">
        <f>IF($A247="","",IF(INDEX('潜水記録'!$S$5:$S$3004,$AS247)="","",INDEX('潜水記録'!$S$5:$S$3004,$AS247)))</f>
        <v/>
      </c>
      <c r="U247" s="14">
        <f>IF($A247="","",IF(INDEX('潜水記録'!$T$5:$T$3004,$AS247)="","",INDEX('潜水記録'!$T$5:$T$3004,$AS247)))</f>
        <v/>
      </c>
      <c r="V247" s="46">
        <f>IF($A247="","",IF(INDEX('潜水記録'!$U$5:$U$3004,$AS247)="","",INDEX('潜水記録'!$U$5:$U$3004,$AS247)))</f>
        <v/>
      </c>
      <c r="W247" s="46">
        <f>IF($A247="","",IF(INDEX('潜水記録'!$V$5:$V$3004,$AS247)="","",INDEX('潜水記録'!$V$5:$V$3004,$AS247)))</f>
        <v/>
      </c>
      <c r="X247" s="14">
        <f>IF($A247="","",IF(INDEX('潜水記録'!$W$5:$W$3004,$AS247)="","",INDEX('潜水記録'!$W$5:$W$3004,$AS247)))</f>
        <v/>
      </c>
      <c r="Y247" s="14">
        <f>IF($A247="","",IF(INDEX('潜水記録'!$X$5:$X$3004,$AS247)="","",INDEX('潜水記録'!$X$5:$X$3004,$AS247)))</f>
        <v/>
      </c>
      <c r="Z247" s="14">
        <f>IF($A247="","",IF(INDEX('潜水記録'!$Y$5:$Y$3004,$AS247)="","",INDEX('潜水記録'!$Y$5:$Y$3004,$AS247)))</f>
        <v/>
      </c>
      <c r="AA247" s="14">
        <f>IF($A247="","",IF(INDEX('潜水記録'!$Z$5:$Z$3004,$AS247)="","",INDEX('潜水記録'!$Z$5:$Z$3004,$AS247)))</f>
        <v/>
      </c>
      <c r="AB247" s="14">
        <f>IF($A247="","",IF(INDEX('潜水記録'!$AA$5:$AA$3004,$AS247)="","",INDEX('潜水記録'!$AA$5:$AA$3004,$AS247)))</f>
        <v/>
      </c>
      <c r="AC247" s="14">
        <f>IF($A247="","",IF(INDEX('潜水記録'!$AB$5:$AB$3004,$AS247)="","",INDEX('潜水記録'!$AB$5:$AB$3004,$AS247)))</f>
        <v/>
      </c>
      <c r="AD247" s="14">
        <f>IF($A247="","",IF(INDEX('潜水記録'!$AC$5:$AC$3004,$AS247)="","",INDEX('潜水記録'!$AC$5:$AC$3004,$AS247)))</f>
        <v/>
      </c>
      <c r="AE247" s="14">
        <f>IF($A247="","",IF(INDEX('潜水記録'!$AD$5:$AD$3004,$AS247)="","",INDEX('潜水記録'!$AD$5:$AD$3004,$AS247)))</f>
        <v/>
      </c>
      <c r="AF247" s="14">
        <f>IF($A247="","",IF(INDEX('潜水記録'!$AE$5:$AE$3004,$AS247)="","",INDEX('潜水記録'!$AE$5:$AE$3004,$AS247)))</f>
        <v/>
      </c>
      <c r="AG247" s="14">
        <f>IF($A247="","",IF(INDEX('潜水記録'!$AL$5:$AL$3004,$AS247)="","",INDEX('潜水記録'!$AL$5:$AL$3004,$AS247)))</f>
        <v/>
      </c>
      <c r="AH247" s="14">
        <f>IF($A247="","",IF(INDEX('潜水記録'!$AM$5:$AM$3004,$AS247)="","",INDEX('潜水記録'!$AM$5:$AM$3004,$AS247)))</f>
        <v/>
      </c>
      <c r="AI247" s="46">
        <f>IF($A247="","",IF(INDEX('潜水記録'!$AN$5:$AN$3004,$AS247)="","",INDEX('潜水記録'!$AN$5:$AN$3004,$AS247)))</f>
        <v/>
      </c>
      <c r="AJ247" s="14">
        <f>IF($A247="","",IF(INDEX('潜水記録'!$AO$5:$AO$3004,$AS247)="","",INDEX('潜水記録'!$AO$5:$AO$3004,$AS247)))</f>
        <v/>
      </c>
      <c r="AK247" s="14">
        <f>IF($A247="","",IF(INDEX('潜水記録'!$AP$5:$AP$3004,$AS247)="","",INDEX('潜水記録'!$AP$5:$AP$3004,$AS247)))</f>
        <v/>
      </c>
      <c r="AL247" s="14">
        <f>IF($A247="","",IF(INDEX('潜水記録'!$AQ$5:$AQ$3004,$AS247)="","",INDEX('潜水記録'!$AQ$5:$AQ$3004,$AS247)))</f>
        <v/>
      </c>
      <c r="AM247" s="14">
        <f>IF($A247="","",IF(INDEX('潜水記録'!$AR$5:$AR$3004,$AS247)="","",INDEX('潜水記録'!$AR$5:$AR$3004,$AS247)))</f>
        <v/>
      </c>
      <c r="AN247" s="14">
        <f>IF($A247="","",IF(INDEX('潜水記録'!$AS$5:$AS$3004,$AS247)="","",INDEX('潜水記録'!$AS$5:$AS$3004,$AS247)))</f>
        <v/>
      </c>
      <c r="AO247" s="14">
        <f>IF($A247="","",IF(INDEX('潜水記録'!$AT$5:$AT$3004,$AS247)="","",INDEX('潜水記録'!$AT$5:$AT$3004,$AS247)))</f>
        <v/>
      </c>
      <c r="AP247" s="14">
        <f>IF($A247="","",IF(INDEX('潜水記録'!$AU$5:$AU$3004,$AS247)="","",INDEX('潜水記録'!$AU$5:$AU$3004,$AS247)))</f>
        <v/>
      </c>
      <c r="AQ247" s="14">
        <f>IF($A247="","",IF(INDEX('潜水記録'!$AV$5:$AV$3004,$AS247)="","",INDEX('潜水記録'!$AV$5:$AV$3004,$AS247)))</f>
        <v/>
      </c>
      <c r="AR247" s="14">
        <f>IF($A247="","",IF(INDEX('潜水記録'!$AW$5:$AW$3004,$AS247)="","",INDEX('潜水記録'!$AW$5:$AW$3004,$AS247)))</f>
        <v/>
      </c>
      <c r="AS247" s="20">
        <f>IF($A247="","",MATCH($A247,'潜水記録'!$AI$5:$AI$3004,0))</f>
        <v/>
      </c>
    </row>
    <row r="248">
      <c r="A248" s="14">
        <f>IF(238&lt;=$C$8,238,"")</f>
        <v/>
      </c>
      <c r="B248" s="16">
        <f>IF($A248="","",IF(INDEX('潜水記録'!$A$5:$A$3004,$AS248)="","",INDEX('潜水記録'!$A$5:$A$3004,$AS248)))</f>
        <v/>
      </c>
      <c r="C248" s="14">
        <f>IF($A248="","",IF(INDEX('潜水記録'!$B$5:$B$3004,$AS248)="","",INDEX('潜水記録'!$B$5:$B$3004,$AS248)))</f>
        <v/>
      </c>
      <c r="D248" s="14">
        <f>IF($A248="","",IF(INDEX('潜水記録'!$C$5:$C$3004,$AS248)="","",INDEX('潜水記録'!$C$5:$C$3004,$AS248)))</f>
        <v/>
      </c>
      <c r="E248" s="14">
        <f>IF($A248="","",IF(INDEX('潜水記録'!$D$5:$D$3004,$AS248)="","",INDEX('潜水記録'!$D$5:$D$3004,$AS248)))</f>
        <v/>
      </c>
      <c r="F248" s="14">
        <f>IF($A248="","",IF(INDEX('潜水記録'!$E$5:$E$3004,$AS248)="","",INDEX('潜水記録'!$E$5:$E$3004,$AS248)))</f>
        <v/>
      </c>
      <c r="G248" s="14">
        <f>IF($A248="","",IF(INDEX('潜水記録'!$F$5:$F$3004,$AS248)="","",INDEX('潜水記録'!$F$5:$F$3004,$AS248)))</f>
        <v/>
      </c>
      <c r="H248" s="14">
        <f>IF($A248="","",IF(INDEX('潜水記録'!$G$5:$G$3004,$AS248)="","",INDEX('潜水記録'!$G$5:$G$3004,$AS248)))</f>
        <v/>
      </c>
      <c r="I248" s="14">
        <f>IF($A248="","",IF(INDEX('潜水記録'!$H$5:$H$3004,$AS248)="","",INDEX('潜水記録'!$H$5:$H$3004,$AS248)))</f>
        <v/>
      </c>
      <c r="J248" s="14">
        <f>IF($A248="","",IF(INDEX('潜水記録'!$I$5:$I$3004,$AS248)="","",INDEX('潜水記録'!$I$5:$I$3004,$AS248)))</f>
        <v/>
      </c>
      <c r="K248" s="14">
        <f>IF($A248="","",IF(INDEX('潜水記録'!$J$5:$J$3004,$AS248)="","",INDEX('潜水記録'!$J$5:$J$3004,$AS248)))</f>
        <v/>
      </c>
      <c r="L248" s="14">
        <f>IF($A248="","",IF(INDEX('潜水記録'!$K$5:$K$3004,$AS248)="","",INDEX('潜水記録'!$K$5:$K$3004,$AS248)))</f>
        <v/>
      </c>
      <c r="M248" s="14">
        <f>IF($A248="","",IF(INDEX('潜水記録'!$L$5:$L$3004,$AS248)="","",INDEX('潜水記録'!$L$5:$L$3004,$AS248)))</f>
        <v/>
      </c>
      <c r="N248" s="14">
        <f>IF($A248="","",IF(INDEX('潜水記録'!$M$5:$M$3004,$AS248)="","",INDEX('潜水記録'!$M$5:$M$3004,$AS248)))</f>
        <v/>
      </c>
      <c r="O248" s="14">
        <f>IF($A248="","",IF(INDEX('潜水記録'!$N$5:$N$3004,$AS248)="","",INDEX('潜水記録'!$N$5:$N$3004,$AS248)))</f>
        <v/>
      </c>
      <c r="P248" s="14">
        <f>IF($A248="","",IF(INDEX('潜水記録'!$O$5:$O$3004,$AS248)="","",INDEX('潜水記録'!$O$5:$O$3004,$AS248)))</f>
        <v/>
      </c>
      <c r="Q248" s="14">
        <f>IF($A248="","",IF(INDEX('潜水記録'!$P$5:$P$3004,$AS248)="","",INDEX('潜水記録'!$P$5:$P$3004,$AS248)))</f>
        <v/>
      </c>
      <c r="R248" s="14">
        <f>IF($A248="","",IF(INDEX('潜水記録'!$Q$5:$Q$3004,$AS248)="","",INDEX('潜水記録'!$Q$5:$Q$3004,$AS248)))</f>
        <v/>
      </c>
      <c r="S248" s="14">
        <f>IF($A248="","",IF(INDEX('潜水記録'!$R$5:$R$3004,$AS248)="","",INDEX('潜水記録'!$R$5:$R$3004,$AS248)))</f>
        <v/>
      </c>
      <c r="T248" s="14">
        <f>IF($A248="","",IF(INDEX('潜水記録'!$S$5:$S$3004,$AS248)="","",INDEX('潜水記録'!$S$5:$S$3004,$AS248)))</f>
        <v/>
      </c>
      <c r="U248" s="14">
        <f>IF($A248="","",IF(INDEX('潜水記録'!$T$5:$T$3004,$AS248)="","",INDEX('潜水記録'!$T$5:$T$3004,$AS248)))</f>
        <v/>
      </c>
      <c r="V248" s="46">
        <f>IF($A248="","",IF(INDEX('潜水記録'!$U$5:$U$3004,$AS248)="","",INDEX('潜水記録'!$U$5:$U$3004,$AS248)))</f>
        <v/>
      </c>
      <c r="W248" s="46">
        <f>IF($A248="","",IF(INDEX('潜水記録'!$V$5:$V$3004,$AS248)="","",INDEX('潜水記録'!$V$5:$V$3004,$AS248)))</f>
        <v/>
      </c>
      <c r="X248" s="14">
        <f>IF($A248="","",IF(INDEX('潜水記録'!$W$5:$W$3004,$AS248)="","",INDEX('潜水記録'!$W$5:$W$3004,$AS248)))</f>
        <v/>
      </c>
      <c r="Y248" s="14">
        <f>IF($A248="","",IF(INDEX('潜水記録'!$X$5:$X$3004,$AS248)="","",INDEX('潜水記録'!$X$5:$X$3004,$AS248)))</f>
        <v/>
      </c>
      <c r="Z248" s="14">
        <f>IF($A248="","",IF(INDEX('潜水記録'!$Y$5:$Y$3004,$AS248)="","",INDEX('潜水記録'!$Y$5:$Y$3004,$AS248)))</f>
        <v/>
      </c>
      <c r="AA248" s="14">
        <f>IF($A248="","",IF(INDEX('潜水記録'!$Z$5:$Z$3004,$AS248)="","",INDEX('潜水記録'!$Z$5:$Z$3004,$AS248)))</f>
        <v/>
      </c>
      <c r="AB248" s="14">
        <f>IF($A248="","",IF(INDEX('潜水記録'!$AA$5:$AA$3004,$AS248)="","",INDEX('潜水記録'!$AA$5:$AA$3004,$AS248)))</f>
        <v/>
      </c>
      <c r="AC248" s="14">
        <f>IF($A248="","",IF(INDEX('潜水記録'!$AB$5:$AB$3004,$AS248)="","",INDEX('潜水記録'!$AB$5:$AB$3004,$AS248)))</f>
        <v/>
      </c>
      <c r="AD248" s="14">
        <f>IF($A248="","",IF(INDEX('潜水記録'!$AC$5:$AC$3004,$AS248)="","",INDEX('潜水記録'!$AC$5:$AC$3004,$AS248)))</f>
        <v/>
      </c>
      <c r="AE248" s="14">
        <f>IF($A248="","",IF(INDEX('潜水記録'!$AD$5:$AD$3004,$AS248)="","",INDEX('潜水記録'!$AD$5:$AD$3004,$AS248)))</f>
        <v/>
      </c>
      <c r="AF248" s="14">
        <f>IF($A248="","",IF(INDEX('潜水記録'!$AE$5:$AE$3004,$AS248)="","",INDEX('潜水記録'!$AE$5:$AE$3004,$AS248)))</f>
        <v/>
      </c>
      <c r="AG248" s="14">
        <f>IF($A248="","",IF(INDEX('潜水記録'!$AL$5:$AL$3004,$AS248)="","",INDEX('潜水記録'!$AL$5:$AL$3004,$AS248)))</f>
        <v/>
      </c>
      <c r="AH248" s="14">
        <f>IF($A248="","",IF(INDEX('潜水記録'!$AM$5:$AM$3004,$AS248)="","",INDEX('潜水記録'!$AM$5:$AM$3004,$AS248)))</f>
        <v/>
      </c>
      <c r="AI248" s="46">
        <f>IF($A248="","",IF(INDEX('潜水記録'!$AN$5:$AN$3004,$AS248)="","",INDEX('潜水記録'!$AN$5:$AN$3004,$AS248)))</f>
        <v/>
      </c>
      <c r="AJ248" s="14">
        <f>IF($A248="","",IF(INDEX('潜水記録'!$AO$5:$AO$3004,$AS248)="","",INDEX('潜水記録'!$AO$5:$AO$3004,$AS248)))</f>
        <v/>
      </c>
      <c r="AK248" s="14">
        <f>IF($A248="","",IF(INDEX('潜水記録'!$AP$5:$AP$3004,$AS248)="","",INDEX('潜水記録'!$AP$5:$AP$3004,$AS248)))</f>
        <v/>
      </c>
      <c r="AL248" s="14">
        <f>IF($A248="","",IF(INDEX('潜水記録'!$AQ$5:$AQ$3004,$AS248)="","",INDEX('潜水記録'!$AQ$5:$AQ$3004,$AS248)))</f>
        <v/>
      </c>
      <c r="AM248" s="14">
        <f>IF($A248="","",IF(INDEX('潜水記録'!$AR$5:$AR$3004,$AS248)="","",INDEX('潜水記録'!$AR$5:$AR$3004,$AS248)))</f>
        <v/>
      </c>
      <c r="AN248" s="14">
        <f>IF($A248="","",IF(INDEX('潜水記録'!$AS$5:$AS$3004,$AS248)="","",INDEX('潜水記録'!$AS$5:$AS$3004,$AS248)))</f>
        <v/>
      </c>
      <c r="AO248" s="14">
        <f>IF($A248="","",IF(INDEX('潜水記録'!$AT$5:$AT$3004,$AS248)="","",INDEX('潜水記録'!$AT$5:$AT$3004,$AS248)))</f>
        <v/>
      </c>
      <c r="AP248" s="14">
        <f>IF($A248="","",IF(INDEX('潜水記録'!$AU$5:$AU$3004,$AS248)="","",INDEX('潜水記録'!$AU$5:$AU$3004,$AS248)))</f>
        <v/>
      </c>
      <c r="AQ248" s="14">
        <f>IF($A248="","",IF(INDEX('潜水記録'!$AV$5:$AV$3004,$AS248)="","",INDEX('潜水記録'!$AV$5:$AV$3004,$AS248)))</f>
        <v/>
      </c>
      <c r="AR248" s="14">
        <f>IF($A248="","",IF(INDEX('潜水記録'!$AW$5:$AW$3004,$AS248)="","",INDEX('潜水記録'!$AW$5:$AW$3004,$AS248)))</f>
        <v/>
      </c>
      <c r="AS248" s="20">
        <f>IF($A248="","",MATCH($A248,'潜水記録'!$AI$5:$AI$3004,0))</f>
        <v/>
      </c>
    </row>
    <row r="249">
      <c r="A249" s="14">
        <f>IF(239&lt;=$C$8,239,"")</f>
        <v/>
      </c>
      <c r="B249" s="16">
        <f>IF($A249="","",IF(INDEX('潜水記録'!$A$5:$A$3004,$AS249)="","",INDEX('潜水記録'!$A$5:$A$3004,$AS249)))</f>
        <v/>
      </c>
      <c r="C249" s="14">
        <f>IF($A249="","",IF(INDEX('潜水記録'!$B$5:$B$3004,$AS249)="","",INDEX('潜水記録'!$B$5:$B$3004,$AS249)))</f>
        <v/>
      </c>
      <c r="D249" s="14">
        <f>IF($A249="","",IF(INDEX('潜水記録'!$C$5:$C$3004,$AS249)="","",INDEX('潜水記録'!$C$5:$C$3004,$AS249)))</f>
        <v/>
      </c>
      <c r="E249" s="14">
        <f>IF($A249="","",IF(INDEX('潜水記録'!$D$5:$D$3004,$AS249)="","",INDEX('潜水記録'!$D$5:$D$3004,$AS249)))</f>
        <v/>
      </c>
      <c r="F249" s="14">
        <f>IF($A249="","",IF(INDEX('潜水記録'!$E$5:$E$3004,$AS249)="","",INDEX('潜水記録'!$E$5:$E$3004,$AS249)))</f>
        <v/>
      </c>
      <c r="G249" s="14">
        <f>IF($A249="","",IF(INDEX('潜水記録'!$F$5:$F$3004,$AS249)="","",INDEX('潜水記録'!$F$5:$F$3004,$AS249)))</f>
        <v/>
      </c>
      <c r="H249" s="14">
        <f>IF($A249="","",IF(INDEX('潜水記録'!$G$5:$G$3004,$AS249)="","",INDEX('潜水記録'!$G$5:$G$3004,$AS249)))</f>
        <v/>
      </c>
      <c r="I249" s="14">
        <f>IF($A249="","",IF(INDEX('潜水記録'!$H$5:$H$3004,$AS249)="","",INDEX('潜水記録'!$H$5:$H$3004,$AS249)))</f>
        <v/>
      </c>
      <c r="J249" s="14">
        <f>IF($A249="","",IF(INDEX('潜水記録'!$I$5:$I$3004,$AS249)="","",INDEX('潜水記録'!$I$5:$I$3004,$AS249)))</f>
        <v/>
      </c>
      <c r="K249" s="14">
        <f>IF($A249="","",IF(INDEX('潜水記録'!$J$5:$J$3004,$AS249)="","",INDEX('潜水記録'!$J$5:$J$3004,$AS249)))</f>
        <v/>
      </c>
      <c r="L249" s="14">
        <f>IF($A249="","",IF(INDEX('潜水記録'!$K$5:$K$3004,$AS249)="","",INDEX('潜水記録'!$K$5:$K$3004,$AS249)))</f>
        <v/>
      </c>
      <c r="M249" s="14">
        <f>IF($A249="","",IF(INDEX('潜水記録'!$L$5:$L$3004,$AS249)="","",INDEX('潜水記録'!$L$5:$L$3004,$AS249)))</f>
        <v/>
      </c>
      <c r="N249" s="14">
        <f>IF($A249="","",IF(INDEX('潜水記録'!$M$5:$M$3004,$AS249)="","",INDEX('潜水記録'!$M$5:$M$3004,$AS249)))</f>
        <v/>
      </c>
      <c r="O249" s="14">
        <f>IF($A249="","",IF(INDEX('潜水記録'!$N$5:$N$3004,$AS249)="","",INDEX('潜水記録'!$N$5:$N$3004,$AS249)))</f>
        <v/>
      </c>
      <c r="P249" s="14">
        <f>IF($A249="","",IF(INDEX('潜水記録'!$O$5:$O$3004,$AS249)="","",INDEX('潜水記録'!$O$5:$O$3004,$AS249)))</f>
        <v/>
      </c>
      <c r="Q249" s="14">
        <f>IF($A249="","",IF(INDEX('潜水記録'!$P$5:$P$3004,$AS249)="","",INDEX('潜水記録'!$P$5:$P$3004,$AS249)))</f>
        <v/>
      </c>
      <c r="R249" s="14">
        <f>IF($A249="","",IF(INDEX('潜水記録'!$Q$5:$Q$3004,$AS249)="","",INDEX('潜水記録'!$Q$5:$Q$3004,$AS249)))</f>
        <v/>
      </c>
      <c r="S249" s="14">
        <f>IF($A249="","",IF(INDEX('潜水記録'!$R$5:$R$3004,$AS249)="","",INDEX('潜水記録'!$R$5:$R$3004,$AS249)))</f>
        <v/>
      </c>
      <c r="T249" s="14">
        <f>IF($A249="","",IF(INDEX('潜水記録'!$S$5:$S$3004,$AS249)="","",INDEX('潜水記録'!$S$5:$S$3004,$AS249)))</f>
        <v/>
      </c>
      <c r="U249" s="14">
        <f>IF($A249="","",IF(INDEX('潜水記録'!$T$5:$T$3004,$AS249)="","",INDEX('潜水記録'!$T$5:$T$3004,$AS249)))</f>
        <v/>
      </c>
      <c r="V249" s="46">
        <f>IF($A249="","",IF(INDEX('潜水記録'!$U$5:$U$3004,$AS249)="","",INDEX('潜水記録'!$U$5:$U$3004,$AS249)))</f>
        <v/>
      </c>
      <c r="W249" s="46">
        <f>IF($A249="","",IF(INDEX('潜水記録'!$V$5:$V$3004,$AS249)="","",INDEX('潜水記録'!$V$5:$V$3004,$AS249)))</f>
        <v/>
      </c>
      <c r="X249" s="14">
        <f>IF($A249="","",IF(INDEX('潜水記録'!$W$5:$W$3004,$AS249)="","",INDEX('潜水記録'!$W$5:$W$3004,$AS249)))</f>
        <v/>
      </c>
      <c r="Y249" s="14">
        <f>IF($A249="","",IF(INDEX('潜水記録'!$X$5:$X$3004,$AS249)="","",INDEX('潜水記録'!$X$5:$X$3004,$AS249)))</f>
        <v/>
      </c>
      <c r="Z249" s="14">
        <f>IF($A249="","",IF(INDEX('潜水記録'!$Y$5:$Y$3004,$AS249)="","",INDEX('潜水記録'!$Y$5:$Y$3004,$AS249)))</f>
        <v/>
      </c>
      <c r="AA249" s="14">
        <f>IF($A249="","",IF(INDEX('潜水記録'!$Z$5:$Z$3004,$AS249)="","",INDEX('潜水記録'!$Z$5:$Z$3004,$AS249)))</f>
        <v/>
      </c>
      <c r="AB249" s="14">
        <f>IF($A249="","",IF(INDEX('潜水記録'!$AA$5:$AA$3004,$AS249)="","",INDEX('潜水記録'!$AA$5:$AA$3004,$AS249)))</f>
        <v/>
      </c>
      <c r="AC249" s="14">
        <f>IF($A249="","",IF(INDEX('潜水記録'!$AB$5:$AB$3004,$AS249)="","",INDEX('潜水記録'!$AB$5:$AB$3004,$AS249)))</f>
        <v/>
      </c>
      <c r="AD249" s="14">
        <f>IF($A249="","",IF(INDEX('潜水記録'!$AC$5:$AC$3004,$AS249)="","",INDEX('潜水記録'!$AC$5:$AC$3004,$AS249)))</f>
        <v/>
      </c>
      <c r="AE249" s="14">
        <f>IF($A249="","",IF(INDEX('潜水記録'!$AD$5:$AD$3004,$AS249)="","",INDEX('潜水記録'!$AD$5:$AD$3004,$AS249)))</f>
        <v/>
      </c>
      <c r="AF249" s="14">
        <f>IF($A249="","",IF(INDEX('潜水記録'!$AE$5:$AE$3004,$AS249)="","",INDEX('潜水記録'!$AE$5:$AE$3004,$AS249)))</f>
        <v/>
      </c>
      <c r="AG249" s="14">
        <f>IF($A249="","",IF(INDEX('潜水記録'!$AL$5:$AL$3004,$AS249)="","",INDEX('潜水記録'!$AL$5:$AL$3004,$AS249)))</f>
        <v/>
      </c>
      <c r="AH249" s="14">
        <f>IF($A249="","",IF(INDEX('潜水記録'!$AM$5:$AM$3004,$AS249)="","",INDEX('潜水記録'!$AM$5:$AM$3004,$AS249)))</f>
        <v/>
      </c>
      <c r="AI249" s="46">
        <f>IF($A249="","",IF(INDEX('潜水記録'!$AN$5:$AN$3004,$AS249)="","",INDEX('潜水記録'!$AN$5:$AN$3004,$AS249)))</f>
        <v/>
      </c>
      <c r="AJ249" s="14">
        <f>IF($A249="","",IF(INDEX('潜水記録'!$AO$5:$AO$3004,$AS249)="","",INDEX('潜水記録'!$AO$5:$AO$3004,$AS249)))</f>
        <v/>
      </c>
      <c r="AK249" s="14">
        <f>IF($A249="","",IF(INDEX('潜水記録'!$AP$5:$AP$3004,$AS249)="","",INDEX('潜水記録'!$AP$5:$AP$3004,$AS249)))</f>
        <v/>
      </c>
      <c r="AL249" s="14">
        <f>IF($A249="","",IF(INDEX('潜水記録'!$AQ$5:$AQ$3004,$AS249)="","",INDEX('潜水記録'!$AQ$5:$AQ$3004,$AS249)))</f>
        <v/>
      </c>
      <c r="AM249" s="14">
        <f>IF($A249="","",IF(INDEX('潜水記録'!$AR$5:$AR$3004,$AS249)="","",INDEX('潜水記録'!$AR$5:$AR$3004,$AS249)))</f>
        <v/>
      </c>
      <c r="AN249" s="14">
        <f>IF($A249="","",IF(INDEX('潜水記録'!$AS$5:$AS$3004,$AS249)="","",INDEX('潜水記録'!$AS$5:$AS$3004,$AS249)))</f>
        <v/>
      </c>
      <c r="AO249" s="14">
        <f>IF($A249="","",IF(INDEX('潜水記録'!$AT$5:$AT$3004,$AS249)="","",INDEX('潜水記録'!$AT$5:$AT$3004,$AS249)))</f>
        <v/>
      </c>
      <c r="AP249" s="14">
        <f>IF($A249="","",IF(INDEX('潜水記録'!$AU$5:$AU$3004,$AS249)="","",INDEX('潜水記録'!$AU$5:$AU$3004,$AS249)))</f>
        <v/>
      </c>
      <c r="AQ249" s="14">
        <f>IF($A249="","",IF(INDEX('潜水記録'!$AV$5:$AV$3004,$AS249)="","",INDEX('潜水記録'!$AV$5:$AV$3004,$AS249)))</f>
        <v/>
      </c>
      <c r="AR249" s="14">
        <f>IF($A249="","",IF(INDEX('潜水記録'!$AW$5:$AW$3004,$AS249)="","",INDEX('潜水記録'!$AW$5:$AW$3004,$AS249)))</f>
        <v/>
      </c>
      <c r="AS249" s="20">
        <f>IF($A249="","",MATCH($A249,'潜水記録'!$AI$5:$AI$3004,0))</f>
        <v/>
      </c>
    </row>
    <row r="250">
      <c r="A250" s="14">
        <f>IF(240&lt;=$C$8,240,"")</f>
        <v/>
      </c>
      <c r="B250" s="16">
        <f>IF($A250="","",IF(INDEX('潜水記録'!$A$5:$A$3004,$AS250)="","",INDEX('潜水記録'!$A$5:$A$3004,$AS250)))</f>
        <v/>
      </c>
      <c r="C250" s="14">
        <f>IF($A250="","",IF(INDEX('潜水記録'!$B$5:$B$3004,$AS250)="","",INDEX('潜水記録'!$B$5:$B$3004,$AS250)))</f>
        <v/>
      </c>
      <c r="D250" s="14">
        <f>IF($A250="","",IF(INDEX('潜水記録'!$C$5:$C$3004,$AS250)="","",INDEX('潜水記録'!$C$5:$C$3004,$AS250)))</f>
        <v/>
      </c>
      <c r="E250" s="14">
        <f>IF($A250="","",IF(INDEX('潜水記録'!$D$5:$D$3004,$AS250)="","",INDEX('潜水記録'!$D$5:$D$3004,$AS250)))</f>
        <v/>
      </c>
      <c r="F250" s="14">
        <f>IF($A250="","",IF(INDEX('潜水記録'!$E$5:$E$3004,$AS250)="","",INDEX('潜水記録'!$E$5:$E$3004,$AS250)))</f>
        <v/>
      </c>
      <c r="G250" s="14">
        <f>IF($A250="","",IF(INDEX('潜水記録'!$F$5:$F$3004,$AS250)="","",INDEX('潜水記録'!$F$5:$F$3004,$AS250)))</f>
        <v/>
      </c>
      <c r="H250" s="14">
        <f>IF($A250="","",IF(INDEX('潜水記録'!$G$5:$G$3004,$AS250)="","",INDEX('潜水記録'!$G$5:$G$3004,$AS250)))</f>
        <v/>
      </c>
      <c r="I250" s="14">
        <f>IF($A250="","",IF(INDEX('潜水記録'!$H$5:$H$3004,$AS250)="","",INDEX('潜水記録'!$H$5:$H$3004,$AS250)))</f>
        <v/>
      </c>
      <c r="J250" s="14">
        <f>IF($A250="","",IF(INDEX('潜水記録'!$I$5:$I$3004,$AS250)="","",INDEX('潜水記録'!$I$5:$I$3004,$AS250)))</f>
        <v/>
      </c>
      <c r="K250" s="14">
        <f>IF($A250="","",IF(INDEX('潜水記録'!$J$5:$J$3004,$AS250)="","",INDEX('潜水記録'!$J$5:$J$3004,$AS250)))</f>
        <v/>
      </c>
      <c r="L250" s="14">
        <f>IF($A250="","",IF(INDEX('潜水記録'!$K$5:$K$3004,$AS250)="","",INDEX('潜水記録'!$K$5:$K$3004,$AS250)))</f>
        <v/>
      </c>
      <c r="M250" s="14">
        <f>IF($A250="","",IF(INDEX('潜水記録'!$L$5:$L$3004,$AS250)="","",INDEX('潜水記録'!$L$5:$L$3004,$AS250)))</f>
        <v/>
      </c>
      <c r="N250" s="14">
        <f>IF($A250="","",IF(INDEX('潜水記録'!$M$5:$M$3004,$AS250)="","",INDEX('潜水記録'!$M$5:$M$3004,$AS250)))</f>
        <v/>
      </c>
      <c r="O250" s="14">
        <f>IF($A250="","",IF(INDEX('潜水記録'!$N$5:$N$3004,$AS250)="","",INDEX('潜水記録'!$N$5:$N$3004,$AS250)))</f>
        <v/>
      </c>
      <c r="P250" s="14">
        <f>IF($A250="","",IF(INDEX('潜水記録'!$O$5:$O$3004,$AS250)="","",INDEX('潜水記録'!$O$5:$O$3004,$AS250)))</f>
        <v/>
      </c>
      <c r="Q250" s="14">
        <f>IF($A250="","",IF(INDEX('潜水記録'!$P$5:$P$3004,$AS250)="","",INDEX('潜水記録'!$P$5:$P$3004,$AS250)))</f>
        <v/>
      </c>
      <c r="R250" s="14">
        <f>IF($A250="","",IF(INDEX('潜水記録'!$Q$5:$Q$3004,$AS250)="","",INDEX('潜水記録'!$Q$5:$Q$3004,$AS250)))</f>
        <v/>
      </c>
      <c r="S250" s="14">
        <f>IF($A250="","",IF(INDEX('潜水記録'!$R$5:$R$3004,$AS250)="","",INDEX('潜水記録'!$R$5:$R$3004,$AS250)))</f>
        <v/>
      </c>
      <c r="T250" s="14">
        <f>IF($A250="","",IF(INDEX('潜水記録'!$S$5:$S$3004,$AS250)="","",INDEX('潜水記録'!$S$5:$S$3004,$AS250)))</f>
        <v/>
      </c>
      <c r="U250" s="14">
        <f>IF($A250="","",IF(INDEX('潜水記録'!$T$5:$T$3004,$AS250)="","",INDEX('潜水記録'!$T$5:$T$3004,$AS250)))</f>
        <v/>
      </c>
      <c r="V250" s="46">
        <f>IF($A250="","",IF(INDEX('潜水記録'!$U$5:$U$3004,$AS250)="","",INDEX('潜水記録'!$U$5:$U$3004,$AS250)))</f>
        <v/>
      </c>
      <c r="W250" s="46">
        <f>IF($A250="","",IF(INDEX('潜水記録'!$V$5:$V$3004,$AS250)="","",INDEX('潜水記録'!$V$5:$V$3004,$AS250)))</f>
        <v/>
      </c>
      <c r="X250" s="14">
        <f>IF($A250="","",IF(INDEX('潜水記録'!$W$5:$W$3004,$AS250)="","",INDEX('潜水記録'!$W$5:$W$3004,$AS250)))</f>
        <v/>
      </c>
      <c r="Y250" s="14">
        <f>IF($A250="","",IF(INDEX('潜水記録'!$X$5:$X$3004,$AS250)="","",INDEX('潜水記録'!$X$5:$X$3004,$AS250)))</f>
        <v/>
      </c>
      <c r="Z250" s="14">
        <f>IF($A250="","",IF(INDEX('潜水記録'!$Y$5:$Y$3004,$AS250)="","",INDEX('潜水記録'!$Y$5:$Y$3004,$AS250)))</f>
        <v/>
      </c>
      <c r="AA250" s="14">
        <f>IF($A250="","",IF(INDEX('潜水記録'!$Z$5:$Z$3004,$AS250)="","",INDEX('潜水記録'!$Z$5:$Z$3004,$AS250)))</f>
        <v/>
      </c>
      <c r="AB250" s="14">
        <f>IF($A250="","",IF(INDEX('潜水記録'!$AA$5:$AA$3004,$AS250)="","",INDEX('潜水記録'!$AA$5:$AA$3004,$AS250)))</f>
        <v/>
      </c>
      <c r="AC250" s="14">
        <f>IF($A250="","",IF(INDEX('潜水記録'!$AB$5:$AB$3004,$AS250)="","",INDEX('潜水記録'!$AB$5:$AB$3004,$AS250)))</f>
        <v/>
      </c>
      <c r="AD250" s="14">
        <f>IF($A250="","",IF(INDEX('潜水記録'!$AC$5:$AC$3004,$AS250)="","",INDEX('潜水記録'!$AC$5:$AC$3004,$AS250)))</f>
        <v/>
      </c>
      <c r="AE250" s="14">
        <f>IF($A250="","",IF(INDEX('潜水記録'!$AD$5:$AD$3004,$AS250)="","",INDEX('潜水記録'!$AD$5:$AD$3004,$AS250)))</f>
        <v/>
      </c>
      <c r="AF250" s="14">
        <f>IF($A250="","",IF(INDEX('潜水記録'!$AE$5:$AE$3004,$AS250)="","",INDEX('潜水記録'!$AE$5:$AE$3004,$AS250)))</f>
        <v/>
      </c>
      <c r="AG250" s="14">
        <f>IF($A250="","",IF(INDEX('潜水記録'!$AL$5:$AL$3004,$AS250)="","",INDEX('潜水記録'!$AL$5:$AL$3004,$AS250)))</f>
        <v/>
      </c>
      <c r="AH250" s="14">
        <f>IF($A250="","",IF(INDEX('潜水記録'!$AM$5:$AM$3004,$AS250)="","",INDEX('潜水記録'!$AM$5:$AM$3004,$AS250)))</f>
        <v/>
      </c>
      <c r="AI250" s="46">
        <f>IF($A250="","",IF(INDEX('潜水記録'!$AN$5:$AN$3004,$AS250)="","",INDEX('潜水記録'!$AN$5:$AN$3004,$AS250)))</f>
        <v/>
      </c>
      <c r="AJ250" s="14">
        <f>IF($A250="","",IF(INDEX('潜水記録'!$AO$5:$AO$3004,$AS250)="","",INDEX('潜水記録'!$AO$5:$AO$3004,$AS250)))</f>
        <v/>
      </c>
      <c r="AK250" s="14">
        <f>IF($A250="","",IF(INDEX('潜水記録'!$AP$5:$AP$3004,$AS250)="","",INDEX('潜水記録'!$AP$5:$AP$3004,$AS250)))</f>
        <v/>
      </c>
      <c r="AL250" s="14">
        <f>IF($A250="","",IF(INDEX('潜水記録'!$AQ$5:$AQ$3004,$AS250)="","",INDEX('潜水記録'!$AQ$5:$AQ$3004,$AS250)))</f>
        <v/>
      </c>
      <c r="AM250" s="14">
        <f>IF($A250="","",IF(INDEX('潜水記録'!$AR$5:$AR$3004,$AS250)="","",INDEX('潜水記録'!$AR$5:$AR$3004,$AS250)))</f>
        <v/>
      </c>
      <c r="AN250" s="14">
        <f>IF($A250="","",IF(INDEX('潜水記録'!$AS$5:$AS$3004,$AS250)="","",INDEX('潜水記録'!$AS$5:$AS$3004,$AS250)))</f>
        <v/>
      </c>
      <c r="AO250" s="14">
        <f>IF($A250="","",IF(INDEX('潜水記録'!$AT$5:$AT$3004,$AS250)="","",INDEX('潜水記録'!$AT$5:$AT$3004,$AS250)))</f>
        <v/>
      </c>
      <c r="AP250" s="14">
        <f>IF($A250="","",IF(INDEX('潜水記録'!$AU$5:$AU$3004,$AS250)="","",INDEX('潜水記録'!$AU$5:$AU$3004,$AS250)))</f>
        <v/>
      </c>
      <c r="AQ250" s="14">
        <f>IF($A250="","",IF(INDEX('潜水記録'!$AV$5:$AV$3004,$AS250)="","",INDEX('潜水記録'!$AV$5:$AV$3004,$AS250)))</f>
        <v/>
      </c>
      <c r="AR250" s="14">
        <f>IF($A250="","",IF(INDEX('潜水記録'!$AW$5:$AW$3004,$AS250)="","",INDEX('潜水記録'!$AW$5:$AW$3004,$AS250)))</f>
        <v/>
      </c>
      <c r="AS250" s="20">
        <f>IF($A250="","",MATCH($A250,'潜水記録'!$AI$5:$AI$3004,0))</f>
        <v/>
      </c>
    </row>
    <row r="251">
      <c r="A251" s="14">
        <f>IF(241&lt;=$C$8,241,"")</f>
        <v/>
      </c>
      <c r="B251" s="16">
        <f>IF($A251="","",IF(INDEX('潜水記録'!$A$5:$A$3004,$AS251)="","",INDEX('潜水記録'!$A$5:$A$3004,$AS251)))</f>
        <v/>
      </c>
      <c r="C251" s="14">
        <f>IF($A251="","",IF(INDEX('潜水記録'!$B$5:$B$3004,$AS251)="","",INDEX('潜水記録'!$B$5:$B$3004,$AS251)))</f>
        <v/>
      </c>
      <c r="D251" s="14">
        <f>IF($A251="","",IF(INDEX('潜水記録'!$C$5:$C$3004,$AS251)="","",INDEX('潜水記録'!$C$5:$C$3004,$AS251)))</f>
        <v/>
      </c>
      <c r="E251" s="14">
        <f>IF($A251="","",IF(INDEX('潜水記録'!$D$5:$D$3004,$AS251)="","",INDEX('潜水記録'!$D$5:$D$3004,$AS251)))</f>
        <v/>
      </c>
      <c r="F251" s="14">
        <f>IF($A251="","",IF(INDEX('潜水記録'!$E$5:$E$3004,$AS251)="","",INDEX('潜水記録'!$E$5:$E$3004,$AS251)))</f>
        <v/>
      </c>
      <c r="G251" s="14">
        <f>IF($A251="","",IF(INDEX('潜水記録'!$F$5:$F$3004,$AS251)="","",INDEX('潜水記録'!$F$5:$F$3004,$AS251)))</f>
        <v/>
      </c>
      <c r="H251" s="14">
        <f>IF($A251="","",IF(INDEX('潜水記録'!$G$5:$G$3004,$AS251)="","",INDEX('潜水記録'!$G$5:$G$3004,$AS251)))</f>
        <v/>
      </c>
      <c r="I251" s="14">
        <f>IF($A251="","",IF(INDEX('潜水記録'!$H$5:$H$3004,$AS251)="","",INDEX('潜水記録'!$H$5:$H$3004,$AS251)))</f>
        <v/>
      </c>
      <c r="J251" s="14">
        <f>IF($A251="","",IF(INDEX('潜水記録'!$I$5:$I$3004,$AS251)="","",INDEX('潜水記録'!$I$5:$I$3004,$AS251)))</f>
        <v/>
      </c>
      <c r="K251" s="14">
        <f>IF($A251="","",IF(INDEX('潜水記録'!$J$5:$J$3004,$AS251)="","",INDEX('潜水記録'!$J$5:$J$3004,$AS251)))</f>
        <v/>
      </c>
      <c r="L251" s="14">
        <f>IF($A251="","",IF(INDEX('潜水記録'!$K$5:$K$3004,$AS251)="","",INDEX('潜水記録'!$K$5:$K$3004,$AS251)))</f>
        <v/>
      </c>
      <c r="M251" s="14">
        <f>IF($A251="","",IF(INDEX('潜水記録'!$L$5:$L$3004,$AS251)="","",INDEX('潜水記録'!$L$5:$L$3004,$AS251)))</f>
        <v/>
      </c>
      <c r="N251" s="14">
        <f>IF($A251="","",IF(INDEX('潜水記録'!$M$5:$M$3004,$AS251)="","",INDEX('潜水記録'!$M$5:$M$3004,$AS251)))</f>
        <v/>
      </c>
      <c r="O251" s="14">
        <f>IF($A251="","",IF(INDEX('潜水記録'!$N$5:$N$3004,$AS251)="","",INDEX('潜水記録'!$N$5:$N$3004,$AS251)))</f>
        <v/>
      </c>
      <c r="P251" s="14">
        <f>IF($A251="","",IF(INDEX('潜水記録'!$O$5:$O$3004,$AS251)="","",INDEX('潜水記録'!$O$5:$O$3004,$AS251)))</f>
        <v/>
      </c>
      <c r="Q251" s="14">
        <f>IF($A251="","",IF(INDEX('潜水記録'!$P$5:$P$3004,$AS251)="","",INDEX('潜水記録'!$P$5:$P$3004,$AS251)))</f>
        <v/>
      </c>
      <c r="R251" s="14">
        <f>IF($A251="","",IF(INDEX('潜水記録'!$Q$5:$Q$3004,$AS251)="","",INDEX('潜水記録'!$Q$5:$Q$3004,$AS251)))</f>
        <v/>
      </c>
      <c r="S251" s="14">
        <f>IF($A251="","",IF(INDEX('潜水記録'!$R$5:$R$3004,$AS251)="","",INDEX('潜水記録'!$R$5:$R$3004,$AS251)))</f>
        <v/>
      </c>
      <c r="T251" s="14">
        <f>IF($A251="","",IF(INDEX('潜水記録'!$S$5:$S$3004,$AS251)="","",INDEX('潜水記録'!$S$5:$S$3004,$AS251)))</f>
        <v/>
      </c>
      <c r="U251" s="14">
        <f>IF($A251="","",IF(INDEX('潜水記録'!$T$5:$T$3004,$AS251)="","",INDEX('潜水記録'!$T$5:$T$3004,$AS251)))</f>
        <v/>
      </c>
      <c r="V251" s="46">
        <f>IF($A251="","",IF(INDEX('潜水記録'!$U$5:$U$3004,$AS251)="","",INDEX('潜水記録'!$U$5:$U$3004,$AS251)))</f>
        <v/>
      </c>
      <c r="W251" s="46">
        <f>IF($A251="","",IF(INDEX('潜水記録'!$V$5:$V$3004,$AS251)="","",INDEX('潜水記録'!$V$5:$V$3004,$AS251)))</f>
        <v/>
      </c>
      <c r="X251" s="14">
        <f>IF($A251="","",IF(INDEX('潜水記録'!$W$5:$W$3004,$AS251)="","",INDEX('潜水記録'!$W$5:$W$3004,$AS251)))</f>
        <v/>
      </c>
      <c r="Y251" s="14">
        <f>IF($A251="","",IF(INDEX('潜水記録'!$X$5:$X$3004,$AS251)="","",INDEX('潜水記録'!$X$5:$X$3004,$AS251)))</f>
        <v/>
      </c>
      <c r="Z251" s="14">
        <f>IF($A251="","",IF(INDEX('潜水記録'!$Y$5:$Y$3004,$AS251)="","",INDEX('潜水記録'!$Y$5:$Y$3004,$AS251)))</f>
        <v/>
      </c>
      <c r="AA251" s="14">
        <f>IF($A251="","",IF(INDEX('潜水記録'!$Z$5:$Z$3004,$AS251)="","",INDEX('潜水記録'!$Z$5:$Z$3004,$AS251)))</f>
        <v/>
      </c>
      <c r="AB251" s="14">
        <f>IF($A251="","",IF(INDEX('潜水記録'!$AA$5:$AA$3004,$AS251)="","",INDEX('潜水記録'!$AA$5:$AA$3004,$AS251)))</f>
        <v/>
      </c>
      <c r="AC251" s="14">
        <f>IF($A251="","",IF(INDEX('潜水記録'!$AB$5:$AB$3004,$AS251)="","",INDEX('潜水記録'!$AB$5:$AB$3004,$AS251)))</f>
        <v/>
      </c>
      <c r="AD251" s="14">
        <f>IF($A251="","",IF(INDEX('潜水記録'!$AC$5:$AC$3004,$AS251)="","",INDEX('潜水記録'!$AC$5:$AC$3004,$AS251)))</f>
        <v/>
      </c>
      <c r="AE251" s="14">
        <f>IF($A251="","",IF(INDEX('潜水記録'!$AD$5:$AD$3004,$AS251)="","",INDEX('潜水記録'!$AD$5:$AD$3004,$AS251)))</f>
        <v/>
      </c>
      <c r="AF251" s="14">
        <f>IF($A251="","",IF(INDEX('潜水記録'!$AE$5:$AE$3004,$AS251)="","",INDEX('潜水記録'!$AE$5:$AE$3004,$AS251)))</f>
        <v/>
      </c>
      <c r="AG251" s="14">
        <f>IF($A251="","",IF(INDEX('潜水記録'!$AL$5:$AL$3004,$AS251)="","",INDEX('潜水記録'!$AL$5:$AL$3004,$AS251)))</f>
        <v/>
      </c>
      <c r="AH251" s="14">
        <f>IF($A251="","",IF(INDEX('潜水記録'!$AM$5:$AM$3004,$AS251)="","",INDEX('潜水記録'!$AM$5:$AM$3004,$AS251)))</f>
        <v/>
      </c>
      <c r="AI251" s="46">
        <f>IF($A251="","",IF(INDEX('潜水記録'!$AN$5:$AN$3004,$AS251)="","",INDEX('潜水記録'!$AN$5:$AN$3004,$AS251)))</f>
        <v/>
      </c>
      <c r="AJ251" s="14">
        <f>IF($A251="","",IF(INDEX('潜水記録'!$AO$5:$AO$3004,$AS251)="","",INDEX('潜水記録'!$AO$5:$AO$3004,$AS251)))</f>
        <v/>
      </c>
      <c r="AK251" s="14">
        <f>IF($A251="","",IF(INDEX('潜水記録'!$AP$5:$AP$3004,$AS251)="","",INDEX('潜水記録'!$AP$5:$AP$3004,$AS251)))</f>
        <v/>
      </c>
      <c r="AL251" s="14">
        <f>IF($A251="","",IF(INDEX('潜水記録'!$AQ$5:$AQ$3004,$AS251)="","",INDEX('潜水記録'!$AQ$5:$AQ$3004,$AS251)))</f>
        <v/>
      </c>
      <c r="AM251" s="14">
        <f>IF($A251="","",IF(INDEX('潜水記録'!$AR$5:$AR$3004,$AS251)="","",INDEX('潜水記録'!$AR$5:$AR$3004,$AS251)))</f>
        <v/>
      </c>
      <c r="AN251" s="14">
        <f>IF($A251="","",IF(INDEX('潜水記録'!$AS$5:$AS$3004,$AS251)="","",INDEX('潜水記録'!$AS$5:$AS$3004,$AS251)))</f>
        <v/>
      </c>
      <c r="AO251" s="14">
        <f>IF($A251="","",IF(INDEX('潜水記録'!$AT$5:$AT$3004,$AS251)="","",INDEX('潜水記録'!$AT$5:$AT$3004,$AS251)))</f>
        <v/>
      </c>
      <c r="AP251" s="14">
        <f>IF($A251="","",IF(INDEX('潜水記録'!$AU$5:$AU$3004,$AS251)="","",INDEX('潜水記録'!$AU$5:$AU$3004,$AS251)))</f>
        <v/>
      </c>
      <c r="AQ251" s="14">
        <f>IF($A251="","",IF(INDEX('潜水記録'!$AV$5:$AV$3004,$AS251)="","",INDEX('潜水記録'!$AV$5:$AV$3004,$AS251)))</f>
        <v/>
      </c>
      <c r="AR251" s="14">
        <f>IF($A251="","",IF(INDEX('潜水記録'!$AW$5:$AW$3004,$AS251)="","",INDEX('潜水記録'!$AW$5:$AW$3004,$AS251)))</f>
        <v/>
      </c>
      <c r="AS251" s="20">
        <f>IF($A251="","",MATCH($A251,'潜水記録'!$AI$5:$AI$3004,0))</f>
        <v/>
      </c>
    </row>
    <row r="252">
      <c r="A252" s="14">
        <f>IF(242&lt;=$C$8,242,"")</f>
        <v/>
      </c>
      <c r="B252" s="16">
        <f>IF($A252="","",IF(INDEX('潜水記録'!$A$5:$A$3004,$AS252)="","",INDEX('潜水記録'!$A$5:$A$3004,$AS252)))</f>
        <v/>
      </c>
      <c r="C252" s="14">
        <f>IF($A252="","",IF(INDEX('潜水記録'!$B$5:$B$3004,$AS252)="","",INDEX('潜水記録'!$B$5:$B$3004,$AS252)))</f>
        <v/>
      </c>
      <c r="D252" s="14">
        <f>IF($A252="","",IF(INDEX('潜水記録'!$C$5:$C$3004,$AS252)="","",INDEX('潜水記録'!$C$5:$C$3004,$AS252)))</f>
        <v/>
      </c>
      <c r="E252" s="14">
        <f>IF($A252="","",IF(INDEX('潜水記録'!$D$5:$D$3004,$AS252)="","",INDEX('潜水記録'!$D$5:$D$3004,$AS252)))</f>
        <v/>
      </c>
      <c r="F252" s="14">
        <f>IF($A252="","",IF(INDEX('潜水記録'!$E$5:$E$3004,$AS252)="","",INDEX('潜水記録'!$E$5:$E$3004,$AS252)))</f>
        <v/>
      </c>
      <c r="G252" s="14">
        <f>IF($A252="","",IF(INDEX('潜水記録'!$F$5:$F$3004,$AS252)="","",INDEX('潜水記録'!$F$5:$F$3004,$AS252)))</f>
        <v/>
      </c>
      <c r="H252" s="14">
        <f>IF($A252="","",IF(INDEX('潜水記録'!$G$5:$G$3004,$AS252)="","",INDEX('潜水記録'!$G$5:$G$3004,$AS252)))</f>
        <v/>
      </c>
      <c r="I252" s="14">
        <f>IF($A252="","",IF(INDEX('潜水記録'!$H$5:$H$3004,$AS252)="","",INDEX('潜水記録'!$H$5:$H$3004,$AS252)))</f>
        <v/>
      </c>
      <c r="J252" s="14">
        <f>IF($A252="","",IF(INDEX('潜水記録'!$I$5:$I$3004,$AS252)="","",INDEX('潜水記録'!$I$5:$I$3004,$AS252)))</f>
        <v/>
      </c>
      <c r="K252" s="14">
        <f>IF($A252="","",IF(INDEX('潜水記録'!$J$5:$J$3004,$AS252)="","",INDEX('潜水記録'!$J$5:$J$3004,$AS252)))</f>
        <v/>
      </c>
      <c r="L252" s="14">
        <f>IF($A252="","",IF(INDEX('潜水記録'!$K$5:$K$3004,$AS252)="","",INDEX('潜水記録'!$K$5:$K$3004,$AS252)))</f>
        <v/>
      </c>
      <c r="M252" s="14">
        <f>IF($A252="","",IF(INDEX('潜水記録'!$L$5:$L$3004,$AS252)="","",INDEX('潜水記録'!$L$5:$L$3004,$AS252)))</f>
        <v/>
      </c>
      <c r="N252" s="14">
        <f>IF($A252="","",IF(INDEX('潜水記録'!$M$5:$M$3004,$AS252)="","",INDEX('潜水記録'!$M$5:$M$3004,$AS252)))</f>
        <v/>
      </c>
      <c r="O252" s="14">
        <f>IF($A252="","",IF(INDEX('潜水記録'!$N$5:$N$3004,$AS252)="","",INDEX('潜水記録'!$N$5:$N$3004,$AS252)))</f>
        <v/>
      </c>
      <c r="P252" s="14">
        <f>IF($A252="","",IF(INDEX('潜水記録'!$O$5:$O$3004,$AS252)="","",INDEX('潜水記録'!$O$5:$O$3004,$AS252)))</f>
        <v/>
      </c>
      <c r="Q252" s="14">
        <f>IF($A252="","",IF(INDEX('潜水記録'!$P$5:$P$3004,$AS252)="","",INDEX('潜水記録'!$P$5:$P$3004,$AS252)))</f>
        <v/>
      </c>
      <c r="R252" s="14">
        <f>IF($A252="","",IF(INDEX('潜水記録'!$Q$5:$Q$3004,$AS252)="","",INDEX('潜水記録'!$Q$5:$Q$3004,$AS252)))</f>
        <v/>
      </c>
      <c r="S252" s="14">
        <f>IF($A252="","",IF(INDEX('潜水記録'!$R$5:$R$3004,$AS252)="","",INDEX('潜水記録'!$R$5:$R$3004,$AS252)))</f>
        <v/>
      </c>
      <c r="T252" s="14">
        <f>IF($A252="","",IF(INDEX('潜水記録'!$S$5:$S$3004,$AS252)="","",INDEX('潜水記録'!$S$5:$S$3004,$AS252)))</f>
        <v/>
      </c>
      <c r="U252" s="14">
        <f>IF($A252="","",IF(INDEX('潜水記録'!$T$5:$T$3004,$AS252)="","",INDEX('潜水記録'!$T$5:$T$3004,$AS252)))</f>
        <v/>
      </c>
      <c r="V252" s="46">
        <f>IF($A252="","",IF(INDEX('潜水記録'!$U$5:$U$3004,$AS252)="","",INDEX('潜水記録'!$U$5:$U$3004,$AS252)))</f>
        <v/>
      </c>
      <c r="W252" s="46">
        <f>IF($A252="","",IF(INDEX('潜水記録'!$V$5:$V$3004,$AS252)="","",INDEX('潜水記録'!$V$5:$V$3004,$AS252)))</f>
        <v/>
      </c>
      <c r="X252" s="14">
        <f>IF($A252="","",IF(INDEX('潜水記録'!$W$5:$W$3004,$AS252)="","",INDEX('潜水記録'!$W$5:$W$3004,$AS252)))</f>
        <v/>
      </c>
      <c r="Y252" s="14">
        <f>IF($A252="","",IF(INDEX('潜水記録'!$X$5:$X$3004,$AS252)="","",INDEX('潜水記録'!$X$5:$X$3004,$AS252)))</f>
        <v/>
      </c>
      <c r="Z252" s="14">
        <f>IF($A252="","",IF(INDEX('潜水記録'!$Y$5:$Y$3004,$AS252)="","",INDEX('潜水記録'!$Y$5:$Y$3004,$AS252)))</f>
        <v/>
      </c>
      <c r="AA252" s="14">
        <f>IF($A252="","",IF(INDEX('潜水記録'!$Z$5:$Z$3004,$AS252)="","",INDEX('潜水記録'!$Z$5:$Z$3004,$AS252)))</f>
        <v/>
      </c>
      <c r="AB252" s="14">
        <f>IF($A252="","",IF(INDEX('潜水記録'!$AA$5:$AA$3004,$AS252)="","",INDEX('潜水記録'!$AA$5:$AA$3004,$AS252)))</f>
        <v/>
      </c>
      <c r="AC252" s="14">
        <f>IF($A252="","",IF(INDEX('潜水記録'!$AB$5:$AB$3004,$AS252)="","",INDEX('潜水記録'!$AB$5:$AB$3004,$AS252)))</f>
        <v/>
      </c>
      <c r="AD252" s="14">
        <f>IF($A252="","",IF(INDEX('潜水記録'!$AC$5:$AC$3004,$AS252)="","",INDEX('潜水記録'!$AC$5:$AC$3004,$AS252)))</f>
        <v/>
      </c>
      <c r="AE252" s="14">
        <f>IF($A252="","",IF(INDEX('潜水記録'!$AD$5:$AD$3004,$AS252)="","",INDEX('潜水記録'!$AD$5:$AD$3004,$AS252)))</f>
        <v/>
      </c>
      <c r="AF252" s="14">
        <f>IF($A252="","",IF(INDEX('潜水記録'!$AE$5:$AE$3004,$AS252)="","",INDEX('潜水記録'!$AE$5:$AE$3004,$AS252)))</f>
        <v/>
      </c>
      <c r="AG252" s="14">
        <f>IF($A252="","",IF(INDEX('潜水記録'!$AL$5:$AL$3004,$AS252)="","",INDEX('潜水記録'!$AL$5:$AL$3004,$AS252)))</f>
        <v/>
      </c>
      <c r="AH252" s="14">
        <f>IF($A252="","",IF(INDEX('潜水記録'!$AM$5:$AM$3004,$AS252)="","",INDEX('潜水記録'!$AM$5:$AM$3004,$AS252)))</f>
        <v/>
      </c>
      <c r="AI252" s="46">
        <f>IF($A252="","",IF(INDEX('潜水記録'!$AN$5:$AN$3004,$AS252)="","",INDEX('潜水記録'!$AN$5:$AN$3004,$AS252)))</f>
        <v/>
      </c>
      <c r="AJ252" s="14">
        <f>IF($A252="","",IF(INDEX('潜水記録'!$AO$5:$AO$3004,$AS252)="","",INDEX('潜水記録'!$AO$5:$AO$3004,$AS252)))</f>
        <v/>
      </c>
      <c r="AK252" s="14">
        <f>IF($A252="","",IF(INDEX('潜水記録'!$AP$5:$AP$3004,$AS252)="","",INDEX('潜水記録'!$AP$5:$AP$3004,$AS252)))</f>
        <v/>
      </c>
      <c r="AL252" s="14">
        <f>IF($A252="","",IF(INDEX('潜水記録'!$AQ$5:$AQ$3004,$AS252)="","",INDEX('潜水記録'!$AQ$5:$AQ$3004,$AS252)))</f>
        <v/>
      </c>
      <c r="AM252" s="14">
        <f>IF($A252="","",IF(INDEX('潜水記録'!$AR$5:$AR$3004,$AS252)="","",INDEX('潜水記録'!$AR$5:$AR$3004,$AS252)))</f>
        <v/>
      </c>
      <c r="AN252" s="14">
        <f>IF($A252="","",IF(INDEX('潜水記録'!$AS$5:$AS$3004,$AS252)="","",INDEX('潜水記録'!$AS$5:$AS$3004,$AS252)))</f>
        <v/>
      </c>
      <c r="AO252" s="14">
        <f>IF($A252="","",IF(INDEX('潜水記録'!$AT$5:$AT$3004,$AS252)="","",INDEX('潜水記録'!$AT$5:$AT$3004,$AS252)))</f>
        <v/>
      </c>
      <c r="AP252" s="14">
        <f>IF($A252="","",IF(INDEX('潜水記録'!$AU$5:$AU$3004,$AS252)="","",INDEX('潜水記録'!$AU$5:$AU$3004,$AS252)))</f>
        <v/>
      </c>
      <c r="AQ252" s="14">
        <f>IF($A252="","",IF(INDEX('潜水記録'!$AV$5:$AV$3004,$AS252)="","",INDEX('潜水記録'!$AV$5:$AV$3004,$AS252)))</f>
        <v/>
      </c>
      <c r="AR252" s="14">
        <f>IF($A252="","",IF(INDEX('潜水記録'!$AW$5:$AW$3004,$AS252)="","",INDEX('潜水記録'!$AW$5:$AW$3004,$AS252)))</f>
        <v/>
      </c>
      <c r="AS252" s="20">
        <f>IF($A252="","",MATCH($A252,'潜水記録'!$AI$5:$AI$3004,0))</f>
        <v/>
      </c>
    </row>
    <row r="253">
      <c r="A253" s="14">
        <f>IF(243&lt;=$C$8,243,"")</f>
        <v/>
      </c>
      <c r="B253" s="16">
        <f>IF($A253="","",IF(INDEX('潜水記録'!$A$5:$A$3004,$AS253)="","",INDEX('潜水記録'!$A$5:$A$3004,$AS253)))</f>
        <v/>
      </c>
      <c r="C253" s="14">
        <f>IF($A253="","",IF(INDEX('潜水記録'!$B$5:$B$3004,$AS253)="","",INDEX('潜水記録'!$B$5:$B$3004,$AS253)))</f>
        <v/>
      </c>
      <c r="D253" s="14">
        <f>IF($A253="","",IF(INDEX('潜水記録'!$C$5:$C$3004,$AS253)="","",INDEX('潜水記録'!$C$5:$C$3004,$AS253)))</f>
        <v/>
      </c>
      <c r="E253" s="14">
        <f>IF($A253="","",IF(INDEX('潜水記録'!$D$5:$D$3004,$AS253)="","",INDEX('潜水記録'!$D$5:$D$3004,$AS253)))</f>
        <v/>
      </c>
      <c r="F253" s="14">
        <f>IF($A253="","",IF(INDEX('潜水記録'!$E$5:$E$3004,$AS253)="","",INDEX('潜水記録'!$E$5:$E$3004,$AS253)))</f>
        <v/>
      </c>
      <c r="G253" s="14">
        <f>IF($A253="","",IF(INDEX('潜水記録'!$F$5:$F$3004,$AS253)="","",INDEX('潜水記録'!$F$5:$F$3004,$AS253)))</f>
        <v/>
      </c>
      <c r="H253" s="14">
        <f>IF($A253="","",IF(INDEX('潜水記録'!$G$5:$G$3004,$AS253)="","",INDEX('潜水記録'!$G$5:$G$3004,$AS253)))</f>
        <v/>
      </c>
      <c r="I253" s="14">
        <f>IF($A253="","",IF(INDEX('潜水記録'!$H$5:$H$3004,$AS253)="","",INDEX('潜水記録'!$H$5:$H$3004,$AS253)))</f>
        <v/>
      </c>
      <c r="J253" s="14">
        <f>IF($A253="","",IF(INDEX('潜水記録'!$I$5:$I$3004,$AS253)="","",INDEX('潜水記録'!$I$5:$I$3004,$AS253)))</f>
        <v/>
      </c>
      <c r="K253" s="14">
        <f>IF($A253="","",IF(INDEX('潜水記録'!$J$5:$J$3004,$AS253)="","",INDEX('潜水記録'!$J$5:$J$3004,$AS253)))</f>
        <v/>
      </c>
      <c r="L253" s="14">
        <f>IF($A253="","",IF(INDEX('潜水記録'!$K$5:$K$3004,$AS253)="","",INDEX('潜水記録'!$K$5:$K$3004,$AS253)))</f>
        <v/>
      </c>
      <c r="M253" s="14">
        <f>IF($A253="","",IF(INDEX('潜水記録'!$L$5:$L$3004,$AS253)="","",INDEX('潜水記録'!$L$5:$L$3004,$AS253)))</f>
        <v/>
      </c>
      <c r="N253" s="14">
        <f>IF($A253="","",IF(INDEX('潜水記録'!$M$5:$M$3004,$AS253)="","",INDEX('潜水記録'!$M$5:$M$3004,$AS253)))</f>
        <v/>
      </c>
      <c r="O253" s="14">
        <f>IF($A253="","",IF(INDEX('潜水記録'!$N$5:$N$3004,$AS253)="","",INDEX('潜水記録'!$N$5:$N$3004,$AS253)))</f>
        <v/>
      </c>
      <c r="P253" s="14">
        <f>IF($A253="","",IF(INDEX('潜水記録'!$O$5:$O$3004,$AS253)="","",INDEX('潜水記録'!$O$5:$O$3004,$AS253)))</f>
        <v/>
      </c>
      <c r="Q253" s="14">
        <f>IF($A253="","",IF(INDEX('潜水記録'!$P$5:$P$3004,$AS253)="","",INDEX('潜水記録'!$P$5:$P$3004,$AS253)))</f>
        <v/>
      </c>
      <c r="R253" s="14">
        <f>IF($A253="","",IF(INDEX('潜水記録'!$Q$5:$Q$3004,$AS253)="","",INDEX('潜水記録'!$Q$5:$Q$3004,$AS253)))</f>
        <v/>
      </c>
      <c r="S253" s="14">
        <f>IF($A253="","",IF(INDEX('潜水記録'!$R$5:$R$3004,$AS253)="","",INDEX('潜水記録'!$R$5:$R$3004,$AS253)))</f>
        <v/>
      </c>
      <c r="T253" s="14">
        <f>IF($A253="","",IF(INDEX('潜水記録'!$S$5:$S$3004,$AS253)="","",INDEX('潜水記録'!$S$5:$S$3004,$AS253)))</f>
        <v/>
      </c>
      <c r="U253" s="14">
        <f>IF($A253="","",IF(INDEX('潜水記録'!$T$5:$T$3004,$AS253)="","",INDEX('潜水記録'!$T$5:$T$3004,$AS253)))</f>
        <v/>
      </c>
      <c r="V253" s="46">
        <f>IF($A253="","",IF(INDEX('潜水記録'!$U$5:$U$3004,$AS253)="","",INDEX('潜水記録'!$U$5:$U$3004,$AS253)))</f>
        <v/>
      </c>
      <c r="W253" s="46">
        <f>IF($A253="","",IF(INDEX('潜水記録'!$V$5:$V$3004,$AS253)="","",INDEX('潜水記録'!$V$5:$V$3004,$AS253)))</f>
        <v/>
      </c>
      <c r="X253" s="14">
        <f>IF($A253="","",IF(INDEX('潜水記録'!$W$5:$W$3004,$AS253)="","",INDEX('潜水記録'!$W$5:$W$3004,$AS253)))</f>
        <v/>
      </c>
      <c r="Y253" s="14">
        <f>IF($A253="","",IF(INDEX('潜水記録'!$X$5:$X$3004,$AS253)="","",INDEX('潜水記録'!$X$5:$X$3004,$AS253)))</f>
        <v/>
      </c>
      <c r="Z253" s="14">
        <f>IF($A253="","",IF(INDEX('潜水記録'!$Y$5:$Y$3004,$AS253)="","",INDEX('潜水記録'!$Y$5:$Y$3004,$AS253)))</f>
        <v/>
      </c>
      <c r="AA253" s="14">
        <f>IF($A253="","",IF(INDEX('潜水記録'!$Z$5:$Z$3004,$AS253)="","",INDEX('潜水記録'!$Z$5:$Z$3004,$AS253)))</f>
        <v/>
      </c>
      <c r="AB253" s="14">
        <f>IF($A253="","",IF(INDEX('潜水記録'!$AA$5:$AA$3004,$AS253)="","",INDEX('潜水記録'!$AA$5:$AA$3004,$AS253)))</f>
        <v/>
      </c>
      <c r="AC253" s="14">
        <f>IF($A253="","",IF(INDEX('潜水記録'!$AB$5:$AB$3004,$AS253)="","",INDEX('潜水記録'!$AB$5:$AB$3004,$AS253)))</f>
        <v/>
      </c>
      <c r="AD253" s="14">
        <f>IF($A253="","",IF(INDEX('潜水記録'!$AC$5:$AC$3004,$AS253)="","",INDEX('潜水記録'!$AC$5:$AC$3004,$AS253)))</f>
        <v/>
      </c>
      <c r="AE253" s="14">
        <f>IF($A253="","",IF(INDEX('潜水記録'!$AD$5:$AD$3004,$AS253)="","",INDEX('潜水記録'!$AD$5:$AD$3004,$AS253)))</f>
        <v/>
      </c>
      <c r="AF253" s="14">
        <f>IF($A253="","",IF(INDEX('潜水記録'!$AE$5:$AE$3004,$AS253)="","",INDEX('潜水記録'!$AE$5:$AE$3004,$AS253)))</f>
        <v/>
      </c>
      <c r="AG253" s="14">
        <f>IF($A253="","",IF(INDEX('潜水記録'!$AL$5:$AL$3004,$AS253)="","",INDEX('潜水記録'!$AL$5:$AL$3004,$AS253)))</f>
        <v/>
      </c>
      <c r="AH253" s="14">
        <f>IF($A253="","",IF(INDEX('潜水記録'!$AM$5:$AM$3004,$AS253)="","",INDEX('潜水記録'!$AM$5:$AM$3004,$AS253)))</f>
        <v/>
      </c>
      <c r="AI253" s="46">
        <f>IF($A253="","",IF(INDEX('潜水記録'!$AN$5:$AN$3004,$AS253)="","",INDEX('潜水記録'!$AN$5:$AN$3004,$AS253)))</f>
        <v/>
      </c>
      <c r="AJ253" s="14">
        <f>IF($A253="","",IF(INDEX('潜水記録'!$AO$5:$AO$3004,$AS253)="","",INDEX('潜水記録'!$AO$5:$AO$3004,$AS253)))</f>
        <v/>
      </c>
      <c r="AK253" s="14">
        <f>IF($A253="","",IF(INDEX('潜水記録'!$AP$5:$AP$3004,$AS253)="","",INDEX('潜水記録'!$AP$5:$AP$3004,$AS253)))</f>
        <v/>
      </c>
      <c r="AL253" s="14">
        <f>IF($A253="","",IF(INDEX('潜水記録'!$AQ$5:$AQ$3004,$AS253)="","",INDEX('潜水記録'!$AQ$5:$AQ$3004,$AS253)))</f>
        <v/>
      </c>
      <c r="AM253" s="14">
        <f>IF($A253="","",IF(INDEX('潜水記録'!$AR$5:$AR$3004,$AS253)="","",INDEX('潜水記録'!$AR$5:$AR$3004,$AS253)))</f>
        <v/>
      </c>
      <c r="AN253" s="14">
        <f>IF($A253="","",IF(INDEX('潜水記録'!$AS$5:$AS$3004,$AS253)="","",INDEX('潜水記録'!$AS$5:$AS$3004,$AS253)))</f>
        <v/>
      </c>
      <c r="AO253" s="14">
        <f>IF($A253="","",IF(INDEX('潜水記録'!$AT$5:$AT$3004,$AS253)="","",INDEX('潜水記録'!$AT$5:$AT$3004,$AS253)))</f>
        <v/>
      </c>
      <c r="AP253" s="14">
        <f>IF($A253="","",IF(INDEX('潜水記録'!$AU$5:$AU$3004,$AS253)="","",INDEX('潜水記録'!$AU$5:$AU$3004,$AS253)))</f>
        <v/>
      </c>
      <c r="AQ253" s="14">
        <f>IF($A253="","",IF(INDEX('潜水記録'!$AV$5:$AV$3004,$AS253)="","",INDEX('潜水記録'!$AV$5:$AV$3004,$AS253)))</f>
        <v/>
      </c>
      <c r="AR253" s="14">
        <f>IF($A253="","",IF(INDEX('潜水記録'!$AW$5:$AW$3004,$AS253)="","",INDEX('潜水記録'!$AW$5:$AW$3004,$AS253)))</f>
        <v/>
      </c>
      <c r="AS253" s="20">
        <f>IF($A253="","",MATCH($A253,'潜水記録'!$AI$5:$AI$3004,0))</f>
        <v/>
      </c>
    </row>
    <row r="254">
      <c r="A254" s="14">
        <f>IF(244&lt;=$C$8,244,"")</f>
        <v/>
      </c>
      <c r="B254" s="16">
        <f>IF($A254="","",IF(INDEX('潜水記録'!$A$5:$A$3004,$AS254)="","",INDEX('潜水記録'!$A$5:$A$3004,$AS254)))</f>
        <v/>
      </c>
      <c r="C254" s="14">
        <f>IF($A254="","",IF(INDEX('潜水記録'!$B$5:$B$3004,$AS254)="","",INDEX('潜水記録'!$B$5:$B$3004,$AS254)))</f>
        <v/>
      </c>
      <c r="D254" s="14">
        <f>IF($A254="","",IF(INDEX('潜水記録'!$C$5:$C$3004,$AS254)="","",INDEX('潜水記録'!$C$5:$C$3004,$AS254)))</f>
        <v/>
      </c>
      <c r="E254" s="14">
        <f>IF($A254="","",IF(INDEX('潜水記録'!$D$5:$D$3004,$AS254)="","",INDEX('潜水記録'!$D$5:$D$3004,$AS254)))</f>
        <v/>
      </c>
      <c r="F254" s="14">
        <f>IF($A254="","",IF(INDEX('潜水記録'!$E$5:$E$3004,$AS254)="","",INDEX('潜水記録'!$E$5:$E$3004,$AS254)))</f>
        <v/>
      </c>
      <c r="G254" s="14">
        <f>IF($A254="","",IF(INDEX('潜水記録'!$F$5:$F$3004,$AS254)="","",INDEX('潜水記録'!$F$5:$F$3004,$AS254)))</f>
        <v/>
      </c>
      <c r="H254" s="14">
        <f>IF($A254="","",IF(INDEX('潜水記録'!$G$5:$G$3004,$AS254)="","",INDEX('潜水記録'!$G$5:$G$3004,$AS254)))</f>
        <v/>
      </c>
      <c r="I254" s="14">
        <f>IF($A254="","",IF(INDEX('潜水記録'!$H$5:$H$3004,$AS254)="","",INDEX('潜水記録'!$H$5:$H$3004,$AS254)))</f>
        <v/>
      </c>
      <c r="J254" s="14">
        <f>IF($A254="","",IF(INDEX('潜水記録'!$I$5:$I$3004,$AS254)="","",INDEX('潜水記録'!$I$5:$I$3004,$AS254)))</f>
        <v/>
      </c>
      <c r="K254" s="14">
        <f>IF($A254="","",IF(INDEX('潜水記録'!$J$5:$J$3004,$AS254)="","",INDEX('潜水記録'!$J$5:$J$3004,$AS254)))</f>
        <v/>
      </c>
      <c r="L254" s="14">
        <f>IF($A254="","",IF(INDEX('潜水記録'!$K$5:$K$3004,$AS254)="","",INDEX('潜水記録'!$K$5:$K$3004,$AS254)))</f>
        <v/>
      </c>
      <c r="M254" s="14">
        <f>IF($A254="","",IF(INDEX('潜水記録'!$L$5:$L$3004,$AS254)="","",INDEX('潜水記録'!$L$5:$L$3004,$AS254)))</f>
        <v/>
      </c>
      <c r="N254" s="14">
        <f>IF($A254="","",IF(INDEX('潜水記録'!$M$5:$M$3004,$AS254)="","",INDEX('潜水記録'!$M$5:$M$3004,$AS254)))</f>
        <v/>
      </c>
      <c r="O254" s="14">
        <f>IF($A254="","",IF(INDEX('潜水記録'!$N$5:$N$3004,$AS254)="","",INDEX('潜水記録'!$N$5:$N$3004,$AS254)))</f>
        <v/>
      </c>
      <c r="P254" s="14">
        <f>IF($A254="","",IF(INDEX('潜水記録'!$O$5:$O$3004,$AS254)="","",INDEX('潜水記録'!$O$5:$O$3004,$AS254)))</f>
        <v/>
      </c>
      <c r="Q254" s="14">
        <f>IF($A254="","",IF(INDEX('潜水記録'!$P$5:$P$3004,$AS254)="","",INDEX('潜水記録'!$P$5:$P$3004,$AS254)))</f>
        <v/>
      </c>
      <c r="R254" s="14">
        <f>IF($A254="","",IF(INDEX('潜水記録'!$Q$5:$Q$3004,$AS254)="","",INDEX('潜水記録'!$Q$5:$Q$3004,$AS254)))</f>
        <v/>
      </c>
      <c r="S254" s="14">
        <f>IF($A254="","",IF(INDEX('潜水記録'!$R$5:$R$3004,$AS254)="","",INDEX('潜水記録'!$R$5:$R$3004,$AS254)))</f>
        <v/>
      </c>
      <c r="T254" s="14">
        <f>IF($A254="","",IF(INDEX('潜水記録'!$S$5:$S$3004,$AS254)="","",INDEX('潜水記録'!$S$5:$S$3004,$AS254)))</f>
        <v/>
      </c>
      <c r="U254" s="14">
        <f>IF($A254="","",IF(INDEX('潜水記録'!$T$5:$T$3004,$AS254)="","",INDEX('潜水記録'!$T$5:$T$3004,$AS254)))</f>
        <v/>
      </c>
      <c r="V254" s="46">
        <f>IF($A254="","",IF(INDEX('潜水記録'!$U$5:$U$3004,$AS254)="","",INDEX('潜水記録'!$U$5:$U$3004,$AS254)))</f>
        <v/>
      </c>
      <c r="W254" s="46">
        <f>IF($A254="","",IF(INDEX('潜水記録'!$V$5:$V$3004,$AS254)="","",INDEX('潜水記録'!$V$5:$V$3004,$AS254)))</f>
        <v/>
      </c>
      <c r="X254" s="14">
        <f>IF($A254="","",IF(INDEX('潜水記録'!$W$5:$W$3004,$AS254)="","",INDEX('潜水記録'!$W$5:$W$3004,$AS254)))</f>
        <v/>
      </c>
      <c r="Y254" s="14">
        <f>IF($A254="","",IF(INDEX('潜水記録'!$X$5:$X$3004,$AS254)="","",INDEX('潜水記録'!$X$5:$X$3004,$AS254)))</f>
        <v/>
      </c>
      <c r="Z254" s="14">
        <f>IF($A254="","",IF(INDEX('潜水記録'!$Y$5:$Y$3004,$AS254)="","",INDEX('潜水記録'!$Y$5:$Y$3004,$AS254)))</f>
        <v/>
      </c>
      <c r="AA254" s="14">
        <f>IF($A254="","",IF(INDEX('潜水記録'!$Z$5:$Z$3004,$AS254)="","",INDEX('潜水記録'!$Z$5:$Z$3004,$AS254)))</f>
        <v/>
      </c>
      <c r="AB254" s="14">
        <f>IF($A254="","",IF(INDEX('潜水記録'!$AA$5:$AA$3004,$AS254)="","",INDEX('潜水記録'!$AA$5:$AA$3004,$AS254)))</f>
        <v/>
      </c>
      <c r="AC254" s="14">
        <f>IF($A254="","",IF(INDEX('潜水記録'!$AB$5:$AB$3004,$AS254)="","",INDEX('潜水記録'!$AB$5:$AB$3004,$AS254)))</f>
        <v/>
      </c>
      <c r="AD254" s="14">
        <f>IF($A254="","",IF(INDEX('潜水記録'!$AC$5:$AC$3004,$AS254)="","",INDEX('潜水記録'!$AC$5:$AC$3004,$AS254)))</f>
        <v/>
      </c>
      <c r="AE254" s="14">
        <f>IF($A254="","",IF(INDEX('潜水記録'!$AD$5:$AD$3004,$AS254)="","",INDEX('潜水記録'!$AD$5:$AD$3004,$AS254)))</f>
        <v/>
      </c>
      <c r="AF254" s="14">
        <f>IF($A254="","",IF(INDEX('潜水記録'!$AE$5:$AE$3004,$AS254)="","",INDEX('潜水記録'!$AE$5:$AE$3004,$AS254)))</f>
        <v/>
      </c>
      <c r="AG254" s="14">
        <f>IF($A254="","",IF(INDEX('潜水記録'!$AL$5:$AL$3004,$AS254)="","",INDEX('潜水記録'!$AL$5:$AL$3004,$AS254)))</f>
        <v/>
      </c>
      <c r="AH254" s="14">
        <f>IF($A254="","",IF(INDEX('潜水記録'!$AM$5:$AM$3004,$AS254)="","",INDEX('潜水記録'!$AM$5:$AM$3004,$AS254)))</f>
        <v/>
      </c>
      <c r="AI254" s="46">
        <f>IF($A254="","",IF(INDEX('潜水記録'!$AN$5:$AN$3004,$AS254)="","",INDEX('潜水記録'!$AN$5:$AN$3004,$AS254)))</f>
        <v/>
      </c>
      <c r="AJ254" s="14">
        <f>IF($A254="","",IF(INDEX('潜水記録'!$AO$5:$AO$3004,$AS254)="","",INDEX('潜水記録'!$AO$5:$AO$3004,$AS254)))</f>
        <v/>
      </c>
      <c r="AK254" s="14">
        <f>IF($A254="","",IF(INDEX('潜水記録'!$AP$5:$AP$3004,$AS254)="","",INDEX('潜水記録'!$AP$5:$AP$3004,$AS254)))</f>
        <v/>
      </c>
      <c r="AL254" s="14">
        <f>IF($A254="","",IF(INDEX('潜水記録'!$AQ$5:$AQ$3004,$AS254)="","",INDEX('潜水記録'!$AQ$5:$AQ$3004,$AS254)))</f>
        <v/>
      </c>
      <c r="AM254" s="14">
        <f>IF($A254="","",IF(INDEX('潜水記録'!$AR$5:$AR$3004,$AS254)="","",INDEX('潜水記録'!$AR$5:$AR$3004,$AS254)))</f>
        <v/>
      </c>
      <c r="AN254" s="14">
        <f>IF($A254="","",IF(INDEX('潜水記録'!$AS$5:$AS$3004,$AS254)="","",INDEX('潜水記録'!$AS$5:$AS$3004,$AS254)))</f>
        <v/>
      </c>
      <c r="AO254" s="14">
        <f>IF($A254="","",IF(INDEX('潜水記録'!$AT$5:$AT$3004,$AS254)="","",INDEX('潜水記録'!$AT$5:$AT$3004,$AS254)))</f>
        <v/>
      </c>
      <c r="AP254" s="14">
        <f>IF($A254="","",IF(INDEX('潜水記録'!$AU$5:$AU$3004,$AS254)="","",INDEX('潜水記録'!$AU$5:$AU$3004,$AS254)))</f>
        <v/>
      </c>
      <c r="AQ254" s="14">
        <f>IF($A254="","",IF(INDEX('潜水記録'!$AV$5:$AV$3004,$AS254)="","",INDEX('潜水記録'!$AV$5:$AV$3004,$AS254)))</f>
        <v/>
      </c>
      <c r="AR254" s="14">
        <f>IF($A254="","",IF(INDEX('潜水記録'!$AW$5:$AW$3004,$AS254)="","",INDEX('潜水記録'!$AW$5:$AW$3004,$AS254)))</f>
        <v/>
      </c>
      <c r="AS254" s="20">
        <f>IF($A254="","",MATCH($A254,'潜水記録'!$AI$5:$AI$3004,0))</f>
        <v/>
      </c>
    </row>
    <row r="255">
      <c r="A255" s="14">
        <f>IF(245&lt;=$C$8,245,"")</f>
        <v/>
      </c>
      <c r="B255" s="16">
        <f>IF($A255="","",IF(INDEX('潜水記録'!$A$5:$A$3004,$AS255)="","",INDEX('潜水記録'!$A$5:$A$3004,$AS255)))</f>
        <v/>
      </c>
      <c r="C255" s="14">
        <f>IF($A255="","",IF(INDEX('潜水記録'!$B$5:$B$3004,$AS255)="","",INDEX('潜水記録'!$B$5:$B$3004,$AS255)))</f>
        <v/>
      </c>
      <c r="D255" s="14">
        <f>IF($A255="","",IF(INDEX('潜水記録'!$C$5:$C$3004,$AS255)="","",INDEX('潜水記録'!$C$5:$C$3004,$AS255)))</f>
        <v/>
      </c>
      <c r="E255" s="14">
        <f>IF($A255="","",IF(INDEX('潜水記録'!$D$5:$D$3004,$AS255)="","",INDEX('潜水記録'!$D$5:$D$3004,$AS255)))</f>
        <v/>
      </c>
      <c r="F255" s="14">
        <f>IF($A255="","",IF(INDEX('潜水記録'!$E$5:$E$3004,$AS255)="","",INDEX('潜水記録'!$E$5:$E$3004,$AS255)))</f>
        <v/>
      </c>
      <c r="G255" s="14">
        <f>IF($A255="","",IF(INDEX('潜水記録'!$F$5:$F$3004,$AS255)="","",INDEX('潜水記録'!$F$5:$F$3004,$AS255)))</f>
        <v/>
      </c>
      <c r="H255" s="14">
        <f>IF($A255="","",IF(INDEX('潜水記録'!$G$5:$G$3004,$AS255)="","",INDEX('潜水記録'!$G$5:$G$3004,$AS255)))</f>
        <v/>
      </c>
      <c r="I255" s="14">
        <f>IF($A255="","",IF(INDEX('潜水記録'!$H$5:$H$3004,$AS255)="","",INDEX('潜水記録'!$H$5:$H$3004,$AS255)))</f>
        <v/>
      </c>
      <c r="J255" s="14">
        <f>IF($A255="","",IF(INDEX('潜水記録'!$I$5:$I$3004,$AS255)="","",INDEX('潜水記録'!$I$5:$I$3004,$AS255)))</f>
        <v/>
      </c>
      <c r="K255" s="14">
        <f>IF($A255="","",IF(INDEX('潜水記録'!$J$5:$J$3004,$AS255)="","",INDEX('潜水記録'!$J$5:$J$3004,$AS255)))</f>
        <v/>
      </c>
      <c r="L255" s="14">
        <f>IF($A255="","",IF(INDEX('潜水記録'!$K$5:$K$3004,$AS255)="","",INDEX('潜水記録'!$K$5:$K$3004,$AS255)))</f>
        <v/>
      </c>
      <c r="M255" s="14">
        <f>IF($A255="","",IF(INDEX('潜水記録'!$L$5:$L$3004,$AS255)="","",INDEX('潜水記録'!$L$5:$L$3004,$AS255)))</f>
        <v/>
      </c>
      <c r="N255" s="14">
        <f>IF($A255="","",IF(INDEX('潜水記録'!$M$5:$M$3004,$AS255)="","",INDEX('潜水記録'!$M$5:$M$3004,$AS255)))</f>
        <v/>
      </c>
      <c r="O255" s="14">
        <f>IF($A255="","",IF(INDEX('潜水記録'!$N$5:$N$3004,$AS255)="","",INDEX('潜水記録'!$N$5:$N$3004,$AS255)))</f>
        <v/>
      </c>
      <c r="P255" s="14">
        <f>IF($A255="","",IF(INDEX('潜水記録'!$O$5:$O$3004,$AS255)="","",INDEX('潜水記録'!$O$5:$O$3004,$AS255)))</f>
        <v/>
      </c>
      <c r="Q255" s="14">
        <f>IF($A255="","",IF(INDEX('潜水記録'!$P$5:$P$3004,$AS255)="","",INDEX('潜水記録'!$P$5:$P$3004,$AS255)))</f>
        <v/>
      </c>
      <c r="R255" s="14">
        <f>IF($A255="","",IF(INDEX('潜水記録'!$Q$5:$Q$3004,$AS255)="","",INDEX('潜水記録'!$Q$5:$Q$3004,$AS255)))</f>
        <v/>
      </c>
      <c r="S255" s="14">
        <f>IF($A255="","",IF(INDEX('潜水記録'!$R$5:$R$3004,$AS255)="","",INDEX('潜水記録'!$R$5:$R$3004,$AS255)))</f>
        <v/>
      </c>
      <c r="T255" s="14">
        <f>IF($A255="","",IF(INDEX('潜水記録'!$S$5:$S$3004,$AS255)="","",INDEX('潜水記録'!$S$5:$S$3004,$AS255)))</f>
        <v/>
      </c>
      <c r="U255" s="14">
        <f>IF($A255="","",IF(INDEX('潜水記録'!$T$5:$T$3004,$AS255)="","",INDEX('潜水記録'!$T$5:$T$3004,$AS255)))</f>
        <v/>
      </c>
      <c r="V255" s="46">
        <f>IF($A255="","",IF(INDEX('潜水記録'!$U$5:$U$3004,$AS255)="","",INDEX('潜水記録'!$U$5:$U$3004,$AS255)))</f>
        <v/>
      </c>
      <c r="W255" s="46">
        <f>IF($A255="","",IF(INDEX('潜水記録'!$V$5:$V$3004,$AS255)="","",INDEX('潜水記録'!$V$5:$V$3004,$AS255)))</f>
        <v/>
      </c>
      <c r="X255" s="14">
        <f>IF($A255="","",IF(INDEX('潜水記録'!$W$5:$W$3004,$AS255)="","",INDEX('潜水記録'!$W$5:$W$3004,$AS255)))</f>
        <v/>
      </c>
      <c r="Y255" s="14">
        <f>IF($A255="","",IF(INDEX('潜水記録'!$X$5:$X$3004,$AS255)="","",INDEX('潜水記録'!$X$5:$X$3004,$AS255)))</f>
        <v/>
      </c>
      <c r="Z255" s="14">
        <f>IF($A255="","",IF(INDEX('潜水記録'!$Y$5:$Y$3004,$AS255)="","",INDEX('潜水記録'!$Y$5:$Y$3004,$AS255)))</f>
        <v/>
      </c>
      <c r="AA255" s="14">
        <f>IF($A255="","",IF(INDEX('潜水記録'!$Z$5:$Z$3004,$AS255)="","",INDEX('潜水記録'!$Z$5:$Z$3004,$AS255)))</f>
        <v/>
      </c>
      <c r="AB255" s="14">
        <f>IF($A255="","",IF(INDEX('潜水記録'!$AA$5:$AA$3004,$AS255)="","",INDEX('潜水記録'!$AA$5:$AA$3004,$AS255)))</f>
        <v/>
      </c>
      <c r="AC255" s="14">
        <f>IF($A255="","",IF(INDEX('潜水記録'!$AB$5:$AB$3004,$AS255)="","",INDEX('潜水記録'!$AB$5:$AB$3004,$AS255)))</f>
        <v/>
      </c>
      <c r="AD255" s="14">
        <f>IF($A255="","",IF(INDEX('潜水記録'!$AC$5:$AC$3004,$AS255)="","",INDEX('潜水記録'!$AC$5:$AC$3004,$AS255)))</f>
        <v/>
      </c>
      <c r="AE255" s="14">
        <f>IF($A255="","",IF(INDEX('潜水記録'!$AD$5:$AD$3004,$AS255)="","",INDEX('潜水記録'!$AD$5:$AD$3004,$AS255)))</f>
        <v/>
      </c>
      <c r="AF255" s="14">
        <f>IF($A255="","",IF(INDEX('潜水記録'!$AE$5:$AE$3004,$AS255)="","",INDEX('潜水記録'!$AE$5:$AE$3004,$AS255)))</f>
        <v/>
      </c>
      <c r="AG255" s="14">
        <f>IF($A255="","",IF(INDEX('潜水記録'!$AL$5:$AL$3004,$AS255)="","",INDEX('潜水記録'!$AL$5:$AL$3004,$AS255)))</f>
        <v/>
      </c>
      <c r="AH255" s="14">
        <f>IF($A255="","",IF(INDEX('潜水記録'!$AM$5:$AM$3004,$AS255)="","",INDEX('潜水記録'!$AM$5:$AM$3004,$AS255)))</f>
        <v/>
      </c>
      <c r="AI255" s="46">
        <f>IF($A255="","",IF(INDEX('潜水記録'!$AN$5:$AN$3004,$AS255)="","",INDEX('潜水記録'!$AN$5:$AN$3004,$AS255)))</f>
        <v/>
      </c>
      <c r="AJ255" s="14">
        <f>IF($A255="","",IF(INDEX('潜水記録'!$AO$5:$AO$3004,$AS255)="","",INDEX('潜水記録'!$AO$5:$AO$3004,$AS255)))</f>
        <v/>
      </c>
      <c r="AK255" s="14">
        <f>IF($A255="","",IF(INDEX('潜水記録'!$AP$5:$AP$3004,$AS255)="","",INDEX('潜水記録'!$AP$5:$AP$3004,$AS255)))</f>
        <v/>
      </c>
      <c r="AL255" s="14">
        <f>IF($A255="","",IF(INDEX('潜水記録'!$AQ$5:$AQ$3004,$AS255)="","",INDEX('潜水記録'!$AQ$5:$AQ$3004,$AS255)))</f>
        <v/>
      </c>
      <c r="AM255" s="14">
        <f>IF($A255="","",IF(INDEX('潜水記録'!$AR$5:$AR$3004,$AS255)="","",INDEX('潜水記録'!$AR$5:$AR$3004,$AS255)))</f>
        <v/>
      </c>
      <c r="AN255" s="14">
        <f>IF($A255="","",IF(INDEX('潜水記録'!$AS$5:$AS$3004,$AS255)="","",INDEX('潜水記録'!$AS$5:$AS$3004,$AS255)))</f>
        <v/>
      </c>
      <c r="AO255" s="14">
        <f>IF($A255="","",IF(INDEX('潜水記録'!$AT$5:$AT$3004,$AS255)="","",INDEX('潜水記録'!$AT$5:$AT$3004,$AS255)))</f>
        <v/>
      </c>
      <c r="AP255" s="14">
        <f>IF($A255="","",IF(INDEX('潜水記録'!$AU$5:$AU$3004,$AS255)="","",INDEX('潜水記録'!$AU$5:$AU$3004,$AS255)))</f>
        <v/>
      </c>
      <c r="AQ255" s="14">
        <f>IF($A255="","",IF(INDEX('潜水記録'!$AV$5:$AV$3004,$AS255)="","",INDEX('潜水記録'!$AV$5:$AV$3004,$AS255)))</f>
        <v/>
      </c>
      <c r="AR255" s="14">
        <f>IF($A255="","",IF(INDEX('潜水記録'!$AW$5:$AW$3004,$AS255)="","",INDEX('潜水記録'!$AW$5:$AW$3004,$AS255)))</f>
        <v/>
      </c>
      <c r="AS255" s="20">
        <f>IF($A255="","",MATCH($A255,'潜水記録'!$AI$5:$AI$3004,0))</f>
        <v/>
      </c>
    </row>
    <row r="256">
      <c r="A256" s="14">
        <f>IF(246&lt;=$C$8,246,"")</f>
        <v/>
      </c>
      <c r="B256" s="16">
        <f>IF($A256="","",IF(INDEX('潜水記録'!$A$5:$A$3004,$AS256)="","",INDEX('潜水記録'!$A$5:$A$3004,$AS256)))</f>
        <v/>
      </c>
      <c r="C256" s="14">
        <f>IF($A256="","",IF(INDEX('潜水記録'!$B$5:$B$3004,$AS256)="","",INDEX('潜水記録'!$B$5:$B$3004,$AS256)))</f>
        <v/>
      </c>
      <c r="D256" s="14">
        <f>IF($A256="","",IF(INDEX('潜水記録'!$C$5:$C$3004,$AS256)="","",INDEX('潜水記録'!$C$5:$C$3004,$AS256)))</f>
        <v/>
      </c>
      <c r="E256" s="14">
        <f>IF($A256="","",IF(INDEX('潜水記録'!$D$5:$D$3004,$AS256)="","",INDEX('潜水記録'!$D$5:$D$3004,$AS256)))</f>
        <v/>
      </c>
      <c r="F256" s="14">
        <f>IF($A256="","",IF(INDEX('潜水記録'!$E$5:$E$3004,$AS256)="","",INDEX('潜水記録'!$E$5:$E$3004,$AS256)))</f>
        <v/>
      </c>
      <c r="G256" s="14">
        <f>IF($A256="","",IF(INDEX('潜水記録'!$F$5:$F$3004,$AS256)="","",INDEX('潜水記録'!$F$5:$F$3004,$AS256)))</f>
        <v/>
      </c>
      <c r="H256" s="14">
        <f>IF($A256="","",IF(INDEX('潜水記録'!$G$5:$G$3004,$AS256)="","",INDEX('潜水記録'!$G$5:$G$3004,$AS256)))</f>
        <v/>
      </c>
      <c r="I256" s="14">
        <f>IF($A256="","",IF(INDEX('潜水記録'!$H$5:$H$3004,$AS256)="","",INDEX('潜水記録'!$H$5:$H$3004,$AS256)))</f>
        <v/>
      </c>
      <c r="J256" s="14">
        <f>IF($A256="","",IF(INDEX('潜水記録'!$I$5:$I$3004,$AS256)="","",INDEX('潜水記録'!$I$5:$I$3004,$AS256)))</f>
        <v/>
      </c>
      <c r="K256" s="14">
        <f>IF($A256="","",IF(INDEX('潜水記録'!$J$5:$J$3004,$AS256)="","",INDEX('潜水記録'!$J$5:$J$3004,$AS256)))</f>
        <v/>
      </c>
      <c r="L256" s="14">
        <f>IF($A256="","",IF(INDEX('潜水記録'!$K$5:$K$3004,$AS256)="","",INDEX('潜水記録'!$K$5:$K$3004,$AS256)))</f>
        <v/>
      </c>
      <c r="M256" s="14">
        <f>IF($A256="","",IF(INDEX('潜水記録'!$L$5:$L$3004,$AS256)="","",INDEX('潜水記録'!$L$5:$L$3004,$AS256)))</f>
        <v/>
      </c>
      <c r="N256" s="14">
        <f>IF($A256="","",IF(INDEX('潜水記録'!$M$5:$M$3004,$AS256)="","",INDEX('潜水記録'!$M$5:$M$3004,$AS256)))</f>
        <v/>
      </c>
      <c r="O256" s="14">
        <f>IF($A256="","",IF(INDEX('潜水記録'!$N$5:$N$3004,$AS256)="","",INDEX('潜水記録'!$N$5:$N$3004,$AS256)))</f>
        <v/>
      </c>
      <c r="P256" s="14">
        <f>IF($A256="","",IF(INDEX('潜水記録'!$O$5:$O$3004,$AS256)="","",INDEX('潜水記録'!$O$5:$O$3004,$AS256)))</f>
        <v/>
      </c>
      <c r="Q256" s="14">
        <f>IF($A256="","",IF(INDEX('潜水記録'!$P$5:$P$3004,$AS256)="","",INDEX('潜水記録'!$P$5:$P$3004,$AS256)))</f>
        <v/>
      </c>
      <c r="R256" s="14">
        <f>IF($A256="","",IF(INDEX('潜水記録'!$Q$5:$Q$3004,$AS256)="","",INDEX('潜水記録'!$Q$5:$Q$3004,$AS256)))</f>
        <v/>
      </c>
      <c r="S256" s="14">
        <f>IF($A256="","",IF(INDEX('潜水記録'!$R$5:$R$3004,$AS256)="","",INDEX('潜水記録'!$R$5:$R$3004,$AS256)))</f>
        <v/>
      </c>
      <c r="T256" s="14">
        <f>IF($A256="","",IF(INDEX('潜水記録'!$S$5:$S$3004,$AS256)="","",INDEX('潜水記録'!$S$5:$S$3004,$AS256)))</f>
        <v/>
      </c>
      <c r="U256" s="14">
        <f>IF($A256="","",IF(INDEX('潜水記録'!$T$5:$T$3004,$AS256)="","",INDEX('潜水記録'!$T$5:$T$3004,$AS256)))</f>
        <v/>
      </c>
      <c r="V256" s="46">
        <f>IF($A256="","",IF(INDEX('潜水記録'!$U$5:$U$3004,$AS256)="","",INDEX('潜水記録'!$U$5:$U$3004,$AS256)))</f>
        <v/>
      </c>
      <c r="W256" s="46">
        <f>IF($A256="","",IF(INDEX('潜水記録'!$V$5:$V$3004,$AS256)="","",INDEX('潜水記録'!$V$5:$V$3004,$AS256)))</f>
        <v/>
      </c>
      <c r="X256" s="14">
        <f>IF($A256="","",IF(INDEX('潜水記録'!$W$5:$W$3004,$AS256)="","",INDEX('潜水記録'!$W$5:$W$3004,$AS256)))</f>
        <v/>
      </c>
      <c r="Y256" s="14">
        <f>IF($A256="","",IF(INDEX('潜水記録'!$X$5:$X$3004,$AS256)="","",INDEX('潜水記録'!$X$5:$X$3004,$AS256)))</f>
        <v/>
      </c>
      <c r="Z256" s="14">
        <f>IF($A256="","",IF(INDEX('潜水記録'!$Y$5:$Y$3004,$AS256)="","",INDEX('潜水記録'!$Y$5:$Y$3004,$AS256)))</f>
        <v/>
      </c>
      <c r="AA256" s="14">
        <f>IF($A256="","",IF(INDEX('潜水記録'!$Z$5:$Z$3004,$AS256)="","",INDEX('潜水記録'!$Z$5:$Z$3004,$AS256)))</f>
        <v/>
      </c>
      <c r="AB256" s="14">
        <f>IF($A256="","",IF(INDEX('潜水記録'!$AA$5:$AA$3004,$AS256)="","",INDEX('潜水記録'!$AA$5:$AA$3004,$AS256)))</f>
        <v/>
      </c>
      <c r="AC256" s="14">
        <f>IF($A256="","",IF(INDEX('潜水記録'!$AB$5:$AB$3004,$AS256)="","",INDEX('潜水記録'!$AB$5:$AB$3004,$AS256)))</f>
        <v/>
      </c>
      <c r="AD256" s="14">
        <f>IF($A256="","",IF(INDEX('潜水記録'!$AC$5:$AC$3004,$AS256)="","",INDEX('潜水記録'!$AC$5:$AC$3004,$AS256)))</f>
        <v/>
      </c>
      <c r="AE256" s="14">
        <f>IF($A256="","",IF(INDEX('潜水記録'!$AD$5:$AD$3004,$AS256)="","",INDEX('潜水記録'!$AD$5:$AD$3004,$AS256)))</f>
        <v/>
      </c>
      <c r="AF256" s="14">
        <f>IF($A256="","",IF(INDEX('潜水記録'!$AE$5:$AE$3004,$AS256)="","",INDEX('潜水記録'!$AE$5:$AE$3004,$AS256)))</f>
        <v/>
      </c>
      <c r="AG256" s="14">
        <f>IF($A256="","",IF(INDEX('潜水記録'!$AL$5:$AL$3004,$AS256)="","",INDEX('潜水記録'!$AL$5:$AL$3004,$AS256)))</f>
        <v/>
      </c>
      <c r="AH256" s="14">
        <f>IF($A256="","",IF(INDEX('潜水記録'!$AM$5:$AM$3004,$AS256)="","",INDEX('潜水記録'!$AM$5:$AM$3004,$AS256)))</f>
        <v/>
      </c>
      <c r="AI256" s="46">
        <f>IF($A256="","",IF(INDEX('潜水記録'!$AN$5:$AN$3004,$AS256)="","",INDEX('潜水記録'!$AN$5:$AN$3004,$AS256)))</f>
        <v/>
      </c>
      <c r="AJ256" s="14">
        <f>IF($A256="","",IF(INDEX('潜水記録'!$AO$5:$AO$3004,$AS256)="","",INDEX('潜水記録'!$AO$5:$AO$3004,$AS256)))</f>
        <v/>
      </c>
      <c r="AK256" s="14">
        <f>IF($A256="","",IF(INDEX('潜水記録'!$AP$5:$AP$3004,$AS256)="","",INDEX('潜水記録'!$AP$5:$AP$3004,$AS256)))</f>
        <v/>
      </c>
      <c r="AL256" s="14">
        <f>IF($A256="","",IF(INDEX('潜水記録'!$AQ$5:$AQ$3004,$AS256)="","",INDEX('潜水記録'!$AQ$5:$AQ$3004,$AS256)))</f>
        <v/>
      </c>
      <c r="AM256" s="14">
        <f>IF($A256="","",IF(INDEX('潜水記録'!$AR$5:$AR$3004,$AS256)="","",INDEX('潜水記録'!$AR$5:$AR$3004,$AS256)))</f>
        <v/>
      </c>
      <c r="AN256" s="14">
        <f>IF($A256="","",IF(INDEX('潜水記録'!$AS$5:$AS$3004,$AS256)="","",INDEX('潜水記録'!$AS$5:$AS$3004,$AS256)))</f>
        <v/>
      </c>
      <c r="AO256" s="14">
        <f>IF($A256="","",IF(INDEX('潜水記録'!$AT$5:$AT$3004,$AS256)="","",INDEX('潜水記録'!$AT$5:$AT$3004,$AS256)))</f>
        <v/>
      </c>
      <c r="AP256" s="14">
        <f>IF($A256="","",IF(INDEX('潜水記録'!$AU$5:$AU$3004,$AS256)="","",INDEX('潜水記録'!$AU$5:$AU$3004,$AS256)))</f>
        <v/>
      </c>
      <c r="AQ256" s="14">
        <f>IF($A256="","",IF(INDEX('潜水記録'!$AV$5:$AV$3004,$AS256)="","",INDEX('潜水記録'!$AV$5:$AV$3004,$AS256)))</f>
        <v/>
      </c>
      <c r="AR256" s="14">
        <f>IF($A256="","",IF(INDEX('潜水記録'!$AW$5:$AW$3004,$AS256)="","",INDEX('潜水記録'!$AW$5:$AW$3004,$AS256)))</f>
        <v/>
      </c>
      <c r="AS256" s="20">
        <f>IF($A256="","",MATCH($A256,'潜水記録'!$AI$5:$AI$3004,0))</f>
        <v/>
      </c>
    </row>
    <row r="257">
      <c r="A257" s="14">
        <f>IF(247&lt;=$C$8,247,"")</f>
        <v/>
      </c>
      <c r="B257" s="16">
        <f>IF($A257="","",IF(INDEX('潜水記録'!$A$5:$A$3004,$AS257)="","",INDEX('潜水記録'!$A$5:$A$3004,$AS257)))</f>
        <v/>
      </c>
      <c r="C257" s="14">
        <f>IF($A257="","",IF(INDEX('潜水記録'!$B$5:$B$3004,$AS257)="","",INDEX('潜水記録'!$B$5:$B$3004,$AS257)))</f>
        <v/>
      </c>
      <c r="D257" s="14">
        <f>IF($A257="","",IF(INDEX('潜水記録'!$C$5:$C$3004,$AS257)="","",INDEX('潜水記録'!$C$5:$C$3004,$AS257)))</f>
        <v/>
      </c>
      <c r="E257" s="14">
        <f>IF($A257="","",IF(INDEX('潜水記録'!$D$5:$D$3004,$AS257)="","",INDEX('潜水記録'!$D$5:$D$3004,$AS257)))</f>
        <v/>
      </c>
      <c r="F257" s="14">
        <f>IF($A257="","",IF(INDEX('潜水記録'!$E$5:$E$3004,$AS257)="","",INDEX('潜水記録'!$E$5:$E$3004,$AS257)))</f>
        <v/>
      </c>
      <c r="G257" s="14">
        <f>IF($A257="","",IF(INDEX('潜水記録'!$F$5:$F$3004,$AS257)="","",INDEX('潜水記録'!$F$5:$F$3004,$AS257)))</f>
        <v/>
      </c>
      <c r="H257" s="14">
        <f>IF($A257="","",IF(INDEX('潜水記録'!$G$5:$G$3004,$AS257)="","",INDEX('潜水記録'!$G$5:$G$3004,$AS257)))</f>
        <v/>
      </c>
      <c r="I257" s="14">
        <f>IF($A257="","",IF(INDEX('潜水記録'!$H$5:$H$3004,$AS257)="","",INDEX('潜水記録'!$H$5:$H$3004,$AS257)))</f>
        <v/>
      </c>
      <c r="J257" s="14">
        <f>IF($A257="","",IF(INDEX('潜水記録'!$I$5:$I$3004,$AS257)="","",INDEX('潜水記録'!$I$5:$I$3004,$AS257)))</f>
        <v/>
      </c>
      <c r="K257" s="14">
        <f>IF($A257="","",IF(INDEX('潜水記録'!$J$5:$J$3004,$AS257)="","",INDEX('潜水記録'!$J$5:$J$3004,$AS257)))</f>
        <v/>
      </c>
      <c r="L257" s="14">
        <f>IF($A257="","",IF(INDEX('潜水記録'!$K$5:$K$3004,$AS257)="","",INDEX('潜水記録'!$K$5:$K$3004,$AS257)))</f>
        <v/>
      </c>
      <c r="M257" s="14">
        <f>IF($A257="","",IF(INDEX('潜水記録'!$L$5:$L$3004,$AS257)="","",INDEX('潜水記録'!$L$5:$L$3004,$AS257)))</f>
        <v/>
      </c>
      <c r="N257" s="14">
        <f>IF($A257="","",IF(INDEX('潜水記録'!$M$5:$M$3004,$AS257)="","",INDEX('潜水記録'!$M$5:$M$3004,$AS257)))</f>
        <v/>
      </c>
      <c r="O257" s="14">
        <f>IF($A257="","",IF(INDEX('潜水記録'!$N$5:$N$3004,$AS257)="","",INDEX('潜水記録'!$N$5:$N$3004,$AS257)))</f>
        <v/>
      </c>
      <c r="P257" s="14">
        <f>IF($A257="","",IF(INDEX('潜水記録'!$O$5:$O$3004,$AS257)="","",INDEX('潜水記録'!$O$5:$O$3004,$AS257)))</f>
        <v/>
      </c>
      <c r="Q257" s="14">
        <f>IF($A257="","",IF(INDEX('潜水記録'!$P$5:$P$3004,$AS257)="","",INDEX('潜水記録'!$P$5:$P$3004,$AS257)))</f>
        <v/>
      </c>
      <c r="R257" s="14">
        <f>IF($A257="","",IF(INDEX('潜水記録'!$Q$5:$Q$3004,$AS257)="","",INDEX('潜水記録'!$Q$5:$Q$3004,$AS257)))</f>
        <v/>
      </c>
      <c r="S257" s="14">
        <f>IF($A257="","",IF(INDEX('潜水記録'!$R$5:$R$3004,$AS257)="","",INDEX('潜水記録'!$R$5:$R$3004,$AS257)))</f>
        <v/>
      </c>
      <c r="T257" s="14">
        <f>IF($A257="","",IF(INDEX('潜水記録'!$S$5:$S$3004,$AS257)="","",INDEX('潜水記録'!$S$5:$S$3004,$AS257)))</f>
        <v/>
      </c>
      <c r="U257" s="14">
        <f>IF($A257="","",IF(INDEX('潜水記録'!$T$5:$T$3004,$AS257)="","",INDEX('潜水記録'!$T$5:$T$3004,$AS257)))</f>
        <v/>
      </c>
      <c r="V257" s="46">
        <f>IF($A257="","",IF(INDEX('潜水記録'!$U$5:$U$3004,$AS257)="","",INDEX('潜水記録'!$U$5:$U$3004,$AS257)))</f>
        <v/>
      </c>
      <c r="W257" s="46">
        <f>IF($A257="","",IF(INDEX('潜水記録'!$V$5:$V$3004,$AS257)="","",INDEX('潜水記録'!$V$5:$V$3004,$AS257)))</f>
        <v/>
      </c>
      <c r="X257" s="14">
        <f>IF($A257="","",IF(INDEX('潜水記録'!$W$5:$W$3004,$AS257)="","",INDEX('潜水記録'!$W$5:$W$3004,$AS257)))</f>
        <v/>
      </c>
      <c r="Y257" s="14">
        <f>IF($A257="","",IF(INDEX('潜水記録'!$X$5:$X$3004,$AS257)="","",INDEX('潜水記録'!$X$5:$X$3004,$AS257)))</f>
        <v/>
      </c>
      <c r="Z257" s="14">
        <f>IF($A257="","",IF(INDEX('潜水記録'!$Y$5:$Y$3004,$AS257)="","",INDEX('潜水記録'!$Y$5:$Y$3004,$AS257)))</f>
        <v/>
      </c>
      <c r="AA257" s="14">
        <f>IF($A257="","",IF(INDEX('潜水記録'!$Z$5:$Z$3004,$AS257)="","",INDEX('潜水記録'!$Z$5:$Z$3004,$AS257)))</f>
        <v/>
      </c>
      <c r="AB257" s="14">
        <f>IF($A257="","",IF(INDEX('潜水記録'!$AA$5:$AA$3004,$AS257)="","",INDEX('潜水記録'!$AA$5:$AA$3004,$AS257)))</f>
        <v/>
      </c>
      <c r="AC257" s="14">
        <f>IF($A257="","",IF(INDEX('潜水記録'!$AB$5:$AB$3004,$AS257)="","",INDEX('潜水記録'!$AB$5:$AB$3004,$AS257)))</f>
        <v/>
      </c>
      <c r="AD257" s="14">
        <f>IF($A257="","",IF(INDEX('潜水記録'!$AC$5:$AC$3004,$AS257)="","",INDEX('潜水記録'!$AC$5:$AC$3004,$AS257)))</f>
        <v/>
      </c>
      <c r="AE257" s="14">
        <f>IF($A257="","",IF(INDEX('潜水記録'!$AD$5:$AD$3004,$AS257)="","",INDEX('潜水記録'!$AD$5:$AD$3004,$AS257)))</f>
        <v/>
      </c>
      <c r="AF257" s="14">
        <f>IF($A257="","",IF(INDEX('潜水記録'!$AE$5:$AE$3004,$AS257)="","",INDEX('潜水記録'!$AE$5:$AE$3004,$AS257)))</f>
        <v/>
      </c>
      <c r="AG257" s="14">
        <f>IF($A257="","",IF(INDEX('潜水記録'!$AL$5:$AL$3004,$AS257)="","",INDEX('潜水記録'!$AL$5:$AL$3004,$AS257)))</f>
        <v/>
      </c>
      <c r="AH257" s="14">
        <f>IF($A257="","",IF(INDEX('潜水記録'!$AM$5:$AM$3004,$AS257)="","",INDEX('潜水記録'!$AM$5:$AM$3004,$AS257)))</f>
        <v/>
      </c>
      <c r="AI257" s="46">
        <f>IF($A257="","",IF(INDEX('潜水記録'!$AN$5:$AN$3004,$AS257)="","",INDEX('潜水記録'!$AN$5:$AN$3004,$AS257)))</f>
        <v/>
      </c>
      <c r="AJ257" s="14">
        <f>IF($A257="","",IF(INDEX('潜水記録'!$AO$5:$AO$3004,$AS257)="","",INDEX('潜水記録'!$AO$5:$AO$3004,$AS257)))</f>
        <v/>
      </c>
      <c r="AK257" s="14">
        <f>IF($A257="","",IF(INDEX('潜水記録'!$AP$5:$AP$3004,$AS257)="","",INDEX('潜水記録'!$AP$5:$AP$3004,$AS257)))</f>
        <v/>
      </c>
      <c r="AL257" s="14">
        <f>IF($A257="","",IF(INDEX('潜水記録'!$AQ$5:$AQ$3004,$AS257)="","",INDEX('潜水記録'!$AQ$5:$AQ$3004,$AS257)))</f>
        <v/>
      </c>
      <c r="AM257" s="14">
        <f>IF($A257="","",IF(INDEX('潜水記録'!$AR$5:$AR$3004,$AS257)="","",INDEX('潜水記録'!$AR$5:$AR$3004,$AS257)))</f>
        <v/>
      </c>
      <c r="AN257" s="14">
        <f>IF($A257="","",IF(INDEX('潜水記録'!$AS$5:$AS$3004,$AS257)="","",INDEX('潜水記録'!$AS$5:$AS$3004,$AS257)))</f>
        <v/>
      </c>
      <c r="AO257" s="14">
        <f>IF($A257="","",IF(INDEX('潜水記録'!$AT$5:$AT$3004,$AS257)="","",INDEX('潜水記録'!$AT$5:$AT$3004,$AS257)))</f>
        <v/>
      </c>
      <c r="AP257" s="14">
        <f>IF($A257="","",IF(INDEX('潜水記録'!$AU$5:$AU$3004,$AS257)="","",INDEX('潜水記録'!$AU$5:$AU$3004,$AS257)))</f>
        <v/>
      </c>
      <c r="AQ257" s="14">
        <f>IF($A257="","",IF(INDEX('潜水記録'!$AV$5:$AV$3004,$AS257)="","",INDEX('潜水記録'!$AV$5:$AV$3004,$AS257)))</f>
        <v/>
      </c>
      <c r="AR257" s="14">
        <f>IF($A257="","",IF(INDEX('潜水記録'!$AW$5:$AW$3004,$AS257)="","",INDEX('潜水記録'!$AW$5:$AW$3004,$AS257)))</f>
        <v/>
      </c>
      <c r="AS257" s="20">
        <f>IF($A257="","",MATCH($A257,'潜水記録'!$AI$5:$AI$3004,0))</f>
        <v/>
      </c>
    </row>
    <row r="258">
      <c r="A258" s="14">
        <f>IF(248&lt;=$C$8,248,"")</f>
        <v/>
      </c>
      <c r="B258" s="16">
        <f>IF($A258="","",IF(INDEX('潜水記録'!$A$5:$A$3004,$AS258)="","",INDEX('潜水記録'!$A$5:$A$3004,$AS258)))</f>
        <v/>
      </c>
      <c r="C258" s="14">
        <f>IF($A258="","",IF(INDEX('潜水記録'!$B$5:$B$3004,$AS258)="","",INDEX('潜水記録'!$B$5:$B$3004,$AS258)))</f>
        <v/>
      </c>
      <c r="D258" s="14">
        <f>IF($A258="","",IF(INDEX('潜水記録'!$C$5:$C$3004,$AS258)="","",INDEX('潜水記録'!$C$5:$C$3004,$AS258)))</f>
        <v/>
      </c>
      <c r="E258" s="14">
        <f>IF($A258="","",IF(INDEX('潜水記録'!$D$5:$D$3004,$AS258)="","",INDEX('潜水記録'!$D$5:$D$3004,$AS258)))</f>
        <v/>
      </c>
      <c r="F258" s="14">
        <f>IF($A258="","",IF(INDEX('潜水記録'!$E$5:$E$3004,$AS258)="","",INDEX('潜水記録'!$E$5:$E$3004,$AS258)))</f>
        <v/>
      </c>
      <c r="G258" s="14">
        <f>IF($A258="","",IF(INDEX('潜水記録'!$F$5:$F$3004,$AS258)="","",INDEX('潜水記録'!$F$5:$F$3004,$AS258)))</f>
        <v/>
      </c>
      <c r="H258" s="14">
        <f>IF($A258="","",IF(INDEX('潜水記録'!$G$5:$G$3004,$AS258)="","",INDEX('潜水記録'!$G$5:$G$3004,$AS258)))</f>
        <v/>
      </c>
      <c r="I258" s="14">
        <f>IF($A258="","",IF(INDEX('潜水記録'!$H$5:$H$3004,$AS258)="","",INDEX('潜水記録'!$H$5:$H$3004,$AS258)))</f>
        <v/>
      </c>
      <c r="J258" s="14">
        <f>IF($A258="","",IF(INDEX('潜水記録'!$I$5:$I$3004,$AS258)="","",INDEX('潜水記録'!$I$5:$I$3004,$AS258)))</f>
        <v/>
      </c>
      <c r="K258" s="14">
        <f>IF($A258="","",IF(INDEX('潜水記録'!$J$5:$J$3004,$AS258)="","",INDEX('潜水記録'!$J$5:$J$3004,$AS258)))</f>
        <v/>
      </c>
      <c r="L258" s="14">
        <f>IF($A258="","",IF(INDEX('潜水記録'!$K$5:$K$3004,$AS258)="","",INDEX('潜水記録'!$K$5:$K$3004,$AS258)))</f>
        <v/>
      </c>
      <c r="M258" s="14">
        <f>IF($A258="","",IF(INDEX('潜水記録'!$L$5:$L$3004,$AS258)="","",INDEX('潜水記録'!$L$5:$L$3004,$AS258)))</f>
        <v/>
      </c>
      <c r="N258" s="14">
        <f>IF($A258="","",IF(INDEX('潜水記録'!$M$5:$M$3004,$AS258)="","",INDEX('潜水記録'!$M$5:$M$3004,$AS258)))</f>
        <v/>
      </c>
      <c r="O258" s="14">
        <f>IF($A258="","",IF(INDEX('潜水記録'!$N$5:$N$3004,$AS258)="","",INDEX('潜水記録'!$N$5:$N$3004,$AS258)))</f>
        <v/>
      </c>
      <c r="P258" s="14">
        <f>IF($A258="","",IF(INDEX('潜水記録'!$O$5:$O$3004,$AS258)="","",INDEX('潜水記録'!$O$5:$O$3004,$AS258)))</f>
        <v/>
      </c>
      <c r="Q258" s="14">
        <f>IF($A258="","",IF(INDEX('潜水記録'!$P$5:$P$3004,$AS258)="","",INDEX('潜水記録'!$P$5:$P$3004,$AS258)))</f>
        <v/>
      </c>
      <c r="R258" s="14">
        <f>IF($A258="","",IF(INDEX('潜水記録'!$Q$5:$Q$3004,$AS258)="","",INDEX('潜水記録'!$Q$5:$Q$3004,$AS258)))</f>
        <v/>
      </c>
      <c r="S258" s="14">
        <f>IF($A258="","",IF(INDEX('潜水記録'!$R$5:$R$3004,$AS258)="","",INDEX('潜水記録'!$R$5:$R$3004,$AS258)))</f>
        <v/>
      </c>
      <c r="T258" s="14">
        <f>IF($A258="","",IF(INDEX('潜水記録'!$S$5:$S$3004,$AS258)="","",INDEX('潜水記録'!$S$5:$S$3004,$AS258)))</f>
        <v/>
      </c>
      <c r="U258" s="14">
        <f>IF($A258="","",IF(INDEX('潜水記録'!$T$5:$T$3004,$AS258)="","",INDEX('潜水記録'!$T$5:$T$3004,$AS258)))</f>
        <v/>
      </c>
      <c r="V258" s="46">
        <f>IF($A258="","",IF(INDEX('潜水記録'!$U$5:$U$3004,$AS258)="","",INDEX('潜水記録'!$U$5:$U$3004,$AS258)))</f>
        <v/>
      </c>
      <c r="W258" s="46">
        <f>IF($A258="","",IF(INDEX('潜水記録'!$V$5:$V$3004,$AS258)="","",INDEX('潜水記録'!$V$5:$V$3004,$AS258)))</f>
        <v/>
      </c>
      <c r="X258" s="14">
        <f>IF($A258="","",IF(INDEX('潜水記録'!$W$5:$W$3004,$AS258)="","",INDEX('潜水記録'!$W$5:$W$3004,$AS258)))</f>
        <v/>
      </c>
      <c r="Y258" s="14">
        <f>IF($A258="","",IF(INDEX('潜水記録'!$X$5:$X$3004,$AS258)="","",INDEX('潜水記録'!$X$5:$X$3004,$AS258)))</f>
        <v/>
      </c>
      <c r="Z258" s="14">
        <f>IF($A258="","",IF(INDEX('潜水記録'!$Y$5:$Y$3004,$AS258)="","",INDEX('潜水記録'!$Y$5:$Y$3004,$AS258)))</f>
        <v/>
      </c>
      <c r="AA258" s="14">
        <f>IF($A258="","",IF(INDEX('潜水記録'!$Z$5:$Z$3004,$AS258)="","",INDEX('潜水記録'!$Z$5:$Z$3004,$AS258)))</f>
        <v/>
      </c>
      <c r="AB258" s="14">
        <f>IF($A258="","",IF(INDEX('潜水記録'!$AA$5:$AA$3004,$AS258)="","",INDEX('潜水記録'!$AA$5:$AA$3004,$AS258)))</f>
        <v/>
      </c>
      <c r="AC258" s="14">
        <f>IF($A258="","",IF(INDEX('潜水記録'!$AB$5:$AB$3004,$AS258)="","",INDEX('潜水記録'!$AB$5:$AB$3004,$AS258)))</f>
        <v/>
      </c>
      <c r="AD258" s="14">
        <f>IF($A258="","",IF(INDEX('潜水記録'!$AC$5:$AC$3004,$AS258)="","",INDEX('潜水記録'!$AC$5:$AC$3004,$AS258)))</f>
        <v/>
      </c>
      <c r="AE258" s="14">
        <f>IF($A258="","",IF(INDEX('潜水記録'!$AD$5:$AD$3004,$AS258)="","",INDEX('潜水記録'!$AD$5:$AD$3004,$AS258)))</f>
        <v/>
      </c>
      <c r="AF258" s="14">
        <f>IF($A258="","",IF(INDEX('潜水記録'!$AE$5:$AE$3004,$AS258)="","",INDEX('潜水記録'!$AE$5:$AE$3004,$AS258)))</f>
        <v/>
      </c>
      <c r="AG258" s="14">
        <f>IF($A258="","",IF(INDEX('潜水記録'!$AL$5:$AL$3004,$AS258)="","",INDEX('潜水記録'!$AL$5:$AL$3004,$AS258)))</f>
        <v/>
      </c>
      <c r="AH258" s="14">
        <f>IF($A258="","",IF(INDEX('潜水記録'!$AM$5:$AM$3004,$AS258)="","",INDEX('潜水記録'!$AM$5:$AM$3004,$AS258)))</f>
        <v/>
      </c>
      <c r="AI258" s="46">
        <f>IF($A258="","",IF(INDEX('潜水記録'!$AN$5:$AN$3004,$AS258)="","",INDEX('潜水記録'!$AN$5:$AN$3004,$AS258)))</f>
        <v/>
      </c>
      <c r="AJ258" s="14">
        <f>IF($A258="","",IF(INDEX('潜水記録'!$AO$5:$AO$3004,$AS258)="","",INDEX('潜水記録'!$AO$5:$AO$3004,$AS258)))</f>
        <v/>
      </c>
      <c r="AK258" s="14">
        <f>IF($A258="","",IF(INDEX('潜水記録'!$AP$5:$AP$3004,$AS258)="","",INDEX('潜水記録'!$AP$5:$AP$3004,$AS258)))</f>
        <v/>
      </c>
      <c r="AL258" s="14">
        <f>IF($A258="","",IF(INDEX('潜水記録'!$AQ$5:$AQ$3004,$AS258)="","",INDEX('潜水記録'!$AQ$5:$AQ$3004,$AS258)))</f>
        <v/>
      </c>
      <c r="AM258" s="14">
        <f>IF($A258="","",IF(INDEX('潜水記録'!$AR$5:$AR$3004,$AS258)="","",INDEX('潜水記録'!$AR$5:$AR$3004,$AS258)))</f>
        <v/>
      </c>
      <c r="AN258" s="14">
        <f>IF($A258="","",IF(INDEX('潜水記録'!$AS$5:$AS$3004,$AS258)="","",INDEX('潜水記録'!$AS$5:$AS$3004,$AS258)))</f>
        <v/>
      </c>
      <c r="AO258" s="14">
        <f>IF($A258="","",IF(INDEX('潜水記録'!$AT$5:$AT$3004,$AS258)="","",INDEX('潜水記録'!$AT$5:$AT$3004,$AS258)))</f>
        <v/>
      </c>
      <c r="AP258" s="14">
        <f>IF($A258="","",IF(INDEX('潜水記録'!$AU$5:$AU$3004,$AS258)="","",INDEX('潜水記録'!$AU$5:$AU$3004,$AS258)))</f>
        <v/>
      </c>
      <c r="AQ258" s="14">
        <f>IF($A258="","",IF(INDEX('潜水記録'!$AV$5:$AV$3004,$AS258)="","",INDEX('潜水記録'!$AV$5:$AV$3004,$AS258)))</f>
        <v/>
      </c>
      <c r="AR258" s="14">
        <f>IF($A258="","",IF(INDEX('潜水記録'!$AW$5:$AW$3004,$AS258)="","",INDEX('潜水記録'!$AW$5:$AW$3004,$AS258)))</f>
        <v/>
      </c>
      <c r="AS258" s="20">
        <f>IF($A258="","",MATCH($A258,'潜水記録'!$AI$5:$AI$3004,0))</f>
        <v/>
      </c>
    </row>
    <row r="259">
      <c r="A259" s="14">
        <f>IF(249&lt;=$C$8,249,"")</f>
        <v/>
      </c>
      <c r="B259" s="16">
        <f>IF($A259="","",IF(INDEX('潜水記録'!$A$5:$A$3004,$AS259)="","",INDEX('潜水記録'!$A$5:$A$3004,$AS259)))</f>
        <v/>
      </c>
      <c r="C259" s="14">
        <f>IF($A259="","",IF(INDEX('潜水記録'!$B$5:$B$3004,$AS259)="","",INDEX('潜水記録'!$B$5:$B$3004,$AS259)))</f>
        <v/>
      </c>
      <c r="D259" s="14">
        <f>IF($A259="","",IF(INDEX('潜水記録'!$C$5:$C$3004,$AS259)="","",INDEX('潜水記録'!$C$5:$C$3004,$AS259)))</f>
        <v/>
      </c>
      <c r="E259" s="14">
        <f>IF($A259="","",IF(INDEX('潜水記録'!$D$5:$D$3004,$AS259)="","",INDEX('潜水記録'!$D$5:$D$3004,$AS259)))</f>
        <v/>
      </c>
      <c r="F259" s="14">
        <f>IF($A259="","",IF(INDEX('潜水記録'!$E$5:$E$3004,$AS259)="","",INDEX('潜水記録'!$E$5:$E$3004,$AS259)))</f>
        <v/>
      </c>
      <c r="G259" s="14">
        <f>IF($A259="","",IF(INDEX('潜水記録'!$F$5:$F$3004,$AS259)="","",INDEX('潜水記録'!$F$5:$F$3004,$AS259)))</f>
        <v/>
      </c>
      <c r="H259" s="14">
        <f>IF($A259="","",IF(INDEX('潜水記録'!$G$5:$G$3004,$AS259)="","",INDEX('潜水記録'!$G$5:$G$3004,$AS259)))</f>
        <v/>
      </c>
      <c r="I259" s="14">
        <f>IF($A259="","",IF(INDEX('潜水記録'!$H$5:$H$3004,$AS259)="","",INDEX('潜水記録'!$H$5:$H$3004,$AS259)))</f>
        <v/>
      </c>
      <c r="J259" s="14">
        <f>IF($A259="","",IF(INDEX('潜水記録'!$I$5:$I$3004,$AS259)="","",INDEX('潜水記録'!$I$5:$I$3004,$AS259)))</f>
        <v/>
      </c>
      <c r="K259" s="14">
        <f>IF($A259="","",IF(INDEX('潜水記録'!$J$5:$J$3004,$AS259)="","",INDEX('潜水記録'!$J$5:$J$3004,$AS259)))</f>
        <v/>
      </c>
      <c r="L259" s="14">
        <f>IF($A259="","",IF(INDEX('潜水記録'!$K$5:$K$3004,$AS259)="","",INDEX('潜水記録'!$K$5:$K$3004,$AS259)))</f>
        <v/>
      </c>
      <c r="M259" s="14">
        <f>IF($A259="","",IF(INDEX('潜水記録'!$L$5:$L$3004,$AS259)="","",INDEX('潜水記録'!$L$5:$L$3004,$AS259)))</f>
        <v/>
      </c>
      <c r="N259" s="14">
        <f>IF($A259="","",IF(INDEX('潜水記録'!$M$5:$M$3004,$AS259)="","",INDEX('潜水記録'!$M$5:$M$3004,$AS259)))</f>
        <v/>
      </c>
      <c r="O259" s="14">
        <f>IF($A259="","",IF(INDEX('潜水記録'!$N$5:$N$3004,$AS259)="","",INDEX('潜水記録'!$N$5:$N$3004,$AS259)))</f>
        <v/>
      </c>
      <c r="P259" s="14">
        <f>IF($A259="","",IF(INDEX('潜水記録'!$O$5:$O$3004,$AS259)="","",INDEX('潜水記録'!$O$5:$O$3004,$AS259)))</f>
        <v/>
      </c>
      <c r="Q259" s="14">
        <f>IF($A259="","",IF(INDEX('潜水記録'!$P$5:$P$3004,$AS259)="","",INDEX('潜水記録'!$P$5:$P$3004,$AS259)))</f>
        <v/>
      </c>
      <c r="R259" s="14">
        <f>IF($A259="","",IF(INDEX('潜水記録'!$Q$5:$Q$3004,$AS259)="","",INDEX('潜水記録'!$Q$5:$Q$3004,$AS259)))</f>
        <v/>
      </c>
      <c r="S259" s="14">
        <f>IF($A259="","",IF(INDEX('潜水記録'!$R$5:$R$3004,$AS259)="","",INDEX('潜水記録'!$R$5:$R$3004,$AS259)))</f>
        <v/>
      </c>
      <c r="T259" s="14">
        <f>IF($A259="","",IF(INDEX('潜水記録'!$S$5:$S$3004,$AS259)="","",INDEX('潜水記録'!$S$5:$S$3004,$AS259)))</f>
        <v/>
      </c>
      <c r="U259" s="14">
        <f>IF($A259="","",IF(INDEX('潜水記録'!$T$5:$T$3004,$AS259)="","",INDEX('潜水記録'!$T$5:$T$3004,$AS259)))</f>
        <v/>
      </c>
      <c r="V259" s="46">
        <f>IF($A259="","",IF(INDEX('潜水記録'!$U$5:$U$3004,$AS259)="","",INDEX('潜水記録'!$U$5:$U$3004,$AS259)))</f>
        <v/>
      </c>
      <c r="W259" s="46">
        <f>IF($A259="","",IF(INDEX('潜水記録'!$V$5:$V$3004,$AS259)="","",INDEX('潜水記録'!$V$5:$V$3004,$AS259)))</f>
        <v/>
      </c>
      <c r="X259" s="14">
        <f>IF($A259="","",IF(INDEX('潜水記録'!$W$5:$W$3004,$AS259)="","",INDEX('潜水記録'!$W$5:$W$3004,$AS259)))</f>
        <v/>
      </c>
      <c r="Y259" s="14">
        <f>IF($A259="","",IF(INDEX('潜水記録'!$X$5:$X$3004,$AS259)="","",INDEX('潜水記録'!$X$5:$X$3004,$AS259)))</f>
        <v/>
      </c>
      <c r="Z259" s="14">
        <f>IF($A259="","",IF(INDEX('潜水記録'!$Y$5:$Y$3004,$AS259)="","",INDEX('潜水記録'!$Y$5:$Y$3004,$AS259)))</f>
        <v/>
      </c>
      <c r="AA259" s="14">
        <f>IF($A259="","",IF(INDEX('潜水記録'!$Z$5:$Z$3004,$AS259)="","",INDEX('潜水記録'!$Z$5:$Z$3004,$AS259)))</f>
        <v/>
      </c>
      <c r="AB259" s="14">
        <f>IF($A259="","",IF(INDEX('潜水記録'!$AA$5:$AA$3004,$AS259)="","",INDEX('潜水記録'!$AA$5:$AA$3004,$AS259)))</f>
        <v/>
      </c>
      <c r="AC259" s="14">
        <f>IF($A259="","",IF(INDEX('潜水記録'!$AB$5:$AB$3004,$AS259)="","",INDEX('潜水記録'!$AB$5:$AB$3004,$AS259)))</f>
        <v/>
      </c>
      <c r="AD259" s="14">
        <f>IF($A259="","",IF(INDEX('潜水記録'!$AC$5:$AC$3004,$AS259)="","",INDEX('潜水記録'!$AC$5:$AC$3004,$AS259)))</f>
        <v/>
      </c>
      <c r="AE259" s="14">
        <f>IF($A259="","",IF(INDEX('潜水記録'!$AD$5:$AD$3004,$AS259)="","",INDEX('潜水記録'!$AD$5:$AD$3004,$AS259)))</f>
        <v/>
      </c>
      <c r="AF259" s="14">
        <f>IF($A259="","",IF(INDEX('潜水記録'!$AE$5:$AE$3004,$AS259)="","",INDEX('潜水記録'!$AE$5:$AE$3004,$AS259)))</f>
        <v/>
      </c>
      <c r="AG259" s="14">
        <f>IF($A259="","",IF(INDEX('潜水記録'!$AL$5:$AL$3004,$AS259)="","",INDEX('潜水記録'!$AL$5:$AL$3004,$AS259)))</f>
        <v/>
      </c>
      <c r="AH259" s="14">
        <f>IF($A259="","",IF(INDEX('潜水記録'!$AM$5:$AM$3004,$AS259)="","",INDEX('潜水記録'!$AM$5:$AM$3004,$AS259)))</f>
        <v/>
      </c>
      <c r="AI259" s="46">
        <f>IF($A259="","",IF(INDEX('潜水記録'!$AN$5:$AN$3004,$AS259)="","",INDEX('潜水記録'!$AN$5:$AN$3004,$AS259)))</f>
        <v/>
      </c>
      <c r="AJ259" s="14">
        <f>IF($A259="","",IF(INDEX('潜水記録'!$AO$5:$AO$3004,$AS259)="","",INDEX('潜水記録'!$AO$5:$AO$3004,$AS259)))</f>
        <v/>
      </c>
      <c r="AK259" s="14">
        <f>IF($A259="","",IF(INDEX('潜水記録'!$AP$5:$AP$3004,$AS259)="","",INDEX('潜水記録'!$AP$5:$AP$3004,$AS259)))</f>
        <v/>
      </c>
      <c r="AL259" s="14">
        <f>IF($A259="","",IF(INDEX('潜水記録'!$AQ$5:$AQ$3004,$AS259)="","",INDEX('潜水記録'!$AQ$5:$AQ$3004,$AS259)))</f>
        <v/>
      </c>
      <c r="AM259" s="14">
        <f>IF($A259="","",IF(INDEX('潜水記録'!$AR$5:$AR$3004,$AS259)="","",INDEX('潜水記録'!$AR$5:$AR$3004,$AS259)))</f>
        <v/>
      </c>
      <c r="AN259" s="14">
        <f>IF($A259="","",IF(INDEX('潜水記録'!$AS$5:$AS$3004,$AS259)="","",INDEX('潜水記録'!$AS$5:$AS$3004,$AS259)))</f>
        <v/>
      </c>
      <c r="AO259" s="14">
        <f>IF($A259="","",IF(INDEX('潜水記録'!$AT$5:$AT$3004,$AS259)="","",INDEX('潜水記録'!$AT$5:$AT$3004,$AS259)))</f>
        <v/>
      </c>
      <c r="AP259" s="14">
        <f>IF($A259="","",IF(INDEX('潜水記録'!$AU$5:$AU$3004,$AS259)="","",INDEX('潜水記録'!$AU$5:$AU$3004,$AS259)))</f>
        <v/>
      </c>
      <c r="AQ259" s="14">
        <f>IF($A259="","",IF(INDEX('潜水記録'!$AV$5:$AV$3004,$AS259)="","",INDEX('潜水記録'!$AV$5:$AV$3004,$AS259)))</f>
        <v/>
      </c>
      <c r="AR259" s="14">
        <f>IF($A259="","",IF(INDEX('潜水記録'!$AW$5:$AW$3004,$AS259)="","",INDEX('潜水記録'!$AW$5:$AW$3004,$AS259)))</f>
        <v/>
      </c>
      <c r="AS259" s="20">
        <f>IF($A259="","",MATCH($A259,'潜水記録'!$AI$5:$AI$3004,0))</f>
        <v/>
      </c>
    </row>
    <row r="260">
      <c r="A260" s="14">
        <f>IF(250&lt;=$C$8,250,"")</f>
        <v/>
      </c>
      <c r="B260" s="16">
        <f>IF($A260="","",IF(INDEX('潜水記録'!$A$5:$A$3004,$AS260)="","",INDEX('潜水記録'!$A$5:$A$3004,$AS260)))</f>
        <v/>
      </c>
      <c r="C260" s="14">
        <f>IF($A260="","",IF(INDEX('潜水記録'!$B$5:$B$3004,$AS260)="","",INDEX('潜水記録'!$B$5:$B$3004,$AS260)))</f>
        <v/>
      </c>
      <c r="D260" s="14">
        <f>IF($A260="","",IF(INDEX('潜水記録'!$C$5:$C$3004,$AS260)="","",INDEX('潜水記録'!$C$5:$C$3004,$AS260)))</f>
        <v/>
      </c>
      <c r="E260" s="14">
        <f>IF($A260="","",IF(INDEX('潜水記録'!$D$5:$D$3004,$AS260)="","",INDEX('潜水記録'!$D$5:$D$3004,$AS260)))</f>
        <v/>
      </c>
      <c r="F260" s="14">
        <f>IF($A260="","",IF(INDEX('潜水記録'!$E$5:$E$3004,$AS260)="","",INDEX('潜水記録'!$E$5:$E$3004,$AS260)))</f>
        <v/>
      </c>
      <c r="G260" s="14">
        <f>IF($A260="","",IF(INDEX('潜水記録'!$F$5:$F$3004,$AS260)="","",INDEX('潜水記録'!$F$5:$F$3004,$AS260)))</f>
        <v/>
      </c>
      <c r="H260" s="14">
        <f>IF($A260="","",IF(INDEX('潜水記録'!$G$5:$G$3004,$AS260)="","",INDEX('潜水記録'!$G$5:$G$3004,$AS260)))</f>
        <v/>
      </c>
      <c r="I260" s="14">
        <f>IF($A260="","",IF(INDEX('潜水記録'!$H$5:$H$3004,$AS260)="","",INDEX('潜水記録'!$H$5:$H$3004,$AS260)))</f>
        <v/>
      </c>
      <c r="J260" s="14">
        <f>IF($A260="","",IF(INDEX('潜水記録'!$I$5:$I$3004,$AS260)="","",INDEX('潜水記録'!$I$5:$I$3004,$AS260)))</f>
        <v/>
      </c>
      <c r="K260" s="14">
        <f>IF($A260="","",IF(INDEX('潜水記録'!$J$5:$J$3004,$AS260)="","",INDEX('潜水記録'!$J$5:$J$3004,$AS260)))</f>
        <v/>
      </c>
      <c r="L260" s="14">
        <f>IF($A260="","",IF(INDEX('潜水記録'!$K$5:$K$3004,$AS260)="","",INDEX('潜水記録'!$K$5:$K$3004,$AS260)))</f>
        <v/>
      </c>
      <c r="M260" s="14">
        <f>IF($A260="","",IF(INDEX('潜水記録'!$L$5:$L$3004,$AS260)="","",INDEX('潜水記録'!$L$5:$L$3004,$AS260)))</f>
        <v/>
      </c>
      <c r="N260" s="14">
        <f>IF($A260="","",IF(INDEX('潜水記録'!$M$5:$M$3004,$AS260)="","",INDEX('潜水記録'!$M$5:$M$3004,$AS260)))</f>
        <v/>
      </c>
      <c r="O260" s="14">
        <f>IF($A260="","",IF(INDEX('潜水記録'!$N$5:$N$3004,$AS260)="","",INDEX('潜水記録'!$N$5:$N$3004,$AS260)))</f>
        <v/>
      </c>
      <c r="P260" s="14">
        <f>IF($A260="","",IF(INDEX('潜水記録'!$O$5:$O$3004,$AS260)="","",INDEX('潜水記録'!$O$5:$O$3004,$AS260)))</f>
        <v/>
      </c>
      <c r="Q260" s="14">
        <f>IF($A260="","",IF(INDEX('潜水記録'!$P$5:$P$3004,$AS260)="","",INDEX('潜水記録'!$P$5:$P$3004,$AS260)))</f>
        <v/>
      </c>
      <c r="R260" s="14">
        <f>IF($A260="","",IF(INDEX('潜水記録'!$Q$5:$Q$3004,$AS260)="","",INDEX('潜水記録'!$Q$5:$Q$3004,$AS260)))</f>
        <v/>
      </c>
      <c r="S260" s="14">
        <f>IF($A260="","",IF(INDEX('潜水記録'!$R$5:$R$3004,$AS260)="","",INDEX('潜水記録'!$R$5:$R$3004,$AS260)))</f>
        <v/>
      </c>
      <c r="T260" s="14">
        <f>IF($A260="","",IF(INDEX('潜水記録'!$S$5:$S$3004,$AS260)="","",INDEX('潜水記録'!$S$5:$S$3004,$AS260)))</f>
        <v/>
      </c>
      <c r="U260" s="14">
        <f>IF($A260="","",IF(INDEX('潜水記録'!$T$5:$T$3004,$AS260)="","",INDEX('潜水記録'!$T$5:$T$3004,$AS260)))</f>
        <v/>
      </c>
      <c r="V260" s="46">
        <f>IF($A260="","",IF(INDEX('潜水記録'!$U$5:$U$3004,$AS260)="","",INDEX('潜水記録'!$U$5:$U$3004,$AS260)))</f>
        <v/>
      </c>
      <c r="W260" s="46">
        <f>IF($A260="","",IF(INDEX('潜水記録'!$V$5:$V$3004,$AS260)="","",INDEX('潜水記録'!$V$5:$V$3004,$AS260)))</f>
        <v/>
      </c>
      <c r="X260" s="14">
        <f>IF($A260="","",IF(INDEX('潜水記録'!$W$5:$W$3004,$AS260)="","",INDEX('潜水記録'!$W$5:$W$3004,$AS260)))</f>
        <v/>
      </c>
      <c r="Y260" s="14">
        <f>IF($A260="","",IF(INDEX('潜水記録'!$X$5:$X$3004,$AS260)="","",INDEX('潜水記録'!$X$5:$X$3004,$AS260)))</f>
        <v/>
      </c>
      <c r="Z260" s="14">
        <f>IF($A260="","",IF(INDEX('潜水記録'!$Y$5:$Y$3004,$AS260)="","",INDEX('潜水記録'!$Y$5:$Y$3004,$AS260)))</f>
        <v/>
      </c>
      <c r="AA260" s="14">
        <f>IF($A260="","",IF(INDEX('潜水記録'!$Z$5:$Z$3004,$AS260)="","",INDEX('潜水記録'!$Z$5:$Z$3004,$AS260)))</f>
        <v/>
      </c>
      <c r="AB260" s="14">
        <f>IF($A260="","",IF(INDEX('潜水記録'!$AA$5:$AA$3004,$AS260)="","",INDEX('潜水記録'!$AA$5:$AA$3004,$AS260)))</f>
        <v/>
      </c>
      <c r="AC260" s="14">
        <f>IF($A260="","",IF(INDEX('潜水記録'!$AB$5:$AB$3004,$AS260)="","",INDEX('潜水記録'!$AB$5:$AB$3004,$AS260)))</f>
        <v/>
      </c>
      <c r="AD260" s="14">
        <f>IF($A260="","",IF(INDEX('潜水記録'!$AC$5:$AC$3004,$AS260)="","",INDEX('潜水記録'!$AC$5:$AC$3004,$AS260)))</f>
        <v/>
      </c>
      <c r="AE260" s="14">
        <f>IF($A260="","",IF(INDEX('潜水記録'!$AD$5:$AD$3004,$AS260)="","",INDEX('潜水記録'!$AD$5:$AD$3004,$AS260)))</f>
        <v/>
      </c>
      <c r="AF260" s="14">
        <f>IF($A260="","",IF(INDEX('潜水記録'!$AE$5:$AE$3004,$AS260)="","",INDEX('潜水記録'!$AE$5:$AE$3004,$AS260)))</f>
        <v/>
      </c>
      <c r="AG260" s="14">
        <f>IF($A260="","",IF(INDEX('潜水記録'!$AL$5:$AL$3004,$AS260)="","",INDEX('潜水記録'!$AL$5:$AL$3004,$AS260)))</f>
        <v/>
      </c>
      <c r="AH260" s="14">
        <f>IF($A260="","",IF(INDEX('潜水記録'!$AM$5:$AM$3004,$AS260)="","",INDEX('潜水記録'!$AM$5:$AM$3004,$AS260)))</f>
        <v/>
      </c>
      <c r="AI260" s="46">
        <f>IF($A260="","",IF(INDEX('潜水記録'!$AN$5:$AN$3004,$AS260)="","",INDEX('潜水記録'!$AN$5:$AN$3004,$AS260)))</f>
        <v/>
      </c>
      <c r="AJ260" s="14">
        <f>IF($A260="","",IF(INDEX('潜水記録'!$AO$5:$AO$3004,$AS260)="","",INDEX('潜水記録'!$AO$5:$AO$3004,$AS260)))</f>
        <v/>
      </c>
      <c r="AK260" s="14">
        <f>IF($A260="","",IF(INDEX('潜水記録'!$AP$5:$AP$3004,$AS260)="","",INDEX('潜水記録'!$AP$5:$AP$3004,$AS260)))</f>
        <v/>
      </c>
      <c r="AL260" s="14">
        <f>IF($A260="","",IF(INDEX('潜水記録'!$AQ$5:$AQ$3004,$AS260)="","",INDEX('潜水記録'!$AQ$5:$AQ$3004,$AS260)))</f>
        <v/>
      </c>
      <c r="AM260" s="14">
        <f>IF($A260="","",IF(INDEX('潜水記録'!$AR$5:$AR$3004,$AS260)="","",INDEX('潜水記録'!$AR$5:$AR$3004,$AS260)))</f>
        <v/>
      </c>
      <c r="AN260" s="14">
        <f>IF($A260="","",IF(INDEX('潜水記録'!$AS$5:$AS$3004,$AS260)="","",INDEX('潜水記録'!$AS$5:$AS$3004,$AS260)))</f>
        <v/>
      </c>
      <c r="AO260" s="14">
        <f>IF($A260="","",IF(INDEX('潜水記録'!$AT$5:$AT$3004,$AS260)="","",INDEX('潜水記録'!$AT$5:$AT$3004,$AS260)))</f>
        <v/>
      </c>
      <c r="AP260" s="14">
        <f>IF($A260="","",IF(INDEX('潜水記録'!$AU$5:$AU$3004,$AS260)="","",INDEX('潜水記録'!$AU$5:$AU$3004,$AS260)))</f>
        <v/>
      </c>
      <c r="AQ260" s="14">
        <f>IF($A260="","",IF(INDEX('潜水記録'!$AV$5:$AV$3004,$AS260)="","",INDEX('潜水記録'!$AV$5:$AV$3004,$AS260)))</f>
        <v/>
      </c>
      <c r="AR260" s="14">
        <f>IF($A260="","",IF(INDEX('潜水記録'!$AW$5:$AW$3004,$AS260)="","",INDEX('潜水記録'!$AW$5:$AW$3004,$AS260)))</f>
        <v/>
      </c>
      <c r="AS260" s="20">
        <f>IF($A260="","",MATCH($A260,'潜水記録'!$AI$5:$AI$3004,0))</f>
        <v/>
      </c>
    </row>
    <row r="261">
      <c r="A261" s="14">
        <f>IF(251&lt;=$C$8,251,"")</f>
        <v/>
      </c>
      <c r="B261" s="16">
        <f>IF($A261="","",IF(INDEX('潜水記録'!$A$5:$A$3004,$AS261)="","",INDEX('潜水記録'!$A$5:$A$3004,$AS261)))</f>
        <v/>
      </c>
      <c r="C261" s="14">
        <f>IF($A261="","",IF(INDEX('潜水記録'!$B$5:$B$3004,$AS261)="","",INDEX('潜水記録'!$B$5:$B$3004,$AS261)))</f>
        <v/>
      </c>
      <c r="D261" s="14">
        <f>IF($A261="","",IF(INDEX('潜水記録'!$C$5:$C$3004,$AS261)="","",INDEX('潜水記録'!$C$5:$C$3004,$AS261)))</f>
        <v/>
      </c>
      <c r="E261" s="14">
        <f>IF($A261="","",IF(INDEX('潜水記録'!$D$5:$D$3004,$AS261)="","",INDEX('潜水記録'!$D$5:$D$3004,$AS261)))</f>
        <v/>
      </c>
      <c r="F261" s="14">
        <f>IF($A261="","",IF(INDEX('潜水記録'!$E$5:$E$3004,$AS261)="","",INDEX('潜水記録'!$E$5:$E$3004,$AS261)))</f>
        <v/>
      </c>
      <c r="G261" s="14">
        <f>IF($A261="","",IF(INDEX('潜水記録'!$F$5:$F$3004,$AS261)="","",INDEX('潜水記録'!$F$5:$F$3004,$AS261)))</f>
        <v/>
      </c>
      <c r="H261" s="14">
        <f>IF($A261="","",IF(INDEX('潜水記録'!$G$5:$G$3004,$AS261)="","",INDEX('潜水記録'!$G$5:$G$3004,$AS261)))</f>
        <v/>
      </c>
      <c r="I261" s="14">
        <f>IF($A261="","",IF(INDEX('潜水記録'!$H$5:$H$3004,$AS261)="","",INDEX('潜水記録'!$H$5:$H$3004,$AS261)))</f>
        <v/>
      </c>
      <c r="J261" s="14">
        <f>IF($A261="","",IF(INDEX('潜水記録'!$I$5:$I$3004,$AS261)="","",INDEX('潜水記録'!$I$5:$I$3004,$AS261)))</f>
        <v/>
      </c>
      <c r="K261" s="14">
        <f>IF($A261="","",IF(INDEX('潜水記録'!$J$5:$J$3004,$AS261)="","",INDEX('潜水記録'!$J$5:$J$3004,$AS261)))</f>
        <v/>
      </c>
      <c r="L261" s="14">
        <f>IF($A261="","",IF(INDEX('潜水記録'!$K$5:$K$3004,$AS261)="","",INDEX('潜水記録'!$K$5:$K$3004,$AS261)))</f>
        <v/>
      </c>
      <c r="M261" s="14">
        <f>IF($A261="","",IF(INDEX('潜水記録'!$L$5:$L$3004,$AS261)="","",INDEX('潜水記録'!$L$5:$L$3004,$AS261)))</f>
        <v/>
      </c>
      <c r="N261" s="14">
        <f>IF($A261="","",IF(INDEX('潜水記録'!$M$5:$M$3004,$AS261)="","",INDEX('潜水記録'!$M$5:$M$3004,$AS261)))</f>
        <v/>
      </c>
      <c r="O261" s="14">
        <f>IF($A261="","",IF(INDEX('潜水記録'!$N$5:$N$3004,$AS261)="","",INDEX('潜水記録'!$N$5:$N$3004,$AS261)))</f>
        <v/>
      </c>
      <c r="P261" s="14">
        <f>IF($A261="","",IF(INDEX('潜水記録'!$O$5:$O$3004,$AS261)="","",INDEX('潜水記録'!$O$5:$O$3004,$AS261)))</f>
        <v/>
      </c>
      <c r="Q261" s="14">
        <f>IF($A261="","",IF(INDEX('潜水記録'!$P$5:$P$3004,$AS261)="","",INDEX('潜水記録'!$P$5:$P$3004,$AS261)))</f>
        <v/>
      </c>
      <c r="R261" s="14">
        <f>IF($A261="","",IF(INDEX('潜水記録'!$Q$5:$Q$3004,$AS261)="","",INDEX('潜水記録'!$Q$5:$Q$3004,$AS261)))</f>
        <v/>
      </c>
      <c r="S261" s="14">
        <f>IF($A261="","",IF(INDEX('潜水記録'!$R$5:$R$3004,$AS261)="","",INDEX('潜水記録'!$R$5:$R$3004,$AS261)))</f>
        <v/>
      </c>
      <c r="T261" s="14">
        <f>IF($A261="","",IF(INDEX('潜水記録'!$S$5:$S$3004,$AS261)="","",INDEX('潜水記録'!$S$5:$S$3004,$AS261)))</f>
        <v/>
      </c>
      <c r="U261" s="14">
        <f>IF($A261="","",IF(INDEX('潜水記録'!$T$5:$T$3004,$AS261)="","",INDEX('潜水記録'!$T$5:$T$3004,$AS261)))</f>
        <v/>
      </c>
      <c r="V261" s="46">
        <f>IF($A261="","",IF(INDEX('潜水記録'!$U$5:$U$3004,$AS261)="","",INDEX('潜水記録'!$U$5:$U$3004,$AS261)))</f>
        <v/>
      </c>
      <c r="W261" s="46">
        <f>IF($A261="","",IF(INDEX('潜水記録'!$V$5:$V$3004,$AS261)="","",INDEX('潜水記録'!$V$5:$V$3004,$AS261)))</f>
        <v/>
      </c>
      <c r="X261" s="14">
        <f>IF($A261="","",IF(INDEX('潜水記録'!$W$5:$W$3004,$AS261)="","",INDEX('潜水記録'!$W$5:$W$3004,$AS261)))</f>
        <v/>
      </c>
      <c r="Y261" s="14">
        <f>IF($A261="","",IF(INDEX('潜水記録'!$X$5:$X$3004,$AS261)="","",INDEX('潜水記録'!$X$5:$X$3004,$AS261)))</f>
        <v/>
      </c>
      <c r="Z261" s="14">
        <f>IF($A261="","",IF(INDEX('潜水記録'!$Y$5:$Y$3004,$AS261)="","",INDEX('潜水記録'!$Y$5:$Y$3004,$AS261)))</f>
        <v/>
      </c>
      <c r="AA261" s="14">
        <f>IF($A261="","",IF(INDEX('潜水記録'!$Z$5:$Z$3004,$AS261)="","",INDEX('潜水記録'!$Z$5:$Z$3004,$AS261)))</f>
        <v/>
      </c>
      <c r="AB261" s="14">
        <f>IF($A261="","",IF(INDEX('潜水記録'!$AA$5:$AA$3004,$AS261)="","",INDEX('潜水記録'!$AA$5:$AA$3004,$AS261)))</f>
        <v/>
      </c>
      <c r="AC261" s="14">
        <f>IF($A261="","",IF(INDEX('潜水記録'!$AB$5:$AB$3004,$AS261)="","",INDEX('潜水記録'!$AB$5:$AB$3004,$AS261)))</f>
        <v/>
      </c>
      <c r="AD261" s="14">
        <f>IF($A261="","",IF(INDEX('潜水記録'!$AC$5:$AC$3004,$AS261)="","",INDEX('潜水記録'!$AC$5:$AC$3004,$AS261)))</f>
        <v/>
      </c>
      <c r="AE261" s="14">
        <f>IF($A261="","",IF(INDEX('潜水記録'!$AD$5:$AD$3004,$AS261)="","",INDEX('潜水記録'!$AD$5:$AD$3004,$AS261)))</f>
        <v/>
      </c>
      <c r="AF261" s="14">
        <f>IF($A261="","",IF(INDEX('潜水記録'!$AE$5:$AE$3004,$AS261)="","",INDEX('潜水記録'!$AE$5:$AE$3004,$AS261)))</f>
        <v/>
      </c>
      <c r="AG261" s="14">
        <f>IF($A261="","",IF(INDEX('潜水記録'!$AL$5:$AL$3004,$AS261)="","",INDEX('潜水記録'!$AL$5:$AL$3004,$AS261)))</f>
        <v/>
      </c>
      <c r="AH261" s="14">
        <f>IF($A261="","",IF(INDEX('潜水記録'!$AM$5:$AM$3004,$AS261)="","",INDEX('潜水記録'!$AM$5:$AM$3004,$AS261)))</f>
        <v/>
      </c>
      <c r="AI261" s="46">
        <f>IF($A261="","",IF(INDEX('潜水記録'!$AN$5:$AN$3004,$AS261)="","",INDEX('潜水記録'!$AN$5:$AN$3004,$AS261)))</f>
        <v/>
      </c>
      <c r="AJ261" s="14">
        <f>IF($A261="","",IF(INDEX('潜水記録'!$AO$5:$AO$3004,$AS261)="","",INDEX('潜水記録'!$AO$5:$AO$3004,$AS261)))</f>
        <v/>
      </c>
      <c r="AK261" s="14">
        <f>IF($A261="","",IF(INDEX('潜水記録'!$AP$5:$AP$3004,$AS261)="","",INDEX('潜水記録'!$AP$5:$AP$3004,$AS261)))</f>
        <v/>
      </c>
      <c r="AL261" s="14">
        <f>IF($A261="","",IF(INDEX('潜水記録'!$AQ$5:$AQ$3004,$AS261)="","",INDEX('潜水記録'!$AQ$5:$AQ$3004,$AS261)))</f>
        <v/>
      </c>
      <c r="AM261" s="14">
        <f>IF($A261="","",IF(INDEX('潜水記録'!$AR$5:$AR$3004,$AS261)="","",INDEX('潜水記録'!$AR$5:$AR$3004,$AS261)))</f>
        <v/>
      </c>
      <c r="AN261" s="14">
        <f>IF($A261="","",IF(INDEX('潜水記録'!$AS$5:$AS$3004,$AS261)="","",INDEX('潜水記録'!$AS$5:$AS$3004,$AS261)))</f>
        <v/>
      </c>
      <c r="AO261" s="14">
        <f>IF($A261="","",IF(INDEX('潜水記録'!$AT$5:$AT$3004,$AS261)="","",INDEX('潜水記録'!$AT$5:$AT$3004,$AS261)))</f>
        <v/>
      </c>
      <c r="AP261" s="14">
        <f>IF($A261="","",IF(INDEX('潜水記録'!$AU$5:$AU$3004,$AS261)="","",INDEX('潜水記録'!$AU$5:$AU$3004,$AS261)))</f>
        <v/>
      </c>
      <c r="AQ261" s="14">
        <f>IF($A261="","",IF(INDEX('潜水記録'!$AV$5:$AV$3004,$AS261)="","",INDEX('潜水記録'!$AV$5:$AV$3004,$AS261)))</f>
        <v/>
      </c>
      <c r="AR261" s="14">
        <f>IF($A261="","",IF(INDEX('潜水記録'!$AW$5:$AW$3004,$AS261)="","",INDEX('潜水記録'!$AW$5:$AW$3004,$AS261)))</f>
        <v/>
      </c>
      <c r="AS261" s="20">
        <f>IF($A261="","",MATCH($A261,'潜水記録'!$AI$5:$AI$3004,0))</f>
        <v/>
      </c>
    </row>
    <row r="262">
      <c r="A262" s="14">
        <f>IF(252&lt;=$C$8,252,"")</f>
        <v/>
      </c>
      <c r="B262" s="16">
        <f>IF($A262="","",IF(INDEX('潜水記録'!$A$5:$A$3004,$AS262)="","",INDEX('潜水記録'!$A$5:$A$3004,$AS262)))</f>
        <v/>
      </c>
      <c r="C262" s="14">
        <f>IF($A262="","",IF(INDEX('潜水記録'!$B$5:$B$3004,$AS262)="","",INDEX('潜水記録'!$B$5:$B$3004,$AS262)))</f>
        <v/>
      </c>
      <c r="D262" s="14">
        <f>IF($A262="","",IF(INDEX('潜水記録'!$C$5:$C$3004,$AS262)="","",INDEX('潜水記録'!$C$5:$C$3004,$AS262)))</f>
        <v/>
      </c>
      <c r="E262" s="14">
        <f>IF($A262="","",IF(INDEX('潜水記録'!$D$5:$D$3004,$AS262)="","",INDEX('潜水記録'!$D$5:$D$3004,$AS262)))</f>
        <v/>
      </c>
      <c r="F262" s="14">
        <f>IF($A262="","",IF(INDEX('潜水記録'!$E$5:$E$3004,$AS262)="","",INDEX('潜水記録'!$E$5:$E$3004,$AS262)))</f>
        <v/>
      </c>
      <c r="G262" s="14">
        <f>IF($A262="","",IF(INDEX('潜水記録'!$F$5:$F$3004,$AS262)="","",INDEX('潜水記録'!$F$5:$F$3004,$AS262)))</f>
        <v/>
      </c>
      <c r="H262" s="14">
        <f>IF($A262="","",IF(INDEX('潜水記録'!$G$5:$G$3004,$AS262)="","",INDEX('潜水記録'!$G$5:$G$3004,$AS262)))</f>
        <v/>
      </c>
      <c r="I262" s="14">
        <f>IF($A262="","",IF(INDEX('潜水記録'!$H$5:$H$3004,$AS262)="","",INDEX('潜水記録'!$H$5:$H$3004,$AS262)))</f>
        <v/>
      </c>
      <c r="J262" s="14">
        <f>IF($A262="","",IF(INDEX('潜水記録'!$I$5:$I$3004,$AS262)="","",INDEX('潜水記録'!$I$5:$I$3004,$AS262)))</f>
        <v/>
      </c>
      <c r="K262" s="14">
        <f>IF($A262="","",IF(INDEX('潜水記録'!$J$5:$J$3004,$AS262)="","",INDEX('潜水記録'!$J$5:$J$3004,$AS262)))</f>
        <v/>
      </c>
      <c r="L262" s="14">
        <f>IF($A262="","",IF(INDEX('潜水記録'!$K$5:$K$3004,$AS262)="","",INDEX('潜水記録'!$K$5:$K$3004,$AS262)))</f>
        <v/>
      </c>
      <c r="M262" s="14">
        <f>IF($A262="","",IF(INDEX('潜水記録'!$L$5:$L$3004,$AS262)="","",INDEX('潜水記録'!$L$5:$L$3004,$AS262)))</f>
        <v/>
      </c>
      <c r="N262" s="14">
        <f>IF($A262="","",IF(INDEX('潜水記録'!$M$5:$M$3004,$AS262)="","",INDEX('潜水記録'!$M$5:$M$3004,$AS262)))</f>
        <v/>
      </c>
      <c r="O262" s="14">
        <f>IF($A262="","",IF(INDEX('潜水記録'!$N$5:$N$3004,$AS262)="","",INDEX('潜水記録'!$N$5:$N$3004,$AS262)))</f>
        <v/>
      </c>
      <c r="P262" s="14">
        <f>IF($A262="","",IF(INDEX('潜水記録'!$O$5:$O$3004,$AS262)="","",INDEX('潜水記録'!$O$5:$O$3004,$AS262)))</f>
        <v/>
      </c>
      <c r="Q262" s="14">
        <f>IF($A262="","",IF(INDEX('潜水記録'!$P$5:$P$3004,$AS262)="","",INDEX('潜水記録'!$P$5:$P$3004,$AS262)))</f>
        <v/>
      </c>
      <c r="R262" s="14">
        <f>IF($A262="","",IF(INDEX('潜水記録'!$Q$5:$Q$3004,$AS262)="","",INDEX('潜水記録'!$Q$5:$Q$3004,$AS262)))</f>
        <v/>
      </c>
      <c r="S262" s="14">
        <f>IF($A262="","",IF(INDEX('潜水記録'!$R$5:$R$3004,$AS262)="","",INDEX('潜水記録'!$R$5:$R$3004,$AS262)))</f>
        <v/>
      </c>
      <c r="T262" s="14">
        <f>IF($A262="","",IF(INDEX('潜水記録'!$S$5:$S$3004,$AS262)="","",INDEX('潜水記録'!$S$5:$S$3004,$AS262)))</f>
        <v/>
      </c>
      <c r="U262" s="14">
        <f>IF($A262="","",IF(INDEX('潜水記録'!$T$5:$T$3004,$AS262)="","",INDEX('潜水記録'!$T$5:$T$3004,$AS262)))</f>
        <v/>
      </c>
      <c r="V262" s="46">
        <f>IF($A262="","",IF(INDEX('潜水記録'!$U$5:$U$3004,$AS262)="","",INDEX('潜水記録'!$U$5:$U$3004,$AS262)))</f>
        <v/>
      </c>
      <c r="W262" s="46">
        <f>IF($A262="","",IF(INDEX('潜水記録'!$V$5:$V$3004,$AS262)="","",INDEX('潜水記録'!$V$5:$V$3004,$AS262)))</f>
        <v/>
      </c>
      <c r="X262" s="14">
        <f>IF($A262="","",IF(INDEX('潜水記録'!$W$5:$W$3004,$AS262)="","",INDEX('潜水記録'!$W$5:$W$3004,$AS262)))</f>
        <v/>
      </c>
      <c r="Y262" s="14">
        <f>IF($A262="","",IF(INDEX('潜水記録'!$X$5:$X$3004,$AS262)="","",INDEX('潜水記録'!$X$5:$X$3004,$AS262)))</f>
        <v/>
      </c>
      <c r="Z262" s="14">
        <f>IF($A262="","",IF(INDEX('潜水記録'!$Y$5:$Y$3004,$AS262)="","",INDEX('潜水記録'!$Y$5:$Y$3004,$AS262)))</f>
        <v/>
      </c>
      <c r="AA262" s="14">
        <f>IF($A262="","",IF(INDEX('潜水記録'!$Z$5:$Z$3004,$AS262)="","",INDEX('潜水記録'!$Z$5:$Z$3004,$AS262)))</f>
        <v/>
      </c>
      <c r="AB262" s="14">
        <f>IF($A262="","",IF(INDEX('潜水記録'!$AA$5:$AA$3004,$AS262)="","",INDEX('潜水記録'!$AA$5:$AA$3004,$AS262)))</f>
        <v/>
      </c>
      <c r="AC262" s="14">
        <f>IF($A262="","",IF(INDEX('潜水記録'!$AB$5:$AB$3004,$AS262)="","",INDEX('潜水記録'!$AB$5:$AB$3004,$AS262)))</f>
        <v/>
      </c>
      <c r="AD262" s="14">
        <f>IF($A262="","",IF(INDEX('潜水記録'!$AC$5:$AC$3004,$AS262)="","",INDEX('潜水記録'!$AC$5:$AC$3004,$AS262)))</f>
        <v/>
      </c>
      <c r="AE262" s="14">
        <f>IF($A262="","",IF(INDEX('潜水記録'!$AD$5:$AD$3004,$AS262)="","",INDEX('潜水記録'!$AD$5:$AD$3004,$AS262)))</f>
        <v/>
      </c>
      <c r="AF262" s="14">
        <f>IF($A262="","",IF(INDEX('潜水記録'!$AE$5:$AE$3004,$AS262)="","",INDEX('潜水記録'!$AE$5:$AE$3004,$AS262)))</f>
        <v/>
      </c>
      <c r="AG262" s="14">
        <f>IF($A262="","",IF(INDEX('潜水記録'!$AL$5:$AL$3004,$AS262)="","",INDEX('潜水記録'!$AL$5:$AL$3004,$AS262)))</f>
        <v/>
      </c>
      <c r="AH262" s="14">
        <f>IF($A262="","",IF(INDEX('潜水記録'!$AM$5:$AM$3004,$AS262)="","",INDEX('潜水記録'!$AM$5:$AM$3004,$AS262)))</f>
        <v/>
      </c>
      <c r="AI262" s="46">
        <f>IF($A262="","",IF(INDEX('潜水記録'!$AN$5:$AN$3004,$AS262)="","",INDEX('潜水記録'!$AN$5:$AN$3004,$AS262)))</f>
        <v/>
      </c>
      <c r="AJ262" s="14">
        <f>IF($A262="","",IF(INDEX('潜水記録'!$AO$5:$AO$3004,$AS262)="","",INDEX('潜水記録'!$AO$5:$AO$3004,$AS262)))</f>
        <v/>
      </c>
      <c r="AK262" s="14">
        <f>IF($A262="","",IF(INDEX('潜水記録'!$AP$5:$AP$3004,$AS262)="","",INDEX('潜水記録'!$AP$5:$AP$3004,$AS262)))</f>
        <v/>
      </c>
      <c r="AL262" s="14">
        <f>IF($A262="","",IF(INDEX('潜水記録'!$AQ$5:$AQ$3004,$AS262)="","",INDEX('潜水記録'!$AQ$5:$AQ$3004,$AS262)))</f>
        <v/>
      </c>
      <c r="AM262" s="14">
        <f>IF($A262="","",IF(INDEX('潜水記録'!$AR$5:$AR$3004,$AS262)="","",INDEX('潜水記録'!$AR$5:$AR$3004,$AS262)))</f>
        <v/>
      </c>
      <c r="AN262" s="14">
        <f>IF($A262="","",IF(INDEX('潜水記録'!$AS$5:$AS$3004,$AS262)="","",INDEX('潜水記録'!$AS$5:$AS$3004,$AS262)))</f>
        <v/>
      </c>
      <c r="AO262" s="14">
        <f>IF($A262="","",IF(INDEX('潜水記録'!$AT$5:$AT$3004,$AS262)="","",INDEX('潜水記録'!$AT$5:$AT$3004,$AS262)))</f>
        <v/>
      </c>
      <c r="AP262" s="14">
        <f>IF($A262="","",IF(INDEX('潜水記録'!$AU$5:$AU$3004,$AS262)="","",INDEX('潜水記録'!$AU$5:$AU$3004,$AS262)))</f>
        <v/>
      </c>
      <c r="AQ262" s="14">
        <f>IF($A262="","",IF(INDEX('潜水記録'!$AV$5:$AV$3004,$AS262)="","",INDEX('潜水記録'!$AV$5:$AV$3004,$AS262)))</f>
        <v/>
      </c>
      <c r="AR262" s="14">
        <f>IF($A262="","",IF(INDEX('潜水記録'!$AW$5:$AW$3004,$AS262)="","",INDEX('潜水記録'!$AW$5:$AW$3004,$AS262)))</f>
        <v/>
      </c>
      <c r="AS262" s="20">
        <f>IF($A262="","",MATCH($A262,'潜水記録'!$AI$5:$AI$3004,0))</f>
        <v/>
      </c>
    </row>
    <row r="263">
      <c r="A263" s="14">
        <f>IF(253&lt;=$C$8,253,"")</f>
        <v/>
      </c>
      <c r="B263" s="16">
        <f>IF($A263="","",IF(INDEX('潜水記録'!$A$5:$A$3004,$AS263)="","",INDEX('潜水記録'!$A$5:$A$3004,$AS263)))</f>
        <v/>
      </c>
      <c r="C263" s="14">
        <f>IF($A263="","",IF(INDEX('潜水記録'!$B$5:$B$3004,$AS263)="","",INDEX('潜水記録'!$B$5:$B$3004,$AS263)))</f>
        <v/>
      </c>
      <c r="D263" s="14">
        <f>IF($A263="","",IF(INDEX('潜水記録'!$C$5:$C$3004,$AS263)="","",INDEX('潜水記録'!$C$5:$C$3004,$AS263)))</f>
        <v/>
      </c>
      <c r="E263" s="14">
        <f>IF($A263="","",IF(INDEX('潜水記録'!$D$5:$D$3004,$AS263)="","",INDEX('潜水記録'!$D$5:$D$3004,$AS263)))</f>
        <v/>
      </c>
      <c r="F263" s="14">
        <f>IF($A263="","",IF(INDEX('潜水記録'!$E$5:$E$3004,$AS263)="","",INDEX('潜水記録'!$E$5:$E$3004,$AS263)))</f>
        <v/>
      </c>
      <c r="G263" s="14">
        <f>IF($A263="","",IF(INDEX('潜水記録'!$F$5:$F$3004,$AS263)="","",INDEX('潜水記録'!$F$5:$F$3004,$AS263)))</f>
        <v/>
      </c>
      <c r="H263" s="14">
        <f>IF($A263="","",IF(INDEX('潜水記録'!$G$5:$G$3004,$AS263)="","",INDEX('潜水記録'!$G$5:$G$3004,$AS263)))</f>
        <v/>
      </c>
      <c r="I263" s="14">
        <f>IF($A263="","",IF(INDEX('潜水記録'!$H$5:$H$3004,$AS263)="","",INDEX('潜水記録'!$H$5:$H$3004,$AS263)))</f>
        <v/>
      </c>
      <c r="J263" s="14">
        <f>IF($A263="","",IF(INDEX('潜水記録'!$I$5:$I$3004,$AS263)="","",INDEX('潜水記録'!$I$5:$I$3004,$AS263)))</f>
        <v/>
      </c>
      <c r="K263" s="14">
        <f>IF($A263="","",IF(INDEX('潜水記録'!$J$5:$J$3004,$AS263)="","",INDEX('潜水記録'!$J$5:$J$3004,$AS263)))</f>
        <v/>
      </c>
      <c r="L263" s="14">
        <f>IF($A263="","",IF(INDEX('潜水記録'!$K$5:$K$3004,$AS263)="","",INDEX('潜水記録'!$K$5:$K$3004,$AS263)))</f>
        <v/>
      </c>
      <c r="M263" s="14">
        <f>IF($A263="","",IF(INDEX('潜水記録'!$L$5:$L$3004,$AS263)="","",INDEX('潜水記録'!$L$5:$L$3004,$AS263)))</f>
        <v/>
      </c>
      <c r="N263" s="14">
        <f>IF($A263="","",IF(INDEX('潜水記録'!$M$5:$M$3004,$AS263)="","",INDEX('潜水記録'!$M$5:$M$3004,$AS263)))</f>
        <v/>
      </c>
      <c r="O263" s="14">
        <f>IF($A263="","",IF(INDEX('潜水記録'!$N$5:$N$3004,$AS263)="","",INDEX('潜水記録'!$N$5:$N$3004,$AS263)))</f>
        <v/>
      </c>
      <c r="P263" s="14">
        <f>IF($A263="","",IF(INDEX('潜水記録'!$O$5:$O$3004,$AS263)="","",INDEX('潜水記録'!$O$5:$O$3004,$AS263)))</f>
        <v/>
      </c>
      <c r="Q263" s="14">
        <f>IF($A263="","",IF(INDEX('潜水記録'!$P$5:$P$3004,$AS263)="","",INDEX('潜水記録'!$P$5:$P$3004,$AS263)))</f>
        <v/>
      </c>
      <c r="R263" s="14">
        <f>IF($A263="","",IF(INDEX('潜水記録'!$Q$5:$Q$3004,$AS263)="","",INDEX('潜水記録'!$Q$5:$Q$3004,$AS263)))</f>
        <v/>
      </c>
      <c r="S263" s="14">
        <f>IF($A263="","",IF(INDEX('潜水記録'!$R$5:$R$3004,$AS263)="","",INDEX('潜水記録'!$R$5:$R$3004,$AS263)))</f>
        <v/>
      </c>
      <c r="T263" s="14">
        <f>IF($A263="","",IF(INDEX('潜水記録'!$S$5:$S$3004,$AS263)="","",INDEX('潜水記録'!$S$5:$S$3004,$AS263)))</f>
        <v/>
      </c>
      <c r="U263" s="14">
        <f>IF($A263="","",IF(INDEX('潜水記録'!$T$5:$T$3004,$AS263)="","",INDEX('潜水記録'!$T$5:$T$3004,$AS263)))</f>
        <v/>
      </c>
      <c r="V263" s="46">
        <f>IF($A263="","",IF(INDEX('潜水記録'!$U$5:$U$3004,$AS263)="","",INDEX('潜水記録'!$U$5:$U$3004,$AS263)))</f>
        <v/>
      </c>
      <c r="W263" s="46">
        <f>IF($A263="","",IF(INDEX('潜水記録'!$V$5:$V$3004,$AS263)="","",INDEX('潜水記録'!$V$5:$V$3004,$AS263)))</f>
        <v/>
      </c>
      <c r="X263" s="14">
        <f>IF($A263="","",IF(INDEX('潜水記録'!$W$5:$W$3004,$AS263)="","",INDEX('潜水記録'!$W$5:$W$3004,$AS263)))</f>
        <v/>
      </c>
      <c r="Y263" s="14">
        <f>IF($A263="","",IF(INDEX('潜水記録'!$X$5:$X$3004,$AS263)="","",INDEX('潜水記録'!$X$5:$X$3004,$AS263)))</f>
        <v/>
      </c>
      <c r="Z263" s="14">
        <f>IF($A263="","",IF(INDEX('潜水記録'!$Y$5:$Y$3004,$AS263)="","",INDEX('潜水記録'!$Y$5:$Y$3004,$AS263)))</f>
        <v/>
      </c>
      <c r="AA263" s="14">
        <f>IF($A263="","",IF(INDEX('潜水記録'!$Z$5:$Z$3004,$AS263)="","",INDEX('潜水記録'!$Z$5:$Z$3004,$AS263)))</f>
        <v/>
      </c>
      <c r="AB263" s="14">
        <f>IF($A263="","",IF(INDEX('潜水記録'!$AA$5:$AA$3004,$AS263)="","",INDEX('潜水記録'!$AA$5:$AA$3004,$AS263)))</f>
        <v/>
      </c>
      <c r="AC263" s="14">
        <f>IF($A263="","",IF(INDEX('潜水記録'!$AB$5:$AB$3004,$AS263)="","",INDEX('潜水記録'!$AB$5:$AB$3004,$AS263)))</f>
        <v/>
      </c>
      <c r="AD263" s="14">
        <f>IF($A263="","",IF(INDEX('潜水記録'!$AC$5:$AC$3004,$AS263)="","",INDEX('潜水記録'!$AC$5:$AC$3004,$AS263)))</f>
        <v/>
      </c>
      <c r="AE263" s="14">
        <f>IF($A263="","",IF(INDEX('潜水記録'!$AD$5:$AD$3004,$AS263)="","",INDEX('潜水記録'!$AD$5:$AD$3004,$AS263)))</f>
        <v/>
      </c>
      <c r="AF263" s="14">
        <f>IF($A263="","",IF(INDEX('潜水記録'!$AE$5:$AE$3004,$AS263)="","",INDEX('潜水記録'!$AE$5:$AE$3004,$AS263)))</f>
        <v/>
      </c>
      <c r="AG263" s="14">
        <f>IF($A263="","",IF(INDEX('潜水記録'!$AL$5:$AL$3004,$AS263)="","",INDEX('潜水記録'!$AL$5:$AL$3004,$AS263)))</f>
        <v/>
      </c>
      <c r="AH263" s="14">
        <f>IF($A263="","",IF(INDEX('潜水記録'!$AM$5:$AM$3004,$AS263)="","",INDEX('潜水記録'!$AM$5:$AM$3004,$AS263)))</f>
        <v/>
      </c>
      <c r="AI263" s="46">
        <f>IF($A263="","",IF(INDEX('潜水記録'!$AN$5:$AN$3004,$AS263)="","",INDEX('潜水記録'!$AN$5:$AN$3004,$AS263)))</f>
        <v/>
      </c>
      <c r="AJ263" s="14">
        <f>IF($A263="","",IF(INDEX('潜水記録'!$AO$5:$AO$3004,$AS263)="","",INDEX('潜水記録'!$AO$5:$AO$3004,$AS263)))</f>
        <v/>
      </c>
      <c r="AK263" s="14">
        <f>IF($A263="","",IF(INDEX('潜水記録'!$AP$5:$AP$3004,$AS263)="","",INDEX('潜水記録'!$AP$5:$AP$3004,$AS263)))</f>
        <v/>
      </c>
      <c r="AL263" s="14">
        <f>IF($A263="","",IF(INDEX('潜水記録'!$AQ$5:$AQ$3004,$AS263)="","",INDEX('潜水記録'!$AQ$5:$AQ$3004,$AS263)))</f>
        <v/>
      </c>
      <c r="AM263" s="14">
        <f>IF($A263="","",IF(INDEX('潜水記録'!$AR$5:$AR$3004,$AS263)="","",INDEX('潜水記録'!$AR$5:$AR$3004,$AS263)))</f>
        <v/>
      </c>
      <c r="AN263" s="14">
        <f>IF($A263="","",IF(INDEX('潜水記録'!$AS$5:$AS$3004,$AS263)="","",INDEX('潜水記録'!$AS$5:$AS$3004,$AS263)))</f>
        <v/>
      </c>
      <c r="AO263" s="14">
        <f>IF($A263="","",IF(INDEX('潜水記録'!$AT$5:$AT$3004,$AS263)="","",INDEX('潜水記録'!$AT$5:$AT$3004,$AS263)))</f>
        <v/>
      </c>
      <c r="AP263" s="14">
        <f>IF($A263="","",IF(INDEX('潜水記録'!$AU$5:$AU$3004,$AS263)="","",INDEX('潜水記録'!$AU$5:$AU$3004,$AS263)))</f>
        <v/>
      </c>
      <c r="AQ263" s="14">
        <f>IF($A263="","",IF(INDEX('潜水記録'!$AV$5:$AV$3004,$AS263)="","",INDEX('潜水記録'!$AV$5:$AV$3004,$AS263)))</f>
        <v/>
      </c>
      <c r="AR263" s="14">
        <f>IF($A263="","",IF(INDEX('潜水記録'!$AW$5:$AW$3004,$AS263)="","",INDEX('潜水記録'!$AW$5:$AW$3004,$AS263)))</f>
        <v/>
      </c>
      <c r="AS263" s="20">
        <f>IF($A263="","",MATCH($A263,'潜水記録'!$AI$5:$AI$3004,0))</f>
        <v/>
      </c>
    </row>
    <row r="264">
      <c r="A264" s="14">
        <f>IF(254&lt;=$C$8,254,"")</f>
        <v/>
      </c>
      <c r="B264" s="16">
        <f>IF($A264="","",IF(INDEX('潜水記録'!$A$5:$A$3004,$AS264)="","",INDEX('潜水記録'!$A$5:$A$3004,$AS264)))</f>
        <v/>
      </c>
      <c r="C264" s="14">
        <f>IF($A264="","",IF(INDEX('潜水記録'!$B$5:$B$3004,$AS264)="","",INDEX('潜水記録'!$B$5:$B$3004,$AS264)))</f>
        <v/>
      </c>
      <c r="D264" s="14">
        <f>IF($A264="","",IF(INDEX('潜水記録'!$C$5:$C$3004,$AS264)="","",INDEX('潜水記録'!$C$5:$C$3004,$AS264)))</f>
        <v/>
      </c>
      <c r="E264" s="14">
        <f>IF($A264="","",IF(INDEX('潜水記録'!$D$5:$D$3004,$AS264)="","",INDEX('潜水記録'!$D$5:$D$3004,$AS264)))</f>
        <v/>
      </c>
      <c r="F264" s="14">
        <f>IF($A264="","",IF(INDEX('潜水記録'!$E$5:$E$3004,$AS264)="","",INDEX('潜水記録'!$E$5:$E$3004,$AS264)))</f>
        <v/>
      </c>
      <c r="G264" s="14">
        <f>IF($A264="","",IF(INDEX('潜水記録'!$F$5:$F$3004,$AS264)="","",INDEX('潜水記録'!$F$5:$F$3004,$AS264)))</f>
        <v/>
      </c>
      <c r="H264" s="14">
        <f>IF($A264="","",IF(INDEX('潜水記録'!$G$5:$G$3004,$AS264)="","",INDEX('潜水記録'!$G$5:$G$3004,$AS264)))</f>
        <v/>
      </c>
      <c r="I264" s="14">
        <f>IF($A264="","",IF(INDEX('潜水記録'!$H$5:$H$3004,$AS264)="","",INDEX('潜水記録'!$H$5:$H$3004,$AS264)))</f>
        <v/>
      </c>
      <c r="J264" s="14">
        <f>IF($A264="","",IF(INDEX('潜水記録'!$I$5:$I$3004,$AS264)="","",INDEX('潜水記録'!$I$5:$I$3004,$AS264)))</f>
        <v/>
      </c>
      <c r="K264" s="14">
        <f>IF($A264="","",IF(INDEX('潜水記録'!$J$5:$J$3004,$AS264)="","",INDEX('潜水記録'!$J$5:$J$3004,$AS264)))</f>
        <v/>
      </c>
      <c r="L264" s="14">
        <f>IF($A264="","",IF(INDEX('潜水記録'!$K$5:$K$3004,$AS264)="","",INDEX('潜水記録'!$K$5:$K$3004,$AS264)))</f>
        <v/>
      </c>
      <c r="M264" s="14">
        <f>IF($A264="","",IF(INDEX('潜水記録'!$L$5:$L$3004,$AS264)="","",INDEX('潜水記録'!$L$5:$L$3004,$AS264)))</f>
        <v/>
      </c>
      <c r="N264" s="14">
        <f>IF($A264="","",IF(INDEX('潜水記録'!$M$5:$M$3004,$AS264)="","",INDEX('潜水記録'!$M$5:$M$3004,$AS264)))</f>
        <v/>
      </c>
      <c r="O264" s="14">
        <f>IF($A264="","",IF(INDEX('潜水記録'!$N$5:$N$3004,$AS264)="","",INDEX('潜水記録'!$N$5:$N$3004,$AS264)))</f>
        <v/>
      </c>
      <c r="P264" s="14">
        <f>IF($A264="","",IF(INDEX('潜水記録'!$O$5:$O$3004,$AS264)="","",INDEX('潜水記録'!$O$5:$O$3004,$AS264)))</f>
        <v/>
      </c>
      <c r="Q264" s="14">
        <f>IF($A264="","",IF(INDEX('潜水記録'!$P$5:$P$3004,$AS264)="","",INDEX('潜水記録'!$P$5:$P$3004,$AS264)))</f>
        <v/>
      </c>
      <c r="R264" s="14">
        <f>IF($A264="","",IF(INDEX('潜水記録'!$Q$5:$Q$3004,$AS264)="","",INDEX('潜水記録'!$Q$5:$Q$3004,$AS264)))</f>
        <v/>
      </c>
      <c r="S264" s="14">
        <f>IF($A264="","",IF(INDEX('潜水記録'!$R$5:$R$3004,$AS264)="","",INDEX('潜水記録'!$R$5:$R$3004,$AS264)))</f>
        <v/>
      </c>
      <c r="T264" s="14">
        <f>IF($A264="","",IF(INDEX('潜水記録'!$S$5:$S$3004,$AS264)="","",INDEX('潜水記録'!$S$5:$S$3004,$AS264)))</f>
        <v/>
      </c>
      <c r="U264" s="14">
        <f>IF($A264="","",IF(INDEX('潜水記録'!$T$5:$T$3004,$AS264)="","",INDEX('潜水記録'!$T$5:$T$3004,$AS264)))</f>
        <v/>
      </c>
      <c r="V264" s="46">
        <f>IF($A264="","",IF(INDEX('潜水記録'!$U$5:$U$3004,$AS264)="","",INDEX('潜水記録'!$U$5:$U$3004,$AS264)))</f>
        <v/>
      </c>
      <c r="W264" s="46">
        <f>IF($A264="","",IF(INDEX('潜水記録'!$V$5:$V$3004,$AS264)="","",INDEX('潜水記録'!$V$5:$V$3004,$AS264)))</f>
        <v/>
      </c>
      <c r="X264" s="14">
        <f>IF($A264="","",IF(INDEX('潜水記録'!$W$5:$W$3004,$AS264)="","",INDEX('潜水記録'!$W$5:$W$3004,$AS264)))</f>
        <v/>
      </c>
      <c r="Y264" s="14">
        <f>IF($A264="","",IF(INDEX('潜水記録'!$X$5:$X$3004,$AS264)="","",INDEX('潜水記録'!$X$5:$X$3004,$AS264)))</f>
        <v/>
      </c>
      <c r="Z264" s="14">
        <f>IF($A264="","",IF(INDEX('潜水記録'!$Y$5:$Y$3004,$AS264)="","",INDEX('潜水記録'!$Y$5:$Y$3004,$AS264)))</f>
        <v/>
      </c>
      <c r="AA264" s="14">
        <f>IF($A264="","",IF(INDEX('潜水記録'!$Z$5:$Z$3004,$AS264)="","",INDEX('潜水記録'!$Z$5:$Z$3004,$AS264)))</f>
        <v/>
      </c>
      <c r="AB264" s="14">
        <f>IF($A264="","",IF(INDEX('潜水記録'!$AA$5:$AA$3004,$AS264)="","",INDEX('潜水記録'!$AA$5:$AA$3004,$AS264)))</f>
        <v/>
      </c>
      <c r="AC264" s="14">
        <f>IF($A264="","",IF(INDEX('潜水記録'!$AB$5:$AB$3004,$AS264)="","",INDEX('潜水記録'!$AB$5:$AB$3004,$AS264)))</f>
        <v/>
      </c>
      <c r="AD264" s="14">
        <f>IF($A264="","",IF(INDEX('潜水記録'!$AC$5:$AC$3004,$AS264)="","",INDEX('潜水記録'!$AC$5:$AC$3004,$AS264)))</f>
        <v/>
      </c>
      <c r="AE264" s="14">
        <f>IF($A264="","",IF(INDEX('潜水記録'!$AD$5:$AD$3004,$AS264)="","",INDEX('潜水記録'!$AD$5:$AD$3004,$AS264)))</f>
        <v/>
      </c>
      <c r="AF264" s="14">
        <f>IF($A264="","",IF(INDEX('潜水記録'!$AE$5:$AE$3004,$AS264)="","",INDEX('潜水記録'!$AE$5:$AE$3004,$AS264)))</f>
        <v/>
      </c>
      <c r="AG264" s="14">
        <f>IF($A264="","",IF(INDEX('潜水記録'!$AL$5:$AL$3004,$AS264)="","",INDEX('潜水記録'!$AL$5:$AL$3004,$AS264)))</f>
        <v/>
      </c>
      <c r="AH264" s="14">
        <f>IF($A264="","",IF(INDEX('潜水記録'!$AM$5:$AM$3004,$AS264)="","",INDEX('潜水記録'!$AM$5:$AM$3004,$AS264)))</f>
        <v/>
      </c>
      <c r="AI264" s="46">
        <f>IF($A264="","",IF(INDEX('潜水記録'!$AN$5:$AN$3004,$AS264)="","",INDEX('潜水記録'!$AN$5:$AN$3004,$AS264)))</f>
        <v/>
      </c>
      <c r="AJ264" s="14">
        <f>IF($A264="","",IF(INDEX('潜水記録'!$AO$5:$AO$3004,$AS264)="","",INDEX('潜水記録'!$AO$5:$AO$3004,$AS264)))</f>
        <v/>
      </c>
      <c r="AK264" s="14">
        <f>IF($A264="","",IF(INDEX('潜水記録'!$AP$5:$AP$3004,$AS264)="","",INDEX('潜水記録'!$AP$5:$AP$3004,$AS264)))</f>
        <v/>
      </c>
      <c r="AL264" s="14">
        <f>IF($A264="","",IF(INDEX('潜水記録'!$AQ$5:$AQ$3004,$AS264)="","",INDEX('潜水記録'!$AQ$5:$AQ$3004,$AS264)))</f>
        <v/>
      </c>
      <c r="AM264" s="14">
        <f>IF($A264="","",IF(INDEX('潜水記録'!$AR$5:$AR$3004,$AS264)="","",INDEX('潜水記録'!$AR$5:$AR$3004,$AS264)))</f>
        <v/>
      </c>
      <c r="AN264" s="14">
        <f>IF($A264="","",IF(INDEX('潜水記録'!$AS$5:$AS$3004,$AS264)="","",INDEX('潜水記録'!$AS$5:$AS$3004,$AS264)))</f>
        <v/>
      </c>
      <c r="AO264" s="14">
        <f>IF($A264="","",IF(INDEX('潜水記録'!$AT$5:$AT$3004,$AS264)="","",INDEX('潜水記録'!$AT$5:$AT$3004,$AS264)))</f>
        <v/>
      </c>
      <c r="AP264" s="14">
        <f>IF($A264="","",IF(INDEX('潜水記録'!$AU$5:$AU$3004,$AS264)="","",INDEX('潜水記録'!$AU$5:$AU$3004,$AS264)))</f>
        <v/>
      </c>
      <c r="AQ264" s="14">
        <f>IF($A264="","",IF(INDEX('潜水記録'!$AV$5:$AV$3004,$AS264)="","",INDEX('潜水記録'!$AV$5:$AV$3004,$AS264)))</f>
        <v/>
      </c>
      <c r="AR264" s="14">
        <f>IF($A264="","",IF(INDEX('潜水記録'!$AW$5:$AW$3004,$AS264)="","",INDEX('潜水記録'!$AW$5:$AW$3004,$AS264)))</f>
        <v/>
      </c>
      <c r="AS264" s="20">
        <f>IF($A264="","",MATCH($A264,'潜水記録'!$AI$5:$AI$3004,0))</f>
        <v/>
      </c>
    </row>
    <row r="265">
      <c r="A265" s="14">
        <f>IF(255&lt;=$C$8,255,"")</f>
        <v/>
      </c>
      <c r="B265" s="16">
        <f>IF($A265="","",IF(INDEX('潜水記録'!$A$5:$A$3004,$AS265)="","",INDEX('潜水記録'!$A$5:$A$3004,$AS265)))</f>
        <v/>
      </c>
      <c r="C265" s="14">
        <f>IF($A265="","",IF(INDEX('潜水記録'!$B$5:$B$3004,$AS265)="","",INDEX('潜水記録'!$B$5:$B$3004,$AS265)))</f>
        <v/>
      </c>
      <c r="D265" s="14">
        <f>IF($A265="","",IF(INDEX('潜水記録'!$C$5:$C$3004,$AS265)="","",INDEX('潜水記録'!$C$5:$C$3004,$AS265)))</f>
        <v/>
      </c>
      <c r="E265" s="14">
        <f>IF($A265="","",IF(INDEX('潜水記録'!$D$5:$D$3004,$AS265)="","",INDEX('潜水記録'!$D$5:$D$3004,$AS265)))</f>
        <v/>
      </c>
      <c r="F265" s="14">
        <f>IF($A265="","",IF(INDEX('潜水記録'!$E$5:$E$3004,$AS265)="","",INDEX('潜水記録'!$E$5:$E$3004,$AS265)))</f>
        <v/>
      </c>
      <c r="G265" s="14">
        <f>IF($A265="","",IF(INDEX('潜水記録'!$F$5:$F$3004,$AS265)="","",INDEX('潜水記録'!$F$5:$F$3004,$AS265)))</f>
        <v/>
      </c>
      <c r="H265" s="14">
        <f>IF($A265="","",IF(INDEX('潜水記録'!$G$5:$G$3004,$AS265)="","",INDEX('潜水記録'!$G$5:$G$3004,$AS265)))</f>
        <v/>
      </c>
      <c r="I265" s="14">
        <f>IF($A265="","",IF(INDEX('潜水記録'!$H$5:$H$3004,$AS265)="","",INDEX('潜水記録'!$H$5:$H$3004,$AS265)))</f>
        <v/>
      </c>
      <c r="J265" s="14">
        <f>IF($A265="","",IF(INDEX('潜水記録'!$I$5:$I$3004,$AS265)="","",INDEX('潜水記録'!$I$5:$I$3004,$AS265)))</f>
        <v/>
      </c>
      <c r="K265" s="14">
        <f>IF($A265="","",IF(INDEX('潜水記録'!$J$5:$J$3004,$AS265)="","",INDEX('潜水記録'!$J$5:$J$3004,$AS265)))</f>
        <v/>
      </c>
      <c r="L265" s="14">
        <f>IF($A265="","",IF(INDEX('潜水記録'!$K$5:$K$3004,$AS265)="","",INDEX('潜水記録'!$K$5:$K$3004,$AS265)))</f>
        <v/>
      </c>
      <c r="M265" s="14">
        <f>IF($A265="","",IF(INDEX('潜水記録'!$L$5:$L$3004,$AS265)="","",INDEX('潜水記録'!$L$5:$L$3004,$AS265)))</f>
        <v/>
      </c>
      <c r="N265" s="14">
        <f>IF($A265="","",IF(INDEX('潜水記録'!$M$5:$M$3004,$AS265)="","",INDEX('潜水記録'!$M$5:$M$3004,$AS265)))</f>
        <v/>
      </c>
      <c r="O265" s="14">
        <f>IF($A265="","",IF(INDEX('潜水記録'!$N$5:$N$3004,$AS265)="","",INDEX('潜水記録'!$N$5:$N$3004,$AS265)))</f>
        <v/>
      </c>
      <c r="P265" s="14">
        <f>IF($A265="","",IF(INDEX('潜水記録'!$O$5:$O$3004,$AS265)="","",INDEX('潜水記録'!$O$5:$O$3004,$AS265)))</f>
        <v/>
      </c>
      <c r="Q265" s="14">
        <f>IF($A265="","",IF(INDEX('潜水記録'!$P$5:$P$3004,$AS265)="","",INDEX('潜水記録'!$P$5:$P$3004,$AS265)))</f>
        <v/>
      </c>
      <c r="R265" s="14">
        <f>IF($A265="","",IF(INDEX('潜水記録'!$Q$5:$Q$3004,$AS265)="","",INDEX('潜水記録'!$Q$5:$Q$3004,$AS265)))</f>
        <v/>
      </c>
      <c r="S265" s="14">
        <f>IF($A265="","",IF(INDEX('潜水記録'!$R$5:$R$3004,$AS265)="","",INDEX('潜水記録'!$R$5:$R$3004,$AS265)))</f>
        <v/>
      </c>
      <c r="T265" s="14">
        <f>IF($A265="","",IF(INDEX('潜水記録'!$S$5:$S$3004,$AS265)="","",INDEX('潜水記録'!$S$5:$S$3004,$AS265)))</f>
        <v/>
      </c>
      <c r="U265" s="14">
        <f>IF($A265="","",IF(INDEX('潜水記録'!$T$5:$T$3004,$AS265)="","",INDEX('潜水記録'!$T$5:$T$3004,$AS265)))</f>
        <v/>
      </c>
      <c r="V265" s="46">
        <f>IF($A265="","",IF(INDEX('潜水記録'!$U$5:$U$3004,$AS265)="","",INDEX('潜水記録'!$U$5:$U$3004,$AS265)))</f>
        <v/>
      </c>
      <c r="W265" s="46">
        <f>IF($A265="","",IF(INDEX('潜水記録'!$V$5:$V$3004,$AS265)="","",INDEX('潜水記録'!$V$5:$V$3004,$AS265)))</f>
        <v/>
      </c>
      <c r="X265" s="14">
        <f>IF($A265="","",IF(INDEX('潜水記録'!$W$5:$W$3004,$AS265)="","",INDEX('潜水記録'!$W$5:$W$3004,$AS265)))</f>
        <v/>
      </c>
      <c r="Y265" s="14">
        <f>IF($A265="","",IF(INDEX('潜水記録'!$X$5:$X$3004,$AS265)="","",INDEX('潜水記録'!$X$5:$X$3004,$AS265)))</f>
        <v/>
      </c>
      <c r="Z265" s="14">
        <f>IF($A265="","",IF(INDEX('潜水記録'!$Y$5:$Y$3004,$AS265)="","",INDEX('潜水記録'!$Y$5:$Y$3004,$AS265)))</f>
        <v/>
      </c>
      <c r="AA265" s="14">
        <f>IF($A265="","",IF(INDEX('潜水記録'!$Z$5:$Z$3004,$AS265)="","",INDEX('潜水記録'!$Z$5:$Z$3004,$AS265)))</f>
        <v/>
      </c>
      <c r="AB265" s="14">
        <f>IF($A265="","",IF(INDEX('潜水記録'!$AA$5:$AA$3004,$AS265)="","",INDEX('潜水記録'!$AA$5:$AA$3004,$AS265)))</f>
        <v/>
      </c>
      <c r="AC265" s="14">
        <f>IF($A265="","",IF(INDEX('潜水記録'!$AB$5:$AB$3004,$AS265)="","",INDEX('潜水記録'!$AB$5:$AB$3004,$AS265)))</f>
        <v/>
      </c>
      <c r="AD265" s="14">
        <f>IF($A265="","",IF(INDEX('潜水記録'!$AC$5:$AC$3004,$AS265)="","",INDEX('潜水記録'!$AC$5:$AC$3004,$AS265)))</f>
        <v/>
      </c>
      <c r="AE265" s="14">
        <f>IF($A265="","",IF(INDEX('潜水記録'!$AD$5:$AD$3004,$AS265)="","",INDEX('潜水記録'!$AD$5:$AD$3004,$AS265)))</f>
        <v/>
      </c>
      <c r="AF265" s="14">
        <f>IF($A265="","",IF(INDEX('潜水記録'!$AE$5:$AE$3004,$AS265)="","",INDEX('潜水記録'!$AE$5:$AE$3004,$AS265)))</f>
        <v/>
      </c>
      <c r="AG265" s="14">
        <f>IF($A265="","",IF(INDEX('潜水記録'!$AL$5:$AL$3004,$AS265)="","",INDEX('潜水記録'!$AL$5:$AL$3004,$AS265)))</f>
        <v/>
      </c>
      <c r="AH265" s="14">
        <f>IF($A265="","",IF(INDEX('潜水記録'!$AM$5:$AM$3004,$AS265)="","",INDEX('潜水記録'!$AM$5:$AM$3004,$AS265)))</f>
        <v/>
      </c>
      <c r="AI265" s="46">
        <f>IF($A265="","",IF(INDEX('潜水記録'!$AN$5:$AN$3004,$AS265)="","",INDEX('潜水記録'!$AN$5:$AN$3004,$AS265)))</f>
        <v/>
      </c>
      <c r="AJ265" s="14">
        <f>IF($A265="","",IF(INDEX('潜水記録'!$AO$5:$AO$3004,$AS265)="","",INDEX('潜水記録'!$AO$5:$AO$3004,$AS265)))</f>
        <v/>
      </c>
      <c r="AK265" s="14">
        <f>IF($A265="","",IF(INDEX('潜水記録'!$AP$5:$AP$3004,$AS265)="","",INDEX('潜水記録'!$AP$5:$AP$3004,$AS265)))</f>
        <v/>
      </c>
      <c r="AL265" s="14">
        <f>IF($A265="","",IF(INDEX('潜水記録'!$AQ$5:$AQ$3004,$AS265)="","",INDEX('潜水記録'!$AQ$5:$AQ$3004,$AS265)))</f>
        <v/>
      </c>
      <c r="AM265" s="14">
        <f>IF($A265="","",IF(INDEX('潜水記録'!$AR$5:$AR$3004,$AS265)="","",INDEX('潜水記録'!$AR$5:$AR$3004,$AS265)))</f>
        <v/>
      </c>
      <c r="AN265" s="14">
        <f>IF($A265="","",IF(INDEX('潜水記録'!$AS$5:$AS$3004,$AS265)="","",INDEX('潜水記録'!$AS$5:$AS$3004,$AS265)))</f>
        <v/>
      </c>
      <c r="AO265" s="14">
        <f>IF($A265="","",IF(INDEX('潜水記録'!$AT$5:$AT$3004,$AS265)="","",INDEX('潜水記録'!$AT$5:$AT$3004,$AS265)))</f>
        <v/>
      </c>
      <c r="AP265" s="14">
        <f>IF($A265="","",IF(INDEX('潜水記録'!$AU$5:$AU$3004,$AS265)="","",INDEX('潜水記録'!$AU$5:$AU$3004,$AS265)))</f>
        <v/>
      </c>
      <c r="AQ265" s="14">
        <f>IF($A265="","",IF(INDEX('潜水記録'!$AV$5:$AV$3004,$AS265)="","",INDEX('潜水記録'!$AV$5:$AV$3004,$AS265)))</f>
        <v/>
      </c>
      <c r="AR265" s="14">
        <f>IF($A265="","",IF(INDEX('潜水記録'!$AW$5:$AW$3004,$AS265)="","",INDEX('潜水記録'!$AW$5:$AW$3004,$AS265)))</f>
        <v/>
      </c>
      <c r="AS265" s="20">
        <f>IF($A265="","",MATCH($A265,'潜水記録'!$AI$5:$AI$3004,0))</f>
        <v/>
      </c>
    </row>
    <row r="266">
      <c r="A266" s="14">
        <f>IF(256&lt;=$C$8,256,"")</f>
        <v/>
      </c>
      <c r="B266" s="16">
        <f>IF($A266="","",IF(INDEX('潜水記録'!$A$5:$A$3004,$AS266)="","",INDEX('潜水記録'!$A$5:$A$3004,$AS266)))</f>
        <v/>
      </c>
      <c r="C266" s="14">
        <f>IF($A266="","",IF(INDEX('潜水記録'!$B$5:$B$3004,$AS266)="","",INDEX('潜水記録'!$B$5:$B$3004,$AS266)))</f>
        <v/>
      </c>
      <c r="D266" s="14">
        <f>IF($A266="","",IF(INDEX('潜水記録'!$C$5:$C$3004,$AS266)="","",INDEX('潜水記録'!$C$5:$C$3004,$AS266)))</f>
        <v/>
      </c>
      <c r="E266" s="14">
        <f>IF($A266="","",IF(INDEX('潜水記録'!$D$5:$D$3004,$AS266)="","",INDEX('潜水記録'!$D$5:$D$3004,$AS266)))</f>
        <v/>
      </c>
      <c r="F266" s="14">
        <f>IF($A266="","",IF(INDEX('潜水記録'!$E$5:$E$3004,$AS266)="","",INDEX('潜水記録'!$E$5:$E$3004,$AS266)))</f>
        <v/>
      </c>
      <c r="G266" s="14">
        <f>IF($A266="","",IF(INDEX('潜水記録'!$F$5:$F$3004,$AS266)="","",INDEX('潜水記録'!$F$5:$F$3004,$AS266)))</f>
        <v/>
      </c>
      <c r="H266" s="14">
        <f>IF($A266="","",IF(INDEX('潜水記録'!$G$5:$G$3004,$AS266)="","",INDEX('潜水記録'!$G$5:$G$3004,$AS266)))</f>
        <v/>
      </c>
      <c r="I266" s="14">
        <f>IF($A266="","",IF(INDEX('潜水記録'!$H$5:$H$3004,$AS266)="","",INDEX('潜水記録'!$H$5:$H$3004,$AS266)))</f>
        <v/>
      </c>
      <c r="J266" s="14">
        <f>IF($A266="","",IF(INDEX('潜水記録'!$I$5:$I$3004,$AS266)="","",INDEX('潜水記録'!$I$5:$I$3004,$AS266)))</f>
        <v/>
      </c>
      <c r="K266" s="14">
        <f>IF($A266="","",IF(INDEX('潜水記録'!$J$5:$J$3004,$AS266)="","",INDEX('潜水記録'!$J$5:$J$3004,$AS266)))</f>
        <v/>
      </c>
      <c r="L266" s="14">
        <f>IF($A266="","",IF(INDEX('潜水記録'!$K$5:$K$3004,$AS266)="","",INDEX('潜水記録'!$K$5:$K$3004,$AS266)))</f>
        <v/>
      </c>
      <c r="M266" s="14">
        <f>IF($A266="","",IF(INDEX('潜水記録'!$L$5:$L$3004,$AS266)="","",INDEX('潜水記録'!$L$5:$L$3004,$AS266)))</f>
        <v/>
      </c>
      <c r="N266" s="14">
        <f>IF($A266="","",IF(INDEX('潜水記録'!$M$5:$M$3004,$AS266)="","",INDEX('潜水記録'!$M$5:$M$3004,$AS266)))</f>
        <v/>
      </c>
      <c r="O266" s="14">
        <f>IF($A266="","",IF(INDEX('潜水記録'!$N$5:$N$3004,$AS266)="","",INDEX('潜水記録'!$N$5:$N$3004,$AS266)))</f>
        <v/>
      </c>
      <c r="P266" s="14">
        <f>IF($A266="","",IF(INDEX('潜水記録'!$O$5:$O$3004,$AS266)="","",INDEX('潜水記録'!$O$5:$O$3004,$AS266)))</f>
        <v/>
      </c>
      <c r="Q266" s="14">
        <f>IF($A266="","",IF(INDEX('潜水記録'!$P$5:$P$3004,$AS266)="","",INDEX('潜水記録'!$P$5:$P$3004,$AS266)))</f>
        <v/>
      </c>
      <c r="R266" s="14">
        <f>IF($A266="","",IF(INDEX('潜水記録'!$Q$5:$Q$3004,$AS266)="","",INDEX('潜水記録'!$Q$5:$Q$3004,$AS266)))</f>
        <v/>
      </c>
      <c r="S266" s="14">
        <f>IF($A266="","",IF(INDEX('潜水記録'!$R$5:$R$3004,$AS266)="","",INDEX('潜水記録'!$R$5:$R$3004,$AS266)))</f>
        <v/>
      </c>
      <c r="T266" s="14">
        <f>IF($A266="","",IF(INDEX('潜水記録'!$S$5:$S$3004,$AS266)="","",INDEX('潜水記録'!$S$5:$S$3004,$AS266)))</f>
        <v/>
      </c>
      <c r="U266" s="14">
        <f>IF($A266="","",IF(INDEX('潜水記録'!$T$5:$T$3004,$AS266)="","",INDEX('潜水記録'!$T$5:$T$3004,$AS266)))</f>
        <v/>
      </c>
      <c r="V266" s="46">
        <f>IF($A266="","",IF(INDEX('潜水記録'!$U$5:$U$3004,$AS266)="","",INDEX('潜水記録'!$U$5:$U$3004,$AS266)))</f>
        <v/>
      </c>
      <c r="W266" s="46">
        <f>IF($A266="","",IF(INDEX('潜水記録'!$V$5:$V$3004,$AS266)="","",INDEX('潜水記録'!$V$5:$V$3004,$AS266)))</f>
        <v/>
      </c>
      <c r="X266" s="14">
        <f>IF($A266="","",IF(INDEX('潜水記録'!$W$5:$W$3004,$AS266)="","",INDEX('潜水記録'!$W$5:$W$3004,$AS266)))</f>
        <v/>
      </c>
      <c r="Y266" s="14">
        <f>IF($A266="","",IF(INDEX('潜水記録'!$X$5:$X$3004,$AS266)="","",INDEX('潜水記録'!$X$5:$X$3004,$AS266)))</f>
        <v/>
      </c>
      <c r="Z266" s="14">
        <f>IF($A266="","",IF(INDEX('潜水記録'!$Y$5:$Y$3004,$AS266)="","",INDEX('潜水記録'!$Y$5:$Y$3004,$AS266)))</f>
        <v/>
      </c>
      <c r="AA266" s="14">
        <f>IF($A266="","",IF(INDEX('潜水記録'!$Z$5:$Z$3004,$AS266)="","",INDEX('潜水記録'!$Z$5:$Z$3004,$AS266)))</f>
        <v/>
      </c>
      <c r="AB266" s="14">
        <f>IF($A266="","",IF(INDEX('潜水記録'!$AA$5:$AA$3004,$AS266)="","",INDEX('潜水記録'!$AA$5:$AA$3004,$AS266)))</f>
        <v/>
      </c>
      <c r="AC266" s="14">
        <f>IF($A266="","",IF(INDEX('潜水記録'!$AB$5:$AB$3004,$AS266)="","",INDEX('潜水記録'!$AB$5:$AB$3004,$AS266)))</f>
        <v/>
      </c>
      <c r="AD266" s="14">
        <f>IF($A266="","",IF(INDEX('潜水記録'!$AC$5:$AC$3004,$AS266)="","",INDEX('潜水記録'!$AC$5:$AC$3004,$AS266)))</f>
        <v/>
      </c>
      <c r="AE266" s="14">
        <f>IF($A266="","",IF(INDEX('潜水記録'!$AD$5:$AD$3004,$AS266)="","",INDEX('潜水記録'!$AD$5:$AD$3004,$AS266)))</f>
        <v/>
      </c>
      <c r="AF266" s="14">
        <f>IF($A266="","",IF(INDEX('潜水記録'!$AE$5:$AE$3004,$AS266)="","",INDEX('潜水記録'!$AE$5:$AE$3004,$AS266)))</f>
        <v/>
      </c>
      <c r="AG266" s="14">
        <f>IF($A266="","",IF(INDEX('潜水記録'!$AL$5:$AL$3004,$AS266)="","",INDEX('潜水記録'!$AL$5:$AL$3004,$AS266)))</f>
        <v/>
      </c>
      <c r="AH266" s="14">
        <f>IF($A266="","",IF(INDEX('潜水記録'!$AM$5:$AM$3004,$AS266)="","",INDEX('潜水記録'!$AM$5:$AM$3004,$AS266)))</f>
        <v/>
      </c>
      <c r="AI266" s="46">
        <f>IF($A266="","",IF(INDEX('潜水記録'!$AN$5:$AN$3004,$AS266)="","",INDEX('潜水記録'!$AN$5:$AN$3004,$AS266)))</f>
        <v/>
      </c>
      <c r="AJ266" s="14">
        <f>IF($A266="","",IF(INDEX('潜水記録'!$AO$5:$AO$3004,$AS266)="","",INDEX('潜水記録'!$AO$5:$AO$3004,$AS266)))</f>
        <v/>
      </c>
      <c r="AK266" s="14">
        <f>IF($A266="","",IF(INDEX('潜水記録'!$AP$5:$AP$3004,$AS266)="","",INDEX('潜水記録'!$AP$5:$AP$3004,$AS266)))</f>
        <v/>
      </c>
      <c r="AL266" s="14">
        <f>IF($A266="","",IF(INDEX('潜水記録'!$AQ$5:$AQ$3004,$AS266)="","",INDEX('潜水記録'!$AQ$5:$AQ$3004,$AS266)))</f>
        <v/>
      </c>
      <c r="AM266" s="14">
        <f>IF($A266="","",IF(INDEX('潜水記録'!$AR$5:$AR$3004,$AS266)="","",INDEX('潜水記録'!$AR$5:$AR$3004,$AS266)))</f>
        <v/>
      </c>
      <c r="AN266" s="14">
        <f>IF($A266="","",IF(INDEX('潜水記録'!$AS$5:$AS$3004,$AS266)="","",INDEX('潜水記録'!$AS$5:$AS$3004,$AS266)))</f>
        <v/>
      </c>
      <c r="AO266" s="14">
        <f>IF($A266="","",IF(INDEX('潜水記録'!$AT$5:$AT$3004,$AS266)="","",INDEX('潜水記録'!$AT$5:$AT$3004,$AS266)))</f>
        <v/>
      </c>
      <c r="AP266" s="14">
        <f>IF($A266="","",IF(INDEX('潜水記録'!$AU$5:$AU$3004,$AS266)="","",INDEX('潜水記録'!$AU$5:$AU$3004,$AS266)))</f>
        <v/>
      </c>
      <c r="AQ266" s="14">
        <f>IF($A266="","",IF(INDEX('潜水記録'!$AV$5:$AV$3004,$AS266)="","",INDEX('潜水記録'!$AV$5:$AV$3004,$AS266)))</f>
        <v/>
      </c>
      <c r="AR266" s="14">
        <f>IF($A266="","",IF(INDEX('潜水記録'!$AW$5:$AW$3004,$AS266)="","",INDEX('潜水記録'!$AW$5:$AW$3004,$AS266)))</f>
        <v/>
      </c>
      <c r="AS266" s="20">
        <f>IF($A266="","",MATCH($A266,'潜水記録'!$AI$5:$AI$3004,0))</f>
        <v/>
      </c>
    </row>
    <row r="267">
      <c r="A267" s="14">
        <f>IF(257&lt;=$C$8,257,"")</f>
        <v/>
      </c>
      <c r="B267" s="16">
        <f>IF($A267="","",IF(INDEX('潜水記録'!$A$5:$A$3004,$AS267)="","",INDEX('潜水記録'!$A$5:$A$3004,$AS267)))</f>
        <v/>
      </c>
      <c r="C267" s="14">
        <f>IF($A267="","",IF(INDEX('潜水記録'!$B$5:$B$3004,$AS267)="","",INDEX('潜水記録'!$B$5:$B$3004,$AS267)))</f>
        <v/>
      </c>
      <c r="D267" s="14">
        <f>IF($A267="","",IF(INDEX('潜水記録'!$C$5:$C$3004,$AS267)="","",INDEX('潜水記録'!$C$5:$C$3004,$AS267)))</f>
        <v/>
      </c>
      <c r="E267" s="14">
        <f>IF($A267="","",IF(INDEX('潜水記録'!$D$5:$D$3004,$AS267)="","",INDEX('潜水記録'!$D$5:$D$3004,$AS267)))</f>
        <v/>
      </c>
      <c r="F267" s="14">
        <f>IF($A267="","",IF(INDEX('潜水記録'!$E$5:$E$3004,$AS267)="","",INDEX('潜水記録'!$E$5:$E$3004,$AS267)))</f>
        <v/>
      </c>
      <c r="G267" s="14">
        <f>IF($A267="","",IF(INDEX('潜水記録'!$F$5:$F$3004,$AS267)="","",INDEX('潜水記録'!$F$5:$F$3004,$AS267)))</f>
        <v/>
      </c>
      <c r="H267" s="14">
        <f>IF($A267="","",IF(INDEX('潜水記録'!$G$5:$G$3004,$AS267)="","",INDEX('潜水記録'!$G$5:$G$3004,$AS267)))</f>
        <v/>
      </c>
      <c r="I267" s="14">
        <f>IF($A267="","",IF(INDEX('潜水記録'!$H$5:$H$3004,$AS267)="","",INDEX('潜水記録'!$H$5:$H$3004,$AS267)))</f>
        <v/>
      </c>
      <c r="J267" s="14">
        <f>IF($A267="","",IF(INDEX('潜水記録'!$I$5:$I$3004,$AS267)="","",INDEX('潜水記録'!$I$5:$I$3004,$AS267)))</f>
        <v/>
      </c>
      <c r="K267" s="14">
        <f>IF($A267="","",IF(INDEX('潜水記録'!$J$5:$J$3004,$AS267)="","",INDEX('潜水記録'!$J$5:$J$3004,$AS267)))</f>
        <v/>
      </c>
      <c r="L267" s="14">
        <f>IF($A267="","",IF(INDEX('潜水記録'!$K$5:$K$3004,$AS267)="","",INDEX('潜水記録'!$K$5:$K$3004,$AS267)))</f>
        <v/>
      </c>
      <c r="M267" s="14">
        <f>IF($A267="","",IF(INDEX('潜水記録'!$L$5:$L$3004,$AS267)="","",INDEX('潜水記録'!$L$5:$L$3004,$AS267)))</f>
        <v/>
      </c>
      <c r="N267" s="14">
        <f>IF($A267="","",IF(INDEX('潜水記録'!$M$5:$M$3004,$AS267)="","",INDEX('潜水記録'!$M$5:$M$3004,$AS267)))</f>
        <v/>
      </c>
      <c r="O267" s="14">
        <f>IF($A267="","",IF(INDEX('潜水記録'!$N$5:$N$3004,$AS267)="","",INDEX('潜水記録'!$N$5:$N$3004,$AS267)))</f>
        <v/>
      </c>
      <c r="P267" s="14">
        <f>IF($A267="","",IF(INDEX('潜水記録'!$O$5:$O$3004,$AS267)="","",INDEX('潜水記録'!$O$5:$O$3004,$AS267)))</f>
        <v/>
      </c>
      <c r="Q267" s="14">
        <f>IF($A267="","",IF(INDEX('潜水記録'!$P$5:$P$3004,$AS267)="","",INDEX('潜水記録'!$P$5:$P$3004,$AS267)))</f>
        <v/>
      </c>
      <c r="R267" s="14">
        <f>IF($A267="","",IF(INDEX('潜水記録'!$Q$5:$Q$3004,$AS267)="","",INDEX('潜水記録'!$Q$5:$Q$3004,$AS267)))</f>
        <v/>
      </c>
      <c r="S267" s="14">
        <f>IF($A267="","",IF(INDEX('潜水記録'!$R$5:$R$3004,$AS267)="","",INDEX('潜水記録'!$R$5:$R$3004,$AS267)))</f>
        <v/>
      </c>
      <c r="T267" s="14">
        <f>IF($A267="","",IF(INDEX('潜水記録'!$S$5:$S$3004,$AS267)="","",INDEX('潜水記録'!$S$5:$S$3004,$AS267)))</f>
        <v/>
      </c>
      <c r="U267" s="14">
        <f>IF($A267="","",IF(INDEX('潜水記録'!$T$5:$T$3004,$AS267)="","",INDEX('潜水記録'!$T$5:$T$3004,$AS267)))</f>
        <v/>
      </c>
      <c r="V267" s="46">
        <f>IF($A267="","",IF(INDEX('潜水記録'!$U$5:$U$3004,$AS267)="","",INDEX('潜水記録'!$U$5:$U$3004,$AS267)))</f>
        <v/>
      </c>
      <c r="W267" s="46">
        <f>IF($A267="","",IF(INDEX('潜水記録'!$V$5:$V$3004,$AS267)="","",INDEX('潜水記録'!$V$5:$V$3004,$AS267)))</f>
        <v/>
      </c>
      <c r="X267" s="14">
        <f>IF($A267="","",IF(INDEX('潜水記録'!$W$5:$W$3004,$AS267)="","",INDEX('潜水記録'!$W$5:$W$3004,$AS267)))</f>
        <v/>
      </c>
      <c r="Y267" s="14">
        <f>IF($A267="","",IF(INDEX('潜水記録'!$X$5:$X$3004,$AS267)="","",INDEX('潜水記録'!$X$5:$X$3004,$AS267)))</f>
        <v/>
      </c>
      <c r="Z267" s="14">
        <f>IF($A267="","",IF(INDEX('潜水記録'!$Y$5:$Y$3004,$AS267)="","",INDEX('潜水記録'!$Y$5:$Y$3004,$AS267)))</f>
        <v/>
      </c>
      <c r="AA267" s="14">
        <f>IF($A267="","",IF(INDEX('潜水記録'!$Z$5:$Z$3004,$AS267)="","",INDEX('潜水記録'!$Z$5:$Z$3004,$AS267)))</f>
        <v/>
      </c>
      <c r="AB267" s="14">
        <f>IF($A267="","",IF(INDEX('潜水記録'!$AA$5:$AA$3004,$AS267)="","",INDEX('潜水記録'!$AA$5:$AA$3004,$AS267)))</f>
        <v/>
      </c>
      <c r="AC267" s="14">
        <f>IF($A267="","",IF(INDEX('潜水記録'!$AB$5:$AB$3004,$AS267)="","",INDEX('潜水記録'!$AB$5:$AB$3004,$AS267)))</f>
        <v/>
      </c>
      <c r="AD267" s="14">
        <f>IF($A267="","",IF(INDEX('潜水記録'!$AC$5:$AC$3004,$AS267)="","",INDEX('潜水記録'!$AC$5:$AC$3004,$AS267)))</f>
        <v/>
      </c>
      <c r="AE267" s="14">
        <f>IF($A267="","",IF(INDEX('潜水記録'!$AD$5:$AD$3004,$AS267)="","",INDEX('潜水記録'!$AD$5:$AD$3004,$AS267)))</f>
        <v/>
      </c>
      <c r="AF267" s="14">
        <f>IF($A267="","",IF(INDEX('潜水記録'!$AE$5:$AE$3004,$AS267)="","",INDEX('潜水記録'!$AE$5:$AE$3004,$AS267)))</f>
        <v/>
      </c>
      <c r="AG267" s="14">
        <f>IF($A267="","",IF(INDEX('潜水記録'!$AL$5:$AL$3004,$AS267)="","",INDEX('潜水記録'!$AL$5:$AL$3004,$AS267)))</f>
        <v/>
      </c>
      <c r="AH267" s="14">
        <f>IF($A267="","",IF(INDEX('潜水記録'!$AM$5:$AM$3004,$AS267)="","",INDEX('潜水記録'!$AM$5:$AM$3004,$AS267)))</f>
        <v/>
      </c>
      <c r="AI267" s="46">
        <f>IF($A267="","",IF(INDEX('潜水記録'!$AN$5:$AN$3004,$AS267)="","",INDEX('潜水記録'!$AN$5:$AN$3004,$AS267)))</f>
        <v/>
      </c>
      <c r="AJ267" s="14">
        <f>IF($A267="","",IF(INDEX('潜水記録'!$AO$5:$AO$3004,$AS267)="","",INDEX('潜水記録'!$AO$5:$AO$3004,$AS267)))</f>
        <v/>
      </c>
      <c r="AK267" s="14">
        <f>IF($A267="","",IF(INDEX('潜水記録'!$AP$5:$AP$3004,$AS267)="","",INDEX('潜水記録'!$AP$5:$AP$3004,$AS267)))</f>
        <v/>
      </c>
      <c r="AL267" s="14">
        <f>IF($A267="","",IF(INDEX('潜水記録'!$AQ$5:$AQ$3004,$AS267)="","",INDEX('潜水記録'!$AQ$5:$AQ$3004,$AS267)))</f>
        <v/>
      </c>
      <c r="AM267" s="14">
        <f>IF($A267="","",IF(INDEX('潜水記録'!$AR$5:$AR$3004,$AS267)="","",INDEX('潜水記録'!$AR$5:$AR$3004,$AS267)))</f>
        <v/>
      </c>
      <c r="AN267" s="14">
        <f>IF($A267="","",IF(INDEX('潜水記録'!$AS$5:$AS$3004,$AS267)="","",INDEX('潜水記録'!$AS$5:$AS$3004,$AS267)))</f>
        <v/>
      </c>
      <c r="AO267" s="14">
        <f>IF($A267="","",IF(INDEX('潜水記録'!$AT$5:$AT$3004,$AS267)="","",INDEX('潜水記録'!$AT$5:$AT$3004,$AS267)))</f>
        <v/>
      </c>
      <c r="AP267" s="14">
        <f>IF($A267="","",IF(INDEX('潜水記録'!$AU$5:$AU$3004,$AS267)="","",INDEX('潜水記録'!$AU$5:$AU$3004,$AS267)))</f>
        <v/>
      </c>
      <c r="AQ267" s="14">
        <f>IF($A267="","",IF(INDEX('潜水記録'!$AV$5:$AV$3004,$AS267)="","",INDEX('潜水記録'!$AV$5:$AV$3004,$AS267)))</f>
        <v/>
      </c>
      <c r="AR267" s="14">
        <f>IF($A267="","",IF(INDEX('潜水記録'!$AW$5:$AW$3004,$AS267)="","",INDEX('潜水記録'!$AW$5:$AW$3004,$AS267)))</f>
        <v/>
      </c>
      <c r="AS267" s="20">
        <f>IF($A267="","",MATCH($A267,'潜水記録'!$AI$5:$AI$3004,0))</f>
        <v/>
      </c>
    </row>
    <row r="268">
      <c r="A268" s="14">
        <f>IF(258&lt;=$C$8,258,"")</f>
        <v/>
      </c>
      <c r="B268" s="16">
        <f>IF($A268="","",IF(INDEX('潜水記録'!$A$5:$A$3004,$AS268)="","",INDEX('潜水記録'!$A$5:$A$3004,$AS268)))</f>
        <v/>
      </c>
      <c r="C268" s="14">
        <f>IF($A268="","",IF(INDEX('潜水記録'!$B$5:$B$3004,$AS268)="","",INDEX('潜水記録'!$B$5:$B$3004,$AS268)))</f>
        <v/>
      </c>
      <c r="D268" s="14">
        <f>IF($A268="","",IF(INDEX('潜水記録'!$C$5:$C$3004,$AS268)="","",INDEX('潜水記録'!$C$5:$C$3004,$AS268)))</f>
        <v/>
      </c>
      <c r="E268" s="14">
        <f>IF($A268="","",IF(INDEX('潜水記録'!$D$5:$D$3004,$AS268)="","",INDEX('潜水記録'!$D$5:$D$3004,$AS268)))</f>
        <v/>
      </c>
      <c r="F268" s="14">
        <f>IF($A268="","",IF(INDEX('潜水記録'!$E$5:$E$3004,$AS268)="","",INDEX('潜水記録'!$E$5:$E$3004,$AS268)))</f>
        <v/>
      </c>
      <c r="G268" s="14">
        <f>IF($A268="","",IF(INDEX('潜水記録'!$F$5:$F$3004,$AS268)="","",INDEX('潜水記録'!$F$5:$F$3004,$AS268)))</f>
        <v/>
      </c>
      <c r="H268" s="14">
        <f>IF($A268="","",IF(INDEX('潜水記録'!$G$5:$G$3004,$AS268)="","",INDEX('潜水記録'!$G$5:$G$3004,$AS268)))</f>
        <v/>
      </c>
      <c r="I268" s="14">
        <f>IF($A268="","",IF(INDEX('潜水記録'!$H$5:$H$3004,$AS268)="","",INDEX('潜水記録'!$H$5:$H$3004,$AS268)))</f>
        <v/>
      </c>
      <c r="J268" s="14">
        <f>IF($A268="","",IF(INDEX('潜水記録'!$I$5:$I$3004,$AS268)="","",INDEX('潜水記録'!$I$5:$I$3004,$AS268)))</f>
        <v/>
      </c>
      <c r="K268" s="14">
        <f>IF($A268="","",IF(INDEX('潜水記録'!$J$5:$J$3004,$AS268)="","",INDEX('潜水記録'!$J$5:$J$3004,$AS268)))</f>
        <v/>
      </c>
      <c r="L268" s="14">
        <f>IF($A268="","",IF(INDEX('潜水記録'!$K$5:$K$3004,$AS268)="","",INDEX('潜水記録'!$K$5:$K$3004,$AS268)))</f>
        <v/>
      </c>
      <c r="M268" s="14">
        <f>IF($A268="","",IF(INDEX('潜水記録'!$L$5:$L$3004,$AS268)="","",INDEX('潜水記録'!$L$5:$L$3004,$AS268)))</f>
        <v/>
      </c>
      <c r="N268" s="14">
        <f>IF($A268="","",IF(INDEX('潜水記録'!$M$5:$M$3004,$AS268)="","",INDEX('潜水記録'!$M$5:$M$3004,$AS268)))</f>
        <v/>
      </c>
      <c r="O268" s="14">
        <f>IF($A268="","",IF(INDEX('潜水記録'!$N$5:$N$3004,$AS268)="","",INDEX('潜水記録'!$N$5:$N$3004,$AS268)))</f>
        <v/>
      </c>
      <c r="P268" s="14">
        <f>IF($A268="","",IF(INDEX('潜水記録'!$O$5:$O$3004,$AS268)="","",INDEX('潜水記録'!$O$5:$O$3004,$AS268)))</f>
        <v/>
      </c>
      <c r="Q268" s="14">
        <f>IF($A268="","",IF(INDEX('潜水記録'!$P$5:$P$3004,$AS268)="","",INDEX('潜水記録'!$P$5:$P$3004,$AS268)))</f>
        <v/>
      </c>
      <c r="R268" s="14">
        <f>IF($A268="","",IF(INDEX('潜水記録'!$Q$5:$Q$3004,$AS268)="","",INDEX('潜水記録'!$Q$5:$Q$3004,$AS268)))</f>
        <v/>
      </c>
      <c r="S268" s="14">
        <f>IF($A268="","",IF(INDEX('潜水記録'!$R$5:$R$3004,$AS268)="","",INDEX('潜水記録'!$R$5:$R$3004,$AS268)))</f>
        <v/>
      </c>
      <c r="T268" s="14">
        <f>IF($A268="","",IF(INDEX('潜水記録'!$S$5:$S$3004,$AS268)="","",INDEX('潜水記録'!$S$5:$S$3004,$AS268)))</f>
        <v/>
      </c>
      <c r="U268" s="14">
        <f>IF($A268="","",IF(INDEX('潜水記録'!$T$5:$T$3004,$AS268)="","",INDEX('潜水記録'!$T$5:$T$3004,$AS268)))</f>
        <v/>
      </c>
      <c r="V268" s="46">
        <f>IF($A268="","",IF(INDEX('潜水記録'!$U$5:$U$3004,$AS268)="","",INDEX('潜水記録'!$U$5:$U$3004,$AS268)))</f>
        <v/>
      </c>
      <c r="W268" s="46">
        <f>IF($A268="","",IF(INDEX('潜水記録'!$V$5:$V$3004,$AS268)="","",INDEX('潜水記録'!$V$5:$V$3004,$AS268)))</f>
        <v/>
      </c>
      <c r="X268" s="14">
        <f>IF($A268="","",IF(INDEX('潜水記録'!$W$5:$W$3004,$AS268)="","",INDEX('潜水記録'!$W$5:$W$3004,$AS268)))</f>
        <v/>
      </c>
      <c r="Y268" s="14">
        <f>IF($A268="","",IF(INDEX('潜水記録'!$X$5:$X$3004,$AS268)="","",INDEX('潜水記録'!$X$5:$X$3004,$AS268)))</f>
        <v/>
      </c>
      <c r="Z268" s="14">
        <f>IF($A268="","",IF(INDEX('潜水記録'!$Y$5:$Y$3004,$AS268)="","",INDEX('潜水記録'!$Y$5:$Y$3004,$AS268)))</f>
        <v/>
      </c>
      <c r="AA268" s="14">
        <f>IF($A268="","",IF(INDEX('潜水記録'!$Z$5:$Z$3004,$AS268)="","",INDEX('潜水記録'!$Z$5:$Z$3004,$AS268)))</f>
        <v/>
      </c>
      <c r="AB268" s="14">
        <f>IF($A268="","",IF(INDEX('潜水記録'!$AA$5:$AA$3004,$AS268)="","",INDEX('潜水記録'!$AA$5:$AA$3004,$AS268)))</f>
        <v/>
      </c>
      <c r="AC268" s="14">
        <f>IF($A268="","",IF(INDEX('潜水記録'!$AB$5:$AB$3004,$AS268)="","",INDEX('潜水記録'!$AB$5:$AB$3004,$AS268)))</f>
        <v/>
      </c>
      <c r="AD268" s="14">
        <f>IF($A268="","",IF(INDEX('潜水記録'!$AC$5:$AC$3004,$AS268)="","",INDEX('潜水記録'!$AC$5:$AC$3004,$AS268)))</f>
        <v/>
      </c>
      <c r="AE268" s="14">
        <f>IF($A268="","",IF(INDEX('潜水記録'!$AD$5:$AD$3004,$AS268)="","",INDEX('潜水記録'!$AD$5:$AD$3004,$AS268)))</f>
        <v/>
      </c>
      <c r="AF268" s="14">
        <f>IF($A268="","",IF(INDEX('潜水記録'!$AE$5:$AE$3004,$AS268)="","",INDEX('潜水記録'!$AE$5:$AE$3004,$AS268)))</f>
        <v/>
      </c>
      <c r="AG268" s="14">
        <f>IF($A268="","",IF(INDEX('潜水記録'!$AL$5:$AL$3004,$AS268)="","",INDEX('潜水記録'!$AL$5:$AL$3004,$AS268)))</f>
        <v/>
      </c>
      <c r="AH268" s="14">
        <f>IF($A268="","",IF(INDEX('潜水記録'!$AM$5:$AM$3004,$AS268)="","",INDEX('潜水記録'!$AM$5:$AM$3004,$AS268)))</f>
        <v/>
      </c>
      <c r="AI268" s="46">
        <f>IF($A268="","",IF(INDEX('潜水記録'!$AN$5:$AN$3004,$AS268)="","",INDEX('潜水記録'!$AN$5:$AN$3004,$AS268)))</f>
        <v/>
      </c>
      <c r="AJ268" s="14">
        <f>IF($A268="","",IF(INDEX('潜水記録'!$AO$5:$AO$3004,$AS268)="","",INDEX('潜水記録'!$AO$5:$AO$3004,$AS268)))</f>
        <v/>
      </c>
      <c r="AK268" s="14">
        <f>IF($A268="","",IF(INDEX('潜水記録'!$AP$5:$AP$3004,$AS268)="","",INDEX('潜水記録'!$AP$5:$AP$3004,$AS268)))</f>
        <v/>
      </c>
      <c r="AL268" s="14">
        <f>IF($A268="","",IF(INDEX('潜水記録'!$AQ$5:$AQ$3004,$AS268)="","",INDEX('潜水記録'!$AQ$5:$AQ$3004,$AS268)))</f>
        <v/>
      </c>
      <c r="AM268" s="14">
        <f>IF($A268="","",IF(INDEX('潜水記録'!$AR$5:$AR$3004,$AS268)="","",INDEX('潜水記録'!$AR$5:$AR$3004,$AS268)))</f>
        <v/>
      </c>
      <c r="AN268" s="14">
        <f>IF($A268="","",IF(INDEX('潜水記録'!$AS$5:$AS$3004,$AS268)="","",INDEX('潜水記録'!$AS$5:$AS$3004,$AS268)))</f>
        <v/>
      </c>
      <c r="AO268" s="14">
        <f>IF($A268="","",IF(INDEX('潜水記録'!$AT$5:$AT$3004,$AS268)="","",INDEX('潜水記録'!$AT$5:$AT$3004,$AS268)))</f>
        <v/>
      </c>
      <c r="AP268" s="14">
        <f>IF($A268="","",IF(INDEX('潜水記録'!$AU$5:$AU$3004,$AS268)="","",INDEX('潜水記録'!$AU$5:$AU$3004,$AS268)))</f>
        <v/>
      </c>
      <c r="AQ268" s="14">
        <f>IF($A268="","",IF(INDEX('潜水記録'!$AV$5:$AV$3004,$AS268)="","",INDEX('潜水記録'!$AV$5:$AV$3004,$AS268)))</f>
        <v/>
      </c>
      <c r="AR268" s="14">
        <f>IF($A268="","",IF(INDEX('潜水記録'!$AW$5:$AW$3004,$AS268)="","",INDEX('潜水記録'!$AW$5:$AW$3004,$AS268)))</f>
        <v/>
      </c>
      <c r="AS268" s="20">
        <f>IF($A268="","",MATCH($A268,'潜水記録'!$AI$5:$AI$3004,0))</f>
        <v/>
      </c>
    </row>
    <row r="269">
      <c r="A269" s="14">
        <f>IF(259&lt;=$C$8,259,"")</f>
        <v/>
      </c>
      <c r="B269" s="16">
        <f>IF($A269="","",IF(INDEX('潜水記録'!$A$5:$A$3004,$AS269)="","",INDEX('潜水記録'!$A$5:$A$3004,$AS269)))</f>
        <v/>
      </c>
      <c r="C269" s="14">
        <f>IF($A269="","",IF(INDEX('潜水記録'!$B$5:$B$3004,$AS269)="","",INDEX('潜水記録'!$B$5:$B$3004,$AS269)))</f>
        <v/>
      </c>
      <c r="D269" s="14">
        <f>IF($A269="","",IF(INDEX('潜水記録'!$C$5:$C$3004,$AS269)="","",INDEX('潜水記録'!$C$5:$C$3004,$AS269)))</f>
        <v/>
      </c>
      <c r="E269" s="14">
        <f>IF($A269="","",IF(INDEX('潜水記録'!$D$5:$D$3004,$AS269)="","",INDEX('潜水記録'!$D$5:$D$3004,$AS269)))</f>
        <v/>
      </c>
      <c r="F269" s="14">
        <f>IF($A269="","",IF(INDEX('潜水記録'!$E$5:$E$3004,$AS269)="","",INDEX('潜水記録'!$E$5:$E$3004,$AS269)))</f>
        <v/>
      </c>
      <c r="G269" s="14">
        <f>IF($A269="","",IF(INDEX('潜水記録'!$F$5:$F$3004,$AS269)="","",INDEX('潜水記録'!$F$5:$F$3004,$AS269)))</f>
        <v/>
      </c>
      <c r="H269" s="14">
        <f>IF($A269="","",IF(INDEX('潜水記録'!$G$5:$G$3004,$AS269)="","",INDEX('潜水記録'!$G$5:$G$3004,$AS269)))</f>
        <v/>
      </c>
      <c r="I269" s="14">
        <f>IF($A269="","",IF(INDEX('潜水記録'!$H$5:$H$3004,$AS269)="","",INDEX('潜水記録'!$H$5:$H$3004,$AS269)))</f>
        <v/>
      </c>
      <c r="J269" s="14">
        <f>IF($A269="","",IF(INDEX('潜水記録'!$I$5:$I$3004,$AS269)="","",INDEX('潜水記録'!$I$5:$I$3004,$AS269)))</f>
        <v/>
      </c>
      <c r="K269" s="14">
        <f>IF($A269="","",IF(INDEX('潜水記録'!$J$5:$J$3004,$AS269)="","",INDEX('潜水記録'!$J$5:$J$3004,$AS269)))</f>
        <v/>
      </c>
      <c r="L269" s="14">
        <f>IF($A269="","",IF(INDEX('潜水記録'!$K$5:$K$3004,$AS269)="","",INDEX('潜水記録'!$K$5:$K$3004,$AS269)))</f>
        <v/>
      </c>
      <c r="M269" s="14">
        <f>IF($A269="","",IF(INDEX('潜水記録'!$L$5:$L$3004,$AS269)="","",INDEX('潜水記録'!$L$5:$L$3004,$AS269)))</f>
        <v/>
      </c>
      <c r="N269" s="14">
        <f>IF($A269="","",IF(INDEX('潜水記録'!$M$5:$M$3004,$AS269)="","",INDEX('潜水記録'!$M$5:$M$3004,$AS269)))</f>
        <v/>
      </c>
      <c r="O269" s="14">
        <f>IF($A269="","",IF(INDEX('潜水記録'!$N$5:$N$3004,$AS269)="","",INDEX('潜水記録'!$N$5:$N$3004,$AS269)))</f>
        <v/>
      </c>
      <c r="P269" s="14">
        <f>IF($A269="","",IF(INDEX('潜水記録'!$O$5:$O$3004,$AS269)="","",INDEX('潜水記録'!$O$5:$O$3004,$AS269)))</f>
        <v/>
      </c>
      <c r="Q269" s="14">
        <f>IF($A269="","",IF(INDEX('潜水記録'!$P$5:$P$3004,$AS269)="","",INDEX('潜水記録'!$P$5:$P$3004,$AS269)))</f>
        <v/>
      </c>
      <c r="R269" s="14">
        <f>IF($A269="","",IF(INDEX('潜水記録'!$Q$5:$Q$3004,$AS269)="","",INDEX('潜水記録'!$Q$5:$Q$3004,$AS269)))</f>
        <v/>
      </c>
      <c r="S269" s="14">
        <f>IF($A269="","",IF(INDEX('潜水記録'!$R$5:$R$3004,$AS269)="","",INDEX('潜水記録'!$R$5:$R$3004,$AS269)))</f>
        <v/>
      </c>
      <c r="T269" s="14">
        <f>IF($A269="","",IF(INDEX('潜水記録'!$S$5:$S$3004,$AS269)="","",INDEX('潜水記録'!$S$5:$S$3004,$AS269)))</f>
        <v/>
      </c>
      <c r="U269" s="14">
        <f>IF($A269="","",IF(INDEX('潜水記録'!$T$5:$T$3004,$AS269)="","",INDEX('潜水記録'!$T$5:$T$3004,$AS269)))</f>
        <v/>
      </c>
      <c r="V269" s="46">
        <f>IF($A269="","",IF(INDEX('潜水記録'!$U$5:$U$3004,$AS269)="","",INDEX('潜水記録'!$U$5:$U$3004,$AS269)))</f>
        <v/>
      </c>
      <c r="W269" s="46">
        <f>IF($A269="","",IF(INDEX('潜水記録'!$V$5:$V$3004,$AS269)="","",INDEX('潜水記録'!$V$5:$V$3004,$AS269)))</f>
        <v/>
      </c>
      <c r="X269" s="14">
        <f>IF($A269="","",IF(INDEX('潜水記録'!$W$5:$W$3004,$AS269)="","",INDEX('潜水記録'!$W$5:$W$3004,$AS269)))</f>
        <v/>
      </c>
      <c r="Y269" s="14">
        <f>IF($A269="","",IF(INDEX('潜水記録'!$X$5:$X$3004,$AS269)="","",INDEX('潜水記録'!$X$5:$X$3004,$AS269)))</f>
        <v/>
      </c>
      <c r="Z269" s="14">
        <f>IF($A269="","",IF(INDEX('潜水記録'!$Y$5:$Y$3004,$AS269)="","",INDEX('潜水記録'!$Y$5:$Y$3004,$AS269)))</f>
        <v/>
      </c>
      <c r="AA269" s="14">
        <f>IF($A269="","",IF(INDEX('潜水記録'!$Z$5:$Z$3004,$AS269)="","",INDEX('潜水記録'!$Z$5:$Z$3004,$AS269)))</f>
        <v/>
      </c>
      <c r="AB269" s="14">
        <f>IF($A269="","",IF(INDEX('潜水記録'!$AA$5:$AA$3004,$AS269)="","",INDEX('潜水記録'!$AA$5:$AA$3004,$AS269)))</f>
        <v/>
      </c>
      <c r="AC269" s="14">
        <f>IF($A269="","",IF(INDEX('潜水記録'!$AB$5:$AB$3004,$AS269)="","",INDEX('潜水記録'!$AB$5:$AB$3004,$AS269)))</f>
        <v/>
      </c>
      <c r="AD269" s="14">
        <f>IF($A269="","",IF(INDEX('潜水記録'!$AC$5:$AC$3004,$AS269)="","",INDEX('潜水記録'!$AC$5:$AC$3004,$AS269)))</f>
        <v/>
      </c>
      <c r="AE269" s="14">
        <f>IF($A269="","",IF(INDEX('潜水記録'!$AD$5:$AD$3004,$AS269)="","",INDEX('潜水記録'!$AD$5:$AD$3004,$AS269)))</f>
        <v/>
      </c>
      <c r="AF269" s="14">
        <f>IF($A269="","",IF(INDEX('潜水記録'!$AE$5:$AE$3004,$AS269)="","",INDEX('潜水記録'!$AE$5:$AE$3004,$AS269)))</f>
        <v/>
      </c>
      <c r="AG269" s="14">
        <f>IF($A269="","",IF(INDEX('潜水記録'!$AL$5:$AL$3004,$AS269)="","",INDEX('潜水記録'!$AL$5:$AL$3004,$AS269)))</f>
        <v/>
      </c>
      <c r="AH269" s="14">
        <f>IF($A269="","",IF(INDEX('潜水記録'!$AM$5:$AM$3004,$AS269)="","",INDEX('潜水記録'!$AM$5:$AM$3004,$AS269)))</f>
        <v/>
      </c>
      <c r="AI269" s="46">
        <f>IF($A269="","",IF(INDEX('潜水記録'!$AN$5:$AN$3004,$AS269)="","",INDEX('潜水記録'!$AN$5:$AN$3004,$AS269)))</f>
        <v/>
      </c>
      <c r="AJ269" s="14">
        <f>IF($A269="","",IF(INDEX('潜水記録'!$AO$5:$AO$3004,$AS269)="","",INDEX('潜水記録'!$AO$5:$AO$3004,$AS269)))</f>
        <v/>
      </c>
      <c r="AK269" s="14">
        <f>IF($A269="","",IF(INDEX('潜水記録'!$AP$5:$AP$3004,$AS269)="","",INDEX('潜水記録'!$AP$5:$AP$3004,$AS269)))</f>
        <v/>
      </c>
      <c r="AL269" s="14">
        <f>IF($A269="","",IF(INDEX('潜水記録'!$AQ$5:$AQ$3004,$AS269)="","",INDEX('潜水記録'!$AQ$5:$AQ$3004,$AS269)))</f>
        <v/>
      </c>
      <c r="AM269" s="14">
        <f>IF($A269="","",IF(INDEX('潜水記録'!$AR$5:$AR$3004,$AS269)="","",INDEX('潜水記録'!$AR$5:$AR$3004,$AS269)))</f>
        <v/>
      </c>
      <c r="AN269" s="14">
        <f>IF($A269="","",IF(INDEX('潜水記録'!$AS$5:$AS$3004,$AS269)="","",INDEX('潜水記録'!$AS$5:$AS$3004,$AS269)))</f>
        <v/>
      </c>
      <c r="AO269" s="14">
        <f>IF($A269="","",IF(INDEX('潜水記録'!$AT$5:$AT$3004,$AS269)="","",INDEX('潜水記録'!$AT$5:$AT$3004,$AS269)))</f>
        <v/>
      </c>
      <c r="AP269" s="14">
        <f>IF($A269="","",IF(INDEX('潜水記録'!$AU$5:$AU$3004,$AS269)="","",INDEX('潜水記録'!$AU$5:$AU$3004,$AS269)))</f>
        <v/>
      </c>
      <c r="AQ269" s="14">
        <f>IF($A269="","",IF(INDEX('潜水記録'!$AV$5:$AV$3004,$AS269)="","",INDEX('潜水記録'!$AV$5:$AV$3004,$AS269)))</f>
        <v/>
      </c>
      <c r="AR269" s="14">
        <f>IF($A269="","",IF(INDEX('潜水記録'!$AW$5:$AW$3004,$AS269)="","",INDEX('潜水記録'!$AW$5:$AW$3004,$AS269)))</f>
        <v/>
      </c>
      <c r="AS269" s="20">
        <f>IF($A269="","",MATCH($A269,'潜水記録'!$AI$5:$AI$3004,0))</f>
        <v/>
      </c>
    </row>
    <row r="270">
      <c r="A270" s="14">
        <f>IF(260&lt;=$C$8,260,"")</f>
        <v/>
      </c>
      <c r="B270" s="16">
        <f>IF($A270="","",IF(INDEX('潜水記録'!$A$5:$A$3004,$AS270)="","",INDEX('潜水記録'!$A$5:$A$3004,$AS270)))</f>
        <v/>
      </c>
      <c r="C270" s="14">
        <f>IF($A270="","",IF(INDEX('潜水記録'!$B$5:$B$3004,$AS270)="","",INDEX('潜水記録'!$B$5:$B$3004,$AS270)))</f>
        <v/>
      </c>
      <c r="D270" s="14">
        <f>IF($A270="","",IF(INDEX('潜水記録'!$C$5:$C$3004,$AS270)="","",INDEX('潜水記録'!$C$5:$C$3004,$AS270)))</f>
        <v/>
      </c>
      <c r="E270" s="14">
        <f>IF($A270="","",IF(INDEX('潜水記録'!$D$5:$D$3004,$AS270)="","",INDEX('潜水記録'!$D$5:$D$3004,$AS270)))</f>
        <v/>
      </c>
      <c r="F270" s="14">
        <f>IF($A270="","",IF(INDEX('潜水記録'!$E$5:$E$3004,$AS270)="","",INDEX('潜水記録'!$E$5:$E$3004,$AS270)))</f>
        <v/>
      </c>
      <c r="G270" s="14">
        <f>IF($A270="","",IF(INDEX('潜水記録'!$F$5:$F$3004,$AS270)="","",INDEX('潜水記録'!$F$5:$F$3004,$AS270)))</f>
        <v/>
      </c>
      <c r="H270" s="14">
        <f>IF($A270="","",IF(INDEX('潜水記録'!$G$5:$G$3004,$AS270)="","",INDEX('潜水記録'!$G$5:$G$3004,$AS270)))</f>
        <v/>
      </c>
      <c r="I270" s="14">
        <f>IF($A270="","",IF(INDEX('潜水記録'!$H$5:$H$3004,$AS270)="","",INDEX('潜水記録'!$H$5:$H$3004,$AS270)))</f>
        <v/>
      </c>
      <c r="J270" s="14">
        <f>IF($A270="","",IF(INDEX('潜水記録'!$I$5:$I$3004,$AS270)="","",INDEX('潜水記録'!$I$5:$I$3004,$AS270)))</f>
        <v/>
      </c>
      <c r="K270" s="14">
        <f>IF($A270="","",IF(INDEX('潜水記録'!$J$5:$J$3004,$AS270)="","",INDEX('潜水記録'!$J$5:$J$3004,$AS270)))</f>
        <v/>
      </c>
      <c r="L270" s="14">
        <f>IF($A270="","",IF(INDEX('潜水記録'!$K$5:$K$3004,$AS270)="","",INDEX('潜水記録'!$K$5:$K$3004,$AS270)))</f>
        <v/>
      </c>
      <c r="M270" s="14">
        <f>IF($A270="","",IF(INDEX('潜水記録'!$L$5:$L$3004,$AS270)="","",INDEX('潜水記録'!$L$5:$L$3004,$AS270)))</f>
        <v/>
      </c>
      <c r="N270" s="14">
        <f>IF($A270="","",IF(INDEX('潜水記録'!$M$5:$M$3004,$AS270)="","",INDEX('潜水記録'!$M$5:$M$3004,$AS270)))</f>
        <v/>
      </c>
      <c r="O270" s="14">
        <f>IF($A270="","",IF(INDEX('潜水記録'!$N$5:$N$3004,$AS270)="","",INDEX('潜水記録'!$N$5:$N$3004,$AS270)))</f>
        <v/>
      </c>
      <c r="P270" s="14">
        <f>IF($A270="","",IF(INDEX('潜水記録'!$O$5:$O$3004,$AS270)="","",INDEX('潜水記録'!$O$5:$O$3004,$AS270)))</f>
        <v/>
      </c>
      <c r="Q270" s="14">
        <f>IF($A270="","",IF(INDEX('潜水記録'!$P$5:$P$3004,$AS270)="","",INDEX('潜水記録'!$P$5:$P$3004,$AS270)))</f>
        <v/>
      </c>
      <c r="R270" s="14">
        <f>IF($A270="","",IF(INDEX('潜水記録'!$Q$5:$Q$3004,$AS270)="","",INDEX('潜水記録'!$Q$5:$Q$3004,$AS270)))</f>
        <v/>
      </c>
      <c r="S270" s="14">
        <f>IF($A270="","",IF(INDEX('潜水記録'!$R$5:$R$3004,$AS270)="","",INDEX('潜水記録'!$R$5:$R$3004,$AS270)))</f>
        <v/>
      </c>
      <c r="T270" s="14">
        <f>IF($A270="","",IF(INDEX('潜水記録'!$S$5:$S$3004,$AS270)="","",INDEX('潜水記録'!$S$5:$S$3004,$AS270)))</f>
        <v/>
      </c>
      <c r="U270" s="14">
        <f>IF($A270="","",IF(INDEX('潜水記録'!$T$5:$T$3004,$AS270)="","",INDEX('潜水記録'!$T$5:$T$3004,$AS270)))</f>
        <v/>
      </c>
      <c r="V270" s="46">
        <f>IF($A270="","",IF(INDEX('潜水記録'!$U$5:$U$3004,$AS270)="","",INDEX('潜水記録'!$U$5:$U$3004,$AS270)))</f>
        <v/>
      </c>
      <c r="W270" s="46">
        <f>IF($A270="","",IF(INDEX('潜水記録'!$V$5:$V$3004,$AS270)="","",INDEX('潜水記録'!$V$5:$V$3004,$AS270)))</f>
        <v/>
      </c>
      <c r="X270" s="14">
        <f>IF($A270="","",IF(INDEX('潜水記録'!$W$5:$W$3004,$AS270)="","",INDEX('潜水記録'!$W$5:$W$3004,$AS270)))</f>
        <v/>
      </c>
      <c r="Y270" s="14">
        <f>IF($A270="","",IF(INDEX('潜水記録'!$X$5:$X$3004,$AS270)="","",INDEX('潜水記録'!$X$5:$X$3004,$AS270)))</f>
        <v/>
      </c>
      <c r="Z270" s="14">
        <f>IF($A270="","",IF(INDEX('潜水記録'!$Y$5:$Y$3004,$AS270)="","",INDEX('潜水記録'!$Y$5:$Y$3004,$AS270)))</f>
        <v/>
      </c>
      <c r="AA270" s="14">
        <f>IF($A270="","",IF(INDEX('潜水記録'!$Z$5:$Z$3004,$AS270)="","",INDEX('潜水記録'!$Z$5:$Z$3004,$AS270)))</f>
        <v/>
      </c>
      <c r="AB270" s="14">
        <f>IF($A270="","",IF(INDEX('潜水記録'!$AA$5:$AA$3004,$AS270)="","",INDEX('潜水記録'!$AA$5:$AA$3004,$AS270)))</f>
        <v/>
      </c>
      <c r="AC270" s="14">
        <f>IF($A270="","",IF(INDEX('潜水記録'!$AB$5:$AB$3004,$AS270)="","",INDEX('潜水記録'!$AB$5:$AB$3004,$AS270)))</f>
        <v/>
      </c>
      <c r="AD270" s="14">
        <f>IF($A270="","",IF(INDEX('潜水記録'!$AC$5:$AC$3004,$AS270)="","",INDEX('潜水記録'!$AC$5:$AC$3004,$AS270)))</f>
        <v/>
      </c>
      <c r="AE270" s="14">
        <f>IF($A270="","",IF(INDEX('潜水記録'!$AD$5:$AD$3004,$AS270)="","",INDEX('潜水記録'!$AD$5:$AD$3004,$AS270)))</f>
        <v/>
      </c>
      <c r="AF270" s="14">
        <f>IF($A270="","",IF(INDEX('潜水記録'!$AE$5:$AE$3004,$AS270)="","",INDEX('潜水記録'!$AE$5:$AE$3004,$AS270)))</f>
        <v/>
      </c>
      <c r="AG270" s="14">
        <f>IF($A270="","",IF(INDEX('潜水記録'!$AL$5:$AL$3004,$AS270)="","",INDEX('潜水記録'!$AL$5:$AL$3004,$AS270)))</f>
        <v/>
      </c>
      <c r="AH270" s="14">
        <f>IF($A270="","",IF(INDEX('潜水記録'!$AM$5:$AM$3004,$AS270)="","",INDEX('潜水記録'!$AM$5:$AM$3004,$AS270)))</f>
        <v/>
      </c>
      <c r="AI270" s="46">
        <f>IF($A270="","",IF(INDEX('潜水記録'!$AN$5:$AN$3004,$AS270)="","",INDEX('潜水記録'!$AN$5:$AN$3004,$AS270)))</f>
        <v/>
      </c>
      <c r="AJ270" s="14">
        <f>IF($A270="","",IF(INDEX('潜水記録'!$AO$5:$AO$3004,$AS270)="","",INDEX('潜水記録'!$AO$5:$AO$3004,$AS270)))</f>
        <v/>
      </c>
      <c r="AK270" s="14">
        <f>IF($A270="","",IF(INDEX('潜水記録'!$AP$5:$AP$3004,$AS270)="","",INDEX('潜水記録'!$AP$5:$AP$3004,$AS270)))</f>
        <v/>
      </c>
      <c r="AL270" s="14">
        <f>IF($A270="","",IF(INDEX('潜水記録'!$AQ$5:$AQ$3004,$AS270)="","",INDEX('潜水記録'!$AQ$5:$AQ$3004,$AS270)))</f>
        <v/>
      </c>
      <c r="AM270" s="14">
        <f>IF($A270="","",IF(INDEX('潜水記録'!$AR$5:$AR$3004,$AS270)="","",INDEX('潜水記録'!$AR$5:$AR$3004,$AS270)))</f>
        <v/>
      </c>
      <c r="AN270" s="14">
        <f>IF($A270="","",IF(INDEX('潜水記録'!$AS$5:$AS$3004,$AS270)="","",INDEX('潜水記録'!$AS$5:$AS$3004,$AS270)))</f>
        <v/>
      </c>
      <c r="AO270" s="14">
        <f>IF($A270="","",IF(INDEX('潜水記録'!$AT$5:$AT$3004,$AS270)="","",INDEX('潜水記録'!$AT$5:$AT$3004,$AS270)))</f>
        <v/>
      </c>
      <c r="AP270" s="14">
        <f>IF($A270="","",IF(INDEX('潜水記録'!$AU$5:$AU$3004,$AS270)="","",INDEX('潜水記録'!$AU$5:$AU$3004,$AS270)))</f>
        <v/>
      </c>
      <c r="AQ270" s="14">
        <f>IF($A270="","",IF(INDEX('潜水記録'!$AV$5:$AV$3004,$AS270)="","",INDEX('潜水記録'!$AV$5:$AV$3004,$AS270)))</f>
        <v/>
      </c>
      <c r="AR270" s="14">
        <f>IF($A270="","",IF(INDEX('潜水記録'!$AW$5:$AW$3004,$AS270)="","",INDEX('潜水記録'!$AW$5:$AW$3004,$AS270)))</f>
        <v/>
      </c>
      <c r="AS270" s="20">
        <f>IF($A270="","",MATCH($A270,'潜水記録'!$AI$5:$AI$3004,0))</f>
        <v/>
      </c>
    </row>
    <row r="271">
      <c r="A271" s="14">
        <f>IF(261&lt;=$C$8,261,"")</f>
        <v/>
      </c>
      <c r="B271" s="16">
        <f>IF($A271="","",IF(INDEX('潜水記録'!$A$5:$A$3004,$AS271)="","",INDEX('潜水記録'!$A$5:$A$3004,$AS271)))</f>
        <v/>
      </c>
      <c r="C271" s="14">
        <f>IF($A271="","",IF(INDEX('潜水記録'!$B$5:$B$3004,$AS271)="","",INDEX('潜水記録'!$B$5:$B$3004,$AS271)))</f>
        <v/>
      </c>
      <c r="D271" s="14">
        <f>IF($A271="","",IF(INDEX('潜水記録'!$C$5:$C$3004,$AS271)="","",INDEX('潜水記録'!$C$5:$C$3004,$AS271)))</f>
        <v/>
      </c>
      <c r="E271" s="14">
        <f>IF($A271="","",IF(INDEX('潜水記録'!$D$5:$D$3004,$AS271)="","",INDEX('潜水記録'!$D$5:$D$3004,$AS271)))</f>
        <v/>
      </c>
      <c r="F271" s="14">
        <f>IF($A271="","",IF(INDEX('潜水記録'!$E$5:$E$3004,$AS271)="","",INDEX('潜水記録'!$E$5:$E$3004,$AS271)))</f>
        <v/>
      </c>
      <c r="G271" s="14">
        <f>IF($A271="","",IF(INDEX('潜水記録'!$F$5:$F$3004,$AS271)="","",INDEX('潜水記録'!$F$5:$F$3004,$AS271)))</f>
        <v/>
      </c>
      <c r="H271" s="14">
        <f>IF($A271="","",IF(INDEX('潜水記録'!$G$5:$G$3004,$AS271)="","",INDEX('潜水記録'!$G$5:$G$3004,$AS271)))</f>
        <v/>
      </c>
      <c r="I271" s="14">
        <f>IF($A271="","",IF(INDEX('潜水記録'!$H$5:$H$3004,$AS271)="","",INDEX('潜水記録'!$H$5:$H$3004,$AS271)))</f>
        <v/>
      </c>
      <c r="J271" s="14">
        <f>IF($A271="","",IF(INDEX('潜水記録'!$I$5:$I$3004,$AS271)="","",INDEX('潜水記録'!$I$5:$I$3004,$AS271)))</f>
        <v/>
      </c>
      <c r="K271" s="14">
        <f>IF($A271="","",IF(INDEX('潜水記録'!$J$5:$J$3004,$AS271)="","",INDEX('潜水記録'!$J$5:$J$3004,$AS271)))</f>
        <v/>
      </c>
      <c r="L271" s="14">
        <f>IF($A271="","",IF(INDEX('潜水記録'!$K$5:$K$3004,$AS271)="","",INDEX('潜水記録'!$K$5:$K$3004,$AS271)))</f>
        <v/>
      </c>
      <c r="M271" s="14">
        <f>IF($A271="","",IF(INDEX('潜水記録'!$L$5:$L$3004,$AS271)="","",INDEX('潜水記録'!$L$5:$L$3004,$AS271)))</f>
        <v/>
      </c>
      <c r="N271" s="14">
        <f>IF($A271="","",IF(INDEX('潜水記録'!$M$5:$M$3004,$AS271)="","",INDEX('潜水記録'!$M$5:$M$3004,$AS271)))</f>
        <v/>
      </c>
      <c r="O271" s="14">
        <f>IF($A271="","",IF(INDEX('潜水記録'!$N$5:$N$3004,$AS271)="","",INDEX('潜水記録'!$N$5:$N$3004,$AS271)))</f>
        <v/>
      </c>
      <c r="P271" s="14">
        <f>IF($A271="","",IF(INDEX('潜水記録'!$O$5:$O$3004,$AS271)="","",INDEX('潜水記録'!$O$5:$O$3004,$AS271)))</f>
        <v/>
      </c>
      <c r="Q271" s="14">
        <f>IF($A271="","",IF(INDEX('潜水記録'!$P$5:$P$3004,$AS271)="","",INDEX('潜水記録'!$P$5:$P$3004,$AS271)))</f>
        <v/>
      </c>
      <c r="R271" s="14">
        <f>IF($A271="","",IF(INDEX('潜水記録'!$Q$5:$Q$3004,$AS271)="","",INDEX('潜水記録'!$Q$5:$Q$3004,$AS271)))</f>
        <v/>
      </c>
      <c r="S271" s="14">
        <f>IF($A271="","",IF(INDEX('潜水記録'!$R$5:$R$3004,$AS271)="","",INDEX('潜水記録'!$R$5:$R$3004,$AS271)))</f>
        <v/>
      </c>
      <c r="T271" s="14">
        <f>IF($A271="","",IF(INDEX('潜水記録'!$S$5:$S$3004,$AS271)="","",INDEX('潜水記録'!$S$5:$S$3004,$AS271)))</f>
        <v/>
      </c>
      <c r="U271" s="14">
        <f>IF($A271="","",IF(INDEX('潜水記録'!$T$5:$T$3004,$AS271)="","",INDEX('潜水記録'!$T$5:$T$3004,$AS271)))</f>
        <v/>
      </c>
      <c r="V271" s="46">
        <f>IF($A271="","",IF(INDEX('潜水記録'!$U$5:$U$3004,$AS271)="","",INDEX('潜水記録'!$U$5:$U$3004,$AS271)))</f>
        <v/>
      </c>
      <c r="W271" s="46">
        <f>IF($A271="","",IF(INDEX('潜水記録'!$V$5:$V$3004,$AS271)="","",INDEX('潜水記録'!$V$5:$V$3004,$AS271)))</f>
        <v/>
      </c>
      <c r="X271" s="14">
        <f>IF($A271="","",IF(INDEX('潜水記録'!$W$5:$W$3004,$AS271)="","",INDEX('潜水記録'!$W$5:$W$3004,$AS271)))</f>
        <v/>
      </c>
      <c r="Y271" s="14">
        <f>IF($A271="","",IF(INDEX('潜水記録'!$X$5:$X$3004,$AS271)="","",INDEX('潜水記録'!$X$5:$X$3004,$AS271)))</f>
        <v/>
      </c>
      <c r="Z271" s="14">
        <f>IF($A271="","",IF(INDEX('潜水記録'!$Y$5:$Y$3004,$AS271)="","",INDEX('潜水記録'!$Y$5:$Y$3004,$AS271)))</f>
        <v/>
      </c>
      <c r="AA271" s="14">
        <f>IF($A271="","",IF(INDEX('潜水記録'!$Z$5:$Z$3004,$AS271)="","",INDEX('潜水記録'!$Z$5:$Z$3004,$AS271)))</f>
        <v/>
      </c>
      <c r="AB271" s="14">
        <f>IF($A271="","",IF(INDEX('潜水記録'!$AA$5:$AA$3004,$AS271)="","",INDEX('潜水記録'!$AA$5:$AA$3004,$AS271)))</f>
        <v/>
      </c>
      <c r="AC271" s="14">
        <f>IF($A271="","",IF(INDEX('潜水記録'!$AB$5:$AB$3004,$AS271)="","",INDEX('潜水記録'!$AB$5:$AB$3004,$AS271)))</f>
        <v/>
      </c>
      <c r="AD271" s="14">
        <f>IF($A271="","",IF(INDEX('潜水記録'!$AC$5:$AC$3004,$AS271)="","",INDEX('潜水記録'!$AC$5:$AC$3004,$AS271)))</f>
        <v/>
      </c>
      <c r="AE271" s="14">
        <f>IF($A271="","",IF(INDEX('潜水記録'!$AD$5:$AD$3004,$AS271)="","",INDEX('潜水記録'!$AD$5:$AD$3004,$AS271)))</f>
        <v/>
      </c>
      <c r="AF271" s="14">
        <f>IF($A271="","",IF(INDEX('潜水記録'!$AE$5:$AE$3004,$AS271)="","",INDEX('潜水記録'!$AE$5:$AE$3004,$AS271)))</f>
        <v/>
      </c>
      <c r="AG271" s="14">
        <f>IF($A271="","",IF(INDEX('潜水記録'!$AL$5:$AL$3004,$AS271)="","",INDEX('潜水記録'!$AL$5:$AL$3004,$AS271)))</f>
        <v/>
      </c>
      <c r="AH271" s="14">
        <f>IF($A271="","",IF(INDEX('潜水記録'!$AM$5:$AM$3004,$AS271)="","",INDEX('潜水記録'!$AM$5:$AM$3004,$AS271)))</f>
        <v/>
      </c>
      <c r="AI271" s="46">
        <f>IF($A271="","",IF(INDEX('潜水記録'!$AN$5:$AN$3004,$AS271)="","",INDEX('潜水記録'!$AN$5:$AN$3004,$AS271)))</f>
        <v/>
      </c>
      <c r="AJ271" s="14">
        <f>IF($A271="","",IF(INDEX('潜水記録'!$AO$5:$AO$3004,$AS271)="","",INDEX('潜水記録'!$AO$5:$AO$3004,$AS271)))</f>
        <v/>
      </c>
      <c r="AK271" s="14">
        <f>IF($A271="","",IF(INDEX('潜水記録'!$AP$5:$AP$3004,$AS271)="","",INDEX('潜水記録'!$AP$5:$AP$3004,$AS271)))</f>
        <v/>
      </c>
      <c r="AL271" s="14">
        <f>IF($A271="","",IF(INDEX('潜水記録'!$AQ$5:$AQ$3004,$AS271)="","",INDEX('潜水記録'!$AQ$5:$AQ$3004,$AS271)))</f>
        <v/>
      </c>
      <c r="AM271" s="14">
        <f>IF($A271="","",IF(INDEX('潜水記録'!$AR$5:$AR$3004,$AS271)="","",INDEX('潜水記録'!$AR$5:$AR$3004,$AS271)))</f>
        <v/>
      </c>
      <c r="AN271" s="14">
        <f>IF($A271="","",IF(INDEX('潜水記録'!$AS$5:$AS$3004,$AS271)="","",INDEX('潜水記録'!$AS$5:$AS$3004,$AS271)))</f>
        <v/>
      </c>
      <c r="AO271" s="14">
        <f>IF($A271="","",IF(INDEX('潜水記録'!$AT$5:$AT$3004,$AS271)="","",INDEX('潜水記録'!$AT$5:$AT$3004,$AS271)))</f>
        <v/>
      </c>
      <c r="AP271" s="14">
        <f>IF($A271="","",IF(INDEX('潜水記録'!$AU$5:$AU$3004,$AS271)="","",INDEX('潜水記録'!$AU$5:$AU$3004,$AS271)))</f>
        <v/>
      </c>
      <c r="AQ271" s="14">
        <f>IF($A271="","",IF(INDEX('潜水記録'!$AV$5:$AV$3004,$AS271)="","",INDEX('潜水記録'!$AV$5:$AV$3004,$AS271)))</f>
        <v/>
      </c>
      <c r="AR271" s="14">
        <f>IF($A271="","",IF(INDEX('潜水記録'!$AW$5:$AW$3004,$AS271)="","",INDEX('潜水記録'!$AW$5:$AW$3004,$AS271)))</f>
        <v/>
      </c>
      <c r="AS271" s="20">
        <f>IF($A271="","",MATCH($A271,'潜水記録'!$AI$5:$AI$3004,0))</f>
        <v/>
      </c>
    </row>
    <row r="272">
      <c r="A272" s="14">
        <f>IF(262&lt;=$C$8,262,"")</f>
        <v/>
      </c>
      <c r="B272" s="16">
        <f>IF($A272="","",IF(INDEX('潜水記録'!$A$5:$A$3004,$AS272)="","",INDEX('潜水記録'!$A$5:$A$3004,$AS272)))</f>
        <v/>
      </c>
      <c r="C272" s="14">
        <f>IF($A272="","",IF(INDEX('潜水記録'!$B$5:$B$3004,$AS272)="","",INDEX('潜水記録'!$B$5:$B$3004,$AS272)))</f>
        <v/>
      </c>
      <c r="D272" s="14">
        <f>IF($A272="","",IF(INDEX('潜水記録'!$C$5:$C$3004,$AS272)="","",INDEX('潜水記録'!$C$5:$C$3004,$AS272)))</f>
        <v/>
      </c>
      <c r="E272" s="14">
        <f>IF($A272="","",IF(INDEX('潜水記録'!$D$5:$D$3004,$AS272)="","",INDEX('潜水記録'!$D$5:$D$3004,$AS272)))</f>
        <v/>
      </c>
      <c r="F272" s="14">
        <f>IF($A272="","",IF(INDEX('潜水記録'!$E$5:$E$3004,$AS272)="","",INDEX('潜水記録'!$E$5:$E$3004,$AS272)))</f>
        <v/>
      </c>
      <c r="G272" s="14">
        <f>IF($A272="","",IF(INDEX('潜水記録'!$F$5:$F$3004,$AS272)="","",INDEX('潜水記録'!$F$5:$F$3004,$AS272)))</f>
        <v/>
      </c>
      <c r="H272" s="14">
        <f>IF($A272="","",IF(INDEX('潜水記録'!$G$5:$G$3004,$AS272)="","",INDEX('潜水記録'!$G$5:$G$3004,$AS272)))</f>
        <v/>
      </c>
      <c r="I272" s="14">
        <f>IF($A272="","",IF(INDEX('潜水記録'!$H$5:$H$3004,$AS272)="","",INDEX('潜水記録'!$H$5:$H$3004,$AS272)))</f>
        <v/>
      </c>
      <c r="J272" s="14">
        <f>IF($A272="","",IF(INDEX('潜水記録'!$I$5:$I$3004,$AS272)="","",INDEX('潜水記録'!$I$5:$I$3004,$AS272)))</f>
        <v/>
      </c>
      <c r="K272" s="14">
        <f>IF($A272="","",IF(INDEX('潜水記録'!$J$5:$J$3004,$AS272)="","",INDEX('潜水記録'!$J$5:$J$3004,$AS272)))</f>
        <v/>
      </c>
      <c r="L272" s="14">
        <f>IF($A272="","",IF(INDEX('潜水記録'!$K$5:$K$3004,$AS272)="","",INDEX('潜水記録'!$K$5:$K$3004,$AS272)))</f>
        <v/>
      </c>
      <c r="M272" s="14">
        <f>IF($A272="","",IF(INDEX('潜水記録'!$L$5:$L$3004,$AS272)="","",INDEX('潜水記録'!$L$5:$L$3004,$AS272)))</f>
        <v/>
      </c>
      <c r="N272" s="14">
        <f>IF($A272="","",IF(INDEX('潜水記録'!$M$5:$M$3004,$AS272)="","",INDEX('潜水記録'!$M$5:$M$3004,$AS272)))</f>
        <v/>
      </c>
      <c r="O272" s="14">
        <f>IF($A272="","",IF(INDEX('潜水記録'!$N$5:$N$3004,$AS272)="","",INDEX('潜水記録'!$N$5:$N$3004,$AS272)))</f>
        <v/>
      </c>
      <c r="P272" s="14">
        <f>IF($A272="","",IF(INDEX('潜水記録'!$O$5:$O$3004,$AS272)="","",INDEX('潜水記録'!$O$5:$O$3004,$AS272)))</f>
        <v/>
      </c>
      <c r="Q272" s="14">
        <f>IF($A272="","",IF(INDEX('潜水記録'!$P$5:$P$3004,$AS272)="","",INDEX('潜水記録'!$P$5:$P$3004,$AS272)))</f>
        <v/>
      </c>
      <c r="R272" s="14">
        <f>IF($A272="","",IF(INDEX('潜水記録'!$Q$5:$Q$3004,$AS272)="","",INDEX('潜水記録'!$Q$5:$Q$3004,$AS272)))</f>
        <v/>
      </c>
      <c r="S272" s="14">
        <f>IF($A272="","",IF(INDEX('潜水記録'!$R$5:$R$3004,$AS272)="","",INDEX('潜水記録'!$R$5:$R$3004,$AS272)))</f>
        <v/>
      </c>
      <c r="T272" s="14">
        <f>IF($A272="","",IF(INDEX('潜水記録'!$S$5:$S$3004,$AS272)="","",INDEX('潜水記録'!$S$5:$S$3004,$AS272)))</f>
        <v/>
      </c>
      <c r="U272" s="14">
        <f>IF($A272="","",IF(INDEX('潜水記録'!$T$5:$T$3004,$AS272)="","",INDEX('潜水記録'!$T$5:$T$3004,$AS272)))</f>
        <v/>
      </c>
      <c r="V272" s="46">
        <f>IF($A272="","",IF(INDEX('潜水記録'!$U$5:$U$3004,$AS272)="","",INDEX('潜水記録'!$U$5:$U$3004,$AS272)))</f>
        <v/>
      </c>
      <c r="W272" s="46">
        <f>IF($A272="","",IF(INDEX('潜水記録'!$V$5:$V$3004,$AS272)="","",INDEX('潜水記録'!$V$5:$V$3004,$AS272)))</f>
        <v/>
      </c>
      <c r="X272" s="14">
        <f>IF($A272="","",IF(INDEX('潜水記録'!$W$5:$W$3004,$AS272)="","",INDEX('潜水記録'!$W$5:$W$3004,$AS272)))</f>
        <v/>
      </c>
      <c r="Y272" s="14">
        <f>IF($A272="","",IF(INDEX('潜水記録'!$X$5:$X$3004,$AS272)="","",INDEX('潜水記録'!$X$5:$X$3004,$AS272)))</f>
        <v/>
      </c>
      <c r="Z272" s="14">
        <f>IF($A272="","",IF(INDEX('潜水記録'!$Y$5:$Y$3004,$AS272)="","",INDEX('潜水記録'!$Y$5:$Y$3004,$AS272)))</f>
        <v/>
      </c>
      <c r="AA272" s="14">
        <f>IF($A272="","",IF(INDEX('潜水記録'!$Z$5:$Z$3004,$AS272)="","",INDEX('潜水記録'!$Z$5:$Z$3004,$AS272)))</f>
        <v/>
      </c>
      <c r="AB272" s="14">
        <f>IF($A272="","",IF(INDEX('潜水記録'!$AA$5:$AA$3004,$AS272)="","",INDEX('潜水記録'!$AA$5:$AA$3004,$AS272)))</f>
        <v/>
      </c>
      <c r="AC272" s="14">
        <f>IF($A272="","",IF(INDEX('潜水記録'!$AB$5:$AB$3004,$AS272)="","",INDEX('潜水記録'!$AB$5:$AB$3004,$AS272)))</f>
        <v/>
      </c>
      <c r="AD272" s="14">
        <f>IF($A272="","",IF(INDEX('潜水記録'!$AC$5:$AC$3004,$AS272)="","",INDEX('潜水記録'!$AC$5:$AC$3004,$AS272)))</f>
        <v/>
      </c>
      <c r="AE272" s="14">
        <f>IF($A272="","",IF(INDEX('潜水記録'!$AD$5:$AD$3004,$AS272)="","",INDEX('潜水記録'!$AD$5:$AD$3004,$AS272)))</f>
        <v/>
      </c>
      <c r="AF272" s="14">
        <f>IF($A272="","",IF(INDEX('潜水記録'!$AE$5:$AE$3004,$AS272)="","",INDEX('潜水記録'!$AE$5:$AE$3004,$AS272)))</f>
        <v/>
      </c>
      <c r="AG272" s="14">
        <f>IF($A272="","",IF(INDEX('潜水記録'!$AL$5:$AL$3004,$AS272)="","",INDEX('潜水記録'!$AL$5:$AL$3004,$AS272)))</f>
        <v/>
      </c>
      <c r="AH272" s="14">
        <f>IF($A272="","",IF(INDEX('潜水記録'!$AM$5:$AM$3004,$AS272)="","",INDEX('潜水記録'!$AM$5:$AM$3004,$AS272)))</f>
        <v/>
      </c>
      <c r="AI272" s="46">
        <f>IF($A272="","",IF(INDEX('潜水記録'!$AN$5:$AN$3004,$AS272)="","",INDEX('潜水記録'!$AN$5:$AN$3004,$AS272)))</f>
        <v/>
      </c>
      <c r="AJ272" s="14">
        <f>IF($A272="","",IF(INDEX('潜水記録'!$AO$5:$AO$3004,$AS272)="","",INDEX('潜水記録'!$AO$5:$AO$3004,$AS272)))</f>
        <v/>
      </c>
      <c r="AK272" s="14">
        <f>IF($A272="","",IF(INDEX('潜水記録'!$AP$5:$AP$3004,$AS272)="","",INDEX('潜水記録'!$AP$5:$AP$3004,$AS272)))</f>
        <v/>
      </c>
      <c r="AL272" s="14">
        <f>IF($A272="","",IF(INDEX('潜水記録'!$AQ$5:$AQ$3004,$AS272)="","",INDEX('潜水記録'!$AQ$5:$AQ$3004,$AS272)))</f>
        <v/>
      </c>
      <c r="AM272" s="14">
        <f>IF($A272="","",IF(INDEX('潜水記録'!$AR$5:$AR$3004,$AS272)="","",INDEX('潜水記録'!$AR$5:$AR$3004,$AS272)))</f>
        <v/>
      </c>
      <c r="AN272" s="14">
        <f>IF($A272="","",IF(INDEX('潜水記録'!$AS$5:$AS$3004,$AS272)="","",INDEX('潜水記録'!$AS$5:$AS$3004,$AS272)))</f>
        <v/>
      </c>
      <c r="AO272" s="14">
        <f>IF($A272="","",IF(INDEX('潜水記録'!$AT$5:$AT$3004,$AS272)="","",INDEX('潜水記録'!$AT$5:$AT$3004,$AS272)))</f>
        <v/>
      </c>
      <c r="AP272" s="14">
        <f>IF($A272="","",IF(INDEX('潜水記録'!$AU$5:$AU$3004,$AS272)="","",INDEX('潜水記録'!$AU$5:$AU$3004,$AS272)))</f>
        <v/>
      </c>
      <c r="AQ272" s="14">
        <f>IF($A272="","",IF(INDEX('潜水記録'!$AV$5:$AV$3004,$AS272)="","",INDEX('潜水記録'!$AV$5:$AV$3004,$AS272)))</f>
        <v/>
      </c>
      <c r="AR272" s="14">
        <f>IF($A272="","",IF(INDEX('潜水記録'!$AW$5:$AW$3004,$AS272)="","",INDEX('潜水記録'!$AW$5:$AW$3004,$AS272)))</f>
        <v/>
      </c>
      <c r="AS272" s="20">
        <f>IF($A272="","",MATCH($A272,'潜水記録'!$AI$5:$AI$3004,0))</f>
        <v/>
      </c>
    </row>
    <row r="273">
      <c r="A273" s="14">
        <f>IF(263&lt;=$C$8,263,"")</f>
        <v/>
      </c>
      <c r="B273" s="16">
        <f>IF($A273="","",IF(INDEX('潜水記録'!$A$5:$A$3004,$AS273)="","",INDEX('潜水記録'!$A$5:$A$3004,$AS273)))</f>
        <v/>
      </c>
      <c r="C273" s="14">
        <f>IF($A273="","",IF(INDEX('潜水記録'!$B$5:$B$3004,$AS273)="","",INDEX('潜水記録'!$B$5:$B$3004,$AS273)))</f>
        <v/>
      </c>
      <c r="D273" s="14">
        <f>IF($A273="","",IF(INDEX('潜水記録'!$C$5:$C$3004,$AS273)="","",INDEX('潜水記録'!$C$5:$C$3004,$AS273)))</f>
        <v/>
      </c>
      <c r="E273" s="14">
        <f>IF($A273="","",IF(INDEX('潜水記録'!$D$5:$D$3004,$AS273)="","",INDEX('潜水記録'!$D$5:$D$3004,$AS273)))</f>
        <v/>
      </c>
      <c r="F273" s="14">
        <f>IF($A273="","",IF(INDEX('潜水記録'!$E$5:$E$3004,$AS273)="","",INDEX('潜水記録'!$E$5:$E$3004,$AS273)))</f>
        <v/>
      </c>
      <c r="G273" s="14">
        <f>IF($A273="","",IF(INDEX('潜水記録'!$F$5:$F$3004,$AS273)="","",INDEX('潜水記録'!$F$5:$F$3004,$AS273)))</f>
        <v/>
      </c>
      <c r="H273" s="14">
        <f>IF($A273="","",IF(INDEX('潜水記録'!$G$5:$G$3004,$AS273)="","",INDEX('潜水記録'!$G$5:$G$3004,$AS273)))</f>
        <v/>
      </c>
      <c r="I273" s="14">
        <f>IF($A273="","",IF(INDEX('潜水記録'!$H$5:$H$3004,$AS273)="","",INDEX('潜水記録'!$H$5:$H$3004,$AS273)))</f>
        <v/>
      </c>
      <c r="J273" s="14">
        <f>IF($A273="","",IF(INDEX('潜水記録'!$I$5:$I$3004,$AS273)="","",INDEX('潜水記録'!$I$5:$I$3004,$AS273)))</f>
        <v/>
      </c>
      <c r="K273" s="14">
        <f>IF($A273="","",IF(INDEX('潜水記録'!$J$5:$J$3004,$AS273)="","",INDEX('潜水記録'!$J$5:$J$3004,$AS273)))</f>
        <v/>
      </c>
      <c r="L273" s="14">
        <f>IF($A273="","",IF(INDEX('潜水記録'!$K$5:$K$3004,$AS273)="","",INDEX('潜水記録'!$K$5:$K$3004,$AS273)))</f>
        <v/>
      </c>
      <c r="M273" s="14">
        <f>IF($A273="","",IF(INDEX('潜水記録'!$L$5:$L$3004,$AS273)="","",INDEX('潜水記録'!$L$5:$L$3004,$AS273)))</f>
        <v/>
      </c>
      <c r="N273" s="14">
        <f>IF($A273="","",IF(INDEX('潜水記録'!$M$5:$M$3004,$AS273)="","",INDEX('潜水記録'!$M$5:$M$3004,$AS273)))</f>
        <v/>
      </c>
      <c r="O273" s="14">
        <f>IF($A273="","",IF(INDEX('潜水記録'!$N$5:$N$3004,$AS273)="","",INDEX('潜水記録'!$N$5:$N$3004,$AS273)))</f>
        <v/>
      </c>
      <c r="P273" s="14">
        <f>IF($A273="","",IF(INDEX('潜水記録'!$O$5:$O$3004,$AS273)="","",INDEX('潜水記録'!$O$5:$O$3004,$AS273)))</f>
        <v/>
      </c>
      <c r="Q273" s="14">
        <f>IF($A273="","",IF(INDEX('潜水記録'!$P$5:$P$3004,$AS273)="","",INDEX('潜水記録'!$P$5:$P$3004,$AS273)))</f>
        <v/>
      </c>
      <c r="R273" s="14">
        <f>IF($A273="","",IF(INDEX('潜水記録'!$Q$5:$Q$3004,$AS273)="","",INDEX('潜水記録'!$Q$5:$Q$3004,$AS273)))</f>
        <v/>
      </c>
      <c r="S273" s="14">
        <f>IF($A273="","",IF(INDEX('潜水記録'!$R$5:$R$3004,$AS273)="","",INDEX('潜水記録'!$R$5:$R$3004,$AS273)))</f>
        <v/>
      </c>
      <c r="T273" s="14">
        <f>IF($A273="","",IF(INDEX('潜水記録'!$S$5:$S$3004,$AS273)="","",INDEX('潜水記録'!$S$5:$S$3004,$AS273)))</f>
        <v/>
      </c>
      <c r="U273" s="14">
        <f>IF($A273="","",IF(INDEX('潜水記録'!$T$5:$T$3004,$AS273)="","",INDEX('潜水記録'!$T$5:$T$3004,$AS273)))</f>
        <v/>
      </c>
      <c r="V273" s="46">
        <f>IF($A273="","",IF(INDEX('潜水記録'!$U$5:$U$3004,$AS273)="","",INDEX('潜水記録'!$U$5:$U$3004,$AS273)))</f>
        <v/>
      </c>
      <c r="W273" s="46">
        <f>IF($A273="","",IF(INDEX('潜水記録'!$V$5:$V$3004,$AS273)="","",INDEX('潜水記録'!$V$5:$V$3004,$AS273)))</f>
        <v/>
      </c>
      <c r="X273" s="14">
        <f>IF($A273="","",IF(INDEX('潜水記録'!$W$5:$W$3004,$AS273)="","",INDEX('潜水記録'!$W$5:$W$3004,$AS273)))</f>
        <v/>
      </c>
      <c r="Y273" s="14">
        <f>IF($A273="","",IF(INDEX('潜水記録'!$X$5:$X$3004,$AS273)="","",INDEX('潜水記録'!$X$5:$X$3004,$AS273)))</f>
        <v/>
      </c>
      <c r="Z273" s="14">
        <f>IF($A273="","",IF(INDEX('潜水記録'!$Y$5:$Y$3004,$AS273)="","",INDEX('潜水記録'!$Y$5:$Y$3004,$AS273)))</f>
        <v/>
      </c>
      <c r="AA273" s="14">
        <f>IF($A273="","",IF(INDEX('潜水記録'!$Z$5:$Z$3004,$AS273)="","",INDEX('潜水記録'!$Z$5:$Z$3004,$AS273)))</f>
        <v/>
      </c>
      <c r="AB273" s="14">
        <f>IF($A273="","",IF(INDEX('潜水記録'!$AA$5:$AA$3004,$AS273)="","",INDEX('潜水記録'!$AA$5:$AA$3004,$AS273)))</f>
        <v/>
      </c>
      <c r="AC273" s="14">
        <f>IF($A273="","",IF(INDEX('潜水記録'!$AB$5:$AB$3004,$AS273)="","",INDEX('潜水記録'!$AB$5:$AB$3004,$AS273)))</f>
        <v/>
      </c>
      <c r="AD273" s="14">
        <f>IF($A273="","",IF(INDEX('潜水記録'!$AC$5:$AC$3004,$AS273)="","",INDEX('潜水記録'!$AC$5:$AC$3004,$AS273)))</f>
        <v/>
      </c>
      <c r="AE273" s="14">
        <f>IF($A273="","",IF(INDEX('潜水記録'!$AD$5:$AD$3004,$AS273)="","",INDEX('潜水記録'!$AD$5:$AD$3004,$AS273)))</f>
        <v/>
      </c>
      <c r="AF273" s="14">
        <f>IF($A273="","",IF(INDEX('潜水記録'!$AE$5:$AE$3004,$AS273)="","",INDEX('潜水記録'!$AE$5:$AE$3004,$AS273)))</f>
        <v/>
      </c>
      <c r="AG273" s="14">
        <f>IF($A273="","",IF(INDEX('潜水記録'!$AL$5:$AL$3004,$AS273)="","",INDEX('潜水記録'!$AL$5:$AL$3004,$AS273)))</f>
        <v/>
      </c>
      <c r="AH273" s="14">
        <f>IF($A273="","",IF(INDEX('潜水記録'!$AM$5:$AM$3004,$AS273)="","",INDEX('潜水記録'!$AM$5:$AM$3004,$AS273)))</f>
        <v/>
      </c>
      <c r="AI273" s="46">
        <f>IF($A273="","",IF(INDEX('潜水記録'!$AN$5:$AN$3004,$AS273)="","",INDEX('潜水記録'!$AN$5:$AN$3004,$AS273)))</f>
        <v/>
      </c>
      <c r="AJ273" s="14">
        <f>IF($A273="","",IF(INDEX('潜水記録'!$AO$5:$AO$3004,$AS273)="","",INDEX('潜水記録'!$AO$5:$AO$3004,$AS273)))</f>
        <v/>
      </c>
      <c r="AK273" s="14">
        <f>IF($A273="","",IF(INDEX('潜水記録'!$AP$5:$AP$3004,$AS273)="","",INDEX('潜水記録'!$AP$5:$AP$3004,$AS273)))</f>
        <v/>
      </c>
      <c r="AL273" s="14">
        <f>IF($A273="","",IF(INDEX('潜水記録'!$AQ$5:$AQ$3004,$AS273)="","",INDEX('潜水記録'!$AQ$5:$AQ$3004,$AS273)))</f>
        <v/>
      </c>
      <c r="AM273" s="14">
        <f>IF($A273="","",IF(INDEX('潜水記録'!$AR$5:$AR$3004,$AS273)="","",INDEX('潜水記録'!$AR$5:$AR$3004,$AS273)))</f>
        <v/>
      </c>
      <c r="AN273" s="14">
        <f>IF($A273="","",IF(INDEX('潜水記録'!$AS$5:$AS$3004,$AS273)="","",INDEX('潜水記録'!$AS$5:$AS$3004,$AS273)))</f>
        <v/>
      </c>
      <c r="AO273" s="14">
        <f>IF($A273="","",IF(INDEX('潜水記録'!$AT$5:$AT$3004,$AS273)="","",INDEX('潜水記録'!$AT$5:$AT$3004,$AS273)))</f>
        <v/>
      </c>
      <c r="AP273" s="14">
        <f>IF($A273="","",IF(INDEX('潜水記録'!$AU$5:$AU$3004,$AS273)="","",INDEX('潜水記録'!$AU$5:$AU$3004,$AS273)))</f>
        <v/>
      </c>
      <c r="AQ273" s="14">
        <f>IF($A273="","",IF(INDEX('潜水記録'!$AV$5:$AV$3004,$AS273)="","",INDEX('潜水記録'!$AV$5:$AV$3004,$AS273)))</f>
        <v/>
      </c>
      <c r="AR273" s="14">
        <f>IF($A273="","",IF(INDEX('潜水記録'!$AW$5:$AW$3004,$AS273)="","",INDEX('潜水記録'!$AW$5:$AW$3004,$AS273)))</f>
        <v/>
      </c>
      <c r="AS273" s="20">
        <f>IF($A273="","",MATCH($A273,'潜水記録'!$AI$5:$AI$3004,0))</f>
        <v/>
      </c>
    </row>
    <row r="274">
      <c r="A274" s="14">
        <f>IF(264&lt;=$C$8,264,"")</f>
        <v/>
      </c>
      <c r="B274" s="16">
        <f>IF($A274="","",IF(INDEX('潜水記録'!$A$5:$A$3004,$AS274)="","",INDEX('潜水記録'!$A$5:$A$3004,$AS274)))</f>
        <v/>
      </c>
      <c r="C274" s="14">
        <f>IF($A274="","",IF(INDEX('潜水記録'!$B$5:$B$3004,$AS274)="","",INDEX('潜水記録'!$B$5:$B$3004,$AS274)))</f>
        <v/>
      </c>
      <c r="D274" s="14">
        <f>IF($A274="","",IF(INDEX('潜水記録'!$C$5:$C$3004,$AS274)="","",INDEX('潜水記録'!$C$5:$C$3004,$AS274)))</f>
        <v/>
      </c>
      <c r="E274" s="14">
        <f>IF($A274="","",IF(INDEX('潜水記録'!$D$5:$D$3004,$AS274)="","",INDEX('潜水記録'!$D$5:$D$3004,$AS274)))</f>
        <v/>
      </c>
      <c r="F274" s="14">
        <f>IF($A274="","",IF(INDEX('潜水記録'!$E$5:$E$3004,$AS274)="","",INDEX('潜水記録'!$E$5:$E$3004,$AS274)))</f>
        <v/>
      </c>
      <c r="G274" s="14">
        <f>IF($A274="","",IF(INDEX('潜水記録'!$F$5:$F$3004,$AS274)="","",INDEX('潜水記録'!$F$5:$F$3004,$AS274)))</f>
        <v/>
      </c>
      <c r="H274" s="14">
        <f>IF($A274="","",IF(INDEX('潜水記録'!$G$5:$G$3004,$AS274)="","",INDEX('潜水記録'!$G$5:$G$3004,$AS274)))</f>
        <v/>
      </c>
      <c r="I274" s="14">
        <f>IF($A274="","",IF(INDEX('潜水記録'!$H$5:$H$3004,$AS274)="","",INDEX('潜水記録'!$H$5:$H$3004,$AS274)))</f>
        <v/>
      </c>
      <c r="J274" s="14">
        <f>IF($A274="","",IF(INDEX('潜水記録'!$I$5:$I$3004,$AS274)="","",INDEX('潜水記録'!$I$5:$I$3004,$AS274)))</f>
        <v/>
      </c>
      <c r="K274" s="14">
        <f>IF($A274="","",IF(INDEX('潜水記録'!$J$5:$J$3004,$AS274)="","",INDEX('潜水記録'!$J$5:$J$3004,$AS274)))</f>
        <v/>
      </c>
      <c r="L274" s="14">
        <f>IF($A274="","",IF(INDEX('潜水記録'!$K$5:$K$3004,$AS274)="","",INDEX('潜水記録'!$K$5:$K$3004,$AS274)))</f>
        <v/>
      </c>
      <c r="M274" s="14">
        <f>IF($A274="","",IF(INDEX('潜水記録'!$L$5:$L$3004,$AS274)="","",INDEX('潜水記録'!$L$5:$L$3004,$AS274)))</f>
        <v/>
      </c>
      <c r="N274" s="14">
        <f>IF($A274="","",IF(INDEX('潜水記録'!$M$5:$M$3004,$AS274)="","",INDEX('潜水記録'!$M$5:$M$3004,$AS274)))</f>
        <v/>
      </c>
      <c r="O274" s="14">
        <f>IF($A274="","",IF(INDEX('潜水記録'!$N$5:$N$3004,$AS274)="","",INDEX('潜水記録'!$N$5:$N$3004,$AS274)))</f>
        <v/>
      </c>
      <c r="P274" s="14">
        <f>IF($A274="","",IF(INDEX('潜水記録'!$O$5:$O$3004,$AS274)="","",INDEX('潜水記録'!$O$5:$O$3004,$AS274)))</f>
        <v/>
      </c>
      <c r="Q274" s="14">
        <f>IF($A274="","",IF(INDEX('潜水記録'!$P$5:$P$3004,$AS274)="","",INDEX('潜水記録'!$P$5:$P$3004,$AS274)))</f>
        <v/>
      </c>
      <c r="R274" s="14">
        <f>IF($A274="","",IF(INDEX('潜水記録'!$Q$5:$Q$3004,$AS274)="","",INDEX('潜水記録'!$Q$5:$Q$3004,$AS274)))</f>
        <v/>
      </c>
      <c r="S274" s="14">
        <f>IF($A274="","",IF(INDEX('潜水記録'!$R$5:$R$3004,$AS274)="","",INDEX('潜水記録'!$R$5:$R$3004,$AS274)))</f>
        <v/>
      </c>
      <c r="T274" s="14">
        <f>IF($A274="","",IF(INDEX('潜水記録'!$S$5:$S$3004,$AS274)="","",INDEX('潜水記録'!$S$5:$S$3004,$AS274)))</f>
        <v/>
      </c>
      <c r="U274" s="14">
        <f>IF($A274="","",IF(INDEX('潜水記録'!$T$5:$T$3004,$AS274)="","",INDEX('潜水記録'!$T$5:$T$3004,$AS274)))</f>
        <v/>
      </c>
      <c r="V274" s="46">
        <f>IF($A274="","",IF(INDEX('潜水記録'!$U$5:$U$3004,$AS274)="","",INDEX('潜水記録'!$U$5:$U$3004,$AS274)))</f>
        <v/>
      </c>
      <c r="W274" s="46">
        <f>IF($A274="","",IF(INDEX('潜水記録'!$V$5:$V$3004,$AS274)="","",INDEX('潜水記録'!$V$5:$V$3004,$AS274)))</f>
        <v/>
      </c>
      <c r="X274" s="14">
        <f>IF($A274="","",IF(INDEX('潜水記録'!$W$5:$W$3004,$AS274)="","",INDEX('潜水記録'!$W$5:$W$3004,$AS274)))</f>
        <v/>
      </c>
      <c r="Y274" s="14">
        <f>IF($A274="","",IF(INDEX('潜水記録'!$X$5:$X$3004,$AS274)="","",INDEX('潜水記録'!$X$5:$X$3004,$AS274)))</f>
        <v/>
      </c>
      <c r="Z274" s="14">
        <f>IF($A274="","",IF(INDEX('潜水記録'!$Y$5:$Y$3004,$AS274)="","",INDEX('潜水記録'!$Y$5:$Y$3004,$AS274)))</f>
        <v/>
      </c>
      <c r="AA274" s="14">
        <f>IF($A274="","",IF(INDEX('潜水記録'!$Z$5:$Z$3004,$AS274)="","",INDEX('潜水記録'!$Z$5:$Z$3004,$AS274)))</f>
        <v/>
      </c>
      <c r="AB274" s="14">
        <f>IF($A274="","",IF(INDEX('潜水記録'!$AA$5:$AA$3004,$AS274)="","",INDEX('潜水記録'!$AA$5:$AA$3004,$AS274)))</f>
        <v/>
      </c>
      <c r="AC274" s="14">
        <f>IF($A274="","",IF(INDEX('潜水記録'!$AB$5:$AB$3004,$AS274)="","",INDEX('潜水記録'!$AB$5:$AB$3004,$AS274)))</f>
        <v/>
      </c>
      <c r="AD274" s="14">
        <f>IF($A274="","",IF(INDEX('潜水記録'!$AC$5:$AC$3004,$AS274)="","",INDEX('潜水記録'!$AC$5:$AC$3004,$AS274)))</f>
        <v/>
      </c>
      <c r="AE274" s="14">
        <f>IF($A274="","",IF(INDEX('潜水記録'!$AD$5:$AD$3004,$AS274)="","",INDEX('潜水記録'!$AD$5:$AD$3004,$AS274)))</f>
        <v/>
      </c>
      <c r="AF274" s="14">
        <f>IF($A274="","",IF(INDEX('潜水記録'!$AE$5:$AE$3004,$AS274)="","",INDEX('潜水記録'!$AE$5:$AE$3004,$AS274)))</f>
        <v/>
      </c>
      <c r="AG274" s="14">
        <f>IF($A274="","",IF(INDEX('潜水記録'!$AL$5:$AL$3004,$AS274)="","",INDEX('潜水記録'!$AL$5:$AL$3004,$AS274)))</f>
        <v/>
      </c>
      <c r="AH274" s="14">
        <f>IF($A274="","",IF(INDEX('潜水記録'!$AM$5:$AM$3004,$AS274)="","",INDEX('潜水記録'!$AM$5:$AM$3004,$AS274)))</f>
        <v/>
      </c>
      <c r="AI274" s="46">
        <f>IF($A274="","",IF(INDEX('潜水記録'!$AN$5:$AN$3004,$AS274)="","",INDEX('潜水記録'!$AN$5:$AN$3004,$AS274)))</f>
        <v/>
      </c>
      <c r="AJ274" s="14">
        <f>IF($A274="","",IF(INDEX('潜水記録'!$AO$5:$AO$3004,$AS274)="","",INDEX('潜水記録'!$AO$5:$AO$3004,$AS274)))</f>
        <v/>
      </c>
      <c r="AK274" s="14">
        <f>IF($A274="","",IF(INDEX('潜水記録'!$AP$5:$AP$3004,$AS274)="","",INDEX('潜水記録'!$AP$5:$AP$3004,$AS274)))</f>
        <v/>
      </c>
      <c r="AL274" s="14">
        <f>IF($A274="","",IF(INDEX('潜水記録'!$AQ$5:$AQ$3004,$AS274)="","",INDEX('潜水記録'!$AQ$5:$AQ$3004,$AS274)))</f>
        <v/>
      </c>
      <c r="AM274" s="14">
        <f>IF($A274="","",IF(INDEX('潜水記録'!$AR$5:$AR$3004,$AS274)="","",INDEX('潜水記録'!$AR$5:$AR$3004,$AS274)))</f>
        <v/>
      </c>
      <c r="AN274" s="14">
        <f>IF($A274="","",IF(INDEX('潜水記録'!$AS$5:$AS$3004,$AS274)="","",INDEX('潜水記録'!$AS$5:$AS$3004,$AS274)))</f>
        <v/>
      </c>
      <c r="AO274" s="14">
        <f>IF($A274="","",IF(INDEX('潜水記録'!$AT$5:$AT$3004,$AS274)="","",INDEX('潜水記録'!$AT$5:$AT$3004,$AS274)))</f>
        <v/>
      </c>
      <c r="AP274" s="14">
        <f>IF($A274="","",IF(INDEX('潜水記録'!$AU$5:$AU$3004,$AS274)="","",INDEX('潜水記録'!$AU$5:$AU$3004,$AS274)))</f>
        <v/>
      </c>
      <c r="AQ274" s="14">
        <f>IF($A274="","",IF(INDEX('潜水記録'!$AV$5:$AV$3004,$AS274)="","",INDEX('潜水記録'!$AV$5:$AV$3004,$AS274)))</f>
        <v/>
      </c>
      <c r="AR274" s="14">
        <f>IF($A274="","",IF(INDEX('潜水記録'!$AW$5:$AW$3004,$AS274)="","",INDEX('潜水記録'!$AW$5:$AW$3004,$AS274)))</f>
        <v/>
      </c>
      <c r="AS274" s="20">
        <f>IF($A274="","",MATCH($A274,'潜水記録'!$AI$5:$AI$3004,0))</f>
        <v/>
      </c>
    </row>
    <row r="275">
      <c r="A275" s="14">
        <f>IF(265&lt;=$C$8,265,"")</f>
        <v/>
      </c>
      <c r="B275" s="16">
        <f>IF($A275="","",IF(INDEX('潜水記録'!$A$5:$A$3004,$AS275)="","",INDEX('潜水記録'!$A$5:$A$3004,$AS275)))</f>
        <v/>
      </c>
      <c r="C275" s="14">
        <f>IF($A275="","",IF(INDEX('潜水記録'!$B$5:$B$3004,$AS275)="","",INDEX('潜水記録'!$B$5:$B$3004,$AS275)))</f>
        <v/>
      </c>
      <c r="D275" s="14">
        <f>IF($A275="","",IF(INDEX('潜水記録'!$C$5:$C$3004,$AS275)="","",INDEX('潜水記録'!$C$5:$C$3004,$AS275)))</f>
        <v/>
      </c>
      <c r="E275" s="14">
        <f>IF($A275="","",IF(INDEX('潜水記録'!$D$5:$D$3004,$AS275)="","",INDEX('潜水記録'!$D$5:$D$3004,$AS275)))</f>
        <v/>
      </c>
      <c r="F275" s="14">
        <f>IF($A275="","",IF(INDEX('潜水記録'!$E$5:$E$3004,$AS275)="","",INDEX('潜水記録'!$E$5:$E$3004,$AS275)))</f>
        <v/>
      </c>
      <c r="G275" s="14">
        <f>IF($A275="","",IF(INDEX('潜水記録'!$F$5:$F$3004,$AS275)="","",INDEX('潜水記録'!$F$5:$F$3004,$AS275)))</f>
        <v/>
      </c>
      <c r="H275" s="14">
        <f>IF($A275="","",IF(INDEX('潜水記録'!$G$5:$G$3004,$AS275)="","",INDEX('潜水記録'!$G$5:$G$3004,$AS275)))</f>
        <v/>
      </c>
      <c r="I275" s="14">
        <f>IF($A275="","",IF(INDEX('潜水記録'!$H$5:$H$3004,$AS275)="","",INDEX('潜水記録'!$H$5:$H$3004,$AS275)))</f>
        <v/>
      </c>
      <c r="J275" s="14">
        <f>IF($A275="","",IF(INDEX('潜水記録'!$I$5:$I$3004,$AS275)="","",INDEX('潜水記録'!$I$5:$I$3004,$AS275)))</f>
        <v/>
      </c>
      <c r="K275" s="14">
        <f>IF($A275="","",IF(INDEX('潜水記録'!$J$5:$J$3004,$AS275)="","",INDEX('潜水記録'!$J$5:$J$3004,$AS275)))</f>
        <v/>
      </c>
      <c r="L275" s="14">
        <f>IF($A275="","",IF(INDEX('潜水記録'!$K$5:$K$3004,$AS275)="","",INDEX('潜水記録'!$K$5:$K$3004,$AS275)))</f>
        <v/>
      </c>
      <c r="M275" s="14">
        <f>IF($A275="","",IF(INDEX('潜水記録'!$L$5:$L$3004,$AS275)="","",INDEX('潜水記録'!$L$5:$L$3004,$AS275)))</f>
        <v/>
      </c>
      <c r="N275" s="14">
        <f>IF($A275="","",IF(INDEX('潜水記録'!$M$5:$M$3004,$AS275)="","",INDEX('潜水記録'!$M$5:$M$3004,$AS275)))</f>
        <v/>
      </c>
      <c r="O275" s="14">
        <f>IF($A275="","",IF(INDEX('潜水記録'!$N$5:$N$3004,$AS275)="","",INDEX('潜水記録'!$N$5:$N$3004,$AS275)))</f>
        <v/>
      </c>
      <c r="P275" s="14">
        <f>IF($A275="","",IF(INDEX('潜水記録'!$O$5:$O$3004,$AS275)="","",INDEX('潜水記録'!$O$5:$O$3004,$AS275)))</f>
        <v/>
      </c>
      <c r="Q275" s="14">
        <f>IF($A275="","",IF(INDEX('潜水記録'!$P$5:$P$3004,$AS275)="","",INDEX('潜水記録'!$P$5:$P$3004,$AS275)))</f>
        <v/>
      </c>
      <c r="R275" s="14">
        <f>IF($A275="","",IF(INDEX('潜水記録'!$Q$5:$Q$3004,$AS275)="","",INDEX('潜水記録'!$Q$5:$Q$3004,$AS275)))</f>
        <v/>
      </c>
      <c r="S275" s="14">
        <f>IF($A275="","",IF(INDEX('潜水記録'!$R$5:$R$3004,$AS275)="","",INDEX('潜水記録'!$R$5:$R$3004,$AS275)))</f>
        <v/>
      </c>
      <c r="T275" s="14">
        <f>IF($A275="","",IF(INDEX('潜水記録'!$S$5:$S$3004,$AS275)="","",INDEX('潜水記録'!$S$5:$S$3004,$AS275)))</f>
        <v/>
      </c>
      <c r="U275" s="14">
        <f>IF($A275="","",IF(INDEX('潜水記録'!$T$5:$T$3004,$AS275)="","",INDEX('潜水記録'!$T$5:$T$3004,$AS275)))</f>
        <v/>
      </c>
      <c r="V275" s="46">
        <f>IF($A275="","",IF(INDEX('潜水記録'!$U$5:$U$3004,$AS275)="","",INDEX('潜水記録'!$U$5:$U$3004,$AS275)))</f>
        <v/>
      </c>
      <c r="W275" s="46">
        <f>IF($A275="","",IF(INDEX('潜水記録'!$V$5:$V$3004,$AS275)="","",INDEX('潜水記録'!$V$5:$V$3004,$AS275)))</f>
        <v/>
      </c>
      <c r="X275" s="14">
        <f>IF($A275="","",IF(INDEX('潜水記録'!$W$5:$W$3004,$AS275)="","",INDEX('潜水記録'!$W$5:$W$3004,$AS275)))</f>
        <v/>
      </c>
      <c r="Y275" s="14">
        <f>IF($A275="","",IF(INDEX('潜水記録'!$X$5:$X$3004,$AS275)="","",INDEX('潜水記録'!$X$5:$X$3004,$AS275)))</f>
        <v/>
      </c>
      <c r="Z275" s="14">
        <f>IF($A275="","",IF(INDEX('潜水記録'!$Y$5:$Y$3004,$AS275)="","",INDEX('潜水記録'!$Y$5:$Y$3004,$AS275)))</f>
        <v/>
      </c>
      <c r="AA275" s="14">
        <f>IF($A275="","",IF(INDEX('潜水記録'!$Z$5:$Z$3004,$AS275)="","",INDEX('潜水記録'!$Z$5:$Z$3004,$AS275)))</f>
        <v/>
      </c>
      <c r="AB275" s="14">
        <f>IF($A275="","",IF(INDEX('潜水記録'!$AA$5:$AA$3004,$AS275)="","",INDEX('潜水記録'!$AA$5:$AA$3004,$AS275)))</f>
        <v/>
      </c>
      <c r="AC275" s="14">
        <f>IF($A275="","",IF(INDEX('潜水記録'!$AB$5:$AB$3004,$AS275)="","",INDEX('潜水記録'!$AB$5:$AB$3004,$AS275)))</f>
        <v/>
      </c>
      <c r="AD275" s="14">
        <f>IF($A275="","",IF(INDEX('潜水記録'!$AC$5:$AC$3004,$AS275)="","",INDEX('潜水記録'!$AC$5:$AC$3004,$AS275)))</f>
        <v/>
      </c>
      <c r="AE275" s="14">
        <f>IF($A275="","",IF(INDEX('潜水記録'!$AD$5:$AD$3004,$AS275)="","",INDEX('潜水記録'!$AD$5:$AD$3004,$AS275)))</f>
        <v/>
      </c>
      <c r="AF275" s="14">
        <f>IF($A275="","",IF(INDEX('潜水記録'!$AE$5:$AE$3004,$AS275)="","",INDEX('潜水記録'!$AE$5:$AE$3004,$AS275)))</f>
        <v/>
      </c>
      <c r="AG275" s="14">
        <f>IF($A275="","",IF(INDEX('潜水記録'!$AL$5:$AL$3004,$AS275)="","",INDEX('潜水記録'!$AL$5:$AL$3004,$AS275)))</f>
        <v/>
      </c>
      <c r="AH275" s="14">
        <f>IF($A275="","",IF(INDEX('潜水記録'!$AM$5:$AM$3004,$AS275)="","",INDEX('潜水記録'!$AM$5:$AM$3004,$AS275)))</f>
        <v/>
      </c>
      <c r="AI275" s="46">
        <f>IF($A275="","",IF(INDEX('潜水記録'!$AN$5:$AN$3004,$AS275)="","",INDEX('潜水記録'!$AN$5:$AN$3004,$AS275)))</f>
        <v/>
      </c>
      <c r="AJ275" s="14">
        <f>IF($A275="","",IF(INDEX('潜水記録'!$AO$5:$AO$3004,$AS275)="","",INDEX('潜水記録'!$AO$5:$AO$3004,$AS275)))</f>
        <v/>
      </c>
      <c r="AK275" s="14">
        <f>IF($A275="","",IF(INDEX('潜水記録'!$AP$5:$AP$3004,$AS275)="","",INDEX('潜水記録'!$AP$5:$AP$3004,$AS275)))</f>
        <v/>
      </c>
      <c r="AL275" s="14">
        <f>IF($A275="","",IF(INDEX('潜水記録'!$AQ$5:$AQ$3004,$AS275)="","",INDEX('潜水記録'!$AQ$5:$AQ$3004,$AS275)))</f>
        <v/>
      </c>
      <c r="AM275" s="14">
        <f>IF($A275="","",IF(INDEX('潜水記録'!$AR$5:$AR$3004,$AS275)="","",INDEX('潜水記録'!$AR$5:$AR$3004,$AS275)))</f>
        <v/>
      </c>
      <c r="AN275" s="14">
        <f>IF($A275="","",IF(INDEX('潜水記録'!$AS$5:$AS$3004,$AS275)="","",INDEX('潜水記録'!$AS$5:$AS$3004,$AS275)))</f>
        <v/>
      </c>
      <c r="AO275" s="14">
        <f>IF($A275="","",IF(INDEX('潜水記録'!$AT$5:$AT$3004,$AS275)="","",INDEX('潜水記録'!$AT$5:$AT$3004,$AS275)))</f>
        <v/>
      </c>
      <c r="AP275" s="14">
        <f>IF($A275="","",IF(INDEX('潜水記録'!$AU$5:$AU$3004,$AS275)="","",INDEX('潜水記録'!$AU$5:$AU$3004,$AS275)))</f>
        <v/>
      </c>
      <c r="AQ275" s="14">
        <f>IF($A275="","",IF(INDEX('潜水記録'!$AV$5:$AV$3004,$AS275)="","",INDEX('潜水記録'!$AV$5:$AV$3004,$AS275)))</f>
        <v/>
      </c>
      <c r="AR275" s="14">
        <f>IF($A275="","",IF(INDEX('潜水記録'!$AW$5:$AW$3004,$AS275)="","",INDEX('潜水記録'!$AW$5:$AW$3004,$AS275)))</f>
        <v/>
      </c>
      <c r="AS275" s="20">
        <f>IF($A275="","",MATCH($A275,'潜水記録'!$AI$5:$AI$3004,0))</f>
        <v/>
      </c>
    </row>
    <row r="276">
      <c r="A276" s="14">
        <f>IF(266&lt;=$C$8,266,"")</f>
        <v/>
      </c>
      <c r="B276" s="16">
        <f>IF($A276="","",IF(INDEX('潜水記録'!$A$5:$A$3004,$AS276)="","",INDEX('潜水記録'!$A$5:$A$3004,$AS276)))</f>
        <v/>
      </c>
      <c r="C276" s="14">
        <f>IF($A276="","",IF(INDEX('潜水記録'!$B$5:$B$3004,$AS276)="","",INDEX('潜水記録'!$B$5:$B$3004,$AS276)))</f>
        <v/>
      </c>
      <c r="D276" s="14">
        <f>IF($A276="","",IF(INDEX('潜水記録'!$C$5:$C$3004,$AS276)="","",INDEX('潜水記録'!$C$5:$C$3004,$AS276)))</f>
        <v/>
      </c>
      <c r="E276" s="14">
        <f>IF($A276="","",IF(INDEX('潜水記録'!$D$5:$D$3004,$AS276)="","",INDEX('潜水記録'!$D$5:$D$3004,$AS276)))</f>
        <v/>
      </c>
      <c r="F276" s="14">
        <f>IF($A276="","",IF(INDEX('潜水記録'!$E$5:$E$3004,$AS276)="","",INDEX('潜水記録'!$E$5:$E$3004,$AS276)))</f>
        <v/>
      </c>
      <c r="G276" s="14">
        <f>IF($A276="","",IF(INDEX('潜水記録'!$F$5:$F$3004,$AS276)="","",INDEX('潜水記録'!$F$5:$F$3004,$AS276)))</f>
        <v/>
      </c>
      <c r="H276" s="14">
        <f>IF($A276="","",IF(INDEX('潜水記録'!$G$5:$G$3004,$AS276)="","",INDEX('潜水記録'!$G$5:$G$3004,$AS276)))</f>
        <v/>
      </c>
      <c r="I276" s="14">
        <f>IF($A276="","",IF(INDEX('潜水記録'!$H$5:$H$3004,$AS276)="","",INDEX('潜水記録'!$H$5:$H$3004,$AS276)))</f>
        <v/>
      </c>
      <c r="J276" s="14">
        <f>IF($A276="","",IF(INDEX('潜水記録'!$I$5:$I$3004,$AS276)="","",INDEX('潜水記録'!$I$5:$I$3004,$AS276)))</f>
        <v/>
      </c>
      <c r="K276" s="14">
        <f>IF($A276="","",IF(INDEX('潜水記録'!$J$5:$J$3004,$AS276)="","",INDEX('潜水記録'!$J$5:$J$3004,$AS276)))</f>
        <v/>
      </c>
      <c r="L276" s="14">
        <f>IF($A276="","",IF(INDEX('潜水記録'!$K$5:$K$3004,$AS276)="","",INDEX('潜水記録'!$K$5:$K$3004,$AS276)))</f>
        <v/>
      </c>
      <c r="M276" s="14">
        <f>IF($A276="","",IF(INDEX('潜水記録'!$L$5:$L$3004,$AS276)="","",INDEX('潜水記録'!$L$5:$L$3004,$AS276)))</f>
        <v/>
      </c>
      <c r="N276" s="14">
        <f>IF($A276="","",IF(INDEX('潜水記録'!$M$5:$M$3004,$AS276)="","",INDEX('潜水記録'!$M$5:$M$3004,$AS276)))</f>
        <v/>
      </c>
      <c r="O276" s="14">
        <f>IF($A276="","",IF(INDEX('潜水記録'!$N$5:$N$3004,$AS276)="","",INDEX('潜水記録'!$N$5:$N$3004,$AS276)))</f>
        <v/>
      </c>
      <c r="P276" s="14">
        <f>IF($A276="","",IF(INDEX('潜水記録'!$O$5:$O$3004,$AS276)="","",INDEX('潜水記録'!$O$5:$O$3004,$AS276)))</f>
        <v/>
      </c>
      <c r="Q276" s="14">
        <f>IF($A276="","",IF(INDEX('潜水記録'!$P$5:$P$3004,$AS276)="","",INDEX('潜水記録'!$P$5:$P$3004,$AS276)))</f>
        <v/>
      </c>
      <c r="R276" s="14">
        <f>IF($A276="","",IF(INDEX('潜水記録'!$Q$5:$Q$3004,$AS276)="","",INDEX('潜水記録'!$Q$5:$Q$3004,$AS276)))</f>
        <v/>
      </c>
      <c r="S276" s="14">
        <f>IF($A276="","",IF(INDEX('潜水記録'!$R$5:$R$3004,$AS276)="","",INDEX('潜水記録'!$R$5:$R$3004,$AS276)))</f>
        <v/>
      </c>
      <c r="T276" s="14">
        <f>IF($A276="","",IF(INDEX('潜水記録'!$S$5:$S$3004,$AS276)="","",INDEX('潜水記録'!$S$5:$S$3004,$AS276)))</f>
        <v/>
      </c>
      <c r="U276" s="14">
        <f>IF($A276="","",IF(INDEX('潜水記録'!$T$5:$T$3004,$AS276)="","",INDEX('潜水記録'!$T$5:$T$3004,$AS276)))</f>
        <v/>
      </c>
      <c r="V276" s="46">
        <f>IF($A276="","",IF(INDEX('潜水記録'!$U$5:$U$3004,$AS276)="","",INDEX('潜水記録'!$U$5:$U$3004,$AS276)))</f>
        <v/>
      </c>
      <c r="W276" s="46">
        <f>IF($A276="","",IF(INDEX('潜水記録'!$V$5:$V$3004,$AS276)="","",INDEX('潜水記録'!$V$5:$V$3004,$AS276)))</f>
        <v/>
      </c>
      <c r="X276" s="14">
        <f>IF($A276="","",IF(INDEX('潜水記録'!$W$5:$W$3004,$AS276)="","",INDEX('潜水記録'!$W$5:$W$3004,$AS276)))</f>
        <v/>
      </c>
      <c r="Y276" s="14">
        <f>IF($A276="","",IF(INDEX('潜水記録'!$X$5:$X$3004,$AS276)="","",INDEX('潜水記録'!$X$5:$X$3004,$AS276)))</f>
        <v/>
      </c>
      <c r="Z276" s="14">
        <f>IF($A276="","",IF(INDEX('潜水記録'!$Y$5:$Y$3004,$AS276)="","",INDEX('潜水記録'!$Y$5:$Y$3004,$AS276)))</f>
        <v/>
      </c>
      <c r="AA276" s="14">
        <f>IF($A276="","",IF(INDEX('潜水記録'!$Z$5:$Z$3004,$AS276)="","",INDEX('潜水記録'!$Z$5:$Z$3004,$AS276)))</f>
        <v/>
      </c>
      <c r="AB276" s="14">
        <f>IF($A276="","",IF(INDEX('潜水記録'!$AA$5:$AA$3004,$AS276)="","",INDEX('潜水記録'!$AA$5:$AA$3004,$AS276)))</f>
        <v/>
      </c>
      <c r="AC276" s="14">
        <f>IF($A276="","",IF(INDEX('潜水記録'!$AB$5:$AB$3004,$AS276)="","",INDEX('潜水記録'!$AB$5:$AB$3004,$AS276)))</f>
        <v/>
      </c>
      <c r="AD276" s="14">
        <f>IF($A276="","",IF(INDEX('潜水記録'!$AC$5:$AC$3004,$AS276)="","",INDEX('潜水記録'!$AC$5:$AC$3004,$AS276)))</f>
        <v/>
      </c>
      <c r="AE276" s="14">
        <f>IF($A276="","",IF(INDEX('潜水記録'!$AD$5:$AD$3004,$AS276)="","",INDEX('潜水記録'!$AD$5:$AD$3004,$AS276)))</f>
        <v/>
      </c>
      <c r="AF276" s="14">
        <f>IF($A276="","",IF(INDEX('潜水記録'!$AE$5:$AE$3004,$AS276)="","",INDEX('潜水記録'!$AE$5:$AE$3004,$AS276)))</f>
        <v/>
      </c>
      <c r="AG276" s="14">
        <f>IF($A276="","",IF(INDEX('潜水記録'!$AL$5:$AL$3004,$AS276)="","",INDEX('潜水記録'!$AL$5:$AL$3004,$AS276)))</f>
        <v/>
      </c>
      <c r="AH276" s="14">
        <f>IF($A276="","",IF(INDEX('潜水記録'!$AM$5:$AM$3004,$AS276)="","",INDEX('潜水記録'!$AM$5:$AM$3004,$AS276)))</f>
        <v/>
      </c>
      <c r="AI276" s="46">
        <f>IF($A276="","",IF(INDEX('潜水記録'!$AN$5:$AN$3004,$AS276)="","",INDEX('潜水記録'!$AN$5:$AN$3004,$AS276)))</f>
        <v/>
      </c>
      <c r="AJ276" s="14">
        <f>IF($A276="","",IF(INDEX('潜水記録'!$AO$5:$AO$3004,$AS276)="","",INDEX('潜水記録'!$AO$5:$AO$3004,$AS276)))</f>
        <v/>
      </c>
      <c r="AK276" s="14">
        <f>IF($A276="","",IF(INDEX('潜水記録'!$AP$5:$AP$3004,$AS276)="","",INDEX('潜水記録'!$AP$5:$AP$3004,$AS276)))</f>
        <v/>
      </c>
      <c r="AL276" s="14">
        <f>IF($A276="","",IF(INDEX('潜水記録'!$AQ$5:$AQ$3004,$AS276)="","",INDEX('潜水記録'!$AQ$5:$AQ$3004,$AS276)))</f>
        <v/>
      </c>
      <c r="AM276" s="14">
        <f>IF($A276="","",IF(INDEX('潜水記録'!$AR$5:$AR$3004,$AS276)="","",INDEX('潜水記録'!$AR$5:$AR$3004,$AS276)))</f>
        <v/>
      </c>
      <c r="AN276" s="14">
        <f>IF($A276="","",IF(INDEX('潜水記録'!$AS$5:$AS$3004,$AS276)="","",INDEX('潜水記録'!$AS$5:$AS$3004,$AS276)))</f>
        <v/>
      </c>
      <c r="AO276" s="14">
        <f>IF($A276="","",IF(INDEX('潜水記録'!$AT$5:$AT$3004,$AS276)="","",INDEX('潜水記録'!$AT$5:$AT$3004,$AS276)))</f>
        <v/>
      </c>
      <c r="AP276" s="14">
        <f>IF($A276="","",IF(INDEX('潜水記録'!$AU$5:$AU$3004,$AS276)="","",INDEX('潜水記録'!$AU$5:$AU$3004,$AS276)))</f>
        <v/>
      </c>
      <c r="AQ276" s="14">
        <f>IF($A276="","",IF(INDEX('潜水記録'!$AV$5:$AV$3004,$AS276)="","",INDEX('潜水記録'!$AV$5:$AV$3004,$AS276)))</f>
        <v/>
      </c>
      <c r="AR276" s="14">
        <f>IF($A276="","",IF(INDEX('潜水記録'!$AW$5:$AW$3004,$AS276)="","",INDEX('潜水記録'!$AW$5:$AW$3004,$AS276)))</f>
        <v/>
      </c>
      <c r="AS276" s="20">
        <f>IF($A276="","",MATCH($A276,'潜水記録'!$AI$5:$AI$3004,0))</f>
        <v/>
      </c>
    </row>
    <row r="277">
      <c r="A277" s="14">
        <f>IF(267&lt;=$C$8,267,"")</f>
        <v/>
      </c>
      <c r="B277" s="16">
        <f>IF($A277="","",IF(INDEX('潜水記録'!$A$5:$A$3004,$AS277)="","",INDEX('潜水記録'!$A$5:$A$3004,$AS277)))</f>
        <v/>
      </c>
      <c r="C277" s="14">
        <f>IF($A277="","",IF(INDEX('潜水記録'!$B$5:$B$3004,$AS277)="","",INDEX('潜水記録'!$B$5:$B$3004,$AS277)))</f>
        <v/>
      </c>
      <c r="D277" s="14">
        <f>IF($A277="","",IF(INDEX('潜水記録'!$C$5:$C$3004,$AS277)="","",INDEX('潜水記録'!$C$5:$C$3004,$AS277)))</f>
        <v/>
      </c>
      <c r="E277" s="14">
        <f>IF($A277="","",IF(INDEX('潜水記録'!$D$5:$D$3004,$AS277)="","",INDEX('潜水記録'!$D$5:$D$3004,$AS277)))</f>
        <v/>
      </c>
      <c r="F277" s="14">
        <f>IF($A277="","",IF(INDEX('潜水記録'!$E$5:$E$3004,$AS277)="","",INDEX('潜水記録'!$E$5:$E$3004,$AS277)))</f>
        <v/>
      </c>
      <c r="G277" s="14">
        <f>IF($A277="","",IF(INDEX('潜水記録'!$F$5:$F$3004,$AS277)="","",INDEX('潜水記録'!$F$5:$F$3004,$AS277)))</f>
        <v/>
      </c>
      <c r="H277" s="14">
        <f>IF($A277="","",IF(INDEX('潜水記録'!$G$5:$G$3004,$AS277)="","",INDEX('潜水記録'!$G$5:$G$3004,$AS277)))</f>
        <v/>
      </c>
      <c r="I277" s="14">
        <f>IF($A277="","",IF(INDEX('潜水記録'!$H$5:$H$3004,$AS277)="","",INDEX('潜水記録'!$H$5:$H$3004,$AS277)))</f>
        <v/>
      </c>
      <c r="J277" s="14">
        <f>IF($A277="","",IF(INDEX('潜水記録'!$I$5:$I$3004,$AS277)="","",INDEX('潜水記録'!$I$5:$I$3004,$AS277)))</f>
        <v/>
      </c>
      <c r="K277" s="14">
        <f>IF($A277="","",IF(INDEX('潜水記録'!$J$5:$J$3004,$AS277)="","",INDEX('潜水記録'!$J$5:$J$3004,$AS277)))</f>
        <v/>
      </c>
      <c r="L277" s="14">
        <f>IF($A277="","",IF(INDEX('潜水記録'!$K$5:$K$3004,$AS277)="","",INDEX('潜水記録'!$K$5:$K$3004,$AS277)))</f>
        <v/>
      </c>
      <c r="M277" s="14">
        <f>IF($A277="","",IF(INDEX('潜水記録'!$L$5:$L$3004,$AS277)="","",INDEX('潜水記録'!$L$5:$L$3004,$AS277)))</f>
        <v/>
      </c>
      <c r="N277" s="14">
        <f>IF($A277="","",IF(INDEX('潜水記録'!$M$5:$M$3004,$AS277)="","",INDEX('潜水記録'!$M$5:$M$3004,$AS277)))</f>
        <v/>
      </c>
      <c r="O277" s="14">
        <f>IF($A277="","",IF(INDEX('潜水記録'!$N$5:$N$3004,$AS277)="","",INDEX('潜水記録'!$N$5:$N$3004,$AS277)))</f>
        <v/>
      </c>
      <c r="P277" s="14">
        <f>IF($A277="","",IF(INDEX('潜水記録'!$O$5:$O$3004,$AS277)="","",INDEX('潜水記録'!$O$5:$O$3004,$AS277)))</f>
        <v/>
      </c>
      <c r="Q277" s="14">
        <f>IF($A277="","",IF(INDEX('潜水記録'!$P$5:$P$3004,$AS277)="","",INDEX('潜水記録'!$P$5:$P$3004,$AS277)))</f>
        <v/>
      </c>
      <c r="R277" s="14">
        <f>IF($A277="","",IF(INDEX('潜水記録'!$Q$5:$Q$3004,$AS277)="","",INDEX('潜水記録'!$Q$5:$Q$3004,$AS277)))</f>
        <v/>
      </c>
      <c r="S277" s="14">
        <f>IF($A277="","",IF(INDEX('潜水記録'!$R$5:$R$3004,$AS277)="","",INDEX('潜水記録'!$R$5:$R$3004,$AS277)))</f>
        <v/>
      </c>
      <c r="T277" s="14">
        <f>IF($A277="","",IF(INDEX('潜水記録'!$S$5:$S$3004,$AS277)="","",INDEX('潜水記録'!$S$5:$S$3004,$AS277)))</f>
        <v/>
      </c>
      <c r="U277" s="14">
        <f>IF($A277="","",IF(INDEX('潜水記録'!$T$5:$T$3004,$AS277)="","",INDEX('潜水記録'!$T$5:$T$3004,$AS277)))</f>
        <v/>
      </c>
      <c r="V277" s="46">
        <f>IF($A277="","",IF(INDEX('潜水記録'!$U$5:$U$3004,$AS277)="","",INDEX('潜水記録'!$U$5:$U$3004,$AS277)))</f>
        <v/>
      </c>
      <c r="W277" s="46">
        <f>IF($A277="","",IF(INDEX('潜水記録'!$V$5:$V$3004,$AS277)="","",INDEX('潜水記録'!$V$5:$V$3004,$AS277)))</f>
        <v/>
      </c>
      <c r="X277" s="14">
        <f>IF($A277="","",IF(INDEX('潜水記録'!$W$5:$W$3004,$AS277)="","",INDEX('潜水記録'!$W$5:$W$3004,$AS277)))</f>
        <v/>
      </c>
      <c r="Y277" s="14">
        <f>IF($A277="","",IF(INDEX('潜水記録'!$X$5:$X$3004,$AS277)="","",INDEX('潜水記録'!$X$5:$X$3004,$AS277)))</f>
        <v/>
      </c>
      <c r="Z277" s="14">
        <f>IF($A277="","",IF(INDEX('潜水記録'!$Y$5:$Y$3004,$AS277)="","",INDEX('潜水記録'!$Y$5:$Y$3004,$AS277)))</f>
        <v/>
      </c>
      <c r="AA277" s="14">
        <f>IF($A277="","",IF(INDEX('潜水記録'!$Z$5:$Z$3004,$AS277)="","",INDEX('潜水記録'!$Z$5:$Z$3004,$AS277)))</f>
        <v/>
      </c>
      <c r="AB277" s="14">
        <f>IF($A277="","",IF(INDEX('潜水記録'!$AA$5:$AA$3004,$AS277)="","",INDEX('潜水記録'!$AA$5:$AA$3004,$AS277)))</f>
        <v/>
      </c>
      <c r="AC277" s="14">
        <f>IF($A277="","",IF(INDEX('潜水記録'!$AB$5:$AB$3004,$AS277)="","",INDEX('潜水記録'!$AB$5:$AB$3004,$AS277)))</f>
        <v/>
      </c>
      <c r="AD277" s="14">
        <f>IF($A277="","",IF(INDEX('潜水記録'!$AC$5:$AC$3004,$AS277)="","",INDEX('潜水記録'!$AC$5:$AC$3004,$AS277)))</f>
        <v/>
      </c>
      <c r="AE277" s="14">
        <f>IF($A277="","",IF(INDEX('潜水記録'!$AD$5:$AD$3004,$AS277)="","",INDEX('潜水記録'!$AD$5:$AD$3004,$AS277)))</f>
        <v/>
      </c>
      <c r="AF277" s="14">
        <f>IF($A277="","",IF(INDEX('潜水記録'!$AE$5:$AE$3004,$AS277)="","",INDEX('潜水記録'!$AE$5:$AE$3004,$AS277)))</f>
        <v/>
      </c>
      <c r="AG277" s="14">
        <f>IF($A277="","",IF(INDEX('潜水記録'!$AL$5:$AL$3004,$AS277)="","",INDEX('潜水記録'!$AL$5:$AL$3004,$AS277)))</f>
        <v/>
      </c>
      <c r="AH277" s="14">
        <f>IF($A277="","",IF(INDEX('潜水記録'!$AM$5:$AM$3004,$AS277)="","",INDEX('潜水記録'!$AM$5:$AM$3004,$AS277)))</f>
        <v/>
      </c>
      <c r="AI277" s="46">
        <f>IF($A277="","",IF(INDEX('潜水記録'!$AN$5:$AN$3004,$AS277)="","",INDEX('潜水記録'!$AN$5:$AN$3004,$AS277)))</f>
        <v/>
      </c>
      <c r="AJ277" s="14">
        <f>IF($A277="","",IF(INDEX('潜水記録'!$AO$5:$AO$3004,$AS277)="","",INDEX('潜水記録'!$AO$5:$AO$3004,$AS277)))</f>
        <v/>
      </c>
      <c r="AK277" s="14">
        <f>IF($A277="","",IF(INDEX('潜水記録'!$AP$5:$AP$3004,$AS277)="","",INDEX('潜水記録'!$AP$5:$AP$3004,$AS277)))</f>
        <v/>
      </c>
      <c r="AL277" s="14">
        <f>IF($A277="","",IF(INDEX('潜水記録'!$AQ$5:$AQ$3004,$AS277)="","",INDEX('潜水記録'!$AQ$5:$AQ$3004,$AS277)))</f>
        <v/>
      </c>
      <c r="AM277" s="14">
        <f>IF($A277="","",IF(INDEX('潜水記録'!$AR$5:$AR$3004,$AS277)="","",INDEX('潜水記録'!$AR$5:$AR$3004,$AS277)))</f>
        <v/>
      </c>
      <c r="AN277" s="14">
        <f>IF($A277="","",IF(INDEX('潜水記録'!$AS$5:$AS$3004,$AS277)="","",INDEX('潜水記録'!$AS$5:$AS$3004,$AS277)))</f>
        <v/>
      </c>
      <c r="AO277" s="14">
        <f>IF($A277="","",IF(INDEX('潜水記録'!$AT$5:$AT$3004,$AS277)="","",INDEX('潜水記録'!$AT$5:$AT$3004,$AS277)))</f>
        <v/>
      </c>
      <c r="AP277" s="14">
        <f>IF($A277="","",IF(INDEX('潜水記録'!$AU$5:$AU$3004,$AS277)="","",INDEX('潜水記録'!$AU$5:$AU$3004,$AS277)))</f>
        <v/>
      </c>
      <c r="AQ277" s="14">
        <f>IF($A277="","",IF(INDEX('潜水記録'!$AV$5:$AV$3004,$AS277)="","",INDEX('潜水記録'!$AV$5:$AV$3004,$AS277)))</f>
        <v/>
      </c>
      <c r="AR277" s="14">
        <f>IF($A277="","",IF(INDEX('潜水記録'!$AW$5:$AW$3004,$AS277)="","",INDEX('潜水記録'!$AW$5:$AW$3004,$AS277)))</f>
        <v/>
      </c>
      <c r="AS277" s="20">
        <f>IF($A277="","",MATCH($A277,'潜水記録'!$AI$5:$AI$3004,0))</f>
        <v/>
      </c>
    </row>
    <row r="278">
      <c r="A278" s="14">
        <f>IF(268&lt;=$C$8,268,"")</f>
        <v/>
      </c>
      <c r="B278" s="16">
        <f>IF($A278="","",IF(INDEX('潜水記録'!$A$5:$A$3004,$AS278)="","",INDEX('潜水記録'!$A$5:$A$3004,$AS278)))</f>
        <v/>
      </c>
      <c r="C278" s="14">
        <f>IF($A278="","",IF(INDEX('潜水記録'!$B$5:$B$3004,$AS278)="","",INDEX('潜水記録'!$B$5:$B$3004,$AS278)))</f>
        <v/>
      </c>
      <c r="D278" s="14">
        <f>IF($A278="","",IF(INDEX('潜水記録'!$C$5:$C$3004,$AS278)="","",INDEX('潜水記録'!$C$5:$C$3004,$AS278)))</f>
        <v/>
      </c>
      <c r="E278" s="14">
        <f>IF($A278="","",IF(INDEX('潜水記録'!$D$5:$D$3004,$AS278)="","",INDEX('潜水記録'!$D$5:$D$3004,$AS278)))</f>
        <v/>
      </c>
      <c r="F278" s="14">
        <f>IF($A278="","",IF(INDEX('潜水記録'!$E$5:$E$3004,$AS278)="","",INDEX('潜水記録'!$E$5:$E$3004,$AS278)))</f>
        <v/>
      </c>
      <c r="G278" s="14">
        <f>IF($A278="","",IF(INDEX('潜水記録'!$F$5:$F$3004,$AS278)="","",INDEX('潜水記録'!$F$5:$F$3004,$AS278)))</f>
        <v/>
      </c>
      <c r="H278" s="14">
        <f>IF($A278="","",IF(INDEX('潜水記録'!$G$5:$G$3004,$AS278)="","",INDEX('潜水記録'!$G$5:$G$3004,$AS278)))</f>
        <v/>
      </c>
      <c r="I278" s="14">
        <f>IF($A278="","",IF(INDEX('潜水記録'!$H$5:$H$3004,$AS278)="","",INDEX('潜水記録'!$H$5:$H$3004,$AS278)))</f>
        <v/>
      </c>
      <c r="J278" s="14">
        <f>IF($A278="","",IF(INDEX('潜水記録'!$I$5:$I$3004,$AS278)="","",INDEX('潜水記録'!$I$5:$I$3004,$AS278)))</f>
        <v/>
      </c>
      <c r="K278" s="14">
        <f>IF($A278="","",IF(INDEX('潜水記録'!$J$5:$J$3004,$AS278)="","",INDEX('潜水記録'!$J$5:$J$3004,$AS278)))</f>
        <v/>
      </c>
      <c r="L278" s="14">
        <f>IF($A278="","",IF(INDEX('潜水記録'!$K$5:$K$3004,$AS278)="","",INDEX('潜水記録'!$K$5:$K$3004,$AS278)))</f>
        <v/>
      </c>
      <c r="M278" s="14">
        <f>IF($A278="","",IF(INDEX('潜水記録'!$L$5:$L$3004,$AS278)="","",INDEX('潜水記録'!$L$5:$L$3004,$AS278)))</f>
        <v/>
      </c>
      <c r="N278" s="14">
        <f>IF($A278="","",IF(INDEX('潜水記録'!$M$5:$M$3004,$AS278)="","",INDEX('潜水記録'!$M$5:$M$3004,$AS278)))</f>
        <v/>
      </c>
      <c r="O278" s="14">
        <f>IF($A278="","",IF(INDEX('潜水記録'!$N$5:$N$3004,$AS278)="","",INDEX('潜水記録'!$N$5:$N$3004,$AS278)))</f>
        <v/>
      </c>
      <c r="P278" s="14">
        <f>IF($A278="","",IF(INDEX('潜水記録'!$O$5:$O$3004,$AS278)="","",INDEX('潜水記録'!$O$5:$O$3004,$AS278)))</f>
        <v/>
      </c>
      <c r="Q278" s="14">
        <f>IF($A278="","",IF(INDEX('潜水記録'!$P$5:$P$3004,$AS278)="","",INDEX('潜水記録'!$P$5:$P$3004,$AS278)))</f>
        <v/>
      </c>
      <c r="R278" s="14">
        <f>IF($A278="","",IF(INDEX('潜水記録'!$Q$5:$Q$3004,$AS278)="","",INDEX('潜水記録'!$Q$5:$Q$3004,$AS278)))</f>
        <v/>
      </c>
      <c r="S278" s="14">
        <f>IF($A278="","",IF(INDEX('潜水記録'!$R$5:$R$3004,$AS278)="","",INDEX('潜水記録'!$R$5:$R$3004,$AS278)))</f>
        <v/>
      </c>
      <c r="T278" s="14">
        <f>IF($A278="","",IF(INDEX('潜水記録'!$S$5:$S$3004,$AS278)="","",INDEX('潜水記録'!$S$5:$S$3004,$AS278)))</f>
        <v/>
      </c>
      <c r="U278" s="14">
        <f>IF($A278="","",IF(INDEX('潜水記録'!$T$5:$T$3004,$AS278)="","",INDEX('潜水記録'!$T$5:$T$3004,$AS278)))</f>
        <v/>
      </c>
      <c r="V278" s="46">
        <f>IF($A278="","",IF(INDEX('潜水記録'!$U$5:$U$3004,$AS278)="","",INDEX('潜水記録'!$U$5:$U$3004,$AS278)))</f>
        <v/>
      </c>
      <c r="W278" s="46">
        <f>IF($A278="","",IF(INDEX('潜水記録'!$V$5:$V$3004,$AS278)="","",INDEX('潜水記録'!$V$5:$V$3004,$AS278)))</f>
        <v/>
      </c>
      <c r="X278" s="14">
        <f>IF($A278="","",IF(INDEX('潜水記録'!$W$5:$W$3004,$AS278)="","",INDEX('潜水記録'!$W$5:$W$3004,$AS278)))</f>
        <v/>
      </c>
      <c r="Y278" s="14">
        <f>IF($A278="","",IF(INDEX('潜水記録'!$X$5:$X$3004,$AS278)="","",INDEX('潜水記録'!$X$5:$X$3004,$AS278)))</f>
        <v/>
      </c>
      <c r="Z278" s="14">
        <f>IF($A278="","",IF(INDEX('潜水記録'!$Y$5:$Y$3004,$AS278)="","",INDEX('潜水記録'!$Y$5:$Y$3004,$AS278)))</f>
        <v/>
      </c>
      <c r="AA278" s="14">
        <f>IF($A278="","",IF(INDEX('潜水記録'!$Z$5:$Z$3004,$AS278)="","",INDEX('潜水記録'!$Z$5:$Z$3004,$AS278)))</f>
        <v/>
      </c>
      <c r="AB278" s="14">
        <f>IF($A278="","",IF(INDEX('潜水記録'!$AA$5:$AA$3004,$AS278)="","",INDEX('潜水記録'!$AA$5:$AA$3004,$AS278)))</f>
        <v/>
      </c>
      <c r="AC278" s="14">
        <f>IF($A278="","",IF(INDEX('潜水記録'!$AB$5:$AB$3004,$AS278)="","",INDEX('潜水記録'!$AB$5:$AB$3004,$AS278)))</f>
        <v/>
      </c>
      <c r="AD278" s="14">
        <f>IF($A278="","",IF(INDEX('潜水記録'!$AC$5:$AC$3004,$AS278)="","",INDEX('潜水記録'!$AC$5:$AC$3004,$AS278)))</f>
        <v/>
      </c>
      <c r="AE278" s="14">
        <f>IF($A278="","",IF(INDEX('潜水記録'!$AD$5:$AD$3004,$AS278)="","",INDEX('潜水記録'!$AD$5:$AD$3004,$AS278)))</f>
        <v/>
      </c>
      <c r="AF278" s="14">
        <f>IF($A278="","",IF(INDEX('潜水記録'!$AE$5:$AE$3004,$AS278)="","",INDEX('潜水記録'!$AE$5:$AE$3004,$AS278)))</f>
        <v/>
      </c>
      <c r="AG278" s="14">
        <f>IF($A278="","",IF(INDEX('潜水記録'!$AL$5:$AL$3004,$AS278)="","",INDEX('潜水記録'!$AL$5:$AL$3004,$AS278)))</f>
        <v/>
      </c>
      <c r="AH278" s="14">
        <f>IF($A278="","",IF(INDEX('潜水記録'!$AM$5:$AM$3004,$AS278)="","",INDEX('潜水記録'!$AM$5:$AM$3004,$AS278)))</f>
        <v/>
      </c>
      <c r="AI278" s="46">
        <f>IF($A278="","",IF(INDEX('潜水記録'!$AN$5:$AN$3004,$AS278)="","",INDEX('潜水記録'!$AN$5:$AN$3004,$AS278)))</f>
        <v/>
      </c>
      <c r="AJ278" s="14">
        <f>IF($A278="","",IF(INDEX('潜水記録'!$AO$5:$AO$3004,$AS278)="","",INDEX('潜水記録'!$AO$5:$AO$3004,$AS278)))</f>
        <v/>
      </c>
      <c r="AK278" s="14">
        <f>IF($A278="","",IF(INDEX('潜水記録'!$AP$5:$AP$3004,$AS278)="","",INDEX('潜水記録'!$AP$5:$AP$3004,$AS278)))</f>
        <v/>
      </c>
      <c r="AL278" s="14">
        <f>IF($A278="","",IF(INDEX('潜水記録'!$AQ$5:$AQ$3004,$AS278)="","",INDEX('潜水記録'!$AQ$5:$AQ$3004,$AS278)))</f>
        <v/>
      </c>
      <c r="AM278" s="14">
        <f>IF($A278="","",IF(INDEX('潜水記録'!$AR$5:$AR$3004,$AS278)="","",INDEX('潜水記録'!$AR$5:$AR$3004,$AS278)))</f>
        <v/>
      </c>
      <c r="AN278" s="14">
        <f>IF($A278="","",IF(INDEX('潜水記録'!$AS$5:$AS$3004,$AS278)="","",INDEX('潜水記録'!$AS$5:$AS$3004,$AS278)))</f>
        <v/>
      </c>
      <c r="AO278" s="14">
        <f>IF($A278="","",IF(INDEX('潜水記録'!$AT$5:$AT$3004,$AS278)="","",INDEX('潜水記録'!$AT$5:$AT$3004,$AS278)))</f>
        <v/>
      </c>
      <c r="AP278" s="14">
        <f>IF($A278="","",IF(INDEX('潜水記録'!$AU$5:$AU$3004,$AS278)="","",INDEX('潜水記録'!$AU$5:$AU$3004,$AS278)))</f>
        <v/>
      </c>
      <c r="AQ278" s="14">
        <f>IF($A278="","",IF(INDEX('潜水記録'!$AV$5:$AV$3004,$AS278)="","",INDEX('潜水記録'!$AV$5:$AV$3004,$AS278)))</f>
        <v/>
      </c>
      <c r="AR278" s="14">
        <f>IF($A278="","",IF(INDEX('潜水記録'!$AW$5:$AW$3004,$AS278)="","",INDEX('潜水記録'!$AW$5:$AW$3004,$AS278)))</f>
        <v/>
      </c>
      <c r="AS278" s="20">
        <f>IF($A278="","",MATCH($A278,'潜水記録'!$AI$5:$AI$3004,0))</f>
        <v/>
      </c>
    </row>
    <row r="279">
      <c r="A279" s="14">
        <f>IF(269&lt;=$C$8,269,"")</f>
        <v/>
      </c>
      <c r="B279" s="16">
        <f>IF($A279="","",IF(INDEX('潜水記録'!$A$5:$A$3004,$AS279)="","",INDEX('潜水記録'!$A$5:$A$3004,$AS279)))</f>
        <v/>
      </c>
      <c r="C279" s="14">
        <f>IF($A279="","",IF(INDEX('潜水記録'!$B$5:$B$3004,$AS279)="","",INDEX('潜水記録'!$B$5:$B$3004,$AS279)))</f>
        <v/>
      </c>
      <c r="D279" s="14">
        <f>IF($A279="","",IF(INDEX('潜水記録'!$C$5:$C$3004,$AS279)="","",INDEX('潜水記録'!$C$5:$C$3004,$AS279)))</f>
        <v/>
      </c>
      <c r="E279" s="14">
        <f>IF($A279="","",IF(INDEX('潜水記録'!$D$5:$D$3004,$AS279)="","",INDEX('潜水記録'!$D$5:$D$3004,$AS279)))</f>
        <v/>
      </c>
      <c r="F279" s="14">
        <f>IF($A279="","",IF(INDEX('潜水記録'!$E$5:$E$3004,$AS279)="","",INDEX('潜水記録'!$E$5:$E$3004,$AS279)))</f>
        <v/>
      </c>
      <c r="G279" s="14">
        <f>IF($A279="","",IF(INDEX('潜水記録'!$F$5:$F$3004,$AS279)="","",INDEX('潜水記録'!$F$5:$F$3004,$AS279)))</f>
        <v/>
      </c>
      <c r="H279" s="14">
        <f>IF($A279="","",IF(INDEX('潜水記録'!$G$5:$G$3004,$AS279)="","",INDEX('潜水記録'!$G$5:$G$3004,$AS279)))</f>
        <v/>
      </c>
      <c r="I279" s="14">
        <f>IF($A279="","",IF(INDEX('潜水記録'!$H$5:$H$3004,$AS279)="","",INDEX('潜水記録'!$H$5:$H$3004,$AS279)))</f>
        <v/>
      </c>
      <c r="J279" s="14">
        <f>IF($A279="","",IF(INDEX('潜水記録'!$I$5:$I$3004,$AS279)="","",INDEX('潜水記録'!$I$5:$I$3004,$AS279)))</f>
        <v/>
      </c>
      <c r="K279" s="14">
        <f>IF($A279="","",IF(INDEX('潜水記録'!$J$5:$J$3004,$AS279)="","",INDEX('潜水記録'!$J$5:$J$3004,$AS279)))</f>
        <v/>
      </c>
      <c r="L279" s="14">
        <f>IF($A279="","",IF(INDEX('潜水記録'!$K$5:$K$3004,$AS279)="","",INDEX('潜水記録'!$K$5:$K$3004,$AS279)))</f>
        <v/>
      </c>
      <c r="M279" s="14">
        <f>IF($A279="","",IF(INDEX('潜水記録'!$L$5:$L$3004,$AS279)="","",INDEX('潜水記録'!$L$5:$L$3004,$AS279)))</f>
        <v/>
      </c>
      <c r="N279" s="14">
        <f>IF($A279="","",IF(INDEX('潜水記録'!$M$5:$M$3004,$AS279)="","",INDEX('潜水記録'!$M$5:$M$3004,$AS279)))</f>
        <v/>
      </c>
      <c r="O279" s="14">
        <f>IF($A279="","",IF(INDEX('潜水記録'!$N$5:$N$3004,$AS279)="","",INDEX('潜水記録'!$N$5:$N$3004,$AS279)))</f>
        <v/>
      </c>
      <c r="P279" s="14">
        <f>IF($A279="","",IF(INDEX('潜水記録'!$O$5:$O$3004,$AS279)="","",INDEX('潜水記録'!$O$5:$O$3004,$AS279)))</f>
        <v/>
      </c>
      <c r="Q279" s="14">
        <f>IF($A279="","",IF(INDEX('潜水記録'!$P$5:$P$3004,$AS279)="","",INDEX('潜水記録'!$P$5:$P$3004,$AS279)))</f>
        <v/>
      </c>
      <c r="R279" s="14">
        <f>IF($A279="","",IF(INDEX('潜水記録'!$Q$5:$Q$3004,$AS279)="","",INDEX('潜水記録'!$Q$5:$Q$3004,$AS279)))</f>
        <v/>
      </c>
      <c r="S279" s="14">
        <f>IF($A279="","",IF(INDEX('潜水記録'!$R$5:$R$3004,$AS279)="","",INDEX('潜水記録'!$R$5:$R$3004,$AS279)))</f>
        <v/>
      </c>
      <c r="T279" s="14">
        <f>IF($A279="","",IF(INDEX('潜水記録'!$S$5:$S$3004,$AS279)="","",INDEX('潜水記録'!$S$5:$S$3004,$AS279)))</f>
        <v/>
      </c>
      <c r="U279" s="14">
        <f>IF($A279="","",IF(INDEX('潜水記録'!$T$5:$T$3004,$AS279)="","",INDEX('潜水記録'!$T$5:$T$3004,$AS279)))</f>
        <v/>
      </c>
      <c r="V279" s="46">
        <f>IF($A279="","",IF(INDEX('潜水記録'!$U$5:$U$3004,$AS279)="","",INDEX('潜水記録'!$U$5:$U$3004,$AS279)))</f>
        <v/>
      </c>
      <c r="W279" s="46">
        <f>IF($A279="","",IF(INDEX('潜水記録'!$V$5:$V$3004,$AS279)="","",INDEX('潜水記録'!$V$5:$V$3004,$AS279)))</f>
        <v/>
      </c>
      <c r="X279" s="14">
        <f>IF($A279="","",IF(INDEX('潜水記録'!$W$5:$W$3004,$AS279)="","",INDEX('潜水記録'!$W$5:$W$3004,$AS279)))</f>
        <v/>
      </c>
      <c r="Y279" s="14">
        <f>IF($A279="","",IF(INDEX('潜水記録'!$X$5:$X$3004,$AS279)="","",INDEX('潜水記録'!$X$5:$X$3004,$AS279)))</f>
        <v/>
      </c>
      <c r="Z279" s="14">
        <f>IF($A279="","",IF(INDEX('潜水記録'!$Y$5:$Y$3004,$AS279)="","",INDEX('潜水記録'!$Y$5:$Y$3004,$AS279)))</f>
        <v/>
      </c>
      <c r="AA279" s="14">
        <f>IF($A279="","",IF(INDEX('潜水記録'!$Z$5:$Z$3004,$AS279)="","",INDEX('潜水記録'!$Z$5:$Z$3004,$AS279)))</f>
        <v/>
      </c>
      <c r="AB279" s="14">
        <f>IF($A279="","",IF(INDEX('潜水記録'!$AA$5:$AA$3004,$AS279)="","",INDEX('潜水記録'!$AA$5:$AA$3004,$AS279)))</f>
        <v/>
      </c>
      <c r="AC279" s="14">
        <f>IF($A279="","",IF(INDEX('潜水記録'!$AB$5:$AB$3004,$AS279)="","",INDEX('潜水記録'!$AB$5:$AB$3004,$AS279)))</f>
        <v/>
      </c>
      <c r="AD279" s="14">
        <f>IF($A279="","",IF(INDEX('潜水記録'!$AC$5:$AC$3004,$AS279)="","",INDEX('潜水記録'!$AC$5:$AC$3004,$AS279)))</f>
        <v/>
      </c>
      <c r="AE279" s="14">
        <f>IF($A279="","",IF(INDEX('潜水記録'!$AD$5:$AD$3004,$AS279)="","",INDEX('潜水記録'!$AD$5:$AD$3004,$AS279)))</f>
        <v/>
      </c>
      <c r="AF279" s="14">
        <f>IF($A279="","",IF(INDEX('潜水記録'!$AE$5:$AE$3004,$AS279)="","",INDEX('潜水記録'!$AE$5:$AE$3004,$AS279)))</f>
        <v/>
      </c>
      <c r="AG279" s="14">
        <f>IF($A279="","",IF(INDEX('潜水記録'!$AL$5:$AL$3004,$AS279)="","",INDEX('潜水記録'!$AL$5:$AL$3004,$AS279)))</f>
        <v/>
      </c>
      <c r="AH279" s="14">
        <f>IF($A279="","",IF(INDEX('潜水記録'!$AM$5:$AM$3004,$AS279)="","",INDEX('潜水記録'!$AM$5:$AM$3004,$AS279)))</f>
        <v/>
      </c>
      <c r="AI279" s="46">
        <f>IF($A279="","",IF(INDEX('潜水記録'!$AN$5:$AN$3004,$AS279)="","",INDEX('潜水記録'!$AN$5:$AN$3004,$AS279)))</f>
        <v/>
      </c>
      <c r="AJ279" s="14">
        <f>IF($A279="","",IF(INDEX('潜水記録'!$AO$5:$AO$3004,$AS279)="","",INDEX('潜水記録'!$AO$5:$AO$3004,$AS279)))</f>
        <v/>
      </c>
      <c r="AK279" s="14">
        <f>IF($A279="","",IF(INDEX('潜水記録'!$AP$5:$AP$3004,$AS279)="","",INDEX('潜水記録'!$AP$5:$AP$3004,$AS279)))</f>
        <v/>
      </c>
      <c r="AL279" s="14">
        <f>IF($A279="","",IF(INDEX('潜水記録'!$AQ$5:$AQ$3004,$AS279)="","",INDEX('潜水記録'!$AQ$5:$AQ$3004,$AS279)))</f>
        <v/>
      </c>
      <c r="AM279" s="14">
        <f>IF($A279="","",IF(INDEX('潜水記録'!$AR$5:$AR$3004,$AS279)="","",INDEX('潜水記録'!$AR$5:$AR$3004,$AS279)))</f>
        <v/>
      </c>
      <c r="AN279" s="14">
        <f>IF($A279="","",IF(INDEX('潜水記録'!$AS$5:$AS$3004,$AS279)="","",INDEX('潜水記録'!$AS$5:$AS$3004,$AS279)))</f>
        <v/>
      </c>
      <c r="AO279" s="14">
        <f>IF($A279="","",IF(INDEX('潜水記録'!$AT$5:$AT$3004,$AS279)="","",INDEX('潜水記録'!$AT$5:$AT$3004,$AS279)))</f>
        <v/>
      </c>
      <c r="AP279" s="14">
        <f>IF($A279="","",IF(INDEX('潜水記録'!$AU$5:$AU$3004,$AS279)="","",INDEX('潜水記録'!$AU$5:$AU$3004,$AS279)))</f>
        <v/>
      </c>
      <c r="AQ279" s="14">
        <f>IF($A279="","",IF(INDEX('潜水記録'!$AV$5:$AV$3004,$AS279)="","",INDEX('潜水記録'!$AV$5:$AV$3004,$AS279)))</f>
        <v/>
      </c>
      <c r="AR279" s="14">
        <f>IF($A279="","",IF(INDEX('潜水記録'!$AW$5:$AW$3004,$AS279)="","",INDEX('潜水記録'!$AW$5:$AW$3004,$AS279)))</f>
        <v/>
      </c>
      <c r="AS279" s="20">
        <f>IF($A279="","",MATCH($A279,'潜水記録'!$AI$5:$AI$3004,0))</f>
        <v/>
      </c>
    </row>
    <row r="280">
      <c r="A280" s="14">
        <f>IF(270&lt;=$C$8,270,"")</f>
        <v/>
      </c>
      <c r="B280" s="16">
        <f>IF($A280="","",IF(INDEX('潜水記録'!$A$5:$A$3004,$AS280)="","",INDEX('潜水記録'!$A$5:$A$3004,$AS280)))</f>
        <v/>
      </c>
      <c r="C280" s="14">
        <f>IF($A280="","",IF(INDEX('潜水記録'!$B$5:$B$3004,$AS280)="","",INDEX('潜水記録'!$B$5:$B$3004,$AS280)))</f>
        <v/>
      </c>
      <c r="D280" s="14">
        <f>IF($A280="","",IF(INDEX('潜水記録'!$C$5:$C$3004,$AS280)="","",INDEX('潜水記録'!$C$5:$C$3004,$AS280)))</f>
        <v/>
      </c>
      <c r="E280" s="14">
        <f>IF($A280="","",IF(INDEX('潜水記録'!$D$5:$D$3004,$AS280)="","",INDEX('潜水記録'!$D$5:$D$3004,$AS280)))</f>
        <v/>
      </c>
      <c r="F280" s="14">
        <f>IF($A280="","",IF(INDEX('潜水記録'!$E$5:$E$3004,$AS280)="","",INDEX('潜水記録'!$E$5:$E$3004,$AS280)))</f>
        <v/>
      </c>
      <c r="G280" s="14">
        <f>IF($A280="","",IF(INDEX('潜水記録'!$F$5:$F$3004,$AS280)="","",INDEX('潜水記録'!$F$5:$F$3004,$AS280)))</f>
        <v/>
      </c>
      <c r="H280" s="14">
        <f>IF($A280="","",IF(INDEX('潜水記録'!$G$5:$G$3004,$AS280)="","",INDEX('潜水記録'!$G$5:$G$3004,$AS280)))</f>
        <v/>
      </c>
      <c r="I280" s="14">
        <f>IF($A280="","",IF(INDEX('潜水記録'!$H$5:$H$3004,$AS280)="","",INDEX('潜水記録'!$H$5:$H$3004,$AS280)))</f>
        <v/>
      </c>
      <c r="J280" s="14">
        <f>IF($A280="","",IF(INDEX('潜水記録'!$I$5:$I$3004,$AS280)="","",INDEX('潜水記録'!$I$5:$I$3004,$AS280)))</f>
        <v/>
      </c>
      <c r="K280" s="14">
        <f>IF($A280="","",IF(INDEX('潜水記録'!$J$5:$J$3004,$AS280)="","",INDEX('潜水記録'!$J$5:$J$3004,$AS280)))</f>
        <v/>
      </c>
      <c r="L280" s="14">
        <f>IF($A280="","",IF(INDEX('潜水記録'!$K$5:$K$3004,$AS280)="","",INDEX('潜水記録'!$K$5:$K$3004,$AS280)))</f>
        <v/>
      </c>
      <c r="M280" s="14">
        <f>IF($A280="","",IF(INDEX('潜水記録'!$L$5:$L$3004,$AS280)="","",INDEX('潜水記録'!$L$5:$L$3004,$AS280)))</f>
        <v/>
      </c>
      <c r="N280" s="14">
        <f>IF($A280="","",IF(INDEX('潜水記録'!$M$5:$M$3004,$AS280)="","",INDEX('潜水記録'!$M$5:$M$3004,$AS280)))</f>
        <v/>
      </c>
      <c r="O280" s="14">
        <f>IF($A280="","",IF(INDEX('潜水記録'!$N$5:$N$3004,$AS280)="","",INDEX('潜水記録'!$N$5:$N$3004,$AS280)))</f>
        <v/>
      </c>
      <c r="P280" s="14">
        <f>IF($A280="","",IF(INDEX('潜水記録'!$O$5:$O$3004,$AS280)="","",INDEX('潜水記録'!$O$5:$O$3004,$AS280)))</f>
        <v/>
      </c>
      <c r="Q280" s="14">
        <f>IF($A280="","",IF(INDEX('潜水記録'!$P$5:$P$3004,$AS280)="","",INDEX('潜水記録'!$P$5:$P$3004,$AS280)))</f>
        <v/>
      </c>
      <c r="R280" s="14">
        <f>IF($A280="","",IF(INDEX('潜水記録'!$Q$5:$Q$3004,$AS280)="","",INDEX('潜水記録'!$Q$5:$Q$3004,$AS280)))</f>
        <v/>
      </c>
      <c r="S280" s="14">
        <f>IF($A280="","",IF(INDEX('潜水記録'!$R$5:$R$3004,$AS280)="","",INDEX('潜水記録'!$R$5:$R$3004,$AS280)))</f>
        <v/>
      </c>
      <c r="T280" s="14">
        <f>IF($A280="","",IF(INDEX('潜水記録'!$S$5:$S$3004,$AS280)="","",INDEX('潜水記録'!$S$5:$S$3004,$AS280)))</f>
        <v/>
      </c>
      <c r="U280" s="14">
        <f>IF($A280="","",IF(INDEX('潜水記録'!$T$5:$T$3004,$AS280)="","",INDEX('潜水記録'!$T$5:$T$3004,$AS280)))</f>
        <v/>
      </c>
      <c r="V280" s="46">
        <f>IF($A280="","",IF(INDEX('潜水記録'!$U$5:$U$3004,$AS280)="","",INDEX('潜水記録'!$U$5:$U$3004,$AS280)))</f>
        <v/>
      </c>
      <c r="W280" s="46">
        <f>IF($A280="","",IF(INDEX('潜水記録'!$V$5:$V$3004,$AS280)="","",INDEX('潜水記録'!$V$5:$V$3004,$AS280)))</f>
        <v/>
      </c>
      <c r="X280" s="14">
        <f>IF($A280="","",IF(INDEX('潜水記録'!$W$5:$W$3004,$AS280)="","",INDEX('潜水記録'!$W$5:$W$3004,$AS280)))</f>
        <v/>
      </c>
      <c r="Y280" s="14">
        <f>IF($A280="","",IF(INDEX('潜水記録'!$X$5:$X$3004,$AS280)="","",INDEX('潜水記録'!$X$5:$X$3004,$AS280)))</f>
        <v/>
      </c>
      <c r="Z280" s="14">
        <f>IF($A280="","",IF(INDEX('潜水記録'!$Y$5:$Y$3004,$AS280)="","",INDEX('潜水記録'!$Y$5:$Y$3004,$AS280)))</f>
        <v/>
      </c>
      <c r="AA280" s="14">
        <f>IF($A280="","",IF(INDEX('潜水記録'!$Z$5:$Z$3004,$AS280)="","",INDEX('潜水記録'!$Z$5:$Z$3004,$AS280)))</f>
        <v/>
      </c>
      <c r="AB280" s="14">
        <f>IF($A280="","",IF(INDEX('潜水記録'!$AA$5:$AA$3004,$AS280)="","",INDEX('潜水記録'!$AA$5:$AA$3004,$AS280)))</f>
        <v/>
      </c>
      <c r="AC280" s="14">
        <f>IF($A280="","",IF(INDEX('潜水記録'!$AB$5:$AB$3004,$AS280)="","",INDEX('潜水記録'!$AB$5:$AB$3004,$AS280)))</f>
        <v/>
      </c>
      <c r="AD280" s="14">
        <f>IF($A280="","",IF(INDEX('潜水記録'!$AC$5:$AC$3004,$AS280)="","",INDEX('潜水記録'!$AC$5:$AC$3004,$AS280)))</f>
        <v/>
      </c>
      <c r="AE280" s="14">
        <f>IF($A280="","",IF(INDEX('潜水記録'!$AD$5:$AD$3004,$AS280)="","",INDEX('潜水記録'!$AD$5:$AD$3004,$AS280)))</f>
        <v/>
      </c>
      <c r="AF280" s="14">
        <f>IF($A280="","",IF(INDEX('潜水記録'!$AE$5:$AE$3004,$AS280)="","",INDEX('潜水記録'!$AE$5:$AE$3004,$AS280)))</f>
        <v/>
      </c>
      <c r="AG280" s="14">
        <f>IF($A280="","",IF(INDEX('潜水記録'!$AL$5:$AL$3004,$AS280)="","",INDEX('潜水記録'!$AL$5:$AL$3004,$AS280)))</f>
        <v/>
      </c>
      <c r="AH280" s="14">
        <f>IF($A280="","",IF(INDEX('潜水記録'!$AM$5:$AM$3004,$AS280)="","",INDEX('潜水記録'!$AM$5:$AM$3004,$AS280)))</f>
        <v/>
      </c>
      <c r="AI280" s="46">
        <f>IF($A280="","",IF(INDEX('潜水記録'!$AN$5:$AN$3004,$AS280)="","",INDEX('潜水記録'!$AN$5:$AN$3004,$AS280)))</f>
        <v/>
      </c>
      <c r="AJ280" s="14">
        <f>IF($A280="","",IF(INDEX('潜水記録'!$AO$5:$AO$3004,$AS280)="","",INDEX('潜水記録'!$AO$5:$AO$3004,$AS280)))</f>
        <v/>
      </c>
      <c r="AK280" s="14">
        <f>IF($A280="","",IF(INDEX('潜水記録'!$AP$5:$AP$3004,$AS280)="","",INDEX('潜水記録'!$AP$5:$AP$3004,$AS280)))</f>
        <v/>
      </c>
      <c r="AL280" s="14">
        <f>IF($A280="","",IF(INDEX('潜水記録'!$AQ$5:$AQ$3004,$AS280)="","",INDEX('潜水記録'!$AQ$5:$AQ$3004,$AS280)))</f>
        <v/>
      </c>
      <c r="AM280" s="14">
        <f>IF($A280="","",IF(INDEX('潜水記録'!$AR$5:$AR$3004,$AS280)="","",INDEX('潜水記録'!$AR$5:$AR$3004,$AS280)))</f>
        <v/>
      </c>
      <c r="AN280" s="14">
        <f>IF($A280="","",IF(INDEX('潜水記録'!$AS$5:$AS$3004,$AS280)="","",INDEX('潜水記録'!$AS$5:$AS$3004,$AS280)))</f>
        <v/>
      </c>
      <c r="AO280" s="14">
        <f>IF($A280="","",IF(INDEX('潜水記録'!$AT$5:$AT$3004,$AS280)="","",INDEX('潜水記録'!$AT$5:$AT$3004,$AS280)))</f>
        <v/>
      </c>
      <c r="AP280" s="14">
        <f>IF($A280="","",IF(INDEX('潜水記録'!$AU$5:$AU$3004,$AS280)="","",INDEX('潜水記録'!$AU$5:$AU$3004,$AS280)))</f>
        <v/>
      </c>
      <c r="AQ280" s="14">
        <f>IF($A280="","",IF(INDEX('潜水記録'!$AV$5:$AV$3004,$AS280)="","",INDEX('潜水記録'!$AV$5:$AV$3004,$AS280)))</f>
        <v/>
      </c>
      <c r="AR280" s="14">
        <f>IF($A280="","",IF(INDEX('潜水記録'!$AW$5:$AW$3004,$AS280)="","",INDEX('潜水記録'!$AW$5:$AW$3004,$AS280)))</f>
        <v/>
      </c>
      <c r="AS280" s="20">
        <f>IF($A280="","",MATCH($A280,'潜水記録'!$AI$5:$AI$3004,0))</f>
        <v/>
      </c>
    </row>
    <row r="281">
      <c r="A281" s="14">
        <f>IF(271&lt;=$C$8,271,"")</f>
        <v/>
      </c>
      <c r="B281" s="16">
        <f>IF($A281="","",IF(INDEX('潜水記録'!$A$5:$A$3004,$AS281)="","",INDEX('潜水記録'!$A$5:$A$3004,$AS281)))</f>
        <v/>
      </c>
      <c r="C281" s="14">
        <f>IF($A281="","",IF(INDEX('潜水記録'!$B$5:$B$3004,$AS281)="","",INDEX('潜水記録'!$B$5:$B$3004,$AS281)))</f>
        <v/>
      </c>
      <c r="D281" s="14">
        <f>IF($A281="","",IF(INDEX('潜水記録'!$C$5:$C$3004,$AS281)="","",INDEX('潜水記録'!$C$5:$C$3004,$AS281)))</f>
        <v/>
      </c>
      <c r="E281" s="14">
        <f>IF($A281="","",IF(INDEX('潜水記録'!$D$5:$D$3004,$AS281)="","",INDEX('潜水記録'!$D$5:$D$3004,$AS281)))</f>
        <v/>
      </c>
      <c r="F281" s="14">
        <f>IF($A281="","",IF(INDEX('潜水記録'!$E$5:$E$3004,$AS281)="","",INDEX('潜水記録'!$E$5:$E$3004,$AS281)))</f>
        <v/>
      </c>
      <c r="G281" s="14">
        <f>IF($A281="","",IF(INDEX('潜水記録'!$F$5:$F$3004,$AS281)="","",INDEX('潜水記録'!$F$5:$F$3004,$AS281)))</f>
        <v/>
      </c>
      <c r="H281" s="14">
        <f>IF($A281="","",IF(INDEX('潜水記録'!$G$5:$G$3004,$AS281)="","",INDEX('潜水記録'!$G$5:$G$3004,$AS281)))</f>
        <v/>
      </c>
      <c r="I281" s="14">
        <f>IF($A281="","",IF(INDEX('潜水記録'!$H$5:$H$3004,$AS281)="","",INDEX('潜水記録'!$H$5:$H$3004,$AS281)))</f>
        <v/>
      </c>
      <c r="J281" s="14">
        <f>IF($A281="","",IF(INDEX('潜水記録'!$I$5:$I$3004,$AS281)="","",INDEX('潜水記録'!$I$5:$I$3004,$AS281)))</f>
        <v/>
      </c>
      <c r="K281" s="14">
        <f>IF($A281="","",IF(INDEX('潜水記録'!$J$5:$J$3004,$AS281)="","",INDEX('潜水記録'!$J$5:$J$3004,$AS281)))</f>
        <v/>
      </c>
      <c r="L281" s="14">
        <f>IF($A281="","",IF(INDEX('潜水記録'!$K$5:$K$3004,$AS281)="","",INDEX('潜水記録'!$K$5:$K$3004,$AS281)))</f>
        <v/>
      </c>
      <c r="M281" s="14">
        <f>IF($A281="","",IF(INDEX('潜水記録'!$L$5:$L$3004,$AS281)="","",INDEX('潜水記録'!$L$5:$L$3004,$AS281)))</f>
        <v/>
      </c>
      <c r="N281" s="14">
        <f>IF($A281="","",IF(INDEX('潜水記録'!$M$5:$M$3004,$AS281)="","",INDEX('潜水記録'!$M$5:$M$3004,$AS281)))</f>
        <v/>
      </c>
      <c r="O281" s="14">
        <f>IF($A281="","",IF(INDEX('潜水記録'!$N$5:$N$3004,$AS281)="","",INDEX('潜水記録'!$N$5:$N$3004,$AS281)))</f>
        <v/>
      </c>
      <c r="P281" s="14">
        <f>IF($A281="","",IF(INDEX('潜水記録'!$O$5:$O$3004,$AS281)="","",INDEX('潜水記録'!$O$5:$O$3004,$AS281)))</f>
        <v/>
      </c>
      <c r="Q281" s="14">
        <f>IF($A281="","",IF(INDEX('潜水記録'!$P$5:$P$3004,$AS281)="","",INDEX('潜水記録'!$P$5:$P$3004,$AS281)))</f>
        <v/>
      </c>
      <c r="R281" s="14">
        <f>IF($A281="","",IF(INDEX('潜水記録'!$Q$5:$Q$3004,$AS281)="","",INDEX('潜水記録'!$Q$5:$Q$3004,$AS281)))</f>
        <v/>
      </c>
      <c r="S281" s="14">
        <f>IF($A281="","",IF(INDEX('潜水記録'!$R$5:$R$3004,$AS281)="","",INDEX('潜水記録'!$R$5:$R$3004,$AS281)))</f>
        <v/>
      </c>
      <c r="T281" s="14">
        <f>IF($A281="","",IF(INDEX('潜水記録'!$S$5:$S$3004,$AS281)="","",INDEX('潜水記録'!$S$5:$S$3004,$AS281)))</f>
        <v/>
      </c>
      <c r="U281" s="14">
        <f>IF($A281="","",IF(INDEX('潜水記録'!$T$5:$T$3004,$AS281)="","",INDEX('潜水記録'!$T$5:$T$3004,$AS281)))</f>
        <v/>
      </c>
      <c r="V281" s="46">
        <f>IF($A281="","",IF(INDEX('潜水記録'!$U$5:$U$3004,$AS281)="","",INDEX('潜水記録'!$U$5:$U$3004,$AS281)))</f>
        <v/>
      </c>
      <c r="W281" s="46">
        <f>IF($A281="","",IF(INDEX('潜水記録'!$V$5:$V$3004,$AS281)="","",INDEX('潜水記録'!$V$5:$V$3004,$AS281)))</f>
        <v/>
      </c>
      <c r="X281" s="14">
        <f>IF($A281="","",IF(INDEX('潜水記録'!$W$5:$W$3004,$AS281)="","",INDEX('潜水記録'!$W$5:$W$3004,$AS281)))</f>
        <v/>
      </c>
      <c r="Y281" s="14">
        <f>IF($A281="","",IF(INDEX('潜水記録'!$X$5:$X$3004,$AS281)="","",INDEX('潜水記録'!$X$5:$X$3004,$AS281)))</f>
        <v/>
      </c>
      <c r="Z281" s="14">
        <f>IF($A281="","",IF(INDEX('潜水記録'!$Y$5:$Y$3004,$AS281)="","",INDEX('潜水記録'!$Y$5:$Y$3004,$AS281)))</f>
        <v/>
      </c>
      <c r="AA281" s="14">
        <f>IF($A281="","",IF(INDEX('潜水記録'!$Z$5:$Z$3004,$AS281)="","",INDEX('潜水記録'!$Z$5:$Z$3004,$AS281)))</f>
        <v/>
      </c>
      <c r="AB281" s="14">
        <f>IF($A281="","",IF(INDEX('潜水記録'!$AA$5:$AA$3004,$AS281)="","",INDEX('潜水記録'!$AA$5:$AA$3004,$AS281)))</f>
        <v/>
      </c>
      <c r="AC281" s="14">
        <f>IF($A281="","",IF(INDEX('潜水記録'!$AB$5:$AB$3004,$AS281)="","",INDEX('潜水記録'!$AB$5:$AB$3004,$AS281)))</f>
        <v/>
      </c>
      <c r="AD281" s="14">
        <f>IF($A281="","",IF(INDEX('潜水記録'!$AC$5:$AC$3004,$AS281)="","",INDEX('潜水記録'!$AC$5:$AC$3004,$AS281)))</f>
        <v/>
      </c>
      <c r="AE281" s="14">
        <f>IF($A281="","",IF(INDEX('潜水記録'!$AD$5:$AD$3004,$AS281)="","",INDEX('潜水記録'!$AD$5:$AD$3004,$AS281)))</f>
        <v/>
      </c>
      <c r="AF281" s="14">
        <f>IF($A281="","",IF(INDEX('潜水記録'!$AE$5:$AE$3004,$AS281)="","",INDEX('潜水記録'!$AE$5:$AE$3004,$AS281)))</f>
        <v/>
      </c>
      <c r="AG281" s="14">
        <f>IF($A281="","",IF(INDEX('潜水記録'!$AL$5:$AL$3004,$AS281)="","",INDEX('潜水記録'!$AL$5:$AL$3004,$AS281)))</f>
        <v/>
      </c>
      <c r="AH281" s="14">
        <f>IF($A281="","",IF(INDEX('潜水記録'!$AM$5:$AM$3004,$AS281)="","",INDEX('潜水記録'!$AM$5:$AM$3004,$AS281)))</f>
        <v/>
      </c>
      <c r="AI281" s="46">
        <f>IF($A281="","",IF(INDEX('潜水記録'!$AN$5:$AN$3004,$AS281)="","",INDEX('潜水記録'!$AN$5:$AN$3004,$AS281)))</f>
        <v/>
      </c>
      <c r="AJ281" s="14">
        <f>IF($A281="","",IF(INDEX('潜水記録'!$AO$5:$AO$3004,$AS281)="","",INDEX('潜水記録'!$AO$5:$AO$3004,$AS281)))</f>
        <v/>
      </c>
      <c r="AK281" s="14">
        <f>IF($A281="","",IF(INDEX('潜水記録'!$AP$5:$AP$3004,$AS281)="","",INDEX('潜水記録'!$AP$5:$AP$3004,$AS281)))</f>
        <v/>
      </c>
      <c r="AL281" s="14">
        <f>IF($A281="","",IF(INDEX('潜水記録'!$AQ$5:$AQ$3004,$AS281)="","",INDEX('潜水記録'!$AQ$5:$AQ$3004,$AS281)))</f>
        <v/>
      </c>
      <c r="AM281" s="14">
        <f>IF($A281="","",IF(INDEX('潜水記録'!$AR$5:$AR$3004,$AS281)="","",INDEX('潜水記録'!$AR$5:$AR$3004,$AS281)))</f>
        <v/>
      </c>
      <c r="AN281" s="14">
        <f>IF($A281="","",IF(INDEX('潜水記録'!$AS$5:$AS$3004,$AS281)="","",INDEX('潜水記録'!$AS$5:$AS$3004,$AS281)))</f>
        <v/>
      </c>
      <c r="AO281" s="14">
        <f>IF($A281="","",IF(INDEX('潜水記録'!$AT$5:$AT$3004,$AS281)="","",INDEX('潜水記録'!$AT$5:$AT$3004,$AS281)))</f>
        <v/>
      </c>
      <c r="AP281" s="14">
        <f>IF($A281="","",IF(INDEX('潜水記録'!$AU$5:$AU$3004,$AS281)="","",INDEX('潜水記録'!$AU$5:$AU$3004,$AS281)))</f>
        <v/>
      </c>
      <c r="AQ281" s="14">
        <f>IF($A281="","",IF(INDEX('潜水記録'!$AV$5:$AV$3004,$AS281)="","",INDEX('潜水記録'!$AV$5:$AV$3004,$AS281)))</f>
        <v/>
      </c>
      <c r="AR281" s="14">
        <f>IF($A281="","",IF(INDEX('潜水記録'!$AW$5:$AW$3004,$AS281)="","",INDEX('潜水記録'!$AW$5:$AW$3004,$AS281)))</f>
        <v/>
      </c>
      <c r="AS281" s="20">
        <f>IF($A281="","",MATCH($A281,'潜水記録'!$AI$5:$AI$3004,0))</f>
        <v/>
      </c>
    </row>
    <row r="282">
      <c r="A282" s="14">
        <f>IF(272&lt;=$C$8,272,"")</f>
        <v/>
      </c>
      <c r="B282" s="16">
        <f>IF($A282="","",IF(INDEX('潜水記録'!$A$5:$A$3004,$AS282)="","",INDEX('潜水記録'!$A$5:$A$3004,$AS282)))</f>
        <v/>
      </c>
      <c r="C282" s="14">
        <f>IF($A282="","",IF(INDEX('潜水記録'!$B$5:$B$3004,$AS282)="","",INDEX('潜水記録'!$B$5:$B$3004,$AS282)))</f>
        <v/>
      </c>
      <c r="D282" s="14">
        <f>IF($A282="","",IF(INDEX('潜水記録'!$C$5:$C$3004,$AS282)="","",INDEX('潜水記録'!$C$5:$C$3004,$AS282)))</f>
        <v/>
      </c>
      <c r="E282" s="14">
        <f>IF($A282="","",IF(INDEX('潜水記録'!$D$5:$D$3004,$AS282)="","",INDEX('潜水記録'!$D$5:$D$3004,$AS282)))</f>
        <v/>
      </c>
      <c r="F282" s="14">
        <f>IF($A282="","",IF(INDEX('潜水記録'!$E$5:$E$3004,$AS282)="","",INDEX('潜水記録'!$E$5:$E$3004,$AS282)))</f>
        <v/>
      </c>
      <c r="G282" s="14">
        <f>IF($A282="","",IF(INDEX('潜水記録'!$F$5:$F$3004,$AS282)="","",INDEX('潜水記録'!$F$5:$F$3004,$AS282)))</f>
        <v/>
      </c>
      <c r="H282" s="14">
        <f>IF($A282="","",IF(INDEX('潜水記録'!$G$5:$G$3004,$AS282)="","",INDEX('潜水記録'!$G$5:$G$3004,$AS282)))</f>
        <v/>
      </c>
      <c r="I282" s="14">
        <f>IF($A282="","",IF(INDEX('潜水記録'!$H$5:$H$3004,$AS282)="","",INDEX('潜水記録'!$H$5:$H$3004,$AS282)))</f>
        <v/>
      </c>
      <c r="J282" s="14">
        <f>IF($A282="","",IF(INDEX('潜水記録'!$I$5:$I$3004,$AS282)="","",INDEX('潜水記録'!$I$5:$I$3004,$AS282)))</f>
        <v/>
      </c>
      <c r="K282" s="14">
        <f>IF($A282="","",IF(INDEX('潜水記録'!$J$5:$J$3004,$AS282)="","",INDEX('潜水記録'!$J$5:$J$3004,$AS282)))</f>
        <v/>
      </c>
      <c r="L282" s="14">
        <f>IF($A282="","",IF(INDEX('潜水記録'!$K$5:$K$3004,$AS282)="","",INDEX('潜水記録'!$K$5:$K$3004,$AS282)))</f>
        <v/>
      </c>
      <c r="M282" s="14">
        <f>IF($A282="","",IF(INDEX('潜水記録'!$L$5:$L$3004,$AS282)="","",INDEX('潜水記録'!$L$5:$L$3004,$AS282)))</f>
        <v/>
      </c>
      <c r="N282" s="14">
        <f>IF($A282="","",IF(INDEX('潜水記録'!$M$5:$M$3004,$AS282)="","",INDEX('潜水記録'!$M$5:$M$3004,$AS282)))</f>
        <v/>
      </c>
      <c r="O282" s="14">
        <f>IF($A282="","",IF(INDEX('潜水記録'!$N$5:$N$3004,$AS282)="","",INDEX('潜水記録'!$N$5:$N$3004,$AS282)))</f>
        <v/>
      </c>
      <c r="P282" s="14">
        <f>IF($A282="","",IF(INDEX('潜水記録'!$O$5:$O$3004,$AS282)="","",INDEX('潜水記録'!$O$5:$O$3004,$AS282)))</f>
        <v/>
      </c>
      <c r="Q282" s="14">
        <f>IF($A282="","",IF(INDEX('潜水記録'!$P$5:$P$3004,$AS282)="","",INDEX('潜水記録'!$P$5:$P$3004,$AS282)))</f>
        <v/>
      </c>
      <c r="R282" s="14">
        <f>IF($A282="","",IF(INDEX('潜水記録'!$Q$5:$Q$3004,$AS282)="","",INDEX('潜水記録'!$Q$5:$Q$3004,$AS282)))</f>
        <v/>
      </c>
      <c r="S282" s="14">
        <f>IF($A282="","",IF(INDEX('潜水記録'!$R$5:$R$3004,$AS282)="","",INDEX('潜水記録'!$R$5:$R$3004,$AS282)))</f>
        <v/>
      </c>
      <c r="T282" s="14">
        <f>IF($A282="","",IF(INDEX('潜水記録'!$S$5:$S$3004,$AS282)="","",INDEX('潜水記録'!$S$5:$S$3004,$AS282)))</f>
        <v/>
      </c>
      <c r="U282" s="14">
        <f>IF($A282="","",IF(INDEX('潜水記録'!$T$5:$T$3004,$AS282)="","",INDEX('潜水記録'!$T$5:$T$3004,$AS282)))</f>
        <v/>
      </c>
      <c r="V282" s="46">
        <f>IF($A282="","",IF(INDEX('潜水記録'!$U$5:$U$3004,$AS282)="","",INDEX('潜水記録'!$U$5:$U$3004,$AS282)))</f>
        <v/>
      </c>
      <c r="W282" s="46">
        <f>IF($A282="","",IF(INDEX('潜水記録'!$V$5:$V$3004,$AS282)="","",INDEX('潜水記録'!$V$5:$V$3004,$AS282)))</f>
        <v/>
      </c>
      <c r="X282" s="14">
        <f>IF($A282="","",IF(INDEX('潜水記録'!$W$5:$W$3004,$AS282)="","",INDEX('潜水記録'!$W$5:$W$3004,$AS282)))</f>
        <v/>
      </c>
      <c r="Y282" s="14">
        <f>IF($A282="","",IF(INDEX('潜水記録'!$X$5:$X$3004,$AS282)="","",INDEX('潜水記録'!$X$5:$X$3004,$AS282)))</f>
        <v/>
      </c>
      <c r="Z282" s="14">
        <f>IF($A282="","",IF(INDEX('潜水記録'!$Y$5:$Y$3004,$AS282)="","",INDEX('潜水記録'!$Y$5:$Y$3004,$AS282)))</f>
        <v/>
      </c>
      <c r="AA282" s="14">
        <f>IF($A282="","",IF(INDEX('潜水記録'!$Z$5:$Z$3004,$AS282)="","",INDEX('潜水記録'!$Z$5:$Z$3004,$AS282)))</f>
        <v/>
      </c>
      <c r="AB282" s="14">
        <f>IF($A282="","",IF(INDEX('潜水記録'!$AA$5:$AA$3004,$AS282)="","",INDEX('潜水記録'!$AA$5:$AA$3004,$AS282)))</f>
        <v/>
      </c>
      <c r="AC282" s="14">
        <f>IF($A282="","",IF(INDEX('潜水記録'!$AB$5:$AB$3004,$AS282)="","",INDEX('潜水記録'!$AB$5:$AB$3004,$AS282)))</f>
        <v/>
      </c>
      <c r="AD282" s="14">
        <f>IF($A282="","",IF(INDEX('潜水記録'!$AC$5:$AC$3004,$AS282)="","",INDEX('潜水記録'!$AC$5:$AC$3004,$AS282)))</f>
        <v/>
      </c>
      <c r="AE282" s="14">
        <f>IF($A282="","",IF(INDEX('潜水記録'!$AD$5:$AD$3004,$AS282)="","",INDEX('潜水記録'!$AD$5:$AD$3004,$AS282)))</f>
        <v/>
      </c>
      <c r="AF282" s="14">
        <f>IF($A282="","",IF(INDEX('潜水記録'!$AE$5:$AE$3004,$AS282)="","",INDEX('潜水記録'!$AE$5:$AE$3004,$AS282)))</f>
        <v/>
      </c>
      <c r="AG282" s="14">
        <f>IF($A282="","",IF(INDEX('潜水記録'!$AL$5:$AL$3004,$AS282)="","",INDEX('潜水記録'!$AL$5:$AL$3004,$AS282)))</f>
        <v/>
      </c>
      <c r="AH282" s="14">
        <f>IF($A282="","",IF(INDEX('潜水記録'!$AM$5:$AM$3004,$AS282)="","",INDEX('潜水記録'!$AM$5:$AM$3004,$AS282)))</f>
        <v/>
      </c>
      <c r="AI282" s="46">
        <f>IF($A282="","",IF(INDEX('潜水記録'!$AN$5:$AN$3004,$AS282)="","",INDEX('潜水記録'!$AN$5:$AN$3004,$AS282)))</f>
        <v/>
      </c>
      <c r="AJ282" s="14">
        <f>IF($A282="","",IF(INDEX('潜水記録'!$AO$5:$AO$3004,$AS282)="","",INDEX('潜水記録'!$AO$5:$AO$3004,$AS282)))</f>
        <v/>
      </c>
      <c r="AK282" s="14">
        <f>IF($A282="","",IF(INDEX('潜水記録'!$AP$5:$AP$3004,$AS282)="","",INDEX('潜水記録'!$AP$5:$AP$3004,$AS282)))</f>
        <v/>
      </c>
      <c r="AL282" s="14">
        <f>IF($A282="","",IF(INDEX('潜水記録'!$AQ$5:$AQ$3004,$AS282)="","",INDEX('潜水記録'!$AQ$5:$AQ$3004,$AS282)))</f>
        <v/>
      </c>
      <c r="AM282" s="14">
        <f>IF($A282="","",IF(INDEX('潜水記録'!$AR$5:$AR$3004,$AS282)="","",INDEX('潜水記録'!$AR$5:$AR$3004,$AS282)))</f>
        <v/>
      </c>
      <c r="AN282" s="14">
        <f>IF($A282="","",IF(INDEX('潜水記録'!$AS$5:$AS$3004,$AS282)="","",INDEX('潜水記録'!$AS$5:$AS$3004,$AS282)))</f>
        <v/>
      </c>
      <c r="AO282" s="14">
        <f>IF($A282="","",IF(INDEX('潜水記録'!$AT$5:$AT$3004,$AS282)="","",INDEX('潜水記録'!$AT$5:$AT$3004,$AS282)))</f>
        <v/>
      </c>
      <c r="AP282" s="14">
        <f>IF($A282="","",IF(INDEX('潜水記録'!$AU$5:$AU$3004,$AS282)="","",INDEX('潜水記録'!$AU$5:$AU$3004,$AS282)))</f>
        <v/>
      </c>
      <c r="AQ282" s="14">
        <f>IF($A282="","",IF(INDEX('潜水記録'!$AV$5:$AV$3004,$AS282)="","",INDEX('潜水記録'!$AV$5:$AV$3004,$AS282)))</f>
        <v/>
      </c>
      <c r="AR282" s="14">
        <f>IF($A282="","",IF(INDEX('潜水記録'!$AW$5:$AW$3004,$AS282)="","",INDEX('潜水記録'!$AW$5:$AW$3004,$AS282)))</f>
        <v/>
      </c>
      <c r="AS282" s="20">
        <f>IF($A282="","",MATCH($A282,'潜水記録'!$AI$5:$AI$3004,0))</f>
        <v/>
      </c>
    </row>
    <row r="283">
      <c r="A283" s="14">
        <f>IF(273&lt;=$C$8,273,"")</f>
        <v/>
      </c>
      <c r="B283" s="16">
        <f>IF($A283="","",IF(INDEX('潜水記録'!$A$5:$A$3004,$AS283)="","",INDEX('潜水記録'!$A$5:$A$3004,$AS283)))</f>
        <v/>
      </c>
      <c r="C283" s="14">
        <f>IF($A283="","",IF(INDEX('潜水記録'!$B$5:$B$3004,$AS283)="","",INDEX('潜水記録'!$B$5:$B$3004,$AS283)))</f>
        <v/>
      </c>
      <c r="D283" s="14">
        <f>IF($A283="","",IF(INDEX('潜水記録'!$C$5:$C$3004,$AS283)="","",INDEX('潜水記録'!$C$5:$C$3004,$AS283)))</f>
        <v/>
      </c>
      <c r="E283" s="14">
        <f>IF($A283="","",IF(INDEX('潜水記録'!$D$5:$D$3004,$AS283)="","",INDEX('潜水記録'!$D$5:$D$3004,$AS283)))</f>
        <v/>
      </c>
      <c r="F283" s="14">
        <f>IF($A283="","",IF(INDEX('潜水記録'!$E$5:$E$3004,$AS283)="","",INDEX('潜水記録'!$E$5:$E$3004,$AS283)))</f>
        <v/>
      </c>
      <c r="G283" s="14">
        <f>IF($A283="","",IF(INDEX('潜水記録'!$F$5:$F$3004,$AS283)="","",INDEX('潜水記録'!$F$5:$F$3004,$AS283)))</f>
        <v/>
      </c>
      <c r="H283" s="14">
        <f>IF($A283="","",IF(INDEX('潜水記録'!$G$5:$G$3004,$AS283)="","",INDEX('潜水記録'!$G$5:$G$3004,$AS283)))</f>
        <v/>
      </c>
      <c r="I283" s="14">
        <f>IF($A283="","",IF(INDEX('潜水記録'!$H$5:$H$3004,$AS283)="","",INDEX('潜水記録'!$H$5:$H$3004,$AS283)))</f>
        <v/>
      </c>
      <c r="J283" s="14">
        <f>IF($A283="","",IF(INDEX('潜水記録'!$I$5:$I$3004,$AS283)="","",INDEX('潜水記録'!$I$5:$I$3004,$AS283)))</f>
        <v/>
      </c>
      <c r="K283" s="14">
        <f>IF($A283="","",IF(INDEX('潜水記録'!$J$5:$J$3004,$AS283)="","",INDEX('潜水記録'!$J$5:$J$3004,$AS283)))</f>
        <v/>
      </c>
      <c r="L283" s="14">
        <f>IF($A283="","",IF(INDEX('潜水記録'!$K$5:$K$3004,$AS283)="","",INDEX('潜水記録'!$K$5:$K$3004,$AS283)))</f>
        <v/>
      </c>
      <c r="M283" s="14">
        <f>IF($A283="","",IF(INDEX('潜水記録'!$L$5:$L$3004,$AS283)="","",INDEX('潜水記録'!$L$5:$L$3004,$AS283)))</f>
        <v/>
      </c>
      <c r="N283" s="14">
        <f>IF($A283="","",IF(INDEX('潜水記録'!$M$5:$M$3004,$AS283)="","",INDEX('潜水記録'!$M$5:$M$3004,$AS283)))</f>
        <v/>
      </c>
      <c r="O283" s="14">
        <f>IF($A283="","",IF(INDEX('潜水記録'!$N$5:$N$3004,$AS283)="","",INDEX('潜水記録'!$N$5:$N$3004,$AS283)))</f>
        <v/>
      </c>
      <c r="P283" s="14">
        <f>IF($A283="","",IF(INDEX('潜水記録'!$O$5:$O$3004,$AS283)="","",INDEX('潜水記録'!$O$5:$O$3004,$AS283)))</f>
        <v/>
      </c>
      <c r="Q283" s="14">
        <f>IF($A283="","",IF(INDEX('潜水記録'!$P$5:$P$3004,$AS283)="","",INDEX('潜水記録'!$P$5:$P$3004,$AS283)))</f>
        <v/>
      </c>
      <c r="R283" s="14">
        <f>IF($A283="","",IF(INDEX('潜水記録'!$Q$5:$Q$3004,$AS283)="","",INDEX('潜水記録'!$Q$5:$Q$3004,$AS283)))</f>
        <v/>
      </c>
      <c r="S283" s="14">
        <f>IF($A283="","",IF(INDEX('潜水記録'!$R$5:$R$3004,$AS283)="","",INDEX('潜水記録'!$R$5:$R$3004,$AS283)))</f>
        <v/>
      </c>
      <c r="T283" s="14">
        <f>IF($A283="","",IF(INDEX('潜水記録'!$S$5:$S$3004,$AS283)="","",INDEX('潜水記録'!$S$5:$S$3004,$AS283)))</f>
        <v/>
      </c>
      <c r="U283" s="14">
        <f>IF($A283="","",IF(INDEX('潜水記録'!$T$5:$T$3004,$AS283)="","",INDEX('潜水記録'!$T$5:$T$3004,$AS283)))</f>
        <v/>
      </c>
      <c r="V283" s="46">
        <f>IF($A283="","",IF(INDEX('潜水記録'!$U$5:$U$3004,$AS283)="","",INDEX('潜水記録'!$U$5:$U$3004,$AS283)))</f>
        <v/>
      </c>
      <c r="W283" s="46">
        <f>IF($A283="","",IF(INDEX('潜水記録'!$V$5:$V$3004,$AS283)="","",INDEX('潜水記録'!$V$5:$V$3004,$AS283)))</f>
        <v/>
      </c>
      <c r="X283" s="14">
        <f>IF($A283="","",IF(INDEX('潜水記録'!$W$5:$W$3004,$AS283)="","",INDEX('潜水記録'!$W$5:$W$3004,$AS283)))</f>
        <v/>
      </c>
      <c r="Y283" s="14">
        <f>IF($A283="","",IF(INDEX('潜水記録'!$X$5:$X$3004,$AS283)="","",INDEX('潜水記録'!$X$5:$X$3004,$AS283)))</f>
        <v/>
      </c>
      <c r="Z283" s="14">
        <f>IF($A283="","",IF(INDEX('潜水記録'!$Y$5:$Y$3004,$AS283)="","",INDEX('潜水記録'!$Y$5:$Y$3004,$AS283)))</f>
        <v/>
      </c>
      <c r="AA283" s="14">
        <f>IF($A283="","",IF(INDEX('潜水記録'!$Z$5:$Z$3004,$AS283)="","",INDEX('潜水記録'!$Z$5:$Z$3004,$AS283)))</f>
        <v/>
      </c>
      <c r="AB283" s="14">
        <f>IF($A283="","",IF(INDEX('潜水記録'!$AA$5:$AA$3004,$AS283)="","",INDEX('潜水記録'!$AA$5:$AA$3004,$AS283)))</f>
        <v/>
      </c>
      <c r="AC283" s="14">
        <f>IF($A283="","",IF(INDEX('潜水記録'!$AB$5:$AB$3004,$AS283)="","",INDEX('潜水記録'!$AB$5:$AB$3004,$AS283)))</f>
        <v/>
      </c>
      <c r="AD283" s="14">
        <f>IF($A283="","",IF(INDEX('潜水記録'!$AC$5:$AC$3004,$AS283)="","",INDEX('潜水記録'!$AC$5:$AC$3004,$AS283)))</f>
        <v/>
      </c>
      <c r="AE283" s="14">
        <f>IF($A283="","",IF(INDEX('潜水記録'!$AD$5:$AD$3004,$AS283)="","",INDEX('潜水記録'!$AD$5:$AD$3004,$AS283)))</f>
        <v/>
      </c>
      <c r="AF283" s="14">
        <f>IF($A283="","",IF(INDEX('潜水記録'!$AE$5:$AE$3004,$AS283)="","",INDEX('潜水記録'!$AE$5:$AE$3004,$AS283)))</f>
        <v/>
      </c>
      <c r="AG283" s="14">
        <f>IF($A283="","",IF(INDEX('潜水記録'!$AL$5:$AL$3004,$AS283)="","",INDEX('潜水記録'!$AL$5:$AL$3004,$AS283)))</f>
        <v/>
      </c>
      <c r="AH283" s="14">
        <f>IF($A283="","",IF(INDEX('潜水記録'!$AM$5:$AM$3004,$AS283)="","",INDEX('潜水記録'!$AM$5:$AM$3004,$AS283)))</f>
        <v/>
      </c>
      <c r="AI283" s="46">
        <f>IF($A283="","",IF(INDEX('潜水記録'!$AN$5:$AN$3004,$AS283)="","",INDEX('潜水記録'!$AN$5:$AN$3004,$AS283)))</f>
        <v/>
      </c>
      <c r="AJ283" s="14">
        <f>IF($A283="","",IF(INDEX('潜水記録'!$AO$5:$AO$3004,$AS283)="","",INDEX('潜水記録'!$AO$5:$AO$3004,$AS283)))</f>
        <v/>
      </c>
      <c r="AK283" s="14">
        <f>IF($A283="","",IF(INDEX('潜水記録'!$AP$5:$AP$3004,$AS283)="","",INDEX('潜水記録'!$AP$5:$AP$3004,$AS283)))</f>
        <v/>
      </c>
      <c r="AL283" s="14">
        <f>IF($A283="","",IF(INDEX('潜水記録'!$AQ$5:$AQ$3004,$AS283)="","",INDEX('潜水記録'!$AQ$5:$AQ$3004,$AS283)))</f>
        <v/>
      </c>
      <c r="AM283" s="14">
        <f>IF($A283="","",IF(INDEX('潜水記録'!$AR$5:$AR$3004,$AS283)="","",INDEX('潜水記録'!$AR$5:$AR$3004,$AS283)))</f>
        <v/>
      </c>
      <c r="AN283" s="14">
        <f>IF($A283="","",IF(INDEX('潜水記録'!$AS$5:$AS$3004,$AS283)="","",INDEX('潜水記録'!$AS$5:$AS$3004,$AS283)))</f>
        <v/>
      </c>
      <c r="AO283" s="14">
        <f>IF($A283="","",IF(INDEX('潜水記録'!$AT$5:$AT$3004,$AS283)="","",INDEX('潜水記録'!$AT$5:$AT$3004,$AS283)))</f>
        <v/>
      </c>
      <c r="AP283" s="14">
        <f>IF($A283="","",IF(INDEX('潜水記録'!$AU$5:$AU$3004,$AS283)="","",INDEX('潜水記録'!$AU$5:$AU$3004,$AS283)))</f>
        <v/>
      </c>
      <c r="AQ283" s="14">
        <f>IF($A283="","",IF(INDEX('潜水記録'!$AV$5:$AV$3004,$AS283)="","",INDEX('潜水記録'!$AV$5:$AV$3004,$AS283)))</f>
        <v/>
      </c>
      <c r="AR283" s="14">
        <f>IF($A283="","",IF(INDEX('潜水記録'!$AW$5:$AW$3004,$AS283)="","",INDEX('潜水記録'!$AW$5:$AW$3004,$AS283)))</f>
        <v/>
      </c>
      <c r="AS283" s="20">
        <f>IF($A283="","",MATCH($A283,'潜水記録'!$AI$5:$AI$3004,0))</f>
        <v/>
      </c>
    </row>
    <row r="284">
      <c r="A284" s="14">
        <f>IF(274&lt;=$C$8,274,"")</f>
        <v/>
      </c>
      <c r="B284" s="16">
        <f>IF($A284="","",IF(INDEX('潜水記録'!$A$5:$A$3004,$AS284)="","",INDEX('潜水記録'!$A$5:$A$3004,$AS284)))</f>
        <v/>
      </c>
      <c r="C284" s="14">
        <f>IF($A284="","",IF(INDEX('潜水記録'!$B$5:$B$3004,$AS284)="","",INDEX('潜水記録'!$B$5:$B$3004,$AS284)))</f>
        <v/>
      </c>
      <c r="D284" s="14">
        <f>IF($A284="","",IF(INDEX('潜水記録'!$C$5:$C$3004,$AS284)="","",INDEX('潜水記録'!$C$5:$C$3004,$AS284)))</f>
        <v/>
      </c>
      <c r="E284" s="14">
        <f>IF($A284="","",IF(INDEX('潜水記録'!$D$5:$D$3004,$AS284)="","",INDEX('潜水記録'!$D$5:$D$3004,$AS284)))</f>
        <v/>
      </c>
      <c r="F284" s="14">
        <f>IF($A284="","",IF(INDEX('潜水記録'!$E$5:$E$3004,$AS284)="","",INDEX('潜水記録'!$E$5:$E$3004,$AS284)))</f>
        <v/>
      </c>
      <c r="G284" s="14">
        <f>IF($A284="","",IF(INDEX('潜水記録'!$F$5:$F$3004,$AS284)="","",INDEX('潜水記録'!$F$5:$F$3004,$AS284)))</f>
        <v/>
      </c>
      <c r="H284" s="14">
        <f>IF($A284="","",IF(INDEX('潜水記録'!$G$5:$G$3004,$AS284)="","",INDEX('潜水記録'!$G$5:$G$3004,$AS284)))</f>
        <v/>
      </c>
      <c r="I284" s="14">
        <f>IF($A284="","",IF(INDEX('潜水記録'!$H$5:$H$3004,$AS284)="","",INDEX('潜水記録'!$H$5:$H$3004,$AS284)))</f>
        <v/>
      </c>
      <c r="J284" s="14">
        <f>IF($A284="","",IF(INDEX('潜水記録'!$I$5:$I$3004,$AS284)="","",INDEX('潜水記録'!$I$5:$I$3004,$AS284)))</f>
        <v/>
      </c>
      <c r="K284" s="14">
        <f>IF($A284="","",IF(INDEX('潜水記録'!$J$5:$J$3004,$AS284)="","",INDEX('潜水記録'!$J$5:$J$3004,$AS284)))</f>
        <v/>
      </c>
      <c r="L284" s="14">
        <f>IF($A284="","",IF(INDEX('潜水記録'!$K$5:$K$3004,$AS284)="","",INDEX('潜水記録'!$K$5:$K$3004,$AS284)))</f>
        <v/>
      </c>
      <c r="M284" s="14">
        <f>IF($A284="","",IF(INDEX('潜水記録'!$L$5:$L$3004,$AS284)="","",INDEX('潜水記録'!$L$5:$L$3004,$AS284)))</f>
        <v/>
      </c>
      <c r="N284" s="14">
        <f>IF($A284="","",IF(INDEX('潜水記録'!$M$5:$M$3004,$AS284)="","",INDEX('潜水記録'!$M$5:$M$3004,$AS284)))</f>
        <v/>
      </c>
      <c r="O284" s="14">
        <f>IF($A284="","",IF(INDEX('潜水記録'!$N$5:$N$3004,$AS284)="","",INDEX('潜水記録'!$N$5:$N$3004,$AS284)))</f>
        <v/>
      </c>
      <c r="P284" s="14">
        <f>IF($A284="","",IF(INDEX('潜水記録'!$O$5:$O$3004,$AS284)="","",INDEX('潜水記録'!$O$5:$O$3004,$AS284)))</f>
        <v/>
      </c>
      <c r="Q284" s="14">
        <f>IF($A284="","",IF(INDEX('潜水記録'!$P$5:$P$3004,$AS284)="","",INDEX('潜水記録'!$P$5:$P$3004,$AS284)))</f>
        <v/>
      </c>
      <c r="R284" s="14">
        <f>IF($A284="","",IF(INDEX('潜水記録'!$Q$5:$Q$3004,$AS284)="","",INDEX('潜水記録'!$Q$5:$Q$3004,$AS284)))</f>
        <v/>
      </c>
      <c r="S284" s="14">
        <f>IF($A284="","",IF(INDEX('潜水記録'!$R$5:$R$3004,$AS284)="","",INDEX('潜水記録'!$R$5:$R$3004,$AS284)))</f>
        <v/>
      </c>
      <c r="T284" s="14">
        <f>IF($A284="","",IF(INDEX('潜水記録'!$S$5:$S$3004,$AS284)="","",INDEX('潜水記録'!$S$5:$S$3004,$AS284)))</f>
        <v/>
      </c>
      <c r="U284" s="14">
        <f>IF($A284="","",IF(INDEX('潜水記録'!$T$5:$T$3004,$AS284)="","",INDEX('潜水記録'!$T$5:$T$3004,$AS284)))</f>
        <v/>
      </c>
      <c r="V284" s="46">
        <f>IF($A284="","",IF(INDEX('潜水記録'!$U$5:$U$3004,$AS284)="","",INDEX('潜水記録'!$U$5:$U$3004,$AS284)))</f>
        <v/>
      </c>
      <c r="W284" s="46">
        <f>IF($A284="","",IF(INDEX('潜水記録'!$V$5:$V$3004,$AS284)="","",INDEX('潜水記録'!$V$5:$V$3004,$AS284)))</f>
        <v/>
      </c>
      <c r="X284" s="14">
        <f>IF($A284="","",IF(INDEX('潜水記録'!$W$5:$W$3004,$AS284)="","",INDEX('潜水記録'!$W$5:$W$3004,$AS284)))</f>
        <v/>
      </c>
      <c r="Y284" s="14">
        <f>IF($A284="","",IF(INDEX('潜水記録'!$X$5:$X$3004,$AS284)="","",INDEX('潜水記録'!$X$5:$X$3004,$AS284)))</f>
        <v/>
      </c>
      <c r="Z284" s="14">
        <f>IF($A284="","",IF(INDEX('潜水記録'!$Y$5:$Y$3004,$AS284)="","",INDEX('潜水記録'!$Y$5:$Y$3004,$AS284)))</f>
        <v/>
      </c>
      <c r="AA284" s="14">
        <f>IF($A284="","",IF(INDEX('潜水記録'!$Z$5:$Z$3004,$AS284)="","",INDEX('潜水記録'!$Z$5:$Z$3004,$AS284)))</f>
        <v/>
      </c>
      <c r="AB284" s="14">
        <f>IF($A284="","",IF(INDEX('潜水記録'!$AA$5:$AA$3004,$AS284)="","",INDEX('潜水記録'!$AA$5:$AA$3004,$AS284)))</f>
        <v/>
      </c>
      <c r="AC284" s="14">
        <f>IF($A284="","",IF(INDEX('潜水記録'!$AB$5:$AB$3004,$AS284)="","",INDEX('潜水記録'!$AB$5:$AB$3004,$AS284)))</f>
        <v/>
      </c>
      <c r="AD284" s="14">
        <f>IF($A284="","",IF(INDEX('潜水記録'!$AC$5:$AC$3004,$AS284)="","",INDEX('潜水記録'!$AC$5:$AC$3004,$AS284)))</f>
        <v/>
      </c>
      <c r="AE284" s="14">
        <f>IF($A284="","",IF(INDEX('潜水記録'!$AD$5:$AD$3004,$AS284)="","",INDEX('潜水記録'!$AD$5:$AD$3004,$AS284)))</f>
        <v/>
      </c>
      <c r="AF284" s="14">
        <f>IF($A284="","",IF(INDEX('潜水記録'!$AE$5:$AE$3004,$AS284)="","",INDEX('潜水記録'!$AE$5:$AE$3004,$AS284)))</f>
        <v/>
      </c>
      <c r="AG284" s="14">
        <f>IF($A284="","",IF(INDEX('潜水記録'!$AL$5:$AL$3004,$AS284)="","",INDEX('潜水記録'!$AL$5:$AL$3004,$AS284)))</f>
        <v/>
      </c>
      <c r="AH284" s="14">
        <f>IF($A284="","",IF(INDEX('潜水記録'!$AM$5:$AM$3004,$AS284)="","",INDEX('潜水記録'!$AM$5:$AM$3004,$AS284)))</f>
        <v/>
      </c>
      <c r="AI284" s="46">
        <f>IF($A284="","",IF(INDEX('潜水記録'!$AN$5:$AN$3004,$AS284)="","",INDEX('潜水記録'!$AN$5:$AN$3004,$AS284)))</f>
        <v/>
      </c>
      <c r="AJ284" s="14">
        <f>IF($A284="","",IF(INDEX('潜水記録'!$AO$5:$AO$3004,$AS284)="","",INDEX('潜水記録'!$AO$5:$AO$3004,$AS284)))</f>
        <v/>
      </c>
      <c r="AK284" s="14">
        <f>IF($A284="","",IF(INDEX('潜水記録'!$AP$5:$AP$3004,$AS284)="","",INDEX('潜水記録'!$AP$5:$AP$3004,$AS284)))</f>
        <v/>
      </c>
      <c r="AL284" s="14">
        <f>IF($A284="","",IF(INDEX('潜水記録'!$AQ$5:$AQ$3004,$AS284)="","",INDEX('潜水記録'!$AQ$5:$AQ$3004,$AS284)))</f>
        <v/>
      </c>
      <c r="AM284" s="14">
        <f>IF($A284="","",IF(INDEX('潜水記録'!$AR$5:$AR$3004,$AS284)="","",INDEX('潜水記録'!$AR$5:$AR$3004,$AS284)))</f>
        <v/>
      </c>
      <c r="AN284" s="14">
        <f>IF($A284="","",IF(INDEX('潜水記録'!$AS$5:$AS$3004,$AS284)="","",INDEX('潜水記録'!$AS$5:$AS$3004,$AS284)))</f>
        <v/>
      </c>
      <c r="AO284" s="14">
        <f>IF($A284="","",IF(INDEX('潜水記録'!$AT$5:$AT$3004,$AS284)="","",INDEX('潜水記録'!$AT$5:$AT$3004,$AS284)))</f>
        <v/>
      </c>
      <c r="AP284" s="14">
        <f>IF($A284="","",IF(INDEX('潜水記録'!$AU$5:$AU$3004,$AS284)="","",INDEX('潜水記録'!$AU$5:$AU$3004,$AS284)))</f>
        <v/>
      </c>
      <c r="AQ284" s="14">
        <f>IF($A284="","",IF(INDEX('潜水記録'!$AV$5:$AV$3004,$AS284)="","",INDEX('潜水記録'!$AV$5:$AV$3004,$AS284)))</f>
        <v/>
      </c>
      <c r="AR284" s="14">
        <f>IF($A284="","",IF(INDEX('潜水記録'!$AW$5:$AW$3004,$AS284)="","",INDEX('潜水記録'!$AW$5:$AW$3004,$AS284)))</f>
        <v/>
      </c>
      <c r="AS284" s="20">
        <f>IF($A284="","",MATCH($A284,'潜水記録'!$AI$5:$AI$3004,0))</f>
        <v/>
      </c>
    </row>
    <row r="285">
      <c r="A285" s="14">
        <f>IF(275&lt;=$C$8,275,"")</f>
        <v/>
      </c>
      <c r="B285" s="16">
        <f>IF($A285="","",IF(INDEX('潜水記録'!$A$5:$A$3004,$AS285)="","",INDEX('潜水記録'!$A$5:$A$3004,$AS285)))</f>
        <v/>
      </c>
      <c r="C285" s="14">
        <f>IF($A285="","",IF(INDEX('潜水記録'!$B$5:$B$3004,$AS285)="","",INDEX('潜水記録'!$B$5:$B$3004,$AS285)))</f>
        <v/>
      </c>
      <c r="D285" s="14">
        <f>IF($A285="","",IF(INDEX('潜水記録'!$C$5:$C$3004,$AS285)="","",INDEX('潜水記録'!$C$5:$C$3004,$AS285)))</f>
        <v/>
      </c>
      <c r="E285" s="14">
        <f>IF($A285="","",IF(INDEX('潜水記録'!$D$5:$D$3004,$AS285)="","",INDEX('潜水記録'!$D$5:$D$3004,$AS285)))</f>
        <v/>
      </c>
      <c r="F285" s="14">
        <f>IF($A285="","",IF(INDEX('潜水記録'!$E$5:$E$3004,$AS285)="","",INDEX('潜水記録'!$E$5:$E$3004,$AS285)))</f>
        <v/>
      </c>
      <c r="G285" s="14">
        <f>IF($A285="","",IF(INDEX('潜水記録'!$F$5:$F$3004,$AS285)="","",INDEX('潜水記録'!$F$5:$F$3004,$AS285)))</f>
        <v/>
      </c>
      <c r="H285" s="14">
        <f>IF($A285="","",IF(INDEX('潜水記録'!$G$5:$G$3004,$AS285)="","",INDEX('潜水記録'!$G$5:$G$3004,$AS285)))</f>
        <v/>
      </c>
      <c r="I285" s="14">
        <f>IF($A285="","",IF(INDEX('潜水記録'!$H$5:$H$3004,$AS285)="","",INDEX('潜水記録'!$H$5:$H$3004,$AS285)))</f>
        <v/>
      </c>
      <c r="J285" s="14">
        <f>IF($A285="","",IF(INDEX('潜水記録'!$I$5:$I$3004,$AS285)="","",INDEX('潜水記録'!$I$5:$I$3004,$AS285)))</f>
        <v/>
      </c>
      <c r="K285" s="14">
        <f>IF($A285="","",IF(INDEX('潜水記録'!$J$5:$J$3004,$AS285)="","",INDEX('潜水記録'!$J$5:$J$3004,$AS285)))</f>
        <v/>
      </c>
      <c r="L285" s="14">
        <f>IF($A285="","",IF(INDEX('潜水記録'!$K$5:$K$3004,$AS285)="","",INDEX('潜水記録'!$K$5:$K$3004,$AS285)))</f>
        <v/>
      </c>
      <c r="M285" s="14">
        <f>IF($A285="","",IF(INDEX('潜水記録'!$L$5:$L$3004,$AS285)="","",INDEX('潜水記録'!$L$5:$L$3004,$AS285)))</f>
        <v/>
      </c>
      <c r="N285" s="14">
        <f>IF($A285="","",IF(INDEX('潜水記録'!$M$5:$M$3004,$AS285)="","",INDEX('潜水記録'!$M$5:$M$3004,$AS285)))</f>
        <v/>
      </c>
      <c r="O285" s="14">
        <f>IF($A285="","",IF(INDEX('潜水記録'!$N$5:$N$3004,$AS285)="","",INDEX('潜水記録'!$N$5:$N$3004,$AS285)))</f>
        <v/>
      </c>
      <c r="P285" s="14">
        <f>IF($A285="","",IF(INDEX('潜水記録'!$O$5:$O$3004,$AS285)="","",INDEX('潜水記録'!$O$5:$O$3004,$AS285)))</f>
        <v/>
      </c>
      <c r="Q285" s="14">
        <f>IF($A285="","",IF(INDEX('潜水記録'!$P$5:$P$3004,$AS285)="","",INDEX('潜水記録'!$P$5:$P$3004,$AS285)))</f>
        <v/>
      </c>
      <c r="R285" s="14">
        <f>IF($A285="","",IF(INDEX('潜水記録'!$Q$5:$Q$3004,$AS285)="","",INDEX('潜水記録'!$Q$5:$Q$3004,$AS285)))</f>
        <v/>
      </c>
      <c r="S285" s="14">
        <f>IF($A285="","",IF(INDEX('潜水記録'!$R$5:$R$3004,$AS285)="","",INDEX('潜水記録'!$R$5:$R$3004,$AS285)))</f>
        <v/>
      </c>
      <c r="T285" s="14">
        <f>IF($A285="","",IF(INDEX('潜水記録'!$S$5:$S$3004,$AS285)="","",INDEX('潜水記録'!$S$5:$S$3004,$AS285)))</f>
        <v/>
      </c>
      <c r="U285" s="14">
        <f>IF($A285="","",IF(INDEX('潜水記録'!$T$5:$T$3004,$AS285)="","",INDEX('潜水記録'!$T$5:$T$3004,$AS285)))</f>
        <v/>
      </c>
      <c r="V285" s="46">
        <f>IF($A285="","",IF(INDEX('潜水記録'!$U$5:$U$3004,$AS285)="","",INDEX('潜水記録'!$U$5:$U$3004,$AS285)))</f>
        <v/>
      </c>
      <c r="W285" s="46">
        <f>IF($A285="","",IF(INDEX('潜水記録'!$V$5:$V$3004,$AS285)="","",INDEX('潜水記録'!$V$5:$V$3004,$AS285)))</f>
        <v/>
      </c>
      <c r="X285" s="14">
        <f>IF($A285="","",IF(INDEX('潜水記録'!$W$5:$W$3004,$AS285)="","",INDEX('潜水記録'!$W$5:$W$3004,$AS285)))</f>
        <v/>
      </c>
      <c r="Y285" s="14">
        <f>IF($A285="","",IF(INDEX('潜水記録'!$X$5:$X$3004,$AS285)="","",INDEX('潜水記録'!$X$5:$X$3004,$AS285)))</f>
        <v/>
      </c>
      <c r="Z285" s="14">
        <f>IF($A285="","",IF(INDEX('潜水記録'!$Y$5:$Y$3004,$AS285)="","",INDEX('潜水記録'!$Y$5:$Y$3004,$AS285)))</f>
        <v/>
      </c>
      <c r="AA285" s="14">
        <f>IF($A285="","",IF(INDEX('潜水記録'!$Z$5:$Z$3004,$AS285)="","",INDEX('潜水記録'!$Z$5:$Z$3004,$AS285)))</f>
        <v/>
      </c>
      <c r="AB285" s="14">
        <f>IF($A285="","",IF(INDEX('潜水記録'!$AA$5:$AA$3004,$AS285)="","",INDEX('潜水記録'!$AA$5:$AA$3004,$AS285)))</f>
        <v/>
      </c>
      <c r="AC285" s="14">
        <f>IF($A285="","",IF(INDEX('潜水記録'!$AB$5:$AB$3004,$AS285)="","",INDEX('潜水記録'!$AB$5:$AB$3004,$AS285)))</f>
        <v/>
      </c>
      <c r="AD285" s="14">
        <f>IF($A285="","",IF(INDEX('潜水記録'!$AC$5:$AC$3004,$AS285)="","",INDEX('潜水記録'!$AC$5:$AC$3004,$AS285)))</f>
        <v/>
      </c>
      <c r="AE285" s="14">
        <f>IF($A285="","",IF(INDEX('潜水記録'!$AD$5:$AD$3004,$AS285)="","",INDEX('潜水記録'!$AD$5:$AD$3004,$AS285)))</f>
        <v/>
      </c>
      <c r="AF285" s="14">
        <f>IF($A285="","",IF(INDEX('潜水記録'!$AE$5:$AE$3004,$AS285)="","",INDEX('潜水記録'!$AE$5:$AE$3004,$AS285)))</f>
        <v/>
      </c>
      <c r="AG285" s="14">
        <f>IF($A285="","",IF(INDEX('潜水記録'!$AL$5:$AL$3004,$AS285)="","",INDEX('潜水記録'!$AL$5:$AL$3004,$AS285)))</f>
        <v/>
      </c>
      <c r="AH285" s="14">
        <f>IF($A285="","",IF(INDEX('潜水記録'!$AM$5:$AM$3004,$AS285)="","",INDEX('潜水記録'!$AM$5:$AM$3004,$AS285)))</f>
        <v/>
      </c>
      <c r="AI285" s="46">
        <f>IF($A285="","",IF(INDEX('潜水記録'!$AN$5:$AN$3004,$AS285)="","",INDEX('潜水記録'!$AN$5:$AN$3004,$AS285)))</f>
        <v/>
      </c>
      <c r="AJ285" s="14">
        <f>IF($A285="","",IF(INDEX('潜水記録'!$AO$5:$AO$3004,$AS285)="","",INDEX('潜水記録'!$AO$5:$AO$3004,$AS285)))</f>
        <v/>
      </c>
      <c r="AK285" s="14">
        <f>IF($A285="","",IF(INDEX('潜水記録'!$AP$5:$AP$3004,$AS285)="","",INDEX('潜水記録'!$AP$5:$AP$3004,$AS285)))</f>
        <v/>
      </c>
      <c r="AL285" s="14">
        <f>IF($A285="","",IF(INDEX('潜水記録'!$AQ$5:$AQ$3004,$AS285)="","",INDEX('潜水記録'!$AQ$5:$AQ$3004,$AS285)))</f>
        <v/>
      </c>
      <c r="AM285" s="14">
        <f>IF($A285="","",IF(INDEX('潜水記録'!$AR$5:$AR$3004,$AS285)="","",INDEX('潜水記録'!$AR$5:$AR$3004,$AS285)))</f>
        <v/>
      </c>
      <c r="AN285" s="14">
        <f>IF($A285="","",IF(INDEX('潜水記録'!$AS$5:$AS$3004,$AS285)="","",INDEX('潜水記録'!$AS$5:$AS$3004,$AS285)))</f>
        <v/>
      </c>
      <c r="AO285" s="14">
        <f>IF($A285="","",IF(INDEX('潜水記録'!$AT$5:$AT$3004,$AS285)="","",INDEX('潜水記録'!$AT$5:$AT$3004,$AS285)))</f>
        <v/>
      </c>
      <c r="AP285" s="14">
        <f>IF($A285="","",IF(INDEX('潜水記録'!$AU$5:$AU$3004,$AS285)="","",INDEX('潜水記録'!$AU$5:$AU$3004,$AS285)))</f>
        <v/>
      </c>
      <c r="AQ285" s="14">
        <f>IF($A285="","",IF(INDEX('潜水記録'!$AV$5:$AV$3004,$AS285)="","",INDEX('潜水記録'!$AV$5:$AV$3004,$AS285)))</f>
        <v/>
      </c>
      <c r="AR285" s="14">
        <f>IF($A285="","",IF(INDEX('潜水記録'!$AW$5:$AW$3004,$AS285)="","",INDEX('潜水記録'!$AW$5:$AW$3004,$AS285)))</f>
        <v/>
      </c>
      <c r="AS285" s="20">
        <f>IF($A285="","",MATCH($A285,'潜水記録'!$AI$5:$AI$3004,0))</f>
        <v/>
      </c>
    </row>
    <row r="286">
      <c r="A286" s="14">
        <f>IF(276&lt;=$C$8,276,"")</f>
        <v/>
      </c>
      <c r="B286" s="16">
        <f>IF($A286="","",IF(INDEX('潜水記録'!$A$5:$A$3004,$AS286)="","",INDEX('潜水記録'!$A$5:$A$3004,$AS286)))</f>
        <v/>
      </c>
      <c r="C286" s="14">
        <f>IF($A286="","",IF(INDEX('潜水記録'!$B$5:$B$3004,$AS286)="","",INDEX('潜水記録'!$B$5:$B$3004,$AS286)))</f>
        <v/>
      </c>
      <c r="D286" s="14">
        <f>IF($A286="","",IF(INDEX('潜水記録'!$C$5:$C$3004,$AS286)="","",INDEX('潜水記録'!$C$5:$C$3004,$AS286)))</f>
        <v/>
      </c>
      <c r="E286" s="14">
        <f>IF($A286="","",IF(INDEX('潜水記録'!$D$5:$D$3004,$AS286)="","",INDEX('潜水記録'!$D$5:$D$3004,$AS286)))</f>
        <v/>
      </c>
      <c r="F286" s="14">
        <f>IF($A286="","",IF(INDEX('潜水記録'!$E$5:$E$3004,$AS286)="","",INDEX('潜水記録'!$E$5:$E$3004,$AS286)))</f>
        <v/>
      </c>
      <c r="G286" s="14">
        <f>IF($A286="","",IF(INDEX('潜水記録'!$F$5:$F$3004,$AS286)="","",INDEX('潜水記録'!$F$5:$F$3004,$AS286)))</f>
        <v/>
      </c>
      <c r="H286" s="14">
        <f>IF($A286="","",IF(INDEX('潜水記録'!$G$5:$G$3004,$AS286)="","",INDEX('潜水記録'!$G$5:$G$3004,$AS286)))</f>
        <v/>
      </c>
      <c r="I286" s="14">
        <f>IF($A286="","",IF(INDEX('潜水記録'!$H$5:$H$3004,$AS286)="","",INDEX('潜水記録'!$H$5:$H$3004,$AS286)))</f>
        <v/>
      </c>
      <c r="J286" s="14">
        <f>IF($A286="","",IF(INDEX('潜水記録'!$I$5:$I$3004,$AS286)="","",INDEX('潜水記録'!$I$5:$I$3004,$AS286)))</f>
        <v/>
      </c>
      <c r="K286" s="14">
        <f>IF($A286="","",IF(INDEX('潜水記録'!$J$5:$J$3004,$AS286)="","",INDEX('潜水記録'!$J$5:$J$3004,$AS286)))</f>
        <v/>
      </c>
      <c r="L286" s="14">
        <f>IF($A286="","",IF(INDEX('潜水記録'!$K$5:$K$3004,$AS286)="","",INDEX('潜水記録'!$K$5:$K$3004,$AS286)))</f>
        <v/>
      </c>
      <c r="M286" s="14">
        <f>IF($A286="","",IF(INDEX('潜水記録'!$L$5:$L$3004,$AS286)="","",INDEX('潜水記録'!$L$5:$L$3004,$AS286)))</f>
        <v/>
      </c>
      <c r="N286" s="14">
        <f>IF($A286="","",IF(INDEX('潜水記録'!$M$5:$M$3004,$AS286)="","",INDEX('潜水記録'!$M$5:$M$3004,$AS286)))</f>
        <v/>
      </c>
      <c r="O286" s="14">
        <f>IF($A286="","",IF(INDEX('潜水記録'!$N$5:$N$3004,$AS286)="","",INDEX('潜水記録'!$N$5:$N$3004,$AS286)))</f>
        <v/>
      </c>
      <c r="P286" s="14">
        <f>IF($A286="","",IF(INDEX('潜水記録'!$O$5:$O$3004,$AS286)="","",INDEX('潜水記録'!$O$5:$O$3004,$AS286)))</f>
        <v/>
      </c>
      <c r="Q286" s="14">
        <f>IF($A286="","",IF(INDEX('潜水記録'!$P$5:$P$3004,$AS286)="","",INDEX('潜水記録'!$P$5:$P$3004,$AS286)))</f>
        <v/>
      </c>
      <c r="R286" s="14">
        <f>IF($A286="","",IF(INDEX('潜水記録'!$Q$5:$Q$3004,$AS286)="","",INDEX('潜水記録'!$Q$5:$Q$3004,$AS286)))</f>
        <v/>
      </c>
      <c r="S286" s="14">
        <f>IF($A286="","",IF(INDEX('潜水記録'!$R$5:$R$3004,$AS286)="","",INDEX('潜水記録'!$R$5:$R$3004,$AS286)))</f>
        <v/>
      </c>
      <c r="T286" s="14">
        <f>IF($A286="","",IF(INDEX('潜水記録'!$S$5:$S$3004,$AS286)="","",INDEX('潜水記録'!$S$5:$S$3004,$AS286)))</f>
        <v/>
      </c>
      <c r="U286" s="14">
        <f>IF($A286="","",IF(INDEX('潜水記録'!$T$5:$T$3004,$AS286)="","",INDEX('潜水記録'!$T$5:$T$3004,$AS286)))</f>
        <v/>
      </c>
      <c r="V286" s="46">
        <f>IF($A286="","",IF(INDEX('潜水記録'!$U$5:$U$3004,$AS286)="","",INDEX('潜水記録'!$U$5:$U$3004,$AS286)))</f>
        <v/>
      </c>
      <c r="W286" s="46">
        <f>IF($A286="","",IF(INDEX('潜水記録'!$V$5:$V$3004,$AS286)="","",INDEX('潜水記録'!$V$5:$V$3004,$AS286)))</f>
        <v/>
      </c>
      <c r="X286" s="14">
        <f>IF($A286="","",IF(INDEX('潜水記録'!$W$5:$W$3004,$AS286)="","",INDEX('潜水記録'!$W$5:$W$3004,$AS286)))</f>
        <v/>
      </c>
      <c r="Y286" s="14">
        <f>IF($A286="","",IF(INDEX('潜水記録'!$X$5:$X$3004,$AS286)="","",INDEX('潜水記録'!$X$5:$X$3004,$AS286)))</f>
        <v/>
      </c>
      <c r="Z286" s="14">
        <f>IF($A286="","",IF(INDEX('潜水記録'!$Y$5:$Y$3004,$AS286)="","",INDEX('潜水記録'!$Y$5:$Y$3004,$AS286)))</f>
        <v/>
      </c>
      <c r="AA286" s="14">
        <f>IF($A286="","",IF(INDEX('潜水記録'!$Z$5:$Z$3004,$AS286)="","",INDEX('潜水記録'!$Z$5:$Z$3004,$AS286)))</f>
        <v/>
      </c>
      <c r="AB286" s="14">
        <f>IF($A286="","",IF(INDEX('潜水記録'!$AA$5:$AA$3004,$AS286)="","",INDEX('潜水記録'!$AA$5:$AA$3004,$AS286)))</f>
        <v/>
      </c>
      <c r="AC286" s="14">
        <f>IF($A286="","",IF(INDEX('潜水記録'!$AB$5:$AB$3004,$AS286)="","",INDEX('潜水記録'!$AB$5:$AB$3004,$AS286)))</f>
        <v/>
      </c>
      <c r="AD286" s="14">
        <f>IF($A286="","",IF(INDEX('潜水記録'!$AC$5:$AC$3004,$AS286)="","",INDEX('潜水記録'!$AC$5:$AC$3004,$AS286)))</f>
        <v/>
      </c>
      <c r="AE286" s="14">
        <f>IF($A286="","",IF(INDEX('潜水記録'!$AD$5:$AD$3004,$AS286)="","",INDEX('潜水記録'!$AD$5:$AD$3004,$AS286)))</f>
        <v/>
      </c>
      <c r="AF286" s="14">
        <f>IF($A286="","",IF(INDEX('潜水記録'!$AE$5:$AE$3004,$AS286)="","",INDEX('潜水記録'!$AE$5:$AE$3004,$AS286)))</f>
        <v/>
      </c>
      <c r="AG286" s="14">
        <f>IF($A286="","",IF(INDEX('潜水記録'!$AL$5:$AL$3004,$AS286)="","",INDEX('潜水記録'!$AL$5:$AL$3004,$AS286)))</f>
        <v/>
      </c>
      <c r="AH286" s="14">
        <f>IF($A286="","",IF(INDEX('潜水記録'!$AM$5:$AM$3004,$AS286)="","",INDEX('潜水記録'!$AM$5:$AM$3004,$AS286)))</f>
        <v/>
      </c>
      <c r="AI286" s="46">
        <f>IF($A286="","",IF(INDEX('潜水記録'!$AN$5:$AN$3004,$AS286)="","",INDEX('潜水記録'!$AN$5:$AN$3004,$AS286)))</f>
        <v/>
      </c>
      <c r="AJ286" s="14">
        <f>IF($A286="","",IF(INDEX('潜水記録'!$AO$5:$AO$3004,$AS286)="","",INDEX('潜水記録'!$AO$5:$AO$3004,$AS286)))</f>
        <v/>
      </c>
      <c r="AK286" s="14">
        <f>IF($A286="","",IF(INDEX('潜水記録'!$AP$5:$AP$3004,$AS286)="","",INDEX('潜水記録'!$AP$5:$AP$3004,$AS286)))</f>
        <v/>
      </c>
      <c r="AL286" s="14">
        <f>IF($A286="","",IF(INDEX('潜水記録'!$AQ$5:$AQ$3004,$AS286)="","",INDEX('潜水記録'!$AQ$5:$AQ$3004,$AS286)))</f>
        <v/>
      </c>
      <c r="AM286" s="14">
        <f>IF($A286="","",IF(INDEX('潜水記録'!$AR$5:$AR$3004,$AS286)="","",INDEX('潜水記録'!$AR$5:$AR$3004,$AS286)))</f>
        <v/>
      </c>
      <c r="AN286" s="14">
        <f>IF($A286="","",IF(INDEX('潜水記録'!$AS$5:$AS$3004,$AS286)="","",INDEX('潜水記録'!$AS$5:$AS$3004,$AS286)))</f>
        <v/>
      </c>
      <c r="AO286" s="14">
        <f>IF($A286="","",IF(INDEX('潜水記録'!$AT$5:$AT$3004,$AS286)="","",INDEX('潜水記録'!$AT$5:$AT$3004,$AS286)))</f>
        <v/>
      </c>
      <c r="AP286" s="14">
        <f>IF($A286="","",IF(INDEX('潜水記録'!$AU$5:$AU$3004,$AS286)="","",INDEX('潜水記録'!$AU$5:$AU$3004,$AS286)))</f>
        <v/>
      </c>
      <c r="AQ286" s="14">
        <f>IF($A286="","",IF(INDEX('潜水記録'!$AV$5:$AV$3004,$AS286)="","",INDEX('潜水記録'!$AV$5:$AV$3004,$AS286)))</f>
        <v/>
      </c>
      <c r="AR286" s="14">
        <f>IF($A286="","",IF(INDEX('潜水記録'!$AW$5:$AW$3004,$AS286)="","",INDEX('潜水記録'!$AW$5:$AW$3004,$AS286)))</f>
        <v/>
      </c>
      <c r="AS286" s="20">
        <f>IF($A286="","",MATCH($A286,'潜水記録'!$AI$5:$AI$3004,0))</f>
        <v/>
      </c>
    </row>
    <row r="287">
      <c r="A287" s="14">
        <f>IF(277&lt;=$C$8,277,"")</f>
        <v/>
      </c>
      <c r="B287" s="16">
        <f>IF($A287="","",IF(INDEX('潜水記録'!$A$5:$A$3004,$AS287)="","",INDEX('潜水記録'!$A$5:$A$3004,$AS287)))</f>
        <v/>
      </c>
      <c r="C287" s="14">
        <f>IF($A287="","",IF(INDEX('潜水記録'!$B$5:$B$3004,$AS287)="","",INDEX('潜水記録'!$B$5:$B$3004,$AS287)))</f>
        <v/>
      </c>
      <c r="D287" s="14">
        <f>IF($A287="","",IF(INDEX('潜水記録'!$C$5:$C$3004,$AS287)="","",INDEX('潜水記録'!$C$5:$C$3004,$AS287)))</f>
        <v/>
      </c>
      <c r="E287" s="14">
        <f>IF($A287="","",IF(INDEX('潜水記録'!$D$5:$D$3004,$AS287)="","",INDEX('潜水記録'!$D$5:$D$3004,$AS287)))</f>
        <v/>
      </c>
      <c r="F287" s="14">
        <f>IF($A287="","",IF(INDEX('潜水記録'!$E$5:$E$3004,$AS287)="","",INDEX('潜水記録'!$E$5:$E$3004,$AS287)))</f>
        <v/>
      </c>
      <c r="G287" s="14">
        <f>IF($A287="","",IF(INDEX('潜水記録'!$F$5:$F$3004,$AS287)="","",INDEX('潜水記録'!$F$5:$F$3004,$AS287)))</f>
        <v/>
      </c>
      <c r="H287" s="14">
        <f>IF($A287="","",IF(INDEX('潜水記録'!$G$5:$G$3004,$AS287)="","",INDEX('潜水記録'!$G$5:$G$3004,$AS287)))</f>
        <v/>
      </c>
      <c r="I287" s="14">
        <f>IF($A287="","",IF(INDEX('潜水記録'!$H$5:$H$3004,$AS287)="","",INDEX('潜水記録'!$H$5:$H$3004,$AS287)))</f>
        <v/>
      </c>
      <c r="J287" s="14">
        <f>IF($A287="","",IF(INDEX('潜水記録'!$I$5:$I$3004,$AS287)="","",INDEX('潜水記録'!$I$5:$I$3004,$AS287)))</f>
        <v/>
      </c>
      <c r="K287" s="14">
        <f>IF($A287="","",IF(INDEX('潜水記録'!$J$5:$J$3004,$AS287)="","",INDEX('潜水記録'!$J$5:$J$3004,$AS287)))</f>
        <v/>
      </c>
      <c r="L287" s="14">
        <f>IF($A287="","",IF(INDEX('潜水記録'!$K$5:$K$3004,$AS287)="","",INDEX('潜水記録'!$K$5:$K$3004,$AS287)))</f>
        <v/>
      </c>
      <c r="M287" s="14">
        <f>IF($A287="","",IF(INDEX('潜水記録'!$L$5:$L$3004,$AS287)="","",INDEX('潜水記録'!$L$5:$L$3004,$AS287)))</f>
        <v/>
      </c>
      <c r="N287" s="14">
        <f>IF($A287="","",IF(INDEX('潜水記録'!$M$5:$M$3004,$AS287)="","",INDEX('潜水記録'!$M$5:$M$3004,$AS287)))</f>
        <v/>
      </c>
      <c r="O287" s="14">
        <f>IF($A287="","",IF(INDEX('潜水記録'!$N$5:$N$3004,$AS287)="","",INDEX('潜水記録'!$N$5:$N$3004,$AS287)))</f>
        <v/>
      </c>
      <c r="P287" s="14">
        <f>IF($A287="","",IF(INDEX('潜水記録'!$O$5:$O$3004,$AS287)="","",INDEX('潜水記録'!$O$5:$O$3004,$AS287)))</f>
        <v/>
      </c>
      <c r="Q287" s="14">
        <f>IF($A287="","",IF(INDEX('潜水記録'!$P$5:$P$3004,$AS287)="","",INDEX('潜水記録'!$P$5:$P$3004,$AS287)))</f>
        <v/>
      </c>
      <c r="R287" s="14">
        <f>IF($A287="","",IF(INDEX('潜水記録'!$Q$5:$Q$3004,$AS287)="","",INDEX('潜水記録'!$Q$5:$Q$3004,$AS287)))</f>
        <v/>
      </c>
      <c r="S287" s="14">
        <f>IF($A287="","",IF(INDEX('潜水記録'!$R$5:$R$3004,$AS287)="","",INDEX('潜水記録'!$R$5:$R$3004,$AS287)))</f>
        <v/>
      </c>
      <c r="T287" s="14">
        <f>IF($A287="","",IF(INDEX('潜水記録'!$S$5:$S$3004,$AS287)="","",INDEX('潜水記録'!$S$5:$S$3004,$AS287)))</f>
        <v/>
      </c>
      <c r="U287" s="14">
        <f>IF($A287="","",IF(INDEX('潜水記録'!$T$5:$T$3004,$AS287)="","",INDEX('潜水記録'!$T$5:$T$3004,$AS287)))</f>
        <v/>
      </c>
      <c r="V287" s="46">
        <f>IF($A287="","",IF(INDEX('潜水記録'!$U$5:$U$3004,$AS287)="","",INDEX('潜水記録'!$U$5:$U$3004,$AS287)))</f>
        <v/>
      </c>
      <c r="W287" s="46">
        <f>IF($A287="","",IF(INDEX('潜水記録'!$V$5:$V$3004,$AS287)="","",INDEX('潜水記録'!$V$5:$V$3004,$AS287)))</f>
        <v/>
      </c>
      <c r="X287" s="14">
        <f>IF($A287="","",IF(INDEX('潜水記録'!$W$5:$W$3004,$AS287)="","",INDEX('潜水記録'!$W$5:$W$3004,$AS287)))</f>
        <v/>
      </c>
      <c r="Y287" s="14">
        <f>IF($A287="","",IF(INDEX('潜水記録'!$X$5:$X$3004,$AS287)="","",INDEX('潜水記録'!$X$5:$X$3004,$AS287)))</f>
        <v/>
      </c>
      <c r="Z287" s="14">
        <f>IF($A287="","",IF(INDEX('潜水記録'!$Y$5:$Y$3004,$AS287)="","",INDEX('潜水記録'!$Y$5:$Y$3004,$AS287)))</f>
        <v/>
      </c>
      <c r="AA287" s="14">
        <f>IF($A287="","",IF(INDEX('潜水記録'!$Z$5:$Z$3004,$AS287)="","",INDEX('潜水記録'!$Z$5:$Z$3004,$AS287)))</f>
        <v/>
      </c>
      <c r="AB287" s="14">
        <f>IF($A287="","",IF(INDEX('潜水記録'!$AA$5:$AA$3004,$AS287)="","",INDEX('潜水記録'!$AA$5:$AA$3004,$AS287)))</f>
        <v/>
      </c>
      <c r="AC287" s="14">
        <f>IF($A287="","",IF(INDEX('潜水記録'!$AB$5:$AB$3004,$AS287)="","",INDEX('潜水記録'!$AB$5:$AB$3004,$AS287)))</f>
        <v/>
      </c>
      <c r="AD287" s="14">
        <f>IF($A287="","",IF(INDEX('潜水記録'!$AC$5:$AC$3004,$AS287)="","",INDEX('潜水記録'!$AC$5:$AC$3004,$AS287)))</f>
        <v/>
      </c>
      <c r="AE287" s="14">
        <f>IF($A287="","",IF(INDEX('潜水記録'!$AD$5:$AD$3004,$AS287)="","",INDEX('潜水記録'!$AD$5:$AD$3004,$AS287)))</f>
        <v/>
      </c>
      <c r="AF287" s="14">
        <f>IF($A287="","",IF(INDEX('潜水記録'!$AE$5:$AE$3004,$AS287)="","",INDEX('潜水記録'!$AE$5:$AE$3004,$AS287)))</f>
        <v/>
      </c>
      <c r="AG287" s="14">
        <f>IF($A287="","",IF(INDEX('潜水記録'!$AL$5:$AL$3004,$AS287)="","",INDEX('潜水記録'!$AL$5:$AL$3004,$AS287)))</f>
        <v/>
      </c>
      <c r="AH287" s="14">
        <f>IF($A287="","",IF(INDEX('潜水記録'!$AM$5:$AM$3004,$AS287)="","",INDEX('潜水記録'!$AM$5:$AM$3004,$AS287)))</f>
        <v/>
      </c>
      <c r="AI287" s="46">
        <f>IF($A287="","",IF(INDEX('潜水記録'!$AN$5:$AN$3004,$AS287)="","",INDEX('潜水記録'!$AN$5:$AN$3004,$AS287)))</f>
        <v/>
      </c>
      <c r="AJ287" s="14">
        <f>IF($A287="","",IF(INDEX('潜水記録'!$AO$5:$AO$3004,$AS287)="","",INDEX('潜水記録'!$AO$5:$AO$3004,$AS287)))</f>
        <v/>
      </c>
      <c r="AK287" s="14">
        <f>IF($A287="","",IF(INDEX('潜水記録'!$AP$5:$AP$3004,$AS287)="","",INDEX('潜水記録'!$AP$5:$AP$3004,$AS287)))</f>
        <v/>
      </c>
      <c r="AL287" s="14">
        <f>IF($A287="","",IF(INDEX('潜水記録'!$AQ$5:$AQ$3004,$AS287)="","",INDEX('潜水記録'!$AQ$5:$AQ$3004,$AS287)))</f>
        <v/>
      </c>
      <c r="AM287" s="14">
        <f>IF($A287="","",IF(INDEX('潜水記録'!$AR$5:$AR$3004,$AS287)="","",INDEX('潜水記録'!$AR$5:$AR$3004,$AS287)))</f>
        <v/>
      </c>
      <c r="AN287" s="14">
        <f>IF($A287="","",IF(INDEX('潜水記録'!$AS$5:$AS$3004,$AS287)="","",INDEX('潜水記録'!$AS$5:$AS$3004,$AS287)))</f>
        <v/>
      </c>
      <c r="AO287" s="14">
        <f>IF($A287="","",IF(INDEX('潜水記録'!$AT$5:$AT$3004,$AS287)="","",INDEX('潜水記録'!$AT$5:$AT$3004,$AS287)))</f>
        <v/>
      </c>
      <c r="AP287" s="14">
        <f>IF($A287="","",IF(INDEX('潜水記録'!$AU$5:$AU$3004,$AS287)="","",INDEX('潜水記録'!$AU$5:$AU$3004,$AS287)))</f>
        <v/>
      </c>
      <c r="AQ287" s="14">
        <f>IF($A287="","",IF(INDEX('潜水記録'!$AV$5:$AV$3004,$AS287)="","",INDEX('潜水記録'!$AV$5:$AV$3004,$AS287)))</f>
        <v/>
      </c>
      <c r="AR287" s="14">
        <f>IF($A287="","",IF(INDEX('潜水記録'!$AW$5:$AW$3004,$AS287)="","",INDEX('潜水記録'!$AW$5:$AW$3004,$AS287)))</f>
        <v/>
      </c>
      <c r="AS287" s="20">
        <f>IF($A287="","",MATCH($A287,'潜水記録'!$AI$5:$AI$3004,0))</f>
        <v/>
      </c>
    </row>
    <row r="288">
      <c r="A288" s="14">
        <f>IF(278&lt;=$C$8,278,"")</f>
        <v/>
      </c>
      <c r="B288" s="16">
        <f>IF($A288="","",IF(INDEX('潜水記録'!$A$5:$A$3004,$AS288)="","",INDEX('潜水記録'!$A$5:$A$3004,$AS288)))</f>
        <v/>
      </c>
      <c r="C288" s="14">
        <f>IF($A288="","",IF(INDEX('潜水記録'!$B$5:$B$3004,$AS288)="","",INDEX('潜水記録'!$B$5:$B$3004,$AS288)))</f>
        <v/>
      </c>
      <c r="D288" s="14">
        <f>IF($A288="","",IF(INDEX('潜水記録'!$C$5:$C$3004,$AS288)="","",INDEX('潜水記録'!$C$5:$C$3004,$AS288)))</f>
        <v/>
      </c>
      <c r="E288" s="14">
        <f>IF($A288="","",IF(INDEX('潜水記録'!$D$5:$D$3004,$AS288)="","",INDEX('潜水記録'!$D$5:$D$3004,$AS288)))</f>
        <v/>
      </c>
      <c r="F288" s="14">
        <f>IF($A288="","",IF(INDEX('潜水記録'!$E$5:$E$3004,$AS288)="","",INDEX('潜水記録'!$E$5:$E$3004,$AS288)))</f>
        <v/>
      </c>
      <c r="G288" s="14">
        <f>IF($A288="","",IF(INDEX('潜水記録'!$F$5:$F$3004,$AS288)="","",INDEX('潜水記録'!$F$5:$F$3004,$AS288)))</f>
        <v/>
      </c>
      <c r="H288" s="14">
        <f>IF($A288="","",IF(INDEX('潜水記録'!$G$5:$G$3004,$AS288)="","",INDEX('潜水記録'!$G$5:$G$3004,$AS288)))</f>
        <v/>
      </c>
      <c r="I288" s="14">
        <f>IF($A288="","",IF(INDEX('潜水記録'!$H$5:$H$3004,$AS288)="","",INDEX('潜水記録'!$H$5:$H$3004,$AS288)))</f>
        <v/>
      </c>
      <c r="J288" s="14">
        <f>IF($A288="","",IF(INDEX('潜水記録'!$I$5:$I$3004,$AS288)="","",INDEX('潜水記録'!$I$5:$I$3004,$AS288)))</f>
        <v/>
      </c>
      <c r="K288" s="14">
        <f>IF($A288="","",IF(INDEX('潜水記録'!$J$5:$J$3004,$AS288)="","",INDEX('潜水記録'!$J$5:$J$3004,$AS288)))</f>
        <v/>
      </c>
      <c r="L288" s="14">
        <f>IF($A288="","",IF(INDEX('潜水記録'!$K$5:$K$3004,$AS288)="","",INDEX('潜水記録'!$K$5:$K$3004,$AS288)))</f>
        <v/>
      </c>
      <c r="M288" s="14">
        <f>IF($A288="","",IF(INDEX('潜水記録'!$L$5:$L$3004,$AS288)="","",INDEX('潜水記録'!$L$5:$L$3004,$AS288)))</f>
        <v/>
      </c>
      <c r="N288" s="14">
        <f>IF($A288="","",IF(INDEX('潜水記録'!$M$5:$M$3004,$AS288)="","",INDEX('潜水記録'!$M$5:$M$3004,$AS288)))</f>
        <v/>
      </c>
      <c r="O288" s="14">
        <f>IF($A288="","",IF(INDEX('潜水記録'!$N$5:$N$3004,$AS288)="","",INDEX('潜水記録'!$N$5:$N$3004,$AS288)))</f>
        <v/>
      </c>
      <c r="P288" s="14">
        <f>IF($A288="","",IF(INDEX('潜水記録'!$O$5:$O$3004,$AS288)="","",INDEX('潜水記録'!$O$5:$O$3004,$AS288)))</f>
        <v/>
      </c>
      <c r="Q288" s="14">
        <f>IF($A288="","",IF(INDEX('潜水記録'!$P$5:$P$3004,$AS288)="","",INDEX('潜水記録'!$P$5:$P$3004,$AS288)))</f>
        <v/>
      </c>
      <c r="R288" s="14">
        <f>IF($A288="","",IF(INDEX('潜水記録'!$Q$5:$Q$3004,$AS288)="","",INDEX('潜水記録'!$Q$5:$Q$3004,$AS288)))</f>
        <v/>
      </c>
      <c r="S288" s="14">
        <f>IF($A288="","",IF(INDEX('潜水記録'!$R$5:$R$3004,$AS288)="","",INDEX('潜水記録'!$R$5:$R$3004,$AS288)))</f>
        <v/>
      </c>
      <c r="T288" s="14">
        <f>IF($A288="","",IF(INDEX('潜水記録'!$S$5:$S$3004,$AS288)="","",INDEX('潜水記録'!$S$5:$S$3004,$AS288)))</f>
        <v/>
      </c>
      <c r="U288" s="14">
        <f>IF($A288="","",IF(INDEX('潜水記録'!$T$5:$T$3004,$AS288)="","",INDEX('潜水記録'!$T$5:$T$3004,$AS288)))</f>
        <v/>
      </c>
      <c r="V288" s="46">
        <f>IF($A288="","",IF(INDEX('潜水記録'!$U$5:$U$3004,$AS288)="","",INDEX('潜水記録'!$U$5:$U$3004,$AS288)))</f>
        <v/>
      </c>
      <c r="W288" s="46">
        <f>IF($A288="","",IF(INDEX('潜水記録'!$V$5:$V$3004,$AS288)="","",INDEX('潜水記録'!$V$5:$V$3004,$AS288)))</f>
        <v/>
      </c>
      <c r="X288" s="14">
        <f>IF($A288="","",IF(INDEX('潜水記録'!$W$5:$W$3004,$AS288)="","",INDEX('潜水記録'!$W$5:$W$3004,$AS288)))</f>
        <v/>
      </c>
      <c r="Y288" s="14">
        <f>IF($A288="","",IF(INDEX('潜水記録'!$X$5:$X$3004,$AS288)="","",INDEX('潜水記録'!$X$5:$X$3004,$AS288)))</f>
        <v/>
      </c>
      <c r="Z288" s="14">
        <f>IF($A288="","",IF(INDEX('潜水記録'!$Y$5:$Y$3004,$AS288)="","",INDEX('潜水記録'!$Y$5:$Y$3004,$AS288)))</f>
        <v/>
      </c>
      <c r="AA288" s="14">
        <f>IF($A288="","",IF(INDEX('潜水記録'!$Z$5:$Z$3004,$AS288)="","",INDEX('潜水記録'!$Z$5:$Z$3004,$AS288)))</f>
        <v/>
      </c>
      <c r="AB288" s="14">
        <f>IF($A288="","",IF(INDEX('潜水記録'!$AA$5:$AA$3004,$AS288)="","",INDEX('潜水記録'!$AA$5:$AA$3004,$AS288)))</f>
        <v/>
      </c>
      <c r="AC288" s="14">
        <f>IF($A288="","",IF(INDEX('潜水記録'!$AB$5:$AB$3004,$AS288)="","",INDEX('潜水記録'!$AB$5:$AB$3004,$AS288)))</f>
        <v/>
      </c>
      <c r="AD288" s="14">
        <f>IF($A288="","",IF(INDEX('潜水記録'!$AC$5:$AC$3004,$AS288)="","",INDEX('潜水記録'!$AC$5:$AC$3004,$AS288)))</f>
        <v/>
      </c>
      <c r="AE288" s="14">
        <f>IF($A288="","",IF(INDEX('潜水記録'!$AD$5:$AD$3004,$AS288)="","",INDEX('潜水記録'!$AD$5:$AD$3004,$AS288)))</f>
        <v/>
      </c>
      <c r="AF288" s="14">
        <f>IF($A288="","",IF(INDEX('潜水記録'!$AE$5:$AE$3004,$AS288)="","",INDEX('潜水記録'!$AE$5:$AE$3004,$AS288)))</f>
        <v/>
      </c>
      <c r="AG288" s="14">
        <f>IF($A288="","",IF(INDEX('潜水記録'!$AL$5:$AL$3004,$AS288)="","",INDEX('潜水記録'!$AL$5:$AL$3004,$AS288)))</f>
        <v/>
      </c>
      <c r="AH288" s="14">
        <f>IF($A288="","",IF(INDEX('潜水記録'!$AM$5:$AM$3004,$AS288)="","",INDEX('潜水記録'!$AM$5:$AM$3004,$AS288)))</f>
        <v/>
      </c>
      <c r="AI288" s="46">
        <f>IF($A288="","",IF(INDEX('潜水記録'!$AN$5:$AN$3004,$AS288)="","",INDEX('潜水記録'!$AN$5:$AN$3004,$AS288)))</f>
        <v/>
      </c>
      <c r="AJ288" s="14">
        <f>IF($A288="","",IF(INDEX('潜水記録'!$AO$5:$AO$3004,$AS288)="","",INDEX('潜水記録'!$AO$5:$AO$3004,$AS288)))</f>
        <v/>
      </c>
      <c r="AK288" s="14">
        <f>IF($A288="","",IF(INDEX('潜水記録'!$AP$5:$AP$3004,$AS288)="","",INDEX('潜水記録'!$AP$5:$AP$3004,$AS288)))</f>
        <v/>
      </c>
      <c r="AL288" s="14">
        <f>IF($A288="","",IF(INDEX('潜水記録'!$AQ$5:$AQ$3004,$AS288)="","",INDEX('潜水記録'!$AQ$5:$AQ$3004,$AS288)))</f>
        <v/>
      </c>
      <c r="AM288" s="14">
        <f>IF($A288="","",IF(INDEX('潜水記録'!$AR$5:$AR$3004,$AS288)="","",INDEX('潜水記録'!$AR$5:$AR$3004,$AS288)))</f>
        <v/>
      </c>
      <c r="AN288" s="14">
        <f>IF($A288="","",IF(INDEX('潜水記録'!$AS$5:$AS$3004,$AS288)="","",INDEX('潜水記録'!$AS$5:$AS$3004,$AS288)))</f>
        <v/>
      </c>
      <c r="AO288" s="14">
        <f>IF($A288="","",IF(INDEX('潜水記録'!$AT$5:$AT$3004,$AS288)="","",INDEX('潜水記録'!$AT$5:$AT$3004,$AS288)))</f>
        <v/>
      </c>
      <c r="AP288" s="14">
        <f>IF($A288="","",IF(INDEX('潜水記録'!$AU$5:$AU$3004,$AS288)="","",INDEX('潜水記録'!$AU$5:$AU$3004,$AS288)))</f>
        <v/>
      </c>
      <c r="AQ288" s="14">
        <f>IF($A288="","",IF(INDEX('潜水記録'!$AV$5:$AV$3004,$AS288)="","",INDEX('潜水記録'!$AV$5:$AV$3004,$AS288)))</f>
        <v/>
      </c>
      <c r="AR288" s="14">
        <f>IF($A288="","",IF(INDEX('潜水記録'!$AW$5:$AW$3004,$AS288)="","",INDEX('潜水記録'!$AW$5:$AW$3004,$AS288)))</f>
        <v/>
      </c>
      <c r="AS288" s="20">
        <f>IF($A288="","",MATCH($A288,'潜水記録'!$AI$5:$AI$3004,0))</f>
        <v/>
      </c>
    </row>
    <row r="289">
      <c r="A289" s="14">
        <f>IF(279&lt;=$C$8,279,"")</f>
        <v/>
      </c>
      <c r="B289" s="16">
        <f>IF($A289="","",IF(INDEX('潜水記録'!$A$5:$A$3004,$AS289)="","",INDEX('潜水記録'!$A$5:$A$3004,$AS289)))</f>
        <v/>
      </c>
      <c r="C289" s="14">
        <f>IF($A289="","",IF(INDEX('潜水記録'!$B$5:$B$3004,$AS289)="","",INDEX('潜水記録'!$B$5:$B$3004,$AS289)))</f>
        <v/>
      </c>
      <c r="D289" s="14">
        <f>IF($A289="","",IF(INDEX('潜水記録'!$C$5:$C$3004,$AS289)="","",INDEX('潜水記録'!$C$5:$C$3004,$AS289)))</f>
        <v/>
      </c>
      <c r="E289" s="14">
        <f>IF($A289="","",IF(INDEX('潜水記録'!$D$5:$D$3004,$AS289)="","",INDEX('潜水記録'!$D$5:$D$3004,$AS289)))</f>
        <v/>
      </c>
      <c r="F289" s="14">
        <f>IF($A289="","",IF(INDEX('潜水記録'!$E$5:$E$3004,$AS289)="","",INDEX('潜水記録'!$E$5:$E$3004,$AS289)))</f>
        <v/>
      </c>
      <c r="G289" s="14">
        <f>IF($A289="","",IF(INDEX('潜水記録'!$F$5:$F$3004,$AS289)="","",INDEX('潜水記録'!$F$5:$F$3004,$AS289)))</f>
        <v/>
      </c>
      <c r="H289" s="14">
        <f>IF($A289="","",IF(INDEX('潜水記録'!$G$5:$G$3004,$AS289)="","",INDEX('潜水記録'!$G$5:$G$3004,$AS289)))</f>
        <v/>
      </c>
      <c r="I289" s="14">
        <f>IF($A289="","",IF(INDEX('潜水記録'!$H$5:$H$3004,$AS289)="","",INDEX('潜水記録'!$H$5:$H$3004,$AS289)))</f>
        <v/>
      </c>
      <c r="J289" s="14">
        <f>IF($A289="","",IF(INDEX('潜水記録'!$I$5:$I$3004,$AS289)="","",INDEX('潜水記録'!$I$5:$I$3004,$AS289)))</f>
        <v/>
      </c>
      <c r="K289" s="14">
        <f>IF($A289="","",IF(INDEX('潜水記録'!$J$5:$J$3004,$AS289)="","",INDEX('潜水記録'!$J$5:$J$3004,$AS289)))</f>
        <v/>
      </c>
      <c r="L289" s="14">
        <f>IF($A289="","",IF(INDEX('潜水記録'!$K$5:$K$3004,$AS289)="","",INDEX('潜水記録'!$K$5:$K$3004,$AS289)))</f>
        <v/>
      </c>
      <c r="M289" s="14">
        <f>IF($A289="","",IF(INDEX('潜水記録'!$L$5:$L$3004,$AS289)="","",INDEX('潜水記録'!$L$5:$L$3004,$AS289)))</f>
        <v/>
      </c>
      <c r="N289" s="14">
        <f>IF($A289="","",IF(INDEX('潜水記録'!$M$5:$M$3004,$AS289)="","",INDEX('潜水記録'!$M$5:$M$3004,$AS289)))</f>
        <v/>
      </c>
      <c r="O289" s="14">
        <f>IF($A289="","",IF(INDEX('潜水記録'!$N$5:$N$3004,$AS289)="","",INDEX('潜水記録'!$N$5:$N$3004,$AS289)))</f>
        <v/>
      </c>
      <c r="P289" s="14">
        <f>IF($A289="","",IF(INDEX('潜水記録'!$O$5:$O$3004,$AS289)="","",INDEX('潜水記録'!$O$5:$O$3004,$AS289)))</f>
        <v/>
      </c>
      <c r="Q289" s="14">
        <f>IF($A289="","",IF(INDEX('潜水記録'!$P$5:$P$3004,$AS289)="","",INDEX('潜水記録'!$P$5:$P$3004,$AS289)))</f>
        <v/>
      </c>
      <c r="R289" s="14">
        <f>IF($A289="","",IF(INDEX('潜水記録'!$Q$5:$Q$3004,$AS289)="","",INDEX('潜水記録'!$Q$5:$Q$3004,$AS289)))</f>
        <v/>
      </c>
      <c r="S289" s="14">
        <f>IF($A289="","",IF(INDEX('潜水記録'!$R$5:$R$3004,$AS289)="","",INDEX('潜水記録'!$R$5:$R$3004,$AS289)))</f>
        <v/>
      </c>
      <c r="T289" s="14">
        <f>IF($A289="","",IF(INDEX('潜水記録'!$S$5:$S$3004,$AS289)="","",INDEX('潜水記録'!$S$5:$S$3004,$AS289)))</f>
        <v/>
      </c>
      <c r="U289" s="14">
        <f>IF($A289="","",IF(INDEX('潜水記録'!$T$5:$T$3004,$AS289)="","",INDEX('潜水記録'!$T$5:$T$3004,$AS289)))</f>
        <v/>
      </c>
      <c r="V289" s="46">
        <f>IF($A289="","",IF(INDEX('潜水記録'!$U$5:$U$3004,$AS289)="","",INDEX('潜水記録'!$U$5:$U$3004,$AS289)))</f>
        <v/>
      </c>
      <c r="W289" s="46">
        <f>IF($A289="","",IF(INDEX('潜水記録'!$V$5:$V$3004,$AS289)="","",INDEX('潜水記録'!$V$5:$V$3004,$AS289)))</f>
        <v/>
      </c>
      <c r="X289" s="14">
        <f>IF($A289="","",IF(INDEX('潜水記録'!$W$5:$W$3004,$AS289)="","",INDEX('潜水記録'!$W$5:$W$3004,$AS289)))</f>
        <v/>
      </c>
      <c r="Y289" s="14">
        <f>IF($A289="","",IF(INDEX('潜水記録'!$X$5:$X$3004,$AS289)="","",INDEX('潜水記録'!$X$5:$X$3004,$AS289)))</f>
        <v/>
      </c>
      <c r="Z289" s="14">
        <f>IF($A289="","",IF(INDEX('潜水記録'!$Y$5:$Y$3004,$AS289)="","",INDEX('潜水記録'!$Y$5:$Y$3004,$AS289)))</f>
        <v/>
      </c>
      <c r="AA289" s="14">
        <f>IF($A289="","",IF(INDEX('潜水記録'!$Z$5:$Z$3004,$AS289)="","",INDEX('潜水記録'!$Z$5:$Z$3004,$AS289)))</f>
        <v/>
      </c>
      <c r="AB289" s="14">
        <f>IF($A289="","",IF(INDEX('潜水記録'!$AA$5:$AA$3004,$AS289)="","",INDEX('潜水記録'!$AA$5:$AA$3004,$AS289)))</f>
        <v/>
      </c>
      <c r="AC289" s="14">
        <f>IF($A289="","",IF(INDEX('潜水記録'!$AB$5:$AB$3004,$AS289)="","",INDEX('潜水記録'!$AB$5:$AB$3004,$AS289)))</f>
        <v/>
      </c>
      <c r="AD289" s="14">
        <f>IF($A289="","",IF(INDEX('潜水記録'!$AC$5:$AC$3004,$AS289)="","",INDEX('潜水記録'!$AC$5:$AC$3004,$AS289)))</f>
        <v/>
      </c>
      <c r="AE289" s="14">
        <f>IF($A289="","",IF(INDEX('潜水記録'!$AD$5:$AD$3004,$AS289)="","",INDEX('潜水記録'!$AD$5:$AD$3004,$AS289)))</f>
        <v/>
      </c>
      <c r="AF289" s="14">
        <f>IF($A289="","",IF(INDEX('潜水記録'!$AE$5:$AE$3004,$AS289)="","",INDEX('潜水記録'!$AE$5:$AE$3004,$AS289)))</f>
        <v/>
      </c>
      <c r="AG289" s="14">
        <f>IF($A289="","",IF(INDEX('潜水記録'!$AL$5:$AL$3004,$AS289)="","",INDEX('潜水記録'!$AL$5:$AL$3004,$AS289)))</f>
        <v/>
      </c>
      <c r="AH289" s="14">
        <f>IF($A289="","",IF(INDEX('潜水記録'!$AM$5:$AM$3004,$AS289)="","",INDEX('潜水記録'!$AM$5:$AM$3004,$AS289)))</f>
        <v/>
      </c>
      <c r="AI289" s="46">
        <f>IF($A289="","",IF(INDEX('潜水記録'!$AN$5:$AN$3004,$AS289)="","",INDEX('潜水記録'!$AN$5:$AN$3004,$AS289)))</f>
        <v/>
      </c>
      <c r="AJ289" s="14">
        <f>IF($A289="","",IF(INDEX('潜水記録'!$AO$5:$AO$3004,$AS289)="","",INDEX('潜水記録'!$AO$5:$AO$3004,$AS289)))</f>
        <v/>
      </c>
      <c r="AK289" s="14">
        <f>IF($A289="","",IF(INDEX('潜水記録'!$AP$5:$AP$3004,$AS289)="","",INDEX('潜水記録'!$AP$5:$AP$3004,$AS289)))</f>
        <v/>
      </c>
      <c r="AL289" s="14">
        <f>IF($A289="","",IF(INDEX('潜水記録'!$AQ$5:$AQ$3004,$AS289)="","",INDEX('潜水記録'!$AQ$5:$AQ$3004,$AS289)))</f>
        <v/>
      </c>
      <c r="AM289" s="14">
        <f>IF($A289="","",IF(INDEX('潜水記録'!$AR$5:$AR$3004,$AS289)="","",INDEX('潜水記録'!$AR$5:$AR$3004,$AS289)))</f>
        <v/>
      </c>
      <c r="AN289" s="14">
        <f>IF($A289="","",IF(INDEX('潜水記録'!$AS$5:$AS$3004,$AS289)="","",INDEX('潜水記録'!$AS$5:$AS$3004,$AS289)))</f>
        <v/>
      </c>
      <c r="AO289" s="14">
        <f>IF($A289="","",IF(INDEX('潜水記録'!$AT$5:$AT$3004,$AS289)="","",INDEX('潜水記録'!$AT$5:$AT$3004,$AS289)))</f>
        <v/>
      </c>
      <c r="AP289" s="14">
        <f>IF($A289="","",IF(INDEX('潜水記録'!$AU$5:$AU$3004,$AS289)="","",INDEX('潜水記録'!$AU$5:$AU$3004,$AS289)))</f>
        <v/>
      </c>
      <c r="AQ289" s="14">
        <f>IF($A289="","",IF(INDEX('潜水記録'!$AV$5:$AV$3004,$AS289)="","",INDEX('潜水記録'!$AV$5:$AV$3004,$AS289)))</f>
        <v/>
      </c>
      <c r="AR289" s="14">
        <f>IF($A289="","",IF(INDEX('潜水記録'!$AW$5:$AW$3004,$AS289)="","",INDEX('潜水記録'!$AW$5:$AW$3004,$AS289)))</f>
        <v/>
      </c>
      <c r="AS289" s="20">
        <f>IF($A289="","",MATCH($A289,'潜水記録'!$AI$5:$AI$3004,0))</f>
        <v/>
      </c>
    </row>
    <row r="290">
      <c r="A290" s="14">
        <f>IF(280&lt;=$C$8,280,"")</f>
        <v/>
      </c>
      <c r="B290" s="16">
        <f>IF($A290="","",IF(INDEX('潜水記録'!$A$5:$A$3004,$AS290)="","",INDEX('潜水記録'!$A$5:$A$3004,$AS290)))</f>
        <v/>
      </c>
      <c r="C290" s="14">
        <f>IF($A290="","",IF(INDEX('潜水記録'!$B$5:$B$3004,$AS290)="","",INDEX('潜水記録'!$B$5:$B$3004,$AS290)))</f>
        <v/>
      </c>
      <c r="D290" s="14">
        <f>IF($A290="","",IF(INDEX('潜水記録'!$C$5:$C$3004,$AS290)="","",INDEX('潜水記録'!$C$5:$C$3004,$AS290)))</f>
        <v/>
      </c>
      <c r="E290" s="14">
        <f>IF($A290="","",IF(INDEX('潜水記録'!$D$5:$D$3004,$AS290)="","",INDEX('潜水記録'!$D$5:$D$3004,$AS290)))</f>
        <v/>
      </c>
      <c r="F290" s="14">
        <f>IF($A290="","",IF(INDEX('潜水記録'!$E$5:$E$3004,$AS290)="","",INDEX('潜水記録'!$E$5:$E$3004,$AS290)))</f>
        <v/>
      </c>
      <c r="G290" s="14">
        <f>IF($A290="","",IF(INDEX('潜水記録'!$F$5:$F$3004,$AS290)="","",INDEX('潜水記録'!$F$5:$F$3004,$AS290)))</f>
        <v/>
      </c>
      <c r="H290" s="14">
        <f>IF($A290="","",IF(INDEX('潜水記録'!$G$5:$G$3004,$AS290)="","",INDEX('潜水記録'!$G$5:$G$3004,$AS290)))</f>
        <v/>
      </c>
      <c r="I290" s="14">
        <f>IF($A290="","",IF(INDEX('潜水記録'!$H$5:$H$3004,$AS290)="","",INDEX('潜水記録'!$H$5:$H$3004,$AS290)))</f>
        <v/>
      </c>
      <c r="J290" s="14">
        <f>IF($A290="","",IF(INDEX('潜水記録'!$I$5:$I$3004,$AS290)="","",INDEX('潜水記録'!$I$5:$I$3004,$AS290)))</f>
        <v/>
      </c>
      <c r="K290" s="14">
        <f>IF($A290="","",IF(INDEX('潜水記録'!$J$5:$J$3004,$AS290)="","",INDEX('潜水記録'!$J$5:$J$3004,$AS290)))</f>
        <v/>
      </c>
      <c r="L290" s="14">
        <f>IF($A290="","",IF(INDEX('潜水記録'!$K$5:$K$3004,$AS290)="","",INDEX('潜水記録'!$K$5:$K$3004,$AS290)))</f>
        <v/>
      </c>
      <c r="M290" s="14">
        <f>IF($A290="","",IF(INDEX('潜水記録'!$L$5:$L$3004,$AS290)="","",INDEX('潜水記録'!$L$5:$L$3004,$AS290)))</f>
        <v/>
      </c>
      <c r="N290" s="14">
        <f>IF($A290="","",IF(INDEX('潜水記録'!$M$5:$M$3004,$AS290)="","",INDEX('潜水記録'!$M$5:$M$3004,$AS290)))</f>
        <v/>
      </c>
      <c r="O290" s="14">
        <f>IF($A290="","",IF(INDEX('潜水記録'!$N$5:$N$3004,$AS290)="","",INDEX('潜水記録'!$N$5:$N$3004,$AS290)))</f>
        <v/>
      </c>
      <c r="P290" s="14">
        <f>IF($A290="","",IF(INDEX('潜水記録'!$O$5:$O$3004,$AS290)="","",INDEX('潜水記録'!$O$5:$O$3004,$AS290)))</f>
        <v/>
      </c>
      <c r="Q290" s="14">
        <f>IF($A290="","",IF(INDEX('潜水記録'!$P$5:$P$3004,$AS290)="","",INDEX('潜水記録'!$P$5:$P$3004,$AS290)))</f>
        <v/>
      </c>
      <c r="R290" s="14">
        <f>IF($A290="","",IF(INDEX('潜水記録'!$Q$5:$Q$3004,$AS290)="","",INDEX('潜水記録'!$Q$5:$Q$3004,$AS290)))</f>
        <v/>
      </c>
      <c r="S290" s="14">
        <f>IF($A290="","",IF(INDEX('潜水記録'!$R$5:$R$3004,$AS290)="","",INDEX('潜水記録'!$R$5:$R$3004,$AS290)))</f>
        <v/>
      </c>
      <c r="T290" s="14">
        <f>IF($A290="","",IF(INDEX('潜水記録'!$S$5:$S$3004,$AS290)="","",INDEX('潜水記録'!$S$5:$S$3004,$AS290)))</f>
        <v/>
      </c>
      <c r="U290" s="14">
        <f>IF($A290="","",IF(INDEX('潜水記録'!$T$5:$T$3004,$AS290)="","",INDEX('潜水記録'!$T$5:$T$3004,$AS290)))</f>
        <v/>
      </c>
      <c r="V290" s="46">
        <f>IF($A290="","",IF(INDEX('潜水記録'!$U$5:$U$3004,$AS290)="","",INDEX('潜水記録'!$U$5:$U$3004,$AS290)))</f>
        <v/>
      </c>
      <c r="W290" s="46">
        <f>IF($A290="","",IF(INDEX('潜水記録'!$V$5:$V$3004,$AS290)="","",INDEX('潜水記録'!$V$5:$V$3004,$AS290)))</f>
        <v/>
      </c>
      <c r="X290" s="14">
        <f>IF($A290="","",IF(INDEX('潜水記録'!$W$5:$W$3004,$AS290)="","",INDEX('潜水記録'!$W$5:$W$3004,$AS290)))</f>
        <v/>
      </c>
      <c r="Y290" s="14">
        <f>IF($A290="","",IF(INDEX('潜水記録'!$X$5:$X$3004,$AS290)="","",INDEX('潜水記録'!$X$5:$X$3004,$AS290)))</f>
        <v/>
      </c>
      <c r="Z290" s="14">
        <f>IF($A290="","",IF(INDEX('潜水記録'!$Y$5:$Y$3004,$AS290)="","",INDEX('潜水記録'!$Y$5:$Y$3004,$AS290)))</f>
        <v/>
      </c>
      <c r="AA290" s="14">
        <f>IF($A290="","",IF(INDEX('潜水記録'!$Z$5:$Z$3004,$AS290)="","",INDEX('潜水記録'!$Z$5:$Z$3004,$AS290)))</f>
        <v/>
      </c>
      <c r="AB290" s="14">
        <f>IF($A290="","",IF(INDEX('潜水記録'!$AA$5:$AA$3004,$AS290)="","",INDEX('潜水記録'!$AA$5:$AA$3004,$AS290)))</f>
        <v/>
      </c>
      <c r="AC290" s="14">
        <f>IF($A290="","",IF(INDEX('潜水記録'!$AB$5:$AB$3004,$AS290)="","",INDEX('潜水記録'!$AB$5:$AB$3004,$AS290)))</f>
        <v/>
      </c>
      <c r="AD290" s="14">
        <f>IF($A290="","",IF(INDEX('潜水記録'!$AC$5:$AC$3004,$AS290)="","",INDEX('潜水記録'!$AC$5:$AC$3004,$AS290)))</f>
        <v/>
      </c>
      <c r="AE290" s="14">
        <f>IF($A290="","",IF(INDEX('潜水記録'!$AD$5:$AD$3004,$AS290)="","",INDEX('潜水記録'!$AD$5:$AD$3004,$AS290)))</f>
        <v/>
      </c>
      <c r="AF290" s="14">
        <f>IF($A290="","",IF(INDEX('潜水記録'!$AE$5:$AE$3004,$AS290)="","",INDEX('潜水記録'!$AE$5:$AE$3004,$AS290)))</f>
        <v/>
      </c>
      <c r="AG290" s="14">
        <f>IF($A290="","",IF(INDEX('潜水記録'!$AL$5:$AL$3004,$AS290)="","",INDEX('潜水記録'!$AL$5:$AL$3004,$AS290)))</f>
        <v/>
      </c>
      <c r="AH290" s="14">
        <f>IF($A290="","",IF(INDEX('潜水記録'!$AM$5:$AM$3004,$AS290)="","",INDEX('潜水記録'!$AM$5:$AM$3004,$AS290)))</f>
        <v/>
      </c>
      <c r="AI290" s="46">
        <f>IF($A290="","",IF(INDEX('潜水記録'!$AN$5:$AN$3004,$AS290)="","",INDEX('潜水記録'!$AN$5:$AN$3004,$AS290)))</f>
        <v/>
      </c>
      <c r="AJ290" s="14">
        <f>IF($A290="","",IF(INDEX('潜水記録'!$AO$5:$AO$3004,$AS290)="","",INDEX('潜水記録'!$AO$5:$AO$3004,$AS290)))</f>
        <v/>
      </c>
      <c r="AK290" s="14">
        <f>IF($A290="","",IF(INDEX('潜水記録'!$AP$5:$AP$3004,$AS290)="","",INDEX('潜水記録'!$AP$5:$AP$3004,$AS290)))</f>
        <v/>
      </c>
      <c r="AL290" s="14">
        <f>IF($A290="","",IF(INDEX('潜水記録'!$AQ$5:$AQ$3004,$AS290)="","",INDEX('潜水記録'!$AQ$5:$AQ$3004,$AS290)))</f>
        <v/>
      </c>
      <c r="AM290" s="14">
        <f>IF($A290="","",IF(INDEX('潜水記録'!$AR$5:$AR$3004,$AS290)="","",INDEX('潜水記録'!$AR$5:$AR$3004,$AS290)))</f>
        <v/>
      </c>
      <c r="AN290" s="14">
        <f>IF($A290="","",IF(INDEX('潜水記録'!$AS$5:$AS$3004,$AS290)="","",INDEX('潜水記録'!$AS$5:$AS$3004,$AS290)))</f>
        <v/>
      </c>
      <c r="AO290" s="14">
        <f>IF($A290="","",IF(INDEX('潜水記録'!$AT$5:$AT$3004,$AS290)="","",INDEX('潜水記録'!$AT$5:$AT$3004,$AS290)))</f>
        <v/>
      </c>
      <c r="AP290" s="14">
        <f>IF($A290="","",IF(INDEX('潜水記録'!$AU$5:$AU$3004,$AS290)="","",INDEX('潜水記録'!$AU$5:$AU$3004,$AS290)))</f>
        <v/>
      </c>
      <c r="AQ290" s="14">
        <f>IF($A290="","",IF(INDEX('潜水記録'!$AV$5:$AV$3004,$AS290)="","",INDEX('潜水記録'!$AV$5:$AV$3004,$AS290)))</f>
        <v/>
      </c>
      <c r="AR290" s="14">
        <f>IF($A290="","",IF(INDEX('潜水記録'!$AW$5:$AW$3004,$AS290)="","",INDEX('潜水記録'!$AW$5:$AW$3004,$AS290)))</f>
        <v/>
      </c>
      <c r="AS290" s="20">
        <f>IF($A290="","",MATCH($A290,'潜水記録'!$AI$5:$AI$3004,0))</f>
        <v/>
      </c>
    </row>
    <row r="291">
      <c r="A291" s="14">
        <f>IF(281&lt;=$C$8,281,"")</f>
        <v/>
      </c>
      <c r="B291" s="16">
        <f>IF($A291="","",IF(INDEX('潜水記録'!$A$5:$A$3004,$AS291)="","",INDEX('潜水記録'!$A$5:$A$3004,$AS291)))</f>
        <v/>
      </c>
      <c r="C291" s="14">
        <f>IF($A291="","",IF(INDEX('潜水記録'!$B$5:$B$3004,$AS291)="","",INDEX('潜水記録'!$B$5:$B$3004,$AS291)))</f>
        <v/>
      </c>
      <c r="D291" s="14">
        <f>IF($A291="","",IF(INDEX('潜水記録'!$C$5:$C$3004,$AS291)="","",INDEX('潜水記録'!$C$5:$C$3004,$AS291)))</f>
        <v/>
      </c>
      <c r="E291" s="14">
        <f>IF($A291="","",IF(INDEX('潜水記録'!$D$5:$D$3004,$AS291)="","",INDEX('潜水記録'!$D$5:$D$3004,$AS291)))</f>
        <v/>
      </c>
      <c r="F291" s="14">
        <f>IF($A291="","",IF(INDEX('潜水記録'!$E$5:$E$3004,$AS291)="","",INDEX('潜水記録'!$E$5:$E$3004,$AS291)))</f>
        <v/>
      </c>
      <c r="G291" s="14">
        <f>IF($A291="","",IF(INDEX('潜水記録'!$F$5:$F$3004,$AS291)="","",INDEX('潜水記録'!$F$5:$F$3004,$AS291)))</f>
        <v/>
      </c>
      <c r="H291" s="14">
        <f>IF($A291="","",IF(INDEX('潜水記録'!$G$5:$G$3004,$AS291)="","",INDEX('潜水記録'!$G$5:$G$3004,$AS291)))</f>
        <v/>
      </c>
      <c r="I291" s="14">
        <f>IF($A291="","",IF(INDEX('潜水記録'!$H$5:$H$3004,$AS291)="","",INDEX('潜水記録'!$H$5:$H$3004,$AS291)))</f>
        <v/>
      </c>
      <c r="J291" s="14">
        <f>IF($A291="","",IF(INDEX('潜水記録'!$I$5:$I$3004,$AS291)="","",INDEX('潜水記録'!$I$5:$I$3004,$AS291)))</f>
        <v/>
      </c>
      <c r="K291" s="14">
        <f>IF($A291="","",IF(INDEX('潜水記録'!$J$5:$J$3004,$AS291)="","",INDEX('潜水記録'!$J$5:$J$3004,$AS291)))</f>
        <v/>
      </c>
      <c r="L291" s="14">
        <f>IF($A291="","",IF(INDEX('潜水記録'!$K$5:$K$3004,$AS291)="","",INDEX('潜水記録'!$K$5:$K$3004,$AS291)))</f>
        <v/>
      </c>
      <c r="M291" s="14">
        <f>IF($A291="","",IF(INDEX('潜水記録'!$L$5:$L$3004,$AS291)="","",INDEX('潜水記録'!$L$5:$L$3004,$AS291)))</f>
        <v/>
      </c>
      <c r="N291" s="14">
        <f>IF($A291="","",IF(INDEX('潜水記録'!$M$5:$M$3004,$AS291)="","",INDEX('潜水記録'!$M$5:$M$3004,$AS291)))</f>
        <v/>
      </c>
      <c r="O291" s="14">
        <f>IF($A291="","",IF(INDEX('潜水記録'!$N$5:$N$3004,$AS291)="","",INDEX('潜水記録'!$N$5:$N$3004,$AS291)))</f>
        <v/>
      </c>
      <c r="P291" s="14">
        <f>IF($A291="","",IF(INDEX('潜水記録'!$O$5:$O$3004,$AS291)="","",INDEX('潜水記録'!$O$5:$O$3004,$AS291)))</f>
        <v/>
      </c>
      <c r="Q291" s="14">
        <f>IF($A291="","",IF(INDEX('潜水記録'!$P$5:$P$3004,$AS291)="","",INDEX('潜水記録'!$P$5:$P$3004,$AS291)))</f>
        <v/>
      </c>
      <c r="R291" s="14">
        <f>IF($A291="","",IF(INDEX('潜水記録'!$Q$5:$Q$3004,$AS291)="","",INDEX('潜水記録'!$Q$5:$Q$3004,$AS291)))</f>
        <v/>
      </c>
      <c r="S291" s="14">
        <f>IF($A291="","",IF(INDEX('潜水記録'!$R$5:$R$3004,$AS291)="","",INDEX('潜水記録'!$R$5:$R$3004,$AS291)))</f>
        <v/>
      </c>
      <c r="T291" s="14">
        <f>IF($A291="","",IF(INDEX('潜水記録'!$S$5:$S$3004,$AS291)="","",INDEX('潜水記録'!$S$5:$S$3004,$AS291)))</f>
        <v/>
      </c>
      <c r="U291" s="14">
        <f>IF($A291="","",IF(INDEX('潜水記録'!$T$5:$T$3004,$AS291)="","",INDEX('潜水記録'!$T$5:$T$3004,$AS291)))</f>
        <v/>
      </c>
      <c r="V291" s="46">
        <f>IF($A291="","",IF(INDEX('潜水記録'!$U$5:$U$3004,$AS291)="","",INDEX('潜水記録'!$U$5:$U$3004,$AS291)))</f>
        <v/>
      </c>
      <c r="W291" s="46">
        <f>IF($A291="","",IF(INDEX('潜水記録'!$V$5:$V$3004,$AS291)="","",INDEX('潜水記録'!$V$5:$V$3004,$AS291)))</f>
        <v/>
      </c>
      <c r="X291" s="14">
        <f>IF($A291="","",IF(INDEX('潜水記録'!$W$5:$W$3004,$AS291)="","",INDEX('潜水記録'!$W$5:$W$3004,$AS291)))</f>
        <v/>
      </c>
      <c r="Y291" s="14">
        <f>IF($A291="","",IF(INDEX('潜水記録'!$X$5:$X$3004,$AS291)="","",INDEX('潜水記録'!$X$5:$X$3004,$AS291)))</f>
        <v/>
      </c>
      <c r="Z291" s="14">
        <f>IF($A291="","",IF(INDEX('潜水記録'!$Y$5:$Y$3004,$AS291)="","",INDEX('潜水記録'!$Y$5:$Y$3004,$AS291)))</f>
        <v/>
      </c>
      <c r="AA291" s="14">
        <f>IF($A291="","",IF(INDEX('潜水記録'!$Z$5:$Z$3004,$AS291)="","",INDEX('潜水記録'!$Z$5:$Z$3004,$AS291)))</f>
        <v/>
      </c>
      <c r="AB291" s="14">
        <f>IF($A291="","",IF(INDEX('潜水記録'!$AA$5:$AA$3004,$AS291)="","",INDEX('潜水記録'!$AA$5:$AA$3004,$AS291)))</f>
        <v/>
      </c>
      <c r="AC291" s="14">
        <f>IF($A291="","",IF(INDEX('潜水記録'!$AB$5:$AB$3004,$AS291)="","",INDEX('潜水記録'!$AB$5:$AB$3004,$AS291)))</f>
        <v/>
      </c>
      <c r="AD291" s="14">
        <f>IF($A291="","",IF(INDEX('潜水記録'!$AC$5:$AC$3004,$AS291)="","",INDEX('潜水記録'!$AC$5:$AC$3004,$AS291)))</f>
        <v/>
      </c>
      <c r="AE291" s="14">
        <f>IF($A291="","",IF(INDEX('潜水記録'!$AD$5:$AD$3004,$AS291)="","",INDEX('潜水記録'!$AD$5:$AD$3004,$AS291)))</f>
        <v/>
      </c>
      <c r="AF291" s="14">
        <f>IF($A291="","",IF(INDEX('潜水記録'!$AE$5:$AE$3004,$AS291)="","",INDEX('潜水記録'!$AE$5:$AE$3004,$AS291)))</f>
        <v/>
      </c>
      <c r="AG291" s="14">
        <f>IF($A291="","",IF(INDEX('潜水記録'!$AL$5:$AL$3004,$AS291)="","",INDEX('潜水記録'!$AL$5:$AL$3004,$AS291)))</f>
        <v/>
      </c>
      <c r="AH291" s="14">
        <f>IF($A291="","",IF(INDEX('潜水記録'!$AM$5:$AM$3004,$AS291)="","",INDEX('潜水記録'!$AM$5:$AM$3004,$AS291)))</f>
        <v/>
      </c>
      <c r="AI291" s="46">
        <f>IF($A291="","",IF(INDEX('潜水記録'!$AN$5:$AN$3004,$AS291)="","",INDEX('潜水記録'!$AN$5:$AN$3004,$AS291)))</f>
        <v/>
      </c>
      <c r="AJ291" s="14">
        <f>IF($A291="","",IF(INDEX('潜水記録'!$AO$5:$AO$3004,$AS291)="","",INDEX('潜水記録'!$AO$5:$AO$3004,$AS291)))</f>
        <v/>
      </c>
      <c r="AK291" s="14">
        <f>IF($A291="","",IF(INDEX('潜水記録'!$AP$5:$AP$3004,$AS291)="","",INDEX('潜水記録'!$AP$5:$AP$3004,$AS291)))</f>
        <v/>
      </c>
      <c r="AL291" s="14">
        <f>IF($A291="","",IF(INDEX('潜水記録'!$AQ$5:$AQ$3004,$AS291)="","",INDEX('潜水記録'!$AQ$5:$AQ$3004,$AS291)))</f>
        <v/>
      </c>
      <c r="AM291" s="14">
        <f>IF($A291="","",IF(INDEX('潜水記録'!$AR$5:$AR$3004,$AS291)="","",INDEX('潜水記録'!$AR$5:$AR$3004,$AS291)))</f>
        <v/>
      </c>
      <c r="AN291" s="14">
        <f>IF($A291="","",IF(INDEX('潜水記録'!$AS$5:$AS$3004,$AS291)="","",INDEX('潜水記録'!$AS$5:$AS$3004,$AS291)))</f>
        <v/>
      </c>
      <c r="AO291" s="14">
        <f>IF($A291="","",IF(INDEX('潜水記録'!$AT$5:$AT$3004,$AS291)="","",INDEX('潜水記録'!$AT$5:$AT$3004,$AS291)))</f>
        <v/>
      </c>
      <c r="AP291" s="14">
        <f>IF($A291="","",IF(INDEX('潜水記録'!$AU$5:$AU$3004,$AS291)="","",INDEX('潜水記録'!$AU$5:$AU$3004,$AS291)))</f>
        <v/>
      </c>
      <c r="AQ291" s="14">
        <f>IF($A291="","",IF(INDEX('潜水記録'!$AV$5:$AV$3004,$AS291)="","",INDEX('潜水記録'!$AV$5:$AV$3004,$AS291)))</f>
        <v/>
      </c>
      <c r="AR291" s="14">
        <f>IF($A291="","",IF(INDEX('潜水記録'!$AW$5:$AW$3004,$AS291)="","",INDEX('潜水記録'!$AW$5:$AW$3004,$AS291)))</f>
        <v/>
      </c>
      <c r="AS291" s="20">
        <f>IF($A291="","",MATCH($A291,'潜水記録'!$AI$5:$AI$3004,0))</f>
        <v/>
      </c>
    </row>
    <row r="292">
      <c r="A292" s="14">
        <f>IF(282&lt;=$C$8,282,"")</f>
        <v/>
      </c>
      <c r="B292" s="16">
        <f>IF($A292="","",IF(INDEX('潜水記録'!$A$5:$A$3004,$AS292)="","",INDEX('潜水記録'!$A$5:$A$3004,$AS292)))</f>
        <v/>
      </c>
      <c r="C292" s="14">
        <f>IF($A292="","",IF(INDEX('潜水記録'!$B$5:$B$3004,$AS292)="","",INDEX('潜水記録'!$B$5:$B$3004,$AS292)))</f>
        <v/>
      </c>
      <c r="D292" s="14">
        <f>IF($A292="","",IF(INDEX('潜水記録'!$C$5:$C$3004,$AS292)="","",INDEX('潜水記録'!$C$5:$C$3004,$AS292)))</f>
        <v/>
      </c>
      <c r="E292" s="14">
        <f>IF($A292="","",IF(INDEX('潜水記録'!$D$5:$D$3004,$AS292)="","",INDEX('潜水記録'!$D$5:$D$3004,$AS292)))</f>
        <v/>
      </c>
      <c r="F292" s="14">
        <f>IF($A292="","",IF(INDEX('潜水記録'!$E$5:$E$3004,$AS292)="","",INDEX('潜水記録'!$E$5:$E$3004,$AS292)))</f>
        <v/>
      </c>
      <c r="G292" s="14">
        <f>IF($A292="","",IF(INDEX('潜水記録'!$F$5:$F$3004,$AS292)="","",INDEX('潜水記録'!$F$5:$F$3004,$AS292)))</f>
        <v/>
      </c>
      <c r="H292" s="14">
        <f>IF($A292="","",IF(INDEX('潜水記録'!$G$5:$G$3004,$AS292)="","",INDEX('潜水記録'!$G$5:$G$3004,$AS292)))</f>
        <v/>
      </c>
      <c r="I292" s="14">
        <f>IF($A292="","",IF(INDEX('潜水記録'!$H$5:$H$3004,$AS292)="","",INDEX('潜水記録'!$H$5:$H$3004,$AS292)))</f>
        <v/>
      </c>
      <c r="J292" s="14">
        <f>IF($A292="","",IF(INDEX('潜水記録'!$I$5:$I$3004,$AS292)="","",INDEX('潜水記録'!$I$5:$I$3004,$AS292)))</f>
        <v/>
      </c>
      <c r="K292" s="14">
        <f>IF($A292="","",IF(INDEX('潜水記録'!$J$5:$J$3004,$AS292)="","",INDEX('潜水記録'!$J$5:$J$3004,$AS292)))</f>
        <v/>
      </c>
      <c r="L292" s="14">
        <f>IF($A292="","",IF(INDEX('潜水記録'!$K$5:$K$3004,$AS292)="","",INDEX('潜水記録'!$K$5:$K$3004,$AS292)))</f>
        <v/>
      </c>
      <c r="M292" s="14">
        <f>IF($A292="","",IF(INDEX('潜水記録'!$L$5:$L$3004,$AS292)="","",INDEX('潜水記録'!$L$5:$L$3004,$AS292)))</f>
        <v/>
      </c>
      <c r="N292" s="14">
        <f>IF($A292="","",IF(INDEX('潜水記録'!$M$5:$M$3004,$AS292)="","",INDEX('潜水記録'!$M$5:$M$3004,$AS292)))</f>
        <v/>
      </c>
      <c r="O292" s="14">
        <f>IF($A292="","",IF(INDEX('潜水記録'!$N$5:$N$3004,$AS292)="","",INDEX('潜水記録'!$N$5:$N$3004,$AS292)))</f>
        <v/>
      </c>
      <c r="P292" s="14">
        <f>IF($A292="","",IF(INDEX('潜水記録'!$O$5:$O$3004,$AS292)="","",INDEX('潜水記録'!$O$5:$O$3004,$AS292)))</f>
        <v/>
      </c>
      <c r="Q292" s="14">
        <f>IF($A292="","",IF(INDEX('潜水記録'!$P$5:$P$3004,$AS292)="","",INDEX('潜水記録'!$P$5:$P$3004,$AS292)))</f>
        <v/>
      </c>
      <c r="R292" s="14">
        <f>IF($A292="","",IF(INDEX('潜水記録'!$Q$5:$Q$3004,$AS292)="","",INDEX('潜水記録'!$Q$5:$Q$3004,$AS292)))</f>
        <v/>
      </c>
      <c r="S292" s="14">
        <f>IF($A292="","",IF(INDEX('潜水記録'!$R$5:$R$3004,$AS292)="","",INDEX('潜水記録'!$R$5:$R$3004,$AS292)))</f>
        <v/>
      </c>
      <c r="T292" s="14">
        <f>IF($A292="","",IF(INDEX('潜水記録'!$S$5:$S$3004,$AS292)="","",INDEX('潜水記録'!$S$5:$S$3004,$AS292)))</f>
        <v/>
      </c>
      <c r="U292" s="14">
        <f>IF($A292="","",IF(INDEX('潜水記録'!$T$5:$T$3004,$AS292)="","",INDEX('潜水記録'!$T$5:$T$3004,$AS292)))</f>
        <v/>
      </c>
      <c r="V292" s="46">
        <f>IF($A292="","",IF(INDEX('潜水記録'!$U$5:$U$3004,$AS292)="","",INDEX('潜水記録'!$U$5:$U$3004,$AS292)))</f>
        <v/>
      </c>
      <c r="W292" s="46">
        <f>IF($A292="","",IF(INDEX('潜水記録'!$V$5:$V$3004,$AS292)="","",INDEX('潜水記録'!$V$5:$V$3004,$AS292)))</f>
        <v/>
      </c>
      <c r="X292" s="14">
        <f>IF($A292="","",IF(INDEX('潜水記録'!$W$5:$W$3004,$AS292)="","",INDEX('潜水記録'!$W$5:$W$3004,$AS292)))</f>
        <v/>
      </c>
      <c r="Y292" s="14">
        <f>IF($A292="","",IF(INDEX('潜水記録'!$X$5:$X$3004,$AS292)="","",INDEX('潜水記録'!$X$5:$X$3004,$AS292)))</f>
        <v/>
      </c>
      <c r="Z292" s="14">
        <f>IF($A292="","",IF(INDEX('潜水記録'!$Y$5:$Y$3004,$AS292)="","",INDEX('潜水記録'!$Y$5:$Y$3004,$AS292)))</f>
        <v/>
      </c>
      <c r="AA292" s="14">
        <f>IF($A292="","",IF(INDEX('潜水記録'!$Z$5:$Z$3004,$AS292)="","",INDEX('潜水記録'!$Z$5:$Z$3004,$AS292)))</f>
        <v/>
      </c>
      <c r="AB292" s="14">
        <f>IF($A292="","",IF(INDEX('潜水記録'!$AA$5:$AA$3004,$AS292)="","",INDEX('潜水記録'!$AA$5:$AA$3004,$AS292)))</f>
        <v/>
      </c>
      <c r="AC292" s="14">
        <f>IF($A292="","",IF(INDEX('潜水記録'!$AB$5:$AB$3004,$AS292)="","",INDEX('潜水記録'!$AB$5:$AB$3004,$AS292)))</f>
        <v/>
      </c>
      <c r="AD292" s="14">
        <f>IF($A292="","",IF(INDEX('潜水記録'!$AC$5:$AC$3004,$AS292)="","",INDEX('潜水記録'!$AC$5:$AC$3004,$AS292)))</f>
        <v/>
      </c>
      <c r="AE292" s="14">
        <f>IF($A292="","",IF(INDEX('潜水記録'!$AD$5:$AD$3004,$AS292)="","",INDEX('潜水記録'!$AD$5:$AD$3004,$AS292)))</f>
        <v/>
      </c>
      <c r="AF292" s="14">
        <f>IF($A292="","",IF(INDEX('潜水記録'!$AE$5:$AE$3004,$AS292)="","",INDEX('潜水記録'!$AE$5:$AE$3004,$AS292)))</f>
        <v/>
      </c>
      <c r="AG292" s="14">
        <f>IF($A292="","",IF(INDEX('潜水記録'!$AL$5:$AL$3004,$AS292)="","",INDEX('潜水記録'!$AL$5:$AL$3004,$AS292)))</f>
        <v/>
      </c>
      <c r="AH292" s="14">
        <f>IF($A292="","",IF(INDEX('潜水記録'!$AM$5:$AM$3004,$AS292)="","",INDEX('潜水記録'!$AM$5:$AM$3004,$AS292)))</f>
        <v/>
      </c>
      <c r="AI292" s="46">
        <f>IF($A292="","",IF(INDEX('潜水記録'!$AN$5:$AN$3004,$AS292)="","",INDEX('潜水記録'!$AN$5:$AN$3004,$AS292)))</f>
        <v/>
      </c>
      <c r="AJ292" s="14">
        <f>IF($A292="","",IF(INDEX('潜水記録'!$AO$5:$AO$3004,$AS292)="","",INDEX('潜水記録'!$AO$5:$AO$3004,$AS292)))</f>
        <v/>
      </c>
      <c r="AK292" s="14">
        <f>IF($A292="","",IF(INDEX('潜水記録'!$AP$5:$AP$3004,$AS292)="","",INDEX('潜水記録'!$AP$5:$AP$3004,$AS292)))</f>
        <v/>
      </c>
      <c r="AL292" s="14">
        <f>IF($A292="","",IF(INDEX('潜水記録'!$AQ$5:$AQ$3004,$AS292)="","",INDEX('潜水記録'!$AQ$5:$AQ$3004,$AS292)))</f>
        <v/>
      </c>
      <c r="AM292" s="14">
        <f>IF($A292="","",IF(INDEX('潜水記録'!$AR$5:$AR$3004,$AS292)="","",INDEX('潜水記録'!$AR$5:$AR$3004,$AS292)))</f>
        <v/>
      </c>
      <c r="AN292" s="14">
        <f>IF($A292="","",IF(INDEX('潜水記録'!$AS$5:$AS$3004,$AS292)="","",INDEX('潜水記録'!$AS$5:$AS$3004,$AS292)))</f>
        <v/>
      </c>
      <c r="AO292" s="14">
        <f>IF($A292="","",IF(INDEX('潜水記録'!$AT$5:$AT$3004,$AS292)="","",INDEX('潜水記録'!$AT$5:$AT$3004,$AS292)))</f>
        <v/>
      </c>
      <c r="AP292" s="14">
        <f>IF($A292="","",IF(INDEX('潜水記録'!$AU$5:$AU$3004,$AS292)="","",INDEX('潜水記録'!$AU$5:$AU$3004,$AS292)))</f>
        <v/>
      </c>
      <c r="AQ292" s="14">
        <f>IF($A292="","",IF(INDEX('潜水記録'!$AV$5:$AV$3004,$AS292)="","",INDEX('潜水記録'!$AV$5:$AV$3004,$AS292)))</f>
        <v/>
      </c>
      <c r="AR292" s="14">
        <f>IF($A292="","",IF(INDEX('潜水記録'!$AW$5:$AW$3004,$AS292)="","",INDEX('潜水記録'!$AW$5:$AW$3004,$AS292)))</f>
        <v/>
      </c>
      <c r="AS292" s="20">
        <f>IF($A292="","",MATCH($A292,'潜水記録'!$AI$5:$AI$3004,0))</f>
        <v/>
      </c>
    </row>
    <row r="293">
      <c r="A293" s="14">
        <f>IF(283&lt;=$C$8,283,"")</f>
        <v/>
      </c>
      <c r="B293" s="16">
        <f>IF($A293="","",IF(INDEX('潜水記録'!$A$5:$A$3004,$AS293)="","",INDEX('潜水記録'!$A$5:$A$3004,$AS293)))</f>
        <v/>
      </c>
      <c r="C293" s="14">
        <f>IF($A293="","",IF(INDEX('潜水記録'!$B$5:$B$3004,$AS293)="","",INDEX('潜水記録'!$B$5:$B$3004,$AS293)))</f>
        <v/>
      </c>
      <c r="D293" s="14">
        <f>IF($A293="","",IF(INDEX('潜水記録'!$C$5:$C$3004,$AS293)="","",INDEX('潜水記録'!$C$5:$C$3004,$AS293)))</f>
        <v/>
      </c>
      <c r="E293" s="14">
        <f>IF($A293="","",IF(INDEX('潜水記録'!$D$5:$D$3004,$AS293)="","",INDEX('潜水記録'!$D$5:$D$3004,$AS293)))</f>
        <v/>
      </c>
      <c r="F293" s="14">
        <f>IF($A293="","",IF(INDEX('潜水記録'!$E$5:$E$3004,$AS293)="","",INDEX('潜水記録'!$E$5:$E$3004,$AS293)))</f>
        <v/>
      </c>
      <c r="G293" s="14">
        <f>IF($A293="","",IF(INDEX('潜水記録'!$F$5:$F$3004,$AS293)="","",INDEX('潜水記録'!$F$5:$F$3004,$AS293)))</f>
        <v/>
      </c>
      <c r="H293" s="14">
        <f>IF($A293="","",IF(INDEX('潜水記録'!$G$5:$G$3004,$AS293)="","",INDEX('潜水記録'!$G$5:$G$3004,$AS293)))</f>
        <v/>
      </c>
      <c r="I293" s="14">
        <f>IF($A293="","",IF(INDEX('潜水記録'!$H$5:$H$3004,$AS293)="","",INDEX('潜水記録'!$H$5:$H$3004,$AS293)))</f>
        <v/>
      </c>
      <c r="J293" s="14">
        <f>IF($A293="","",IF(INDEX('潜水記録'!$I$5:$I$3004,$AS293)="","",INDEX('潜水記録'!$I$5:$I$3004,$AS293)))</f>
        <v/>
      </c>
      <c r="K293" s="14">
        <f>IF($A293="","",IF(INDEX('潜水記録'!$J$5:$J$3004,$AS293)="","",INDEX('潜水記録'!$J$5:$J$3004,$AS293)))</f>
        <v/>
      </c>
      <c r="L293" s="14">
        <f>IF($A293="","",IF(INDEX('潜水記録'!$K$5:$K$3004,$AS293)="","",INDEX('潜水記録'!$K$5:$K$3004,$AS293)))</f>
        <v/>
      </c>
      <c r="M293" s="14">
        <f>IF($A293="","",IF(INDEX('潜水記録'!$L$5:$L$3004,$AS293)="","",INDEX('潜水記録'!$L$5:$L$3004,$AS293)))</f>
        <v/>
      </c>
      <c r="N293" s="14">
        <f>IF($A293="","",IF(INDEX('潜水記録'!$M$5:$M$3004,$AS293)="","",INDEX('潜水記録'!$M$5:$M$3004,$AS293)))</f>
        <v/>
      </c>
      <c r="O293" s="14">
        <f>IF($A293="","",IF(INDEX('潜水記録'!$N$5:$N$3004,$AS293)="","",INDEX('潜水記録'!$N$5:$N$3004,$AS293)))</f>
        <v/>
      </c>
      <c r="P293" s="14">
        <f>IF($A293="","",IF(INDEX('潜水記録'!$O$5:$O$3004,$AS293)="","",INDEX('潜水記録'!$O$5:$O$3004,$AS293)))</f>
        <v/>
      </c>
      <c r="Q293" s="14">
        <f>IF($A293="","",IF(INDEX('潜水記録'!$P$5:$P$3004,$AS293)="","",INDEX('潜水記録'!$P$5:$P$3004,$AS293)))</f>
        <v/>
      </c>
      <c r="R293" s="14">
        <f>IF($A293="","",IF(INDEX('潜水記録'!$Q$5:$Q$3004,$AS293)="","",INDEX('潜水記録'!$Q$5:$Q$3004,$AS293)))</f>
        <v/>
      </c>
      <c r="S293" s="14">
        <f>IF($A293="","",IF(INDEX('潜水記録'!$R$5:$R$3004,$AS293)="","",INDEX('潜水記録'!$R$5:$R$3004,$AS293)))</f>
        <v/>
      </c>
      <c r="T293" s="14">
        <f>IF($A293="","",IF(INDEX('潜水記録'!$S$5:$S$3004,$AS293)="","",INDEX('潜水記録'!$S$5:$S$3004,$AS293)))</f>
        <v/>
      </c>
      <c r="U293" s="14">
        <f>IF($A293="","",IF(INDEX('潜水記録'!$T$5:$T$3004,$AS293)="","",INDEX('潜水記録'!$T$5:$T$3004,$AS293)))</f>
        <v/>
      </c>
      <c r="V293" s="46">
        <f>IF($A293="","",IF(INDEX('潜水記録'!$U$5:$U$3004,$AS293)="","",INDEX('潜水記録'!$U$5:$U$3004,$AS293)))</f>
        <v/>
      </c>
      <c r="W293" s="46">
        <f>IF($A293="","",IF(INDEX('潜水記録'!$V$5:$V$3004,$AS293)="","",INDEX('潜水記録'!$V$5:$V$3004,$AS293)))</f>
        <v/>
      </c>
      <c r="X293" s="14">
        <f>IF($A293="","",IF(INDEX('潜水記録'!$W$5:$W$3004,$AS293)="","",INDEX('潜水記録'!$W$5:$W$3004,$AS293)))</f>
        <v/>
      </c>
      <c r="Y293" s="14">
        <f>IF($A293="","",IF(INDEX('潜水記録'!$X$5:$X$3004,$AS293)="","",INDEX('潜水記録'!$X$5:$X$3004,$AS293)))</f>
        <v/>
      </c>
      <c r="Z293" s="14">
        <f>IF($A293="","",IF(INDEX('潜水記録'!$Y$5:$Y$3004,$AS293)="","",INDEX('潜水記録'!$Y$5:$Y$3004,$AS293)))</f>
        <v/>
      </c>
      <c r="AA293" s="14">
        <f>IF($A293="","",IF(INDEX('潜水記録'!$Z$5:$Z$3004,$AS293)="","",INDEX('潜水記録'!$Z$5:$Z$3004,$AS293)))</f>
        <v/>
      </c>
      <c r="AB293" s="14">
        <f>IF($A293="","",IF(INDEX('潜水記録'!$AA$5:$AA$3004,$AS293)="","",INDEX('潜水記録'!$AA$5:$AA$3004,$AS293)))</f>
        <v/>
      </c>
      <c r="AC293" s="14">
        <f>IF($A293="","",IF(INDEX('潜水記録'!$AB$5:$AB$3004,$AS293)="","",INDEX('潜水記録'!$AB$5:$AB$3004,$AS293)))</f>
        <v/>
      </c>
      <c r="AD293" s="14">
        <f>IF($A293="","",IF(INDEX('潜水記録'!$AC$5:$AC$3004,$AS293)="","",INDEX('潜水記録'!$AC$5:$AC$3004,$AS293)))</f>
        <v/>
      </c>
      <c r="AE293" s="14">
        <f>IF($A293="","",IF(INDEX('潜水記録'!$AD$5:$AD$3004,$AS293)="","",INDEX('潜水記録'!$AD$5:$AD$3004,$AS293)))</f>
        <v/>
      </c>
      <c r="AF293" s="14">
        <f>IF($A293="","",IF(INDEX('潜水記録'!$AE$5:$AE$3004,$AS293)="","",INDEX('潜水記録'!$AE$5:$AE$3004,$AS293)))</f>
        <v/>
      </c>
      <c r="AG293" s="14">
        <f>IF($A293="","",IF(INDEX('潜水記録'!$AL$5:$AL$3004,$AS293)="","",INDEX('潜水記録'!$AL$5:$AL$3004,$AS293)))</f>
        <v/>
      </c>
      <c r="AH293" s="14">
        <f>IF($A293="","",IF(INDEX('潜水記録'!$AM$5:$AM$3004,$AS293)="","",INDEX('潜水記録'!$AM$5:$AM$3004,$AS293)))</f>
        <v/>
      </c>
      <c r="AI293" s="46">
        <f>IF($A293="","",IF(INDEX('潜水記録'!$AN$5:$AN$3004,$AS293)="","",INDEX('潜水記録'!$AN$5:$AN$3004,$AS293)))</f>
        <v/>
      </c>
      <c r="AJ293" s="14">
        <f>IF($A293="","",IF(INDEX('潜水記録'!$AO$5:$AO$3004,$AS293)="","",INDEX('潜水記録'!$AO$5:$AO$3004,$AS293)))</f>
        <v/>
      </c>
      <c r="AK293" s="14">
        <f>IF($A293="","",IF(INDEX('潜水記録'!$AP$5:$AP$3004,$AS293)="","",INDEX('潜水記録'!$AP$5:$AP$3004,$AS293)))</f>
        <v/>
      </c>
      <c r="AL293" s="14">
        <f>IF($A293="","",IF(INDEX('潜水記録'!$AQ$5:$AQ$3004,$AS293)="","",INDEX('潜水記録'!$AQ$5:$AQ$3004,$AS293)))</f>
        <v/>
      </c>
      <c r="AM293" s="14">
        <f>IF($A293="","",IF(INDEX('潜水記録'!$AR$5:$AR$3004,$AS293)="","",INDEX('潜水記録'!$AR$5:$AR$3004,$AS293)))</f>
        <v/>
      </c>
      <c r="AN293" s="14">
        <f>IF($A293="","",IF(INDEX('潜水記録'!$AS$5:$AS$3004,$AS293)="","",INDEX('潜水記録'!$AS$5:$AS$3004,$AS293)))</f>
        <v/>
      </c>
      <c r="AO293" s="14">
        <f>IF($A293="","",IF(INDEX('潜水記録'!$AT$5:$AT$3004,$AS293)="","",INDEX('潜水記録'!$AT$5:$AT$3004,$AS293)))</f>
        <v/>
      </c>
      <c r="AP293" s="14">
        <f>IF($A293="","",IF(INDEX('潜水記録'!$AU$5:$AU$3004,$AS293)="","",INDEX('潜水記録'!$AU$5:$AU$3004,$AS293)))</f>
        <v/>
      </c>
      <c r="AQ293" s="14">
        <f>IF($A293="","",IF(INDEX('潜水記録'!$AV$5:$AV$3004,$AS293)="","",INDEX('潜水記録'!$AV$5:$AV$3004,$AS293)))</f>
        <v/>
      </c>
      <c r="AR293" s="14">
        <f>IF($A293="","",IF(INDEX('潜水記録'!$AW$5:$AW$3004,$AS293)="","",INDEX('潜水記録'!$AW$5:$AW$3004,$AS293)))</f>
        <v/>
      </c>
      <c r="AS293" s="20">
        <f>IF($A293="","",MATCH($A293,'潜水記録'!$AI$5:$AI$3004,0))</f>
        <v/>
      </c>
    </row>
    <row r="294">
      <c r="A294" s="14">
        <f>IF(284&lt;=$C$8,284,"")</f>
        <v/>
      </c>
      <c r="B294" s="16">
        <f>IF($A294="","",IF(INDEX('潜水記録'!$A$5:$A$3004,$AS294)="","",INDEX('潜水記録'!$A$5:$A$3004,$AS294)))</f>
        <v/>
      </c>
      <c r="C294" s="14">
        <f>IF($A294="","",IF(INDEX('潜水記録'!$B$5:$B$3004,$AS294)="","",INDEX('潜水記録'!$B$5:$B$3004,$AS294)))</f>
        <v/>
      </c>
      <c r="D294" s="14">
        <f>IF($A294="","",IF(INDEX('潜水記録'!$C$5:$C$3004,$AS294)="","",INDEX('潜水記録'!$C$5:$C$3004,$AS294)))</f>
        <v/>
      </c>
      <c r="E294" s="14">
        <f>IF($A294="","",IF(INDEX('潜水記録'!$D$5:$D$3004,$AS294)="","",INDEX('潜水記録'!$D$5:$D$3004,$AS294)))</f>
        <v/>
      </c>
      <c r="F294" s="14">
        <f>IF($A294="","",IF(INDEX('潜水記録'!$E$5:$E$3004,$AS294)="","",INDEX('潜水記録'!$E$5:$E$3004,$AS294)))</f>
        <v/>
      </c>
      <c r="G294" s="14">
        <f>IF($A294="","",IF(INDEX('潜水記録'!$F$5:$F$3004,$AS294)="","",INDEX('潜水記録'!$F$5:$F$3004,$AS294)))</f>
        <v/>
      </c>
      <c r="H294" s="14">
        <f>IF($A294="","",IF(INDEX('潜水記録'!$G$5:$G$3004,$AS294)="","",INDEX('潜水記録'!$G$5:$G$3004,$AS294)))</f>
        <v/>
      </c>
      <c r="I294" s="14">
        <f>IF($A294="","",IF(INDEX('潜水記録'!$H$5:$H$3004,$AS294)="","",INDEX('潜水記録'!$H$5:$H$3004,$AS294)))</f>
        <v/>
      </c>
      <c r="J294" s="14">
        <f>IF($A294="","",IF(INDEX('潜水記録'!$I$5:$I$3004,$AS294)="","",INDEX('潜水記録'!$I$5:$I$3004,$AS294)))</f>
        <v/>
      </c>
      <c r="K294" s="14">
        <f>IF($A294="","",IF(INDEX('潜水記録'!$J$5:$J$3004,$AS294)="","",INDEX('潜水記録'!$J$5:$J$3004,$AS294)))</f>
        <v/>
      </c>
      <c r="L294" s="14">
        <f>IF($A294="","",IF(INDEX('潜水記録'!$K$5:$K$3004,$AS294)="","",INDEX('潜水記録'!$K$5:$K$3004,$AS294)))</f>
        <v/>
      </c>
      <c r="M294" s="14">
        <f>IF($A294="","",IF(INDEX('潜水記録'!$L$5:$L$3004,$AS294)="","",INDEX('潜水記録'!$L$5:$L$3004,$AS294)))</f>
        <v/>
      </c>
      <c r="N294" s="14">
        <f>IF($A294="","",IF(INDEX('潜水記録'!$M$5:$M$3004,$AS294)="","",INDEX('潜水記録'!$M$5:$M$3004,$AS294)))</f>
        <v/>
      </c>
      <c r="O294" s="14">
        <f>IF($A294="","",IF(INDEX('潜水記録'!$N$5:$N$3004,$AS294)="","",INDEX('潜水記録'!$N$5:$N$3004,$AS294)))</f>
        <v/>
      </c>
      <c r="P294" s="14">
        <f>IF($A294="","",IF(INDEX('潜水記録'!$O$5:$O$3004,$AS294)="","",INDEX('潜水記録'!$O$5:$O$3004,$AS294)))</f>
        <v/>
      </c>
      <c r="Q294" s="14">
        <f>IF($A294="","",IF(INDEX('潜水記録'!$P$5:$P$3004,$AS294)="","",INDEX('潜水記録'!$P$5:$P$3004,$AS294)))</f>
        <v/>
      </c>
      <c r="R294" s="14">
        <f>IF($A294="","",IF(INDEX('潜水記録'!$Q$5:$Q$3004,$AS294)="","",INDEX('潜水記録'!$Q$5:$Q$3004,$AS294)))</f>
        <v/>
      </c>
      <c r="S294" s="14">
        <f>IF($A294="","",IF(INDEX('潜水記録'!$R$5:$R$3004,$AS294)="","",INDEX('潜水記録'!$R$5:$R$3004,$AS294)))</f>
        <v/>
      </c>
      <c r="T294" s="14">
        <f>IF($A294="","",IF(INDEX('潜水記録'!$S$5:$S$3004,$AS294)="","",INDEX('潜水記録'!$S$5:$S$3004,$AS294)))</f>
        <v/>
      </c>
      <c r="U294" s="14">
        <f>IF($A294="","",IF(INDEX('潜水記録'!$T$5:$T$3004,$AS294)="","",INDEX('潜水記録'!$T$5:$T$3004,$AS294)))</f>
        <v/>
      </c>
      <c r="V294" s="46">
        <f>IF($A294="","",IF(INDEX('潜水記録'!$U$5:$U$3004,$AS294)="","",INDEX('潜水記録'!$U$5:$U$3004,$AS294)))</f>
        <v/>
      </c>
      <c r="W294" s="46">
        <f>IF($A294="","",IF(INDEX('潜水記録'!$V$5:$V$3004,$AS294)="","",INDEX('潜水記録'!$V$5:$V$3004,$AS294)))</f>
        <v/>
      </c>
      <c r="X294" s="14">
        <f>IF($A294="","",IF(INDEX('潜水記録'!$W$5:$W$3004,$AS294)="","",INDEX('潜水記録'!$W$5:$W$3004,$AS294)))</f>
        <v/>
      </c>
      <c r="Y294" s="14">
        <f>IF($A294="","",IF(INDEX('潜水記録'!$X$5:$X$3004,$AS294)="","",INDEX('潜水記録'!$X$5:$X$3004,$AS294)))</f>
        <v/>
      </c>
      <c r="Z294" s="14">
        <f>IF($A294="","",IF(INDEX('潜水記録'!$Y$5:$Y$3004,$AS294)="","",INDEX('潜水記録'!$Y$5:$Y$3004,$AS294)))</f>
        <v/>
      </c>
      <c r="AA294" s="14">
        <f>IF($A294="","",IF(INDEX('潜水記録'!$Z$5:$Z$3004,$AS294)="","",INDEX('潜水記録'!$Z$5:$Z$3004,$AS294)))</f>
        <v/>
      </c>
      <c r="AB294" s="14">
        <f>IF($A294="","",IF(INDEX('潜水記録'!$AA$5:$AA$3004,$AS294)="","",INDEX('潜水記録'!$AA$5:$AA$3004,$AS294)))</f>
        <v/>
      </c>
      <c r="AC294" s="14">
        <f>IF($A294="","",IF(INDEX('潜水記録'!$AB$5:$AB$3004,$AS294)="","",INDEX('潜水記録'!$AB$5:$AB$3004,$AS294)))</f>
        <v/>
      </c>
      <c r="AD294" s="14">
        <f>IF($A294="","",IF(INDEX('潜水記録'!$AC$5:$AC$3004,$AS294)="","",INDEX('潜水記録'!$AC$5:$AC$3004,$AS294)))</f>
        <v/>
      </c>
      <c r="AE294" s="14">
        <f>IF($A294="","",IF(INDEX('潜水記録'!$AD$5:$AD$3004,$AS294)="","",INDEX('潜水記録'!$AD$5:$AD$3004,$AS294)))</f>
        <v/>
      </c>
      <c r="AF294" s="14">
        <f>IF($A294="","",IF(INDEX('潜水記録'!$AE$5:$AE$3004,$AS294)="","",INDEX('潜水記録'!$AE$5:$AE$3004,$AS294)))</f>
        <v/>
      </c>
      <c r="AG294" s="14">
        <f>IF($A294="","",IF(INDEX('潜水記録'!$AL$5:$AL$3004,$AS294)="","",INDEX('潜水記録'!$AL$5:$AL$3004,$AS294)))</f>
        <v/>
      </c>
      <c r="AH294" s="14">
        <f>IF($A294="","",IF(INDEX('潜水記録'!$AM$5:$AM$3004,$AS294)="","",INDEX('潜水記録'!$AM$5:$AM$3004,$AS294)))</f>
        <v/>
      </c>
      <c r="AI294" s="46">
        <f>IF($A294="","",IF(INDEX('潜水記録'!$AN$5:$AN$3004,$AS294)="","",INDEX('潜水記録'!$AN$5:$AN$3004,$AS294)))</f>
        <v/>
      </c>
      <c r="AJ294" s="14">
        <f>IF($A294="","",IF(INDEX('潜水記録'!$AO$5:$AO$3004,$AS294)="","",INDEX('潜水記録'!$AO$5:$AO$3004,$AS294)))</f>
        <v/>
      </c>
      <c r="AK294" s="14">
        <f>IF($A294="","",IF(INDEX('潜水記録'!$AP$5:$AP$3004,$AS294)="","",INDEX('潜水記録'!$AP$5:$AP$3004,$AS294)))</f>
        <v/>
      </c>
      <c r="AL294" s="14">
        <f>IF($A294="","",IF(INDEX('潜水記録'!$AQ$5:$AQ$3004,$AS294)="","",INDEX('潜水記録'!$AQ$5:$AQ$3004,$AS294)))</f>
        <v/>
      </c>
      <c r="AM294" s="14">
        <f>IF($A294="","",IF(INDEX('潜水記録'!$AR$5:$AR$3004,$AS294)="","",INDEX('潜水記録'!$AR$5:$AR$3004,$AS294)))</f>
        <v/>
      </c>
      <c r="AN294" s="14">
        <f>IF($A294="","",IF(INDEX('潜水記録'!$AS$5:$AS$3004,$AS294)="","",INDEX('潜水記録'!$AS$5:$AS$3004,$AS294)))</f>
        <v/>
      </c>
      <c r="AO294" s="14">
        <f>IF($A294="","",IF(INDEX('潜水記録'!$AT$5:$AT$3004,$AS294)="","",INDEX('潜水記録'!$AT$5:$AT$3004,$AS294)))</f>
        <v/>
      </c>
      <c r="AP294" s="14">
        <f>IF($A294="","",IF(INDEX('潜水記録'!$AU$5:$AU$3004,$AS294)="","",INDEX('潜水記録'!$AU$5:$AU$3004,$AS294)))</f>
        <v/>
      </c>
      <c r="AQ294" s="14">
        <f>IF($A294="","",IF(INDEX('潜水記録'!$AV$5:$AV$3004,$AS294)="","",INDEX('潜水記録'!$AV$5:$AV$3004,$AS294)))</f>
        <v/>
      </c>
      <c r="AR294" s="14">
        <f>IF($A294="","",IF(INDEX('潜水記録'!$AW$5:$AW$3004,$AS294)="","",INDEX('潜水記録'!$AW$5:$AW$3004,$AS294)))</f>
        <v/>
      </c>
      <c r="AS294" s="20">
        <f>IF($A294="","",MATCH($A294,'潜水記録'!$AI$5:$AI$3004,0))</f>
        <v/>
      </c>
    </row>
    <row r="295">
      <c r="A295" s="14">
        <f>IF(285&lt;=$C$8,285,"")</f>
        <v/>
      </c>
      <c r="B295" s="16">
        <f>IF($A295="","",IF(INDEX('潜水記録'!$A$5:$A$3004,$AS295)="","",INDEX('潜水記録'!$A$5:$A$3004,$AS295)))</f>
        <v/>
      </c>
      <c r="C295" s="14">
        <f>IF($A295="","",IF(INDEX('潜水記録'!$B$5:$B$3004,$AS295)="","",INDEX('潜水記録'!$B$5:$B$3004,$AS295)))</f>
        <v/>
      </c>
      <c r="D295" s="14">
        <f>IF($A295="","",IF(INDEX('潜水記録'!$C$5:$C$3004,$AS295)="","",INDEX('潜水記録'!$C$5:$C$3004,$AS295)))</f>
        <v/>
      </c>
      <c r="E295" s="14">
        <f>IF($A295="","",IF(INDEX('潜水記録'!$D$5:$D$3004,$AS295)="","",INDEX('潜水記録'!$D$5:$D$3004,$AS295)))</f>
        <v/>
      </c>
      <c r="F295" s="14">
        <f>IF($A295="","",IF(INDEX('潜水記録'!$E$5:$E$3004,$AS295)="","",INDEX('潜水記録'!$E$5:$E$3004,$AS295)))</f>
        <v/>
      </c>
      <c r="G295" s="14">
        <f>IF($A295="","",IF(INDEX('潜水記録'!$F$5:$F$3004,$AS295)="","",INDEX('潜水記録'!$F$5:$F$3004,$AS295)))</f>
        <v/>
      </c>
      <c r="H295" s="14">
        <f>IF($A295="","",IF(INDEX('潜水記録'!$G$5:$G$3004,$AS295)="","",INDEX('潜水記録'!$G$5:$G$3004,$AS295)))</f>
        <v/>
      </c>
      <c r="I295" s="14">
        <f>IF($A295="","",IF(INDEX('潜水記録'!$H$5:$H$3004,$AS295)="","",INDEX('潜水記録'!$H$5:$H$3004,$AS295)))</f>
        <v/>
      </c>
      <c r="J295" s="14">
        <f>IF($A295="","",IF(INDEX('潜水記録'!$I$5:$I$3004,$AS295)="","",INDEX('潜水記録'!$I$5:$I$3004,$AS295)))</f>
        <v/>
      </c>
      <c r="K295" s="14">
        <f>IF($A295="","",IF(INDEX('潜水記録'!$J$5:$J$3004,$AS295)="","",INDEX('潜水記録'!$J$5:$J$3004,$AS295)))</f>
        <v/>
      </c>
      <c r="L295" s="14">
        <f>IF($A295="","",IF(INDEX('潜水記録'!$K$5:$K$3004,$AS295)="","",INDEX('潜水記録'!$K$5:$K$3004,$AS295)))</f>
        <v/>
      </c>
      <c r="M295" s="14">
        <f>IF($A295="","",IF(INDEX('潜水記録'!$L$5:$L$3004,$AS295)="","",INDEX('潜水記録'!$L$5:$L$3004,$AS295)))</f>
        <v/>
      </c>
      <c r="N295" s="14">
        <f>IF($A295="","",IF(INDEX('潜水記録'!$M$5:$M$3004,$AS295)="","",INDEX('潜水記録'!$M$5:$M$3004,$AS295)))</f>
        <v/>
      </c>
      <c r="O295" s="14">
        <f>IF($A295="","",IF(INDEX('潜水記録'!$N$5:$N$3004,$AS295)="","",INDEX('潜水記録'!$N$5:$N$3004,$AS295)))</f>
        <v/>
      </c>
      <c r="P295" s="14">
        <f>IF($A295="","",IF(INDEX('潜水記録'!$O$5:$O$3004,$AS295)="","",INDEX('潜水記録'!$O$5:$O$3004,$AS295)))</f>
        <v/>
      </c>
      <c r="Q295" s="14">
        <f>IF($A295="","",IF(INDEX('潜水記録'!$P$5:$P$3004,$AS295)="","",INDEX('潜水記録'!$P$5:$P$3004,$AS295)))</f>
        <v/>
      </c>
      <c r="R295" s="14">
        <f>IF($A295="","",IF(INDEX('潜水記録'!$Q$5:$Q$3004,$AS295)="","",INDEX('潜水記録'!$Q$5:$Q$3004,$AS295)))</f>
        <v/>
      </c>
      <c r="S295" s="14">
        <f>IF($A295="","",IF(INDEX('潜水記録'!$R$5:$R$3004,$AS295)="","",INDEX('潜水記録'!$R$5:$R$3004,$AS295)))</f>
        <v/>
      </c>
      <c r="T295" s="14">
        <f>IF($A295="","",IF(INDEX('潜水記録'!$S$5:$S$3004,$AS295)="","",INDEX('潜水記録'!$S$5:$S$3004,$AS295)))</f>
        <v/>
      </c>
      <c r="U295" s="14">
        <f>IF($A295="","",IF(INDEX('潜水記録'!$T$5:$T$3004,$AS295)="","",INDEX('潜水記録'!$T$5:$T$3004,$AS295)))</f>
        <v/>
      </c>
      <c r="V295" s="46">
        <f>IF($A295="","",IF(INDEX('潜水記録'!$U$5:$U$3004,$AS295)="","",INDEX('潜水記録'!$U$5:$U$3004,$AS295)))</f>
        <v/>
      </c>
      <c r="W295" s="46">
        <f>IF($A295="","",IF(INDEX('潜水記録'!$V$5:$V$3004,$AS295)="","",INDEX('潜水記録'!$V$5:$V$3004,$AS295)))</f>
        <v/>
      </c>
      <c r="X295" s="14">
        <f>IF($A295="","",IF(INDEX('潜水記録'!$W$5:$W$3004,$AS295)="","",INDEX('潜水記録'!$W$5:$W$3004,$AS295)))</f>
        <v/>
      </c>
      <c r="Y295" s="14">
        <f>IF($A295="","",IF(INDEX('潜水記録'!$X$5:$X$3004,$AS295)="","",INDEX('潜水記録'!$X$5:$X$3004,$AS295)))</f>
        <v/>
      </c>
      <c r="Z295" s="14">
        <f>IF($A295="","",IF(INDEX('潜水記録'!$Y$5:$Y$3004,$AS295)="","",INDEX('潜水記録'!$Y$5:$Y$3004,$AS295)))</f>
        <v/>
      </c>
      <c r="AA295" s="14">
        <f>IF($A295="","",IF(INDEX('潜水記録'!$Z$5:$Z$3004,$AS295)="","",INDEX('潜水記録'!$Z$5:$Z$3004,$AS295)))</f>
        <v/>
      </c>
      <c r="AB295" s="14">
        <f>IF($A295="","",IF(INDEX('潜水記録'!$AA$5:$AA$3004,$AS295)="","",INDEX('潜水記録'!$AA$5:$AA$3004,$AS295)))</f>
        <v/>
      </c>
      <c r="AC295" s="14">
        <f>IF($A295="","",IF(INDEX('潜水記録'!$AB$5:$AB$3004,$AS295)="","",INDEX('潜水記録'!$AB$5:$AB$3004,$AS295)))</f>
        <v/>
      </c>
      <c r="AD295" s="14">
        <f>IF($A295="","",IF(INDEX('潜水記録'!$AC$5:$AC$3004,$AS295)="","",INDEX('潜水記録'!$AC$5:$AC$3004,$AS295)))</f>
        <v/>
      </c>
      <c r="AE295" s="14">
        <f>IF($A295="","",IF(INDEX('潜水記録'!$AD$5:$AD$3004,$AS295)="","",INDEX('潜水記録'!$AD$5:$AD$3004,$AS295)))</f>
        <v/>
      </c>
      <c r="AF295" s="14">
        <f>IF($A295="","",IF(INDEX('潜水記録'!$AE$5:$AE$3004,$AS295)="","",INDEX('潜水記録'!$AE$5:$AE$3004,$AS295)))</f>
        <v/>
      </c>
      <c r="AG295" s="14">
        <f>IF($A295="","",IF(INDEX('潜水記録'!$AL$5:$AL$3004,$AS295)="","",INDEX('潜水記録'!$AL$5:$AL$3004,$AS295)))</f>
        <v/>
      </c>
      <c r="AH295" s="14">
        <f>IF($A295="","",IF(INDEX('潜水記録'!$AM$5:$AM$3004,$AS295)="","",INDEX('潜水記録'!$AM$5:$AM$3004,$AS295)))</f>
        <v/>
      </c>
      <c r="AI295" s="46">
        <f>IF($A295="","",IF(INDEX('潜水記録'!$AN$5:$AN$3004,$AS295)="","",INDEX('潜水記録'!$AN$5:$AN$3004,$AS295)))</f>
        <v/>
      </c>
      <c r="AJ295" s="14">
        <f>IF($A295="","",IF(INDEX('潜水記録'!$AO$5:$AO$3004,$AS295)="","",INDEX('潜水記録'!$AO$5:$AO$3004,$AS295)))</f>
        <v/>
      </c>
      <c r="AK295" s="14">
        <f>IF($A295="","",IF(INDEX('潜水記録'!$AP$5:$AP$3004,$AS295)="","",INDEX('潜水記録'!$AP$5:$AP$3004,$AS295)))</f>
        <v/>
      </c>
      <c r="AL295" s="14">
        <f>IF($A295="","",IF(INDEX('潜水記録'!$AQ$5:$AQ$3004,$AS295)="","",INDEX('潜水記録'!$AQ$5:$AQ$3004,$AS295)))</f>
        <v/>
      </c>
      <c r="AM295" s="14">
        <f>IF($A295="","",IF(INDEX('潜水記録'!$AR$5:$AR$3004,$AS295)="","",INDEX('潜水記録'!$AR$5:$AR$3004,$AS295)))</f>
        <v/>
      </c>
      <c r="AN295" s="14">
        <f>IF($A295="","",IF(INDEX('潜水記録'!$AS$5:$AS$3004,$AS295)="","",INDEX('潜水記録'!$AS$5:$AS$3004,$AS295)))</f>
        <v/>
      </c>
      <c r="AO295" s="14">
        <f>IF($A295="","",IF(INDEX('潜水記録'!$AT$5:$AT$3004,$AS295)="","",INDEX('潜水記録'!$AT$5:$AT$3004,$AS295)))</f>
        <v/>
      </c>
      <c r="AP295" s="14">
        <f>IF($A295="","",IF(INDEX('潜水記録'!$AU$5:$AU$3004,$AS295)="","",INDEX('潜水記録'!$AU$5:$AU$3004,$AS295)))</f>
        <v/>
      </c>
      <c r="AQ295" s="14">
        <f>IF($A295="","",IF(INDEX('潜水記録'!$AV$5:$AV$3004,$AS295)="","",INDEX('潜水記録'!$AV$5:$AV$3004,$AS295)))</f>
        <v/>
      </c>
      <c r="AR295" s="14">
        <f>IF($A295="","",IF(INDEX('潜水記録'!$AW$5:$AW$3004,$AS295)="","",INDEX('潜水記録'!$AW$5:$AW$3004,$AS295)))</f>
        <v/>
      </c>
      <c r="AS295" s="20">
        <f>IF($A295="","",MATCH($A295,'潜水記録'!$AI$5:$AI$3004,0))</f>
        <v/>
      </c>
    </row>
    <row r="296">
      <c r="A296" s="14">
        <f>IF(286&lt;=$C$8,286,"")</f>
        <v/>
      </c>
      <c r="B296" s="16">
        <f>IF($A296="","",IF(INDEX('潜水記録'!$A$5:$A$3004,$AS296)="","",INDEX('潜水記録'!$A$5:$A$3004,$AS296)))</f>
        <v/>
      </c>
      <c r="C296" s="14">
        <f>IF($A296="","",IF(INDEX('潜水記録'!$B$5:$B$3004,$AS296)="","",INDEX('潜水記録'!$B$5:$B$3004,$AS296)))</f>
        <v/>
      </c>
      <c r="D296" s="14">
        <f>IF($A296="","",IF(INDEX('潜水記録'!$C$5:$C$3004,$AS296)="","",INDEX('潜水記録'!$C$5:$C$3004,$AS296)))</f>
        <v/>
      </c>
      <c r="E296" s="14">
        <f>IF($A296="","",IF(INDEX('潜水記録'!$D$5:$D$3004,$AS296)="","",INDEX('潜水記録'!$D$5:$D$3004,$AS296)))</f>
        <v/>
      </c>
      <c r="F296" s="14">
        <f>IF($A296="","",IF(INDEX('潜水記録'!$E$5:$E$3004,$AS296)="","",INDEX('潜水記録'!$E$5:$E$3004,$AS296)))</f>
        <v/>
      </c>
      <c r="G296" s="14">
        <f>IF($A296="","",IF(INDEX('潜水記録'!$F$5:$F$3004,$AS296)="","",INDEX('潜水記録'!$F$5:$F$3004,$AS296)))</f>
        <v/>
      </c>
      <c r="H296" s="14">
        <f>IF($A296="","",IF(INDEX('潜水記録'!$G$5:$G$3004,$AS296)="","",INDEX('潜水記録'!$G$5:$G$3004,$AS296)))</f>
        <v/>
      </c>
      <c r="I296" s="14">
        <f>IF($A296="","",IF(INDEX('潜水記録'!$H$5:$H$3004,$AS296)="","",INDEX('潜水記録'!$H$5:$H$3004,$AS296)))</f>
        <v/>
      </c>
      <c r="J296" s="14">
        <f>IF($A296="","",IF(INDEX('潜水記録'!$I$5:$I$3004,$AS296)="","",INDEX('潜水記録'!$I$5:$I$3004,$AS296)))</f>
        <v/>
      </c>
      <c r="K296" s="14">
        <f>IF($A296="","",IF(INDEX('潜水記録'!$J$5:$J$3004,$AS296)="","",INDEX('潜水記録'!$J$5:$J$3004,$AS296)))</f>
        <v/>
      </c>
      <c r="L296" s="14">
        <f>IF($A296="","",IF(INDEX('潜水記録'!$K$5:$K$3004,$AS296)="","",INDEX('潜水記録'!$K$5:$K$3004,$AS296)))</f>
        <v/>
      </c>
      <c r="M296" s="14">
        <f>IF($A296="","",IF(INDEX('潜水記録'!$L$5:$L$3004,$AS296)="","",INDEX('潜水記録'!$L$5:$L$3004,$AS296)))</f>
        <v/>
      </c>
      <c r="N296" s="14">
        <f>IF($A296="","",IF(INDEX('潜水記録'!$M$5:$M$3004,$AS296)="","",INDEX('潜水記録'!$M$5:$M$3004,$AS296)))</f>
        <v/>
      </c>
      <c r="O296" s="14">
        <f>IF($A296="","",IF(INDEX('潜水記録'!$N$5:$N$3004,$AS296)="","",INDEX('潜水記録'!$N$5:$N$3004,$AS296)))</f>
        <v/>
      </c>
      <c r="P296" s="14">
        <f>IF($A296="","",IF(INDEX('潜水記録'!$O$5:$O$3004,$AS296)="","",INDEX('潜水記録'!$O$5:$O$3004,$AS296)))</f>
        <v/>
      </c>
      <c r="Q296" s="14">
        <f>IF($A296="","",IF(INDEX('潜水記録'!$P$5:$P$3004,$AS296)="","",INDEX('潜水記録'!$P$5:$P$3004,$AS296)))</f>
        <v/>
      </c>
      <c r="R296" s="14">
        <f>IF($A296="","",IF(INDEX('潜水記録'!$Q$5:$Q$3004,$AS296)="","",INDEX('潜水記録'!$Q$5:$Q$3004,$AS296)))</f>
        <v/>
      </c>
      <c r="S296" s="14">
        <f>IF($A296="","",IF(INDEX('潜水記録'!$R$5:$R$3004,$AS296)="","",INDEX('潜水記録'!$R$5:$R$3004,$AS296)))</f>
        <v/>
      </c>
      <c r="T296" s="14">
        <f>IF($A296="","",IF(INDEX('潜水記録'!$S$5:$S$3004,$AS296)="","",INDEX('潜水記録'!$S$5:$S$3004,$AS296)))</f>
        <v/>
      </c>
      <c r="U296" s="14">
        <f>IF($A296="","",IF(INDEX('潜水記録'!$T$5:$T$3004,$AS296)="","",INDEX('潜水記録'!$T$5:$T$3004,$AS296)))</f>
        <v/>
      </c>
      <c r="V296" s="46">
        <f>IF($A296="","",IF(INDEX('潜水記録'!$U$5:$U$3004,$AS296)="","",INDEX('潜水記録'!$U$5:$U$3004,$AS296)))</f>
        <v/>
      </c>
      <c r="W296" s="46">
        <f>IF($A296="","",IF(INDEX('潜水記録'!$V$5:$V$3004,$AS296)="","",INDEX('潜水記録'!$V$5:$V$3004,$AS296)))</f>
        <v/>
      </c>
      <c r="X296" s="14">
        <f>IF($A296="","",IF(INDEX('潜水記録'!$W$5:$W$3004,$AS296)="","",INDEX('潜水記録'!$W$5:$W$3004,$AS296)))</f>
        <v/>
      </c>
      <c r="Y296" s="14">
        <f>IF($A296="","",IF(INDEX('潜水記録'!$X$5:$X$3004,$AS296)="","",INDEX('潜水記録'!$X$5:$X$3004,$AS296)))</f>
        <v/>
      </c>
      <c r="Z296" s="14">
        <f>IF($A296="","",IF(INDEX('潜水記録'!$Y$5:$Y$3004,$AS296)="","",INDEX('潜水記録'!$Y$5:$Y$3004,$AS296)))</f>
        <v/>
      </c>
      <c r="AA296" s="14">
        <f>IF($A296="","",IF(INDEX('潜水記録'!$Z$5:$Z$3004,$AS296)="","",INDEX('潜水記録'!$Z$5:$Z$3004,$AS296)))</f>
        <v/>
      </c>
      <c r="AB296" s="14">
        <f>IF($A296="","",IF(INDEX('潜水記録'!$AA$5:$AA$3004,$AS296)="","",INDEX('潜水記録'!$AA$5:$AA$3004,$AS296)))</f>
        <v/>
      </c>
      <c r="AC296" s="14">
        <f>IF($A296="","",IF(INDEX('潜水記録'!$AB$5:$AB$3004,$AS296)="","",INDEX('潜水記録'!$AB$5:$AB$3004,$AS296)))</f>
        <v/>
      </c>
      <c r="AD296" s="14">
        <f>IF($A296="","",IF(INDEX('潜水記録'!$AC$5:$AC$3004,$AS296)="","",INDEX('潜水記録'!$AC$5:$AC$3004,$AS296)))</f>
        <v/>
      </c>
      <c r="AE296" s="14">
        <f>IF($A296="","",IF(INDEX('潜水記録'!$AD$5:$AD$3004,$AS296)="","",INDEX('潜水記録'!$AD$5:$AD$3004,$AS296)))</f>
        <v/>
      </c>
      <c r="AF296" s="14">
        <f>IF($A296="","",IF(INDEX('潜水記録'!$AE$5:$AE$3004,$AS296)="","",INDEX('潜水記録'!$AE$5:$AE$3004,$AS296)))</f>
        <v/>
      </c>
      <c r="AG296" s="14">
        <f>IF($A296="","",IF(INDEX('潜水記録'!$AL$5:$AL$3004,$AS296)="","",INDEX('潜水記録'!$AL$5:$AL$3004,$AS296)))</f>
        <v/>
      </c>
      <c r="AH296" s="14">
        <f>IF($A296="","",IF(INDEX('潜水記録'!$AM$5:$AM$3004,$AS296)="","",INDEX('潜水記録'!$AM$5:$AM$3004,$AS296)))</f>
        <v/>
      </c>
      <c r="AI296" s="46">
        <f>IF($A296="","",IF(INDEX('潜水記録'!$AN$5:$AN$3004,$AS296)="","",INDEX('潜水記録'!$AN$5:$AN$3004,$AS296)))</f>
        <v/>
      </c>
      <c r="AJ296" s="14">
        <f>IF($A296="","",IF(INDEX('潜水記録'!$AO$5:$AO$3004,$AS296)="","",INDEX('潜水記録'!$AO$5:$AO$3004,$AS296)))</f>
        <v/>
      </c>
      <c r="AK296" s="14">
        <f>IF($A296="","",IF(INDEX('潜水記録'!$AP$5:$AP$3004,$AS296)="","",INDEX('潜水記録'!$AP$5:$AP$3004,$AS296)))</f>
        <v/>
      </c>
      <c r="AL296" s="14">
        <f>IF($A296="","",IF(INDEX('潜水記録'!$AQ$5:$AQ$3004,$AS296)="","",INDEX('潜水記録'!$AQ$5:$AQ$3004,$AS296)))</f>
        <v/>
      </c>
      <c r="AM296" s="14">
        <f>IF($A296="","",IF(INDEX('潜水記録'!$AR$5:$AR$3004,$AS296)="","",INDEX('潜水記録'!$AR$5:$AR$3004,$AS296)))</f>
        <v/>
      </c>
      <c r="AN296" s="14">
        <f>IF($A296="","",IF(INDEX('潜水記録'!$AS$5:$AS$3004,$AS296)="","",INDEX('潜水記録'!$AS$5:$AS$3004,$AS296)))</f>
        <v/>
      </c>
      <c r="AO296" s="14">
        <f>IF($A296="","",IF(INDEX('潜水記録'!$AT$5:$AT$3004,$AS296)="","",INDEX('潜水記録'!$AT$5:$AT$3004,$AS296)))</f>
        <v/>
      </c>
      <c r="AP296" s="14">
        <f>IF($A296="","",IF(INDEX('潜水記録'!$AU$5:$AU$3004,$AS296)="","",INDEX('潜水記録'!$AU$5:$AU$3004,$AS296)))</f>
        <v/>
      </c>
      <c r="AQ296" s="14">
        <f>IF($A296="","",IF(INDEX('潜水記録'!$AV$5:$AV$3004,$AS296)="","",INDEX('潜水記録'!$AV$5:$AV$3004,$AS296)))</f>
        <v/>
      </c>
      <c r="AR296" s="14">
        <f>IF($A296="","",IF(INDEX('潜水記録'!$AW$5:$AW$3004,$AS296)="","",INDEX('潜水記録'!$AW$5:$AW$3004,$AS296)))</f>
        <v/>
      </c>
      <c r="AS296" s="20">
        <f>IF($A296="","",MATCH($A296,'潜水記録'!$AI$5:$AI$3004,0))</f>
        <v/>
      </c>
    </row>
    <row r="297">
      <c r="A297" s="14">
        <f>IF(287&lt;=$C$8,287,"")</f>
        <v/>
      </c>
      <c r="B297" s="16">
        <f>IF($A297="","",IF(INDEX('潜水記録'!$A$5:$A$3004,$AS297)="","",INDEX('潜水記録'!$A$5:$A$3004,$AS297)))</f>
        <v/>
      </c>
      <c r="C297" s="14">
        <f>IF($A297="","",IF(INDEX('潜水記録'!$B$5:$B$3004,$AS297)="","",INDEX('潜水記録'!$B$5:$B$3004,$AS297)))</f>
        <v/>
      </c>
      <c r="D297" s="14">
        <f>IF($A297="","",IF(INDEX('潜水記録'!$C$5:$C$3004,$AS297)="","",INDEX('潜水記録'!$C$5:$C$3004,$AS297)))</f>
        <v/>
      </c>
      <c r="E297" s="14">
        <f>IF($A297="","",IF(INDEX('潜水記録'!$D$5:$D$3004,$AS297)="","",INDEX('潜水記録'!$D$5:$D$3004,$AS297)))</f>
        <v/>
      </c>
      <c r="F297" s="14">
        <f>IF($A297="","",IF(INDEX('潜水記録'!$E$5:$E$3004,$AS297)="","",INDEX('潜水記録'!$E$5:$E$3004,$AS297)))</f>
        <v/>
      </c>
      <c r="G297" s="14">
        <f>IF($A297="","",IF(INDEX('潜水記録'!$F$5:$F$3004,$AS297)="","",INDEX('潜水記録'!$F$5:$F$3004,$AS297)))</f>
        <v/>
      </c>
      <c r="H297" s="14">
        <f>IF($A297="","",IF(INDEX('潜水記録'!$G$5:$G$3004,$AS297)="","",INDEX('潜水記録'!$G$5:$G$3004,$AS297)))</f>
        <v/>
      </c>
      <c r="I297" s="14">
        <f>IF($A297="","",IF(INDEX('潜水記録'!$H$5:$H$3004,$AS297)="","",INDEX('潜水記録'!$H$5:$H$3004,$AS297)))</f>
        <v/>
      </c>
      <c r="J297" s="14">
        <f>IF($A297="","",IF(INDEX('潜水記録'!$I$5:$I$3004,$AS297)="","",INDEX('潜水記録'!$I$5:$I$3004,$AS297)))</f>
        <v/>
      </c>
      <c r="K297" s="14">
        <f>IF($A297="","",IF(INDEX('潜水記録'!$J$5:$J$3004,$AS297)="","",INDEX('潜水記録'!$J$5:$J$3004,$AS297)))</f>
        <v/>
      </c>
      <c r="L297" s="14">
        <f>IF($A297="","",IF(INDEX('潜水記録'!$K$5:$K$3004,$AS297)="","",INDEX('潜水記録'!$K$5:$K$3004,$AS297)))</f>
        <v/>
      </c>
      <c r="M297" s="14">
        <f>IF($A297="","",IF(INDEX('潜水記録'!$L$5:$L$3004,$AS297)="","",INDEX('潜水記録'!$L$5:$L$3004,$AS297)))</f>
        <v/>
      </c>
      <c r="N297" s="14">
        <f>IF($A297="","",IF(INDEX('潜水記録'!$M$5:$M$3004,$AS297)="","",INDEX('潜水記録'!$M$5:$M$3004,$AS297)))</f>
        <v/>
      </c>
      <c r="O297" s="14">
        <f>IF($A297="","",IF(INDEX('潜水記録'!$N$5:$N$3004,$AS297)="","",INDEX('潜水記録'!$N$5:$N$3004,$AS297)))</f>
        <v/>
      </c>
      <c r="P297" s="14">
        <f>IF($A297="","",IF(INDEX('潜水記録'!$O$5:$O$3004,$AS297)="","",INDEX('潜水記録'!$O$5:$O$3004,$AS297)))</f>
        <v/>
      </c>
      <c r="Q297" s="14">
        <f>IF($A297="","",IF(INDEX('潜水記録'!$P$5:$P$3004,$AS297)="","",INDEX('潜水記録'!$P$5:$P$3004,$AS297)))</f>
        <v/>
      </c>
      <c r="R297" s="14">
        <f>IF($A297="","",IF(INDEX('潜水記録'!$Q$5:$Q$3004,$AS297)="","",INDEX('潜水記録'!$Q$5:$Q$3004,$AS297)))</f>
        <v/>
      </c>
      <c r="S297" s="14">
        <f>IF($A297="","",IF(INDEX('潜水記録'!$R$5:$R$3004,$AS297)="","",INDEX('潜水記録'!$R$5:$R$3004,$AS297)))</f>
        <v/>
      </c>
      <c r="T297" s="14">
        <f>IF($A297="","",IF(INDEX('潜水記録'!$S$5:$S$3004,$AS297)="","",INDEX('潜水記録'!$S$5:$S$3004,$AS297)))</f>
        <v/>
      </c>
      <c r="U297" s="14">
        <f>IF($A297="","",IF(INDEX('潜水記録'!$T$5:$T$3004,$AS297)="","",INDEX('潜水記録'!$T$5:$T$3004,$AS297)))</f>
        <v/>
      </c>
      <c r="V297" s="46">
        <f>IF($A297="","",IF(INDEX('潜水記録'!$U$5:$U$3004,$AS297)="","",INDEX('潜水記録'!$U$5:$U$3004,$AS297)))</f>
        <v/>
      </c>
      <c r="W297" s="46">
        <f>IF($A297="","",IF(INDEX('潜水記録'!$V$5:$V$3004,$AS297)="","",INDEX('潜水記録'!$V$5:$V$3004,$AS297)))</f>
        <v/>
      </c>
      <c r="X297" s="14">
        <f>IF($A297="","",IF(INDEX('潜水記録'!$W$5:$W$3004,$AS297)="","",INDEX('潜水記録'!$W$5:$W$3004,$AS297)))</f>
        <v/>
      </c>
      <c r="Y297" s="14">
        <f>IF($A297="","",IF(INDEX('潜水記録'!$X$5:$X$3004,$AS297)="","",INDEX('潜水記録'!$X$5:$X$3004,$AS297)))</f>
        <v/>
      </c>
      <c r="Z297" s="14">
        <f>IF($A297="","",IF(INDEX('潜水記録'!$Y$5:$Y$3004,$AS297)="","",INDEX('潜水記録'!$Y$5:$Y$3004,$AS297)))</f>
        <v/>
      </c>
      <c r="AA297" s="14">
        <f>IF($A297="","",IF(INDEX('潜水記録'!$Z$5:$Z$3004,$AS297)="","",INDEX('潜水記録'!$Z$5:$Z$3004,$AS297)))</f>
        <v/>
      </c>
      <c r="AB297" s="14">
        <f>IF($A297="","",IF(INDEX('潜水記録'!$AA$5:$AA$3004,$AS297)="","",INDEX('潜水記録'!$AA$5:$AA$3004,$AS297)))</f>
        <v/>
      </c>
      <c r="AC297" s="14">
        <f>IF($A297="","",IF(INDEX('潜水記録'!$AB$5:$AB$3004,$AS297)="","",INDEX('潜水記録'!$AB$5:$AB$3004,$AS297)))</f>
        <v/>
      </c>
      <c r="AD297" s="14">
        <f>IF($A297="","",IF(INDEX('潜水記録'!$AC$5:$AC$3004,$AS297)="","",INDEX('潜水記録'!$AC$5:$AC$3004,$AS297)))</f>
        <v/>
      </c>
      <c r="AE297" s="14">
        <f>IF($A297="","",IF(INDEX('潜水記録'!$AD$5:$AD$3004,$AS297)="","",INDEX('潜水記録'!$AD$5:$AD$3004,$AS297)))</f>
        <v/>
      </c>
      <c r="AF297" s="14">
        <f>IF($A297="","",IF(INDEX('潜水記録'!$AE$5:$AE$3004,$AS297)="","",INDEX('潜水記録'!$AE$5:$AE$3004,$AS297)))</f>
        <v/>
      </c>
      <c r="AG297" s="14">
        <f>IF($A297="","",IF(INDEX('潜水記録'!$AL$5:$AL$3004,$AS297)="","",INDEX('潜水記録'!$AL$5:$AL$3004,$AS297)))</f>
        <v/>
      </c>
      <c r="AH297" s="14">
        <f>IF($A297="","",IF(INDEX('潜水記録'!$AM$5:$AM$3004,$AS297)="","",INDEX('潜水記録'!$AM$5:$AM$3004,$AS297)))</f>
        <v/>
      </c>
      <c r="AI297" s="46">
        <f>IF($A297="","",IF(INDEX('潜水記録'!$AN$5:$AN$3004,$AS297)="","",INDEX('潜水記録'!$AN$5:$AN$3004,$AS297)))</f>
        <v/>
      </c>
      <c r="AJ297" s="14">
        <f>IF($A297="","",IF(INDEX('潜水記録'!$AO$5:$AO$3004,$AS297)="","",INDEX('潜水記録'!$AO$5:$AO$3004,$AS297)))</f>
        <v/>
      </c>
      <c r="AK297" s="14">
        <f>IF($A297="","",IF(INDEX('潜水記録'!$AP$5:$AP$3004,$AS297)="","",INDEX('潜水記録'!$AP$5:$AP$3004,$AS297)))</f>
        <v/>
      </c>
      <c r="AL297" s="14">
        <f>IF($A297="","",IF(INDEX('潜水記録'!$AQ$5:$AQ$3004,$AS297)="","",INDEX('潜水記録'!$AQ$5:$AQ$3004,$AS297)))</f>
        <v/>
      </c>
      <c r="AM297" s="14">
        <f>IF($A297="","",IF(INDEX('潜水記録'!$AR$5:$AR$3004,$AS297)="","",INDEX('潜水記録'!$AR$5:$AR$3004,$AS297)))</f>
        <v/>
      </c>
      <c r="AN297" s="14">
        <f>IF($A297="","",IF(INDEX('潜水記録'!$AS$5:$AS$3004,$AS297)="","",INDEX('潜水記録'!$AS$5:$AS$3004,$AS297)))</f>
        <v/>
      </c>
      <c r="AO297" s="14">
        <f>IF($A297="","",IF(INDEX('潜水記録'!$AT$5:$AT$3004,$AS297)="","",INDEX('潜水記録'!$AT$5:$AT$3004,$AS297)))</f>
        <v/>
      </c>
      <c r="AP297" s="14">
        <f>IF($A297="","",IF(INDEX('潜水記録'!$AU$5:$AU$3004,$AS297)="","",INDEX('潜水記録'!$AU$5:$AU$3004,$AS297)))</f>
        <v/>
      </c>
      <c r="AQ297" s="14">
        <f>IF($A297="","",IF(INDEX('潜水記録'!$AV$5:$AV$3004,$AS297)="","",INDEX('潜水記録'!$AV$5:$AV$3004,$AS297)))</f>
        <v/>
      </c>
      <c r="AR297" s="14">
        <f>IF($A297="","",IF(INDEX('潜水記録'!$AW$5:$AW$3004,$AS297)="","",INDEX('潜水記録'!$AW$5:$AW$3004,$AS297)))</f>
        <v/>
      </c>
      <c r="AS297" s="20">
        <f>IF($A297="","",MATCH($A297,'潜水記録'!$AI$5:$AI$3004,0))</f>
        <v/>
      </c>
    </row>
    <row r="298">
      <c r="A298" s="14">
        <f>IF(288&lt;=$C$8,288,"")</f>
        <v/>
      </c>
      <c r="B298" s="16">
        <f>IF($A298="","",IF(INDEX('潜水記録'!$A$5:$A$3004,$AS298)="","",INDEX('潜水記録'!$A$5:$A$3004,$AS298)))</f>
        <v/>
      </c>
      <c r="C298" s="14">
        <f>IF($A298="","",IF(INDEX('潜水記録'!$B$5:$B$3004,$AS298)="","",INDEX('潜水記録'!$B$5:$B$3004,$AS298)))</f>
        <v/>
      </c>
      <c r="D298" s="14">
        <f>IF($A298="","",IF(INDEX('潜水記録'!$C$5:$C$3004,$AS298)="","",INDEX('潜水記録'!$C$5:$C$3004,$AS298)))</f>
        <v/>
      </c>
      <c r="E298" s="14">
        <f>IF($A298="","",IF(INDEX('潜水記録'!$D$5:$D$3004,$AS298)="","",INDEX('潜水記録'!$D$5:$D$3004,$AS298)))</f>
        <v/>
      </c>
      <c r="F298" s="14">
        <f>IF($A298="","",IF(INDEX('潜水記録'!$E$5:$E$3004,$AS298)="","",INDEX('潜水記録'!$E$5:$E$3004,$AS298)))</f>
        <v/>
      </c>
      <c r="G298" s="14">
        <f>IF($A298="","",IF(INDEX('潜水記録'!$F$5:$F$3004,$AS298)="","",INDEX('潜水記録'!$F$5:$F$3004,$AS298)))</f>
        <v/>
      </c>
      <c r="H298" s="14">
        <f>IF($A298="","",IF(INDEX('潜水記録'!$G$5:$G$3004,$AS298)="","",INDEX('潜水記録'!$G$5:$G$3004,$AS298)))</f>
        <v/>
      </c>
      <c r="I298" s="14">
        <f>IF($A298="","",IF(INDEX('潜水記録'!$H$5:$H$3004,$AS298)="","",INDEX('潜水記録'!$H$5:$H$3004,$AS298)))</f>
        <v/>
      </c>
      <c r="J298" s="14">
        <f>IF($A298="","",IF(INDEX('潜水記録'!$I$5:$I$3004,$AS298)="","",INDEX('潜水記録'!$I$5:$I$3004,$AS298)))</f>
        <v/>
      </c>
      <c r="K298" s="14">
        <f>IF($A298="","",IF(INDEX('潜水記録'!$J$5:$J$3004,$AS298)="","",INDEX('潜水記録'!$J$5:$J$3004,$AS298)))</f>
        <v/>
      </c>
      <c r="L298" s="14">
        <f>IF($A298="","",IF(INDEX('潜水記録'!$K$5:$K$3004,$AS298)="","",INDEX('潜水記録'!$K$5:$K$3004,$AS298)))</f>
        <v/>
      </c>
      <c r="M298" s="14">
        <f>IF($A298="","",IF(INDEX('潜水記録'!$L$5:$L$3004,$AS298)="","",INDEX('潜水記録'!$L$5:$L$3004,$AS298)))</f>
        <v/>
      </c>
      <c r="N298" s="14">
        <f>IF($A298="","",IF(INDEX('潜水記録'!$M$5:$M$3004,$AS298)="","",INDEX('潜水記録'!$M$5:$M$3004,$AS298)))</f>
        <v/>
      </c>
      <c r="O298" s="14">
        <f>IF($A298="","",IF(INDEX('潜水記録'!$N$5:$N$3004,$AS298)="","",INDEX('潜水記録'!$N$5:$N$3004,$AS298)))</f>
        <v/>
      </c>
      <c r="P298" s="14">
        <f>IF($A298="","",IF(INDEX('潜水記録'!$O$5:$O$3004,$AS298)="","",INDEX('潜水記録'!$O$5:$O$3004,$AS298)))</f>
        <v/>
      </c>
      <c r="Q298" s="14">
        <f>IF($A298="","",IF(INDEX('潜水記録'!$P$5:$P$3004,$AS298)="","",INDEX('潜水記録'!$P$5:$P$3004,$AS298)))</f>
        <v/>
      </c>
      <c r="R298" s="14">
        <f>IF($A298="","",IF(INDEX('潜水記録'!$Q$5:$Q$3004,$AS298)="","",INDEX('潜水記録'!$Q$5:$Q$3004,$AS298)))</f>
        <v/>
      </c>
      <c r="S298" s="14">
        <f>IF($A298="","",IF(INDEX('潜水記録'!$R$5:$R$3004,$AS298)="","",INDEX('潜水記録'!$R$5:$R$3004,$AS298)))</f>
        <v/>
      </c>
      <c r="T298" s="14">
        <f>IF($A298="","",IF(INDEX('潜水記録'!$S$5:$S$3004,$AS298)="","",INDEX('潜水記録'!$S$5:$S$3004,$AS298)))</f>
        <v/>
      </c>
      <c r="U298" s="14">
        <f>IF($A298="","",IF(INDEX('潜水記録'!$T$5:$T$3004,$AS298)="","",INDEX('潜水記録'!$T$5:$T$3004,$AS298)))</f>
        <v/>
      </c>
      <c r="V298" s="46">
        <f>IF($A298="","",IF(INDEX('潜水記録'!$U$5:$U$3004,$AS298)="","",INDEX('潜水記録'!$U$5:$U$3004,$AS298)))</f>
        <v/>
      </c>
      <c r="W298" s="46">
        <f>IF($A298="","",IF(INDEX('潜水記録'!$V$5:$V$3004,$AS298)="","",INDEX('潜水記録'!$V$5:$V$3004,$AS298)))</f>
        <v/>
      </c>
      <c r="X298" s="14">
        <f>IF($A298="","",IF(INDEX('潜水記録'!$W$5:$W$3004,$AS298)="","",INDEX('潜水記録'!$W$5:$W$3004,$AS298)))</f>
        <v/>
      </c>
      <c r="Y298" s="14">
        <f>IF($A298="","",IF(INDEX('潜水記録'!$X$5:$X$3004,$AS298)="","",INDEX('潜水記録'!$X$5:$X$3004,$AS298)))</f>
        <v/>
      </c>
      <c r="Z298" s="14">
        <f>IF($A298="","",IF(INDEX('潜水記録'!$Y$5:$Y$3004,$AS298)="","",INDEX('潜水記録'!$Y$5:$Y$3004,$AS298)))</f>
        <v/>
      </c>
      <c r="AA298" s="14">
        <f>IF($A298="","",IF(INDEX('潜水記録'!$Z$5:$Z$3004,$AS298)="","",INDEX('潜水記録'!$Z$5:$Z$3004,$AS298)))</f>
        <v/>
      </c>
      <c r="AB298" s="14">
        <f>IF($A298="","",IF(INDEX('潜水記録'!$AA$5:$AA$3004,$AS298)="","",INDEX('潜水記録'!$AA$5:$AA$3004,$AS298)))</f>
        <v/>
      </c>
      <c r="AC298" s="14">
        <f>IF($A298="","",IF(INDEX('潜水記録'!$AB$5:$AB$3004,$AS298)="","",INDEX('潜水記録'!$AB$5:$AB$3004,$AS298)))</f>
        <v/>
      </c>
      <c r="AD298" s="14">
        <f>IF($A298="","",IF(INDEX('潜水記録'!$AC$5:$AC$3004,$AS298)="","",INDEX('潜水記録'!$AC$5:$AC$3004,$AS298)))</f>
        <v/>
      </c>
      <c r="AE298" s="14">
        <f>IF($A298="","",IF(INDEX('潜水記録'!$AD$5:$AD$3004,$AS298)="","",INDEX('潜水記録'!$AD$5:$AD$3004,$AS298)))</f>
        <v/>
      </c>
      <c r="AF298" s="14">
        <f>IF($A298="","",IF(INDEX('潜水記録'!$AE$5:$AE$3004,$AS298)="","",INDEX('潜水記録'!$AE$5:$AE$3004,$AS298)))</f>
        <v/>
      </c>
      <c r="AG298" s="14">
        <f>IF($A298="","",IF(INDEX('潜水記録'!$AL$5:$AL$3004,$AS298)="","",INDEX('潜水記録'!$AL$5:$AL$3004,$AS298)))</f>
        <v/>
      </c>
      <c r="AH298" s="14">
        <f>IF($A298="","",IF(INDEX('潜水記録'!$AM$5:$AM$3004,$AS298)="","",INDEX('潜水記録'!$AM$5:$AM$3004,$AS298)))</f>
        <v/>
      </c>
      <c r="AI298" s="46">
        <f>IF($A298="","",IF(INDEX('潜水記録'!$AN$5:$AN$3004,$AS298)="","",INDEX('潜水記録'!$AN$5:$AN$3004,$AS298)))</f>
        <v/>
      </c>
      <c r="AJ298" s="14">
        <f>IF($A298="","",IF(INDEX('潜水記録'!$AO$5:$AO$3004,$AS298)="","",INDEX('潜水記録'!$AO$5:$AO$3004,$AS298)))</f>
        <v/>
      </c>
      <c r="AK298" s="14">
        <f>IF($A298="","",IF(INDEX('潜水記録'!$AP$5:$AP$3004,$AS298)="","",INDEX('潜水記録'!$AP$5:$AP$3004,$AS298)))</f>
        <v/>
      </c>
      <c r="AL298" s="14">
        <f>IF($A298="","",IF(INDEX('潜水記録'!$AQ$5:$AQ$3004,$AS298)="","",INDEX('潜水記録'!$AQ$5:$AQ$3004,$AS298)))</f>
        <v/>
      </c>
      <c r="AM298" s="14">
        <f>IF($A298="","",IF(INDEX('潜水記録'!$AR$5:$AR$3004,$AS298)="","",INDEX('潜水記録'!$AR$5:$AR$3004,$AS298)))</f>
        <v/>
      </c>
      <c r="AN298" s="14">
        <f>IF($A298="","",IF(INDEX('潜水記録'!$AS$5:$AS$3004,$AS298)="","",INDEX('潜水記録'!$AS$5:$AS$3004,$AS298)))</f>
        <v/>
      </c>
      <c r="AO298" s="14">
        <f>IF($A298="","",IF(INDEX('潜水記録'!$AT$5:$AT$3004,$AS298)="","",INDEX('潜水記録'!$AT$5:$AT$3004,$AS298)))</f>
        <v/>
      </c>
      <c r="AP298" s="14">
        <f>IF($A298="","",IF(INDEX('潜水記録'!$AU$5:$AU$3004,$AS298)="","",INDEX('潜水記録'!$AU$5:$AU$3004,$AS298)))</f>
        <v/>
      </c>
      <c r="AQ298" s="14">
        <f>IF($A298="","",IF(INDEX('潜水記録'!$AV$5:$AV$3004,$AS298)="","",INDEX('潜水記録'!$AV$5:$AV$3004,$AS298)))</f>
        <v/>
      </c>
      <c r="AR298" s="14">
        <f>IF($A298="","",IF(INDEX('潜水記録'!$AW$5:$AW$3004,$AS298)="","",INDEX('潜水記録'!$AW$5:$AW$3004,$AS298)))</f>
        <v/>
      </c>
      <c r="AS298" s="20">
        <f>IF($A298="","",MATCH($A298,'潜水記録'!$AI$5:$AI$3004,0))</f>
        <v/>
      </c>
    </row>
    <row r="299">
      <c r="A299" s="14">
        <f>IF(289&lt;=$C$8,289,"")</f>
        <v/>
      </c>
      <c r="B299" s="16">
        <f>IF($A299="","",IF(INDEX('潜水記録'!$A$5:$A$3004,$AS299)="","",INDEX('潜水記録'!$A$5:$A$3004,$AS299)))</f>
        <v/>
      </c>
      <c r="C299" s="14">
        <f>IF($A299="","",IF(INDEX('潜水記録'!$B$5:$B$3004,$AS299)="","",INDEX('潜水記録'!$B$5:$B$3004,$AS299)))</f>
        <v/>
      </c>
      <c r="D299" s="14">
        <f>IF($A299="","",IF(INDEX('潜水記録'!$C$5:$C$3004,$AS299)="","",INDEX('潜水記録'!$C$5:$C$3004,$AS299)))</f>
        <v/>
      </c>
      <c r="E299" s="14">
        <f>IF($A299="","",IF(INDEX('潜水記録'!$D$5:$D$3004,$AS299)="","",INDEX('潜水記録'!$D$5:$D$3004,$AS299)))</f>
        <v/>
      </c>
      <c r="F299" s="14">
        <f>IF($A299="","",IF(INDEX('潜水記録'!$E$5:$E$3004,$AS299)="","",INDEX('潜水記録'!$E$5:$E$3004,$AS299)))</f>
        <v/>
      </c>
      <c r="G299" s="14">
        <f>IF($A299="","",IF(INDEX('潜水記録'!$F$5:$F$3004,$AS299)="","",INDEX('潜水記録'!$F$5:$F$3004,$AS299)))</f>
        <v/>
      </c>
      <c r="H299" s="14">
        <f>IF($A299="","",IF(INDEX('潜水記録'!$G$5:$G$3004,$AS299)="","",INDEX('潜水記録'!$G$5:$G$3004,$AS299)))</f>
        <v/>
      </c>
      <c r="I299" s="14">
        <f>IF($A299="","",IF(INDEX('潜水記録'!$H$5:$H$3004,$AS299)="","",INDEX('潜水記録'!$H$5:$H$3004,$AS299)))</f>
        <v/>
      </c>
      <c r="J299" s="14">
        <f>IF($A299="","",IF(INDEX('潜水記録'!$I$5:$I$3004,$AS299)="","",INDEX('潜水記録'!$I$5:$I$3004,$AS299)))</f>
        <v/>
      </c>
      <c r="K299" s="14">
        <f>IF($A299="","",IF(INDEX('潜水記録'!$J$5:$J$3004,$AS299)="","",INDEX('潜水記録'!$J$5:$J$3004,$AS299)))</f>
        <v/>
      </c>
      <c r="L299" s="14">
        <f>IF($A299="","",IF(INDEX('潜水記録'!$K$5:$K$3004,$AS299)="","",INDEX('潜水記録'!$K$5:$K$3004,$AS299)))</f>
        <v/>
      </c>
      <c r="M299" s="14">
        <f>IF($A299="","",IF(INDEX('潜水記録'!$L$5:$L$3004,$AS299)="","",INDEX('潜水記録'!$L$5:$L$3004,$AS299)))</f>
        <v/>
      </c>
      <c r="N299" s="14">
        <f>IF($A299="","",IF(INDEX('潜水記録'!$M$5:$M$3004,$AS299)="","",INDEX('潜水記録'!$M$5:$M$3004,$AS299)))</f>
        <v/>
      </c>
      <c r="O299" s="14">
        <f>IF($A299="","",IF(INDEX('潜水記録'!$N$5:$N$3004,$AS299)="","",INDEX('潜水記録'!$N$5:$N$3004,$AS299)))</f>
        <v/>
      </c>
      <c r="P299" s="14">
        <f>IF($A299="","",IF(INDEX('潜水記録'!$O$5:$O$3004,$AS299)="","",INDEX('潜水記録'!$O$5:$O$3004,$AS299)))</f>
        <v/>
      </c>
      <c r="Q299" s="14">
        <f>IF($A299="","",IF(INDEX('潜水記録'!$P$5:$P$3004,$AS299)="","",INDEX('潜水記録'!$P$5:$P$3004,$AS299)))</f>
        <v/>
      </c>
      <c r="R299" s="14">
        <f>IF($A299="","",IF(INDEX('潜水記録'!$Q$5:$Q$3004,$AS299)="","",INDEX('潜水記録'!$Q$5:$Q$3004,$AS299)))</f>
        <v/>
      </c>
      <c r="S299" s="14">
        <f>IF($A299="","",IF(INDEX('潜水記録'!$R$5:$R$3004,$AS299)="","",INDEX('潜水記録'!$R$5:$R$3004,$AS299)))</f>
        <v/>
      </c>
      <c r="T299" s="14">
        <f>IF($A299="","",IF(INDEX('潜水記録'!$S$5:$S$3004,$AS299)="","",INDEX('潜水記録'!$S$5:$S$3004,$AS299)))</f>
        <v/>
      </c>
      <c r="U299" s="14">
        <f>IF($A299="","",IF(INDEX('潜水記録'!$T$5:$T$3004,$AS299)="","",INDEX('潜水記録'!$T$5:$T$3004,$AS299)))</f>
        <v/>
      </c>
      <c r="V299" s="46">
        <f>IF($A299="","",IF(INDEX('潜水記録'!$U$5:$U$3004,$AS299)="","",INDEX('潜水記録'!$U$5:$U$3004,$AS299)))</f>
        <v/>
      </c>
      <c r="W299" s="46">
        <f>IF($A299="","",IF(INDEX('潜水記録'!$V$5:$V$3004,$AS299)="","",INDEX('潜水記録'!$V$5:$V$3004,$AS299)))</f>
        <v/>
      </c>
      <c r="X299" s="14">
        <f>IF($A299="","",IF(INDEX('潜水記録'!$W$5:$W$3004,$AS299)="","",INDEX('潜水記録'!$W$5:$W$3004,$AS299)))</f>
        <v/>
      </c>
      <c r="Y299" s="14">
        <f>IF($A299="","",IF(INDEX('潜水記録'!$X$5:$X$3004,$AS299)="","",INDEX('潜水記録'!$X$5:$X$3004,$AS299)))</f>
        <v/>
      </c>
      <c r="Z299" s="14">
        <f>IF($A299="","",IF(INDEX('潜水記録'!$Y$5:$Y$3004,$AS299)="","",INDEX('潜水記録'!$Y$5:$Y$3004,$AS299)))</f>
        <v/>
      </c>
      <c r="AA299" s="14">
        <f>IF($A299="","",IF(INDEX('潜水記録'!$Z$5:$Z$3004,$AS299)="","",INDEX('潜水記録'!$Z$5:$Z$3004,$AS299)))</f>
        <v/>
      </c>
      <c r="AB299" s="14">
        <f>IF($A299="","",IF(INDEX('潜水記録'!$AA$5:$AA$3004,$AS299)="","",INDEX('潜水記録'!$AA$5:$AA$3004,$AS299)))</f>
        <v/>
      </c>
      <c r="AC299" s="14">
        <f>IF($A299="","",IF(INDEX('潜水記録'!$AB$5:$AB$3004,$AS299)="","",INDEX('潜水記録'!$AB$5:$AB$3004,$AS299)))</f>
        <v/>
      </c>
      <c r="AD299" s="14">
        <f>IF($A299="","",IF(INDEX('潜水記録'!$AC$5:$AC$3004,$AS299)="","",INDEX('潜水記録'!$AC$5:$AC$3004,$AS299)))</f>
        <v/>
      </c>
      <c r="AE299" s="14">
        <f>IF($A299="","",IF(INDEX('潜水記録'!$AD$5:$AD$3004,$AS299)="","",INDEX('潜水記録'!$AD$5:$AD$3004,$AS299)))</f>
        <v/>
      </c>
      <c r="AF299" s="14">
        <f>IF($A299="","",IF(INDEX('潜水記録'!$AE$5:$AE$3004,$AS299)="","",INDEX('潜水記録'!$AE$5:$AE$3004,$AS299)))</f>
        <v/>
      </c>
      <c r="AG299" s="14">
        <f>IF($A299="","",IF(INDEX('潜水記録'!$AL$5:$AL$3004,$AS299)="","",INDEX('潜水記録'!$AL$5:$AL$3004,$AS299)))</f>
        <v/>
      </c>
      <c r="AH299" s="14">
        <f>IF($A299="","",IF(INDEX('潜水記録'!$AM$5:$AM$3004,$AS299)="","",INDEX('潜水記録'!$AM$5:$AM$3004,$AS299)))</f>
        <v/>
      </c>
      <c r="AI299" s="46">
        <f>IF($A299="","",IF(INDEX('潜水記録'!$AN$5:$AN$3004,$AS299)="","",INDEX('潜水記録'!$AN$5:$AN$3004,$AS299)))</f>
        <v/>
      </c>
      <c r="AJ299" s="14">
        <f>IF($A299="","",IF(INDEX('潜水記録'!$AO$5:$AO$3004,$AS299)="","",INDEX('潜水記録'!$AO$5:$AO$3004,$AS299)))</f>
        <v/>
      </c>
      <c r="AK299" s="14">
        <f>IF($A299="","",IF(INDEX('潜水記録'!$AP$5:$AP$3004,$AS299)="","",INDEX('潜水記録'!$AP$5:$AP$3004,$AS299)))</f>
        <v/>
      </c>
      <c r="AL299" s="14">
        <f>IF($A299="","",IF(INDEX('潜水記録'!$AQ$5:$AQ$3004,$AS299)="","",INDEX('潜水記録'!$AQ$5:$AQ$3004,$AS299)))</f>
        <v/>
      </c>
      <c r="AM299" s="14">
        <f>IF($A299="","",IF(INDEX('潜水記録'!$AR$5:$AR$3004,$AS299)="","",INDEX('潜水記録'!$AR$5:$AR$3004,$AS299)))</f>
        <v/>
      </c>
      <c r="AN299" s="14">
        <f>IF($A299="","",IF(INDEX('潜水記録'!$AS$5:$AS$3004,$AS299)="","",INDEX('潜水記録'!$AS$5:$AS$3004,$AS299)))</f>
        <v/>
      </c>
      <c r="AO299" s="14">
        <f>IF($A299="","",IF(INDEX('潜水記録'!$AT$5:$AT$3004,$AS299)="","",INDEX('潜水記録'!$AT$5:$AT$3004,$AS299)))</f>
        <v/>
      </c>
      <c r="AP299" s="14">
        <f>IF($A299="","",IF(INDEX('潜水記録'!$AU$5:$AU$3004,$AS299)="","",INDEX('潜水記録'!$AU$5:$AU$3004,$AS299)))</f>
        <v/>
      </c>
      <c r="AQ299" s="14">
        <f>IF($A299="","",IF(INDEX('潜水記録'!$AV$5:$AV$3004,$AS299)="","",INDEX('潜水記録'!$AV$5:$AV$3004,$AS299)))</f>
        <v/>
      </c>
      <c r="AR299" s="14">
        <f>IF($A299="","",IF(INDEX('潜水記録'!$AW$5:$AW$3004,$AS299)="","",INDEX('潜水記録'!$AW$5:$AW$3004,$AS299)))</f>
        <v/>
      </c>
      <c r="AS299" s="20">
        <f>IF($A299="","",MATCH($A299,'潜水記録'!$AI$5:$AI$3004,0))</f>
        <v/>
      </c>
    </row>
    <row r="300">
      <c r="A300" s="14">
        <f>IF(290&lt;=$C$8,290,"")</f>
        <v/>
      </c>
      <c r="B300" s="16">
        <f>IF($A300="","",IF(INDEX('潜水記録'!$A$5:$A$3004,$AS300)="","",INDEX('潜水記録'!$A$5:$A$3004,$AS300)))</f>
        <v/>
      </c>
      <c r="C300" s="14">
        <f>IF($A300="","",IF(INDEX('潜水記録'!$B$5:$B$3004,$AS300)="","",INDEX('潜水記録'!$B$5:$B$3004,$AS300)))</f>
        <v/>
      </c>
      <c r="D300" s="14">
        <f>IF($A300="","",IF(INDEX('潜水記録'!$C$5:$C$3004,$AS300)="","",INDEX('潜水記録'!$C$5:$C$3004,$AS300)))</f>
        <v/>
      </c>
      <c r="E300" s="14">
        <f>IF($A300="","",IF(INDEX('潜水記録'!$D$5:$D$3004,$AS300)="","",INDEX('潜水記録'!$D$5:$D$3004,$AS300)))</f>
        <v/>
      </c>
      <c r="F300" s="14">
        <f>IF($A300="","",IF(INDEX('潜水記録'!$E$5:$E$3004,$AS300)="","",INDEX('潜水記録'!$E$5:$E$3004,$AS300)))</f>
        <v/>
      </c>
      <c r="G300" s="14">
        <f>IF($A300="","",IF(INDEX('潜水記録'!$F$5:$F$3004,$AS300)="","",INDEX('潜水記録'!$F$5:$F$3004,$AS300)))</f>
        <v/>
      </c>
      <c r="H300" s="14">
        <f>IF($A300="","",IF(INDEX('潜水記録'!$G$5:$G$3004,$AS300)="","",INDEX('潜水記録'!$G$5:$G$3004,$AS300)))</f>
        <v/>
      </c>
      <c r="I300" s="14">
        <f>IF($A300="","",IF(INDEX('潜水記録'!$H$5:$H$3004,$AS300)="","",INDEX('潜水記録'!$H$5:$H$3004,$AS300)))</f>
        <v/>
      </c>
      <c r="J300" s="14">
        <f>IF($A300="","",IF(INDEX('潜水記録'!$I$5:$I$3004,$AS300)="","",INDEX('潜水記録'!$I$5:$I$3004,$AS300)))</f>
        <v/>
      </c>
      <c r="K300" s="14">
        <f>IF($A300="","",IF(INDEX('潜水記録'!$J$5:$J$3004,$AS300)="","",INDEX('潜水記録'!$J$5:$J$3004,$AS300)))</f>
        <v/>
      </c>
      <c r="L300" s="14">
        <f>IF($A300="","",IF(INDEX('潜水記録'!$K$5:$K$3004,$AS300)="","",INDEX('潜水記録'!$K$5:$K$3004,$AS300)))</f>
        <v/>
      </c>
      <c r="M300" s="14">
        <f>IF($A300="","",IF(INDEX('潜水記録'!$L$5:$L$3004,$AS300)="","",INDEX('潜水記録'!$L$5:$L$3004,$AS300)))</f>
        <v/>
      </c>
      <c r="N300" s="14">
        <f>IF($A300="","",IF(INDEX('潜水記録'!$M$5:$M$3004,$AS300)="","",INDEX('潜水記録'!$M$5:$M$3004,$AS300)))</f>
        <v/>
      </c>
      <c r="O300" s="14">
        <f>IF($A300="","",IF(INDEX('潜水記録'!$N$5:$N$3004,$AS300)="","",INDEX('潜水記録'!$N$5:$N$3004,$AS300)))</f>
        <v/>
      </c>
      <c r="P300" s="14">
        <f>IF($A300="","",IF(INDEX('潜水記録'!$O$5:$O$3004,$AS300)="","",INDEX('潜水記録'!$O$5:$O$3004,$AS300)))</f>
        <v/>
      </c>
      <c r="Q300" s="14">
        <f>IF($A300="","",IF(INDEX('潜水記録'!$P$5:$P$3004,$AS300)="","",INDEX('潜水記録'!$P$5:$P$3004,$AS300)))</f>
        <v/>
      </c>
      <c r="R300" s="14">
        <f>IF($A300="","",IF(INDEX('潜水記録'!$Q$5:$Q$3004,$AS300)="","",INDEX('潜水記録'!$Q$5:$Q$3004,$AS300)))</f>
        <v/>
      </c>
      <c r="S300" s="14">
        <f>IF($A300="","",IF(INDEX('潜水記録'!$R$5:$R$3004,$AS300)="","",INDEX('潜水記録'!$R$5:$R$3004,$AS300)))</f>
        <v/>
      </c>
      <c r="T300" s="14">
        <f>IF($A300="","",IF(INDEX('潜水記録'!$S$5:$S$3004,$AS300)="","",INDEX('潜水記録'!$S$5:$S$3004,$AS300)))</f>
        <v/>
      </c>
      <c r="U300" s="14">
        <f>IF($A300="","",IF(INDEX('潜水記録'!$T$5:$T$3004,$AS300)="","",INDEX('潜水記録'!$T$5:$T$3004,$AS300)))</f>
        <v/>
      </c>
      <c r="V300" s="46">
        <f>IF($A300="","",IF(INDEX('潜水記録'!$U$5:$U$3004,$AS300)="","",INDEX('潜水記録'!$U$5:$U$3004,$AS300)))</f>
        <v/>
      </c>
      <c r="W300" s="46">
        <f>IF($A300="","",IF(INDEX('潜水記録'!$V$5:$V$3004,$AS300)="","",INDEX('潜水記録'!$V$5:$V$3004,$AS300)))</f>
        <v/>
      </c>
      <c r="X300" s="14">
        <f>IF($A300="","",IF(INDEX('潜水記録'!$W$5:$W$3004,$AS300)="","",INDEX('潜水記録'!$W$5:$W$3004,$AS300)))</f>
        <v/>
      </c>
      <c r="Y300" s="14">
        <f>IF($A300="","",IF(INDEX('潜水記録'!$X$5:$X$3004,$AS300)="","",INDEX('潜水記録'!$X$5:$X$3004,$AS300)))</f>
        <v/>
      </c>
      <c r="Z300" s="14">
        <f>IF($A300="","",IF(INDEX('潜水記録'!$Y$5:$Y$3004,$AS300)="","",INDEX('潜水記録'!$Y$5:$Y$3004,$AS300)))</f>
        <v/>
      </c>
      <c r="AA300" s="14">
        <f>IF($A300="","",IF(INDEX('潜水記録'!$Z$5:$Z$3004,$AS300)="","",INDEX('潜水記録'!$Z$5:$Z$3004,$AS300)))</f>
        <v/>
      </c>
      <c r="AB300" s="14">
        <f>IF($A300="","",IF(INDEX('潜水記録'!$AA$5:$AA$3004,$AS300)="","",INDEX('潜水記録'!$AA$5:$AA$3004,$AS300)))</f>
        <v/>
      </c>
      <c r="AC300" s="14">
        <f>IF($A300="","",IF(INDEX('潜水記録'!$AB$5:$AB$3004,$AS300)="","",INDEX('潜水記録'!$AB$5:$AB$3004,$AS300)))</f>
        <v/>
      </c>
      <c r="AD300" s="14">
        <f>IF($A300="","",IF(INDEX('潜水記録'!$AC$5:$AC$3004,$AS300)="","",INDEX('潜水記録'!$AC$5:$AC$3004,$AS300)))</f>
        <v/>
      </c>
      <c r="AE300" s="14">
        <f>IF($A300="","",IF(INDEX('潜水記録'!$AD$5:$AD$3004,$AS300)="","",INDEX('潜水記録'!$AD$5:$AD$3004,$AS300)))</f>
        <v/>
      </c>
      <c r="AF300" s="14">
        <f>IF($A300="","",IF(INDEX('潜水記録'!$AE$5:$AE$3004,$AS300)="","",INDEX('潜水記録'!$AE$5:$AE$3004,$AS300)))</f>
        <v/>
      </c>
      <c r="AG300" s="14">
        <f>IF($A300="","",IF(INDEX('潜水記録'!$AL$5:$AL$3004,$AS300)="","",INDEX('潜水記録'!$AL$5:$AL$3004,$AS300)))</f>
        <v/>
      </c>
      <c r="AH300" s="14">
        <f>IF($A300="","",IF(INDEX('潜水記録'!$AM$5:$AM$3004,$AS300)="","",INDEX('潜水記録'!$AM$5:$AM$3004,$AS300)))</f>
        <v/>
      </c>
      <c r="AI300" s="46">
        <f>IF($A300="","",IF(INDEX('潜水記録'!$AN$5:$AN$3004,$AS300)="","",INDEX('潜水記録'!$AN$5:$AN$3004,$AS300)))</f>
        <v/>
      </c>
      <c r="AJ300" s="14">
        <f>IF($A300="","",IF(INDEX('潜水記録'!$AO$5:$AO$3004,$AS300)="","",INDEX('潜水記録'!$AO$5:$AO$3004,$AS300)))</f>
        <v/>
      </c>
      <c r="AK300" s="14">
        <f>IF($A300="","",IF(INDEX('潜水記録'!$AP$5:$AP$3004,$AS300)="","",INDEX('潜水記録'!$AP$5:$AP$3004,$AS300)))</f>
        <v/>
      </c>
      <c r="AL300" s="14">
        <f>IF($A300="","",IF(INDEX('潜水記録'!$AQ$5:$AQ$3004,$AS300)="","",INDEX('潜水記録'!$AQ$5:$AQ$3004,$AS300)))</f>
        <v/>
      </c>
      <c r="AM300" s="14">
        <f>IF($A300="","",IF(INDEX('潜水記録'!$AR$5:$AR$3004,$AS300)="","",INDEX('潜水記録'!$AR$5:$AR$3004,$AS300)))</f>
        <v/>
      </c>
      <c r="AN300" s="14">
        <f>IF($A300="","",IF(INDEX('潜水記録'!$AS$5:$AS$3004,$AS300)="","",INDEX('潜水記録'!$AS$5:$AS$3004,$AS300)))</f>
        <v/>
      </c>
      <c r="AO300" s="14">
        <f>IF($A300="","",IF(INDEX('潜水記録'!$AT$5:$AT$3004,$AS300)="","",INDEX('潜水記録'!$AT$5:$AT$3004,$AS300)))</f>
        <v/>
      </c>
      <c r="AP300" s="14">
        <f>IF($A300="","",IF(INDEX('潜水記録'!$AU$5:$AU$3004,$AS300)="","",INDEX('潜水記録'!$AU$5:$AU$3004,$AS300)))</f>
        <v/>
      </c>
      <c r="AQ300" s="14">
        <f>IF($A300="","",IF(INDEX('潜水記録'!$AV$5:$AV$3004,$AS300)="","",INDEX('潜水記録'!$AV$5:$AV$3004,$AS300)))</f>
        <v/>
      </c>
      <c r="AR300" s="14">
        <f>IF($A300="","",IF(INDEX('潜水記録'!$AW$5:$AW$3004,$AS300)="","",INDEX('潜水記録'!$AW$5:$AW$3004,$AS300)))</f>
        <v/>
      </c>
      <c r="AS300" s="20">
        <f>IF($A300="","",MATCH($A300,'潜水記録'!$AI$5:$AI$3004,0))</f>
        <v/>
      </c>
    </row>
    <row r="301">
      <c r="A301" s="14">
        <f>IF(291&lt;=$C$8,291,"")</f>
        <v/>
      </c>
      <c r="B301" s="16">
        <f>IF($A301="","",IF(INDEX('潜水記録'!$A$5:$A$3004,$AS301)="","",INDEX('潜水記録'!$A$5:$A$3004,$AS301)))</f>
        <v/>
      </c>
      <c r="C301" s="14">
        <f>IF($A301="","",IF(INDEX('潜水記録'!$B$5:$B$3004,$AS301)="","",INDEX('潜水記録'!$B$5:$B$3004,$AS301)))</f>
        <v/>
      </c>
      <c r="D301" s="14">
        <f>IF($A301="","",IF(INDEX('潜水記録'!$C$5:$C$3004,$AS301)="","",INDEX('潜水記録'!$C$5:$C$3004,$AS301)))</f>
        <v/>
      </c>
      <c r="E301" s="14">
        <f>IF($A301="","",IF(INDEX('潜水記録'!$D$5:$D$3004,$AS301)="","",INDEX('潜水記録'!$D$5:$D$3004,$AS301)))</f>
        <v/>
      </c>
      <c r="F301" s="14">
        <f>IF($A301="","",IF(INDEX('潜水記録'!$E$5:$E$3004,$AS301)="","",INDEX('潜水記録'!$E$5:$E$3004,$AS301)))</f>
        <v/>
      </c>
      <c r="G301" s="14">
        <f>IF($A301="","",IF(INDEX('潜水記録'!$F$5:$F$3004,$AS301)="","",INDEX('潜水記録'!$F$5:$F$3004,$AS301)))</f>
        <v/>
      </c>
      <c r="H301" s="14">
        <f>IF($A301="","",IF(INDEX('潜水記録'!$G$5:$G$3004,$AS301)="","",INDEX('潜水記録'!$G$5:$G$3004,$AS301)))</f>
        <v/>
      </c>
      <c r="I301" s="14">
        <f>IF($A301="","",IF(INDEX('潜水記録'!$H$5:$H$3004,$AS301)="","",INDEX('潜水記録'!$H$5:$H$3004,$AS301)))</f>
        <v/>
      </c>
      <c r="J301" s="14">
        <f>IF($A301="","",IF(INDEX('潜水記録'!$I$5:$I$3004,$AS301)="","",INDEX('潜水記録'!$I$5:$I$3004,$AS301)))</f>
        <v/>
      </c>
      <c r="K301" s="14">
        <f>IF($A301="","",IF(INDEX('潜水記録'!$J$5:$J$3004,$AS301)="","",INDEX('潜水記録'!$J$5:$J$3004,$AS301)))</f>
        <v/>
      </c>
      <c r="L301" s="14">
        <f>IF($A301="","",IF(INDEX('潜水記録'!$K$5:$K$3004,$AS301)="","",INDEX('潜水記録'!$K$5:$K$3004,$AS301)))</f>
        <v/>
      </c>
      <c r="M301" s="14">
        <f>IF($A301="","",IF(INDEX('潜水記録'!$L$5:$L$3004,$AS301)="","",INDEX('潜水記録'!$L$5:$L$3004,$AS301)))</f>
        <v/>
      </c>
      <c r="N301" s="14">
        <f>IF($A301="","",IF(INDEX('潜水記録'!$M$5:$M$3004,$AS301)="","",INDEX('潜水記録'!$M$5:$M$3004,$AS301)))</f>
        <v/>
      </c>
      <c r="O301" s="14">
        <f>IF($A301="","",IF(INDEX('潜水記録'!$N$5:$N$3004,$AS301)="","",INDEX('潜水記録'!$N$5:$N$3004,$AS301)))</f>
        <v/>
      </c>
      <c r="P301" s="14">
        <f>IF($A301="","",IF(INDEX('潜水記録'!$O$5:$O$3004,$AS301)="","",INDEX('潜水記録'!$O$5:$O$3004,$AS301)))</f>
        <v/>
      </c>
      <c r="Q301" s="14">
        <f>IF($A301="","",IF(INDEX('潜水記録'!$P$5:$P$3004,$AS301)="","",INDEX('潜水記録'!$P$5:$P$3004,$AS301)))</f>
        <v/>
      </c>
      <c r="R301" s="14">
        <f>IF($A301="","",IF(INDEX('潜水記録'!$Q$5:$Q$3004,$AS301)="","",INDEX('潜水記録'!$Q$5:$Q$3004,$AS301)))</f>
        <v/>
      </c>
      <c r="S301" s="14">
        <f>IF($A301="","",IF(INDEX('潜水記録'!$R$5:$R$3004,$AS301)="","",INDEX('潜水記録'!$R$5:$R$3004,$AS301)))</f>
        <v/>
      </c>
      <c r="T301" s="14">
        <f>IF($A301="","",IF(INDEX('潜水記録'!$S$5:$S$3004,$AS301)="","",INDEX('潜水記録'!$S$5:$S$3004,$AS301)))</f>
        <v/>
      </c>
      <c r="U301" s="14">
        <f>IF($A301="","",IF(INDEX('潜水記録'!$T$5:$T$3004,$AS301)="","",INDEX('潜水記録'!$T$5:$T$3004,$AS301)))</f>
        <v/>
      </c>
      <c r="V301" s="46">
        <f>IF($A301="","",IF(INDEX('潜水記録'!$U$5:$U$3004,$AS301)="","",INDEX('潜水記録'!$U$5:$U$3004,$AS301)))</f>
        <v/>
      </c>
      <c r="W301" s="46">
        <f>IF($A301="","",IF(INDEX('潜水記録'!$V$5:$V$3004,$AS301)="","",INDEX('潜水記録'!$V$5:$V$3004,$AS301)))</f>
        <v/>
      </c>
      <c r="X301" s="14">
        <f>IF($A301="","",IF(INDEX('潜水記録'!$W$5:$W$3004,$AS301)="","",INDEX('潜水記録'!$W$5:$W$3004,$AS301)))</f>
        <v/>
      </c>
      <c r="Y301" s="14">
        <f>IF($A301="","",IF(INDEX('潜水記録'!$X$5:$X$3004,$AS301)="","",INDEX('潜水記録'!$X$5:$X$3004,$AS301)))</f>
        <v/>
      </c>
      <c r="Z301" s="14">
        <f>IF($A301="","",IF(INDEX('潜水記録'!$Y$5:$Y$3004,$AS301)="","",INDEX('潜水記録'!$Y$5:$Y$3004,$AS301)))</f>
        <v/>
      </c>
      <c r="AA301" s="14">
        <f>IF($A301="","",IF(INDEX('潜水記録'!$Z$5:$Z$3004,$AS301)="","",INDEX('潜水記録'!$Z$5:$Z$3004,$AS301)))</f>
        <v/>
      </c>
      <c r="AB301" s="14">
        <f>IF($A301="","",IF(INDEX('潜水記録'!$AA$5:$AA$3004,$AS301)="","",INDEX('潜水記録'!$AA$5:$AA$3004,$AS301)))</f>
        <v/>
      </c>
      <c r="AC301" s="14">
        <f>IF($A301="","",IF(INDEX('潜水記録'!$AB$5:$AB$3004,$AS301)="","",INDEX('潜水記録'!$AB$5:$AB$3004,$AS301)))</f>
        <v/>
      </c>
      <c r="AD301" s="14">
        <f>IF($A301="","",IF(INDEX('潜水記録'!$AC$5:$AC$3004,$AS301)="","",INDEX('潜水記録'!$AC$5:$AC$3004,$AS301)))</f>
        <v/>
      </c>
      <c r="AE301" s="14">
        <f>IF($A301="","",IF(INDEX('潜水記録'!$AD$5:$AD$3004,$AS301)="","",INDEX('潜水記録'!$AD$5:$AD$3004,$AS301)))</f>
        <v/>
      </c>
      <c r="AF301" s="14">
        <f>IF($A301="","",IF(INDEX('潜水記録'!$AE$5:$AE$3004,$AS301)="","",INDEX('潜水記録'!$AE$5:$AE$3004,$AS301)))</f>
        <v/>
      </c>
      <c r="AG301" s="14">
        <f>IF($A301="","",IF(INDEX('潜水記録'!$AL$5:$AL$3004,$AS301)="","",INDEX('潜水記録'!$AL$5:$AL$3004,$AS301)))</f>
        <v/>
      </c>
      <c r="AH301" s="14">
        <f>IF($A301="","",IF(INDEX('潜水記録'!$AM$5:$AM$3004,$AS301)="","",INDEX('潜水記録'!$AM$5:$AM$3004,$AS301)))</f>
        <v/>
      </c>
      <c r="AI301" s="46">
        <f>IF($A301="","",IF(INDEX('潜水記録'!$AN$5:$AN$3004,$AS301)="","",INDEX('潜水記録'!$AN$5:$AN$3004,$AS301)))</f>
        <v/>
      </c>
      <c r="AJ301" s="14">
        <f>IF($A301="","",IF(INDEX('潜水記録'!$AO$5:$AO$3004,$AS301)="","",INDEX('潜水記録'!$AO$5:$AO$3004,$AS301)))</f>
        <v/>
      </c>
      <c r="AK301" s="14">
        <f>IF($A301="","",IF(INDEX('潜水記録'!$AP$5:$AP$3004,$AS301)="","",INDEX('潜水記録'!$AP$5:$AP$3004,$AS301)))</f>
        <v/>
      </c>
      <c r="AL301" s="14">
        <f>IF($A301="","",IF(INDEX('潜水記録'!$AQ$5:$AQ$3004,$AS301)="","",INDEX('潜水記録'!$AQ$5:$AQ$3004,$AS301)))</f>
        <v/>
      </c>
      <c r="AM301" s="14">
        <f>IF($A301="","",IF(INDEX('潜水記録'!$AR$5:$AR$3004,$AS301)="","",INDEX('潜水記録'!$AR$5:$AR$3004,$AS301)))</f>
        <v/>
      </c>
      <c r="AN301" s="14">
        <f>IF($A301="","",IF(INDEX('潜水記録'!$AS$5:$AS$3004,$AS301)="","",INDEX('潜水記録'!$AS$5:$AS$3004,$AS301)))</f>
        <v/>
      </c>
      <c r="AO301" s="14">
        <f>IF($A301="","",IF(INDEX('潜水記録'!$AT$5:$AT$3004,$AS301)="","",INDEX('潜水記録'!$AT$5:$AT$3004,$AS301)))</f>
        <v/>
      </c>
      <c r="AP301" s="14">
        <f>IF($A301="","",IF(INDEX('潜水記録'!$AU$5:$AU$3004,$AS301)="","",INDEX('潜水記録'!$AU$5:$AU$3004,$AS301)))</f>
        <v/>
      </c>
      <c r="AQ301" s="14">
        <f>IF($A301="","",IF(INDEX('潜水記録'!$AV$5:$AV$3004,$AS301)="","",INDEX('潜水記録'!$AV$5:$AV$3004,$AS301)))</f>
        <v/>
      </c>
      <c r="AR301" s="14">
        <f>IF($A301="","",IF(INDEX('潜水記録'!$AW$5:$AW$3004,$AS301)="","",INDEX('潜水記録'!$AW$5:$AW$3004,$AS301)))</f>
        <v/>
      </c>
      <c r="AS301" s="20">
        <f>IF($A301="","",MATCH($A301,'潜水記録'!$AI$5:$AI$3004,0))</f>
        <v/>
      </c>
    </row>
    <row r="302">
      <c r="A302" s="14">
        <f>IF(292&lt;=$C$8,292,"")</f>
        <v/>
      </c>
      <c r="B302" s="16">
        <f>IF($A302="","",IF(INDEX('潜水記録'!$A$5:$A$3004,$AS302)="","",INDEX('潜水記録'!$A$5:$A$3004,$AS302)))</f>
        <v/>
      </c>
      <c r="C302" s="14">
        <f>IF($A302="","",IF(INDEX('潜水記録'!$B$5:$B$3004,$AS302)="","",INDEX('潜水記録'!$B$5:$B$3004,$AS302)))</f>
        <v/>
      </c>
      <c r="D302" s="14">
        <f>IF($A302="","",IF(INDEX('潜水記録'!$C$5:$C$3004,$AS302)="","",INDEX('潜水記録'!$C$5:$C$3004,$AS302)))</f>
        <v/>
      </c>
      <c r="E302" s="14">
        <f>IF($A302="","",IF(INDEX('潜水記録'!$D$5:$D$3004,$AS302)="","",INDEX('潜水記録'!$D$5:$D$3004,$AS302)))</f>
        <v/>
      </c>
      <c r="F302" s="14">
        <f>IF($A302="","",IF(INDEX('潜水記録'!$E$5:$E$3004,$AS302)="","",INDEX('潜水記録'!$E$5:$E$3004,$AS302)))</f>
        <v/>
      </c>
      <c r="G302" s="14">
        <f>IF($A302="","",IF(INDEX('潜水記録'!$F$5:$F$3004,$AS302)="","",INDEX('潜水記録'!$F$5:$F$3004,$AS302)))</f>
        <v/>
      </c>
      <c r="H302" s="14">
        <f>IF($A302="","",IF(INDEX('潜水記録'!$G$5:$G$3004,$AS302)="","",INDEX('潜水記録'!$G$5:$G$3004,$AS302)))</f>
        <v/>
      </c>
      <c r="I302" s="14">
        <f>IF($A302="","",IF(INDEX('潜水記録'!$H$5:$H$3004,$AS302)="","",INDEX('潜水記録'!$H$5:$H$3004,$AS302)))</f>
        <v/>
      </c>
      <c r="J302" s="14">
        <f>IF($A302="","",IF(INDEX('潜水記録'!$I$5:$I$3004,$AS302)="","",INDEX('潜水記録'!$I$5:$I$3004,$AS302)))</f>
        <v/>
      </c>
      <c r="K302" s="14">
        <f>IF($A302="","",IF(INDEX('潜水記録'!$J$5:$J$3004,$AS302)="","",INDEX('潜水記録'!$J$5:$J$3004,$AS302)))</f>
        <v/>
      </c>
      <c r="L302" s="14">
        <f>IF($A302="","",IF(INDEX('潜水記録'!$K$5:$K$3004,$AS302)="","",INDEX('潜水記録'!$K$5:$K$3004,$AS302)))</f>
        <v/>
      </c>
      <c r="M302" s="14">
        <f>IF($A302="","",IF(INDEX('潜水記録'!$L$5:$L$3004,$AS302)="","",INDEX('潜水記録'!$L$5:$L$3004,$AS302)))</f>
        <v/>
      </c>
      <c r="N302" s="14">
        <f>IF($A302="","",IF(INDEX('潜水記録'!$M$5:$M$3004,$AS302)="","",INDEX('潜水記録'!$M$5:$M$3004,$AS302)))</f>
        <v/>
      </c>
      <c r="O302" s="14">
        <f>IF($A302="","",IF(INDEX('潜水記録'!$N$5:$N$3004,$AS302)="","",INDEX('潜水記録'!$N$5:$N$3004,$AS302)))</f>
        <v/>
      </c>
      <c r="P302" s="14">
        <f>IF($A302="","",IF(INDEX('潜水記録'!$O$5:$O$3004,$AS302)="","",INDEX('潜水記録'!$O$5:$O$3004,$AS302)))</f>
        <v/>
      </c>
      <c r="Q302" s="14">
        <f>IF($A302="","",IF(INDEX('潜水記録'!$P$5:$P$3004,$AS302)="","",INDEX('潜水記録'!$P$5:$P$3004,$AS302)))</f>
        <v/>
      </c>
      <c r="R302" s="14">
        <f>IF($A302="","",IF(INDEX('潜水記録'!$Q$5:$Q$3004,$AS302)="","",INDEX('潜水記録'!$Q$5:$Q$3004,$AS302)))</f>
        <v/>
      </c>
      <c r="S302" s="14">
        <f>IF($A302="","",IF(INDEX('潜水記録'!$R$5:$R$3004,$AS302)="","",INDEX('潜水記録'!$R$5:$R$3004,$AS302)))</f>
        <v/>
      </c>
      <c r="T302" s="14">
        <f>IF($A302="","",IF(INDEX('潜水記録'!$S$5:$S$3004,$AS302)="","",INDEX('潜水記録'!$S$5:$S$3004,$AS302)))</f>
        <v/>
      </c>
      <c r="U302" s="14">
        <f>IF($A302="","",IF(INDEX('潜水記録'!$T$5:$T$3004,$AS302)="","",INDEX('潜水記録'!$T$5:$T$3004,$AS302)))</f>
        <v/>
      </c>
      <c r="V302" s="46">
        <f>IF($A302="","",IF(INDEX('潜水記録'!$U$5:$U$3004,$AS302)="","",INDEX('潜水記録'!$U$5:$U$3004,$AS302)))</f>
        <v/>
      </c>
      <c r="W302" s="46">
        <f>IF($A302="","",IF(INDEX('潜水記録'!$V$5:$V$3004,$AS302)="","",INDEX('潜水記録'!$V$5:$V$3004,$AS302)))</f>
        <v/>
      </c>
      <c r="X302" s="14">
        <f>IF($A302="","",IF(INDEX('潜水記録'!$W$5:$W$3004,$AS302)="","",INDEX('潜水記録'!$W$5:$W$3004,$AS302)))</f>
        <v/>
      </c>
      <c r="Y302" s="14">
        <f>IF($A302="","",IF(INDEX('潜水記録'!$X$5:$X$3004,$AS302)="","",INDEX('潜水記録'!$X$5:$X$3004,$AS302)))</f>
        <v/>
      </c>
      <c r="Z302" s="14">
        <f>IF($A302="","",IF(INDEX('潜水記録'!$Y$5:$Y$3004,$AS302)="","",INDEX('潜水記録'!$Y$5:$Y$3004,$AS302)))</f>
        <v/>
      </c>
      <c r="AA302" s="14">
        <f>IF($A302="","",IF(INDEX('潜水記録'!$Z$5:$Z$3004,$AS302)="","",INDEX('潜水記録'!$Z$5:$Z$3004,$AS302)))</f>
        <v/>
      </c>
      <c r="AB302" s="14">
        <f>IF($A302="","",IF(INDEX('潜水記録'!$AA$5:$AA$3004,$AS302)="","",INDEX('潜水記録'!$AA$5:$AA$3004,$AS302)))</f>
        <v/>
      </c>
      <c r="AC302" s="14">
        <f>IF($A302="","",IF(INDEX('潜水記録'!$AB$5:$AB$3004,$AS302)="","",INDEX('潜水記録'!$AB$5:$AB$3004,$AS302)))</f>
        <v/>
      </c>
      <c r="AD302" s="14">
        <f>IF($A302="","",IF(INDEX('潜水記録'!$AC$5:$AC$3004,$AS302)="","",INDEX('潜水記録'!$AC$5:$AC$3004,$AS302)))</f>
        <v/>
      </c>
      <c r="AE302" s="14">
        <f>IF($A302="","",IF(INDEX('潜水記録'!$AD$5:$AD$3004,$AS302)="","",INDEX('潜水記録'!$AD$5:$AD$3004,$AS302)))</f>
        <v/>
      </c>
      <c r="AF302" s="14">
        <f>IF($A302="","",IF(INDEX('潜水記録'!$AE$5:$AE$3004,$AS302)="","",INDEX('潜水記録'!$AE$5:$AE$3004,$AS302)))</f>
        <v/>
      </c>
      <c r="AG302" s="14">
        <f>IF($A302="","",IF(INDEX('潜水記録'!$AL$5:$AL$3004,$AS302)="","",INDEX('潜水記録'!$AL$5:$AL$3004,$AS302)))</f>
        <v/>
      </c>
      <c r="AH302" s="14">
        <f>IF($A302="","",IF(INDEX('潜水記録'!$AM$5:$AM$3004,$AS302)="","",INDEX('潜水記録'!$AM$5:$AM$3004,$AS302)))</f>
        <v/>
      </c>
      <c r="AI302" s="46">
        <f>IF($A302="","",IF(INDEX('潜水記録'!$AN$5:$AN$3004,$AS302)="","",INDEX('潜水記録'!$AN$5:$AN$3004,$AS302)))</f>
        <v/>
      </c>
      <c r="AJ302" s="14">
        <f>IF($A302="","",IF(INDEX('潜水記録'!$AO$5:$AO$3004,$AS302)="","",INDEX('潜水記録'!$AO$5:$AO$3004,$AS302)))</f>
        <v/>
      </c>
      <c r="AK302" s="14">
        <f>IF($A302="","",IF(INDEX('潜水記録'!$AP$5:$AP$3004,$AS302)="","",INDEX('潜水記録'!$AP$5:$AP$3004,$AS302)))</f>
        <v/>
      </c>
      <c r="AL302" s="14">
        <f>IF($A302="","",IF(INDEX('潜水記録'!$AQ$5:$AQ$3004,$AS302)="","",INDEX('潜水記録'!$AQ$5:$AQ$3004,$AS302)))</f>
        <v/>
      </c>
      <c r="AM302" s="14">
        <f>IF($A302="","",IF(INDEX('潜水記録'!$AR$5:$AR$3004,$AS302)="","",INDEX('潜水記録'!$AR$5:$AR$3004,$AS302)))</f>
        <v/>
      </c>
      <c r="AN302" s="14">
        <f>IF($A302="","",IF(INDEX('潜水記録'!$AS$5:$AS$3004,$AS302)="","",INDEX('潜水記録'!$AS$5:$AS$3004,$AS302)))</f>
        <v/>
      </c>
      <c r="AO302" s="14">
        <f>IF($A302="","",IF(INDEX('潜水記録'!$AT$5:$AT$3004,$AS302)="","",INDEX('潜水記録'!$AT$5:$AT$3004,$AS302)))</f>
        <v/>
      </c>
      <c r="AP302" s="14">
        <f>IF($A302="","",IF(INDEX('潜水記録'!$AU$5:$AU$3004,$AS302)="","",INDEX('潜水記録'!$AU$5:$AU$3004,$AS302)))</f>
        <v/>
      </c>
      <c r="AQ302" s="14">
        <f>IF($A302="","",IF(INDEX('潜水記録'!$AV$5:$AV$3004,$AS302)="","",INDEX('潜水記録'!$AV$5:$AV$3004,$AS302)))</f>
        <v/>
      </c>
      <c r="AR302" s="14">
        <f>IF($A302="","",IF(INDEX('潜水記録'!$AW$5:$AW$3004,$AS302)="","",INDEX('潜水記録'!$AW$5:$AW$3004,$AS302)))</f>
        <v/>
      </c>
      <c r="AS302" s="20">
        <f>IF($A302="","",MATCH($A302,'潜水記録'!$AI$5:$AI$3004,0))</f>
        <v/>
      </c>
    </row>
    <row r="303">
      <c r="A303" s="14">
        <f>IF(293&lt;=$C$8,293,"")</f>
        <v/>
      </c>
      <c r="B303" s="16">
        <f>IF($A303="","",IF(INDEX('潜水記録'!$A$5:$A$3004,$AS303)="","",INDEX('潜水記録'!$A$5:$A$3004,$AS303)))</f>
        <v/>
      </c>
      <c r="C303" s="14">
        <f>IF($A303="","",IF(INDEX('潜水記録'!$B$5:$B$3004,$AS303)="","",INDEX('潜水記録'!$B$5:$B$3004,$AS303)))</f>
        <v/>
      </c>
      <c r="D303" s="14">
        <f>IF($A303="","",IF(INDEX('潜水記録'!$C$5:$C$3004,$AS303)="","",INDEX('潜水記録'!$C$5:$C$3004,$AS303)))</f>
        <v/>
      </c>
      <c r="E303" s="14">
        <f>IF($A303="","",IF(INDEX('潜水記録'!$D$5:$D$3004,$AS303)="","",INDEX('潜水記録'!$D$5:$D$3004,$AS303)))</f>
        <v/>
      </c>
      <c r="F303" s="14">
        <f>IF($A303="","",IF(INDEX('潜水記録'!$E$5:$E$3004,$AS303)="","",INDEX('潜水記録'!$E$5:$E$3004,$AS303)))</f>
        <v/>
      </c>
      <c r="G303" s="14">
        <f>IF($A303="","",IF(INDEX('潜水記録'!$F$5:$F$3004,$AS303)="","",INDEX('潜水記録'!$F$5:$F$3004,$AS303)))</f>
        <v/>
      </c>
      <c r="H303" s="14">
        <f>IF($A303="","",IF(INDEX('潜水記録'!$G$5:$G$3004,$AS303)="","",INDEX('潜水記録'!$G$5:$G$3004,$AS303)))</f>
        <v/>
      </c>
      <c r="I303" s="14">
        <f>IF($A303="","",IF(INDEX('潜水記録'!$H$5:$H$3004,$AS303)="","",INDEX('潜水記録'!$H$5:$H$3004,$AS303)))</f>
        <v/>
      </c>
      <c r="J303" s="14">
        <f>IF($A303="","",IF(INDEX('潜水記録'!$I$5:$I$3004,$AS303)="","",INDEX('潜水記録'!$I$5:$I$3004,$AS303)))</f>
        <v/>
      </c>
      <c r="K303" s="14">
        <f>IF($A303="","",IF(INDEX('潜水記録'!$J$5:$J$3004,$AS303)="","",INDEX('潜水記録'!$J$5:$J$3004,$AS303)))</f>
        <v/>
      </c>
      <c r="L303" s="14">
        <f>IF($A303="","",IF(INDEX('潜水記録'!$K$5:$K$3004,$AS303)="","",INDEX('潜水記録'!$K$5:$K$3004,$AS303)))</f>
        <v/>
      </c>
      <c r="M303" s="14">
        <f>IF($A303="","",IF(INDEX('潜水記録'!$L$5:$L$3004,$AS303)="","",INDEX('潜水記録'!$L$5:$L$3004,$AS303)))</f>
        <v/>
      </c>
      <c r="N303" s="14">
        <f>IF($A303="","",IF(INDEX('潜水記録'!$M$5:$M$3004,$AS303)="","",INDEX('潜水記録'!$M$5:$M$3004,$AS303)))</f>
        <v/>
      </c>
      <c r="O303" s="14">
        <f>IF($A303="","",IF(INDEX('潜水記録'!$N$5:$N$3004,$AS303)="","",INDEX('潜水記録'!$N$5:$N$3004,$AS303)))</f>
        <v/>
      </c>
      <c r="P303" s="14">
        <f>IF($A303="","",IF(INDEX('潜水記録'!$O$5:$O$3004,$AS303)="","",INDEX('潜水記録'!$O$5:$O$3004,$AS303)))</f>
        <v/>
      </c>
      <c r="Q303" s="14">
        <f>IF($A303="","",IF(INDEX('潜水記録'!$P$5:$P$3004,$AS303)="","",INDEX('潜水記録'!$P$5:$P$3004,$AS303)))</f>
        <v/>
      </c>
      <c r="R303" s="14">
        <f>IF($A303="","",IF(INDEX('潜水記録'!$Q$5:$Q$3004,$AS303)="","",INDEX('潜水記録'!$Q$5:$Q$3004,$AS303)))</f>
        <v/>
      </c>
      <c r="S303" s="14">
        <f>IF($A303="","",IF(INDEX('潜水記録'!$R$5:$R$3004,$AS303)="","",INDEX('潜水記録'!$R$5:$R$3004,$AS303)))</f>
        <v/>
      </c>
      <c r="T303" s="14">
        <f>IF($A303="","",IF(INDEX('潜水記録'!$S$5:$S$3004,$AS303)="","",INDEX('潜水記録'!$S$5:$S$3004,$AS303)))</f>
        <v/>
      </c>
      <c r="U303" s="14">
        <f>IF($A303="","",IF(INDEX('潜水記録'!$T$5:$T$3004,$AS303)="","",INDEX('潜水記録'!$T$5:$T$3004,$AS303)))</f>
        <v/>
      </c>
      <c r="V303" s="46">
        <f>IF($A303="","",IF(INDEX('潜水記録'!$U$5:$U$3004,$AS303)="","",INDEX('潜水記録'!$U$5:$U$3004,$AS303)))</f>
        <v/>
      </c>
      <c r="W303" s="46">
        <f>IF($A303="","",IF(INDEX('潜水記録'!$V$5:$V$3004,$AS303)="","",INDEX('潜水記録'!$V$5:$V$3004,$AS303)))</f>
        <v/>
      </c>
      <c r="X303" s="14">
        <f>IF($A303="","",IF(INDEX('潜水記録'!$W$5:$W$3004,$AS303)="","",INDEX('潜水記録'!$W$5:$W$3004,$AS303)))</f>
        <v/>
      </c>
      <c r="Y303" s="14">
        <f>IF($A303="","",IF(INDEX('潜水記録'!$X$5:$X$3004,$AS303)="","",INDEX('潜水記録'!$X$5:$X$3004,$AS303)))</f>
        <v/>
      </c>
      <c r="Z303" s="14">
        <f>IF($A303="","",IF(INDEX('潜水記録'!$Y$5:$Y$3004,$AS303)="","",INDEX('潜水記録'!$Y$5:$Y$3004,$AS303)))</f>
        <v/>
      </c>
      <c r="AA303" s="14">
        <f>IF($A303="","",IF(INDEX('潜水記録'!$Z$5:$Z$3004,$AS303)="","",INDEX('潜水記録'!$Z$5:$Z$3004,$AS303)))</f>
        <v/>
      </c>
      <c r="AB303" s="14">
        <f>IF($A303="","",IF(INDEX('潜水記録'!$AA$5:$AA$3004,$AS303)="","",INDEX('潜水記録'!$AA$5:$AA$3004,$AS303)))</f>
        <v/>
      </c>
      <c r="AC303" s="14">
        <f>IF($A303="","",IF(INDEX('潜水記録'!$AB$5:$AB$3004,$AS303)="","",INDEX('潜水記録'!$AB$5:$AB$3004,$AS303)))</f>
        <v/>
      </c>
      <c r="AD303" s="14">
        <f>IF($A303="","",IF(INDEX('潜水記録'!$AC$5:$AC$3004,$AS303)="","",INDEX('潜水記録'!$AC$5:$AC$3004,$AS303)))</f>
        <v/>
      </c>
      <c r="AE303" s="14">
        <f>IF($A303="","",IF(INDEX('潜水記録'!$AD$5:$AD$3004,$AS303)="","",INDEX('潜水記録'!$AD$5:$AD$3004,$AS303)))</f>
        <v/>
      </c>
      <c r="AF303" s="14">
        <f>IF($A303="","",IF(INDEX('潜水記録'!$AE$5:$AE$3004,$AS303)="","",INDEX('潜水記録'!$AE$5:$AE$3004,$AS303)))</f>
        <v/>
      </c>
      <c r="AG303" s="14">
        <f>IF($A303="","",IF(INDEX('潜水記録'!$AL$5:$AL$3004,$AS303)="","",INDEX('潜水記録'!$AL$5:$AL$3004,$AS303)))</f>
        <v/>
      </c>
      <c r="AH303" s="14">
        <f>IF($A303="","",IF(INDEX('潜水記録'!$AM$5:$AM$3004,$AS303)="","",INDEX('潜水記録'!$AM$5:$AM$3004,$AS303)))</f>
        <v/>
      </c>
      <c r="AI303" s="46">
        <f>IF($A303="","",IF(INDEX('潜水記録'!$AN$5:$AN$3004,$AS303)="","",INDEX('潜水記録'!$AN$5:$AN$3004,$AS303)))</f>
        <v/>
      </c>
      <c r="AJ303" s="14">
        <f>IF($A303="","",IF(INDEX('潜水記録'!$AO$5:$AO$3004,$AS303)="","",INDEX('潜水記録'!$AO$5:$AO$3004,$AS303)))</f>
        <v/>
      </c>
      <c r="AK303" s="14">
        <f>IF($A303="","",IF(INDEX('潜水記録'!$AP$5:$AP$3004,$AS303)="","",INDEX('潜水記録'!$AP$5:$AP$3004,$AS303)))</f>
        <v/>
      </c>
      <c r="AL303" s="14">
        <f>IF($A303="","",IF(INDEX('潜水記録'!$AQ$5:$AQ$3004,$AS303)="","",INDEX('潜水記録'!$AQ$5:$AQ$3004,$AS303)))</f>
        <v/>
      </c>
      <c r="AM303" s="14">
        <f>IF($A303="","",IF(INDEX('潜水記録'!$AR$5:$AR$3004,$AS303)="","",INDEX('潜水記録'!$AR$5:$AR$3004,$AS303)))</f>
        <v/>
      </c>
      <c r="AN303" s="14">
        <f>IF($A303="","",IF(INDEX('潜水記録'!$AS$5:$AS$3004,$AS303)="","",INDEX('潜水記録'!$AS$5:$AS$3004,$AS303)))</f>
        <v/>
      </c>
      <c r="AO303" s="14">
        <f>IF($A303="","",IF(INDEX('潜水記録'!$AT$5:$AT$3004,$AS303)="","",INDEX('潜水記録'!$AT$5:$AT$3004,$AS303)))</f>
        <v/>
      </c>
      <c r="AP303" s="14">
        <f>IF($A303="","",IF(INDEX('潜水記録'!$AU$5:$AU$3004,$AS303)="","",INDEX('潜水記録'!$AU$5:$AU$3004,$AS303)))</f>
        <v/>
      </c>
      <c r="AQ303" s="14">
        <f>IF($A303="","",IF(INDEX('潜水記録'!$AV$5:$AV$3004,$AS303)="","",INDEX('潜水記録'!$AV$5:$AV$3004,$AS303)))</f>
        <v/>
      </c>
      <c r="AR303" s="14">
        <f>IF($A303="","",IF(INDEX('潜水記録'!$AW$5:$AW$3004,$AS303)="","",INDEX('潜水記録'!$AW$5:$AW$3004,$AS303)))</f>
        <v/>
      </c>
      <c r="AS303" s="20">
        <f>IF($A303="","",MATCH($A303,'潜水記録'!$AI$5:$AI$3004,0))</f>
        <v/>
      </c>
    </row>
    <row r="304">
      <c r="A304" s="14">
        <f>IF(294&lt;=$C$8,294,"")</f>
        <v/>
      </c>
      <c r="B304" s="16">
        <f>IF($A304="","",IF(INDEX('潜水記録'!$A$5:$A$3004,$AS304)="","",INDEX('潜水記録'!$A$5:$A$3004,$AS304)))</f>
        <v/>
      </c>
      <c r="C304" s="14">
        <f>IF($A304="","",IF(INDEX('潜水記録'!$B$5:$B$3004,$AS304)="","",INDEX('潜水記録'!$B$5:$B$3004,$AS304)))</f>
        <v/>
      </c>
      <c r="D304" s="14">
        <f>IF($A304="","",IF(INDEX('潜水記録'!$C$5:$C$3004,$AS304)="","",INDEX('潜水記録'!$C$5:$C$3004,$AS304)))</f>
        <v/>
      </c>
      <c r="E304" s="14">
        <f>IF($A304="","",IF(INDEX('潜水記録'!$D$5:$D$3004,$AS304)="","",INDEX('潜水記録'!$D$5:$D$3004,$AS304)))</f>
        <v/>
      </c>
      <c r="F304" s="14">
        <f>IF($A304="","",IF(INDEX('潜水記録'!$E$5:$E$3004,$AS304)="","",INDEX('潜水記録'!$E$5:$E$3004,$AS304)))</f>
        <v/>
      </c>
      <c r="G304" s="14">
        <f>IF($A304="","",IF(INDEX('潜水記録'!$F$5:$F$3004,$AS304)="","",INDEX('潜水記録'!$F$5:$F$3004,$AS304)))</f>
        <v/>
      </c>
      <c r="H304" s="14">
        <f>IF($A304="","",IF(INDEX('潜水記録'!$G$5:$G$3004,$AS304)="","",INDEX('潜水記録'!$G$5:$G$3004,$AS304)))</f>
        <v/>
      </c>
      <c r="I304" s="14">
        <f>IF($A304="","",IF(INDEX('潜水記録'!$H$5:$H$3004,$AS304)="","",INDEX('潜水記録'!$H$5:$H$3004,$AS304)))</f>
        <v/>
      </c>
      <c r="J304" s="14">
        <f>IF($A304="","",IF(INDEX('潜水記録'!$I$5:$I$3004,$AS304)="","",INDEX('潜水記録'!$I$5:$I$3004,$AS304)))</f>
        <v/>
      </c>
      <c r="K304" s="14">
        <f>IF($A304="","",IF(INDEX('潜水記録'!$J$5:$J$3004,$AS304)="","",INDEX('潜水記録'!$J$5:$J$3004,$AS304)))</f>
        <v/>
      </c>
      <c r="L304" s="14">
        <f>IF($A304="","",IF(INDEX('潜水記録'!$K$5:$K$3004,$AS304)="","",INDEX('潜水記録'!$K$5:$K$3004,$AS304)))</f>
        <v/>
      </c>
      <c r="M304" s="14">
        <f>IF($A304="","",IF(INDEX('潜水記録'!$L$5:$L$3004,$AS304)="","",INDEX('潜水記録'!$L$5:$L$3004,$AS304)))</f>
        <v/>
      </c>
      <c r="N304" s="14">
        <f>IF($A304="","",IF(INDEX('潜水記録'!$M$5:$M$3004,$AS304)="","",INDEX('潜水記録'!$M$5:$M$3004,$AS304)))</f>
        <v/>
      </c>
      <c r="O304" s="14">
        <f>IF($A304="","",IF(INDEX('潜水記録'!$N$5:$N$3004,$AS304)="","",INDEX('潜水記録'!$N$5:$N$3004,$AS304)))</f>
        <v/>
      </c>
      <c r="P304" s="14">
        <f>IF($A304="","",IF(INDEX('潜水記録'!$O$5:$O$3004,$AS304)="","",INDEX('潜水記録'!$O$5:$O$3004,$AS304)))</f>
        <v/>
      </c>
      <c r="Q304" s="14">
        <f>IF($A304="","",IF(INDEX('潜水記録'!$P$5:$P$3004,$AS304)="","",INDEX('潜水記録'!$P$5:$P$3004,$AS304)))</f>
        <v/>
      </c>
      <c r="R304" s="14">
        <f>IF($A304="","",IF(INDEX('潜水記録'!$Q$5:$Q$3004,$AS304)="","",INDEX('潜水記録'!$Q$5:$Q$3004,$AS304)))</f>
        <v/>
      </c>
      <c r="S304" s="14">
        <f>IF($A304="","",IF(INDEX('潜水記録'!$R$5:$R$3004,$AS304)="","",INDEX('潜水記録'!$R$5:$R$3004,$AS304)))</f>
        <v/>
      </c>
      <c r="T304" s="14">
        <f>IF($A304="","",IF(INDEX('潜水記録'!$S$5:$S$3004,$AS304)="","",INDEX('潜水記録'!$S$5:$S$3004,$AS304)))</f>
        <v/>
      </c>
      <c r="U304" s="14">
        <f>IF($A304="","",IF(INDEX('潜水記録'!$T$5:$T$3004,$AS304)="","",INDEX('潜水記録'!$T$5:$T$3004,$AS304)))</f>
        <v/>
      </c>
      <c r="V304" s="46">
        <f>IF($A304="","",IF(INDEX('潜水記録'!$U$5:$U$3004,$AS304)="","",INDEX('潜水記録'!$U$5:$U$3004,$AS304)))</f>
        <v/>
      </c>
      <c r="W304" s="46">
        <f>IF($A304="","",IF(INDEX('潜水記録'!$V$5:$V$3004,$AS304)="","",INDEX('潜水記録'!$V$5:$V$3004,$AS304)))</f>
        <v/>
      </c>
      <c r="X304" s="14">
        <f>IF($A304="","",IF(INDEX('潜水記録'!$W$5:$W$3004,$AS304)="","",INDEX('潜水記録'!$W$5:$W$3004,$AS304)))</f>
        <v/>
      </c>
      <c r="Y304" s="14">
        <f>IF($A304="","",IF(INDEX('潜水記録'!$X$5:$X$3004,$AS304)="","",INDEX('潜水記録'!$X$5:$X$3004,$AS304)))</f>
        <v/>
      </c>
      <c r="Z304" s="14">
        <f>IF($A304="","",IF(INDEX('潜水記録'!$Y$5:$Y$3004,$AS304)="","",INDEX('潜水記録'!$Y$5:$Y$3004,$AS304)))</f>
        <v/>
      </c>
      <c r="AA304" s="14">
        <f>IF($A304="","",IF(INDEX('潜水記録'!$Z$5:$Z$3004,$AS304)="","",INDEX('潜水記録'!$Z$5:$Z$3004,$AS304)))</f>
        <v/>
      </c>
      <c r="AB304" s="14">
        <f>IF($A304="","",IF(INDEX('潜水記録'!$AA$5:$AA$3004,$AS304)="","",INDEX('潜水記録'!$AA$5:$AA$3004,$AS304)))</f>
        <v/>
      </c>
      <c r="AC304" s="14">
        <f>IF($A304="","",IF(INDEX('潜水記録'!$AB$5:$AB$3004,$AS304)="","",INDEX('潜水記録'!$AB$5:$AB$3004,$AS304)))</f>
        <v/>
      </c>
      <c r="AD304" s="14">
        <f>IF($A304="","",IF(INDEX('潜水記録'!$AC$5:$AC$3004,$AS304)="","",INDEX('潜水記録'!$AC$5:$AC$3004,$AS304)))</f>
        <v/>
      </c>
      <c r="AE304" s="14">
        <f>IF($A304="","",IF(INDEX('潜水記録'!$AD$5:$AD$3004,$AS304)="","",INDEX('潜水記録'!$AD$5:$AD$3004,$AS304)))</f>
        <v/>
      </c>
      <c r="AF304" s="14">
        <f>IF($A304="","",IF(INDEX('潜水記録'!$AE$5:$AE$3004,$AS304)="","",INDEX('潜水記録'!$AE$5:$AE$3004,$AS304)))</f>
        <v/>
      </c>
      <c r="AG304" s="14">
        <f>IF($A304="","",IF(INDEX('潜水記録'!$AL$5:$AL$3004,$AS304)="","",INDEX('潜水記録'!$AL$5:$AL$3004,$AS304)))</f>
        <v/>
      </c>
      <c r="AH304" s="14">
        <f>IF($A304="","",IF(INDEX('潜水記録'!$AM$5:$AM$3004,$AS304)="","",INDEX('潜水記録'!$AM$5:$AM$3004,$AS304)))</f>
        <v/>
      </c>
      <c r="AI304" s="46">
        <f>IF($A304="","",IF(INDEX('潜水記録'!$AN$5:$AN$3004,$AS304)="","",INDEX('潜水記録'!$AN$5:$AN$3004,$AS304)))</f>
        <v/>
      </c>
      <c r="AJ304" s="14">
        <f>IF($A304="","",IF(INDEX('潜水記録'!$AO$5:$AO$3004,$AS304)="","",INDEX('潜水記録'!$AO$5:$AO$3004,$AS304)))</f>
        <v/>
      </c>
      <c r="AK304" s="14">
        <f>IF($A304="","",IF(INDEX('潜水記録'!$AP$5:$AP$3004,$AS304)="","",INDEX('潜水記録'!$AP$5:$AP$3004,$AS304)))</f>
        <v/>
      </c>
      <c r="AL304" s="14">
        <f>IF($A304="","",IF(INDEX('潜水記録'!$AQ$5:$AQ$3004,$AS304)="","",INDEX('潜水記録'!$AQ$5:$AQ$3004,$AS304)))</f>
        <v/>
      </c>
      <c r="AM304" s="14">
        <f>IF($A304="","",IF(INDEX('潜水記録'!$AR$5:$AR$3004,$AS304)="","",INDEX('潜水記録'!$AR$5:$AR$3004,$AS304)))</f>
        <v/>
      </c>
      <c r="AN304" s="14">
        <f>IF($A304="","",IF(INDEX('潜水記録'!$AS$5:$AS$3004,$AS304)="","",INDEX('潜水記録'!$AS$5:$AS$3004,$AS304)))</f>
        <v/>
      </c>
      <c r="AO304" s="14">
        <f>IF($A304="","",IF(INDEX('潜水記録'!$AT$5:$AT$3004,$AS304)="","",INDEX('潜水記録'!$AT$5:$AT$3004,$AS304)))</f>
        <v/>
      </c>
      <c r="AP304" s="14">
        <f>IF($A304="","",IF(INDEX('潜水記録'!$AU$5:$AU$3004,$AS304)="","",INDEX('潜水記録'!$AU$5:$AU$3004,$AS304)))</f>
        <v/>
      </c>
      <c r="AQ304" s="14">
        <f>IF($A304="","",IF(INDEX('潜水記録'!$AV$5:$AV$3004,$AS304)="","",INDEX('潜水記録'!$AV$5:$AV$3004,$AS304)))</f>
        <v/>
      </c>
      <c r="AR304" s="14">
        <f>IF($A304="","",IF(INDEX('潜水記録'!$AW$5:$AW$3004,$AS304)="","",INDEX('潜水記録'!$AW$5:$AW$3004,$AS304)))</f>
        <v/>
      </c>
      <c r="AS304" s="20">
        <f>IF($A304="","",MATCH($A304,'潜水記録'!$AI$5:$AI$3004,0))</f>
        <v/>
      </c>
    </row>
    <row r="305">
      <c r="A305" s="14">
        <f>IF(295&lt;=$C$8,295,"")</f>
        <v/>
      </c>
      <c r="B305" s="16">
        <f>IF($A305="","",IF(INDEX('潜水記録'!$A$5:$A$3004,$AS305)="","",INDEX('潜水記録'!$A$5:$A$3004,$AS305)))</f>
        <v/>
      </c>
      <c r="C305" s="14">
        <f>IF($A305="","",IF(INDEX('潜水記録'!$B$5:$B$3004,$AS305)="","",INDEX('潜水記録'!$B$5:$B$3004,$AS305)))</f>
        <v/>
      </c>
      <c r="D305" s="14">
        <f>IF($A305="","",IF(INDEX('潜水記録'!$C$5:$C$3004,$AS305)="","",INDEX('潜水記録'!$C$5:$C$3004,$AS305)))</f>
        <v/>
      </c>
      <c r="E305" s="14">
        <f>IF($A305="","",IF(INDEX('潜水記録'!$D$5:$D$3004,$AS305)="","",INDEX('潜水記録'!$D$5:$D$3004,$AS305)))</f>
        <v/>
      </c>
      <c r="F305" s="14">
        <f>IF($A305="","",IF(INDEX('潜水記録'!$E$5:$E$3004,$AS305)="","",INDEX('潜水記録'!$E$5:$E$3004,$AS305)))</f>
        <v/>
      </c>
      <c r="G305" s="14">
        <f>IF($A305="","",IF(INDEX('潜水記録'!$F$5:$F$3004,$AS305)="","",INDEX('潜水記録'!$F$5:$F$3004,$AS305)))</f>
        <v/>
      </c>
      <c r="H305" s="14">
        <f>IF($A305="","",IF(INDEX('潜水記録'!$G$5:$G$3004,$AS305)="","",INDEX('潜水記録'!$G$5:$G$3004,$AS305)))</f>
        <v/>
      </c>
      <c r="I305" s="14">
        <f>IF($A305="","",IF(INDEX('潜水記録'!$H$5:$H$3004,$AS305)="","",INDEX('潜水記録'!$H$5:$H$3004,$AS305)))</f>
        <v/>
      </c>
      <c r="J305" s="14">
        <f>IF($A305="","",IF(INDEX('潜水記録'!$I$5:$I$3004,$AS305)="","",INDEX('潜水記録'!$I$5:$I$3004,$AS305)))</f>
        <v/>
      </c>
      <c r="K305" s="14">
        <f>IF($A305="","",IF(INDEX('潜水記録'!$J$5:$J$3004,$AS305)="","",INDEX('潜水記録'!$J$5:$J$3004,$AS305)))</f>
        <v/>
      </c>
      <c r="L305" s="14">
        <f>IF($A305="","",IF(INDEX('潜水記録'!$K$5:$K$3004,$AS305)="","",INDEX('潜水記録'!$K$5:$K$3004,$AS305)))</f>
        <v/>
      </c>
      <c r="M305" s="14">
        <f>IF($A305="","",IF(INDEX('潜水記録'!$L$5:$L$3004,$AS305)="","",INDEX('潜水記録'!$L$5:$L$3004,$AS305)))</f>
        <v/>
      </c>
      <c r="N305" s="14">
        <f>IF($A305="","",IF(INDEX('潜水記録'!$M$5:$M$3004,$AS305)="","",INDEX('潜水記録'!$M$5:$M$3004,$AS305)))</f>
        <v/>
      </c>
      <c r="O305" s="14">
        <f>IF($A305="","",IF(INDEX('潜水記録'!$N$5:$N$3004,$AS305)="","",INDEX('潜水記録'!$N$5:$N$3004,$AS305)))</f>
        <v/>
      </c>
      <c r="P305" s="14">
        <f>IF($A305="","",IF(INDEX('潜水記録'!$O$5:$O$3004,$AS305)="","",INDEX('潜水記録'!$O$5:$O$3004,$AS305)))</f>
        <v/>
      </c>
      <c r="Q305" s="14">
        <f>IF($A305="","",IF(INDEX('潜水記録'!$P$5:$P$3004,$AS305)="","",INDEX('潜水記録'!$P$5:$P$3004,$AS305)))</f>
        <v/>
      </c>
      <c r="R305" s="14">
        <f>IF($A305="","",IF(INDEX('潜水記録'!$Q$5:$Q$3004,$AS305)="","",INDEX('潜水記録'!$Q$5:$Q$3004,$AS305)))</f>
        <v/>
      </c>
      <c r="S305" s="14">
        <f>IF($A305="","",IF(INDEX('潜水記録'!$R$5:$R$3004,$AS305)="","",INDEX('潜水記録'!$R$5:$R$3004,$AS305)))</f>
        <v/>
      </c>
      <c r="T305" s="14">
        <f>IF($A305="","",IF(INDEX('潜水記録'!$S$5:$S$3004,$AS305)="","",INDEX('潜水記録'!$S$5:$S$3004,$AS305)))</f>
        <v/>
      </c>
      <c r="U305" s="14">
        <f>IF($A305="","",IF(INDEX('潜水記録'!$T$5:$T$3004,$AS305)="","",INDEX('潜水記録'!$T$5:$T$3004,$AS305)))</f>
        <v/>
      </c>
      <c r="V305" s="46">
        <f>IF($A305="","",IF(INDEX('潜水記録'!$U$5:$U$3004,$AS305)="","",INDEX('潜水記録'!$U$5:$U$3004,$AS305)))</f>
        <v/>
      </c>
      <c r="W305" s="46">
        <f>IF($A305="","",IF(INDEX('潜水記録'!$V$5:$V$3004,$AS305)="","",INDEX('潜水記録'!$V$5:$V$3004,$AS305)))</f>
        <v/>
      </c>
      <c r="X305" s="14">
        <f>IF($A305="","",IF(INDEX('潜水記録'!$W$5:$W$3004,$AS305)="","",INDEX('潜水記録'!$W$5:$W$3004,$AS305)))</f>
        <v/>
      </c>
      <c r="Y305" s="14">
        <f>IF($A305="","",IF(INDEX('潜水記録'!$X$5:$X$3004,$AS305)="","",INDEX('潜水記録'!$X$5:$X$3004,$AS305)))</f>
        <v/>
      </c>
      <c r="Z305" s="14">
        <f>IF($A305="","",IF(INDEX('潜水記録'!$Y$5:$Y$3004,$AS305)="","",INDEX('潜水記録'!$Y$5:$Y$3004,$AS305)))</f>
        <v/>
      </c>
      <c r="AA305" s="14">
        <f>IF($A305="","",IF(INDEX('潜水記録'!$Z$5:$Z$3004,$AS305)="","",INDEX('潜水記録'!$Z$5:$Z$3004,$AS305)))</f>
        <v/>
      </c>
      <c r="AB305" s="14">
        <f>IF($A305="","",IF(INDEX('潜水記録'!$AA$5:$AA$3004,$AS305)="","",INDEX('潜水記録'!$AA$5:$AA$3004,$AS305)))</f>
        <v/>
      </c>
      <c r="AC305" s="14">
        <f>IF($A305="","",IF(INDEX('潜水記録'!$AB$5:$AB$3004,$AS305)="","",INDEX('潜水記録'!$AB$5:$AB$3004,$AS305)))</f>
        <v/>
      </c>
      <c r="AD305" s="14">
        <f>IF($A305="","",IF(INDEX('潜水記録'!$AC$5:$AC$3004,$AS305)="","",INDEX('潜水記録'!$AC$5:$AC$3004,$AS305)))</f>
        <v/>
      </c>
      <c r="AE305" s="14">
        <f>IF($A305="","",IF(INDEX('潜水記録'!$AD$5:$AD$3004,$AS305)="","",INDEX('潜水記録'!$AD$5:$AD$3004,$AS305)))</f>
        <v/>
      </c>
      <c r="AF305" s="14">
        <f>IF($A305="","",IF(INDEX('潜水記録'!$AE$5:$AE$3004,$AS305)="","",INDEX('潜水記録'!$AE$5:$AE$3004,$AS305)))</f>
        <v/>
      </c>
      <c r="AG305" s="14">
        <f>IF($A305="","",IF(INDEX('潜水記録'!$AL$5:$AL$3004,$AS305)="","",INDEX('潜水記録'!$AL$5:$AL$3004,$AS305)))</f>
        <v/>
      </c>
      <c r="AH305" s="14">
        <f>IF($A305="","",IF(INDEX('潜水記録'!$AM$5:$AM$3004,$AS305)="","",INDEX('潜水記録'!$AM$5:$AM$3004,$AS305)))</f>
        <v/>
      </c>
      <c r="AI305" s="46">
        <f>IF($A305="","",IF(INDEX('潜水記録'!$AN$5:$AN$3004,$AS305)="","",INDEX('潜水記録'!$AN$5:$AN$3004,$AS305)))</f>
        <v/>
      </c>
      <c r="AJ305" s="14">
        <f>IF($A305="","",IF(INDEX('潜水記録'!$AO$5:$AO$3004,$AS305)="","",INDEX('潜水記録'!$AO$5:$AO$3004,$AS305)))</f>
        <v/>
      </c>
      <c r="AK305" s="14">
        <f>IF($A305="","",IF(INDEX('潜水記録'!$AP$5:$AP$3004,$AS305)="","",INDEX('潜水記録'!$AP$5:$AP$3004,$AS305)))</f>
        <v/>
      </c>
      <c r="AL305" s="14">
        <f>IF($A305="","",IF(INDEX('潜水記録'!$AQ$5:$AQ$3004,$AS305)="","",INDEX('潜水記録'!$AQ$5:$AQ$3004,$AS305)))</f>
        <v/>
      </c>
      <c r="AM305" s="14">
        <f>IF($A305="","",IF(INDEX('潜水記録'!$AR$5:$AR$3004,$AS305)="","",INDEX('潜水記録'!$AR$5:$AR$3004,$AS305)))</f>
        <v/>
      </c>
      <c r="AN305" s="14">
        <f>IF($A305="","",IF(INDEX('潜水記録'!$AS$5:$AS$3004,$AS305)="","",INDEX('潜水記録'!$AS$5:$AS$3004,$AS305)))</f>
        <v/>
      </c>
      <c r="AO305" s="14">
        <f>IF($A305="","",IF(INDEX('潜水記録'!$AT$5:$AT$3004,$AS305)="","",INDEX('潜水記録'!$AT$5:$AT$3004,$AS305)))</f>
        <v/>
      </c>
      <c r="AP305" s="14">
        <f>IF($A305="","",IF(INDEX('潜水記録'!$AU$5:$AU$3004,$AS305)="","",INDEX('潜水記録'!$AU$5:$AU$3004,$AS305)))</f>
        <v/>
      </c>
      <c r="AQ305" s="14">
        <f>IF($A305="","",IF(INDEX('潜水記録'!$AV$5:$AV$3004,$AS305)="","",INDEX('潜水記録'!$AV$5:$AV$3004,$AS305)))</f>
        <v/>
      </c>
      <c r="AR305" s="14">
        <f>IF($A305="","",IF(INDEX('潜水記録'!$AW$5:$AW$3004,$AS305)="","",INDEX('潜水記録'!$AW$5:$AW$3004,$AS305)))</f>
        <v/>
      </c>
      <c r="AS305" s="20">
        <f>IF($A305="","",MATCH($A305,'潜水記録'!$AI$5:$AI$3004,0))</f>
        <v/>
      </c>
    </row>
    <row r="306">
      <c r="A306" s="14">
        <f>IF(296&lt;=$C$8,296,"")</f>
        <v/>
      </c>
      <c r="B306" s="16">
        <f>IF($A306="","",IF(INDEX('潜水記録'!$A$5:$A$3004,$AS306)="","",INDEX('潜水記録'!$A$5:$A$3004,$AS306)))</f>
        <v/>
      </c>
      <c r="C306" s="14">
        <f>IF($A306="","",IF(INDEX('潜水記録'!$B$5:$B$3004,$AS306)="","",INDEX('潜水記録'!$B$5:$B$3004,$AS306)))</f>
        <v/>
      </c>
      <c r="D306" s="14">
        <f>IF($A306="","",IF(INDEX('潜水記録'!$C$5:$C$3004,$AS306)="","",INDEX('潜水記録'!$C$5:$C$3004,$AS306)))</f>
        <v/>
      </c>
      <c r="E306" s="14">
        <f>IF($A306="","",IF(INDEX('潜水記録'!$D$5:$D$3004,$AS306)="","",INDEX('潜水記録'!$D$5:$D$3004,$AS306)))</f>
        <v/>
      </c>
      <c r="F306" s="14">
        <f>IF($A306="","",IF(INDEX('潜水記録'!$E$5:$E$3004,$AS306)="","",INDEX('潜水記録'!$E$5:$E$3004,$AS306)))</f>
        <v/>
      </c>
      <c r="G306" s="14">
        <f>IF($A306="","",IF(INDEX('潜水記録'!$F$5:$F$3004,$AS306)="","",INDEX('潜水記録'!$F$5:$F$3004,$AS306)))</f>
        <v/>
      </c>
      <c r="H306" s="14">
        <f>IF($A306="","",IF(INDEX('潜水記録'!$G$5:$G$3004,$AS306)="","",INDEX('潜水記録'!$G$5:$G$3004,$AS306)))</f>
        <v/>
      </c>
      <c r="I306" s="14">
        <f>IF($A306="","",IF(INDEX('潜水記録'!$H$5:$H$3004,$AS306)="","",INDEX('潜水記録'!$H$5:$H$3004,$AS306)))</f>
        <v/>
      </c>
      <c r="J306" s="14">
        <f>IF($A306="","",IF(INDEX('潜水記録'!$I$5:$I$3004,$AS306)="","",INDEX('潜水記録'!$I$5:$I$3004,$AS306)))</f>
        <v/>
      </c>
      <c r="K306" s="14">
        <f>IF($A306="","",IF(INDEX('潜水記録'!$J$5:$J$3004,$AS306)="","",INDEX('潜水記録'!$J$5:$J$3004,$AS306)))</f>
        <v/>
      </c>
      <c r="L306" s="14">
        <f>IF($A306="","",IF(INDEX('潜水記録'!$K$5:$K$3004,$AS306)="","",INDEX('潜水記録'!$K$5:$K$3004,$AS306)))</f>
        <v/>
      </c>
      <c r="M306" s="14">
        <f>IF($A306="","",IF(INDEX('潜水記録'!$L$5:$L$3004,$AS306)="","",INDEX('潜水記録'!$L$5:$L$3004,$AS306)))</f>
        <v/>
      </c>
      <c r="N306" s="14">
        <f>IF($A306="","",IF(INDEX('潜水記録'!$M$5:$M$3004,$AS306)="","",INDEX('潜水記録'!$M$5:$M$3004,$AS306)))</f>
        <v/>
      </c>
      <c r="O306" s="14">
        <f>IF($A306="","",IF(INDEX('潜水記録'!$N$5:$N$3004,$AS306)="","",INDEX('潜水記録'!$N$5:$N$3004,$AS306)))</f>
        <v/>
      </c>
      <c r="P306" s="14">
        <f>IF($A306="","",IF(INDEX('潜水記録'!$O$5:$O$3004,$AS306)="","",INDEX('潜水記録'!$O$5:$O$3004,$AS306)))</f>
        <v/>
      </c>
      <c r="Q306" s="14">
        <f>IF($A306="","",IF(INDEX('潜水記録'!$P$5:$P$3004,$AS306)="","",INDEX('潜水記録'!$P$5:$P$3004,$AS306)))</f>
        <v/>
      </c>
      <c r="R306" s="14">
        <f>IF($A306="","",IF(INDEX('潜水記録'!$Q$5:$Q$3004,$AS306)="","",INDEX('潜水記録'!$Q$5:$Q$3004,$AS306)))</f>
        <v/>
      </c>
      <c r="S306" s="14">
        <f>IF($A306="","",IF(INDEX('潜水記録'!$R$5:$R$3004,$AS306)="","",INDEX('潜水記録'!$R$5:$R$3004,$AS306)))</f>
        <v/>
      </c>
      <c r="T306" s="14">
        <f>IF($A306="","",IF(INDEX('潜水記録'!$S$5:$S$3004,$AS306)="","",INDEX('潜水記録'!$S$5:$S$3004,$AS306)))</f>
        <v/>
      </c>
      <c r="U306" s="14">
        <f>IF($A306="","",IF(INDEX('潜水記録'!$T$5:$T$3004,$AS306)="","",INDEX('潜水記録'!$T$5:$T$3004,$AS306)))</f>
        <v/>
      </c>
      <c r="V306" s="46">
        <f>IF($A306="","",IF(INDEX('潜水記録'!$U$5:$U$3004,$AS306)="","",INDEX('潜水記録'!$U$5:$U$3004,$AS306)))</f>
        <v/>
      </c>
      <c r="W306" s="46">
        <f>IF($A306="","",IF(INDEX('潜水記録'!$V$5:$V$3004,$AS306)="","",INDEX('潜水記録'!$V$5:$V$3004,$AS306)))</f>
        <v/>
      </c>
      <c r="X306" s="14">
        <f>IF($A306="","",IF(INDEX('潜水記録'!$W$5:$W$3004,$AS306)="","",INDEX('潜水記録'!$W$5:$W$3004,$AS306)))</f>
        <v/>
      </c>
      <c r="Y306" s="14">
        <f>IF($A306="","",IF(INDEX('潜水記録'!$X$5:$X$3004,$AS306)="","",INDEX('潜水記録'!$X$5:$X$3004,$AS306)))</f>
        <v/>
      </c>
      <c r="Z306" s="14">
        <f>IF($A306="","",IF(INDEX('潜水記録'!$Y$5:$Y$3004,$AS306)="","",INDEX('潜水記録'!$Y$5:$Y$3004,$AS306)))</f>
        <v/>
      </c>
      <c r="AA306" s="14">
        <f>IF($A306="","",IF(INDEX('潜水記録'!$Z$5:$Z$3004,$AS306)="","",INDEX('潜水記録'!$Z$5:$Z$3004,$AS306)))</f>
        <v/>
      </c>
      <c r="AB306" s="14">
        <f>IF($A306="","",IF(INDEX('潜水記録'!$AA$5:$AA$3004,$AS306)="","",INDEX('潜水記録'!$AA$5:$AA$3004,$AS306)))</f>
        <v/>
      </c>
      <c r="AC306" s="14">
        <f>IF($A306="","",IF(INDEX('潜水記録'!$AB$5:$AB$3004,$AS306)="","",INDEX('潜水記録'!$AB$5:$AB$3004,$AS306)))</f>
        <v/>
      </c>
      <c r="AD306" s="14">
        <f>IF($A306="","",IF(INDEX('潜水記録'!$AC$5:$AC$3004,$AS306)="","",INDEX('潜水記録'!$AC$5:$AC$3004,$AS306)))</f>
        <v/>
      </c>
      <c r="AE306" s="14">
        <f>IF($A306="","",IF(INDEX('潜水記録'!$AD$5:$AD$3004,$AS306)="","",INDEX('潜水記録'!$AD$5:$AD$3004,$AS306)))</f>
        <v/>
      </c>
      <c r="AF306" s="14">
        <f>IF($A306="","",IF(INDEX('潜水記録'!$AE$5:$AE$3004,$AS306)="","",INDEX('潜水記録'!$AE$5:$AE$3004,$AS306)))</f>
        <v/>
      </c>
      <c r="AG306" s="14">
        <f>IF($A306="","",IF(INDEX('潜水記録'!$AL$5:$AL$3004,$AS306)="","",INDEX('潜水記録'!$AL$5:$AL$3004,$AS306)))</f>
        <v/>
      </c>
      <c r="AH306" s="14">
        <f>IF($A306="","",IF(INDEX('潜水記録'!$AM$5:$AM$3004,$AS306)="","",INDEX('潜水記録'!$AM$5:$AM$3004,$AS306)))</f>
        <v/>
      </c>
      <c r="AI306" s="46">
        <f>IF($A306="","",IF(INDEX('潜水記録'!$AN$5:$AN$3004,$AS306)="","",INDEX('潜水記録'!$AN$5:$AN$3004,$AS306)))</f>
        <v/>
      </c>
      <c r="AJ306" s="14">
        <f>IF($A306="","",IF(INDEX('潜水記録'!$AO$5:$AO$3004,$AS306)="","",INDEX('潜水記録'!$AO$5:$AO$3004,$AS306)))</f>
        <v/>
      </c>
      <c r="AK306" s="14">
        <f>IF($A306="","",IF(INDEX('潜水記録'!$AP$5:$AP$3004,$AS306)="","",INDEX('潜水記録'!$AP$5:$AP$3004,$AS306)))</f>
        <v/>
      </c>
      <c r="AL306" s="14">
        <f>IF($A306="","",IF(INDEX('潜水記録'!$AQ$5:$AQ$3004,$AS306)="","",INDEX('潜水記録'!$AQ$5:$AQ$3004,$AS306)))</f>
        <v/>
      </c>
      <c r="AM306" s="14">
        <f>IF($A306="","",IF(INDEX('潜水記録'!$AR$5:$AR$3004,$AS306)="","",INDEX('潜水記録'!$AR$5:$AR$3004,$AS306)))</f>
        <v/>
      </c>
      <c r="AN306" s="14">
        <f>IF($A306="","",IF(INDEX('潜水記録'!$AS$5:$AS$3004,$AS306)="","",INDEX('潜水記録'!$AS$5:$AS$3004,$AS306)))</f>
        <v/>
      </c>
      <c r="AO306" s="14">
        <f>IF($A306="","",IF(INDEX('潜水記録'!$AT$5:$AT$3004,$AS306)="","",INDEX('潜水記録'!$AT$5:$AT$3004,$AS306)))</f>
        <v/>
      </c>
      <c r="AP306" s="14">
        <f>IF($A306="","",IF(INDEX('潜水記録'!$AU$5:$AU$3004,$AS306)="","",INDEX('潜水記録'!$AU$5:$AU$3004,$AS306)))</f>
        <v/>
      </c>
      <c r="AQ306" s="14">
        <f>IF($A306="","",IF(INDEX('潜水記録'!$AV$5:$AV$3004,$AS306)="","",INDEX('潜水記録'!$AV$5:$AV$3004,$AS306)))</f>
        <v/>
      </c>
      <c r="AR306" s="14">
        <f>IF($A306="","",IF(INDEX('潜水記録'!$AW$5:$AW$3004,$AS306)="","",INDEX('潜水記録'!$AW$5:$AW$3004,$AS306)))</f>
        <v/>
      </c>
      <c r="AS306" s="20">
        <f>IF($A306="","",MATCH($A306,'潜水記録'!$AI$5:$AI$3004,0))</f>
        <v/>
      </c>
    </row>
    <row r="307">
      <c r="A307" s="14">
        <f>IF(297&lt;=$C$8,297,"")</f>
        <v/>
      </c>
      <c r="B307" s="16">
        <f>IF($A307="","",IF(INDEX('潜水記録'!$A$5:$A$3004,$AS307)="","",INDEX('潜水記録'!$A$5:$A$3004,$AS307)))</f>
        <v/>
      </c>
      <c r="C307" s="14">
        <f>IF($A307="","",IF(INDEX('潜水記録'!$B$5:$B$3004,$AS307)="","",INDEX('潜水記録'!$B$5:$B$3004,$AS307)))</f>
        <v/>
      </c>
      <c r="D307" s="14">
        <f>IF($A307="","",IF(INDEX('潜水記録'!$C$5:$C$3004,$AS307)="","",INDEX('潜水記録'!$C$5:$C$3004,$AS307)))</f>
        <v/>
      </c>
      <c r="E307" s="14">
        <f>IF($A307="","",IF(INDEX('潜水記録'!$D$5:$D$3004,$AS307)="","",INDEX('潜水記録'!$D$5:$D$3004,$AS307)))</f>
        <v/>
      </c>
      <c r="F307" s="14">
        <f>IF($A307="","",IF(INDEX('潜水記録'!$E$5:$E$3004,$AS307)="","",INDEX('潜水記録'!$E$5:$E$3004,$AS307)))</f>
        <v/>
      </c>
      <c r="G307" s="14">
        <f>IF($A307="","",IF(INDEX('潜水記録'!$F$5:$F$3004,$AS307)="","",INDEX('潜水記録'!$F$5:$F$3004,$AS307)))</f>
        <v/>
      </c>
      <c r="H307" s="14">
        <f>IF($A307="","",IF(INDEX('潜水記録'!$G$5:$G$3004,$AS307)="","",INDEX('潜水記録'!$G$5:$G$3004,$AS307)))</f>
        <v/>
      </c>
      <c r="I307" s="14">
        <f>IF($A307="","",IF(INDEX('潜水記録'!$H$5:$H$3004,$AS307)="","",INDEX('潜水記録'!$H$5:$H$3004,$AS307)))</f>
        <v/>
      </c>
      <c r="J307" s="14">
        <f>IF($A307="","",IF(INDEX('潜水記録'!$I$5:$I$3004,$AS307)="","",INDEX('潜水記録'!$I$5:$I$3004,$AS307)))</f>
        <v/>
      </c>
      <c r="K307" s="14">
        <f>IF($A307="","",IF(INDEX('潜水記録'!$J$5:$J$3004,$AS307)="","",INDEX('潜水記録'!$J$5:$J$3004,$AS307)))</f>
        <v/>
      </c>
      <c r="L307" s="14">
        <f>IF($A307="","",IF(INDEX('潜水記録'!$K$5:$K$3004,$AS307)="","",INDEX('潜水記録'!$K$5:$K$3004,$AS307)))</f>
        <v/>
      </c>
      <c r="M307" s="14">
        <f>IF($A307="","",IF(INDEX('潜水記録'!$L$5:$L$3004,$AS307)="","",INDEX('潜水記録'!$L$5:$L$3004,$AS307)))</f>
        <v/>
      </c>
      <c r="N307" s="14">
        <f>IF($A307="","",IF(INDEX('潜水記録'!$M$5:$M$3004,$AS307)="","",INDEX('潜水記録'!$M$5:$M$3004,$AS307)))</f>
        <v/>
      </c>
      <c r="O307" s="14">
        <f>IF($A307="","",IF(INDEX('潜水記録'!$N$5:$N$3004,$AS307)="","",INDEX('潜水記録'!$N$5:$N$3004,$AS307)))</f>
        <v/>
      </c>
      <c r="P307" s="14">
        <f>IF($A307="","",IF(INDEX('潜水記録'!$O$5:$O$3004,$AS307)="","",INDEX('潜水記録'!$O$5:$O$3004,$AS307)))</f>
        <v/>
      </c>
      <c r="Q307" s="14">
        <f>IF($A307="","",IF(INDEX('潜水記録'!$P$5:$P$3004,$AS307)="","",INDEX('潜水記録'!$P$5:$P$3004,$AS307)))</f>
        <v/>
      </c>
      <c r="R307" s="14">
        <f>IF($A307="","",IF(INDEX('潜水記録'!$Q$5:$Q$3004,$AS307)="","",INDEX('潜水記録'!$Q$5:$Q$3004,$AS307)))</f>
        <v/>
      </c>
      <c r="S307" s="14">
        <f>IF($A307="","",IF(INDEX('潜水記録'!$R$5:$R$3004,$AS307)="","",INDEX('潜水記録'!$R$5:$R$3004,$AS307)))</f>
        <v/>
      </c>
      <c r="T307" s="14">
        <f>IF($A307="","",IF(INDEX('潜水記録'!$S$5:$S$3004,$AS307)="","",INDEX('潜水記録'!$S$5:$S$3004,$AS307)))</f>
        <v/>
      </c>
      <c r="U307" s="14">
        <f>IF($A307="","",IF(INDEX('潜水記録'!$T$5:$T$3004,$AS307)="","",INDEX('潜水記録'!$T$5:$T$3004,$AS307)))</f>
        <v/>
      </c>
      <c r="V307" s="46">
        <f>IF($A307="","",IF(INDEX('潜水記録'!$U$5:$U$3004,$AS307)="","",INDEX('潜水記録'!$U$5:$U$3004,$AS307)))</f>
        <v/>
      </c>
      <c r="W307" s="46">
        <f>IF($A307="","",IF(INDEX('潜水記録'!$V$5:$V$3004,$AS307)="","",INDEX('潜水記録'!$V$5:$V$3004,$AS307)))</f>
        <v/>
      </c>
      <c r="X307" s="14">
        <f>IF($A307="","",IF(INDEX('潜水記録'!$W$5:$W$3004,$AS307)="","",INDEX('潜水記録'!$W$5:$W$3004,$AS307)))</f>
        <v/>
      </c>
      <c r="Y307" s="14">
        <f>IF($A307="","",IF(INDEX('潜水記録'!$X$5:$X$3004,$AS307)="","",INDEX('潜水記録'!$X$5:$X$3004,$AS307)))</f>
        <v/>
      </c>
      <c r="Z307" s="14">
        <f>IF($A307="","",IF(INDEX('潜水記録'!$Y$5:$Y$3004,$AS307)="","",INDEX('潜水記録'!$Y$5:$Y$3004,$AS307)))</f>
        <v/>
      </c>
      <c r="AA307" s="14">
        <f>IF($A307="","",IF(INDEX('潜水記録'!$Z$5:$Z$3004,$AS307)="","",INDEX('潜水記録'!$Z$5:$Z$3004,$AS307)))</f>
        <v/>
      </c>
      <c r="AB307" s="14">
        <f>IF($A307="","",IF(INDEX('潜水記録'!$AA$5:$AA$3004,$AS307)="","",INDEX('潜水記録'!$AA$5:$AA$3004,$AS307)))</f>
        <v/>
      </c>
      <c r="AC307" s="14">
        <f>IF($A307="","",IF(INDEX('潜水記録'!$AB$5:$AB$3004,$AS307)="","",INDEX('潜水記録'!$AB$5:$AB$3004,$AS307)))</f>
        <v/>
      </c>
      <c r="AD307" s="14">
        <f>IF($A307="","",IF(INDEX('潜水記録'!$AC$5:$AC$3004,$AS307)="","",INDEX('潜水記録'!$AC$5:$AC$3004,$AS307)))</f>
        <v/>
      </c>
      <c r="AE307" s="14">
        <f>IF($A307="","",IF(INDEX('潜水記録'!$AD$5:$AD$3004,$AS307)="","",INDEX('潜水記録'!$AD$5:$AD$3004,$AS307)))</f>
        <v/>
      </c>
      <c r="AF307" s="14">
        <f>IF($A307="","",IF(INDEX('潜水記録'!$AE$5:$AE$3004,$AS307)="","",INDEX('潜水記録'!$AE$5:$AE$3004,$AS307)))</f>
        <v/>
      </c>
      <c r="AG307" s="14">
        <f>IF($A307="","",IF(INDEX('潜水記録'!$AL$5:$AL$3004,$AS307)="","",INDEX('潜水記録'!$AL$5:$AL$3004,$AS307)))</f>
        <v/>
      </c>
      <c r="AH307" s="14">
        <f>IF($A307="","",IF(INDEX('潜水記録'!$AM$5:$AM$3004,$AS307)="","",INDEX('潜水記録'!$AM$5:$AM$3004,$AS307)))</f>
        <v/>
      </c>
      <c r="AI307" s="46">
        <f>IF($A307="","",IF(INDEX('潜水記録'!$AN$5:$AN$3004,$AS307)="","",INDEX('潜水記録'!$AN$5:$AN$3004,$AS307)))</f>
        <v/>
      </c>
      <c r="AJ307" s="14">
        <f>IF($A307="","",IF(INDEX('潜水記録'!$AO$5:$AO$3004,$AS307)="","",INDEX('潜水記録'!$AO$5:$AO$3004,$AS307)))</f>
        <v/>
      </c>
      <c r="AK307" s="14">
        <f>IF($A307="","",IF(INDEX('潜水記録'!$AP$5:$AP$3004,$AS307)="","",INDEX('潜水記録'!$AP$5:$AP$3004,$AS307)))</f>
        <v/>
      </c>
      <c r="AL307" s="14">
        <f>IF($A307="","",IF(INDEX('潜水記録'!$AQ$5:$AQ$3004,$AS307)="","",INDEX('潜水記録'!$AQ$5:$AQ$3004,$AS307)))</f>
        <v/>
      </c>
      <c r="AM307" s="14">
        <f>IF($A307="","",IF(INDEX('潜水記録'!$AR$5:$AR$3004,$AS307)="","",INDEX('潜水記録'!$AR$5:$AR$3004,$AS307)))</f>
        <v/>
      </c>
      <c r="AN307" s="14">
        <f>IF($A307="","",IF(INDEX('潜水記録'!$AS$5:$AS$3004,$AS307)="","",INDEX('潜水記録'!$AS$5:$AS$3004,$AS307)))</f>
        <v/>
      </c>
      <c r="AO307" s="14">
        <f>IF($A307="","",IF(INDEX('潜水記録'!$AT$5:$AT$3004,$AS307)="","",INDEX('潜水記録'!$AT$5:$AT$3004,$AS307)))</f>
        <v/>
      </c>
      <c r="AP307" s="14">
        <f>IF($A307="","",IF(INDEX('潜水記録'!$AU$5:$AU$3004,$AS307)="","",INDEX('潜水記録'!$AU$5:$AU$3004,$AS307)))</f>
        <v/>
      </c>
      <c r="AQ307" s="14">
        <f>IF($A307="","",IF(INDEX('潜水記録'!$AV$5:$AV$3004,$AS307)="","",INDEX('潜水記録'!$AV$5:$AV$3004,$AS307)))</f>
        <v/>
      </c>
      <c r="AR307" s="14">
        <f>IF($A307="","",IF(INDEX('潜水記録'!$AW$5:$AW$3004,$AS307)="","",INDEX('潜水記録'!$AW$5:$AW$3004,$AS307)))</f>
        <v/>
      </c>
      <c r="AS307" s="20">
        <f>IF($A307="","",MATCH($A307,'潜水記録'!$AI$5:$AI$3004,0))</f>
        <v/>
      </c>
    </row>
    <row r="308">
      <c r="A308" s="14">
        <f>IF(298&lt;=$C$8,298,"")</f>
        <v/>
      </c>
      <c r="B308" s="16">
        <f>IF($A308="","",IF(INDEX('潜水記録'!$A$5:$A$3004,$AS308)="","",INDEX('潜水記録'!$A$5:$A$3004,$AS308)))</f>
        <v/>
      </c>
      <c r="C308" s="14">
        <f>IF($A308="","",IF(INDEX('潜水記録'!$B$5:$B$3004,$AS308)="","",INDEX('潜水記録'!$B$5:$B$3004,$AS308)))</f>
        <v/>
      </c>
      <c r="D308" s="14">
        <f>IF($A308="","",IF(INDEX('潜水記録'!$C$5:$C$3004,$AS308)="","",INDEX('潜水記録'!$C$5:$C$3004,$AS308)))</f>
        <v/>
      </c>
      <c r="E308" s="14">
        <f>IF($A308="","",IF(INDEX('潜水記録'!$D$5:$D$3004,$AS308)="","",INDEX('潜水記録'!$D$5:$D$3004,$AS308)))</f>
        <v/>
      </c>
      <c r="F308" s="14">
        <f>IF($A308="","",IF(INDEX('潜水記録'!$E$5:$E$3004,$AS308)="","",INDEX('潜水記録'!$E$5:$E$3004,$AS308)))</f>
        <v/>
      </c>
      <c r="G308" s="14">
        <f>IF($A308="","",IF(INDEX('潜水記録'!$F$5:$F$3004,$AS308)="","",INDEX('潜水記録'!$F$5:$F$3004,$AS308)))</f>
        <v/>
      </c>
      <c r="H308" s="14">
        <f>IF($A308="","",IF(INDEX('潜水記録'!$G$5:$G$3004,$AS308)="","",INDEX('潜水記録'!$G$5:$G$3004,$AS308)))</f>
        <v/>
      </c>
      <c r="I308" s="14">
        <f>IF($A308="","",IF(INDEX('潜水記録'!$H$5:$H$3004,$AS308)="","",INDEX('潜水記録'!$H$5:$H$3004,$AS308)))</f>
        <v/>
      </c>
      <c r="J308" s="14">
        <f>IF($A308="","",IF(INDEX('潜水記録'!$I$5:$I$3004,$AS308)="","",INDEX('潜水記録'!$I$5:$I$3004,$AS308)))</f>
        <v/>
      </c>
      <c r="K308" s="14">
        <f>IF($A308="","",IF(INDEX('潜水記録'!$J$5:$J$3004,$AS308)="","",INDEX('潜水記録'!$J$5:$J$3004,$AS308)))</f>
        <v/>
      </c>
      <c r="L308" s="14">
        <f>IF($A308="","",IF(INDEX('潜水記録'!$K$5:$K$3004,$AS308)="","",INDEX('潜水記録'!$K$5:$K$3004,$AS308)))</f>
        <v/>
      </c>
      <c r="M308" s="14">
        <f>IF($A308="","",IF(INDEX('潜水記録'!$L$5:$L$3004,$AS308)="","",INDEX('潜水記録'!$L$5:$L$3004,$AS308)))</f>
        <v/>
      </c>
      <c r="N308" s="14">
        <f>IF($A308="","",IF(INDEX('潜水記録'!$M$5:$M$3004,$AS308)="","",INDEX('潜水記録'!$M$5:$M$3004,$AS308)))</f>
        <v/>
      </c>
      <c r="O308" s="14">
        <f>IF($A308="","",IF(INDEX('潜水記録'!$N$5:$N$3004,$AS308)="","",INDEX('潜水記録'!$N$5:$N$3004,$AS308)))</f>
        <v/>
      </c>
      <c r="P308" s="14">
        <f>IF($A308="","",IF(INDEX('潜水記録'!$O$5:$O$3004,$AS308)="","",INDEX('潜水記録'!$O$5:$O$3004,$AS308)))</f>
        <v/>
      </c>
      <c r="Q308" s="14">
        <f>IF($A308="","",IF(INDEX('潜水記録'!$P$5:$P$3004,$AS308)="","",INDEX('潜水記録'!$P$5:$P$3004,$AS308)))</f>
        <v/>
      </c>
      <c r="R308" s="14">
        <f>IF($A308="","",IF(INDEX('潜水記録'!$Q$5:$Q$3004,$AS308)="","",INDEX('潜水記録'!$Q$5:$Q$3004,$AS308)))</f>
        <v/>
      </c>
      <c r="S308" s="14">
        <f>IF($A308="","",IF(INDEX('潜水記録'!$R$5:$R$3004,$AS308)="","",INDEX('潜水記録'!$R$5:$R$3004,$AS308)))</f>
        <v/>
      </c>
      <c r="T308" s="14">
        <f>IF($A308="","",IF(INDEX('潜水記録'!$S$5:$S$3004,$AS308)="","",INDEX('潜水記録'!$S$5:$S$3004,$AS308)))</f>
        <v/>
      </c>
      <c r="U308" s="14">
        <f>IF($A308="","",IF(INDEX('潜水記録'!$T$5:$T$3004,$AS308)="","",INDEX('潜水記録'!$T$5:$T$3004,$AS308)))</f>
        <v/>
      </c>
      <c r="V308" s="46">
        <f>IF($A308="","",IF(INDEX('潜水記録'!$U$5:$U$3004,$AS308)="","",INDEX('潜水記録'!$U$5:$U$3004,$AS308)))</f>
        <v/>
      </c>
      <c r="W308" s="46">
        <f>IF($A308="","",IF(INDEX('潜水記録'!$V$5:$V$3004,$AS308)="","",INDEX('潜水記録'!$V$5:$V$3004,$AS308)))</f>
        <v/>
      </c>
      <c r="X308" s="14">
        <f>IF($A308="","",IF(INDEX('潜水記録'!$W$5:$W$3004,$AS308)="","",INDEX('潜水記録'!$W$5:$W$3004,$AS308)))</f>
        <v/>
      </c>
      <c r="Y308" s="14">
        <f>IF($A308="","",IF(INDEX('潜水記録'!$X$5:$X$3004,$AS308)="","",INDEX('潜水記録'!$X$5:$X$3004,$AS308)))</f>
        <v/>
      </c>
      <c r="Z308" s="14">
        <f>IF($A308="","",IF(INDEX('潜水記録'!$Y$5:$Y$3004,$AS308)="","",INDEX('潜水記録'!$Y$5:$Y$3004,$AS308)))</f>
        <v/>
      </c>
      <c r="AA308" s="14">
        <f>IF($A308="","",IF(INDEX('潜水記録'!$Z$5:$Z$3004,$AS308)="","",INDEX('潜水記録'!$Z$5:$Z$3004,$AS308)))</f>
        <v/>
      </c>
      <c r="AB308" s="14">
        <f>IF($A308="","",IF(INDEX('潜水記録'!$AA$5:$AA$3004,$AS308)="","",INDEX('潜水記録'!$AA$5:$AA$3004,$AS308)))</f>
        <v/>
      </c>
      <c r="AC308" s="14">
        <f>IF($A308="","",IF(INDEX('潜水記録'!$AB$5:$AB$3004,$AS308)="","",INDEX('潜水記録'!$AB$5:$AB$3004,$AS308)))</f>
        <v/>
      </c>
      <c r="AD308" s="14">
        <f>IF($A308="","",IF(INDEX('潜水記録'!$AC$5:$AC$3004,$AS308)="","",INDEX('潜水記録'!$AC$5:$AC$3004,$AS308)))</f>
        <v/>
      </c>
      <c r="AE308" s="14">
        <f>IF($A308="","",IF(INDEX('潜水記録'!$AD$5:$AD$3004,$AS308)="","",INDEX('潜水記録'!$AD$5:$AD$3004,$AS308)))</f>
        <v/>
      </c>
      <c r="AF308" s="14">
        <f>IF($A308="","",IF(INDEX('潜水記録'!$AE$5:$AE$3004,$AS308)="","",INDEX('潜水記録'!$AE$5:$AE$3004,$AS308)))</f>
        <v/>
      </c>
      <c r="AG308" s="14">
        <f>IF($A308="","",IF(INDEX('潜水記録'!$AL$5:$AL$3004,$AS308)="","",INDEX('潜水記録'!$AL$5:$AL$3004,$AS308)))</f>
        <v/>
      </c>
      <c r="AH308" s="14">
        <f>IF($A308="","",IF(INDEX('潜水記録'!$AM$5:$AM$3004,$AS308)="","",INDEX('潜水記録'!$AM$5:$AM$3004,$AS308)))</f>
        <v/>
      </c>
      <c r="AI308" s="46">
        <f>IF($A308="","",IF(INDEX('潜水記録'!$AN$5:$AN$3004,$AS308)="","",INDEX('潜水記録'!$AN$5:$AN$3004,$AS308)))</f>
        <v/>
      </c>
      <c r="AJ308" s="14">
        <f>IF($A308="","",IF(INDEX('潜水記録'!$AO$5:$AO$3004,$AS308)="","",INDEX('潜水記録'!$AO$5:$AO$3004,$AS308)))</f>
        <v/>
      </c>
      <c r="AK308" s="14">
        <f>IF($A308="","",IF(INDEX('潜水記録'!$AP$5:$AP$3004,$AS308)="","",INDEX('潜水記録'!$AP$5:$AP$3004,$AS308)))</f>
        <v/>
      </c>
      <c r="AL308" s="14">
        <f>IF($A308="","",IF(INDEX('潜水記録'!$AQ$5:$AQ$3004,$AS308)="","",INDEX('潜水記録'!$AQ$5:$AQ$3004,$AS308)))</f>
        <v/>
      </c>
      <c r="AM308" s="14">
        <f>IF($A308="","",IF(INDEX('潜水記録'!$AR$5:$AR$3004,$AS308)="","",INDEX('潜水記録'!$AR$5:$AR$3004,$AS308)))</f>
        <v/>
      </c>
      <c r="AN308" s="14">
        <f>IF($A308="","",IF(INDEX('潜水記録'!$AS$5:$AS$3004,$AS308)="","",INDEX('潜水記録'!$AS$5:$AS$3004,$AS308)))</f>
        <v/>
      </c>
      <c r="AO308" s="14">
        <f>IF($A308="","",IF(INDEX('潜水記録'!$AT$5:$AT$3004,$AS308)="","",INDEX('潜水記録'!$AT$5:$AT$3004,$AS308)))</f>
        <v/>
      </c>
      <c r="AP308" s="14">
        <f>IF($A308="","",IF(INDEX('潜水記録'!$AU$5:$AU$3004,$AS308)="","",INDEX('潜水記録'!$AU$5:$AU$3004,$AS308)))</f>
        <v/>
      </c>
      <c r="AQ308" s="14">
        <f>IF($A308="","",IF(INDEX('潜水記録'!$AV$5:$AV$3004,$AS308)="","",INDEX('潜水記録'!$AV$5:$AV$3004,$AS308)))</f>
        <v/>
      </c>
      <c r="AR308" s="14">
        <f>IF($A308="","",IF(INDEX('潜水記録'!$AW$5:$AW$3004,$AS308)="","",INDEX('潜水記録'!$AW$5:$AW$3004,$AS308)))</f>
        <v/>
      </c>
      <c r="AS308" s="20">
        <f>IF($A308="","",MATCH($A308,'潜水記録'!$AI$5:$AI$3004,0))</f>
        <v/>
      </c>
    </row>
    <row r="309">
      <c r="A309" s="14">
        <f>IF(299&lt;=$C$8,299,"")</f>
        <v/>
      </c>
      <c r="B309" s="16">
        <f>IF($A309="","",IF(INDEX('潜水記録'!$A$5:$A$3004,$AS309)="","",INDEX('潜水記録'!$A$5:$A$3004,$AS309)))</f>
        <v/>
      </c>
      <c r="C309" s="14">
        <f>IF($A309="","",IF(INDEX('潜水記録'!$B$5:$B$3004,$AS309)="","",INDEX('潜水記録'!$B$5:$B$3004,$AS309)))</f>
        <v/>
      </c>
      <c r="D309" s="14">
        <f>IF($A309="","",IF(INDEX('潜水記録'!$C$5:$C$3004,$AS309)="","",INDEX('潜水記録'!$C$5:$C$3004,$AS309)))</f>
        <v/>
      </c>
      <c r="E309" s="14">
        <f>IF($A309="","",IF(INDEX('潜水記録'!$D$5:$D$3004,$AS309)="","",INDEX('潜水記録'!$D$5:$D$3004,$AS309)))</f>
        <v/>
      </c>
      <c r="F309" s="14">
        <f>IF($A309="","",IF(INDEX('潜水記録'!$E$5:$E$3004,$AS309)="","",INDEX('潜水記録'!$E$5:$E$3004,$AS309)))</f>
        <v/>
      </c>
      <c r="G309" s="14">
        <f>IF($A309="","",IF(INDEX('潜水記録'!$F$5:$F$3004,$AS309)="","",INDEX('潜水記録'!$F$5:$F$3004,$AS309)))</f>
        <v/>
      </c>
      <c r="H309" s="14">
        <f>IF($A309="","",IF(INDEX('潜水記録'!$G$5:$G$3004,$AS309)="","",INDEX('潜水記録'!$G$5:$G$3004,$AS309)))</f>
        <v/>
      </c>
      <c r="I309" s="14">
        <f>IF($A309="","",IF(INDEX('潜水記録'!$H$5:$H$3004,$AS309)="","",INDEX('潜水記録'!$H$5:$H$3004,$AS309)))</f>
        <v/>
      </c>
      <c r="J309" s="14">
        <f>IF($A309="","",IF(INDEX('潜水記録'!$I$5:$I$3004,$AS309)="","",INDEX('潜水記録'!$I$5:$I$3004,$AS309)))</f>
        <v/>
      </c>
      <c r="K309" s="14">
        <f>IF($A309="","",IF(INDEX('潜水記録'!$J$5:$J$3004,$AS309)="","",INDEX('潜水記録'!$J$5:$J$3004,$AS309)))</f>
        <v/>
      </c>
      <c r="L309" s="14">
        <f>IF($A309="","",IF(INDEX('潜水記録'!$K$5:$K$3004,$AS309)="","",INDEX('潜水記録'!$K$5:$K$3004,$AS309)))</f>
        <v/>
      </c>
      <c r="M309" s="14">
        <f>IF($A309="","",IF(INDEX('潜水記録'!$L$5:$L$3004,$AS309)="","",INDEX('潜水記録'!$L$5:$L$3004,$AS309)))</f>
        <v/>
      </c>
      <c r="N309" s="14">
        <f>IF($A309="","",IF(INDEX('潜水記録'!$M$5:$M$3004,$AS309)="","",INDEX('潜水記録'!$M$5:$M$3004,$AS309)))</f>
        <v/>
      </c>
      <c r="O309" s="14">
        <f>IF($A309="","",IF(INDEX('潜水記録'!$N$5:$N$3004,$AS309)="","",INDEX('潜水記録'!$N$5:$N$3004,$AS309)))</f>
        <v/>
      </c>
      <c r="P309" s="14">
        <f>IF($A309="","",IF(INDEX('潜水記録'!$O$5:$O$3004,$AS309)="","",INDEX('潜水記録'!$O$5:$O$3004,$AS309)))</f>
        <v/>
      </c>
      <c r="Q309" s="14">
        <f>IF($A309="","",IF(INDEX('潜水記録'!$P$5:$P$3004,$AS309)="","",INDEX('潜水記録'!$P$5:$P$3004,$AS309)))</f>
        <v/>
      </c>
      <c r="R309" s="14">
        <f>IF($A309="","",IF(INDEX('潜水記録'!$Q$5:$Q$3004,$AS309)="","",INDEX('潜水記録'!$Q$5:$Q$3004,$AS309)))</f>
        <v/>
      </c>
      <c r="S309" s="14">
        <f>IF($A309="","",IF(INDEX('潜水記録'!$R$5:$R$3004,$AS309)="","",INDEX('潜水記録'!$R$5:$R$3004,$AS309)))</f>
        <v/>
      </c>
      <c r="T309" s="14">
        <f>IF($A309="","",IF(INDEX('潜水記録'!$S$5:$S$3004,$AS309)="","",INDEX('潜水記録'!$S$5:$S$3004,$AS309)))</f>
        <v/>
      </c>
      <c r="U309" s="14">
        <f>IF($A309="","",IF(INDEX('潜水記録'!$T$5:$T$3004,$AS309)="","",INDEX('潜水記録'!$T$5:$T$3004,$AS309)))</f>
        <v/>
      </c>
      <c r="V309" s="46">
        <f>IF($A309="","",IF(INDEX('潜水記録'!$U$5:$U$3004,$AS309)="","",INDEX('潜水記録'!$U$5:$U$3004,$AS309)))</f>
        <v/>
      </c>
      <c r="W309" s="46">
        <f>IF($A309="","",IF(INDEX('潜水記録'!$V$5:$V$3004,$AS309)="","",INDEX('潜水記録'!$V$5:$V$3004,$AS309)))</f>
        <v/>
      </c>
      <c r="X309" s="14">
        <f>IF($A309="","",IF(INDEX('潜水記録'!$W$5:$W$3004,$AS309)="","",INDEX('潜水記録'!$W$5:$W$3004,$AS309)))</f>
        <v/>
      </c>
      <c r="Y309" s="14">
        <f>IF($A309="","",IF(INDEX('潜水記録'!$X$5:$X$3004,$AS309)="","",INDEX('潜水記録'!$X$5:$X$3004,$AS309)))</f>
        <v/>
      </c>
      <c r="Z309" s="14">
        <f>IF($A309="","",IF(INDEX('潜水記録'!$Y$5:$Y$3004,$AS309)="","",INDEX('潜水記録'!$Y$5:$Y$3004,$AS309)))</f>
        <v/>
      </c>
      <c r="AA309" s="14">
        <f>IF($A309="","",IF(INDEX('潜水記録'!$Z$5:$Z$3004,$AS309)="","",INDEX('潜水記録'!$Z$5:$Z$3004,$AS309)))</f>
        <v/>
      </c>
      <c r="AB309" s="14">
        <f>IF($A309="","",IF(INDEX('潜水記録'!$AA$5:$AA$3004,$AS309)="","",INDEX('潜水記録'!$AA$5:$AA$3004,$AS309)))</f>
        <v/>
      </c>
      <c r="AC309" s="14">
        <f>IF($A309="","",IF(INDEX('潜水記録'!$AB$5:$AB$3004,$AS309)="","",INDEX('潜水記録'!$AB$5:$AB$3004,$AS309)))</f>
        <v/>
      </c>
      <c r="AD309" s="14">
        <f>IF($A309="","",IF(INDEX('潜水記録'!$AC$5:$AC$3004,$AS309)="","",INDEX('潜水記録'!$AC$5:$AC$3004,$AS309)))</f>
        <v/>
      </c>
      <c r="AE309" s="14">
        <f>IF($A309="","",IF(INDEX('潜水記録'!$AD$5:$AD$3004,$AS309)="","",INDEX('潜水記録'!$AD$5:$AD$3004,$AS309)))</f>
        <v/>
      </c>
      <c r="AF309" s="14">
        <f>IF($A309="","",IF(INDEX('潜水記録'!$AE$5:$AE$3004,$AS309)="","",INDEX('潜水記録'!$AE$5:$AE$3004,$AS309)))</f>
        <v/>
      </c>
      <c r="AG309" s="14">
        <f>IF($A309="","",IF(INDEX('潜水記録'!$AL$5:$AL$3004,$AS309)="","",INDEX('潜水記録'!$AL$5:$AL$3004,$AS309)))</f>
        <v/>
      </c>
      <c r="AH309" s="14">
        <f>IF($A309="","",IF(INDEX('潜水記録'!$AM$5:$AM$3004,$AS309)="","",INDEX('潜水記録'!$AM$5:$AM$3004,$AS309)))</f>
        <v/>
      </c>
      <c r="AI309" s="46">
        <f>IF($A309="","",IF(INDEX('潜水記録'!$AN$5:$AN$3004,$AS309)="","",INDEX('潜水記録'!$AN$5:$AN$3004,$AS309)))</f>
        <v/>
      </c>
      <c r="AJ309" s="14">
        <f>IF($A309="","",IF(INDEX('潜水記録'!$AO$5:$AO$3004,$AS309)="","",INDEX('潜水記録'!$AO$5:$AO$3004,$AS309)))</f>
        <v/>
      </c>
      <c r="AK309" s="14">
        <f>IF($A309="","",IF(INDEX('潜水記録'!$AP$5:$AP$3004,$AS309)="","",INDEX('潜水記録'!$AP$5:$AP$3004,$AS309)))</f>
        <v/>
      </c>
      <c r="AL309" s="14">
        <f>IF($A309="","",IF(INDEX('潜水記録'!$AQ$5:$AQ$3004,$AS309)="","",INDEX('潜水記録'!$AQ$5:$AQ$3004,$AS309)))</f>
        <v/>
      </c>
      <c r="AM309" s="14">
        <f>IF($A309="","",IF(INDEX('潜水記録'!$AR$5:$AR$3004,$AS309)="","",INDEX('潜水記録'!$AR$5:$AR$3004,$AS309)))</f>
        <v/>
      </c>
      <c r="AN309" s="14">
        <f>IF($A309="","",IF(INDEX('潜水記録'!$AS$5:$AS$3004,$AS309)="","",INDEX('潜水記録'!$AS$5:$AS$3004,$AS309)))</f>
        <v/>
      </c>
      <c r="AO309" s="14">
        <f>IF($A309="","",IF(INDEX('潜水記録'!$AT$5:$AT$3004,$AS309)="","",INDEX('潜水記録'!$AT$5:$AT$3004,$AS309)))</f>
        <v/>
      </c>
      <c r="AP309" s="14">
        <f>IF($A309="","",IF(INDEX('潜水記録'!$AU$5:$AU$3004,$AS309)="","",INDEX('潜水記録'!$AU$5:$AU$3004,$AS309)))</f>
        <v/>
      </c>
      <c r="AQ309" s="14">
        <f>IF($A309="","",IF(INDEX('潜水記録'!$AV$5:$AV$3004,$AS309)="","",INDEX('潜水記録'!$AV$5:$AV$3004,$AS309)))</f>
        <v/>
      </c>
      <c r="AR309" s="14">
        <f>IF($A309="","",IF(INDEX('潜水記録'!$AW$5:$AW$3004,$AS309)="","",INDEX('潜水記録'!$AW$5:$AW$3004,$AS309)))</f>
        <v/>
      </c>
      <c r="AS309" s="20">
        <f>IF($A309="","",MATCH($A309,'潜水記録'!$AI$5:$AI$3004,0))</f>
        <v/>
      </c>
    </row>
    <row r="310">
      <c r="A310" s="14">
        <f>IF(300&lt;=$C$8,300,"")</f>
        <v/>
      </c>
      <c r="B310" s="16">
        <f>IF($A310="","",IF(INDEX('潜水記録'!$A$5:$A$3004,$AS310)="","",INDEX('潜水記録'!$A$5:$A$3004,$AS310)))</f>
        <v/>
      </c>
      <c r="C310" s="14">
        <f>IF($A310="","",IF(INDEX('潜水記録'!$B$5:$B$3004,$AS310)="","",INDEX('潜水記録'!$B$5:$B$3004,$AS310)))</f>
        <v/>
      </c>
      <c r="D310" s="14">
        <f>IF($A310="","",IF(INDEX('潜水記録'!$C$5:$C$3004,$AS310)="","",INDEX('潜水記録'!$C$5:$C$3004,$AS310)))</f>
        <v/>
      </c>
      <c r="E310" s="14">
        <f>IF($A310="","",IF(INDEX('潜水記録'!$D$5:$D$3004,$AS310)="","",INDEX('潜水記録'!$D$5:$D$3004,$AS310)))</f>
        <v/>
      </c>
      <c r="F310" s="14">
        <f>IF($A310="","",IF(INDEX('潜水記録'!$E$5:$E$3004,$AS310)="","",INDEX('潜水記録'!$E$5:$E$3004,$AS310)))</f>
        <v/>
      </c>
      <c r="G310" s="14">
        <f>IF($A310="","",IF(INDEX('潜水記録'!$F$5:$F$3004,$AS310)="","",INDEX('潜水記録'!$F$5:$F$3004,$AS310)))</f>
        <v/>
      </c>
      <c r="H310" s="14">
        <f>IF($A310="","",IF(INDEX('潜水記録'!$G$5:$G$3004,$AS310)="","",INDEX('潜水記録'!$G$5:$G$3004,$AS310)))</f>
        <v/>
      </c>
      <c r="I310" s="14">
        <f>IF($A310="","",IF(INDEX('潜水記録'!$H$5:$H$3004,$AS310)="","",INDEX('潜水記録'!$H$5:$H$3004,$AS310)))</f>
        <v/>
      </c>
      <c r="J310" s="14">
        <f>IF($A310="","",IF(INDEX('潜水記録'!$I$5:$I$3004,$AS310)="","",INDEX('潜水記録'!$I$5:$I$3004,$AS310)))</f>
        <v/>
      </c>
      <c r="K310" s="14">
        <f>IF($A310="","",IF(INDEX('潜水記録'!$J$5:$J$3004,$AS310)="","",INDEX('潜水記録'!$J$5:$J$3004,$AS310)))</f>
        <v/>
      </c>
      <c r="L310" s="14">
        <f>IF($A310="","",IF(INDEX('潜水記録'!$K$5:$K$3004,$AS310)="","",INDEX('潜水記録'!$K$5:$K$3004,$AS310)))</f>
        <v/>
      </c>
      <c r="M310" s="14">
        <f>IF($A310="","",IF(INDEX('潜水記録'!$L$5:$L$3004,$AS310)="","",INDEX('潜水記録'!$L$5:$L$3004,$AS310)))</f>
        <v/>
      </c>
      <c r="N310" s="14">
        <f>IF($A310="","",IF(INDEX('潜水記録'!$M$5:$M$3004,$AS310)="","",INDEX('潜水記録'!$M$5:$M$3004,$AS310)))</f>
        <v/>
      </c>
      <c r="O310" s="14">
        <f>IF($A310="","",IF(INDEX('潜水記録'!$N$5:$N$3004,$AS310)="","",INDEX('潜水記録'!$N$5:$N$3004,$AS310)))</f>
        <v/>
      </c>
      <c r="P310" s="14">
        <f>IF($A310="","",IF(INDEX('潜水記録'!$O$5:$O$3004,$AS310)="","",INDEX('潜水記録'!$O$5:$O$3004,$AS310)))</f>
        <v/>
      </c>
      <c r="Q310" s="14">
        <f>IF($A310="","",IF(INDEX('潜水記録'!$P$5:$P$3004,$AS310)="","",INDEX('潜水記録'!$P$5:$P$3004,$AS310)))</f>
        <v/>
      </c>
      <c r="R310" s="14">
        <f>IF($A310="","",IF(INDEX('潜水記録'!$Q$5:$Q$3004,$AS310)="","",INDEX('潜水記録'!$Q$5:$Q$3004,$AS310)))</f>
        <v/>
      </c>
      <c r="S310" s="14">
        <f>IF($A310="","",IF(INDEX('潜水記録'!$R$5:$R$3004,$AS310)="","",INDEX('潜水記録'!$R$5:$R$3004,$AS310)))</f>
        <v/>
      </c>
      <c r="T310" s="14">
        <f>IF($A310="","",IF(INDEX('潜水記録'!$S$5:$S$3004,$AS310)="","",INDEX('潜水記録'!$S$5:$S$3004,$AS310)))</f>
        <v/>
      </c>
      <c r="U310" s="14">
        <f>IF($A310="","",IF(INDEX('潜水記録'!$T$5:$T$3004,$AS310)="","",INDEX('潜水記録'!$T$5:$T$3004,$AS310)))</f>
        <v/>
      </c>
      <c r="V310" s="46">
        <f>IF($A310="","",IF(INDEX('潜水記録'!$U$5:$U$3004,$AS310)="","",INDEX('潜水記録'!$U$5:$U$3004,$AS310)))</f>
        <v/>
      </c>
      <c r="W310" s="46">
        <f>IF($A310="","",IF(INDEX('潜水記録'!$V$5:$V$3004,$AS310)="","",INDEX('潜水記録'!$V$5:$V$3004,$AS310)))</f>
        <v/>
      </c>
      <c r="X310" s="14">
        <f>IF($A310="","",IF(INDEX('潜水記録'!$W$5:$W$3004,$AS310)="","",INDEX('潜水記録'!$W$5:$W$3004,$AS310)))</f>
        <v/>
      </c>
      <c r="Y310" s="14">
        <f>IF($A310="","",IF(INDEX('潜水記録'!$X$5:$X$3004,$AS310)="","",INDEX('潜水記録'!$X$5:$X$3004,$AS310)))</f>
        <v/>
      </c>
      <c r="Z310" s="14">
        <f>IF($A310="","",IF(INDEX('潜水記録'!$Y$5:$Y$3004,$AS310)="","",INDEX('潜水記録'!$Y$5:$Y$3004,$AS310)))</f>
        <v/>
      </c>
      <c r="AA310" s="14">
        <f>IF($A310="","",IF(INDEX('潜水記録'!$Z$5:$Z$3004,$AS310)="","",INDEX('潜水記録'!$Z$5:$Z$3004,$AS310)))</f>
        <v/>
      </c>
      <c r="AB310" s="14">
        <f>IF($A310="","",IF(INDEX('潜水記録'!$AA$5:$AA$3004,$AS310)="","",INDEX('潜水記録'!$AA$5:$AA$3004,$AS310)))</f>
        <v/>
      </c>
      <c r="AC310" s="14">
        <f>IF($A310="","",IF(INDEX('潜水記録'!$AB$5:$AB$3004,$AS310)="","",INDEX('潜水記録'!$AB$5:$AB$3004,$AS310)))</f>
        <v/>
      </c>
      <c r="AD310" s="14">
        <f>IF($A310="","",IF(INDEX('潜水記録'!$AC$5:$AC$3004,$AS310)="","",INDEX('潜水記録'!$AC$5:$AC$3004,$AS310)))</f>
        <v/>
      </c>
      <c r="AE310" s="14">
        <f>IF($A310="","",IF(INDEX('潜水記録'!$AD$5:$AD$3004,$AS310)="","",INDEX('潜水記録'!$AD$5:$AD$3004,$AS310)))</f>
        <v/>
      </c>
      <c r="AF310" s="14">
        <f>IF($A310="","",IF(INDEX('潜水記録'!$AE$5:$AE$3004,$AS310)="","",INDEX('潜水記録'!$AE$5:$AE$3004,$AS310)))</f>
        <v/>
      </c>
      <c r="AG310" s="14">
        <f>IF($A310="","",IF(INDEX('潜水記録'!$AL$5:$AL$3004,$AS310)="","",INDEX('潜水記録'!$AL$5:$AL$3004,$AS310)))</f>
        <v/>
      </c>
      <c r="AH310" s="14">
        <f>IF($A310="","",IF(INDEX('潜水記録'!$AM$5:$AM$3004,$AS310)="","",INDEX('潜水記録'!$AM$5:$AM$3004,$AS310)))</f>
        <v/>
      </c>
      <c r="AI310" s="46">
        <f>IF($A310="","",IF(INDEX('潜水記録'!$AN$5:$AN$3004,$AS310)="","",INDEX('潜水記録'!$AN$5:$AN$3004,$AS310)))</f>
        <v/>
      </c>
      <c r="AJ310" s="14">
        <f>IF($A310="","",IF(INDEX('潜水記録'!$AO$5:$AO$3004,$AS310)="","",INDEX('潜水記録'!$AO$5:$AO$3004,$AS310)))</f>
        <v/>
      </c>
      <c r="AK310" s="14">
        <f>IF($A310="","",IF(INDEX('潜水記録'!$AP$5:$AP$3004,$AS310)="","",INDEX('潜水記録'!$AP$5:$AP$3004,$AS310)))</f>
        <v/>
      </c>
      <c r="AL310" s="14">
        <f>IF($A310="","",IF(INDEX('潜水記録'!$AQ$5:$AQ$3004,$AS310)="","",INDEX('潜水記録'!$AQ$5:$AQ$3004,$AS310)))</f>
        <v/>
      </c>
      <c r="AM310" s="14">
        <f>IF($A310="","",IF(INDEX('潜水記録'!$AR$5:$AR$3004,$AS310)="","",INDEX('潜水記録'!$AR$5:$AR$3004,$AS310)))</f>
        <v/>
      </c>
      <c r="AN310" s="14">
        <f>IF($A310="","",IF(INDEX('潜水記録'!$AS$5:$AS$3004,$AS310)="","",INDEX('潜水記録'!$AS$5:$AS$3004,$AS310)))</f>
        <v/>
      </c>
      <c r="AO310" s="14">
        <f>IF($A310="","",IF(INDEX('潜水記録'!$AT$5:$AT$3004,$AS310)="","",INDEX('潜水記録'!$AT$5:$AT$3004,$AS310)))</f>
        <v/>
      </c>
      <c r="AP310" s="14">
        <f>IF($A310="","",IF(INDEX('潜水記録'!$AU$5:$AU$3004,$AS310)="","",INDEX('潜水記録'!$AU$5:$AU$3004,$AS310)))</f>
        <v/>
      </c>
      <c r="AQ310" s="14">
        <f>IF($A310="","",IF(INDEX('潜水記録'!$AV$5:$AV$3004,$AS310)="","",INDEX('潜水記録'!$AV$5:$AV$3004,$AS310)))</f>
        <v/>
      </c>
      <c r="AR310" s="14">
        <f>IF($A310="","",IF(INDEX('潜水記録'!$AW$5:$AW$3004,$AS310)="","",INDEX('潜水記録'!$AW$5:$AW$3004,$AS310)))</f>
        <v/>
      </c>
      <c r="AS310" s="20">
        <f>IF($A310="","",MATCH($A310,'潜水記録'!$AI$5:$AI$3004,0))</f>
        <v/>
      </c>
    </row>
    <row r="311">
      <c r="A311" s="14">
        <f>IF(301&lt;=$C$8,301,"")</f>
        <v/>
      </c>
      <c r="B311" s="16">
        <f>IF($A311="","",IF(INDEX('潜水記録'!$A$5:$A$3004,$AS311)="","",INDEX('潜水記録'!$A$5:$A$3004,$AS311)))</f>
        <v/>
      </c>
      <c r="C311" s="14">
        <f>IF($A311="","",IF(INDEX('潜水記録'!$B$5:$B$3004,$AS311)="","",INDEX('潜水記録'!$B$5:$B$3004,$AS311)))</f>
        <v/>
      </c>
      <c r="D311" s="14">
        <f>IF($A311="","",IF(INDEX('潜水記録'!$C$5:$C$3004,$AS311)="","",INDEX('潜水記録'!$C$5:$C$3004,$AS311)))</f>
        <v/>
      </c>
      <c r="E311" s="14">
        <f>IF($A311="","",IF(INDEX('潜水記録'!$D$5:$D$3004,$AS311)="","",INDEX('潜水記録'!$D$5:$D$3004,$AS311)))</f>
        <v/>
      </c>
      <c r="F311" s="14">
        <f>IF($A311="","",IF(INDEX('潜水記録'!$E$5:$E$3004,$AS311)="","",INDEX('潜水記録'!$E$5:$E$3004,$AS311)))</f>
        <v/>
      </c>
      <c r="G311" s="14">
        <f>IF($A311="","",IF(INDEX('潜水記録'!$F$5:$F$3004,$AS311)="","",INDEX('潜水記録'!$F$5:$F$3004,$AS311)))</f>
        <v/>
      </c>
      <c r="H311" s="14">
        <f>IF($A311="","",IF(INDEX('潜水記録'!$G$5:$G$3004,$AS311)="","",INDEX('潜水記録'!$G$5:$G$3004,$AS311)))</f>
        <v/>
      </c>
      <c r="I311" s="14">
        <f>IF($A311="","",IF(INDEX('潜水記録'!$H$5:$H$3004,$AS311)="","",INDEX('潜水記録'!$H$5:$H$3004,$AS311)))</f>
        <v/>
      </c>
      <c r="J311" s="14">
        <f>IF($A311="","",IF(INDEX('潜水記録'!$I$5:$I$3004,$AS311)="","",INDEX('潜水記録'!$I$5:$I$3004,$AS311)))</f>
        <v/>
      </c>
      <c r="K311" s="14">
        <f>IF($A311="","",IF(INDEX('潜水記録'!$J$5:$J$3004,$AS311)="","",INDEX('潜水記録'!$J$5:$J$3004,$AS311)))</f>
        <v/>
      </c>
      <c r="L311" s="14">
        <f>IF($A311="","",IF(INDEX('潜水記録'!$K$5:$K$3004,$AS311)="","",INDEX('潜水記録'!$K$5:$K$3004,$AS311)))</f>
        <v/>
      </c>
      <c r="M311" s="14">
        <f>IF($A311="","",IF(INDEX('潜水記録'!$L$5:$L$3004,$AS311)="","",INDEX('潜水記録'!$L$5:$L$3004,$AS311)))</f>
        <v/>
      </c>
      <c r="N311" s="14">
        <f>IF($A311="","",IF(INDEX('潜水記録'!$M$5:$M$3004,$AS311)="","",INDEX('潜水記録'!$M$5:$M$3004,$AS311)))</f>
        <v/>
      </c>
      <c r="O311" s="14">
        <f>IF($A311="","",IF(INDEX('潜水記録'!$N$5:$N$3004,$AS311)="","",INDEX('潜水記録'!$N$5:$N$3004,$AS311)))</f>
        <v/>
      </c>
      <c r="P311" s="14">
        <f>IF($A311="","",IF(INDEX('潜水記録'!$O$5:$O$3004,$AS311)="","",INDEX('潜水記録'!$O$5:$O$3004,$AS311)))</f>
        <v/>
      </c>
      <c r="Q311" s="14">
        <f>IF($A311="","",IF(INDEX('潜水記録'!$P$5:$P$3004,$AS311)="","",INDEX('潜水記録'!$P$5:$P$3004,$AS311)))</f>
        <v/>
      </c>
      <c r="R311" s="14">
        <f>IF($A311="","",IF(INDEX('潜水記録'!$Q$5:$Q$3004,$AS311)="","",INDEX('潜水記録'!$Q$5:$Q$3004,$AS311)))</f>
        <v/>
      </c>
      <c r="S311" s="14">
        <f>IF($A311="","",IF(INDEX('潜水記録'!$R$5:$R$3004,$AS311)="","",INDEX('潜水記録'!$R$5:$R$3004,$AS311)))</f>
        <v/>
      </c>
      <c r="T311" s="14">
        <f>IF($A311="","",IF(INDEX('潜水記録'!$S$5:$S$3004,$AS311)="","",INDEX('潜水記録'!$S$5:$S$3004,$AS311)))</f>
        <v/>
      </c>
      <c r="U311" s="14">
        <f>IF($A311="","",IF(INDEX('潜水記録'!$T$5:$T$3004,$AS311)="","",INDEX('潜水記録'!$T$5:$T$3004,$AS311)))</f>
        <v/>
      </c>
      <c r="V311" s="46">
        <f>IF($A311="","",IF(INDEX('潜水記録'!$U$5:$U$3004,$AS311)="","",INDEX('潜水記録'!$U$5:$U$3004,$AS311)))</f>
        <v/>
      </c>
      <c r="W311" s="46">
        <f>IF($A311="","",IF(INDEX('潜水記録'!$V$5:$V$3004,$AS311)="","",INDEX('潜水記録'!$V$5:$V$3004,$AS311)))</f>
        <v/>
      </c>
      <c r="X311" s="14">
        <f>IF($A311="","",IF(INDEX('潜水記録'!$W$5:$W$3004,$AS311)="","",INDEX('潜水記録'!$W$5:$W$3004,$AS311)))</f>
        <v/>
      </c>
      <c r="Y311" s="14">
        <f>IF($A311="","",IF(INDEX('潜水記録'!$X$5:$X$3004,$AS311)="","",INDEX('潜水記録'!$X$5:$X$3004,$AS311)))</f>
        <v/>
      </c>
      <c r="Z311" s="14">
        <f>IF($A311="","",IF(INDEX('潜水記録'!$Y$5:$Y$3004,$AS311)="","",INDEX('潜水記録'!$Y$5:$Y$3004,$AS311)))</f>
        <v/>
      </c>
      <c r="AA311" s="14">
        <f>IF($A311="","",IF(INDEX('潜水記録'!$Z$5:$Z$3004,$AS311)="","",INDEX('潜水記録'!$Z$5:$Z$3004,$AS311)))</f>
        <v/>
      </c>
      <c r="AB311" s="14">
        <f>IF($A311="","",IF(INDEX('潜水記録'!$AA$5:$AA$3004,$AS311)="","",INDEX('潜水記録'!$AA$5:$AA$3004,$AS311)))</f>
        <v/>
      </c>
      <c r="AC311" s="14">
        <f>IF($A311="","",IF(INDEX('潜水記録'!$AB$5:$AB$3004,$AS311)="","",INDEX('潜水記録'!$AB$5:$AB$3004,$AS311)))</f>
        <v/>
      </c>
      <c r="AD311" s="14">
        <f>IF($A311="","",IF(INDEX('潜水記録'!$AC$5:$AC$3004,$AS311)="","",INDEX('潜水記録'!$AC$5:$AC$3004,$AS311)))</f>
        <v/>
      </c>
      <c r="AE311" s="14">
        <f>IF($A311="","",IF(INDEX('潜水記録'!$AD$5:$AD$3004,$AS311)="","",INDEX('潜水記録'!$AD$5:$AD$3004,$AS311)))</f>
        <v/>
      </c>
      <c r="AF311" s="14">
        <f>IF($A311="","",IF(INDEX('潜水記録'!$AE$5:$AE$3004,$AS311)="","",INDEX('潜水記録'!$AE$5:$AE$3004,$AS311)))</f>
        <v/>
      </c>
      <c r="AG311" s="14">
        <f>IF($A311="","",IF(INDEX('潜水記録'!$AL$5:$AL$3004,$AS311)="","",INDEX('潜水記録'!$AL$5:$AL$3004,$AS311)))</f>
        <v/>
      </c>
      <c r="AH311" s="14">
        <f>IF($A311="","",IF(INDEX('潜水記録'!$AM$5:$AM$3004,$AS311)="","",INDEX('潜水記録'!$AM$5:$AM$3004,$AS311)))</f>
        <v/>
      </c>
      <c r="AI311" s="46">
        <f>IF($A311="","",IF(INDEX('潜水記録'!$AN$5:$AN$3004,$AS311)="","",INDEX('潜水記録'!$AN$5:$AN$3004,$AS311)))</f>
        <v/>
      </c>
      <c r="AJ311" s="14">
        <f>IF($A311="","",IF(INDEX('潜水記録'!$AO$5:$AO$3004,$AS311)="","",INDEX('潜水記録'!$AO$5:$AO$3004,$AS311)))</f>
        <v/>
      </c>
      <c r="AK311" s="14">
        <f>IF($A311="","",IF(INDEX('潜水記録'!$AP$5:$AP$3004,$AS311)="","",INDEX('潜水記録'!$AP$5:$AP$3004,$AS311)))</f>
        <v/>
      </c>
      <c r="AL311" s="14">
        <f>IF($A311="","",IF(INDEX('潜水記録'!$AQ$5:$AQ$3004,$AS311)="","",INDEX('潜水記録'!$AQ$5:$AQ$3004,$AS311)))</f>
        <v/>
      </c>
      <c r="AM311" s="14">
        <f>IF($A311="","",IF(INDEX('潜水記録'!$AR$5:$AR$3004,$AS311)="","",INDEX('潜水記録'!$AR$5:$AR$3004,$AS311)))</f>
        <v/>
      </c>
      <c r="AN311" s="14">
        <f>IF($A311="","",IF(INDEX('潜水記録'!$AS$5:$AS$3004,$AS311)="","",INDEX('潜水記録'!$AS$5:$AS$3004,$AS311)))</f>
        <v/>
      </c>
      <c r="AO311" s="14">
        <f>IF($A311="","",IF(INDEX('潜水記録'!$AT$5:$AT$3004,$AS311)="","",INDEX('潜水記録'!$AT$5:$AT$3004,$AS311)))</f>
        <v/>
      </c>
      <c r="AP311" s="14">
        <f>IF($A311="","",IF(INDEX('潜水記録'!$AU$5:$AU$3004,$AS311)="","",INDEX('潜水記録'!$AU$5:$AU$3004,$AS311)))</f>
        <v/>
      </c>
      <c r="AQ311" s="14">
        <f>IF($A311="","",IF(INDEX('潜水記録'!$AV$5:$AV$3004,$AS311)="","",INDEX('潜水記録'!$AV$5:$AV$3004,$AS311)))</f>
        <v/>
      </c>
      <c r="AR311" s="14">
        <f>IF($A311="","",IF(INDEX('潜水記録'!$AW$5:$AW$3004,$AS311)="","",INDEX('潜水記録'!$AW$5:$AW$3004,$AS311)))</f>
        <v/>
      </c>
      <c r="AS311" s="20">
        <f>IF($A311="","",MATCH($A311,'潜水記録'!$AI$5:$AI$3004,0))</f>
        <v/>
      </c>
    </row>
    <row r="312">
      <c r="A312" s="14">
        <f>IF(302&lt;=$C$8,302,"")</f>
        <v/>
      </c>
      <c r="B312" s="16">
        <f>IF($A312="","",IF(INDEX('潜水記録'!$A$5:$A$3004,$AS312)="","",INDEX('潜水記録'!$A$5:$A$3004,$AS312)))</f>
        <v/>
      </c>
      <c r="C312" s="14">
        <f>IF($A312="","",IF(INDEX('潜水記録'!$B$5:$B$3004,$AS312)="","",INDEX('潜水記録'!$B$5:$B$3004,$AS312)))</f>
        <v/>
      </c>
      <c r="D312" s="14">
        <f>IF($A312="","",IF(INDEX('潜水記録'!$C$5:$C$3004,$AS312)="","",INDEX('潜水記録'!$C$5:$C$3004,$AS312)))</f>
        <v/>
      </c>
      <c r="E312" s="14">
        <f>IF($A312="","",IF(INDEX('潜水記録'!$D$5:$D$3004,$AS312)="","",INDEX('潜水記録'!$D$5:$D$3004,$AS312)))</f>
        <v/>
      </c>
      <c r="F312" s="14">
        <f>IF($A312="","",IF(INDEX('潜水記録'!$E$5:$E$3004,$AS312)="","",INDEX('潜水記録'!$E$5:$E$3004,$AS312)))</f>
        <v/>
      </c>
      <c r="G312" s="14">
        <f>IF($A312="","",IF(INDEX('潜水記録'!$F$5:$F$3004,$AS312)="","",INDEX('潜水記録'!$F$5:$F$3004,$AS312)))</f>
        <v/>
      </c>
      <c r="H312" s="14">
        <f>IF($A312="","",IF(INDEX('潜水記録'!$G$5:$G$3004,$AS312)="","",INDEX('潜水記録'!$G$5:$G$3004,$AS312)))</f>
        <v/>
      </c>
      <c r="I312" s="14">
        <f>IF($A312="","",IF(INDEX('潜水記録'!$H$5:$H$3004,$AS312)="","",INDEX('潜水記録'!$H$5:$H$3004,$AS312)))</f>
        <v/>
      </c>
      <c r="J312" s="14">
        <f>IF($A312="","",IF(INDEX('潜水記録'!$I$5:$I$3004,$AS312)="","",INDEX('潜水記録'!$I$5:$I$3004,$AS312)))</f>
        <v/>
      </c>
      <c r="K312" s="14">
        <f>IF($A312="","",IF(INDEX('潜水記録'!$J$5:$J$3004,$AS312)="","",INDEX('潜水記録'!$J$5:$J$3004,$AS312)))</f>
        <v/>
      </c>
      <c r="L312" s="14">
        <f>IF($A312="","",IF(INDEX('潜水記録'!$K$5:$K$3004,$AS312)="","",INDEX('潜水記録'!$K$5:$K$3004,$AS312)))</f>
        <v/>
      </c>
      <c r="M312" s="14">
        <f>IF($A312="","",IF(INDEX('潜水記録'!$L$5:$L$3004,$AS312)="","",INDEX('潜水記録'!$L$5:$L$3004,$AS312)))</f>
        <v/>
      </c>
      <c r="N312" s="14">
        <f>IF($A312="","",IF(INDEX('潜水記録'!$M$5:$M$3004,$AS312)="","",INDEX('潜水記録'!$M$5:$M$3004,$AS312)))</f>
        <v/>
      </c>
      <c r="O312" s="14">
        <f>IF($A312="","",IF(INDEX('潜水記録'!$N$5:$N$3004,$AS312)="","",INDEX('潜水記録'!$N$5:$N$3004,$AS312)))</f>
        <v/>
      </c>
      <c r="P312" s="14">
        <f>IF($A312="","",IF(INDEX('潜水記録'!$O$5:$O$3004,$AS312)="","",INDEX('潜水記録'!$O$5:$O$3004,$AS312)))</f>
        <v/>
      </c>
      <c r="Q312" s="14">
        <f>IF($A312="","",IF(INDEX('潜水記録'!$P$5:$P$3004,$AS312)="","",INDEX('潜水記録'!$P$5:$P$3004,$AS312)))</f>
        <v/>
      </c>
      <c r="R312" s="14">
        <f>IF($A312="","",IF(INDEX('潜水記録'!$Q$5:$Q$3004,$AS312)="","",INDEX('潜水記録'!$Q$5:$Q$3004,$AS312)))</f>
        <v/>
      </c>
      <c r="S312" s="14">
        <f>IF($A312="","",IF(INDEX('潜水記録'!$R$5:$R$3004,$AS312)="","",INDEX('潜水記録'!$R$5:$R$3004,$AS312)))</f>
        <v/>
      </c>
      <c r="T312" s="14">
        <f>IF($A312="","",IF(INDEX('潜水記録'!$S$5:$S$3004,$AS312)="","",INDEX('潜水記録'!$S$5:$S$3004,$AS312)))</f>
        <v/>
      </c>
      <c r="U312" s="14">
        <f>IF($A312="","",IF(INDEX('潜水記録'!$T$5:$T$3004,$AS312)="","",INDEX('潜水記録'!$T$5:$T$3004,$AS312)))</f>
        <v/>
      </c>
      <c r="V312" s="46">
        <f>IF($A312="","",IF(INDEX('潜水記録'!$U$5:$U$3004,$AS312)="","",INDEX('潜水記録'!$U$5:$U$3004,$AS312)))</f>
        <v/>
      </c>
      <c r="W312" s="46">
        <f>IF($A312="","",IF(INDEX('潜水記録'!$V$5:$V$3004,$AS312)="","",INDEX('潜水記録'!$V$5:$V$3004,$AS312)))</f>
        <v/>
      </c>
      <c r="X312" s="14">
        <f>IF($A312="","",IF(INDEX('潜水記録'!$W$5:$W$3004,$AS312)="","",INDEX('潜水記録'!$W$5:$W$3004,$AS312)))</f>
        <v/>
      </c>
      <c r="Y312" s="14">
        <f>IF($A312="","",IF(INDEX('潜水記録'!$X$5:$X$3004,$AS312)="","",INDEX('潜水記録'!$X$5:$X$3004,$AS312)))</f>
        <v/>
      </c>
      <c r="Z312" s="14">
        <f>IF($A312="","",IF(INDEX('潜水記録'!$Y$5:$Y$3004,$AS312)="","",INDEX('潜水記録'!$Y$5:$Y$3004,$AS312)))</f>
        <v/>
      </c>
      <c r="AA312" s="14">
        <f>IF($A312="","",IF(INDEX('潜水記録'!$Z$5:$Z$3004,$AS312)="","",INDEX('潜水記録'!$Z$5:$Z$3004,$AS312)))</f>
        <v/>
      </c>
      <c r="AB312" s="14">
        <f>IF($A312="","",IF(INDEX('潜水記録'!$AA$5:$AA$3004,$AS312)="","",INDEX('潜水記録'!$AA$5:$AA$3004,$AS312)))</f>
        <v/>
      </c>
      <c r="AC312" s="14">
        <f>IF($A312="","",IF(INDEX('潜水記録'!$AB$5:$AB$3004,$AS312)="","",INDEX('潜水記録'!$AB$5:$AB$3004,$AS312)))</f>
        <v/>
      </c>
      <c r="AD312" s="14">
        <f>IF($A312="","",IF(INDEX('潜水記録'!$AC$5:$AC$3004,$AS312)="","",INDEX('潜水記録'!$AC$5:$AC$3004,$AS312)))</f>
        <v/>
      </c>
      <c r="AE312" s="14">
        <f>IF($A312="","",IF(INDEX('潜水記録'!$AD$5:$AD$3004,$AS312)="","",INDEX('潜水記録'!$AD$5:$AD$3004,$AS312)))</f>
        <v/>
      </c>
      <c r="AF312" s="14">
        <f>IF($A312="","",IF(INDEX('潜水記録'!$AE$5:$AE$3004,$AS312)="","",INDEX('潜水記録'!$AE$5:$AE$3004,$AS312)))</f>
        <v/>
      </c>
      <c r="AG312" s="14">
        <f>IF($A312="","",IF(INDEX('潜水記録'!$AL$5:$AL$3004,$AS312)="","",INDEX('潜水記録'!$AL$5:$AL$3004,$AS312)))</f>
        <v/>
      </c>
      <c r="AH312" s="14">
        <f>IF($A312="","",IF(INDEX('潜水記録'!$AM$5:$AM$3004,$AS312)="","",INDEX('潜水記録'!$AM$5:$AM$3004,$AS312)))</f>
        <v/>
      </c>
      <c r="AI312" s="46">
        <f>IF($A312="","",IF(INDEX('潜水記録'!$AN$5:$AN$3004,$AS312)="","",INDEX('潜水記録'!$AN$5:$AN$3004,$AS312)))</f>
        <v/>
      </c>
      <c r="AJ312" s="14">
        <f>IF($A312="","",IF(INDEX('潜水記録'!$AO$5:$AO$3004,$AS312)="","",INDEX('潜水記録'!$AO$5:$AO$3004,$AS312)))</f>
        <v/>
      </c>
      <c r="AK312" s="14">
        <f>IF($A312="","",IF(INDEX('潜水記録'!$AP$5:$AP$3004,$AS312)="","",INDEX('潜水記録'!$AP$5:$AP$3004,$AS312)))</f>
        <v/>
      </c>
      <c r="AL312" s="14">
        <f>IF($A312="","",IF(INDEX('潜水記録'!$AQ$5:$AQ$3004,$AS312)="","",INDEX('潜水記録'!$AQ$5:$AQ$3004,$AS312)))</f>
        <v/>
      </c>
      <c r="AM312" s="14">
        <f>IF($A312="","",IF(INDEX('潜水記録'!$AR$5:$AR$3004,$AS312)="","",INDEX('潜水記録'!$AR$5:$AR$3004,$AS312)))</f>
        <v/>
      </c>
      <c r="AN312" s="14">
        <f>IF($A312="","",IF(INDEX('潜水記録'!$AS$5:$AS$3004,$AS312)="","",INDEX('潜水記録'!$AS$5:$AS$3004,$AS312)))</f>
        <v/>
      </c>
      <c r="AO312" s="14">
        <f>IF($A312="","",IF(INDEX('潜水記録'!$AT$5:$AT$3004,$AS312)="","",INDEX('潜水記録'!$AT$5:$AT$3004,$AS312)))</f>
        <v/>
      </c>
      <c r="AP312" s="14">
        <f>IF($A312="","",IF(INDEX('潜水記録'!$AU$5:$AU$3004,$AS312)="","",INDEX('潜水記録'!$AU$5:$AU$3004,$AS312)))</f>
        <v/>
      </c>
      <c r="AQ312" s="14">
        <f>IF($A312="","",IF(INDEX('潜水記録'!$AV$5:$AV$3004,$AS312)="","",INDEX('潜水記録'!$AV$5:$AV$3004,$AS312)))</f>
        <v/>
      </c>
      <c r="AR312" s="14">
        <f>IF($A312="","",IF(INDEX('潜水記録'!$AW$5:$AW$3004,$AS312)="","",INDEX('潜水記録'!$AW$5:$AW$3004,$AS312)))</f>
        <v/>
      </c>
      <c r="AS312" s="20">
        <f>IF($A312="","",MATCH($A312,'潜水記録'!$AI$5:$AI$3004,0))</f>
        <v/>
      </c>
    </row>
    <row r="313">
      <c r="A313" s="14">
        <f>IF(303&lt;=$C$8,303,"")</f>
        <v/>
      </c>
      <c r="B313" s="16">
        <f>IF($A313="","",IF(INDEX('潜水記録'!$A$5:$A$3004,$AS313)="","",INDEX('潜水記録'!$A$5:$A$3004,$AS313)))</f>
        <v/>
      </c>
      <c r="C313" s="14">
        <f>IF($A313="","",IF(INDEX('潜水記録'!$B$5:$B$3004,$AS313)="","",INDEX('潜水記録'!$B$5:$B$3004,$AS313)))</f>
        <v/>
      </c>
      <c r="D313" s="14">
        <f>IF($A313="","",IF(INDEX('潜水記録'!$C$5:$C$3004,$AS313)="","",INDEX('潜水記録'!$C$5:$C$3004,$AS313)))</f>
        <v/>
      </c>
      <c r="E313" s="14">
        <f>IF($A313="","",IF(INDEX('潜水記録'!$D$5:$D$3004,$AS313)="","",INDEX('潜水記録'!$D$5:$D$3004,$AS313)))</f>
        <v/>
      </c>
      <c r="F313" s="14">
        <f>IF($A313="","",IF(INDEX('潜水記録'!$E$5:$E$3004,$AS313)="","",INDEX('潜水記録'!$E$5:$E$3004,$AS313)))</f>
        <v/>
      </c>
      <c r="G313" s="14">
        <f>IF($A313="","",IF(INDEX('潜水記録'!$F$5:$F$3004,$AS313)="","",INDEX('潜水記録'!$F$5:$F$3004,$AS313)))</f>
        <v/>
      </c>
      <c r="H313" s="14">
        <f>IF($A313="","",IF(INDEX('潜水記録'!$G$5:$G$3004,$AS313)="","",INDEX('潜水記録'!$G$5:$G$3004,$AS313)))</f>
        <v/>
      </c>
      <c r="I313" s="14">
        <f>IF($A313="","",IF(INDEX('潜水記録'!$H$5:$H$3004,$AS313)="","",INDEX('潜水記録'!$H$5:$H$3004,$AS313)))</f>
        <v/>
      </c>
      <c r="J313" s="14">
        <f>IF($A313="","",IF(INDEX('潜水記録'!$I$5:$I$3004,$AS313)="","",INDEX('潜水記録'!$I$5:$I$3004,$AS313)))</f>
        <v/>
      </c>
      <c r="K313" s="14">
        <f>IF($A313="","",IF(INDEX('潜水記録'!$J$5:$J$3004,$AS313)="","",INDEX('潜水記録'!$J$5:$J$3004,$AS313)))</f>
        <v/>
      </c>
      <c r="L313" s="14">
        <f>IF($A313="","",IF(INDEX('潜水記録'!$K$5:$K$3004,$AS313)="","",INDEX('潜水記録'!$K$5:$K$3004,$AS313)))</f>
        <v/>
      </c>
      <c r="M313" s="14">
        <f>IF($A313="","",IF(INDEX('潜水記録'!$L$5:$L$3004,$AS313)="","",INDEX('潜水記録'!$L$5:$L$3004,$AS313)))</f>
        <v/>
      </c>
      <c r="N313" s="14">
        <f>IF($A313="","",IF(INDEX('潜水記録'!$M$5:$M$3004,$AS313)="","",INDEX('潜水記録'!$M$5:$M$3004,$AS313)))</f>
        <v/>
      </c>
      <c r="O313" s="14">
        <f>IF($A313="","",IF(INDEX('潜水記録'!$N$5:$N$3004,$AS313)="","",INDEX('潜水記録'!$N$5:$N$3004,$AS313)))</f>
        <v/>
      </c>
      <c r="P313" s="14">
        <f>IF($A313="","",IF(INDEX('潜水記録'!$O$5:$O$3004,$AS313)="","",INDEX('潜水記録'!$O$5:$O$3004,$AS313)))</f>
        <v/>
      </c>
      <c r="Q313" s="14">
        <f>IF($A313="","",IF(INDEX('潜水記録'!$P$5:$P$3004,$AS313)="","",INDEX('潜水記録'!$P$5:$P$3004,$AS313)))</f>
        <v/>
      </c>
      <c r="R313" s="14">
        <f>IF($A313="","",IF(INDEX('潜水記録'!$Q$5:$Q$3004,$AS313)="","",INDEX('潜水記録'!$Q$5:$Q$3004,$AS313)))</f>
        <v/>
      </c>
      <c r="S313" s="14">
        <f>IF($A313="","",IF(INDEX('潜水記録'!$R$5:$R$3004,$AS313)="","",INDEX('潜水記録'!$R$5:$R$3004,$AS313)))</f>
        <v/>
      </c>
      <c r="T313" s="14">
        <f>IF($A313="","",IF(INDEX('潜水記録'!$S$5:$S$3004,$AS313)="","",INDEX('潜水記録'!$S$5:$S$3004,$AS313)))</f>
        <v/>
      </c>
      <c r="U313" s="14">
        <f>IF($A313="","",IF(INDEX('潜水記録'!$T$5:$T$3004,$AS313)="","",INDEX('潜水記録'!$T$5:$T$3004,$AS313)))</f>
        <v/>
      </c>
      <c r="V313" s="46">
        <f>IF($A313="","",IF(INDEX('潜水記録'!$U$5:$U$3004,$AS313)="","",INDEX('潜水記録'!$U$5:$U$3004,$AS313)))</f>
        <v/>
      </c>
      <c r="W313" s="46">
        <f>IF($A313="","",IF(INDEX('潜水記録'!$V$5:$V$3004,$AS313)="","",INDEX('潜水記録'!$V$5:$V$3004,$AS313)))</f>
        <v/>
      </c>
      <c r="X313" s="14">
        <f>IF($A313="","",IF(INDEX('潜水記録'!$W$5:$W$3004,$AS313)="","",INDEX('潜水記録'!$W$5:$W$3004,$AS313)))</f>
        <v/>
      </c>
      <c r="Y313" s="14">
        <f>IF($A313="","",IF(INDEX('潜水記録'!$X$5:$X$3004,$AS313)="","",INDEX('潜水記録'!$X$5:$X$3004,$AS313)))</f>
        <v/>
      </c>
      <c r="Z313" s="14">
        <f>IF($A313="","",IF(INDEX('潜水記録'!$Y$5:$Y$3004,$AS313)="","",INDEX('潜水記録'!$Y$5:$Y$3004,$AS313)))</f>
        <v/>
      </c>
      <c r="AA313" s="14">
        <f>IF($A313="","",IF(INDEX('潜水記録'!$Z$5:$Z$3004,$AS313)="","",INDEX('潜水記録'!$Z$5:$Z$3004,$AS313)))</f>
        <v/>
      </c>
      <c r="AB313" s="14">
        <f>IF($A313="","",IF(INDEX('潜水記録'!$AA$5:$AA$3004,$AS313)="","",INDEX('潜水記録'!$AA$5:$AA$3004,$AS313)))</f>
        <v/>
      </c>
      <c r="AC313" s="14">
        <f>IF($A313="","",IF(INDEX('潜水記録'!$AB$5:$AB$3004,$AS313)="","",INDEX('潜水記録'!$AB$5:$AB$3004,$AS313)))</f>
        <v/>
      </c>
      <c r="AD313" s="14">
        <f>IF($A313="","",IF(INDEX('潜水記録'!$AC$5:$AC$3004,$AS313)="","",INDEX('潜水記録'!$AC$5:$AC$3004,$AS313)))</f>
        <v/>
      </c>
      <c r="AE313" s="14">
        <f>IF($A313="","",IF(INDEX('潜水記録'!$AD$5:$AD$3004,$AS313)="","",INDEX('潜水記録'!$AD$5:$AD$3004,$AS313)))</f>
        <v/>
      </c>
      <c r="AF313" s="14">
        <f>IF($A313="","",IF(INDEX('潜水記録'!$AE$5:$AE$3004,$AS313)="","",INDEX('潜水記録'!$AE$5:$AE$3004,$AS313)))</f>
        <v/>
      </c>
      <c r="AG313" s="14">
        <f>IF($A313="","",IF(INDEX('潜水記録'!$AL$5:$AL$3004,$AS313)="","",INDEX('潜水記録'!$AL$5:$AL$3004,$AS313)))</f>
        <v/>
      </c>
      <c r="AH313" s="14">
        <f>IF($A313="","",IF(INDEX('潜水記録'!$AM$5:$AM$3004,$AS313)="","",INDEX('潜水記録'!$AM$5:$AM$3004,$AS313)))</f>
        <v/>
      </c>
      <c r="AI313" s="46">
        <f>IF($A313="","",IF(INDEX('潜水記録'!$AN$5:$AN$3004,$AS313)="","",INDEX('潜水記録'!$AN$5:$AN$3004,$AS313)))</f>
        <v/>
      </c>
      <c r="AJ313" s="14">
        <f>IF($A313="","",IF(INDEX('潜水記録'!$AO$5:$AO$3004,$AS313)="","",INDEX('潜水記録'!$AO$5:$AO$3004,$AS313)))</f>
        <v/>
      </c>
      <c r="AK313" s="14">
        <f>IF($A313="","",IF(INDEX('潜水記録'!$AP$5:$AP$3004,$AS313)="","",INDEX('潜水記録'!$AP$5:$AP$3004,$AS313)))</f>
        <v/>
      </c>
      <c r="AL313" s="14">
        <f>IF($A313="","",IF(INDEX('潜水記録'!$AQ$5:$AQ$3004,$AS313)="","",INDEX('潜水記録'!$AQ$5:$AQ$3004,$AS313)))</f>
        <v/>
      </c>
      <c r="AM313" s="14">
        <f>IF($A313="","",IF(INDEX('潜水記録'!$AR$5:$AR$3004,$AS313)="","",INDEX('潜水記録'!$AR$5:$AR$3004,$AS313)))</f>
        <v/>
      </c>
      <c r="AN313" s="14">
        <f>IF($A313="","",IF(INDEX('潜水記録'!$AS$5:$AS$3004,$AS313)="","",INDEX('潜水記録'!$AS$5:$AS$3004,$AS313)))</f>
        <v/>
      </c>
      <c r="AO313" s="14">
        <f>IF($A313="","",IF(INDEX('潜水記録'!$AT$5:$AT$3004,$AS313)="","",INDEX('潜水記録'!$AT$5:$AT$3004,$AS313)))</f>
        <v/>
      </c>
      <c r="AP313" s="14">
        <f>IF($A313="","",IF(INDEX('潜水記録'!$AU$5:$AU$3004,$AS313)="","",INDEX('潜水記録'!$AU$5:$AU$3004,$AS313)))</f>
        <v/>
      </c>
      <c r="AQ313" s="14">
        <f>IF($A313="","",IF(INDEX('潜水記録'!$AV$5:$AV$3004,$AS313)="","",INDEX('潜水記録'!$AV$5:$AV$3004,$AS313)))</f>
        <v/>
      </c>
      <c r="AR313" s="14">
        <f>IF($A313="","",IF(INDEX('潜水記録'!$AW$5:$AW$3004,$AS313)="","",INDEX('潜水記録'!$AW$5:$AW$3004,$AS313)))</f>
        <v/>
      </c>
      <c r="AS313" s="20">
        <f>IF($A313="","",MATCH($A313,'潜水記録'!$AI$5:$AI$3004,0))</f>
        <v/>
      </c>
    </row>
    <row r="314">
      <c r="A314" s="14">
        <f>IF(304&lt;=$C$8,304,"")</f>
        <v/>
      </c>
      <c r="B314" s="16">
        <f>IF($A314="","",IF(INDEX('潜水記録'!$A$5:$A$3004,$AS314)="","",INDEX('潜水記録'!$A$5:$A$3004,$AS314)))</f>
        <v/>
      </c>
      <c r="C314" s="14">
        <f>IF($A314="","",IF(INDEX('潜水記録'!$B$5:$B$3004,$AS314)="","",INDEX('潜水記録'!$B$5:$B$3004,$AS314)))</f>
        <v/>
      </c>
      <c r="D314" s="14">
        <f>IF($A314="","",IF(INDEX('潜水記録'!$C$5:$C$3004,$AS314)="","",INDEX('潜水記録'!$C$5:$C$3004,$AS314)))</f>
        <v/>
      </c>
      <c r="E314" s="14">
        <f>IF($A314="","",IF(INDEX('潜水記録'!$D$5:$D$3004,$AS314)="","",INDEX('潜水記録'!$D$5:$D$3004,$AS314)))</f>
        <v/>
      </c>
      <c r="F314" s="14">
        <f>IF($A314="","",IF(INDEX('潜水記録'!$E$5:$E$3004,$AS314)="","",INDEX('潜水記録'!$E$5:$E$3004,$AS314)))</f>
        <v/>
      </c>
      <c r="G314" s="14">
        <f>IF($A314="","",IF(INDEX('潜水記録'!$F$5:$F$3004,$AS314)="","",INDEX('潜水記録'!$F$5:$F$3004,$AS314)))</f>
        <v/>
      </c>
      <c r="H314" s="14">
        <f>IF($A314="","",IF(INDEX('潜水記録'!$G$5:$G$3004,$AS314)="","",INDEX('潜水記録'!$G$5:$G$3004,$AS314)))</f>
        <v/>
      </c>
      <c r="I314" s="14">
        <f>IF($A314="","",IF(INDEX('潜水記録'!$H$5:$H$3004,$AS314)="","",INDEX('潜水記録'!$H$5:$H$3004,$AS314)))</f>
        <v/>
      </c>
      <c r="J314" s="14">
        <f>IF($A314="","",IF(INDEX('潜水記録'!$I$5:$I$3004,$AS314)="","",INDEX('潜水記録'!$I$5:$I$3004,$AS314)))</f>
        <v/>
      </c>
      <c r="K314" s="14">
        <f>IF($A314="","",IF(INDEX('潜水記録'!$J$5:$J$3004,$AS314)="","",INDEX('潜水記録'!$J$5:$J$3004,$AS314)))</f>
        <v/>
      </c>
      <c r="L314" s="14">
        <f>IF($A314="","",IF(INDEX('潜水記録'!$K$5:$K$3004,$AS314)="","",INDEX('潜水記録'!$K$5:$K$3004,$AS314)))</f>
        <v/>
      </c>
      <c r="M314" s="14">
        <f>IF($A314="","",IF(INDEX('潜水記録'!$L$5:$L$3004,$AS314)="","",INDEX('潜水記録'!$L$5:$L$3004,$AS314)))</f>
        <v/>
      </c>
      <c r="N314" s="14">
        <f>IF($A314="","",IF(INDEX('潜水記録'!$M$5:$M$3004,$AS314)="","",INDEX('潜水記録'!$M$5:$M$3004,$AS314)))</f>
        <v/>
      </c>
      <c r="O314" s="14">
        <f>IF($A314="","",IF(INDEX('潜水記録'!$N$5:$N$3004,$AS314)="","",INDEX('潜水記録'!$N$5:$N$3004,$AS314)))</f>
        <v/>
      </c>
      <c r="P314" s="14">
        <f>IF($A314="","",IF(INDEX('潜水記録'!$O$5:$O$3004,$AS314)="","",INDEX('潜水記録'!$O$5:$O$3004,$AS314)))</f>
        <v/>
      </c>
      <c r="Q314" s="14">
        <f>IF($A314="","",IF(INDEX('潜水記録'!$P$5:$P$3004,$AS314)="","",INDEX('潜水記録'!$P$5:$P$3004,$AS314)))</f>
        <v/>
      </c>
      <c r="R314" s="14">
        <f>IF($A314="","",IF(INDEX('潜水記録'!$Q$5:$Q$3004,$AS314)="","",INDEX('潜水記録'!$Q$5:$Q$3004,$AS314)))</f>
        <v/>
      </c>
      <c r="S314" s="14">
        <f>IF($A314="","",IF(INDEX('潜水記録'!$R$5:$R$3004,$AS314)="","",INDEX('潜水記録'!$R$5:$R$3004,$AS314)))</f>
        <v/>
      </c>
      <c r="T314" s="14">
        <f>IF($A314="","",IF(INDEX('潜水記録'!$S$5:$S$3004,$AS314)="","",INDEX('潜水記録'!$S$5:$S$3004,$AS314)))</f>
        <v/>
      </c>
      <c r="U314" s="14">
        <f>IF($A314="","",IF(INDEX('潜水記録'!$T$5:$T$3004,$AS314)="","",INDEX('潜水記録'!$T$5:$T$3004,$AS314)))</f>
        <v/>
      </c>
      <c r="V314" s="46">
        <f>IF($A314="","",IF(INDEX('潜水記録'!$U$5:$U$3004,$AS314)="","",INDEX('潜水記録'!$U$5:$U$3004,$AS314)))</f>
        <v/>
      </c>
      <c r="W314" s="46">
        <f>IF($A314="","",IF(INDEX('潜水記録'!$V$5:$V$3004,$AS314)="","",INDEX('潜水記録'!$V$5:$V$3004,$AS314)))</f>
        <v/>
      </c>
      <c r="X314" s="14">
        <f>IF($A314="","",IF(INDEX('潜水記録'!$W$5:$W$3004,$AS314)="","",INDEX('潜水記録'!$W$5:$W$3004,$AS314)))</f>
        <v/>
      </c>
      <c r="Y314" s="14">
        <f>IF($A314="","",IF(INDEX('潜水記録'!$X$5:$X$3004,$AS314)="","",INDEX('潜水記録'!$X$5:$X$3004,$AS314)))</f>
        <v/>
      </c>
      <c r="Z314" s="14">
        <f>IF($A314="","",IF(INDEX('潜水記録'!$Y$5:$Y$3004,$AS314)="","",INDEX('潜水記録'!$Y$5:$Y$3004,$AS314)))</f>
        <v/>
      </c>
      <c r="AA314" s="14">
        <f>IF($A314="","",IF(INDEX('潜水記録'!$Z$5:$Z$3004,$AS314)="","",INDEX('潜水記録'!$Z$5:$Z$3004,$AS314)))</f>
        <v/>
      </c>
      <c r="AB314" s="14">
        <f>IF($A314="","",IF(INDEX('潜水記録'!$AA$5:$AA$3004,$AS314)="","",INDEX('潜水記録'!$AA$5:$AA$3004,$AS314)))</f>
        <v/>
      </c>
      <c r="AC314" s="14">
        <f>IF($A314="","",IF(INDEX('潜水記録'!$AB$5:$AB$3004,$AS314)="","",INDEX('潜水記録'!$AB$5:$AB$3004,$AS314)))</f>
        <v/>
      </c>
      <c r="AD314" s="14">
        <f>IF($A314="","",IF(INDEX('潜水記録'!$AC$5:$AC$3004,$AS314)="","",INDEX('潜水記録'!$AC$5:$AC$3004,$AS314)))</f>
        <v/>
      </c>
      <c r="AE314" s="14">
        <f>IF($A314="","",IF(INDEX('潜水記録'!$AD$5:$AD$3004,$AS314)="","",INDEX('潜水記録'!$AD$5:$AD$3004,$AS314)))</f>
        <v/>
      </c>
      <c r="AF314" s="14">
        <f>IF($A314="","",IF(INDEX('潜水記録'!$AE$5:$AE$3004,$AS314)="","",INDEX('潜水記録'!$AE$5:$AE$3004,$AS314)))</f>
        <v/>
      </c>
      <c r="AG314" s="14">
        <f>IF($A314="","",IF(INDEX('潜水記録'!$AL$5:$AL$3004,$AS314)="","",INDEX('潜水記録'!$AL$5:$AL$3004,$AS314)))</f>
        <v/>
      </c>
      <c r="AH314" s="14">
        <f>IF($A314="","",IF(INDEX('潜水記録'!$AM$5:$AM$3004,$AS314)="","",INDEX('潜水記録'!$AM$5:$AM$3004,$AS314)))</f>
        <v/>
      </c>
      <c r="AI314" s="46">
        <f>IF($A314="","",IF(INDEX('潜水記録'!$AN$5:$AN$3004,$AS314)="","",INDEX('潜水記録'!$AN$5:$AN$3004,$AS314)))</f>
        <v/>
      </c>
      <c r="AJ314" s="14">
        <f>IF($A314="","",IF(INDEX('潜水記録'!$AO$5:$AO$3004,$AS314)="","",INDEX('潜水記録'!$AO$5:$AO$3004,$AS314)))</f>
        <v/>
      </c>
      <c r="AK314" s="14">
        <f>IF($A314="","",IF(INDEX('潜水記録'!$AP$5:$AP$3004,$AS314)="","",INDEX('潜水記録'!$AP$5:$AP$3004,$AS314)))</f>
        <v/>
      </c>
      <c r="AL314" s="14">
        <f>IF($A314="","",IF(INDEX('潜水記録'!$AQ$5:$AQ$3004,$AS314)="","",INDEX('潜水記録'!$AQ$5:$AQ$3004,$AS314)))</f>
        <v/>
      </c>
      <c r="AM314" s="14">
        <f>IF($A314="","",IF(INDEX('潜水記録'!$AR$5:$AR$3004,$AS314)="","",INDEX('潜水記録'!$AR$5:$AR$3004,$AS314)))</f>
        <v/>
      </c>
      <c r="AN314" s="14">
        <f>IF($A314="","",IF(INDEX('潜水記録'!$AS$5:$AS$3004,$AS314)="","",INDEX('潜水記録'!$AS$5:$AS$3004,$AS314)))</f>
        <v/>
      </c>
      <c r="AO314" s="14">
        <f>IF($A314="","",IF(INDEX('潜水記録'!$AT$5:$AT$3004,$AS314)="","",INDEX('潜水記録'!$AT$5:$AT$3004,$AS314)))</f>
        <v/>
      </c>
      <c r="AP314" s="14">
        <f>IF($A314="","",IF(INDEX('潜水記録'!$AU$5:$AU$3004,$AS314)="","",INDEX('潜水記録'!$AU$5:$AU$3004,$AS314)))</f>
        <v/>
      </c>
      <c r="AQ314" s="14">
        <f>IF($A314="","",IF(INDEX('潜水記録'!$AV$5:$AV$3004,$AS314)="","",INDEX('潜水記録'!$AV$5:$AV$3004,$AS314)))</f>
        <v/>
      </c>
      <c r="AR314" s="14">
        <f>IF($A314="","",IF(INDEX('潜水記録'!$AW$5:$AW$3004,$AS314)="","",INDEX('潜水記録'!$AW$5:$AW$3004,$AS314)))</f>
        <v/>
      </c>
      <c r="AS314" s="20">
        <f>IF($A314="","",MATCH($A314,'潜水記録'!$AI$5:$AI$3004,0))</f>
        <v/>
      </c>
    </row>
    <row r="315">
      <c r="A315" s="14">
        <f>IF(305&lt;=$C$8,305,"")</f>
        <v/>
      </c>
      <c r="B315" s="16">
        <f>IF($A315="","",IF(INDEX('潜水記録'!$A$5:$A$3004,$AS315)="","",INDEX('潜水記録'!$A$5:$A$3004,$AS315)))</f>
        <v/>
      </c>
      <c r="C315" s="14">
        <f>IF($A315="","",IF(INDEX('潜水記録'!$B$5:$B$3004,$AS315)="","",INDEX('潜水記録'!$B$5:$B$3004,$AS315)))</f>
        <v/>
      </c>
      <c r="D315" s="14">
        <f>IF($A315="","",IF(INDEX('潜水記録'!$C$5:$C$3004,$AS315)="","",INDEX('潜水記録'!$C$5:$C$3004,$AS315)))</f>
        <v/>
      </c>
      <c r="E315" s="14">
        <f>IF($A315="","",IF(INDEX('潜水記録'!$D$5:$D$3004,$AS315)="","",INDEX('潜水記録'!$D$5:$D$3004,$AS315)))</f>
        <v/>
      </c>
      <c r="F315" s="14">
        <f>IF($A315="","",IF(INDEX('潜水記録'!$E$5:$E$3004,$AS315)="","",INDEX('潜水記録'!$E$5:$E$3004,$AS315)))</f>
        <v/>
      </c>
      <c r="G315" s="14">
        <f>IF($A315="","",IF(INDEX('潜水記録'!$F$5:$F$3004,$AS315)="","",INDEX('潜水記録'!$F$5:$F$3004,$AS315)))</f>
        <v/>
      </c>
      <c r="H315" s="14">
        <f>IF($A315="","",IF(INDEX('潜水記録'!$G$5:$G$3004,$AS315)="","",INDEX('潜水記録'!$G$5:$G$3004,$AS315)))</f>
        <v/>
      </c>
      <c r="I315" s="14">
        <f>IF($A315="","",IF(INDEX('潜水記録'!$H$5:$H$3004,$AS315)="","",INDEX('潜水記録'!$H$5:$H$3004,$AS315)))</f>
        <v/>
      </c>
      <c r="J315" s="14">
        <f>IF($A315="","",IF(INDEX('潜水記録'!$I$5:$I$3004,$AS315)="","",INDEX('潜水記録'!$I$5:$I$3004,$AS315)))</f>
        <v/>
      </c>
      <c r="K315" s="14">
        <f>IF($A315="","",IF(INDEX('潜水記録'!$J$5:$J$3004,$AS315)="","",INDEX('潜水記録'!$J$5:$J$3004,$AS315)))</f>
        <v/>
      </c>
      <c r="L315" s="14">
        <f>IF($A315="","",IF(INDEX('潜水記録'!$K$5:$K$3004,$AS315)="","",INDEX('潜水記録'!$K$5:$K$3004,$AS315)))</f>
        <v/>
      </c>
      <c r="M315" s="14">
        <f>IF($A315="","",IF(INDEX('潜水記録'!$L$5:$L$3004,$AS315)="","",INDEX('潜水記録'!$L$5:$L$3004,$AS315)))</f>
        <v/>
      </c>
      <c r="N315" s="14">
        <f>IF($A315="","",IF(INDEX('潜水記録'!$M$5:$M$3004,$AS315)="","",INDEX('潜水記録'!$M$5:$M$3004,$AS315)))</f>
        <v/>
      </c>
      <c r="O315" s="14">
        <f>IF($A315="","",IF(INDEX('潜水記録'!$N$5:$N$3004,$AS315)="","",INDEX('潜水記録'!$N$5:$N$3004,$AS315)))</f>
        <v/>
      </c>
      <c r="P315" s="14">
        <f>IF($A315="","",IF(INDEX('潜水記録'!$O$5:$O$3004,$AS315)="","",INDEX('潜水記録'!$O$5:$O$3004,$AS315)))</f>
        <v/>
      </c>
      <c r="Q315" s="14">
        <f>IF($A315="","",IF(INDEX('潜水記録'!$P$5:$P$3004,$AS315)="","",INDEX('潜水記録'!$P$5:$P$3004,$AS315)))</f>
        <v/>
      </c>
      <c r="R315" s="14">
        <f>IF($A315="","",IF(INDEX('潜水記録'!$Q$5:$Q$3004,$AS315)="","",INDEX('潜水記録'!$Q$5:$Q$3004,$AS315)))</f>
        <v/>
      </c>
      <c r="S315" s="14">
        <f>IF($A315="","",IF(INDEX('潜水記録'!$R$5:$R$3004,$AS315)="","",INDEX('潜水記録'!$R$5:$R$3004,$AS315)))</f>
        <v/>
      </c>
      <c r="T315" s="14">
        <f>IF($A315="","",IF(INDEX('潜水記録'!$S$5:$S$3004,$AS315)="","",INDEX('潜水記録'!$S$5:$S$3004,$AS315)))</f>
        <v/>
      </c>
      <c r="U315" s="14">
        <f>IF($A315="","",IF(INDEX('潜水記録'!$T$5:$T$3004,$AS315)="","",INDEX('潜水記録'!$T$5:$T$3004,$AS315)))</f>
        <v/>
      </c>
      <c r="V315" s="46">
        <f>IF($A315="","",IF(INDEX('潜水記録'!$U$5:$U$3004,$AS315)="","",INDEX('潜水記録'!$U$5:$U$3004,$AS315)))</f>
        <v/>
      </c>
      <c r="W315" s="46">
        <f>IF($A315="","",IF(INDEX('潜水記録'!$V$5:$V$3004,$AS315)="","",INDEX('潜水記録'!$V$5:$V$3004,$AS315)))</f>
        <v/>
      </c>
      <c r="X315" s="14">
        <f>IF($A315="","",IF(INDEX('潜水記録'!$W$5:$W$3004,$AS315)="","",INDEX('潜水記録'!$W$5:$W$3004,$AS315)))</f>
        <v/>
      </c>
      <c r="Y315" s="14">
        <f>IF($A315="","",IF(INDEX('潜水記録'!$X$5:$X$3004,$AS315)="","",INDEX('潜水記録'!$X$5:$X$3004,$AS315)))</f>
        <v/>
      </c>
      <c r="Z315" s="14">
        <f>IF($A315="","",IF(INDEX('潜水記録'!$Y$5:$Y$3004,$AS315)="","",INDEX('潜水記録'!$Y$5:$Y$3004,$AS315)))</f>
        <v/>
      </c>
      <c r="AA315" s="14">
        <f>IF($A315="","",IF(INDEX('潜水記録'!$Z$5:$Z$3004,$AS315)="","",INDEX('潜水記録'!$Z$5:$Z$3004,$AS315)))</f>
        <v/>
      </c>
      <c r="AB315" s="14">
        <f>IF($A315="","",IF(INDEX('潜水記録'!$AA$5:$AA$3004,$AS315)="","",INDEX('潜水記録'!$AA$5:$AA$3004,$AS315)))</f>
        <v/>
      </c>
      <c r="AC315" s="14">
        <f>IF($A315="","",IF(INDEX('潜水記録'!$AB$5:$AB$3004,$AS315)="","",INDEX('潜水記録'!$AB$5:$AB$3004,$AS315)))</f>
        <v/>
      </c>
      <c r="AD315" s="14">
        <f>IF($A315="","",IF(INDEX('潜水記録'!$AC$5:$AC$3004,$AS315)="","",INDEX('潜水記録'!$AC$5:$AC$3004,$AS315)))</f>
        <v/>
      </c>
      <c r="AE315" s="14">
        <f>IF($A315="","",IF(INDEX('潜水記録'!$AD$5:$AD$3004,$AS315)="","",INDEX('潜水記録'!$AD$5:$AD$3004,$AS315)))</f>
        <v/>
      </c>
      <c r="AF315" s="14">
        <f>IF($A315="","",IF(INDEX('潜水記録'!$AE$5:$AE$3004,$AS315)="","",INDEX('潜水記録'!$AE$5:$AE$3004,$AS315)))</f>
        <v/>
      </c>
      <c r="AG315" s="14">
        <f>IF($A315="","",IF(INDEX('潜水記録'!$AL$5:$AL$3004,$AS315)="","",INDEX('潜水記録'!$AL$5:$AL$3004,$AS315)))</f>
        <v/>
      </c>
      <c r="AH315" s="14">
        <f>IF($A315="","",IF(INDEX('潜水記録'!$AM$5:$AM$3004,$AS315)="","",INDEX('潜水記録'!$AM$5:$AM$3004,$AS315)))</f>
        <v/>
      </c>
      <c r="AI315" s="46">
        <f>IF($A315="","",IF(INDEX('潜水記録'!$AN$5:$AN$3004,$AS315)="","",INDEX('潜水記録'!$AN$5:$AN$3004,$AS315)))</f>
        <v/>
      </c>
      <c r="AJ315" s="14">
        <f>IF($A315="","",IF(INDEX('潜水記録'!$AO$5:$AO$3004,$AS315)="","",INDEX('潜水記録'!$AO$5:$AO$3004,$AS315)))</f>
        <v/>
      </c>
      <c r="AK315" s="14">
        <f>IF($A315="","",IF(INDEX('潜水記録'!$AP$5:$AP$3004,$AS315)="","",INDEX('潜水記録'!$AP$5:$AP$3004,$AS315)))</f>
        <v/>
      </c>
      <c r="AL315" s="14">
        <f>IF($A315="","",IF(INDEX('潜水記録'!$AQ$5:$AQ$3004,$AS315)="","",INDEX('潜水記録'!$AQ$5:$AQ$3004,$AS315)))</f>
        <v/>
      </c>
      <c r="AM315" s="14">
        <f>IF($A315="","",IF(INDEX('潜水記録'!$AR$5:$AR$3004,$AS315)="","",INDEX('潜水記録'!$AR$5:$AR$3004,$AS315)))</f>
        <v/>
      </c>
      <c r="AN315" s="14">
        <f>IF($A315="","",IF(INDEX('潜水記録'!$AS$5:$AS$3004,$AS315)="","",INDEX('潜水記録'!$AS$5:$AS$3004,$AS315)))</f>
        <v/>
      </c>
      <c r="AO315" s="14">
        <f>IF($A315="","",IF(INDEX('潜水記録'!$AT$5:$AT$3004,$AS315)="","",INDEX('潜水記録'!$AT$5:$AT$3004,$AS315)))</f>
        <v/>
      </c>
      <c r="AP315" s="14">
        <f>IF($A315="","",IF(INDEX('潜水記録'!$AU$5:$AU$3004,$AS315)="","",INDEX('潜水記録'!$AU$5:$AU$3004,$AS315)))</f>
        <v/>
      </c>
      <c r="AQ315" s="14">
        <f>IF($A315="","",IF(INDEX('潜水記録'!$AV$5:$AV$3004,$AS315)="","",INDEX('潜水記録'!$AV$5:$AV$3004,$AS315)))</f>
        <v/>
      </c>
      <c r="AR315" s="14">
        <f>IF($A315="","",IF(INDEX('潜水記録'!$AW$5:$AW$3004,$AS315)="","",INDEX('潜水記録'!$AW$5:$AW$3004,$AS315)))</f>
        <v/>
      </c>
      <c r="AS315" s="20">
        <f>IF($A315="","",MATCH($A315,'潜水記録'!$AI$5:$AI$3004,0))</f>
        <v/>
      </c>
    </row>
    <row r="316">
      <c r="A316" s="14">
        <f>IF(306&lt;=$C$8,306,"")</f>
        <v/>
      </c>
      <c r="B316" s="16">
        <f>IF($A316="","",IF(INDEX('潜水記録'!$A$5:$A$3004,$AS316)="","",INDEX('潜水記録'!$A$5:$A$3004,$AS316)))</f>
        <v/>
      </c>
      <c r="C316" s="14">
        <f>IF($A316="","",IF(INDEX('潜水記録'!$B$5:$B$3004,$AS316)="","",INDEX('潜水記録'!$B$5:$B$3004,$AS316)))</f>
        <v/>
      </c>
      <c r="D316" s="14">
        <f>IF($A316="","",IF(INDEX('潜水記録'!$C$5:$C$3004,$AS316)="","",INDEX('潜水記録'!$C$5:$C$3004,$AS316)))</f>
        <v/>
      </c>
      <c r="E316" s="14">
        <f>IF($A316="","",IF(INDEX('潜水記録'!$D$5:$D$3004,$AS316)="","",INDEX('潜水記録'!$D$5:$D$3004,$AS316)))</f>
        <v/>
      </c>
      <c r="F316" s="14">
        <f>IF($A316="","",IF(INDEX('潜水記録'!$E$5:$E$3004,$AS316)="","",INDEX('潜水記録'!$E$5:$E$3004,$AS316)))</f>
        <v/>
      </c>
      <c r="G316" s="14">
        <f>IF($A316="","",IF(INDEX('潜水記録'!$F$5:$F$3004,$AS316)="","",INDEX('潜水記録'!$F$5:$F$3004,$AS316)))</f>
        <v/>
      </c>
      <c r="H316" s="14">
        <f>IF($A316="","",IF(INDEX('潜水記録'!$G$5:$G$3004,$AS316)="","",INDEX('潜水記録'!$G$5:$G$3004,$AS316)))</f>
        <v/>
      </c>
      <c r="I316" s="14">
        <f>IF($A316="","",IF(INDEX('潜水記録'!$H$5:$H$3004,$AS316)="","",INDEX('潜水記録'!$H$5:$H$3004,$AS316)))</f>
        <v/>
      </c>
      <c r="J316" s="14">
        <f>IF($A316="","",IF(INDEX('潜水記録'!$I$5:$I$3004,$AS316)="","",INDEX('潜水記録'!$I$5:$I$3004,$AS316)))</f>
        <v/>
      </c>
      <c r="K316" s="14">
        <f>IF($A316="","",IF(INDEX('潜水記録'!$J$5:$J$3004,$AS316)="","",INDEX('潜水記録'!$J$5:$J$3004,$AS316)))</f>
        <v/>
      </c>
      <c r="L316" s="14">
        <f>IF($A316="","",IF(INDEX('潜水記録'!$K$5:$K$3004,$AS316)="","",INDEX('潜水記録'!$K$5:$K$3004,$AS316)))</f>
        <v/>
      </c>
      <c r="M316" s="14">
        <f>IF($A316="","",IF(INDEX('潜水記録'!$L$5:$L$3004,$AS316)="","",INDEX('潜水記録'!$L$5:$L$3004,$AS316)))</f>
        <v/>
      </c>
      <c r="N316" s="14">
        <f>IF($A316="","",IF(INDEX('潜水記録'!$M$5:$M$3004,$AS316)="","",INDEX('潜水記録'!$M$5:$M$3004,$AS316)))</f>
        <v/>
      </c>
      <c r="O316" s="14">
        <f>IF($A316="","",IF(INDEX('潜水記録'!$N$5:$N$3004,$AS316)="","",INDEX('潜水記録'!$N$5:$N$3004,$AS316)))</f>
        <v/>
      </c>
      <c r="P316" s="14">
        <f>IF($A316="","",IF(INDEX('潜水記録'!$O$5:$O$3004,$AS316)="","",INDEX('潜水記録'!$O$5:$O$3004,$AS316)))</f>
        <v/>
      </c>
      <c r="Q316" s="14">
        <f>IF($A316="","",IF(INDEX('潜水記録'!$P$5:$P$3004,$AS316)="","",INDEX('潜水記録'!$P$5:$P$3004,$AS316)))</f>
        <v/>
      </c>
      <c r="R316" s="14">
        <f>IF($A316="","",IF(INDEX('潜水記録'!$Q$5:$Q$3004,$AS316)="","",INDEX('潜水記録'!$Q$5:$Q$3004,$AS316)))</f>
        <v/>
      </c>
      <c r="S316" s="14">
        <f>IF($A316="","",IF(INDEX('潜水記録'!$R$5:$R$3004,$AS316)="","",INDEX('潜水記録'!$R$5:$R$3004,$AS316)))</f>
        <v/>
      </c>
      <c r="T316" s="14">
        <f>IF($A316="","",IF(INDEX('潜水記録'!$S$5:$S$3004,$AS316)="","",INDEX('潜水記録'!$S$5:$S$3004,$AS316)))</f>
        <v/>
      </c>
      <c r="U316" s="14">
        <f>IF($A316="","",IF(INDEX('潜水記録'!$T$5:$T$3004,$AS316)="","",INDEX('潜水記録'!$T$5:$T$3004,$AS316)))</f>
        <v/>
      </c>
      <c r="V316" s="46">
        <f>IF($A316="","",IF(INDEX('潜水記録'!$U$5:$U$3004,$AS316)="","",INDEX('潜水記録'!$U$5:$U$3004,$AS316)))</f>
        <v/>
      </c>
      <c r="W316" s="46">
        <f>IF($A316="","",IF(INDEX('潜水記録'!$V$5:$V$3004,$AS316)="","",INDEX('潜水記録'!$V$5:$V$3004,$AS316)))</f>
        <v/>
      </c>
      <c r="X316" s="14">
        <f>IF($A316="","",IF(INDEX('潜水記録'!$W$5:$W$3004,$AS316)="","",INDEX('潜水記録'!$W$5:$W$3004,$AS316)))</f>
        <v/>
      </c>
      <c r="Y316" s="14">
        <f>IF($A316="","",IF(INDEX('潜水記録'!$X$5:$X$3004,$AS316)="","",INDEX('潜水記録'!$X$5:$X$3004,$AS316)))</f>
        <v/>
      </c>
      <c r="Z316" s="14">
        <f>IF($A316="","",IF(INDEX('潜水記録'!$Y$5:$Y$3004,$AS316)="","",INDEX('潜水記録'!$Y$5:$Y$3004,$AS316)))</f>
        <v/>
      </c>
      <c r="AA316" s="14">
        <f>IF($A316="","",IF(INDEX('潜水記録'!$Z$5:$Z$3004,$AS316)="","",INDEX('潜水記録'!$Z$5:$Z$3004,$AS316)))</f>
        <v/>
      </c>
      <c r="AB316" s="14">
        <f>IF($A316="","",IF(INDEX('潜水記録'!$AA$5:$AA$3004,$AS316)="","",INDEX('潜水記録'!$AA$5:$AA$3004,$AS316)))</f>
        <v/>
      </c>
      <c r="AC316" s="14">
        <f>IF($A316="","",IF(INDEX('潜水記録'!$AB$5:$AB$3004,$AS316)="","",INDEX('潜水記録'!$AB$5:$AB$3004,$AS316)))</f>
        <v/>
      </c>
      <c r="AD316" s="14">
        <f>IF($A316="","",IF(INDEX('潜水記録'!$AC$5:$AC$3004,$AS316)="","",INDEX('潜水記録'!$AC$5:$AC$3004,$AS316)))</f>
        <v/>
      </c>
      <c r="AE316" s="14">
        <f>IF($A316="","",IF(INDEX('潜水記録'!$AD$5:$AD$3004,$AS316)="","",INDEX('潜水記録'!$AD$5:$AD$3004,$AS316)))</f>
        <v/>
      </c>
      <c r="AF316" s="14">
        <f>IF($A316="","",IF(INDEX('潜水記録'!$AE$5:$AE$3004,$AS316)="","",INDEX('潜水記録'!$AE$5:$AE$3004,$AS316)))</f>
        <v/>
      </c>
      <c r="AG316" s="14">
        <f>IF($A316="","",IF(INDEX('潜水記録'!$AL$5:$AL$3004,$AS316)="","",INDEX('潜水記録'!$AL$5:$AL$3004,$AS316)))</f>
        <v/>
      </c>
      <c r="AH316" s="14">
        <f>IF($A316="","",IF(INDEX('潜水記録'!$AM$5:$AM$3004,$AS316)="","",INDEX('潜水記録'!$AM$5:$AM$3004,$AS316)))</f>
        <v/>
      </c>
      <c r="AI316" s="46">
        <f>IF($A316="","",IF(INDEX('潜水記録'!$AN$5:$AN$3004,$AS316)="","",INDEX('潜水記録'!$AN$5:$AN$3004,$AS316)))</f>
        <v/>
      </c>
      <c r="AJ316" s="14">
        <f>IF($A316="","",IF(INDEX('潜水記録'!$AO$5:$AO$3004,$AS316)="","",INDEX('潜水記録'!$AO$5:$AO$3004,$AS316)))</f>
        <v/>
      </c>
      <c r="AK316" s="14">
        <f>IF($A316="","",IF(INDEX('潜水記録'!$AP$5:$AP$3004,$AS316)="","",INDEX('潜水記録'!$AP$5:$AP$3004,$AS316)))</f>
        <v/>
      </c>
      <c r="AL316" s="14">
        <f>IF($A316="","",IF(INDEX('潜水記録'!$AQ$5:$AQ$3004,$AS316)="","",INDEX('潜水記録'!$AQ$5:$AQ$3004,$AS316)))</f>
        <v/>
      </c>
      <c r="AM316" s="14">
        <f>IF($A316="","",IF(INDEX('潜水記録'!$AR$5:$AR$3004,$AS316)="","",INDEX('潜水記録'!$AR$5:$AR$3004,$AS316)))</f>
        <v/>
      </c>
      <c r="AN316" s="14">
        <f>IF($A316="","",IF(INDEX('潜水記録'!$AS$5:$AS$3004,$AS316)="","",INDEX('潜水記録'!$AS$5:$AS$3004,$AS316)))</f>
        <v/>
      </c>
      <c r="AO316" s="14">
        <f>IF($A316="","",IF(INDEX('潜水記録'!$AT$5:$AT$3004,$AS316)="","",INDEX('潜水記録'!$AT$5:$AT$3004,$AS316)))</f>
        <v/>
      </c>
      <c r="AP316" s="14">
        <f>IF($A316="","",IF(INDEX('潜水記録'!$AU$5:$AU$3004,$AS316)="","",INDEX('潜水記録'!$AU$5:$AU$3004,$AS316)))</f>
        <v/>
      </c>
      <c r="AQ316" s="14">
        <f>IF($A316="","",IF(INDEX('潜水記録'!$AV$5:$AV$3004,$AS316)="","",INDEX('潜水記録'!$AV$5:$AV$3004,$AS316)))</f>
        <v/>
      </c>
      <c r="AR316" s="14">
        <f>IF($A316="","",IF(INDEX('潜水記録'!$AW$5:$AW$3004,$AS316)="","",INDEX('潜水記録'!$AW$5:$AW$3004,$AS316)))</f>
        <v/>
      </c>
      <c r="AS316" s="20">
        <f>IF($A316="","",MATCH($A316,'潜水記録'!$AI$5:$AI$3004,0))</f>
        <v/>
      </c>
    </row>
    <row r="317">
      <c r="A317" s="14">
        <f>IF(307&lt;=$C$8,307,"")</f>
        <v/>
      </c>
      <c r="B317" s="16">
        <f>IF($A317="","",IF(INDEX('潜水記録'!$A$5:$A$3004,$AS317)="","",INDEX('潜水記録'!$A$5:$A$3004,$AS317)))</f>
        <v/>
      </c>
      <c r="C317" s="14">
        <f>IF($A317="","",IF(INDEX('潜水記録'!$B$5:$B$3004,$AS317)="","",INDEX('潜水記録'!$B$5:$B$3004,$AS317)))</f>
        <v/>
      </c>
      <c r="D317" s="14">
        <f>IF($A317="","",IF(INDEX('潜水記録'!$C$5:$C$3004,$AS317)="","",INDEX('潜水記録'!$C$5:$C$3004,$AS317)))</f>
        <v/>
      </c>
      <c r="E317" s="14">
        <f>IF($A317="","",IF(INDEX('潜水記録'!$D$5:$D$3004,$AS317)="","",INDEX('潜水記録'!$D$5:$D$3004,$AS317)))</f>
        <v/>
      </c>
      <c r="F317" s="14">
        <f>IF($A317="","",IF(INDEX('潜水記録'!$E$5:$E$3004,$AS317)="","",INDEX('潜水記録'!$E$5:$E$3004,$AS317)))</f>
        <v/>
      </c>
      <c r="G317" s="14">
        <f>IF($A317="","",IF(INDEX('潜水記録'!$F$5:$F$3004,$AS317)="","",INDEX('潜水記録'!$F$5:$F$3004,$AS317)))</f>
        <v/>
      </c>
      <c r="H317" s="14">
        <f>IF($A317="","",IF(INDEX('潜水記録'!$G$5:$G$3004,$AS317)="","",INDEX('潜水記録'!$G$5:$G$3004,$AS317)))</f>
        <v/>
      </c>
      <c r="I317" s="14">
        <f>IF($A317="","",IF(INDEX('潜水記録'!$H$5:$H$3004,$AS317)="","",INDEX('潜水記録'!$H$5:$H$3004,$AS317)))</f>
        <v/>
      </c>
      <c r="J317" s="14">
        <f>IF($A317="","",IF(INDEX('潜水記録'!$I$5:$I$3004,$AS317)="","",INDEX('潜水記録'!$I$5:$I$3004,$AS317)))</f>
        <v/>
      </c>
      <c r="K317" s="14">
        <f>IF($A317="","",IF(INDEX('潜水記録'!$J$5:$J$3004,$AS317)="","",INDEX('潜水記録'!$J$5:$J$3004,$AS317)))</f>
        <v/>
      </c>
      <c r="L317" s="14">
        <f>IF($A317="","",IF(INDEX('潜水記録'!$K$5:$K$3004,$AS317)="","",INDEX('潜水記録'!$K$5:$K$3004,$AS317)))</f>
        <v/>
      </c>
      <c r="M317" s="14">
        <f>IF($A317="","",IF(INDEX('潜水記録'!$L$5:$L$3004,$AS317)="","",INDEX('潜水記録'!$L$5:$L$3004,$AS317)))</f>
        <v/>
      </c>
      <c r="N317" s="14">
        <f>IF($A317="","",IF(INDEX('潜水記録'!$M$5:$M$3004,$AS317)="","",INDEX('潜水記録'!$M$5:$M$3004,$AS317)))</f>
        <v/>
      </c>
      <c r="O317" s="14">
        <f>IF($A317="","",IF(INDEX('潜水記録'!$N$5:$N$3004,$AS317)="","",INDEX('潜水記録'!$N$5:$N$3004,$AS317)))</f>
        <v/>
      </c>
      <c r="P317" s="14">
        <f>IF($A317="","",IF(INDEX('潜水記録'!$O$5:$O$3004,$AS317)="","",INDEX('潜水記録'!$O$5:$O$3004,$AS317)))</f>
        <v/>
      </c>
      <c r="Q317" s="14">
        <f>IF($A317="","",IF(INDEX('潜水記録'!$P$5:$P$3004,$AS317)="","",INDEX('潜水記録'!$P$5:$P$3004,$AS317)))</f>
        <v/>
      </c>
      <c r="R317" s="14">
        <f>IF($A317="","",IF(INDEX('潜水記録'!$Q$5:$Q$3004,$AS317)="","",INDEX('潜水記録'!$Q$5:$Q$3004,$AS317)))</f>
        <v/>
      </c>
      <c r="S317" s="14">
        <f>IF($A317="","",IF(INDEX('潜水記録'!$R$5:$R$3004,$AS317)="","",INDEX('潜水記録'!$R$5:$R$3004,$AS317)))</f>
        <v/>
      </c>
      <c r="T317" s="14">
        <f>IF($A317="","",IF(INDEX('潜水記録'!$S$5:$S$3004,$AS317)="","",INDEX('潜水記録'!$S$5:$S$3004,$AS317)))</f>
        <v/>
      </c>
      <c r="U317" s="14">
        <f>IF($A317="","",IF(INDEX('潜水記録'!$T$5:$T$3004,$AS317)="","",INDEX('潜水記録'!$T$5:$T$3004,$AS317)))</f>
        <v/>
      </c>
      <c r="V317" s="46">
        <f>IF($A317="","",IF(INDEX('潜水記録'!$U$5:$U$3004,$AS317)="","",INDEX('潜水記録'!$U$5:$U$3004,$AS317)))</f>
        <v/>
      </c>
      <c r="W317" s="46">
        <f>IF($A317="","",IF(INDEX('潜水記録'!$V$5:$V$3004,$AS317)="","",INDEX('潜水記録'!$V$5:$V$3004,$AS317)))</f>
        <v/>
      </c>
      <c r="X317" s="14">
        <f>IF($A317="","",IF(INDEX('潜水記録'!$W$5:$W$3004,$AS317)="","",INDEX('潜水記録'!$W$5:$W$3004,$AS317)))</f>
        <v/>
      </c>
      <c r="Y317" s="14">
        <f>IF($A317="","",IF(INDEX('潜水記録'!$X$5:$X$3004,$AS317)="","",INDEX('潜水記録'!$X$5:$X$3004,$AS317)))</f>
        <v/>
      </c>
      <c r="Z317" s="14">
        <f>IF($A317="","",IF(INDEX('潜水記録'!$Y$5:$Y$3004,$AS317)="","",INDEX('潜水記録'!$Y$5:$Y$3004,$AS317)))</f>
        <v/>
      </c>
      <c r="AA317" s="14">
        <f>IF($A317="","",IF(INDEX('潜水記録'!$Z$5:$Z$3004,$AS317)="","",INDEX('潜水記録'!$Z$5:$Z$3004,$AS317)))</f>
        <v/>
      </c>
      <c r="AB317" s="14">
        <f>IF($A317="","",IF(INDEX('潜水記録'!$AA$5:$AA$3004,$AS317)="","",INDEX('潜水記録'!$AA$5:$AA$3004,$AS317)))</f>
        <v/>
      </c>
      <c r="AC317" s="14">
        <f>IF($A317="","",IF(INDEX('潜水記録'!$AB$5:$AB$3004,$AS317)="","",INDEX('潜水記録'!$AB$5:$AB$3004,$AS317)))</f>
        <v/>
      </c>
      <c r="AD317" s="14">
        <f>IF($A317="","",IF(INDEX('潜水記録'!$AC$5:$AC$3004,$AS317)="","",INDEX('潜水記録'!$AC$5:$AC$3004,$AS317)))</f>
        <v/>
      </c>
      <c r="AE317" s="14">
        <f>IF($A317="","",IF(INDEX('潜水記録'!$AD$5:$AD$3004,$AS317)="","",INDEX('潜水記録'!$AD$5:$AD$3004,$AS317)))</f>
        <v/>
      </c>
      <c r="AF317" s="14">
        <f>IF($A317="","",IF(INDEX('潜水記録'!$AE$5:$AE$3004,$AS317)="","",INDEX('潜水記録'!$AE$5:$AE$3004,$AS317)))</f>
        <v/>
      </c>
      <c r="AG317" s="14">
        <f>IF($A317="","",IF(INDEX('潜水記録'!$AL$5:$AL$3004,$AS317)="","",INDEX('潜水記録'!$AL$5:$AL$3004,$AS317)))</f>
        <v/>
      </c>
      <c r="AH317" s="14">
        <f>IF($A317="","",IF(INDEX('潜水記録'!$AM$5:$AM$3004,$AS317)="","",INDEX('潜水記録'!$AM$5:$AM$3004,$AS317)))</f>
        <v/>
      </c>
      <c r="AI317" s="46">
        <f>IF($A317="","",IF(INDEX('潜水記録'!$AN$5:$AN$3004,$AS317)="","",INDEX('潜水記録'!$AN$5:$AN$3004,$AS317)))</f>
        <v/>
      </c>
      <c r="AJ317" s="14">
        <f>IF($A317="","",IF(INDEX('潜水記録'!$AO$5:$AO$3004,$AS317)="","",INDEX('潜水記録'!$AO$5:$AO$3004,$AS317)))</f>
        <v/>
      </c>
      <c r="AK317" s="14">
        <f>IF($A317="","",IF(INDEX('潜水記録'!$AP$5:$AP$3004,$AS317)="","",INDEX('潜水記録'!$AP$5:$AP$3004,$AS317)))</f>
        <v/>
      </c>
      <c r="AL317" s="14">
        <f>IF($A317="","",IF(INDEX('潜水記録'!$AQ$5:$AQ$3004,$AS317)="","",INDEX('潜水記録'!$AQ$5:$AQ$3004,$AS317)))</f>
        <v/>
      </c>
      <c r="AM317" s="14">
        <f>IF($A317="","",IF(INDEX('潜水記録'!$AR$5:$AR$3004,$AS317)="","",INDEX('潜水記録'!$AR$5:$AR$3004,$AS317)))</f>
        <v/>
      </c>
      <c r="AN317" s="14">
        <f>IF($A317="","",IF(INDEX('潜水記録'!$AS$5:$AS$3004,$AS317)="","",INDEX('潜水記録'!$AS$5:$AS$3004,$AS317)))</f>
        <v/>
      </c>
      <c r="AO317" s="14">
        <f>IF($A317="","",IF(INDEX('潜水記録'!$AT$5:$AT$3004,$AS317)="","",INDEX('潜水記録'!$AT$5:$AT$3004,$AS317)))</f>
        <v/>
      </c>
      <c r="AP317" s="14">
        <f>IF($A317="","",IF(INDEX('潜水記録'!$AU$5:$AU$3004,$AS317)="","",INDEX('潜水記録'!$AU$5:$AU$3004,$AS317)))</f>
        <v/>
      </c>
      <c r="AQ317" s="14">
        <f>IF($A317="","",IF(INDEX('潜水記録'!$AV$5:$AV$3004,$AS317)="","",INDEX('潜水記録'!$AV$5:$AV$3004,$AS317)))</f>
        <v/>
      </c>
      <c r="AR317" s="14">
        <f>IF($A317="","",IF(INDEX('潜水記録'!$AW$5:$AW$3004,$AS317)="","",INDEX('潜水記録'!$AW$5:$AW$3004,$AS317)))</f>
        <v/>
      </c>
      <c r="AS317" s="20">
        <f>IF($A317="","",MATCH($A317,'潜水記録'!$AI$5:$AI$3004,0))</f>
        <v/>
      </c>
    </row>
    <row r="318">
      <c r="A318" s="14">
        <f>IF(308&lt;=$C$8,308,"")</f>
        <v/>
      </c>
      <c r="B318" s="16">
        <f>IF($A318="","",IF(INDEX('潜水記録'!$A$5:$A$3004,$AS318)="","",INDEX('潜水記録'!$A$5:$A$3004,$AS318)))</f>
        <v/>
      </c>
      <c r="C318" s="14">
        <f>IF($A318="","",IF(INDEX('潜水記録'!$B$5:$B$3004,$AS318)="","",INDEX('潜水記録'!$B$5:$B$3004,$AS318)))</f>
        <v/>
      </c>
      <c r="D318" s="14">
        <f>IF($A318="","",IF(INDEX('潜水記録'!$C$5:$C$3004,$AS318)="","",INDEX('潜水記録'!$C$5:$C$3004,$AS318)))</f>
        <v/>
      </c>
      <c r="E318" s="14">
        <f>IF($A318="","",IF(INDEX('潜水記録'!$D$5:$D$3004,$AS318)="","",INDEX('潜水記録'!$D$5:$D$3004,$AS318)))</f>
        <v/>
      </c>
      <c r="F318" s="14">
        <f>IF($A318="","",IF(INDEX('潜水記録'!$E$5:$E$3004,$AS318)="","",INDEX('潜水記録'!$E$5:$E$3004,$AS318)))</f>
        <v/>
      </c>
      <c r="G318" s="14">
        <f>IF($A318="","",IF(INDEX('潜水記録'!$F$5:$F$3004,$AS318)="","",INDEX('潜水記録'!$F$5:$F$3004,$AS318)))</f>
        <v/>
      </c>
      <c r="H318" s="14">
        <f>IF($A318="","",IF(INDEX('潜水記録'!$G$5:$G$3004,$AS318)="","",INDEX('潜水記録'!$G$5:$G$3004,$AS318)))</f>
        <v/>
      </c>
      <c r="I318" s="14">
        <f>IF($A318="","",IF(INDEX('潜水記録'!$H$5:$H$3004,$AS318)="","",INDEX('潜水記録'!$H$5:$H$3004,$AS318)))</f>
        <v/>
      </c>
      <c r="J318" s="14">
        <f>IF($A318="","",IF(INDEX('潜水記録'!$I$5:$I$3004,$AS318)="","",INDEX('潜水記録'!$I$5:$I$3004,$AS318)))</f>
        <v/>
      </c>
      <c r="K318" s="14">
        <f>IF($A318="","",IF(INDEX('潜水記録'!$J$5:$J$3004,$AS318)="","",INDEX('潜水記録'!$J$5:$J$3004,$AS318)))</f>
        <v/>
      </c>
      <c r="L318" s="14">
        <f>IF($A318="","",IF(INDEX('潜水記録'!$K$5:$K$3004,$AS318)="","",INDEX('潜水記録'!$K$5:$K$3004,$AS318)))</f>
        <v/>
      </c>
      <c r="M318" s="14">
        <f>IF($A318="","",IF(INDEX('潜水記録'!$L$5:$L$3004,$AS318)="","",INDEX('潜水記録'!$L$5:$L$3004,$AS318)))</f>
        <v/>
      </c>
      <c r="N318" s="14">
        <f>IF($A318="","",IF(INDEX('潜水記録'!$M$5:$M$3004,$AS318)="","",INDEX('潜水記録'!$M$5:$M$3004,$AS318)))</f>
        <v/>
      </c>
      <c r="O318" s="14">
        <f>IF($A318="","",IF(INDEX('潜水記録'!$N$5:$N$3004,$AS318)="","",INDEX('潜水記録'!$N$5:$N$3004,$AS318)))</f>
        <v/>
      </c>
      <c r="P318" s="14">
        <f>IF($A318="","",IF(INDEX('潜水記録'!$O$5:$O$3004,$AS318)="","",INDEX('潜水記録'!$O$5:$O$3004,$AS318)))</f>
        <v/>
      </c>
      <c r="Q318" s="14">
        <f>IF($A318="","",IF(INDEX('潜水記録'!$P$5:$P$3004,$AS318)="","",INDEX('潜水記録'!$P$5:$P$3004,$AS318)))</f>
        <v/>
      </c>
      <c r="R318" s="14">
        <f>IF($A318="","",IF(INDEX('潜水記録'!$Q$5:$Q$3004,$AS318)="","",INDEX('潜水記録'!$Q$5:$Q$3004,$AS318)))</f>
        <v/>
      </c>
      <c r="S318" s="14">
        <f>IF($A318="","",IF(INDEX('潜水記録'!$R$5:$R$3004,$AS318)="","",INDEX('潜水記録'!$R$5:$R$3004,$AS318)))</f>
        <v/>
      </c>
      <c r="T318" s="14">
        <f>IF($A318="","",IF(INDEX('潜水記録'!$S$5:$S$3004,$AS318)="","",INDEX('潜水記録'!$S$5:$S$3004,$AS318)))</f>
        <v/>
      </c>
      <c r="U318" s="14">
        <f>IF($A318="","",IF(INDEX('潜水記録'!$T$5:$T$3004,$AS318)="","",INDEX('潜水記録'!$T$5:$T$3004,$AS318)))</f>
        <v/>
      </c>
      <c r="V318" s="46">
        <f>IF($A318="","",IF(INDEX('潜水記録'!$U$5:$U$3004,$AS318)="","",INDEX('潜水記録'!$U$5:$U$3004,$AS318)))</f>
        <v/>
      </c>
      <c r="W318" s="46">
        <f>IF($A318="","",IF(INDEX('潜水記録'!$V$5:$V$3004,$AS318)="","",INDEX('潜水記録'!$V$5:$V$3004,$AS318)))</f>
        <v/>
      </c>
      <c r="X318" s="14">
        <f>IF($A318="","",IF(INDEX('潜水記録'!$W$5:$W$3004,$AS318)="","",INDEX('潜水記録'!$W$5:$W$3004,$AS318)))</f>
        <v/>
      </c>
      <c r="Y318" s="14">
        <f>IF($A318="","",IF(INDEX('潜水記録'!$X$5:$X$3004,$AS318)="","",INDEX('潜水記録'!$X$5:$X$3004,$AS318)))</f>
        <v/>
      </c>
      <c r="Z318" s="14">
        <f>IF($A318="","",IF(INDEX('潜水記録'!$Y$5:$Y$3004,$AS318)="","",INDEX('潜水記録'!$Y$5:$Y$3004,$AS318)))</f>
        <v/>
      </c>
      <c r="AA318" s="14">
        <f>IF($A318="","",IF(INDEX('潜水記録'!$Z$5:$Z$3004,$AS318)="","",INDEX('潜水記録'!$Z$5:$Z$3004,$AS318)))</f>
        <v/>
      </c>
      <c r="AB318" s="14">
        <f>IF($A318="","",IF(INDEX('潜水記録'!$AA$5:$AA$3004,$AS318)="","",INDEX('潜水記録'!$AA$5:$AA$3004,$AS318)))</f>
        <v/>
      </c>
      <c r="AC318" s="14">
        <f>IF($A318="","",IF(INDEX('潜水記録'!$AB$5:$AB$3004,$AS318)="","",INDEX('潜水記録'!$AB$5:$AB$3004,$AS318)))</f>
        <v/>
      </c>
      <c r="AD318" s="14">
        <f>IF($A318="","",IF(INDEX('潜水記録'!$AC$5:$AC$3004,$AS318)="","",INDEX('潜水記録'!$AC$5:$AC$3004,$AS318)))</f>
        <v/>
      </c>
      <c r="AE318" s="14">
        <f>IF($A318="","",IF(INDEX('潜水記録'!$AD$5:$AD$3004,$AS318)="","",INDEX('潜水記録'!$AD$5:$AD$3004,$AS318)))</f>
        <v/>
      </c>
      <c r="AF318" s="14">
        <f>IF($A318="","",IF(INDEX('潜水記録'!$AE$5:$AE$3004,$AS318)="","",INDEX('潜水記録'!$AE$5:$AE$3004,$AS318)))</f>
        <v/>
      </c>
      <c r="AG318" s="14">
        <f>IF($A318="","",IF(INDEX('潜水記録'!$AL$5:$AL$3004,$AS318)="","",INDEX('潜水記録'!$AL$5:$AL$3004,$AS318)))</f>
        <v/>
      </c>
      <c r="AH318" s="14">
        <f>IF($A318="","",IF(INDEX('潜水記録'!$AM$5:$AM$3004,$AS318)="","",INDEX('潜水記録'!$AM$5:$AM$3004,$AS318)))</f>
        <v/>
      </c>
      <c r="AI318" s="46">
        <f>IF($A318="","",IF(INDEX('潜水記録'!$AN$5:$AN$3004,$AS318)="","",INDEX('潜水記録'!$AN$5:$AN$3004,$AS318)))</f>
        <v/>
      </c>
      <c r="AJ318" s="14">
        <f>IF($A318="","",IF(INDEX('潜水記録'!$AO$5:$AO$3004,$AS318)="","",INDEX('潜水記録'!$AO$5:$AO$3004,$AS318)))</f>
        <v/>
      </c>
      <c r="AK318" s="14">
        <f>IF($A318="","",IF(INDEX('潜水記録'!$AP$5:$AP$3004,$AS318)="","",INDEX('潜水記録'!$AP$5:$AP$3004,$AS318)))</f>
        <v/>
      </c>
      <c r="AL318" s="14">
        <f>IF($A318="","",IF(INDEX('潜水記録'!$AQ$5:$AQ$3004,$AS318)="","",INDEX('潜水記録'!$AQ$5:$AQ$3004,$AS318)))</f>
        <v/>
      </c>
      <c r="AM318" s="14">
        <f>IF($A318="","",IF(INDEX('潜水記録'!$AR$5:$AR$3004,$AS318)="","",INDEX('潜水記録'!$AR$5:$AR$3004,$AS318)))</f>
        <v/>
      </c>
      <c r="AN318" s="14">
        <f>IF($A318="","",IF(INDEX('潜水記録'!$AS$5:$AS$3004,$AS318)="","",INDEX('潜水記録'!$AS$5:$AS$3004,$AS318)))</f>
        <v/>
      </c>
      <c r="AO318" s="14">
        <f>IF($A318="","",IF(INDEX('潜水記録'!$AT$5:$AT$3004,$AS318)="","",INDEX('潜水記録'!$AT$5:$AT$3004,$AS318)))</f>
        <v/>
      </c>
      <c r="AP318" s="14">
        <f>IF($A318="","",IF(INDEX('潜水記録'!$AU$5:$AU$3004,$AS318)="","",INDEX('潜水記録'!$AU$5:$AU$3004,$AS318)))</f>
        <v/>
      </c>
      <c r="AQ318" s="14">
        <f>IF($A318="","",IF(INDEX('潜水記録'!$AV$5:$AV$3004,$AS318)="","",INDEX('潜水記録'!$AV$5:$AV$3004,$AS318)))</f>
        <v/>
      </c>
      <c r="AR318" s="14">
        <f>IF($A318="","",IF(INDEX('潜水記録'!$AW$5:$AW$3004,$AS318)="","",INDEX('潜水記録'!$AW$5:$AW$3004,$AS318)))</f>
        <v/>
      </c>
      <c r="AS318" s="20">
        <f>IF($A318="","",MATCH($A318,'潜水記録'!$AI$5:$AI$3004,0))</f>
        <v/>
      </c>
    </row>
    <row r="319">
      <c r="A319" s="14">
        <f>IF(309&lt;=$C$8,309,"")</f>
        <v/>
      </c>
      <c r="B319" s="16">
        <f>IF($A319="","",IF(INDEX('潜水記録'!$A$5:$A$3004,$AS319)="","",INDEX('潜水記録'!$A$5:$A$3004,$AS319)))</f>
        <v/>
      </c>
      <c r="C319" s="14">
        <f>IF($A319="","",IF(INDEX('潜水記録'!$B$5:$B$3004,$AS319)="","",INDEX('潜水記録'!$B$5:$B$3004,$AS319)))</f>
        <v/>
      </c>
      <c r="D319" s="14">
        <f>IF($A319="","",IF(INDEX('潜水記録'!$C$5:$C$3004,$AS319)="","",INDEX('潜水記録'!$C$5:$C$3004,$AS319)))</f>
        <v/>
      </c>
      <c r="E319" s="14">
        <f>IF($A319="","",IF(INDEX('潜水記録'!$D$5:$D$3004,$AS319)="","",INDEX('潜水記録'!$D$5:$D$3004,$AS319)))</f>
        <v/>
      </c>
      <c r="F319" s="14">
        <f>IF($A319="","",IF(INDEX('潜水記録'!$E$5:$E$3004,$AS319)="","",INDEX('潜水記録'!$E$5:$E$3004,$AS319)))</f>
        <v/>
      </c>
      <c r="G319" s="14">
        <f>IF($A319="","",IF(INDEX('潜水記録'!$F$5:$F$3004,$AS319)="","",INDEX('潜水記録'!$F$5:$F$3004,$AS319)))</f>
        <v/>
      </c>
      <c r="H319" s="14">
        <f>IF($A319="","",IF(INDEX('潜水記録'!$G$5:$G$3004,$AS319)="","",INDEX('潜水記録'!$G$5:$G$3004,$AS319)))</f>
        <v/>
      </c>
      <c r="I319" s="14">
        <f>IF($A319="","",IF(INDEX('潜水記録'!$H$5:$H$3004,$AS319)="","",INDEX('潜水記録'!$H$5:$H$3004,$AS319)))</f>
        <v/>
      </c>
      <c r="J319" s="14">
        <f>IF($A319="","",IF(INDEX('潜水記録'!$I$5:$I$3004,$AS319)="","",INDEX('潜水記録'!$I$5:$I$3004,$AS319)))</f>
        <v/>
      </c>
      <c r="K319" s="14">
        <f>IF($A319="","",IF(INDEX('潜水記録'!$J$5:$J$3004,$AS319)="","",INDEX('潜水記録'!$J$5:$J$3004,$AS319)))</f>
        <v/>
      </c>
      <c r="L319" s="14">
        <f>IF($A319="","",IF(INDEX('潜水記録'!$K$5:$K$3004,$AS319)="","",INDEX('潜水記録'!$K$5:$K$3004,$AS319)))</f>
        <v/>
      </c>
      <c r="M319" s="14">
        <f>IF($A319="","",IF(INDEX('潜水記録'!$L$5:$L$3004,$AS319)="","",INDEX('潜水記録'!$L$5:$L$3004,$AS319)))</f>
        <v/>
      </c>
      <c r="N319" s="14">
        <f>IF($A319="","",IF(INDEX('潜水記録'!$M$5:$M$3004,$AS319)="","",INDEX('潜水記録'!$M$5:$M$3004,$AS319)))</f>
        <v/>
      </c>
      <c r="O319" s="14">
        <f>IF($A319="","",IF(INDEX('潜水記録'!$N$5:$N$3004,$AS319)="","",INDEX('潜水記録'!$N$5:$N$3004,$AS319)))</f>
        <v/>
      </c>
      <c r="P319" s="14">
        <f>IF($A319="","",IF(INDEX('潜水記録'!$O$5:$O$3004,$AS319)="","",INDEX('潜水記録'!$O$5:$O$3004,$AS319)))</f>
        <v/>
      </c>
      <c r="Q319" s="14">
        <f>IF($A319="","",IF(INDEX('潜水記録'!$P$5:$P$3004,$AS319)="","",INDEX('潜水記録'!$P$5:$P$3004,$AS319)))</f>
        <v/>
      </c>
      <c r="R319" s="14">
        <f>IF($A319="","",IF(INDEX('潜水記録'!$Q$5:$Q$3004,$AS319)="","",INDEX('潜水記録'!$Q$5:$Q$3004,$AS319)))</f>
        <v/>
      </c>
      <c r="S319" s="14">
        <f>IF($A319="","",IF(INDEX('潜水記録'!$R$5:$R$3004,$AS319)="","",INDEX('潜水記録'!$R$5:$R$3004,$AS319)))</f>
        <v/>
      </c>
      <c r="T319" s="14">
        <f>IF($A319="","",IF(INDEX('潜水記録'!$S$5:$S$3004,$AS319)="","",INDEX('潜水記録'!$S$5:$S$3004,$AS319)))</f>
        <v/>
      </c>
      <c r="U319" s="14">
        <f>IF($A319="","",IF(INDEX('潜水記録'!$T$5:$T$3004,$AS319)="","",INDEX('潜水記録'!$T$5:$T$3004,$AS319)))</f>
        <v/>
      </c>
      <c r="V319" s="46">
        <f>IF($A319="","",IF(INDEX('潜水記録'!$U$5:$U$3004,$AS319)="","",INDEX('潜水記録'!$U$5:$U$3004,$AS319)))</f>
        <v/>
      </c>
      <c r="W319" s="46">
        <f>IF($A319="","",IF(INDEX('潜水記録'!$V$5:$V$3004,$AS319)="","",INDEX('潜水記録'!$V$5:$V$3004,$AS319)))</f>
        <v/>
      </c>
      <c r="X319" s="14">
        <f>IF($A319="","",IF(INDEX('潜水記録'!$W$5:$W$3004,$AS319)="","",INDEX('潜水記録'!$W$5:$W$3004,$AS319)))</f>
        <v/>
      </c>
      <c r="Y319" s="14">
        <f>IF($A319="","",IF(INDEX('潜水記録'!$X$5:$X$3004,$AS319)="","",INDEX('潜水記録'!$X$5:$X$3004,$AS319)))</f>
        <v/>
      </c>
      <c r="Z319" s="14">
        <f>IF($A319="","",IF(INDEX('潜水記録'!$Y$5:$Y$3004,$AS319)="","",INDEX('潜水記録'!$Y$5:$Y$3004,$AS319)))</f>
        <v/>
      </c>
      <c r="AA319" s="14">
        <f>IF($A319="","",IF(INDEX('潜水記録'!$Z$5:$Z$3004,$AS319)="","",INDEX('潜水記録'!$Z$5:$Z$3004,$AS319)))</f>
        <v/>
      </c>
      <c r="AB319" s="14">
        <f>IF($A319="","",IF(INDEX('潜水記録'!$AA$5:$AA$3004,$AS319)="","",INDEX('潜水記録'!$AA$5:$AA$3004,$AS319)))</f>
        <v/>
      </c>
      <c r="AC319" s="14">
        <f>IF($A319="","",IF(INDEX('潜水記録'!$AB$5:$AB$3004,$AS319)="","",INDEX('潜水記録'!$AB$5:$AB$3004,$AS319)))</f>
        <v/>
      </c>
      <c r="AD319" s="14">
        <f>IF($A319="","",IF(INDEX('潜水記録'!$AC$5:$AC$3004,$AS319)="","",INDEX('潜水記録'!$AC$5:$AC$3004,$AS319)))</f>
        <v/>
      </c>
      <c r="AE319" s="14">
        <f>IF($A319="","",IF(INDEX('潜水記録'!$AD$5:$AD$3004,$AS319)="","",INDEX('潜水記録'!$AD$5:$AD$3004,$AS319)))</f>
        <v/>
      </c>
      <c r="AF319" s="14">
        <f>IF($A319="","",IF(INDEX('潜水記録'!$AE$5:$AE$3004,$AS319)="","",INDEX('潜水記録'!$AE$5:$AE$3004,$AS319)))</f>
        <v/>
      </c>
      <c r="AG319" s="14">
        <f>IF($A319="","",IF(INDEX('潜水記録'!$AL$5:$AL$3004,$AS319)="","",INDEX('潜水記録'!$AL$5:$AL$3004,$AS319)))</f>
        <v/>
      </c>
      <c r="AH319" s="14">
        <f>IF($A319="","",IF(INDEX('潜水記録'!$AM$5:$AM$3004,$AS319)="","",INDEX('潜水記録'!$AM$5:$AM$3004,$AS319)))</f>
        <v/>
      </c>
      <c r="AI319" s="46">
        <f>IF($A319="","",IF(INDEX('潜水記録'!$AN$5:$AN$3004,$AS319)="","",INDEX('潜水記録'!$AN$5:$AN$3004,$AS319)))</f>
        <v/>
      </c>
      <c r="AJ319" s="14">
        <f>IF($A319="","",IF(INDEX('潜水記録'!$AO$5:$AO$3004,$AS319)="","",INDEX('潜水記録'!$AO$5:$AO$3004,$AS319)))</f>
        <v/>
      </c>
      <c r="AK319" s="14">
        <f>IF($A319="","",IF(INDEX('潜水記録'!$AP$5:$AP$3004,$AS319)="","",INDEX('潜水記録'!$AP$5:$AP$3004,$AS319)))</f>
        <v/>
      </c>
      <c r="AL319" s="14">
        <f>IF($A319="","",IF(INDEX('潜水記録'!$AQ$5:$AQ$3004,$AS319)="","",INDEX('潜水記録'!$AQ$5:$AQ$3004,$AS319)))</f>
        <v/>
      </c>
      <c r="AM319" s="14">
        <f>IF($A319="","",IF(INDEX('潜水記録'!$AR$5:$AR$3004,$AS319)="","",INDEX('潜水記録'!$AR$5:$AR$3004,$AS319)))</f>
        <v/>
      </c>
      <c r="AN319" s="14">
        <f>IF($A319="","",IF(INDEX('潜水記録'!$AS$5:$AS$3004,$AS319)="","",INDEX('潜水記録'!$AS$5:$AS$3004,$AS319)))</f>
        <v/>
      </c>
      <c r="AO319" s="14">
        <f>IF($A319="","",IF(INDEX('潜水記録'!$AT$5:$AT$3004,$AS319)="","",INDEX('潜水記録'!$AT$5:$AT$3004,$AS319)))</f>
        <v/>
      </c>
      <c r="AP319" s="14">
        <f>IF($A319="","",IF(INDEX('潜水記録'!$AU$5:$AU$3004,$AS319)="","",INDEX('潜水記録'!$AU$5:$AU$3004,$AS319)))</f>
        <v/>
      </c>
      <c r="AQ319" s="14">
        <f>IF($A319="","",IF(INDEX('潜水記録'!$AV$5:$AV$3004,$AS319)="","",INDEX('潜水記録'!$AV$5:$AV$3004,$AS319)))</f>
        <v/>
      </c>
      <c r="AR319" s="14">
        <f>IF($A319="","",IF(INDEX('潜水記録'!$AW$5:$AW$3004,$AS319)="","",INDEX('潜水記録'!$AW$5:$AW$3004,$AS319)))</f>
        <v/>
      </c>
      <c r="AS319" s="20">
        <f>IF($A319="","",MATCH($A319,'潜水記録'!$AI$5:$AI$3004,0))</f>
        <v/>
      </c>
    </row>
    <row r="320">
      <c r="A320" s="14">
        <f>IF(310&lt;=$C$8,310,"")</f>
        <v/>
      </c>
      <c r="B320" s="16">
        <f>IF($A320="","",IF(INDEX('潜水記録'!$A$5:$A$3004,$AS320)="","",INDEX('潜水記録'!$A$5:$A$3004,$AS320)))</f>
        <v/>
      </c>
      <c r="C320" s="14">
        <f>IF($A320="","",IF(INDEX('潜水記録'!$B$5:$B$3004,$AS320)="","",INDEX('潜水記録'!$B$5:$B$3004,$AS320)))</f>
        <v/>
      </c>
      <c r="D320" s="14">
        <f>IF($A320="","",IF(INDEX('潜水記録'!$C$5:$C$3004,$AS320)="","",INDEX('潜水記録'!$C$5:$C$3004,$AS320)))</f>
        <v/>
      </c>
      <c r="E320" s="14">
        <f>IF($A320="","",IF(INDEX('潜水記録'!$D$5:$D$3004,$AS320)="","",INDEX('潜水記録'!$D$5:$D$3004,$AS320)))</f>
        <v/>
      </c>
      <c r="F320" s="14">
        <f>IF($A320="","",IF(INDEX('潜水記録'!$E$5:$E$3004,$AS320)="","",INDEX('潜水記録'!$E$5:$E$3004,$AS320)))</f>
        <v/>
      </c>
      <c r="G320" s="14">
        <f>IF($A320="","",IF(INDEX('潜水記録'!$F$5:$F$3004,$AS320)="","",INDEX('潜水記録'!$F$5:$F$3004,$AS320)))</f>
        <v/>
      </c>
      <c r="H320" s="14">
        <f>IF($A320="","",IF(INDEX('潜水記録'!$G$5:$G$3004,$AS320)="","",INDEX('潜水記録'!$G$5:$G$3004,$AS320)))</f>
        <v/>
      </c>
      <c r="I320" s="14">
        <f>IF($A320="","",IF(INDEX('潜水記録'!$H$5:$H$3004,$AS320)="","",INDEX('潜水記録'!$H$5:$H$3004,$AS320)))</f>
        <v/>
      </c>
      <c r="J320" s="14">
        <f>IF($A320="","",IF(INDEX('潜水記録'!$I$5:$I$3004,$AS320)="","",INDEX('潜水記録'!$I$5:$I$3004,$AS320)))</f>
        <v/>
      </c>
      <c r="K320" s="14">
        <f>IF($A320="","",IF(INDEX('潜水記録'!$J$5:$J$3004,$AS320)="","",INDEX('潜水記録'!$J$5:$J$3004,$AS320)))</f>
        <v/>
      </c>
      <c r="L320" s="14">
        <f>IF($A320="","",IF(INDEX('潜水記録'!$K$5:$K$3004,$AS320)="","",INDEX('潜水記録'!$K$5:$K$3004,$AS320)))</f>
        <v/>
      </c>
      <c r="M320" s="14">
        <f>IF($A320="","",IF(INDEX('潜水記録'!$L$5:$L$3004,$AS320)="","",INDEX('潜水記録'!$L$5:$L$3004,$AS320)))</f>
        <v/>
      </c>
      <c r="N320" s="14">
        <f>IF($A320="","",IF(INDEX('潜水記録'!$M$5:$M$3004,$AS320)="","",INDEX('潜水記録'!$M$5:$M$3004,$AS320)))</f>
        <v/>
      </c>
      <c r="O320" s="14">
        <f>IF($A320="","",IF(INDEX('潜水記録'!$N$5:$N$3004,$AS320)="","",INDEX('潜水記録'!$N$5:$N$3004,$AS320)))</f>
        <v/>
      </c>
      <c r="P320" s="14">
        <f>IF($A320="","",IF(INDEX('潜水記録'!$O$5:$O$3004,$AS320)="","",INDEX('潜水記録'!$O$5:$O$3004,$AS320)))</f>
        <v/>
      </c>
      <c r="Q320" s="14">
        <f>IF($A320="","",IF(INDEX('潜水記録'!$P$5:$P$3004,$AS320)="","",INDEX('潜水記録'!$P$5:$P$3004,$AS320)))</f>
        <v/>
      </c>
      <c r="R320" s="14">
        <f>IF($A320="","",IF(INDEX('潜水記録'!$Q$5:$Q$3004,$AS320)="","",INDEX('潜水記録'!$Q$5:$Q$3004,$AS320)))</f>
        <v/>
      </c>
      <c r="S320" s="14">
        <f>IF($A320="","",IF(INDEX('潜水記録'!$R$5:$R$3004,$AS320)="","",INDEX('潜水記録'!$R$5:$R$3004,$AS320)))</f>
        <v/>
      </c>
      <c r="T320" s="14">
        <f>IF($A320="","",IF(INDEX('潜水記録'!$S$5:$S$3004,$AS320)="","",INDEX('潜水記録'!$S$5:$S$3004,$AS320)))</f>
        <v/>
      </c>
      <c r="U320" s="14">
        <f>IF($A320="","",IF(INDEX('潜水記録'!$T$5:$T$3004,$AS320)="","",INDEX('潜水記録'!$T$5:$T$3004,$AS320)))</f>
        <v/>
      </c>
      <c r="V320" s="46">
        <f>IF($A320="","",IF(INDEX('潜水記録'!$U$5:$U$3004,$AS320)="","",INDEX('潜水記録'!$U$5:$U$3004,$AS320)))</f>
        <v/>
      </c>
      <c r="W320" s="46">
        <f>IF($A320="","",IF(INDEX('潜水記録'!$V$5:$V$3004,$AS320)="","",INDEX('潜水記録'!$V$5:$V$3004,$AS320)))</f>
        <v/>
      </c>
      <c r="X320" s="14">
        <f>IF($A320="","",IF(INDEX('潜水記録'!$W$5:$W$3004,$AS320)="","",INDEX('潜水記録'!$W$5:$W$3004,$AS320)))</f>
        <v/>
      </c>
      <c r="Y320" s="14">
        <f>IF($A320="","",IF(INDEX('潜水記録'!$X$5:$X$3004,$AS320)="","",INDEX('潜水記録'!$X$5:$X$3004,$AS320)))</f>
        <v/>
      </c>
      <c r="Z320" s="14">
        <f>IF($A320="","",IF(INDEX('潜水記録'!$Y$5:$Y$3004,$AS320)="","",INDEX('潜水記録'!$Y$5:$Y$3004,$AS320)))</f>
        <v/>
      </c>
      <c r="AA320" s="14">
        <f>IF($A320="","",IF(INDEX('潜水記録'!$Z$5:$Z$3004,$AS320)="","",INDEX('潜水記録'!$Z$5:$Z$3004,$AS320)))</f>
        <v/>
      </c>
      <c r="AB320" s="14">
        <f>IF($A320="","",IF(INDEX('潜水記録'!$AA$5:$AA$3004,$AS320)="","",INDEX('潜水記録'!$AA$5:$AA$3004,$AS320)))</f>
        <v/>
      </c>
      <c r="AC320" s="14">
        <f>IF($A320="","",IF(INDEX('潜水記録'!$AB$5:$AB$3004,$AS320)="","",INDEX('潜水記録'!$AB$5:$AB$3004,$AS320)))</f>
        <v/>
      </c>
      <c r="AD320" s="14">
        <f>IF($A320="","",IF(INDEX('潜水記録'!$AC$5:$AC$3004,$AS320)="","",INDEX('潜水記録'!$AC$5:$AC$3004,$AS320)))</f>
        <v/>
      </c>
      <c r="AE320" s="14">
        <f>IF($A320="","",IF(INDEX('潜水記録'!$AD$5:$AD$3004,$AS320)="","",INDEX('潜水記録'!$AD$5:$AD$3004,$AS320)))</f>
        <v/>
      </c>
      <c r="AF320" s="14">
        <f>IF($A320="","",IF(INDEX('潜水記録'!$AE$5:$AE$3004,$AS320)="","",INDEX('潜水記録'!$AE$5:$AE$3004,$AS320)))</f>
        <v/>
      </c>
      <c r="AG320" s="14">
        <f>IF($A320="","",IF(INDEX('潜水記録'!$AL$5:$AL$3004,$AS320)="","",INDEX('潜水記録'!$AL$5:$AL$3004,$AS320)))</f>
        <v/>
      </c>
      <c r="AH320" s="14">
        <f>IF($A320="","",IF(INDEX('潜水記録'!$AM$5:$AM$3004,$AS320)="","",INDEX('潜水記録'!$AM$5:$AM$3004,$AS320)))</f>
        <v/>
      </c>
      <c r="AI320" s="46">
        <f>IF($A320="","",IF(INDEX('潜水記録'!$AN$5:$AN$3004,$AS320)="","",INDEX('潜水記録'!$AN$5:$AN$3004,$AS320)))</f>
        <v/>
      </c>
      <c r="AJ320" s="14">
        <f>IF($A320="","",IF(INDEX('潜水記録'!$AO$5:$AO$3004,$AS320)="","",INDEX('潜水記録'!$AO$5:$AO$3004,$AS320)))</f>
        <v/>
      </c>
      <c r="AK320" s="14">
        <f>IF($A320="","",IF(INDEX('潜水記録'!$AP$5:$AP$3004,$AS320)="","",INDEX('潜水記録'!$AP$5:$AP$3004,$AS320)))</f>
        <v/>
      </c>
      <c r="AL320" s="14">
        <f>IF($A320="","",IF(INDEX('潜水記録'!$AQ$5:$AQ$3004,$AS320)="","",INDEX('潜水記録'!$AQ$5:$AQ$3004,$AS320)))</f>
        <v/>
      </c>
      <c r="AM320" s="14">
        <f>IF($A320="","",IF(INDEX('潜水記録'!$AR$5:$AR$3004,$AS320)="","",INDEX('潜水記録'!$AR$5:$AR$3004,$AS320)))</f>
        <v/>
      </c>
      <c r="AN320" s="14">
        <f>IF($A320="","",IF(INDEX('潜水記録'!$AS$5:$AS$3004,$AS320)="","",INDEX('潜水記録'!$AS$5:$AS$3004,$AS320)))</f>
        <v/>
      </c>
      <c r="AO320" s="14">
        <f>IF($A320="","",IF(INDEX('潜水記録'!$AT$5:$AT$3004,$AS320)="","",INDEX('潜水記録'!$AT$5:$AT$3004,$AS320)))</f>
        <v/>
      </c>
      <c r="AP320" s="14">
        <f>IF($A320="","",IF(INDEX('潜水記録'!$AU$5:$AU$3004,$AS320)="","",INDEX('潜水記録'!$AU$5:$AU$3004,$AS320)))</f>
        <v/>
      </c>
      <c r="AQ320" s="14">
        <f>IF($A320="","",IF(INDEX('潜水記録'!$AV$5:$AV$3004,$AS320)="","",INDEX('潜水記録'!$AV$5:$AV$3004,$AS320)))</f>
        <v/>
      </c>
      <c r="AR320" s="14">
        <f>IF($A320="","",IF(INDEX('潜水記録'!$AW$5:$AW$3004,$AS320)="","",INDEX('潜水記録'!$AW$5:$AW$3004,$AS320)))</f>
        <v/>
      </c>
      <c r="AS320" s="20">
        <f>IF($A320="","",MATCH($A320,'潜水記録'!$AI$5:$AI$3004,0))</f>
        <v/>
      </c>
    </row>
    <row r="321">
      <c r="A321" s="14">
        <f>IF(311&lt;=$C$8,311,"")</f>
        <v/>
      </c>
      <c r="B321" s="16">
        <f>IF($A321="","",IF(INDEX('潜水記録'!$A$5:$A$3004,$AS321)="","",INDEX('潜水記録'!$A$5:$A$3004,$AS321)))</f>
        <v/>
      </c>
      <c r="C321" s="14">
        <f>IF($A321="","",IF(INDEX('潜水記録'!$B$5:$B$3004,$AS321)="","",INDEX('潜水記録'!$B$5:$B$3004,$AS321)))</f>
        <v/>
      </c>
      <c r="D321" s="14">
        <f>IF($A321="","",IF(INDEX('潜水記録'!$C$5:$C$3004,$AS321)="","",INDEX('潜水記録'!$C$5:$C$3004,$AS321)))</f>
        <v/>
      </c>
      <c r="E321" s="14">
        <f>IF($A321="","",IF(INDEX('潜水記録'!$D$5:$D$3004,$AS321)="","",INDEX('潜水記録'!$D$5:$D$3004,$AS321)))</f>
        <v/>
      </c>
      <c r="F321" s="14">
        <f>IF($A321="","",IF(INDEX('潜水記録'!$E$5:$E$3004,$AS321)="","",INDEX('潜水記録'!$E$5:$E$3004,$AS321)))</f>
        <v/>
      </c>
      <c r="G321" s="14">
        <f>IF($A321="","",IF(INDEX('潜水記録'!$F$5:$F$3004,$AS321)="","",INDEX('潜水記録'!$F$5:$F$3004,$AS321)))</f>
        <v/>
      </c>
      <c r="H321" s="14">
        <f>IF($A321="","",IF(INDEX('潜水記録'!$G$5:$G$3004,$AS321)="","",INDEX('潜水記録'!$G$5:$G$3004,$AS321)))</f>
        <v/>
      </c>
      <c r="I321" s="14">
        <f>IF($A321="","",IF(INDEX('潜水記録'!$H$5:$H$3004,$AS321)="","",INDEX('潜水記録'!$H$5:$H$3004,$AS321)))</f>
        <v/>
      </c>
      <c r="J321" s="14">
        <f>IF($A321="","",IF(INDEX('潜水記録'!$I$5:$I$3004,$AS321)="","",INDEX('潜水記録'!$I$5:$I$3004,$AS321)))</f>
        <v/>
      </c>
      <c r="K321" s="14">
        <f>IF($A321="","",IF(INDEX('潜水記録'!$J$5:$J$3004,$AS321)="","",INDEX('潜水記録'!$J$5:$J$3004,$AS321)))</f>
        <v/>
      </c>
      <c r="L321" s="14">
        <f>IF($A321="","",IF(INDEX('潜水記録'!$K$5:$K$3004,$AS321)="","",INDEX('潜水記録'!$K$5:$K$3004,$AS321)))</f>
        <v/>
      </c>
      <c r="M321" s="14">
        <f>IF($A321="","",IF(INDEX('潜水記録'!$L$5:$L$3004,$AS321)="","",INDEX('潜水記録'!$L$5:$L$3004,$AS321)))</f>
        <v/>
      </c>
      <c r="N321" s="14">
        <f>IF($A321="","",IF(INDEX('潜水記録'!$M$5:$M$3004,$AS321)="","",INDEX('潜水記録'!$M$5:$M$3004,$AS321)))</f>
        <v/>
      </c>
      <c r="O321" s="14">
        <f>IF($A321="","",IF(INDEX('潜水記録'!$N$5:$N$3004,$AS321)="","",INDEX('潜水記録'!$N$5:$N$3004,$AS321)))</f>
        <v/>
      </c>
      <c r="P321" s="14">
        <f>IF($A321="","",IF(INDEX('潜水記録'!$O$5:$O$3004,$AS321)="","",INDEX('潜水記録'!$O$5:$O$3004,$AS321)))</f>
        <v/>
      </c>
      <c r="Q321" s="14">
        <f>IF($A321="","",IF(INDEX('潜水記録'!$P$5:$P$3004,$AS321)="","",INDEX('潜水記録'!$P$5:$P$3004,$AS321)))</f>
        <v/>
      </c>
      <c r="R321" s="14">
        <f>IF($A321="","",IF(INDEX('潜水記録'!$Q$5:$Q$3004,$AS321)="","",INDEX('潜水記録'!$Q$5:$Q$3004,$AS321)))</f>
        <v/>
      </c>
      <c r="S321" s="14">
        <f>IF($A321="","",IF(INDEX('潜水記録'!$R$5:$R$3004,$AS321)="","",INDEX('潜水記録'!$R$5:$R$3004,$AS321)))</f>
        <v/>
      </c>
      <c r="T321" s="14">
        <f>IF($A321="","",IF(INDEX('潜水記録'!$S$5:$S$3004,$AS321)="","",INDEX('潜水記録'!$S$5:$S$3004,$AS321)))</f>
        <v/>
      </c>
      <c r="U321" s="14">
        <f>IF($A321="","",IF(INDEX('潜水記録'!$T$5:$T$3004,$AS321)="","",INDEX('潜水記録'!$T$5:$T$3004,$AS321)))</f>
        <v/>
      </c>
      <c r="V321" s="46">
        <f>IF($A321="","",IF(INDEX('潜水記録'!$U$5:$U$3004,$AS321)="","",INDEX('潜水記録'!$U$5:$U$3004,$AS321)))</f>
        <v/>
      </c>
      <c r="W321" s="46">
        <f>IF($A321="","",IF(INDEX('潜水記録'!$V$5:$V$3004,$AS321)="","",INDEX('潜水記録'!$V$5:$V$3004,$AS321)))</f>
        <v/>
      </c>
      <c r="X321" s="14">
        <f>IF($A321="","",IF(INDEX('潜水記録'!$W$5:$W$3004,$AS321)="","",INDEX('潜水記録'!$W$5:$W$3004,$AS321)))</f>
        <v/>
      </c>
      <c r="Y321" s="14">
        <f>IF($A321="","",IF(INDEX('潜水記録'!$X$5:$X$3004,$AS321)="","",INDEX('潜水記録'!$X$5:$X$3004,$AS321)))</f>
        <v/>
      </c>
      <c r="Z321" s="14">
        <f>IF($A321="","",IF(INDEX('潜水記録'!$Y$5:$Y$3004,$AS321)="","",INDEX('潜水記録'!$Y$5:$Y$3004,$AS321)))</f>
        <v/>
      </c>
      <c r="AA321" s="14">
        <f>IF($A321="","",IF(INDEX('潜水記録'!$Z$5:$Z$3004,$AS321)="","",INDEX('潜水記録'!$Z$5:$Z$3004,$AS321)))</f>
        <v/>
      </c>
      <c r="AB321" s="14">
        <f>IF($A321="","",IF(INDEX('潜水記録'!$AA$5:$AA$3004,$AS321)="","",INDEX('潜水記録'!$AA$5:$AA$3004,$AS321)))</f>
        <v/>
      </c>
      <c r="AC321" s="14">
        <f>IF($A321="","",IF(INDEX('潜水記録'!$AB$5:$AB$3004,$AS321)="","",INDEX('潜水記録'!$AB$5:$AB$3004,$AS321)))</f>
        <v/>
      </c>
      <c r="AD321" s="14">
        <f>IF($A321="","",IF(INDEX('潜水記録'!$AC$5:$AC$3004,$AS321)="","",INDEX('潜水記録'!$AC$5:$AC$3004,$AS321)))</f>
        <v/>
      </c>
      <c r="AE321" s="14">
        <f>IF($A321="","",IF(INDEX('潜水記録'!$AD$5:$AD$3004,$AS321)="","",INDEX('潜水記録'!$AD$5:$AD$3004,$AS321)))</f>
        <v/>
      </c>
      <c r="AF321" s="14">
        <f>IF($A321="","",IF(INDEX('潜水記録'!$AE$5:$AE$3004,$AS321)="","",INDEX('潜水記録'!$AE$5:$AE$3004,$AS321)))</f>
        <v/>
      </c>
      <c r="AG321" s="14">
        <f>IF($A321="","",IF(INDEX('潜水記録'!$AL$5:$AL$3004,$AS321)="","",INDEX('潜水記録'!$AL$5:$AL$3004,$AS321)))</f>
        <v/>
      </c>
      <c r="AH321" s="14">
        <f>IF($A321="","",IF(INDEX('潜水記録'!$AM$5:$AM$3004,$AS321)="","",INDEX('潜水記録'!$AM$5:$AM$3004,$AS321)))</f>
        <v/>
      </c>
      <c r="AI321" s="46">
        <f>IF($A321="","",IF(INDEX('潜水記録'!$AN$5:$AN$3004,$AS321)="","",INDEX('潜水記録'!$AN$5:$AN$3004,$AS321)))</f>
        <v/>
      </c>
      <c r="AJ321" s="14">
        <f>IF($A321="","",IF(INDEX('潜水記録'!$AO$5:$AO$3004,$AS321)="","",INDEX('潜水記録'!$AO$5:$AO$3004,$AS321)))</f>
        <v/>
      </c>
      <c r="AK321" s="14">
        <f>IF($A321="","",IF(INDEX('潜水記録'!$AP$5:$AP$3004,$AS321)="","",INDEX('潜水記録'!$AP$5:$AP$3004,$AS321)))</f>
        <v/>
      </c>
      <c r="AL321" s="14">
        <f>IF($A321="","",IF(INDEX('潜水記録'!$AQ$5:$AQ$3004,$AS321)="","",INDEX('潜水記録'!$AQ$5:$AQ$3004,$AS321)))</f>
        <v/>
      </c>
      <c r="AM321" s="14">
        <f>IF($A321="","",IF(INDEX('潜水記録'!$AR$5:$AR$3004,$AS321)="","",INDEX('潜水記録'!$AR$5:$AR$3004,$AS321)))</f>
        <v/>
      </c>
      <c r="AN321" s="14">
        <f>IF($A321="","",IF(INDEX('潜水記録'!$AS$5:$AS$3004,$AS321)="","",INDEX('潜水記録'!$AS$5:$AS$3004,$AS321)))</f>
        <v/>
      </c>
      <c r="AO321" s="14">
        <f>IF($A321="","",IF(INDEX('潜水記録'!$AT$5:$AT$3004,$AS321)="","",INDEX('潜水記録'!$AT$5:$AT$3004,$AS321)))</f>
        <v/>
      </c>
      <c r="AP321" s="14">
        <f>IF($A321="","",IF(INDEX('潜水記録'!$AU$5:$AU$3004,$AS321)="","",INDEX('潜水記録'!$AU$5:$AU$3004,$AS321)))</f>
        <v/>
      </c>
      <c r="AQ321" s="14">
        <f>IF($A321="","",IF(INDEX('潜水記録'!$AV$5:$AV$3004,$AS321)="","",INDEX('潜水記録'!$AV$5:$AV$3004,$AS321)))</f>
        <v/>
      </c>
      <c r="AR321" s="14">
        <f>IF($A321="","",IF(INDEX('潜水記録'!$AW$5:$AW$3004,$AS321)="","",INDEX('潜水記録'!$AW$5:$AW$3004,$AS321)))</f>
        <v/>
      </c>
      <c r="AS321" s="20">
        <f>IF($A321="","",MATCH($A321,'潜水記録'!$AI$5:$AI$3004,0))</f>
        <v/>
      </c>
    </row>
    <row r="322">
      <c r="A322" s="14">
        <f>IF(312&lt;=$C$8,312,"")</f>
        <v/>
      </c>
      <c r="B322" s="16">
        <f>IF($A322="","",IF(INDEX('潜水記録'!$A$5:$A$3004,$AS322)="","",INDEX('潜水記録'!$A$5:$A$3004,$AS322)))</f>
        <v/>
      </c>
      <c r="C322" s="14">
        <f>IF($A322="","",IF(INDEX('潜水記録'!$B$5:$B$3004,$AS322)="","",INDEX('潜水記録'!$B$5:$B$3004,$AS322)))</f>
        <v/>
      </c>
      <c r="D322" s="14">
        <f>IF($A322="","",IF(INDEX('潜水記録'!$C$5:$C$3004,$AS322)="","",INDEX('潜水記録'!$C$5:$C$3004,$AS322)))</f>
        <v/>
      </c>
      <c r="E322" s="14">
        <f>IF($A322="","",IF(INDEX('潜水記録'!$D$5:$D$3004,$AS322)="","",INDEX('潜水記録'!$D$5:$D$3004,$AS322)))</f>
        <v/>
      </c>
      <c r="F322" s="14">
        <f>IF($A322="","",IF(INDEX('潜水記録'!$E$5:$E$3004,$AS322)="","",INDEX('潜水記録'!$E$5:$E$3004,$AS322)))</f>
        <v/>
      </c>
      <c r="G322" s="14">
        <f>IF($A322="","",IF(INDEX('潜水記録'!$F$5:$F$3004,$AS322)="","",INDEX('潜水記録'!$F$5:$F$3004,$AS322)))</f>
        <v/>
      </c>
      <c r="H322" s="14">
        <f>IF($A322="","",IF(INDEX('潜水記録'!$G$5:$G$3004,$AS322)="","",INDEX('潜水記録'!$G$5:$G$3004,$AS322)))</f>
        <v/>
      </c>
      <c r="I322" s="14">
        <f>IF($A322="","",IF(INDEX('潜水記録'!$H$5:$H$3004,$AS322)="","",INDEX('潜水記録'!$H$5:$H$3004,$AS322)))</f>
        <v/>
      </c>
      <c r="J322" s="14">
        <f>IF($A322="","",IF(INDEX('潜水記録'!$I$5:$I$3004,$AS322)="","",INDEX('潜水記録'!$I$5:$I$3004,$AS322)))</f>
        <v/>
      </c>
      <c r="K322" s="14">
        <f>IF($A322="","",IF(INDEX('潜水記録'!$J$5:$J$3004,$AS322)="","",INDEX('潜水記録'!$J$5:$J$3004,$AS322)))</f>
        <v/>
      </c>
      <c r="L322" s="14">
        <f>IF($A322="","",IF(INDEX('潜水記録'!$K$5:$K$3004,$AS322)="","",INDEX('潜水記録'!$K$5:$K$3004,$AS322)))</f>
        <v/>
      </c>
      <c r="M322" s="14">
        <f>IF($A322="","",IF(INDEX('潜水記録'!$L$5:$L$3004,$AS322)="","",INDEX('潜水記録'!$L$5:$L$3004,$AS322)))</f>
        <v/>
      </c>
      <c r="N322" s="14">
        <f>IF($A322="","",IF(INDEX('潜水記録'!$M$5:$M$3004,$AS322)="","",INDEX('潜水記録'!$M$5:$M$3004,$AS322)))</f>
        <v/>
      </c>
      <c r="O322" s="14">
        <f>IF($A322="","",IF(INDEX('潜水記録'!$N$5:$N$3004,$AS322)="","",INDEX('潜水記録'!$N$5:$N$3004,$AS322)))</f>
        <v/>
      </c>
      <c r="P322" s="14">
        <f>IF($A322="","",IF(INDEX('潜水記録'!$O$5:$O$3004,$AS322)="","",INDEX('潜水記録'!$O$5:$O$3004,$AS322)))</f>
        <v/>
      </c>
      <c r="Q322" s="14">
        <f>IF($A322="","",IF(INDEX('潜水記録'!$P$5:$P$3004,$AS322)="","",INDEX('潜水記録'!$P$5:$P$3004,$AS322)))</f>
        <v/>
      </c>
      <c r="R322" s="14">
        <f>IF($A322="","",IF(INDEX('潜水記録'!$Q$5:$Q$3004,$AS322)="","",INDEX('潜水記録'!$Q$5:$Q$3004,$AS322)))</f>
        <v/>
      </c>
      <c r="S322" s="14">
        <f>IF($A322="","",IF(INDEX('潜水記録'!$R$5:$R$3004,$AS322)="","",INDEX('潜水記録'!$R$5:$R$3004,$AS322)))</f>
        <v/>
      </c>
      <c r="T322" s="14">
        <f>IF($A322="","",IF(INDEX('潜水記録'!$S$5:$S$3004,$AS322)="","",INDEX('潜水記録'!$S$5:$S$3004,$AS322)))</f>
        <v/>
      </c>
      <c r="U322" s="14">
        <f>IF($A322="","",IF(INDEX('潜水記録'!$T$5:$T$3004,$AS322)="","",INDEX('潜水記録'!$T$5:$T$3004,$AS322)))</f>
        <v/>
      </c>
      <c r="V322" s="46">
        <f>IF($A322="","",IF(INDEX('潜水記録'!$U$5:$U$3004,$AS322)="","",INDEX('潜水記録'!$U$5:$U$3004,$AS322)))</f>
        <v/>
      </c>
      <c r="W322" s="46">
        <f>IF($A322="","",IF(INDEX('潜水記録'!$V$5:$V$3004,$AS322)="","",INDEX('潜水記録'!$V$5:$V$3004,$AS322)))</f>
        <v/>
      </c>
      <c r="X322" s="14">
        <f>IF($A322="","",IF(INDEX('潜水記録'!$W$5:$W$3004,$AS322)="","",INDEX('潜水記録'!$W$5:$W$3004,$AS322)))</f>
        <v/>
      </c>
      <c r="Y322" s="14">
        <f>IF($A322="","",IF(INDEX('潜水記録'!$X$5:$X$3004,$AS322)="","",INDEX('潜水記録'!$X$5:$X$3004,$AS322)))</f>
        <v/>
      </c>
      <c r="Z322" s="14">
        <f>IF($A322="","",IF(INDEX('潜水記録'!$Y$5:$Y$3004,$AS322)="","",INDEX('潜水記録'!$Y$5:$Y$3004,$AS322)))</f>
        <v/>
      </c>
      <c r="AA322" s="14">
        <f>IF($A322="","",IF(INDEX('潜水記録'!$Z$5:$Z$3004,$AS322)="","",INDEX('潜水記録'!$Z$5:$Z$3004,$AS322)))</f>
        <v/>
      </c>
      <c r="AB322" s="14">
        <f>IF($A322="","",IF(INDEX('潜水記録'!$AA$5:$AA$3004,$AS322)="","",INDEX('潜水記録'!$AA$5:$AA$3004,$AS322)))</f>
        <v/>
      </c>
      <c r="AC322" s="14">
        <f>IF($A322="","",IF(INDEX('潜水記録'!$AB$5:$AB$3004,$AS322)="","",INDEX('潜水記録'!$AB$5:$AB$3004,$AS322)))</f>
        <v/>
      </c>
      <c r="AD322" s="14">
        <f>IF($A322="","",IF(INDEX('潜水記録'!$AC$5:$AC$3004,$AS322)="","",INDEX('潜水記録'!$AC$5:$AC$3004,$AS322)))</f>
        <v/>
      </c>
      <c r="AE322" s="14">
        <f>IF($A322="","",IF(INDEX('潜水記録'!$AD$5:$AD$3004,$AS322)="","",INDEX('潜水記録'!$AD$5:$AD$3004,$AS322)))</f>
        <v/>
      </c>
      <c r="AF322" s="14">
        <f>IF($A322="","",IF(INDEX('潜水記録'!$AE$5:$AE$3004,$AS322)="","",INDEX('潜水記録'!$AE$5:$AE$3004,$AS322)))</f>
        <v/>
      </c>
      <c r="AG322" s="14">
        <f>IF($A322="","",IF(INDEX('潜水記録'!$AL$5:$AL$3004,$AS322)="","",INDEX('潜水記録'!$AL$5:$AL$3004,$AS322)))</f>
        <v/>
      </c>
      <c r="AH322" s="14">
        <f>IF($A322="","",IF(INDEX('潜水記録'!$AM$5:$AM$3004,$AS322)="","",INDEX('潜水記録'!$AM$5:$AM$3004,$AS322)))</f>
        <v/>
      </c>
      <c r="AI322" s="46">
        <f>IF($A322="","",IF(INDEX('潜水記録'!$AN$5:$AN$3004,$AS322)="","",INDEX('潜水記録'!$AN$5:$AN$3004,$AS322)))</f>
        <v/>
      </c>
      <c r="AJ322" s="14">
        <f>IF($A322="","",IF(INDEX('潜水記録'!$AO$5:$AO$3004,$AS322)="","",INDEX('潜水記録'!$AO$5:$AO$3004,$AS322)))</f>
        <v/>
      </c>
      <c r="AK322" s="14">
        <f>IF($A322="","",IF(INDEX('潜水記録'!$AP$5:$AP$3004,$AS322)="","",INDEX('潜水記録'!$AP$5:$AP$3004,$AS322)))</f>
        <v/>
      </c>
      <c r="AL322" s="14">
        <f>IF($A322="","",IF(INDEX('潜水記録'!$AQ$5:$AQ$3004,$AS322)="","",INDEX('潜水記録'!$AQ$5:$AQ$3004,$AS322)))</f>
        <v/>
      </c>
      <c r="AM322" s="14">
        <f>IF($A322="","",IF(INDEX('潜水記録'!$AR$5:$AR$3004,$AS322)="","",INDEX('潜水記録'!$AR$5:$AR$3004,$AS322)))</f>
        <v/>
      </c>
      <c r="AN322" s="14">
        <f>IF($A322="","",IF(INDEX('潜水記録'!$AS$5:$AS$3004,$AS322)="","",INDEX('潜水記録'!$AS$5:$AS$3004,$AS322)))</f>
        <v/>
      </c>
      <c r="AO322" s="14">
        <f>IF($A322="","",IF(INDEX('潜水記録'!$AT$5:$AT$3004,$AS322)="","",INDEX('潜水記録'!$AT$5:$AT$3004,$AS322)))</f>
        <v/>
      </c>
      <c r="AP322" s="14">
        <f>IF($A322="","",IF(INDEX('潜水記録'!$AU$5:$AU$3004,$AS322)="","",INDEX('潜水記録'!$AU$5:$AU$3004,$AS322)))</f>
        <v/>
      </c>
      <c r="AQ322" s="14">
        <f>IF($A322="","",IF(INDEX('潜水記録'!$AV$5:$AV$3004,$AS322)="","",INDEX('潜水記録'!$AV$5:$AV$3004,$AS322)))</f>
        <v/>
      </c>
      <c r="AR322" s="14">
        <f>IF($A322="","",IF(INDEX('潜水記録'!$AW$5:$AW$3004,$AS322)="","",INDEX('潜水記録'!$AW$5:$AW$3004,$AS322)))</f>
        <v/>
      </c>
      <c r="AS322" s="20">
        <f>IF($A322="","",MATCH($A322,'潜水記録'!$AI$5:$AI$3004,0))</f>
        <v/>
      </c>
    </row>
    <row r="323">
      <c r="A323" s="14">
        <f>IF(313&lt;=$C$8,313,"")</f>
        <v/>
      </c>
      <c r="B323" s="16">
        <f>IF($A323="","",IF(INDEX('潜水記録'!$A$5:$A$3004,$AS323)="","",INDEX('潜水記録'!$A$5:$A$3004,$AS323)))</f>
        <v/>
      </c>
      <c r="C323" s="14">
        <f>IF($A323="","",IF(INDEX('潜水記録'!$B$5:$B$3004,$AS323)="","",INDEX('潜水記録'!$B$5:$B$3004,$AS323)))</f>
        <v/>
      </c>
      <c r="D323" s="14">
        <f>IF($A323="","",IF(INDEX('潜水記録'!$C$5:$C$3004,$AS323)="","",INDEX('潜水記録'!$C$5:$C$3004,$AS323)))</f>
        <v/>
      </c>
      <c r="E323" s="14">
        <f>IF($A323="","",IF(INDEX('潜水記録'!$D$5:$D$3004,$AS323)="","",INDEX('潜水記録'!$D$5:$D$3004,$AS323)))</f>
        <v/>
      </c>
      <c r="F323" s="14">
        <f>IF($A323="","",IF(INDEX('潜水記録'!$E$5:$E$3004,$AS323)="","",INDEX('潜水記録'!$E$5:$E$3004,$AS323)))</f>
        <v/>
      </c>
      <c r="G323" s="14">
        <f>IF($A323="","",IF(INDEX('潜水記録'!$F$5:$F$3004,$AS323)="","",INDEX('潜水記録'!$F$5:$F$3004,$AS323)))</f>
        <v/>
      </c>
      <c r="H323" s="14">
        <f>IF($A323="","",IF(INDEX('潜水記録'!$G$5:$G$3004,$AS323)="","",INDEX('潜水記録'!$G$5:$G$3004,$AS323)))</f>
        <v/>
      </c>
      <c r="I323" s="14">
        <f>IF($A323="","",IF(INDEX('潜水記録'!$H$5:$H$3004,$AS323)="","",INDEX('潜水記録'!$H$5:$H$3004,$AS323)))</f>
        <v/>
      </c>
      <c r="J323" s="14">
        <f>IF($A323="","",IF(INDEX('潜水記録'!$I$5:$I$3004,$AS323)="","",INDEX('潜水記録'!$I$5:$I$3004,$AS323)))</f>
        <v/>
      </c>
      <c r="K323" s="14">
        <f>IF($A323="","",IF(INDEX('潜水記録'!$J$5:$J$3004,$AS323)="","",INDEX('潜水記録'!$J$5:$J$3004,$AS323)))</f>
        <v/>
      </c>
      <c r="L323" s="14">
        <f>IF($A323="","",IF(INDEX('潜水記録'!$K$5:$K$3004,$AS323)="","",INDEX('潜水記録'!$K$5:$K$3004,$AS323)))</f>
        <v/>
      </c>
      <c r="M323" s="14">
        <f>IF($A323="","",IF(INDEX('潜水記録'!$L$5:$L$3004,$AS323)="","",INDEX('潜水記録'!$L$5:$L$3004,$AS323)))</f>
        <v/>
      </c>
      <c r="N323" s="14">
        <f>IF($A323="","",IF(INDEX('潜水記録'!$M$5:$M$3004,$AS323)="","",INDEX('潜水記録'!$M$5:$M$3004,$AS323)))</f>
        <v/>
      </c>
      <c r="O323" s="14">
        <f>IF($A323="","",IF(INDEX('潜水記録'!$N$5:$N$3004,$AS323)="","",INDEX('潜水記録'!$N$5:$N$3004,$AS323)))</f>
        <v/>
      </c>
      <c r="P323" s="14">
        <f>IF($A323="","",IF(INDEX('潜水記録'!$O$5:$O$3004,$AS323)="","",INDEX('潜水記録'!$O$5:$O$3004,$AS323)))</f>
        <v/>
      </c>
      <c r="Q323" s="14">
        <f>IF($A323="","",IF(INDEX('潜水記録'!$P$5:$P$3004,$AS323)="","",INDEX('潜水記録'!$P$5:$P$3004,$AS323)))</f>
        <v/>
      </c>
      <c r="R323" s="14">
        <f>IF($A323="","",IF(INDEX('潜水記録'!$Q$5:$Q$3004,$AS323)="","",INDEX('潜水記録'!$Q$5:$Q$3004,$AS323)))</f>
        <v/>
      </c>
      <c r="S323" s="14">
        <f>IF($A323="","",IF(INDEX('潜水記録'!$R$5:$R$3004,$AS323)="","",INDEX('潜水記録'!$R$5:$R$3004,$AS323)))</f>
        <v/>
      </c>
      <c r="T323" s="14">
        <f>IF($A323="","",IF(INDEX('潜水記録'!$S$5:$S$3004,$AS323)="","",INDEX('潜水記録'!$S$5:$S$3004,$AS323)))</f>
        <v/>
      </c>
      <c r="U323" s="14">
        <f>IF($A323="","",IF(INDEX('潜水記録'!$T$5:$T$3004,$AS323)="","",INDEX('潜水記録'!$T$5:$T$3004,$AS323)))</f>
        <v/>
      </c>
      <c r="V323" s="46">
        <f>IF($A323="","",IF(INDEX('潜水記録'!$U$5:$U$3004,$AS323)="","",INDEX('潜水記録'!$U$5:$U$3004,$AS323)))</f>
        <v/>
      </c>
      <c r="W323" s="46">
        <f>IF($A323="","",IF(INDEX('潜水記録'!$V$5:$V$3004,$AS323)="","",INDEX('潜水記録'!$V$5:$V$3004,$AS323)))</f>
        <v/>
      </c>
      <c r="X323" s="14">
        <f>IF($A323="","",IF(INDEX('潜水記録'!$W$5:$W$3004,$AS323)="","",INDEX('潜水記録'!$W$5:$W$3004,$AS323)))</f>
        <v/>
      </c>
      <c r="Y323" s="14">
        <f>IF($A323="","",IF(INDEX('潜水記録'!$X$5:$X$3004,$AS323)="","",INDEX('潜水記録'!$X$5:$X$3004,$AS323)))</f>
        <v/>
      </c>
      <c r="Z323" s="14">
        <f>IF($A323="","",IF(INDEX('潜水記録'!$Y$5:$Y$3004,$AS323)="","",INDEX('潜水記録'!$Y$5:$Y$3004,$AS323)))</f>
        <v/>
      </c>
      <c r="AA323" s="14">
        <f>IF($A323="","",IF(INDEX('潜水記録'!$Z$5:$Z$3004,$AS323)="","",INDEX('潜水記録'!$Z$5:$Z$3004,$AS323)))</f>
        <v/>
      </c>
      <c r="AB323" s="14">
        <f>IF($A323="","",IF(INDEX('潜水記録'!$AA$5:$AA$3004,$AS323)="","",INDEX('潜水記録'!$AA$5:$AA$3004,$AS323)))</f>
        <v/>
      </c>
      <c r="AC323" s="14">
        <f>IF($A323="","",IF(INDEX('潜水記録'!$AB$5:$AB$3004,$AS323)="","",INDEX('潜水記録'!$AB$5:$AB$3004,$AS323)))</f>
        <v/>
      </c>
      <c r="AD323" s="14">
        <f>IF($A323="","",IF(INDEX('潜水記録'!$AC$5:$AC$3004,$AS323)="","",INDEX('潜水記録'!$AC$5:$AC$3004,$AS323)))</f>
        <v/>
      </c>
      <c r="AE323" s="14">
        <f>IF($A323="","",IF(INDEX('潜水記録'!$AD$5:$AD$3004,$AS323)="","",INDEX('潜水記録'!$AD$5:$AD$3004,$AS323)))</f>
        <v/>
      </c>
      <c r="AF323" s="14">
        <f>IF($A323="","",IF(INDEX('潜水記録'!$AE$5:$AE$3004,$AS323)="","",INDEX('潜水記録'!$AE$5:$AE$3004,$AS323)))</f>
        <v/>
      </c>
      <c r="AG323" s="14">
        <f>IF($A323="","",IF(INDEX('潜水記録'!$AL$5:$AL$3004,$AS323)="","",INDEX('潜水記録'!$AL$5:$AL$3004,$AS323)))</f>
        <v/>
      </c>
      <c r="AH323" s="14">
        <f>IF($A323="","",IF(INDEX('潜水記録'!$AM$5:$AM$3004,$AS323)="","",INDEX('潜水記録'!$AM$5:$AM$3004,$AS323)))</f>
        <v/>
      </c>
      <c r="AI323" s="46">
        <f>IF($A323="","",IF(INDEX('潜水記録'!$AN$5:$AN$3004,$AS323)="","",INDEX('潜水記録'!$AN$5:$AN$3004,$AS323)))</f>
        <v/>
      </c>
      <c r="AJ323" s="14">
        <f>IF($A323="","",IF(INDEX('潜水記録'!$AO$5:$AO$3004,$AS323)="","",INDEX('潜水記録'!$AO$5:$AO$3004,$AS323)))</f>
        <v/>
      </c>
      <c r="AK323" s="14">
        <f>IF($A323="","",IF(INDEX('潜水記録'!$AP$5:$AP$3004,$AS323)="","",INDEX('潜水記録'!$AP$5:$AP$3004,$AS323)))</f>
        <v/>
      </c>
      <c r="AL323" s="14">
        <f>IF($A323="","",IF(INDEX('潜水記録'!$AQ$5:$AQ$3004,$AS323)="","",INDEX('潜水記録'!$AQ$5:$AQ$3004,$AS323)))</f>
        <v/>
      </c>
      <c r="AM323" s="14">
        <f>IF($A323="","",IF(INDEX('潜水記録'!$AR$5:$AR$3004,$AS323)="","",INDEX('潜水記録'!$AR$5:$AR$3004,$AS323)))</f>
        <v/>
      </c>
      <c r="AN323" s="14">
        <f>IF($A323="","",IF(INDEX('潜水記録'!$AS$5:$AS$3004,$AS323)="","",INDEX('潜水記録'!$AS$5:$AS$3004,$AS323)))</f>
        <v/>
      </c>
      <c r="AO323" s="14">
        <f>IF($A323="","",IF(INDEX('潜水記録'!$AT$5:$AT$3004,$AS323)="","",INDEX('潜水記録'!$AT$5:$AT$3004,$AS323)))</f>
        <v/>
      </c>
      <c r="AP323" s="14">
        <f>IF($A323="","",IF(INDEX('潜水記録'!$AU$5:$AU$3004,$AS323)="","",INDEX('潜水記録'!$AU$5:$AU$3004,$AS323)))</f>
        <v/>
      </c>
      <c r="AQ323" s="14">
        <f>IF($A323="","",IF(INDEX('潜水記録'!$AV$5:$AV$3004,$AS323)="","",INDEX('潜水記録'!$AV$5:$AV$3004,$AS323)))</f>
        <v/>
      </c>
      <c r="AR323" s="14">
        <f>IF($A323="","",IF(INDEX('潜水記録'!$AW$5:$AW$3004,$AS323)="","",INDEX('潜水記録'!$AW$5:$AW$3004,$AS323)))</f>
        <v/>
      </c>
      <c r="AS323" s="20">
        <f>IF($A323="","",MATCH($A323,'潜水記録'!$AI$5:$AI$3004,0))</f>
        <v/>
      </c>
    </row>
    <row r="324">
      <c r="A324" s="14">
        <f>IF(314&lt;=$C$8,314,"")</f>
        <v/>
      </c>
      <c r="B324" s="16">
        <f>IF($A324="","",IF(INDEX('潜水記録'!$A$5:$A$3004,$AS324)="","",INDEX('潜水記録'!$A$5:$A$3004,$AS324)))</f>
        <v/>
      </c>
      <c r="C324" s="14">
        <f>IF($A324="","",IF(INDEX('潜水記録'!$B$5:$B$3004,$AS324)="","",INDEX('潜水記録'!$B$5:$B$3004,$AS324)))</f>
        <v/>
      </c>
      <c r="D324" s="14">
        <f>IF($A324="","",IF(INDEX('潜水記録'!$C$5:$C$3004,$AS324)="","",INDEX('潜水記録'!$C$5:$C$3004,$AS324)))</f>
        <v/>
      </c>
      <c r="E324" s="14">
        <f>IF($A324="","",IF(INDEX('潜水記録'!$D$5:$D$3004,$AS324)="","",INDEX('潜水記録'!$D$5:$D$3004,$AS324)))</f>
        <v/>
      </c>
      <c r="F324" s="14">
        <f>IF($A324="","",IF(INDEX('潜水記録'!$E$5:$E$3004,$AS324)="","",INDEX('潜水記録'!$E$5:$E$3004,$AS324)))</f>
        <v/>
      </c>
      <c r="G324" s="14">
        <f>IF($A324="","",IF(INDEX('潜水記録'!$F$5:$F$3004,$AS324)="","",INDEX('潜水記録'!$F$5:$F$3004,$AS324)))</f>
        <v/>
      </c>
      <c r="H324" s="14">
        <f>IF($A324="","",IF(INDEX('潜水記録'!$G$5:$G$3004,$AS324)="","",INDEX('潜水記録'!$G$5:$G$3004,$AS324)))</f>
        <v/>
      </c>
      <c r="I324" s="14">
        <f>IF($A324="","",IF(INDEX('潜水記録'!$H$5:$H$3004,$AS324)="","",INDEX('潜水記録'!$H$5:$H$3004,$AS324)))</f>
        <v/>
      </c>
      <c r="J324" s="14">
        <f>IF($A324="","",IF(INDEX('潜水記録'!$I$5:$I$3004,$AS324)="","",INDEX('潜水記録'!$I$5:$I$3004,$AS324)))</f>
        <v/>
      </c>
      <c r="K324" s="14">
        <f>IF($A324="","",IF(INDEX('潜水記録'!$J$5:$J$3004,$AS324)="","",INDEX('潜水記録'!$J$5:$J$3004,$AS324)))</f>
        <v/>
      </c>
      <c r="L324" s="14">
        <f>IF($A324="","",IF(INDEX('潜水記録'!$K$5:$K$3004,$AS324)="","",INDEX('潜水記録'!$K$5:$K$3004,$AS324)))</f>
        <v/>
      </c>
      <c r="M324" s="14">
        <f>IF($A324="","",IF(INDEX('潜水記録'!$L$5:$L$3004,$AS324)="","",INDEX('潜水記録'!$L$5:$L$3004,$AS324)))</f>
        <v/>
      </c>
      <c r="N324" s="14">
        <f>IF($A324="","",IF(INDEX('潜水記録'!$M$5:$M$3004,$AS324)="","",INDEX('潜水記録'!$M$5:$M$3004,$AS324)))</f>
        <v/>
      </c>
      <c r="O324" s="14">
        <f>IF($A324="","",IF(INDEX('潜水記録'!$N$5:$N$3004,$AS324)="","",INDEX('潜水記録'!$N$5:$N$3004,$AS324)))</f>
        <v/>
      </c>
      <c r="P324" s="14">
        <f>IF($A324="","",IF(INDEX('潜水記録'!$O$5:$O$3004,$AS324)="","",INDEX('潜水記録'!$O$5:$O$3004,$AS324)))</f>
        <v/>
      </c>
      <c r="Q324" s="14">
        <f>IF($A324="","",IF(INDEX('潜水記録'!$P$5:$P$3004,$AS324)="","",INDEX('潜水記録'!$P$5:$P$3004,$AS324)))</f>
        <v/>
      </c>
      <c r="R324" s="14">
        <f>IF($A324="","",IF(INDEX('潜水記録'!$Q$5:$Q$3004,$AS324)="","",INDEX('潜水記録'!$Q$5:$Q$3004,$AS324)))</f>
        <v/>
      </c>
      <c r="S324" s="14">
        <f>IF($A324="","",IF(INDEX('潜水記録'!$R$5:$R$3004,$AS324)="","",INDEX('潜水記録'!$R$5:$R$3004,$AS324)))</f>
        <v/>
      </c>
      <c r="T324" s="14">
        <f>IF($A324="","",IF(INDEX('潜水記録'!$S$5:$S$3004,$AS324)="","",INDEX('潜水記録'!$S$5:$S$3004,$AS324)))</f>
        <v/>
      </c>
      <c r="U324" s="14">
        <f>IF($A324="","",IF(INDEX('潜水記録'!$T$5:$T$3004,$AS324)="","",INDEX('潜水記録'!$T$5:$T$3004,$AS324)))</f>
        <v/>
      </c>
      <c r="V324" s="46">
        <f>IF($A324="","",IF(INDEX('潜水記録'!$U$5:$U$3004,$AS324)="","",INDEX('潜水記録'!$U$5:$U$3004,$AS324)))</f>
        <v/>
      </c>
      <c r="W324" s="46">
        <f>IF($A324="","",IF(INDEX('潜水記録'!$V$5:$V$3004,$AS324)="","",INDEX('潜水記録'!$V$5:$V$3004,$AS324)))</f>
        <v/>
      </c>
      <c r="X324" s="14">
        <f>IF($A324="","",IF(INDEX('潜水記録'!$W$5:$W$3004,$AS324)="","",INDEX('潜水記録'!$W$5:$W$3004,$AS324)))</f>
        <v/>
      </c>
      <c r="Y324" s="14">
        <f>IF($A324="","",IF(INDEX('潜水記録'!$X$5:$X$3004,$AS324)="","",INDEX('潜水記録'!$X$5:$X$3004,$AS324)))</f>
        <v/>
      </c>
      <c r="Z324" s="14">
        <f>IF($A324="","",IF(INDEX('潜水記録'!$Y$5:$Y$3004,$AS324)="","",INDEX('潜水記録'!$Y$5:$Y$3004,$AS324)))</f>
        <v/>
      </c>
      <c r="AA324" s="14">
        <f>IF($A324="","",IF(INDEX('潜水記録'!$Z$5:$Z$3004,$AS324)="","",INDEX('潜水記録'!$Z$5:$Z$3004,$AS324)))</f>
        <v/>
      </c>
      <c r="AB324" s="14">
        <f>IF($A324="","",IF(INDEX('潜水記録'!$AA$5:$AA$3004,$AS324)="","",INDEX('潜水記録'!$AA$5:$AA$3004,$AS324)))</f>
        <v/>
      </c>
      <c r="AC324" s="14">
        <f>IF($A324="","",IF(INDEX('潜水記録'!$AB$5:$AB$3004,$AS324)="","",INDEX('潜水記録'!$AB$5:$AB$3004,$AS324)))</f>
        <v/>
      </c>
      <c r="AD324" s="14">
        <f>IF($A324="","",IF(INDEX('潜水記録'!$AC$5:$AC$3004,$AS324)="","",INDEX('潜水記録'!$AC$5:$AC$3004,$AS324)))</f>
        <v/>
      </c>
      <c r="AE324" s="14">
        <f>IF($A324="","",IF(INDEX('潜水記録'!$AD$5:$AD$3004,$AS324)="","",INDEX('潜水記録'!$AD$5:$AD$3004,$AS324)))</f>
        <v/>
      </c>
      <c r="AF324" s="14">
        <f>IF($A324="","",IF(INDEX('潜水記録'!$AE$5:$AE$3004,$AS324)="","",INDEX('潜水記録'!$AE$5:$AE$3004,$AS324)))</f>
        <v/>
      </c>
      <c r="AG324" s="14">
        <f>IF($A324="","",IF(INDEX('潜水記録'!$AL$5:$AL$3004,$AS324)="","",INDEX('潜水記録'!$AL$5:$AL$3004,$AS324)))</f>
        <v/>
      </c>
      <c r="AH324" s="14">
        <f>IF($A324="","",IF(INDEX('潜水記録'!$AM$5:$AM$3004,$AS324)="","",INDEX('潜水記録'!$AM$5:$AM$3004,$AS324)))</f>
        <v/>
      </c>
      <c r="AI324" s="46">
        <f>IF($A324="","",IF(INDEX('潜水記録'!$AN$5:$AN$3004,$AS324)="","",INDEX('潜水記録'!$AN$5:$AN$3004,$AS324)))</f>
        <v/>
      </c>
      <c r="AJ324" s="14">
        <f>IF($A324="","",IF(INDEX('潜水記録'!$AO$5:$AO$3004,$AS324)="","",INDEX('潜水記録'!$AO$5:$AO$3004,$AS324)))</f>
        <v/>
      </c>
      <c r="AK324" s="14">
        <f>IF($A324="","",IF(INDEX('潜水記録'!$AP$5:$AP$3004,$AS324)="","",INDEX('潜水記録'!$AP$5:$AP$3004,$AS324)))</f>
        <v/>
      </c>
      <c r="AL324" s="14">
        <f>IF($A324="","",IF(INDEX('潜水記録'!$AQ$5:$AQ$3004,$AS324)="","",INDEX('潜水記録'!$AQ$5:$AQ$3004,$AS324)))</f>
        <v/>
      </c>
      <c r="AM324" s="14">
        <f>IF($A324="","",IF(INDEX('潜水記録'!$AR$5:$AR$3004,$AS324)="","",INDEX('潜水記録'!$AR$5:$AR$3004,$AS324)))</f>
        <v/>
      </c>
      <c r="AN324" s="14">
        <f>IF($A324="","",IF(INDEX('潜水記録'!$AS$5:$AS$3004,$AS324)="","",INDEX('潜水記録'!$AS$5:$AS$3004,$AS324)))</f>
        <v/>
      </c>
      <c r="AO324" s="14">
        <f>IF($A324="","",IF(INDEX('潜水記録'!$AT$5:$AT$3004,$AS324)="","",INDEX('潜水記録'!$AT$5:$AT$3004,$AS324)))</f>
        <v/>
      </c>
      <c r="AP324" s="14">
        <f>IF($A324="","",IF(INDEX('潜水記録'!$AU$5:$AU$3004,$AS324)="","",INDEX('潜水記録'!$AU$5:$AU$3004,$AS324)))</f>
        <v/>
      </c>
      <c r="AQ324" s="14">
        <f>IF($A324="","",IF(INDEX('潜水記録'!$AV$5:$AV$3004,$AS324)="","",INDEX('潜水記録'!$AV$5:$AV$3004,$AS324)))</f>
        <v/>
      </c>
      <c r="AR324" s="14">
        <f>IF($A324="","",IF(INDEX('潜水記録'!$AW$5:$AW$3004,$AS324)="","",INDEX('潜水記録'!$AW$5:$AW$3004,$AS324)))</f>
        <v/>
      </c>
      <c r="AS324" s="20">
        <f>IF($A324="","",MATCH($A324,'潜水記録'!$AI$5:$AI$3004,0))</f>
        <v/>
      </c>
    </row>
    <row r="325">
      <c r="A325" s="14">
        <f>IF(315&lt;=$C$8,315,"")</f>
        <v/>
      </c>
      <c r="B325" s="16">
        <f>IF($A325="","",IF(INDEX('潜水記録'!$A$5:$A$3004,$AS325)="","",INDEX('潜水記録'!$A$5:$A$3004,$AS325)))</f>
        <v/>
      </c>
      <c r="C325" s="14">
        <f>IF($A325="","",IF(INDEX('潜水記録'!$B$5:$B$3004,$AS325)="","",INDEX('潜水記録'!$B$5:$B$3004,$AS325)))</f>
        <v/>
      </c>
      <c r="D325" s="14">
        <f>IF($A325="","",IF(INDEX('潜水記録'!$C$5:$C$3004,$AS325)="","",INDEX('潜水記録'!$C$5:$C$3004,$AS325)))</f>
        <v/>
      </c>
      <c r="E325" s="14">
        <f>IF($A325="","",IF(INDEX('潜水記録'!$D$5:$D$3004,$AS325)="","",INDEX('潜水記録'!$D$5:$D$3004,$AS325)))</f>
        <v/>
      </c>
      <c r="F325" s="14">
        <f>IF($A325="","",IF(INDEX('潜水記録'!$E$5:$E$3004,$AS325)="","",INDEX('潜水記録'!$E$5:$E$3004,$AS325)))</f>
        <v/>
      </c>
      <c r="G325" s="14">
        <f>IF($A325="","",IF(INDEX('潜水記録'!$F$5:$F$3004,$AS325)="","",INDEX('潜水記録'!$F$5:$F$3004,$AS325)))</f>
        <v/>
      </c>
      <c r="H325" s="14">
        <f>IF($A325="","",IF(INDEX('潜水記録'!$G$5:$G$3004,$AS325)="","",INDEX('潜水記録'!$G$5:$G$3004,$AS325)))</f>
        <v/>
      </c>
      <c r="I325" s="14">
        <f>IF($A325="","",IF(INDEX('潜水記録'!$H$5:$H$3004,$AS325)="","",INDEX('潜水記録'!$H$5:$H$3004,$AS325)))</f>
        <v/>
      </c>
      <c r="J325" s="14">
        <f>IF($A325="","",IF(INDEX('潜水記録'!$I$5:$I$3004,$AS325)="","",INDEX('潜水記録'!$I$5:$I$3004,$AS325)))</f>
        <v/>
      </c>
      <c r="K325" s="14">
        <f>IF($A325="","",IF(INDEX('潜水記録'!$J$5:$J$3004,$AS325)="","",INDEX('潜水記録'!$J$5:$J$3004,$AS325)))</f>
        <v/>
      </c>
      <c r="L325" s="14">
        <f>IF($A325="","",IF(INDEX('潜水記録'!$K$5:$K$3004,$AS325)="","",INDEX('潜水記録'!$K$5:$K$3004,$AS325)))</f>
        <v/>
      </c>
      <c r="M325" s="14">
        <f>IF($A325="","",IF(INDEX('潜水記録'!$L$5:$L$3004,$AS325)="","",INDEX('潜水記録'!$L$5:$L$3004,$AS325)))</f>
        <v/>
      </c>
      <c r="N325" s="14">
        <f>IF($A325="","",IF(INDEX('潜水記録'!$M$5:$M$3004,$AS325)="","",INDEX('潜水記録'!$M$5:$M$3004,$AS325)))</f>
        <v/>
      </c>
      <c r="O325" s="14">
        <f>IF($A325="","",IF(INDEX('潜水記録'!$N$5:$N$3004,$AS325)="","",INDEX('潜水記録'!$N$5:$N$3004,$AS325)))</f>
        <v/>
      </c>
      <c r="P325" s="14">
        <f>IF($A325="","",IF(INDEX('潜水記録'!$O$5:$O$3004,$AS325)="","",INDEX('潜水記録'!$O$5:$O$3004,$AS325)))</f>
        <v/>
      </c>
      <c r="Q325" s="14">
        <f>IF($A325="","",IF(INDEX('潜水記録'!$P$5:$P$3004,$AS325)="","",INDEX('潜水記録'!$P$5:$P$3004,$AS325)))</f>
        <v/>
      </c>
      <c r="R325" s="14">
        <f>IF($A325="","",IF(INDEX('潜水記録'!$Q$5:$Q$3004,$AS325)="","",INDEX('潜水記録'!$Q$5:$Q$3004,$AS325)))</f>
        <v/>
      </c>
      <c r="S325" s="14">
        <f>IF($A325="","",IF(INDEX('潜水記録'!$R$5:$R$3004,$AS325)="","",INDEX('潜水記録'!$R$5:$R$3004,$AS325)))</f>
        <v/>
      </c>
      <c r="T325" s="14">
        <f>IF($A325="","",IF(INDEX('潜水記録'!$S$5:$S$3004,$AS325)="","",INDEX('潜水記録'!$S$5:$S$3004,$AS325)))</f>
        <v/>
      </c>
      <c r="U325" s="14">
        <f>IF($A325="","",IF(INDEX('潜水記録'!$T$5:$T$3004,$AS325)="","",INDEX('潜水記録'!$T$5:$T$3004,$AS325)))</f>
        <v/>
      </c>
      <c r="V325" s="46">
        <f>IF($A325="","",IF(INDEX('潜水記録'!$U$5:$U$3004,$AS325)="","",INDEX('潜水記録'!$U$5:$U$3004,$AS325)))</f>
        <v/>
      </c>
      <c r="W325" s="46">
        <f>IF($A325="","",IF(INDEX('潜水記録'!$V$5:$V$3004,$AS325)="","",INDEX('潜水記録'!$V$5:$V$3004,$AS325)))</f>
        <v/>
      </c>
      <c r="X325" s="14">
        <f>IF($A325="","",IF(INDEX('潜水記録'!$W$5:$W$3004,$AS325)="","",INDEX('潜水記録'!$W$5:$W$3004,$AS325)))</f>
        <v/>
      </c>
      <c r="Y325" s="14">
        <f>IF($A325="","",IF(INDEX('潜水記録'!$X$5:$X$3004,$AS325)="","",INDEX('潜水記録'!$X$5:$X$3004,$AS325)))</f>
        <v/>
      </c>
      <c r="Z325" s="14">
        <f>IF($A325="","",IF(INDEX('潜水記録'!$Y$5:$Y$3004,$AS325)="","",INDEX('潜水記録'!$Y$5:$Y$3004,$AS325)))</f>
        <v/>
      </c>
      <c r="AA325" s="14">
        <f>IF($A325="","",IF(INDEX('潜水記録'!$Z$5:$Z$3004,$AS325)="","",INDEX('潜水記録'!$Z$5:$Z$3004,$AS325)))</f>
        <v/>
      </c>
      <c r="AB325" s="14">
        <f>IF($A325="","",IF(INDEX('潜水記録'!$AA$5:$AA$3004,$AS325)="","",INDEX('潜水記録'!$AA$5:$AA$3004,$AS325)))</f>
        <v/>
      </c>
      <c r="AC325" s="14">
        <f>IF($A325="","",IF(INDEX('潜水記録'!$AB$5:$AB$3004,$AS325)="","",INDEX('潜水記録'!$AB$5:$AB$3004,$AS325)))</f>
        <v/>
      </c>
      <c r="AD325" s="14">
        <f>IF($A325="","",IF(INDEX('潜水記録'!$AC$5:$AC$3004,$AS325)="","",INDEX('潜水記録'!$AC$5:$AC$3004,$AS325)))</f>
        <v/>
      </c>
      <c r="AE325" s="14">
        <f>IF($A325="","",IF(INDEX('潜水記録'!$AD$5:$AD$3004,$AS325)="","",INDEX('潜水記録'!$AD$5:$AD$3004,$AS325)))</f>
        <v/>
      </c>
      <c r="AF325" s="14">
        <f>IF($A325="","",IF(INDEX('潜水記録'!$AE$5:$AE$3004,$AS325)="","",INDEX('潜水記録'!$AE$5:$AE$3004,$AS325)))</f>
        <v/>
      </c>
      <c r="AG325" s="14">
        <f>IF($A325="","",IF(INDEX('潜水記録'!$AL$5:$AL$3004,$AS325)="","",INDEX('潜水記録'!$AL$5:$AL$3004,$AS325)))</f>
        <v/>
      </c>
      <c r="AH325" s="14">
        <f>IF($A325="","",IF(INDEX('潜水記録'!$AM$5:$AM$3004,$AS325)="","",INDEX('潜水記録'!$AM$5:$AM$3004,$AS325)))</f>
        <v/>
      </c>
      <c r="AI325" s="46">
        <f>IF($A325="","",IF(INDEX('潜水記録'!$AN$5:$AN$3004,$AS325)="","",INDEX('潜水記録'!$AN$5:$AN$3004,$AS325)))</f>
        <v/>
      </c>
      <c r="AJ325" s="14">
        <f>IF($A325="","",IF(INDEX('潜水記録'!$AO$5:$AO$3004,$AS325)="","",INDEX('潜水記録'!$AO$5:$AO$3004,$AS325)))</f>
        <v/>
      </c>
      <c r="AK325" s="14">
        <f>IF($A325="","",IF(INDEX('潜水記録'!$AP$5:$AP$3004,$AS325)="","",INDEX('潜水記録'!$AP$5:$AP$3004,$AS325)))</f>
        <v/>
      </c>
      <c r="AL325" s="14">
        <f>IF($A325="","",IF(INDEX('潜水記録'!$AQ$5:$AQ$3004,$AS325)="","",INDEX('潜水記録'!$AQ$5:$AQ$3004,$AS325)))</f>
        <v/>
      </c>
      <c r="AM325" s="14">
        <f>IF($A325="","",IF(INDEX('潜水記録'!$AR$5:$AR$3004,$AS325)="","",INDEX('潜水記録'!$AR$5:$AR$3004,$AS325)))</f>
        <v/>
      </c>
      <c r="AN325" s="14">
        <f>IF($A325="","",IF(INDEX('潜水記録'!$AS$5:$AS$3004,$AS325)="","",INDEX('潜水記録'!$AS$5:$AS$3004,$AS325)))</f>
        <v/>
      </c>
      <c r="AO325" s="14">
        <f>IF($A325="","",IF(INDEX('潜水記録'!$AT$5:$AT$3004,$AS325)="","",INDEX('潜水記録'!$AT$5:$AT$3004,$AS325)))</f>
        <v/>
      </c>
      <c r="AP325" s="14">
        <f>IF($A325="","",IF(INDEX('潜水記録'!$AU$5:$AU$3004,$AS325)="","",INDEX('潜水記録'!$AU$5:$AU$3004,$AS325)))</f>
        <v/>
      </c>
      <c r="AQ325" s="14">
        <f>IF($A325="","",IF(INDEX('潜水記録'!$AV$5:$AV$3004,$AS325)="","",INDEX('潜水記録'!$AV$5:$AV$3004,$AS325)))</f>
        <v/>
      </c>
      <c r="AR325" s="14">
        <f>IF($A325="","",IF(INDEX('潜水記録'!$AW$5:$AW$3004,$AS325)="","",INDEX('潜水記録'!$AW$5:$AW$3004,$AS325)))</f>
        <v/>
      </c>
      <c r="AS325" s="20">
        <f>IF($A325="","",MATCH($A325,'潜水記録'!$AI$5:$AI$3004,0))</f>
        <v/>
      </c>
    </row>
    <row r="326">
      <c r="A326" s="14">
        <f>IF(316&lt;=$C$8,316,"")</f>
        <v/>
      </c>
      <c r="B326" s="16">
        <f>IF($A326="","",IF(INDEX('潜水記録'!$A$5:$A$3004,$AS326)="","",INDEX('潜水記録'!$A$5:$A$3004,$AS326)))</f>
        <v/>
      </c>
      <c r="C326" s="14">
        <f>IF($A326="","",IF(INDEX('潜水記録'!$B$5:$B$3004,$AS326)="","",INDEX('潜水記録'!$B$5:$B$3004,$AS326)))</f>
        <v/>
      </c>
      <c r="D326" s="14">
        <f>IF($A326="","",IF(INDEX('潜水記録'!$C$5:$C$3004,$AS326)="","",INDEX('潜水記録'!$C$5:$C$3004,$AS326)))</f>
        <v/>
      </c>
      <c r="E326" s="14">
        <f>IF($A326="","",IF(INDEX('潜水記録'!$D$5:$D$3004,$AS326)="","",INDEX('潜水記録'!$D$5:$D$3004,$AS326)))</f>
        <v/>
      </c>
      <c r="F326" s="14">
        <f>IF($A326="","",IF(INDEX('潜水記録'!$E$5:$E$3004,$AS326)="","",INDEX('潜水記録'!$E$5:$E$3004,$AS326)))</f>
        <v/>
      </c>
      <c r="G326" s="14">
        <f>IF($A326="","",IF(INDEX('潜水記録'!$F$5:$F$3004,$AS326)="","",INDEX('潜水記録'!$F$5:$F$3004,$AS326)))</f>
        <v/>
      </c>
      <c r="H326" s="14">
        <f>IF($A326="","",IF(INDEX('潜水記録'!$G$5:$G$3004,$AS326)="","",INDEX('潜水記録'!$G$5:$G$3004,$AS326)))</f>
        <v/>
      </c>
      <c r="I326" s="14">
        <f>IF($A326="","",IF(INDEX('潜水記録'!$H$5:$H$3004,$AS326)="","",INDEX('潜水記録'!$H$5:$H$3004,$AS326)))</f>
        <v/>
      </c>
      <c r="J326" s="14">
        <f>IF($A326="","",IF(INDEX('潜水記録'!$I$5:$I$3004,$AS326)="","",INDEX('潜水記録'!$I$5:$I$3004,$AS326)))</f>
        <v/>
      </c>
      <c r="K326" s="14">
        <f>IF($A326="","",IF(INDEX('潜水記録'!$J$5:$J$3004,$AS326)="","",INDEX('潜水記録'!$J$5:$J$3004,$AS326)))</f>
        <v/>
      </c>
      <c r="L326" s="14">
        <f>IF($A326="","",IF(INDEX('潜水記録'!$K$5:$K$3004,$AS326)="","",INDEX('潜水記録'!$K$5:$K$3004,$AS326)))</f>
        <v/>
      </c>
      <c r="M326" s="14">
        <f>IF($A326="","",IF(INDEX('潜水記録'!$L$5:$L$3004,$AS326)="","",INDEX('潜水記録'!$L$5:$L$3004,$AS326)))</f>
        <v/>
      </c>
      <c r="N326" s="14">
        <f>IF($A326="","",IF(INDEX('潜水記録'!$M$5:$M$3004,$AS326)="","",INDEX('潜水記録'!$M$5:$M$3004,$AS326)))</f>
        <v/>
      </c>
      <c r="O326" s="14">
        <f>IF($A326="","",IF(INDEX('潜水記録'!$N$5:$N$3004,$AS326)="","",INDEX('潜水記録'!$N$5:$N$3004,$AS326)))</f>
        <v/>
      </c>
      <c r="P326" s="14">
        <f>IF($A326="","",IF(INDEX('潜水記録'!$O$5:$O$3004,$AS326)="","",INDEX('潜水記録'!$O$5:$O$3004,$AS326)))</f>
        <v/>
      </c>
      <c r="Q326" s="14">
        <f>IF($A326="","",IF(INDEX('潜水記録'!$P$5:$P$3004,$AS326)="","",INDEX('潜水記録'!$P$5:$P$3004,$AS326)))</f>
        <v/>
      </c>
      <c r="R326" s="14">
        <f>IF($A326="","",IF(INDEX('潜水記録'!$Q$5:$Q$3004,$AS326)="","",INDEX('潜水記録'!$Q$5:$Q$3004,$AS326)))</f>
        <v/>
      </c>
      <c r="S326" s="14">
        <f>IF($A326="","",IF(INDEX('潜水記録'!$R$5:$R$3004,$AS326)="","",INDEX('潜水記録'!$R$5:$R$3004,$AS326)))</f>
        <v/>
      </c>
      <c r="T326" s="14">
        <f>IF($A326="","",IF(INDEX('潜水記録'!$S$5:$S$3004,$AS326)="","",INDEX('潜水記録'!$S$5:$S$3004,$AS326)))</f>
        <v/>
      </c>
      <c r="U326" s="14">
        <f>IF($A326="","",IF(INDEX('潜水記録'!$T$5:$T$3004,$AS326)="","",INDEX('潜水記録'!$T$5:$T$3004,$AS326)))</f>
        <v/>
      </c>
      <c r="V326" s="46">
        <f>IF($A326="","",IF(INDEX('潜水記録'!$U$5:$U$3004,$AS326)="","",INDEX('潜水記録'!$U$5:$U$3004,$AS326)))</f>
        <v/>
      </c>
      <c r="W326" s="46">
        <f>IF($A326="","",IF(INDEX('潜水記録'!$V$5:$V$3004,$AS326)="","",INDEX('潜水記録'!$V$5:$V$3004,$AS326)))</f>
        <v/>
      </c>
      <c r="X326" s="14">
        <f>IF($A326="","",IF(INDEX('潜水記録'!$W$5:$W$3004,$AS326)="","",INDEX('潜水記録'!$W$5:$W$3004,$AS326)))</f>
        <v/>
      </c>
      <c r="Y326" s="14">
        <f>IF($A326="","",IF(INDEX('潜水記録'!$X$5:$X$3004,$AS326)="","",INDEX('潜水記録'!$X$5:$X$3004,$AS326)))</f>
        <v/>
      </c>
      <c r="Z326" s="14">
        <f>IF($A326="","",IF(INDEX('潜水記録'!$Y$5:$Y$3004,$AS326)="","",INDEX('潜水記録'!$Y$5:$Y$3004,$AS326)))</f>
        <v/>
      </c>
      <c r="AA326" s="14">
        <f>IF($A326="","",IF(INDEX('潜水記録'!$Z$5:$Z$3004,$AS326)="","",INDEX('潜水記録'!$Z$5:$Z$3004,$AS326)))</f>
        <v/>
      </c>
      <c r="AB326" s="14">
        <f>IF($A326="","",IF(INDEX('潜水記録'!$AA$5:$AA$3004,$AS326)="","",INDEX('潜水記録'!$AA$5:$AA$3004,$AS326)))</f>
        <v/>
      </c>
      <c r="AC326" s="14">
        <f>IF($A326="","",IF(INDEX('潜水記録'!$AB$5:$AB$3004,$AS326)="","",INDEX('潜水記録'!$AB$5:$AB$3004,$AS326)))</f>
        <v/>
      </c>
      <c r="AD326" s="14">
        <f>IF($A326="","",IF(INDEX('潜水記録'!$AC$5:$AC$3004,$AS326)="","",INDEX('潜水記録'!$AC$5:$AC$3004,$AS326)))</f>
        <v/>
      </c>
      <c r="AE326" s="14">
        <f>IF($A326="","",IF(INDEX('潜水記録'!$AD$5:$AD$3004,$AS326)="","",INDEX('潜水記録'!$AD$5:$AD$3004,$AS326)))</f>
        <v/>
      </c>
      <c r="AF326" s="14">
        <f>IF($A326="","",IF(INDEX('潜水記録'!$AE$5:$AE$3004,$AS326)="","",INDEX('潜水記録'!$AE$5:$AE$3004,$AS326)))</f>
        <v/>
      </c>
      <c r="AG326" s="14">
        <f>IF($A326="","",IF(INDEX('潜水記録'!$AL$5:$AL$3004,$AS326)="","",INDEX('潜水記録'!$AL$5:$AL$3004,$AS326)))</f>
        <v/>
      </c>
      <c r="AH326" s="14">
        <f>IF($A326="","",IF(INDEX('潜水記録'!$AM$5:$AM$3004,$AS326)="","",INDEX('潜水記録'!$AM$5:$AM$3004,$AS326)))</f>
        <v/>
      </c>
      <c r="AI326" s="46">
        <f>IF($A326="","",IF(INDEX('潜水記録'!$AN$5:$AN$3004,$AS326)="","",INDEX('潜水記録'!$AN$5:$AN$3004,$AS326)))</f>
        <v/>
      </c>
      <c r="AJ326" s="14">
        <f>IF($A326="","",IF(INDEX('潜水記録'!$AO$5:$AO$3004,$AS326)="","",INDEX('潜水記録'!$AO$5:$AO$3004,$AS326)))</f>
        <v/>
      </c>
      <c r="AK326" s="14">
        <f>IF($A326="","",IF(INDEX('潜水記録'!$AP$5:$AP$3004,$AS326)="","",INDEX('潜水記録'!$AP$5:$AP$3004,$AS326)))</f>
        <v/>
      </c>
      <c r="AL326" s="14">
        <f>IF($A326="","",IF(INDEX('潜水記録'!$AQ$5:$AQ$3004,$AS326)="","",INDEX('潜水記録'!$AQ$5:$AQ$3004,$AS326)))</f>
        <v/>
      </c>
      <c r="AM326" s="14">
        <f>IF($A326="","",IF(INDEX('潜水記録'!$AR$5:$AR$3004,$AS326)="","",INDEX('潜水記録'!$AR$5:$AR$3004,$AS326)))</f>
        <v/>
      </c>
      <c r="AN326" s="14">
        <f>IF($A326="","",IF(INDEX('潜水記録'!$AS$5:$AS$3004,$AS326)="","",INDEX('潜水記録'!$AS$5:$AS$3004,$AS326)))</f>
        <v/>
      </c>
      <c r="AO326" s="14">
        <f>IF($A326="","",IF(INDEX('潜水記録'!$AT$5:$AT$3004,$AS326)="","",INDEX('潜水記録'!$AT$5:$AT$3004,$AS326)))</f>
        <v/>
      </c>
      <c r="AP326" s="14">
        <f>IF($A326="","",IF(INDEX('潜水記録'!$AU$5:$AU$3004,$AS326)="","",INDEX('潜水記録'!$AU$5:$AU$3004,$AS326)))</f>
        <v/>
      </c>
      <c r="AQ326" s="14">
        <f>IF($A326="","",IF(INDEX('潜水記録'!$AV$5:$AV$3004,$AS326)="","",INDEX('潜水記録'!$AV$5:$AV$3004,$AS326)))</f>
        <v/>
      </c>
      <c r="AR326" s="14">
        <f>IF($A326="","",IF(INDEX('潜水記録'!$AW$5:$AW$3004,$AS326)="","",INDEX('潜水記録'!$AW$5:$AW$3004,$AS326)))</f>
        <v/>
      </c>
      <c r="AS326" s="20">
        <f>IF($A326="","",MATCH($A326,'潜水記録'!$AI$5:$AI$3004,0))</f>
        <v/>
      </c>
    </row>
    <row r="327">
      <c r="A327" s="14">
        <f>IF(317&lt;=$C$8,317,"")</f>
        <v/>
      </c>
      <c r="B327" s="16">
        <f>IF($A327="","",IF(INDEX('潜水記録'!$A$5:$A$3004,$AS327)="","",INDEX('潜水記録'!$A$5:$A$3004,$AS327)))</f>
        <v/>
      </c>
      <c r="C327" s="14">
        <f>IF($A327="","",IF(INDEX('潜水記録'!$B$5:$B$3004,$AS327)="","",INDEX('潜水記録'!$B$5:$B$3004,$AS327)))</f>
        <v/>
      </c>
      <c r="D327" s="14">
        <f>IF($A327="","",IF(INDEX('潜水記録'!$C$5:$C$3004,$AS327)="","",INDEX('潜水記録'!$C$5:$C$3004,$AS327)))</f>
        <v/>
      </c>
      <c r="E327" s="14">
        <f>IF($A327="","",IF(INDEX('潜水記録'!$D$5:$D$3004,$AS327)="","",INDEX('潜水記録'!$D$5:$D$3004,$AS327)))</f>
        <v/>
      </c>
      <c r="F327" s="14">
        <f>IF($A327="","",IF(INDEX('潜水記録'!$E$5:$E$3004,$AS327)="","",INDEX('潜水記録'!$E$5:$E$3004,$AS327)))</f>
        <v/>
      </c>
      <c r="G327" s="14">
        <f>IF($A327="","",IF(INDEX('潜水記録'!$F$5:$F$3004,$AS327)="","",INDEX('潜水記録'!$F$5:$F$3004,$AS327)))</f>
        <v/>
      </c>
      <c r="H327" s="14">
        <f>IF($A327="","",IF(INDEX('潜水記録'!$G$5:$G$3004,$AS327)="","",INDEX('潜水記録'!$G$5:$G$3004,$AS327)))</f>
        <v/>
      </c>
      <c r="I327" s="14">
        <f>IF($A327="","",IF(INDEX('潜水記録'!$H$5:$H$3004,$AS327)="","",INDEX('潜水記録'!$H$5:$H$3004,$AS327)))</f>
        <v/>
      </c>
      <c r="J327" s="14">
        <f>IF($A327="","",IF(INDEX('潜水記録'!$I$5:$I$3004,$AS327)="","",INDEX('潜水記録'!$I$5:$I$3004,$AS327)))</f>
        <v/>
      </c>
      <c r="K327" s="14">
        <f>IF($A327="","",IF(INDEX('潜水記録'!$J$5:$J$3004,$AS327)="","",INDEX('潜水記録'!$J$5:$J$3004,$AS327)))</f>
        <v/>
      </c>
      <c r="L327" s="14">
        <f>IF($A327="","",IF(INDEX('潜水記録'!$K$5:$K$3004,$AS327)="","",INDEX('潜水記録'!$K$5:$K$3004,$AS327)))</f>
        <v/>
      </c>
      <c r="M327" s="14">
        <f>IF($A327="","",IF(INDEX('潜水記録'!$L$5:$L$3004,$AS327)="","",INDEX('潜水記録'!$L$5:$L$3004,$AS327)))</f>
        <v/>
      </c>
      <c r="N327" s="14">
        <f>IF($A327="","",IF(INDEX('潜水記録'!$M$5:$M$3004,$AS327)="","",INDEX('潜水記録'!$M$5:$M$3004,$AS327)))</f>
        <v/>
      </c>
      <c r="O327" s="14">
        <f>IF($A327="","",IF(INDEX('潜水記録'!$N$5:$N$3004,$AS327)="","",INDEX('潜水記録'!$N$5:$N$3004,$AS327)))</f>
        <v/>
      </c>
      <c r="P327" s="14">
        <f>IF($A327="","",IF(INDEX('潜水記録'!$O$5:$O$3004,$AS327)="","",INDEX('潜水記録'!$O$5:$O$3004,$AS327)))</f>
        <v/>
      </c>
      <c r="Q327" s="14">
        <f>IF($A327="","",IF(INDEX('潜水記録'!$P$5:$P$3004,$AS327)="","",INDEX('潜水記録'!$P$5:$P$3004,$AS327)))</f>
        <v/>
      </c>
      <c r="R327" s="14">
        <f>IF($A327="","",IF(INDEX('潜水記録'!$Q$5:$Q$3004,$AS327)="","",INDEX('潜水記録'!$Q$5:$Q$3004,$AS327)))</f>
        <v/>
      </c>
      <c r="S327" s="14">
        <f>IF($A327="","",IF(INDEX('潜水記録'!$R$5:$R$3004,$AS327)="","",INDEX('潜水記録'!$R$5:$R$3004,$AS327)))</f>
        <v/>
      </c>
      <c r="T327" s="14">
        <f>IF($A327="","",IF(INDEX('潜水記録'!$S$5:$S$3004,$AS327)="","",INDEX('潜水記録'!$S$5:$S$3004,$AS327)))</f>
        <v/>
      </c>
      <c r="U327" s="14">
        <f>IF($A327="","",IF(INDEX('潜水記録'!$T$5:$T$3004,$AS327)="","",INDEX('潜水記録'!$T$5:$T$3004,$AS327)))</f>
        <v/>
      </c>
      <c r="V327" s="46">
        <f>IF($A327="","",IF(INDEX('潜水記録'!$U$5:$U$3004,$AS327)="","",INDEX('潜水記録'!$U$5:$U$3004,$AS327)))</f>
        <v/>
      </c>
      <c r="W327" s="46">
        <f>IF($A327="","",IF(INDEX('潜水記録'!$V$5:$V$3004,$AS327)="","",INDEX('潜水記録'!$V$5:$V$3004,$AS327)))</f>
        <v/>
      </c>
      <c r="X327" s="14">
        <f>IF($A327="","",IF(INDEX('潜水記録'!$W$5:$W$3004,$AS327)="","",INDEX('潜水記録'!$W$5:$W$3004,$AS327)))</f>
        <v/>
      </c>
      <c r="Y327" s="14">
        <f>IF($A327="","",IF(INDEX('潜水記録'!$X$5:$X$3004,$AS327)="","",INDEX('潜水記録'!$X$5:$X$3004,$AS327)))</f>
        <v/>
      </c>
      <c r="Z327" s="14">
        <f>IF($A327="","",IF(INDEX('潜水記録'!$Y$5:$Y$3004,$AS327)="","",INDEX('潜水記録'!$Y$5:$Y$3004,$AS327)))</f>
        <v/>
      </c>
      <c r="AA327" s="14">
        <f>IF($A327="","",IF(INDEX('潜水記録'!$Z$5:$Z$3004,$AS327)="","",INDEX('潜水記録'!$Z$5:$Z$3004,$AS327)))</f>
        <v/>
      </c>
      <c r="AB327" s="14">
        <f>IF($A327="","",IF(INDEX('潜水記録'!$AA$5:$AA$3004,$AS327)="","",INDEX('潜水記録'!$AA$5:$AA$3004,$AS327)))</f>
        <v/>
      </c>
      <c r="AC327" s="14">
        <f>IF($A327="","",IF(INDEX('潜水記録'!$AB$5:$AB$3004,$AS327)="","",INDEX('潜水記録'!$AB$5:$AB$3004,$AS327)))</f>
        <v/>
      </c>
      <c r="AD327" s="14">
        <f>IF($A327="","",IF(INDEX('潜水記録'!$AC$5:$AC$3004,$AS327)="","",INDEX('潜水記録'!$AC$5:$AC$3004,$AS327)))</f>
        <v/>
      </c>
      <c r="AE327" s="14">
        <f>IF($A327="","",IF(INDEX('潜水記録'!$AD$5:$AD$3004,$AS327)="","",INDEX('潜水記録'!$AD$5:$AD$3004,$AS327)))</f>
        <v/>
      </c>
      <c r="AF327" s="14">
        <f>IF($A327="","",IF(INDEX('潜水記録'!$AE$5:$AE$3004,$AS327)="","",INDEX('潜水記録'!$AE$5:$AE$3004,$AS327)))</f>
        <v/>
      </c>
      <c r="AG327" s="14">
        <f>IF($A327="","",IF(INDEX('潜水記録'!$AL$5:$AL$3004,$AS327)="","",INDEX('潜水記録'!$AL$5:$AL$3004,$AS327)))</f>
        <v/>
      </c>
      <c r="AH327" s="14">
        <f>IF($A327="","",IF(INDEX('潜水記録'!$AM$5:$AM$3004,$AS327)="","",INDEX('潜水記録'!$AM$5:$AM$3004,$AS327)))</f>
        <v/>
      </c>
      <c r="AI327" s="46">
        <f>IF($A327="","",IF(INDEX('潜水記録'!$AN$5:$AN$3004,$AS327)="","",INDEX('潜水記録'!$AN$5:$AN$3004,$AS327)))</f>
        <v/>
      </c>
      <c r="AJ327" s="14">
        <f>IF($A327="","",IF(INDEX('潜水記録'!$AO$5:$AO$3004,$AS327)="","",INDEX('潜水記録'!$AO$5:$AO$3004,$AS327)))</f>
        <v/>
      </c>
      <c r="AK327" s="14">
        <f>IF($A327="","",IF(INDEX('潜水記録'!$AP$5:$AP$3004,$AS327)="","",INDEX('潜水記録'!$AP$5:$AP$3004,$AS327)))</f>
        <v/>
      </c>
      <c r="AL327" s="14">
        <f>IF($A327="","",IF(INDEX('潜水記録'!$AQ$5:$AQ$3004,$AS327)="","",INDEX('潜水記録'!$AQ$5:$AQ$3004,$AS327)))</f>
        <v/>
      </c>
      <c r="AM327" s="14">
        <f>IF($A327="","",IF(INDEX('潜水記録'!$AR$5:$AR$3004,$AS327)="","",INDEX('潜水記録'!$AR$5:$AR$3004,$AS327)))</f>
        <v/>
      </c>
      <c r="AN327" s="14">
        <f>IF($A327="","",IF(INDEX('潜水記録'!$AS$5:$AS$3004,$AS327)="","",INDEX('潜水記録'!$AS$5:$AS$3004,$AS327)))</f>
        <v/>
      </c>
      <c r="AO327" s="14">
        <f>IF($A327="","",IF(INDEX('潜水記録'!$AT$5:$AT$3004,$AS327)="","",INDEX('潜水記録'!$AT$5:$AT$3004,$AS327)))</f>
        <v/>
      </c>
      <c r="AP327" s="14">
        <f>IF($A327="","",IF(INDEX('潜水記録'!$AU$5:$AU$3004,$AS327)="","",INDEX('潜水記録'!$AU$5:$AU$3004,$AS327)))</f>
        <v/>
      </c>
      <c r="AQ327" s="14">
        <f>IF($A327="","",IF(INDEX('潜水記録'!$AV$5:$AV$3004,$AS327)="","",INDEX('潜水記録'!$AV$5:$AV$3004,$AS327)))</f>
        <v/>
      </c>
      <c r="AR327" s="14">
        <f>IF($A327="","",IF(INDEX('潜水記録'!$AW$5:$AW$3004,$AS327)="","",INDEX('潜水記録'!$AW$5:$AW$3004,$AS327)))</f>
        <v/>
      </c>
      <c r="AS327" s="20">
        <f>IF($A327="","",MATCH($A327,'潜水記録'!$AI$5:$AI$3004,0))</f>
        <v/>
      </c>
    </row>
    <row r="328">
      <c r="A328" s="14">
        <f>IF(318&lt;=$C$8,318,"")</f>
        <v/>
      </c>
      <c r="B328" s="16">
        <f>IF($A328="","",IF(INDEX('潜水記録'!$A$5:$A$3004,$AS328)="","",INDEX('潜水記録'!$A$5:$A$3004,$AS328)))</f>
        <v/>
      </c>
      <c r="C328" s="14">
        <f>IF($A328="","",IF(INDEX('潜水記録'!$B$5:$B$3004,$AS328)="","",INDEX('潜水記録'!$B$5:$B$3004,$AS328)))</f>
        <v/>
      </c>
      <c r="D328" s="14">
        <f>IF($A328="","",IF(INDEX('潜水記録'!$C$5:$C$3004,$AS328)="","",INDEX('潜水記録'!$C$5:$C$3004,$AS328)))</f>
        <v/>
      </c>
      <c r="E328" s="14">
        <f>IF($A328="","",IF(INDEX('潜水記録'!$D$5:$D$3004,$AS328)="","",INDEX('潜水記録'!$D$5:$D$3004,$AS328)))</f>
        <v/>
      </c>
      <c r="F328" s="14">
        <f>IF($A328="","",IF(INDEX('潜水記録'!$E$5:$E$3004,$AS328)="","",INDEX('潜水記録'!$E$5:$E$3004,$AS328)))</f>
        <v/>
      </c>
      <c r="G328" s="14">
        <f>IF($A328="","",IF(INDEX('潜水記録'!$F$5:$F$3004,$AS328)="","",INDEX('潜水記録'!$F$5:$F$3004,$AS328)))</f>
        <v/>
      </c>
      <c r="H328" s="14">
        <f>IF($A328="","",IF(INDEX('潜水記録'!$G$5:$G$3004,$AS328)="","",INDEX('潜水記録'!$G$5:$G$3004,$AS328)))</f>
        <v/>
      </c>
      <c r="I328" s="14">
        <f>IF($A328="","",IF(INDEX('潜水記録'!$H$5:$H$3004,$AS328)="","",INDEX('潜水記録'!$H$5:$H$3004,$AS328)))</f>
        <v/>
      </c>
      <c r="J328" s="14">
        <f>IF($A328="","",IF(INDEX('潜水記録'!$I$5:$I$3004,$AS328)="","",INDEX('潜水記録'!$I$5:$I$3004,$AS328)))</f>
        <v/>
      </c>
      <c r="K328" s="14">
        <f>IF($A328="","",IF(INDEX('潜水記録'!$J$5:$J$3004,$AS328)="","",INDEX('潜水記録'!$J$5:$J$3004,$AS328)))</f>
        <v/>
      </c>
      <c r="L328" s="14">
        <f>IF($A328="","",IF(INDEX('潜水記録'!$K$5:$K$3004,$AS328)="","",INDEX('潜水記録'!$K$5:$K$3004,$AS328)))</f>
        <v/>
      </c>
      <c r="M328" s="14">
        <f>IF($A328="","",IF(INDEX('潜水記録'!$L$5:$L$3004,$AS328)="","",INDEX('潜水記録'!$L$5:$L$3004,$AS328)))</f>
        <v/>
      </c>
      <c r="N328" s="14">
        <f>IF($A328="","",IF(INDEX('潜水記録'!$M$5:$M$3004,$AS328)="","",INDEX('潜水記録'!$M$5:$M$3004,$AS328)))</f>
        <v/>
      </c>
      <c r="O328" s="14">
        <f>IF($A328="","",IF(INDEX('潜水記録'!$N$5:$N$3004,$AS328)="","",INDEX('潜水記録'!$N$5:$N$3004,$AS328)))</f>
        <v/>
      </c>
      <c r="P328" s="14">
        <f>IF($A328="","",IF(INDEX('潜水記録'!$O$5:$O$3004,$AS328)="","",INDEX('潜水記録'!$O$5:$O$3004,$AS328)))</f>
        <v/>
      </c>
      <c r="Q328" s="14">
        <f>IF($A328="","",IF(INDEX('潜水記録'!$P$5:$P$3004,$AS328)="","",INDEX('潜水記録'!$P$5:$P$3004,$AS328)))</f>
        <v/>
      </c>
      <c r="R328" s="14">
        <f>IF($A328="","",IF(INDEX('潜水記録'!$Q$5:$Q$3004,$AS328)="","",INDEX('潜水記録'!$Q$5:$Q$3004,$AS328)))</f>
        <v/>
      </c>
      <c r="S328" s="14">
        <f>IF($A328="","",IF(INDEX('潜水記録'!$R$5:$R$3004,$AS328)="","",INDEX('潜水記録'!$R$5:$R$3004,$AS328)))</f>
        <v/>
      </c>
      <c r="T328" s="14">
        <f>IF($A328="","",IF(INDEX('潜水記録'!$S$5:$S$3004,$AS328)="","",INDEX('潜水記録'!$S$5:$S$3004,$AS328)))</f>
        <v/>
      </c>
      <c r="U328" s="14">
        <f>IF($A328="","",IF(INDEX('潜水記録'!$T$5:$T$3004,$AS328)="","",INDEX('潜水記録'!$T$5:$T$3004,$AS328)))</f>
        <v/>
      </c>
      <c r="V328" s="46">
        <f>IF($A328="","",IF(INDEX('潜水記録'!$U$5:$U$3004,$AS328)="","",INDEX('潜水記録'!$U$5:$U$3004,$AS328)))</f>
        <v/>
      </c>
      <c r="W328" s="46">
        <f>IF($A328="","",IF(INDEX('潜水記録'!$V$5:$V$3004,$AS328)="","",INDEX('潜水記録'!$V$5:$V$3004,$AS328)))</f>
        <v/>
      </c>
      <c r="X328" s="14">
        <f>IF($A328="","",IF(INDEX('潜水記録'!$W$5:$W$3004,$AS328)="","",INDEX('潜水記録'!$W$5:$W$3004,$AS328)))</f>
        <v/>
      </c>
      <c r="Y328" s="14">
        <f>IF($A328="","",IF(INDEX('潜水記録'!$X$5:$X$3004,$AS328)="","",INDEX('潜水記録'!$X$5:$X$3004,$AS328)))</f>
        <v/>
      </c>
      <c r="Z328" s="14">
        <f>IF($A328="","",IF(INDEX('潜水記録'!$Y$5:$Y$3004,$AS328)="","",INDEX('潜水記録'!$Y$5:$Y$3004,$AS328)))</f>
        <v/>
      </c>
      <c r="AA328" s="14">
        <f>IF($A328="","",IF(INDEX('潜水記録'!$Z$5:$Z$3004,$AS328)="","",INDEX('潜水記録'!$Z$5:$Z$3004,$AS328)))</f>
        <v/>
      </c>
      <c r="AB328" s="14">
        <f>IF($A328="","",IF(INDEX('潜水記録'!$AA$5:$AA$3004,$AS328)="","",INDEX('潜水記録'!$AA$5:$AA$3004,$AS328)))</f>
        <v/>
      </c>
      <c r="AC328" s="14">
        <f>IF($A328="","",IF(INDEX('潜水記録'!$AB$5:$AB$3004,$AS328)="","",INDEX('潜水記録'!$AB$5:$AB$3004,$AS328)))</f>
        <v/>
      </c>
      <c r="AD328" s="14">
        <f>IF($A328="","",IF(INDEX('潜水記録'!$AC$5:$AC$3004,$AS328)="","",INDEX('潜水記録'!$AC$5:$AC$3004,$AS328)))</f>
        <v/>
      </c>
      <c r="AE328" s="14">
        <f>IF($A328="","",IF(INDEX('潜水記録'!$AD$5:$AD$3004,$AS328)="","",INDEX('潜水記録'!$AD$5:$AD$3004,$AS328)))</f>
        <v/>
      </c>
      <c r="AF328" s="14">
        <f>IF($A328="","",IF(INDEX('潜水記録'!$AE$5:$AE$3004,$AS328)="","",INDEX('潜水記録'!$AE$5:$AE$3004,$AS328)))</f>
        <v/>
      </c>
      <c r="AG328" s="14">
        <f>IF($A328="","",IF(INDEX('潜水記録'!$AL$5:$AL$3004,$AS328)="","",INDEX('潜水記録'!$AL$5:$AL$3004,$AS328)))</f>
        <v/>
      </c>
      <c r="AH328" s="14">
        <f>IF($A328="","",IF(INDEX('潜水記録'!$AM$5:$AM$3004,$AS328)="","",INDEX('潜水記録'!$AM$5:$AM$3004,$AS328)))</f>
        <v/>
      </c>
      <c r="AI328" s="46">
        <f>IF($A328="","",IF(INDEX('潜水記録'!$AN$5:$AN$3004,$AS328)="","",INDEX('潜水記録'!$AN$5:$AN$3004,$AS328)))</f>
        <v/>
      </c>
      <c r="AJ328" s="14">
        <f>IF($A328="","",IF(INDEX('潜水記録'!$AO$5:$AO$3004,$AS328)="","",INDEX('潜水記録'!$AO$5:$AO$3004,$AS328)))</f>
        <v/>
      </c>
      <c r="AK328" s="14">
        <f>IF($A328="","",IF(INDEX('潜水記録'!$AP$5:$AP$3004,$AS328)="","",INDEX('潜水記録'!$AP$5:$AP$3004,$AS328)))</f>
        <v/>
      </c>
      <c r="AL328" s="14">
        <f>IF($A328="","",IF(INDEX('潜水記録'!$AQ$5:$AQ$3004,$AS328)="","",INDEX('潜水記録'!$AQ$5:$AQ$3004,$AS328)))</f>
        <v/>
      </c>
      <c r="AM328" s="14">
        <f>IF($A328="","",IF(INDEX('潜水記録'!$AR$5:$AR$3004,$AS328)="","",INDEX('潜水記録'!$AR$5:$AR$3004,$AS328)))</f>
        <v/>
      </c>
      <c r="AN328" s="14">
        <f>IF($A328="","",IF(INDEX('潜水記録'!$AS$5:$AS$3004,$AS328)="","",INDEX('潜水記録'!$AS$5:$AS$3004,$AS328)))</f>
        <v/>
      </c>
      <c r="AO328" s="14">
        <f>IF($A328="","",IF(INDEX('潜水記録'!$AT$5:$AT$3004,$AS328)="","",INDEX('潜水記録'!$AT$5:$AT$3004,$AS328)))</f>
        <v/>
      </c>
      <c r="AP328" s="14">
        <f>IF($A328="","",IF(INDEX('潜水記録'!$AU$5:$AU$3004,$AS328)="","",INDEX('潜水記録'!$AU$5:$AU$3004,$AS328)))</f>
        <v/>
      </c>
      <c r="AQ328" s="14">
        <f>IF($A328="","",IF(INDEX('潜水記録'!$AV$5:$AV$3004,$AS328)="","",INDEX('潜水記録'!$AV$5:$AV$3004,$AS328)))</f>
        <v/>
      </c>
      <c r="AR328" s="14">
        <f>IF($A328="","",IF(INDEX('潜水記録'!$AW$5:$AW$3004,$AS328)="","",INDEX('潜水記録'!$AW$5:$AW$3004,$AS328)))</f>
        <v/>
      </c>
      <c r="AS328" s="20">
        <f>IF($A328="","",MATCH($A328,'潜水記録'!$AI$5:$AI$3004,0))</f>
        <v/>
      </c>
    </row>
    <row r="329">
      <c r="A329" s="14">
        <f>IF(319&lt;=$C$8,319,"")</f>
        <v/>
      </c>
      <c r="B329" s="16">
        <f>IF($A329="","",IF(INDEX('潜水記録'!$A$5:$A$3004,$AS329)="","",INDEX('潜水記録'!$A$5:$A$3004,$AS329)))</f>
        <v/>
      </c>
      <c r="C329" s="14">
        <f>IF($A329="","",IF(INDEX('潜水記録'!$B$5:$B$3004,$AS329)="","",INDEX('潜水記録'!$B$5:$B$3004,$AS329)))</f>
        <v/>
      </c>
      <c r="D329" s="14">
        <f>IF($A329="","",IF(INDEX('潜水記録'!$C$5:$C$3004,$AS329)="","",INDEX('潜水記録'!$C$5:$C$3004,$AS329)))</f>
        <v/>
      </c>
      <c r="E329" s="14">
        <f>IF($A329="","",IF(INDEX('潜水記録'!$D$5:$D$3004,$AS329)="","",INDEX('潜水記録'!$D$5:$D$3004,$AS329)))</f>
        <v/>
      </c>
      <c r="F329" s="14">
        <f>IF($A329="","",IF(INDEX('潜水記録'!$E$5:$E$3004,$AS329)="","",INDEX('潜水記録'!$E$5:$E$3004,$AS329)))</f>
        <v/>
      </c>
      <c r="G329" s="14">
        <f>IF($A329="","",IF(INDEX('潜水記録'!$F$5:$F$3004,$AS329)="","",INDEX('潜水記録'!$F$5:$F$3004,$AS329)))</f>
        <v/>
      </c>
      <c r="H329" s="14">
        <f>IF($A329="","",IF(INDEX('潜水記録'!$G$5:$G$3004,$AS329)="","",INDEX('潜水記録'!$G$5:$G$3004,$AS329)))</f>
        <v/>
      </c>
      <c r="I329" s="14">
        <f>IF($A329="","",IF(INDEX('潜水記録'!$H$5:$H$3004,$AS329)="","",INDEX('潜水記録'!$H$5:$H$3004,$AS329)))</f>
        <v/>
      </c>
      <c r="J329" s="14">
        <f>IF($A329="","",IF(INDEX('潜水記録'!$I$5:$I$3004,$AS329)="","",INDEX('潜水記録'!$I$5:$I$3004,$AS329)))</f>
        <v/>
      </c>
      <c r="K329" s="14">
        <f>IF($A329="","",IF(INDEX('潜水記録'!$J$5:$J$3004,$AS329)="","",INDEX('潜水記録'!$J$5:$J$3004,$AS329)))</f>
        <v/>
      </c>
      <c r="L329" s="14">
        <f>IF($A329="","",IF(INDEX('潜水記録'!$K$5:$K$3004,$AS329)="","",INDEX('潜水記録'!$K$5:$K$3004,$AS329)))</f>
        <v/>
      </c>
      <c r="M329" s="14">
        <f>IF($A329="","",IF(INDEX('潜水記録'!$L$5:$L$3004,$AS329)="","",INDEX('潜水記録'!$L$5:$L$3004,$AS329)))</f>
        <v/>
      </c>
      <c r="N329" s="14">
        <f>IF($A329="","",IF(INDEX('潜水記録'!$M$5:$M$3004,$AS329)="","",INDEX('潜水記録'!$M$5:$M$3004,$AS329)))</f>
        <v/>
      </c>
      <c r="O329" s="14">
        <f>IF($A329="","",IF(INDEX('潜水記録'!$N$5:$N$3004,$AS329)="","",INDEX('潜水記録'!$N$5:$N$3004,$AS329)))</f>
        <v/>
      </c>
      <c r="P329" s="14">
        <f>IF($A329="","",IF(INDEX('潜水記録'!$O$5:$O$3004,$AS329)="","",INDEX('潜水記録'!$O$5:$O$3004,$AS329)))</f>
        <v/>
      </c>
      <c r="Q329" s="14">
        <f>IF($A329="","",IF(INDEX('潜水記録'!$P$5:$P$3004,$AS329)="","",INDEX('潜水記録'!$P$5:$P$3004,$AS329)))</f>
        <v/>
      </c>
      <c r="R329" s="14">
        <f>IF($A329="","",IF(INDEX('潜水記録'!$Q$5:$Q$3004,$AS329)="","",INDEX('潜水記録'!$Q$5:$Q$3004,$AS329)))</f>
        <v/>
      </c>
      <c r="S329" s="14">
        <f>IF($A329="","",IF(INDEX('潜水記録'!$R$5:$R$3004,$AS329)="","",INDEX('潜水記録'!$R$5:$R$3004,$AS329)))</f>
        <v/>
      </c>
      <c r="T329" s="14">
        <f>IF($A329="","",IF(INDEX('潜水記録'!$S$5:$S$3004,$AS329)="","",INDEX('潜水記録'!$S$5:$S$3004,$AS329)))</f>
        <v/>
      </c>
      <c r="U329" s="14">
        <f>IF($A329="","",IF(INDEX('潜水記録'!$T$5:$T$3004,$AS329)="","",INDEX('潜水記録'!$T$5:$T$3004,$AS329)))</f>
        <v/>
      </c>
      <c r="V329" s="46">
        <f>IF($A329="","",IF(INDEX('潜水記録'!$U$5:$U$3004,$AS329)="","",INDEX('潜水記録'!$U$5:$U$3004,$AS329)))</f>
        <v/>
      </c>
      <c r="W329" s="46">
        <f>IF($A329="","",IF(INDEX('潜水記録'!$V$5:$V$3004,$AS329)="","",INDEX('潜水記録'!$V$5:$V$3004,$AS329)))</f>
        <v/>
      </c>
      <c r="X329" s="14">
        <f>IF($A329="","",IF(INDEX('潜水記録'!$W$5:$W$3004,$AS329)="","",INDEX('潜水記録'!$W$5:$W$3004,$AS329)))</f>
        <v/>
      </c>
      <c r="Y329" s="14">
        <f>IF($A329="","",IF(INDEX('潜水記録'!$X$5:$X$3004,$AS329)="","",INDEX('潜水記録'!$X$5:$X$3004,$AS329)))</f>
        <v/>
      </c>
      <c r="Z329" s="14">
        <f>IF($A329="","",IF(INDEX('潜水記録'!$Y$5:$Y$3004,$AS329)="","",INDEX('潜水記録'!$Y$5:$Y$3004,$AS329)))</f>
        <v/>
      </c>
      <c r="AA329" s="14">
        <f>IF($A329="","",IF(INDEX('潜水記録'!$Z$5:$Z$3004,$AS329)="","",INDEX('潜水記録'!$Z$5:$Z$3004,$AS329)))</f>
        <v/>
      </c>
      <c r="AB329" s="14">
        <f>IF($A329="","",IF(INDEX('潜水記録'!$AA$5:$AA$3004,$AS329)="","",INDEX('潜水記録'!$AA$5:$AA$3004,$AS329)))</f>
        <v/>
      </c>
      <c r="AC329" s="14">
        <f>IF($A329="","",IF(INDEX('潜水記録'!$AB$5:$AB$3004,$AS329)="","",INDEX('潜水記録'!$AB$5:$AB$3004,$AS329)))</f>
        <v/>
      </c>
      <c r="AD329" s="14">
        <f>IF($A329="","",IF(INDEX('潜水記録'!$AC$5:$AC$3004,$AS329)="","",INDEX('潜水記録'!$AC$5:$AC$3004,$AS329)))</f>
        <v/>
      </c>
      <c r="AE329" s="14">
        <f>IF($A329="","",IF(INDEX('潜水記録'!$AD$5:$AD$3004,$AS329)="","",INDEX('潜水記録'!$AD$5:$AD$3004,$AS329)))</f>
        <v/>
      </c>
      <c r="AF329" s="14">
        <f>IF($A329="","",IF(INDEX('潜水記録'!$AE$5:$AE$3004,$AS329)="","",INDEX('潜水記録'!$AE$5:$AE$3004,$AS329)))</f>
        <v/>
      </c>
      <c r="AG329" s="14">
        <f>IF($A329="","",IF(INDEX('潜水記録'!$AL$5:$AL$3004,$AS329)="","",INDEX('潜水記録'!$AL$5:$AL$3004,$AS329)))</f>
        <v/>
      </c>
      <c r="AH329" s="14">
        <f>IF($A329="","",IF(INDEX('潜水記録'!$AM$5:$AM$3004,$AS329)="","",INDEX('潜水記録'!$AM$5:$AM$3004,$AS329)))</f>
        <v/>
      </c>
      <c r="AI329" s="46">
        <f>IF($A329="","",IF(INDEX('潜水記録'!$AN$5:$AN$3004,$AS329)="","",INDEX('潜水記録'!$AN$5:$AN$3004,$AS329)))</f>
        <v/>
      </c>
      <c r="AJ329" s="14">
        <f>IF($A329="","",IF(INDEX('潜水記録'!$AO$5:$AO$3004,$AS329)="","",INDEX('潜水記録'!$AO$5:$AO$3004,$AS329)))</f>
        <v/>
      </c>
      <c r="AK329" s="14">
        <f>IF($A329="","",IF(INDEX('潜水記録'!$AP$5:$AP$3004,$AS329)="","",INDEX('潜水記録'!$AP$5:$AP$3004,$AS329)))</f>
        <v/>
      </c>
      <c r="AL329" s="14">
        <f>IF($A329="","",IF(INDEX('潜水記録'!$AQ$5:$AQ$3004,$AS329)="","",INDEX('潜水記録'!$AQ$5:$AQ$3004,$AS329)))</f>
        <v/>
      </c>
      <c r="AM329" s="14">
        <f>IF($A329="","",IF(INDEX('潜水記録'!$AR$5:$AR$3004,$AS329)="","",INDEX('潜水記録'!$AR$5:$AR$3004,$AS329)))</f>
        <v/>
      </c>
      <c r="AN329" s="14">
        <f>IF($A329="","",IF(INDEX('潜水記録'!$AS$5:$AS$3004,$AS329)="","",INDEX('潜水記録'!$AS$5:$AS$3004,$AS329)))</f>
        <v/>
      </c>
      <c r="AO329" s="14">
        <f>IF($A329="","",IF(INDEX('潜水記録'!$AT$5:$AT$3004,$AS329)="","",INDEX('潜水記録'!$AT$5:$AT$3004,$AS329)))</f>
        <v/>
      </c>
      <c r="AP329" s="14">
        <f>IF($A329="","",IF(INDEX('潜水記録'!$AU$5:$AU$3004,$AS329)="","",INDEX('潜水記録'!$AU$5:$AU$3004,$AS329)))</f>
        <v/>
      </c>
      <c r="AQ329" s="14">
        <f>IF($A329="","",IF(INDEX('潜水記録'!$AV$5:$AV$3004,$AS329)="","",INDEX('潜水記録'!$AV$5:$AV$3004,$AS329)))</f>
        <v/>
      </c>
      <c r="AR329" s="14">
        <f>IF($A329="","",IF(INDEX('潜水記録'!$AW$5:$AW$3004,$AS329)="","",INDEX('潜水記録'!$AW$5:$AW$3004,$AS329)))</f>
        <v/>
      </c>
      <c r="AS329" s="20">
        <f>IF($A329="","",MATCH($A329,'潜水記録'!$AI$5:$AI$3004,0))</f>
        <v/>
      </c>
    </row>
    <row r="330">
      <c r="A330" s="14">
        <f>IF(320&lt;=$C$8,320,"")</f>
        <v/>
      </c>
      <c r="B330" s="16">
        <f>IF($A330="","",IF(INDEX('潜水記録'!$A$5:$A$3004,$AS330)="","",INDEX('潜水記録'!$A$5:$A$3004,$AS330)))</f>
        <v/>
      </c>
      <c r="C330" s="14">
        <f>IF($A330="","",IF(INDEX('潜水記録'!$B$5:$B$3004,$AS330)="","",INDEX('潜水記録'!$B$5:$B$3004,$AS330)))</f>
        <v/>
      </c>
      <c r="D330" s="14">
        <f>IF($A330="","",IF(INDEX('潜水記録'!$C$5:$C$3004,$AS330)="","",INDEX('潜水記録'!$C$5:$C$3004,$AS330)))</f>
        <v/>
      </c>
      <c r="E330" s="14">
        <f>IF($A330="","",IF(INDEX('潜水記録'!$D$5:$D$3004,$AS330)="","",INDEX('潜水記録'!$D$5:$D$3004,$AS330)))</f>
        <v/>
      </c>
      <c r="F330" s="14">
        <f>IF($A330="","",IF(INDEX('潜水記録'!$E$5:$E$3004,$AS330)="","",INDEX('潜水記録'!$E$5:$E$3004,$AS330)))</f>
        <v/>
      </c>
      <c r="G330" s="14">
        <f>IF($A330="","",IF(INDEX('潜水記録'!$F$5:$F$3004,$AS330)="","",INDEX('潜水記録'!$F$5:$F$3004,$AS330)))</f>
        <v/>
      </c>
      <c r="H330" s="14">
        <f>IF($A330="","",IF(INDEX('潜水記録'!$G$5:$G$3004,$AS330)="","",INDEX('潜水記録'!$G$5:$G$3004,$AS330)))</f>
        <v/>
      </c>
      <c r="I330" s="14">
        <f>IF($A330="","",IF(INDEX('潜水記録'!$H$5:$H$3004,$AS330)="","",INDEX('潜水記録'!$H$5:$H$3004,$AS330)))</f>
        <v/>
      </c>
      <c r="J330" s="14">
        <f>IF($A330="","",IF(INDEX('潜水記録'!$I$5:$I$3004,$AS330)="","",INDEX('潜水記録'!$I$5:$I$3004,$AS330)))</f>
        <v/>
      </c>
      <c r="K330" s="14">
        <f>IF($A330="","",IF(INDEX('潜水記録'!$J$5:$J$3004,$AS330)="","",INDEX('潜水記録'!$J$5:$J$3004,$AS330)))</f>
        <v/>
      </c>
      <c r="L330" s="14">
        <f>IF($A330="","",IF(INDEX('潜水記録'!$K$5:$K$3004,$AS330)="","",INDEX('潜水記録'!$K$5:$K$3004,$AS330)))</f>
        <v/>
      </c>
      <c r="M330" s="14">
        <f>IF($A330="","",IF(INDEX('潜水記録'!$L$5:$L$3004,$AS330)="","",INDEX('潜水記録'!$L$5:$L$3004,$AS330)))</f>
        <v/>
      </c>
      <c r="N330" s="14">
        <f>IF($A330="","",IF(INDEX('潜水記録'!$M$5:$M$3004,$AS330)="","",INDEX('潜水記録'!$M$5:$M$3004,$AS330)))</f>
        <v/>
      </c>
      <c r="O330" s="14">
        <f>IF($A330="","",IF(INDEX('潜水記録'!$N$5:$N$3004,$AS330)="","",INDEX('潜水記録'!$N$5:$N$3004,$AS330)))</f>
        <v/>
      </c>
      <c r="P330" s="14">
        <f>IF($A330="","",IF(INDEX('潜水記録'!$O$5:$O$3004,$AS330)="","",INDEX('潜水記録'!$O$5:$O$3004,$AS330)))</f>
        <v/>
      </c>
      <c r="Q330" s="14">
        <f>IF($A330="","",IF(INDEX('潜水記録'!$P$5:$P$3004,$AS330)="","",INDEX('潜水記録'!$P$5:$P$3004,$AS330)))</f>
        <v/>
      </c>
      <c r="R330" s="14">
        <f>IF($A330="","",IF(INDEX('潜水記録'!$Q$5:$Q$3004,$AS330)="","",INDEX('潜水記録'!$Q$5:$Q$3004,$AS330)))</f>
        <v/>
      </c>
      <c r="S330" s="14">
        <f>IF($A330="","",IF(INDEX('潜水記録'!$R$5:$R$3004,$AS330)="","",INDEX('潜水記録'!$R$5:$R$3004,$AS330)))</f>
        <v/>
      </c>
      <c r="T330" s="14">
        <f>IF($A330="","",IF(INDEX('潜水記録'!$S$5:$S$3004,$AS330)="","",INDEX('潜水記録'!$S$5:$S$3004,$AS330)))</f>
        <v/>
      </c>
      <c r="U330" s="14">
        <f>IF($A330="","",IF(INDEX('潜水記録'!$T$5:$T$3004,$AS330)="","",INDEX('潜水記録'!$T$5:$T$3004,$AS330)))</f>
        <v/>
      </c>
      <c r="V330" s="46">
        <f>IF($A330="","",IF(INDEX('潜水記録'!$U$5:$U$3004,$AS330)="","",INDEX('潜水記録'!$U$5:$U$3004,$AS330)))</f>
        <v/>
      </c>
      <c r="W330" s="46">
        <f>IF($A330="","",IF(INDEX('潜水記録'!$V$5:$V$3004,$AS330)="","",INDEX('潜水記録'!$V$5:$V$3004,$AS330)))</f>
        <v/>
      </c>
      <c r="X330" s="14">
        <f>IF($A330="","",IF(INDEX('潜水記録'!$W$5:$W$3004,$AS330)="","",INDEX('潜水記録'!$W$5:$W$3004,$AS330)))</f>
        <v/>
      </c>
      <c r="Y330" s="14">
        <f>IF($A330="","",IF(INDEX('潜水記録'!$X$5:$X$3004,$AS330)="","",INDEX('潜水記録'!$X$5:$X$3004,$AS330)))</f>
        <v/>
      </c>
      <c r="Z330" s="14">
        <f>IF($A330="","",IF(INDEX('潜水記録'!$Y$5:$Y$3004,$AS330)="","",INDEX('潜水記録'!$Y$5:$Y$3004,$AS330)))</f>
        <v/>
      </c>
      <c r="AA330" s="14">
        <f>IF($A330="","",IF(INDEX('潜水記録'!$Z$5:$Z$3004,$AS330)="","",INDEX('潜水記録'!$Z$5:$Z$3004,$AS330)))</f>
        <v/>
      </c>
      <c r="AB330" s="14">
        <f>IF($A330="","",IF(INDEX('潜水記録'!$AA$5:$AA$3004,$AS330)="","",INDEX('潜水記録'!$AA$5:$AA$3004,$AS330)))</f>
        <v/>
      </c>
      <c r="AC330" s="14">
        <f>IF($A330="","",IF(INDEX('潜水記録'!$AB$5:$AB$3004,$AS330)="","",INDEX('潜水記録'!$AB$5:$AB$3004,$AS330)))</f>
        <v/>
      </c>
      <c r="AD330" s="14">
        <f>IF($A330="","",IF(INDEX('潜水記録'!$AC$5:$AC$3004,$AS330)="","",INDEX('潜水記録'!$AC$5:$AC$3004,$AS330)))</f>
        <v/>
      </c>
      <c r="AE330" s="14">
        <f>IF($A330="","",IF(INDEX('潜水記録'!$AD$5:$AD$3004,$AS330)="","",INDEX('潜水記録'!$AD$5:$AD$3004,$AS330)))</f>
        <v/>
      </c>
      <c r="AF330" s="14">
        <f>IF($A330="","",IF(INDEX('潜水記録'!$AE$5:$AE$3004,$AS330)="","",INDEX('潜水記録'!$AE$5:$AE$3004,$AS330)))</f>
        <v/>
      </c>
      <c r="AG330" s="14">
        <f>IF($A330="","",IF(INDEX('潜水記録'!$AL$5:$AL$3004,$AS330)="","",INDEX('潜水記録'!$AL$5:$AL$3004,$AS330)))</f>
        <v/>
      </c>
      <c r="AH330" s="14">
        <f>IF($A330="","",IF(INDEX('潜水記録'!$AM$5:$AM$3004,$AS330)="","",INDEX('潜水記録'!$AM$5:$AM$3004,$AS330)))</f>
        <v/>
      </c>
      <c r="AI330" s="46">
        <f>IF($A330="","",IF(INDEX('潜水記録'!$AN$5:$AN$3004,$AS330)="","",INDEX('潜水記録'!$AN$5:$AN$3004,$AS330)))</f>
        <v/>
      </c>
      <c r="AJ330" s="14">
        <f>IF($A330="","",IF(INDEX('潜水記録'!$AO$5:$AO$3004,$AS330)="","",INDEX('潜水記録'!$AO$5:$AO$3004,$AS330)))</f>
        <v/>
      </c>
      <c r="AK330" s="14">
        <f>IF($A330="","",IF(INDEX('潜水記録'!$AP$5:$AP$3004,$AS330)="","",INDEX('潜水記録'!$AP$5:$AP$3004,$AS330)))</f>
        <v/>
      </c>
      <c r="AL330" s="14">
        <f>IF($A330="","",IF(INDEX('潜水記録'!$AQ$5:$AQ$3004,$AS330)="","",INDEX('潜水記録'!$AQ$5:$AQ$3004,$AS330)))</f>
        <v/>
      </c>
      <c r="AM330" s="14">
        <f>IF($A330="","",IF(INDEX('潜水記録'!$AR$5:$AR$3004,$AS330)="","",INDEX('潜水記録'!$AR$5:$AR$3004,$AS330)))</f>
        <v/>
      </c>
      <c r="AN330" s="14">
        <f>IF($A330="","",IF(INDEX('潜水記録'!$AS$5:$AS$3004,$AS330)="","",INDEX('潜水記録'!$AS$5:$AS$3004,$AS330)))</f>
        <v/>
      </c>
      <c r="AO330" s="14">
        <f>IF($A330="","",IF(INDEX('潜水記録'!$AT$5:$AT$3004,$AS330)="","",INDEX('潜水記録'!$AT$5:$AT$3004,$AS330)))</f>
        <v/>
      </c>
      <c r="AP330" s="14">
        <f>IF($A330="","",IF(INDEX('潜水記録'!$AU$5:$AU$3004,$AS330)="","",INDEX('潜水記録'!$AU$5:$AU$3004,$AS330)))</f>
        <v/>
      </c>
      <c r="AQ330" s="14">
        <f>IF($A330="","",IF(INDEX('潜水記録'!$AV$5:$AV$3004,$AS330)="","",INDEX('潜水記録'!$AV$5:$AV$3004,$AS330)))</f>
        <v/>
      </c>
      <c r="AR330" s="14">
        <f>IF($A330="","",IF(INDEX('潜水記録'!$AW$5:$AW$3004,$AS330)="","",INDEX('潜水記録'!$AW$5:$AW$3004,$AS330)))</f>
        <v/>
      </c>
      <c r="AS330" s="20">
        <f>IF($A330="","",MATCH($A330,'潜水記録'!$AI$5:$AI$3004,0))</f>
        <v/>
      </c>
    </row>
    <row r="331">
      <c r="A331" s="14">
        <f>IF(321&lt;=$C$8,321,"")</f>
        <v/>
      </c>
      <c r="B331" s="16">
        <f>IF($A331="","",IF(INDEX('潜水記録'!$A$5:$A$3004,$AS331)="","",INDEX('潜水記録'!$A$5:$A$3004,$AS331)))</f>
        <v/>
      </c>
      <c r="C331" s="14">
        <f>IF($A331="","",IF(INDEX('潜水記録'!$B$5:$B$3004,$AS331)="","",INDEX('潜水記録'!$B$5:$B$3004,$AS331)))</f>
        <v/>
      </c>
      <c r="D331" s="14">
        <f>IF($A331="","",IF(INDEX('潜水記録'!$C$5:$C$3004,$AS331)="","",INDEX('潜水記録'!$C$5:$C$3004,$AS331)))</f>
        <v/>
      </c>
      <c r="E331" s="14">
        <f>IF($A331="","",IF(INDEX('潜水記録'!$D$5:$D$3004,$AS331)="","",INDEX('潜水記録'!$D$5:$D$3004,$AS331)))</f>
        <v/>
      </c>
      <c r="F331" s="14">
        <f>IF($A331="","",IF(INDEX('潜水記録'!$E$5:$E$3004,$AS331)="","",INDEX('潜水記録'!$E$5:$E$3004,$AS331)))</f>
        <v/>
      </c>
      <c r="G331" s="14">
        <f>IF($A331="","",IF(INDEX('潜水記録'!$F$5:$F$3004,$AS331)="","",INDEX('潜水記録'!$F$5:$F$3004,$AS331)))</f>
        <v/>
      </c>
      <c r="H331" s="14">
        <f>IF($A331="","",IF(INDEX('潜水記録'!$G$5:$G$3004,$AS331)="","",INDEX('潜水記録'!$G$5:$G$3004,$AS331)))</f>
        <v/>
      </c>
      <c r="I331" s="14">
        <f>IF($A331="","",IF(INDEX('潜水記録'!$H$5:$H$3004,$AS331)="","",INDEX('潜水記録'!$H$5:$H$3004,$AS331)))</f>
        <v/>
      </c>
      <c r="J331" s="14">
        <f>IF($A331="","",IF(INDEX('潜水記録'!$I$5:$I$3004,$AS331)="","",INDEX('潜水記録'!$I$5:$I$3004,$AS331)))</f>
        <v/>
      </c>
      <c r="K331" s="14">
        <f>IF($A331="","",IF(INDEX('潜水記録'!$J$5:$J$3004,$AS331)="","",INDEX('潜水記録'!$J$5:$J$3004,$AS331)))</f>
        <v/>
      </c>
      <c r="L331" s="14">
        <f>IF($A331="","",IF(INDEX('潜水記録'!$K$5:$K$3004,$AS331)="","",INDEX('潜水記録'!$K$5:$K$3004,$AS331)))</f>
        <v/>
      </c>
      <c r="M331" s="14">
        <f>IF($A331="","",IF(INDEX('潜水記録'!$L$5:$L$3004,$AS331)="","",INDEX('潜水記録'!$L$5:$L$3004,$AS331)))</f>
        <v/>
      </c>
      <c r="N331" s="14">
        <f>IF($A331="","",IF(INDEX('潜水記録'!$M$5:$M$3004,$AS331)="","",INDEX('潜水記録'!$M$5:$M$3004,$AS331)))</f>
        <v/>
      </c>
      <c r="O331" s="14">
        <f>IF($A331="","",IF(INDEX('潜水記録'!$N$5:$N$3004,$AS331)="","",INDEX('潜水記録'!$N$5:$N$3004,$AS331)))</f>
        <v/>
      </c>
      <c r="P331" s="14">
        <f>IF($A331="","",IF(INDEX('潜水記録'!$O$5:$O$3004,$AS331)="","",INDEX('潜水記録'!$O$5:$O$3004,$AS331)))</f>
        <v/>
      </c>
      <c r="Q331" s="14">
        <f>IF($A331="","",IF(INDEX('潜水記録'!$P$5:$P$3004,$AS331)="","",INDEX('潜水記録'!$P$5:$P$3004,$AS331)))</f>
        <v/>
      </c>
      <c r="R331" s="14">
        <f>IF($A331="","",IF(INDEX('潜水記録'!$Q$5:$Q$3004,$AS331)="","",INDEX('潜水記録'!$Q$5:$Q$3004,$AS331)))</f>
        <v/>
      </c>
      <c r="S331" s="14">
        <f>IF($A331="","",IF(INDEX('潜水記録'!$R$5:$R$3004,$AS331)="","",INDEX('潜水記録'!$R$5:$R$3004,$AS331)))</f>
        <v/>
      </c>
      <c r="T331" s="14">
        <f>IF($A331="","",IF(INDEX('潜水記録'!$S$5:$S$3004,$AS331)="","",INDEX('潜水記録'!$S$5:$S$3004,$AS331)))</f>
        <v/>
      </c>
      <c r="U331" s="14">
        <f>IF($A331="","",IF(INDEX('潜水記録'!$T$5:$T$3004,$AS331)="","",INDEX('潜水記録'!$T$5:$T$3004,$AS331)))</f>
        <v/>
      </c>
      <c r="V331" s="46">
        <f>IF($A331="","",IF(INDEX('潜水記録'!$U$5:$U$3004,$AS331)="","",INDEX('潜水記録'!$U$5:$U$3004,$AS331)))</f>
        <v/>
      </c>
      <c r="W331" s="46">
        <f>IF($A331="","",IF(INDEX('潜水記録'!$V$5:$V$3004,$AS331)="","",INDEX('潜水記録'!$V$5:$V$3004,$AS331)))</f>
        <v/>
      </c>
      <c r="X331" s="14">
        <f>IF($A331="","",IF(INDEX('潜水記録'!$W$5:$W$3004,$AS331)="","",INDEX('潜水記録'!$W$5:$W$3004,$AS331)))</f>
        <v/>
      </c>
      <c r="Y331" s="14">
        <f>IF($A331="","",IF(INDEX('潜水記録'!$X$5:$X$3004,$AS331)="","",INDEX('潜水記録'!$X$5:$X$3004,$AS331)))</f>
        <v/>
      </c>
      <c r="Z331" s="14">
        <f>IF($A331="","",IF(INDEX('潜水記録'!$Y$5:$Y$3004,$AS331)="","",INDEX('潜水記録'!$Y$5:$Y$3004,$AS331)))</f>
        <v/>
      </c>
      <c r="AA331" s="14">
        <f>IF($A331="","",IF(INDEX('潜水記録'!$Z$5:$Z$3004,$AS331)="","",INDEX('潜水記録'!$Z$5:$Z$3004,$AS331)))</f>
        <v/>
      </c>
      <c r="AB331" s="14">
        <f>IF($A331="","",IF(INDEX('潜水記録'!$AA$5:$AA$3004,$AS331)="","",INDEX('潜水記録'!$AA$5:$AA$3004,$AS331)))</f>
        <v/>
      </c>
      <c r="AC331" s="14">
        <f>IF($A331="","",IF(INDEX('潜水記録'!$AB$5:$AB$3004,$AS331)="","",INDEX('潜水記録'!$AB$5:$AB$3004,$AS331)))</f>
        <v/>
      </c>
      <c r="AD331" s="14">
        <f>IF($A331="","",IF(INDEX('潜水記録'!$AC$5:$AC$3004,$AS331)="","",INDEX('潜水記録'!$AC$5:$AC$3004,$AS331)))</f>
        <v/>
      </c>
      <c r="AE331" s="14">
        <f>IF($A331="","",IF(INDEX('潜水記録'!$AD$5:$AD$3004,$AS331)="","",INDEX('潜水記録'!$AD$5:$AD$3004,$AS331)))</f>
        <v/>
      </c>
      <c r="AF331" s="14">
        <f>IF($A331="","",IF(INDEX('潜水記録'!$AE$5:$AE$3004,$AS331)="","",INDEX('潜水記録'!$AE$5:$AE$3004,$AS331)))</f>
        <v/>
      </c>
      <c r="AG331" s="14">
        <f>IF($A331="","",IF(INDEX('潜水記録'!$AL$5:$AL$3004,$AS331)="","",INDEX('潜水記録'!$AL$5:$AL$3004,$AS331)))</f>
        <v/>
      </c>
      <c r="AH331" s="14">
        <f>IF($A331="","",IF(INDEX('潜水記録'!$AM$5:$AM$3004,$AS331)="","",INDEX('潜水記録'!$AM$5:$AM$3004,$AS331)))</f>
        <v/>
      </c>
      <c r="AI331" s="46">
        <f>IF($A331="","",IF(INDEX('潜水記録'!$AN$5:$AN$3004,$AS331)="","",INDEX('潜水記録'!$AN$5:$AN$3004,$AS331)))</f>
        <v/>
      </c>
      <c r="AJ331" s="14">
        <f>IF($A331="","",IF(INDEX('潜水記録'!$AO$5:$AO$3004,$AS331)="","",INDEX('潜水記録'!$AO$5:$AO$3004,$AS331)))</f>
        <v/>
      </c>
      <c r="AK331" s="14">
        <f>IF($A331="","",IF(INDEX('潜水記録'!$AP$5:$AP$3004,$AS331)="","",INDEX('潜水記録'!$AP$5:$AP$3004,$AS331)))</f>
        <v/>
      </c>
      <c r="AL331" s="14">
        <f>IF($A331="","",IF(INDEX('潜水記録'!$AQ$5:$AQ$3004,$AS331)="","",INDEX('潜水記録'!$AQ$5:$AQ$3004,$AS331)))</f>
        <v/>
      </c>
      <c r="AM331" s="14">
        <f>IF($A331="","",IF(INDEX('潜水記録'!$AR$5:$AR$3004,$AS331)="","",INDEX('潜水記録'!$AR$5:$AR$3004,$AS331)))</f>
        <v/>
      </c>
      <c r="AN331" s="14">
        <f>IF($A331="","",IF(INDEX('潜水記録'!$AS$5:$AS$3004,$AS331)="","",INDEX('潜水記録'!$AS$5:$AS$3004,$AS331)))</f>
        <v/>
      </c>
      <c r="AO331" s="14">
        <f>IF($A331="","",IF(INDEX('潜水記録'!$AT$5:$AT$3004,$AS331)="","",INDEX('潜水記録'!$AT$5:$AT$3004,$AS331)))</f>
        <v/>
      </c>
      <c r="AP331" s="14">
        <f>IF($A331="","",IF(INDEX('潜水記録'!$AU$5:$AU$3004,$AS331)="","",INDEX('潜水記録'!$AU$5:$AU$3004,$AS331)))</f>
        <v/>
      </c>
      <c r="AQ331" s="14">
        <f>IF($A331="","",IF(INDEX('潜水記録'!$AV$5:$AV$3004,$AS331)="","",INDEX('潜水記録'!$AV$5:$AV$3004,$AS331)))</f>
        <v/>
      </c>
      <c r="AR331" s="14">
        <f>IF($A331="","",IF(INDEX('潜水記録'!$AW$5:$AW$3004,$AS331)="","",INDEX('潜水記録'!$AW$5:$AW$3004,$AS331)))</f>
        <v/>
      </c>
      <c r="AS331" s="20">
        <f>IF($A331="","",MATCH($A331,'潜水記録'!$AI$5:$AI$3004,0))</f>
        <v/>
      </c>
    </row>
    <row r="332">
      <c r="A332" s="14">
        <f>IF(322&lt;=$C$8,322,"")</f>
        <v/>
      </c>
      <c r="B332" s="16">
        <f>IF($A332="","",IF(INDEX('潜水記録'!$A$5:$A$3004,$AS332)="","",INDEX('潜水記録'!$A$5:$A$3004,$AS332)))</f>
        <v/>
      </c>
      <c r="C332" s="14">
        <f>IF($A332="","",IF(INDEX('潜水記録'!$B$5:$B$3004,$AS332)="","",INDEX('潜水記録'!$B$5:$B$3004,$AS332)))</f>
        <v/>
      </c>
      <c r="D332" s="14">
        <f>IF($A332="","",IF(INDEX('潜水記録'!$C$5:$C$3004,$AS332)="","",INDEX('潜水記録'!$C$5:$C$3004,$AS332)))</f>
        <v/>
      </c>
      <c r="E332" s="14">
        <f>IF($A332="","",IF(INDEX('潜水記録'!$D$5:$D$3004,$AS332)="","",INDEX('潜水記録'!$D$5:$D$3004,$AS332)))</f>
        <v/>
      </c>
      <c r="F332" s="14">
        <f>IF($A332="","",IF(INDEX('潜水記録'!$E$5:$E$3004,$AS332)="","",INDEX('潜水記録'!$E$5:$E$3004,$AS332)))</f>
        <v/>
      </c>
      <c r="G332" s="14">
        <f>IF($A332="","",IF(INDEX('潜水記録'!$F$5:$F$3004,$AS332)="","",INDEX('潜水記録'!$F$5:$F$3004,$AS332)))</f>
        <v/>
      </c>
      <c r="H332" s="14">
        <f>IF($A332="","",IF(INDEX('潜水記録'!$G$5:$G$3004,$AS332)="","",INDEX('潜水記録'!$G$5:$G$3004,$AS332)))</f>
        <v/>
      </c>
      <c r="I332" s="14">
        <f>IF($A332="","",IF(INDEX('潜水記録'!$H$5:$H$3004,$AS332)="","",INDEX('潜水記録'!$H$5:$H$3004,$AS332)))</f>
        <v/>
      </c>
      <c r="J332" s="14">
        <f>IF($A332="","",IF(INDEX('潜水記録'!$I$5:$I$3004,$AS332)="","",INDEX('潜水記録'!$I$5:$I$3004,$AS332)))</f>
        <v/>
      </c>
      <c r="K332" s="14">
        <f>IF($A332="","",IF(INDEX('潜水記録'!$J$5:$J$3004,$AS332)="","",INDEX('潜水記録'!$J$5:$J$3004,$AS332)))</f>
        <v/>
      </c>
      <c r="L332" s="14">
        <f>IF($A332="","",IF(INDEX('潜水記録'!$K$5:$K$3004,$AS332)="","",INDEX('潜水記録'!$K$5:$K$3004,$AS332)))</f>
        <v/>
      </c>
      <c r="M332" s="14">
        <f>IF($A332="","",IF(INDEX('潜水記録'!$L$5:$L$3004,$AS332)="","",INDEX('潜水記録'!$L$5:$L$3004,$AS332)))</f>
        <v/>
      </c>
      <c r="N332" s="14">
        <f>IF($A332="","",IF(INDEX('潜水記録'!$M$5:$M$3004,$AS332)="","",INDEX('潜水記録'!$M$5:$M$3004,$AS332)))</f>
        <v/>
      </c>
      <c r="O332" s="14">
        <f>IF($A332="","",IF(INDEX('潜水記録'!$N$5:$N$3004,$AS332)="","",INDEX('潜水記録'!$N$5:$N$3004,$AS332)))</f>
        <v/>
      </c>
      <c r="P332" s="14">
        <f>IF($A332="","",IF(INDEX('潜水記録'!$O$5:$O$3004,$AS332)="","",INDEX('潜水記録'!$O$5:$O$3004,$AS332)))</f>
        <v/>
      </c>
      <c r="Q332" s="14">
        <f>IF($A332="","",IF(INDEX('潜水記録'!$P$5:$P$3004,$AS332)="","",INDEX('潜水記録'!$P$5:$P$3004,$AS332)))</f>
        <v/>
      </c>
      <c r="R332" s="14">
        <f>IF($A332="","",IF(INDEX('潜水記録'!$Q$5:$Q$3004,$AS332)="","",INDEX('潜水記録'!$Q$5:$Q$3004,$AS332)))</f>
        <v/>
      </c>
      <c r="S332" s="14">
        <f>IF($A332="","",IF(INDEX('潜水記録'!$R$5:$R$3004,$AS332)="","",INDEX('潜水記録'!$R$5:$R$3004,$AS332)))</f>
        <v/>
      </c>
      <c r="T332" s="14">
        <f>IF($A332="","",IF(INDEX('潜水記録'!$S$5:$S$3004,$AS332)="","",INDEX('潜水記録'!$S$5:$S$3004,$AS332)))</f>
        <v/>
      </c>
      <c r="U332" s="14">
        <f>IF($A332="","",IF(INDEX('潜水記録'!$T$5:$T$3004,$AS332)="","",INDEX('潜水記録'!$T$5:$T$3004,$AS332)))</f>
        <v/>
      </c>
      <c r="V332" s="46">
        <f>IF($A332="","",IF(INDEX('潜水記録'!$U$5:$U$3004,$AS332)="","",INDEX('潜水記録'!$U$5:$U$3004,$AS332)))</f>
        <v/>
      </c>
      <c r="W332" s="46">
        <f>IF($A332="","",IF(INDEX('潜水記録'!$V$5:$V$3004,$AS332)="","",INDEX('潜水記録'!$V$5:$V$3004,$AS332)))</f>
        <v/>
      </c>
      <c r="X332" s="14">
        <f>IF($A332="","",IF(INDEX('潜水記録'!$W$5:$W$3004,$AS332)="","",INDEX('潜水記録'!$W$5:$W$3004,$AS332)))</f>
        <v/>
      </c>
      <c r="Y332" s="14">
        <f>IF($A332="","",IF(INDEX('潜水記録'!$X$5:$X$3004,$AS332)="","",INDEX('潜水記録'!$X$5:$X$3004,$AS332)))</f>
        <v/>
      </c>
      <c r="Z332" s="14">
        <f>IF($A332="","",IF(INDEX('潜水記録'!$Y$5:$Y$3004,$AS332)="","",INDEX('潜水記録'!$Y$5:$Y$3004,$AS332)))</f>
        <v/>
      </c>
      <c r="AA332" s="14">
        <f>IF($A332="","",IF(INDEX('潜水記録'!$Z$5:$Z$3004,$AS332)="","",INDEX('潜水記録'!$Z$5:$Z$3004,$AS332)))</f>
        <v/>
      </c>
      <c r="AB332" s="14">
        <f>IF($A332="","",IF(INDEX('潜水記録'!$AA$5:$AA$3004,$AS332)="","",INDEX('潜水記録'!$AA$5:$AA$3004,$AS332)))</f>
        <v/>
      </c>
      <c r="AC332" s="14">
        <f>IF($A332="","",IF(INDEX('潜水記録'!$AB$5:$AB$3004,$AS332)="","",INDEX('潜水記録'!$AB$5:$AB$3004,$AS332)))</f>
        <v/>
      </c>
      <c r="AD332" s="14">
        <f>IF($A332="","",IF(INDEX('潜水記録'!$AC$5:$AC$3004,$AS332)="","",INDEX('潜水記録'!$AC$5:$AC$3004,$AS332)))</f>
        <v/>
      </c>
      <c r="AE332" s="14">
        <f>IF($A332="","",IF(INDEX('潜水記録'!$AD$5:$AD$3004,$AS332)="","",INDEX('潜水記録'!$AD$5:$AD$3004,$AS332)))</f>
        <v/>
      </c>
      <c r="AF332" s="14">
        <f>IF($A332="","",IF(INDEX('潜水記録'!$AE$5:$AE$3004,$AS332)="","",INDEX('潜水記録'!$AE$5:$AE$3004,$AS332)))</f>
        <v/>
      </c>
      <c r="AG332" s="14">
        <f>IF($A332="","",IF(INDEX('潜水記録'!$AL$5:$AL$3004,$AS332)="","",INDEX('潜水記録'!$AL$5:$AL$3004,$AS332)))</f>
        <v/>
      </c>
      <c r="AH332" s="14">
        <f>IF($A332="","",IF(INDEX('潜水記録'!$AM$5:$AM$3004,$AS332)="","",INDEX('潜水記録'!$AM$5:$AM$3004,$AS332)))</f>
        <v/>
      </c>
      <c r="AI332" s="46">
        <f>IF($A332="","",IF(INDEX('潜水記録'!$AN$5:$AN$3004,$AS332)="","",INDEX('潜水記録'!$AN$5:$AN$3004,$AS332)))</f>
        <v/>
      </c>
      <c r="AJ332" s="14">
        <f>IF($A332="","",IF(INDEX('潜水記録'!$AO$5:$AO$3004,$AS332)="","",INDEX('潜水記録'!$AO$5:$AO$3004,$AS332)))</f>
        <v/>
      </c>
      <c r="AK332" s="14">
        <f>IF($A332="","",IF(INDEX('潜水記録'!$AP$5:$AP$3004,$AS332)="","",INDEX('潜水記録'!$AP$5:$AP$3004,$AS332)))</f>
        <v/>
      </c>
      <c r="AL332" s="14">
        <f>IF($A332="","",IF(INDEX('潜水記録'!$AQ$5:$AQ$3004,$AS332)="","",INDEX('潜水記録'!$AQ$5:$AQ$3004,$AS332)))</f>
        <v/>
      </c>
      <c r="AM332" s="14">
        <f>IF($A332="","",IF(INDEX('潜水記録'!$AR$5:$AR$3004,$AS332)="","",INDEX('潜水記録'!$AR$5:$AR$3004,$AS332)))</f>
        <v/>
      </c>
      <c r="AN332" s="14">
        <f>IF($A332="","",IF(INDEX('潜水記録'!$AS$5:$AS$3004,$AS332)="","",INDEX('潜水記録'!$AS$5:$AS$3004,$AS332)))</f>
        <v/>
      </c>
      <c r="AO332" s="14">
        <f>IF($A332="","",IF(INDEX('潜水記録'!$AT$5:$AT$3004,$AS332)="","",INDEX('潜水記録'!$AT$5:$AT$3004,$AS332)))</f>
        <v/>
      </c>
      <c r="AP332" s="14">
        <f>IF($A332="","",IF(INDEX('潜水記録'!$AU$5:$AU$3004,$AS332)="","",INDEX('潜水記録'!$AU$5:$AU$3004,$AS332)))</f>
        <v/>
      </c>
      <c r="AQ332" s="14">
        <f>IF($A332="","",IF(INDEX('潜水記録'!$AV$5:$AV$3004,$AS332)="","",INDEX('潜水記録'!$AV$5:$AV$3004,$AS332)))</f>
        <v/>
      </c>
      <c r="AR332" s="14">
        <f>IF($A332="","",IF(INDEX('潜水記録'!$AW$5:$AW$3004,$AS332)="","",INDEX('潜水記録'!$AW$5:$AW$3004,$AS332)))</f>
        <v/>
      </c>
      <c r="AS332" s="20">
        <f>IF($A332="","",MATCH($A332,'潜水記録'!$AI$5:$AI$3004,0))</f>
        <v/>
      </c>
    </row>
    <row r="333">
      <c r="A333" s="14">
        <f>IF(323&lt;=$C$8,323,"")</f>
        <v/>
      </c>
      <c r="B333" s="16">
        <f>IF($A333="","",IF(INDEX('潜水記録'!$A$5:$A$3004,$AS333)="","",INDEX('潜水記録'!$A$5:$A$3004,$AS333)))</f>
        <v/>
      </c>
      <c r="C333" s="14">
        <f>IF($A333="","",IF(INDEX('潜水記録'!$B$5:$B$3004,$AS333)="","",INDEX('潜水記録'!$B$5:$B$3004,$AS333)))</f>
        <v/>
      </c>
      <c r="D333" s="14">
        <f>IF($A333="","",IF(INDEX('潜水記録'!$C$5:$C$3004,$AS333)="","",INDEX('潜水記録'!$C$5:$C$3004,$AS333)))</f>
        <v/>
      </c>
      <c r="E333" s="14">
        <f>IF($A333="","",IF(INDEX('潜水記録'!$D$5:$D$3004,$AS333)="","",INDEX('潜水記録'!$D$5:$D$3004,$AS333)))</f>
        <v/>
      </c>
      <c r="F333" s="14">
        <f>IF($A333="","",IF(INDEX('潜水記録'!$E$5:$E$3004,$AS333)="","",INDEX('潜水記録'!$E$5:$E$3004,$AS333)))</f>
        <v/>
      </c>
      <c r="G333" s="14">
        <f>IF($A333="","",IF(INDEX('潜水記録'!$F$5:$F$3004,$AS333)="","",INDEX('潜水記録'!$F$5:$F$3004,$AS333)))</f>
        <v/>
      </c>
      <c r="H333" s="14">
        <f>IF($A333="","",IF(INDEX('潜水記録'!$G$5:$G$3004,$AS333)="","",INDEX('潜水記録'!$G$5:$G$3004,$AS333)))</f>
        <v/>
      </c>
      <c r="I333" s="14">
        <f>IF($A333="","",IF(INDEX('潜水記録'!$H$5:$H$3004,$AS333)="","",INDEX('潜水記録'!$H$5:$H$3004,$AS333)))</f>
        <v/>
      </c>
      <c r="J333" s="14">
        <f>IF($A333="","",IF(INDEX('潜水記録'!$I$5:$I$3004,$AS333)="","",INDEX('潜水記録'!$I$5:$I$3004,$AS333)))</f>
        <v/>
      </c>
      <c r="K333" s="14">
        <f>IF($A333="","",IF(INDEX('潜水記録'!$J$5:$J$3004,$AS333)="","",INDEX('潜水記録'!$J$5:$J$3004,$AS333)))</f>
        <v/>
      </c>
      <c r="L333" s="14">
        <f>IF($A333="","",IF(INDEX('潜水記録'!$K$5:$K$3004,$AS333)="","",INDEX('潜水記録'!$K$5:$K$3004,$AS333)))</f>
        <v/>
      </c>
      <c r="M333" s="14">
        <f>IF($A333="","",IF(INDEX('潜水記録'!$L$5:$L$3004,$AS333)="","",INDEX('潜水記録'!$L$5:$L$3004,$AS333)))</f>
        <v/>
      </c>
      <c r="N333" s="14">
        <f>IF($A333="","",IF(INDEX('潜水記録'!$M$5:$M$3004,$AS333)="","",INDEX('潜水記録'!$M$5:$M$3004,$AS333)))</f>
        <v/>
      </c>
      <c r="O333" s="14">
        <f>IF($A333="","",IF(INDEX('潜水記録'!$N$5:$N$3004,$AS333)="","",INDEX('潜水記録'!$N$5:$N$3004,$AS333)))</f>
        <v/>
      </c>
      <c r="P333" s="14">
        <f>IF($A333="","",IF(INDEX('潜水記録'!$O$5:$O$3004,$AS333)="","",INDEX('潜水記録'!$O$5:$O$3004,$AS333)))</f>
        <v/>
      </c>
      <c r="Q333" s="14">
        <f>IF($A333="","",IF(INDEX('潜水記録'!$P$5:$P$3004,$AS333)="","",INDEX('潜水記録'!$P$5:$P$3004,$AS333)))</f>
        <v/>
      </c>
      <c r="R333" s="14">
        <f>IF($A333="","",IF(INDEX('潜水記録'!$Q$5:$Q$3004,$AS333)="","",INDEX('潜水記録'!$Q$5:$Q$3004,$AS333)))</f>
        <v/>
      </c>
      <c r="S333" s="14">
        <f>IF($A333="","",IF(INDEX('潜水記録'!$R$5:$R$3004,$AS333)="","",INDEX('潜水記録'!$R$5:$R$3004,$AS333)))</f>
        <v/>
      </c>
      <c r="T333" s="14">
        <f>IF($A333="","",IF(INDEX('潜水記録'!$S$5:$S$3004,$AS333)="","",INDEX('潜水記録'!$S$5:$S$3004,$AS333)))</f>
        <v/>
      </c>
      <c r="U333" s="14">
        <f>IF($A333="","",IF(INDEX('潜水記録'!$T$5:$T$3004,$AS333)="","",INDEX('潜水記録'!$T$5:$T$3004,$AS333)))</f>
        <v/>
      </c>
      <c r="V333" s="46">
        <f>IF($A333="","",IF(INDEX('潜水記録'!$U$5:$U$3004,$AS333)="","",INDEX('潜水記録'!$U$5:$U$3004,$AS333)))</f>
        <v/>
      </c>
      <c r="W333" s="46">
        <f>IF($A333="","",IF(INDEX('潜水記録'!$V$5:$V$3004,$AS333)="","",INDEX('潜水記録'!$V$5:$V$3004,$AS333)))</f>
        <v/>
      </c>
      <c r="X333" s="14">
        <f>IF($A333="","",IF(INDEX('潜水記録'!$W$5:$W$3004,$AS333)="","",INDEX('潜水記録'!$W$5:$W$3004,$AS333)))</f>
        <v/>
      </c>
      <c r="Y333" s="14">
        <f>IF($A333="","",IF(INDEX('潜水記録'!$X$5:$X$3004,$AS333)="","",INDEX('潜水記録'!$X$5:$X$3004,$AS333)))</f>
        <v/>
      </c>
      <c r="Z333" s="14">
        <f>IF($A333="","",IF(INDEX('潜水記録'!$Y$5:$Y$3004,$AS333)="","",INDEX('潜水記録'!$Y$5:$Y$3004,$AS333)))</f>
        <v/>
      </c>
      <c r="AA333" s="14">
        <f>IF($A333="","",IF(INDEX('潜水記録'!$Z$5:$Z$3004,$AS333)="","",INDEX('潜水記録'!$Z$5:$Z$3004,$AS333)))</f>
        <v/>
      </c>
      <c r="AB333" s="14">
        <f>IF($A333="","",IF(INDEX('潜水記録'!$AA$5:$AA$3004,$AS333)="","",INDEX('潜水記録'!$AA$5:$AA$3004,$AS333)))</f>
        <v/>
      </c>
      <c r="AC333" s="14">
        <f>IF($A333="","",IF(INDEX('潜水記録'!$AB$5:$AB$3004,$AS333)="","",INDEX('潜水記録'!$AB$5:$AB$3004,$AS333)))</f>
        <v/>
      </c>
      <c r="AD333" s="14">
        <f>IF($A333="","",IF(INDEX('潜水記録'!$AC$5:$AC$3004,$AS333)="","",INDEX('潜水記録'!$AC$5:$AC$3004,$AS333)))</f>
        <v/>
      </c>
      <c r="AE333" s="14">
        <f>IF($A333="","",IF(INDEX('潜水記録'!$AD$5:$AD$3004,$AS333)="","",INDEX('潜水記録'!$AD$5:$AD$3004,$AS333)))</f>
        <v/>
      </c>
      <c r="AF333" s="14">
        <f>IF($A333="","",IF(INDEX('潜水記録'!$AE$5:$AE$3004,$AS333)="","",INDEX('潜水記録'!$AE$5:$AE$3004,$AS333)))</f>
        <v/>
      </c>
      <c r="AG333" s="14">
        <f>IF($A333="","",IF(INDEX('潜水記録'!$AL$5:$AL$3004,$AS333)="","",INDEX('潜水記録'!$AL$5:$AL$3004,$AS333)))</f>
        <v/>
      </c>
      <c r="AH333" s="14">
        <f>IF($A333="","",IF(INDEX('潜水記録'!$AM$5:$AM$3004,$AS333)="","",INDEX('潜水記録'!$AM$5:$AM$3004,$AS333)))</f>
        <v/>
      </c>
      <c r="AI333" s="46">
        <f>IF($A333="","",IF(INDEX('潜水記録'!$AN$5:$AN$3004,$AS333)="","",INDEX('潜水記録'!$AN$5:$AN$3004,$AS333)))</f>
        <v/>
      </c>
      <c r="AJ333" s="14">
        <f>IF($A333="","",IF(INDEX('潜水記録'!$AO$5:$AO$3004,$AS333)="","",INDEX('潜水記録'!$AO$5:$AO$3004,$AS333)))</f>
        <v/>
      </c>
      <c r="AK333" s="14">
        <f>IF($A333="","",IF(INDEX('潜水記録'!$AP$5:$AP$3004,$AS333)="","",INDEX('潜水記録'!$AP$5:$AP$3004,$AS333)))</f>
        <v/>
      </c>
      <c r="AL333" s="14">
        <f>IF($A333="","",IF(INDEX('潜水記録'!$AQ$5:$AQ$3004,$AS333)="","",INDEX('潜水記録'!$AQ$5:$AQ$3004,$AS333)))</f>
        <v/>
      </c>
      <c r="AM333" s="14">
        <f>IF($A333="","",IF(INDEX('潜水記録'!$AR$5:$AR$3004,$AS333)="","",INDEX('潜水記録'!$AR$5:$AR$3004,$AS333)))</f>
        <v/>
      </c>
      <c r="AN333" s="14">
        <f>IF($A333="","",IF(INDEX('潜水記録'!$AS$5:$AS$3004,$AS333)="","",INDEX('潜水記録'!$AS$5:$AS$3004,$AS333)))</f>
        <v/>
      </c>
      <c r="AO333" s="14">
        <f>IF($A333="","",IF(INDEX('潜水記録'!$AT$5:$AT$3004,$AS333)="","",INDEX('潜水記録'!$AT$5:$AT$3004,$AS333)))</f>
        <v/>
      </c>
      <c r="AP333" s="14">
        <f>IF($A333="","",IF(INDEX('潜水記録'!$AU$5:$AU$3004,$AS333)="","",INDEX('潜水記録'!$AU$5:$AU$3004,$AS333)))</f>
        <v/>
      </c>
      <c r="AQ333" s="14">
        <f>IF($A333="","",IF(INDEX('潜水記録'!$AV$5:$AV$3004,$AS333)="","",INDEX('潜水記録'!$AV$5:$AV$3004,$AS333)))</f>
        <v/>
      </c>
      <c r="AR333" s="14">
        <f>IF($A333="","",IF(INDEX('潜水記録'!$AW$5:$AW$3004,$AS333)="","",INDEX('潜水記録'!$AW$5:$AW$3004,$AS333)))</f>
        <v/>
      </c>
      <c r="AS333" s="20">
        <f>IF($A333="","",MATCH($A333,'潜水記録'!$AI$5:$AI$3004,0))</f>
        <v/>
      </c>
    </row>
    <row r="334">
      <c r="A334" s="14">
        <f>IF(324&lt;=$C$8,324,"")</f>
        <v/>
      </c>
      <c r="B334" s="16">
        <f>IF($A334="","",IF(INDEX('潜水記録'!$A$5:$A$3004,$AS334)="","",INDEX('潜水記録'!$A$5:$A$3004,$AS334)))</f>
        <v/>
      </c>
      <c r="C334" s="14">
        <f>IF($A334="","",IF(INDEX('潜水記録'!$B$5:$B$3004,$AS334)="","",INDEX('潜水記録'!$B$5:$B$3004,$AS334)))</f>
        <v/>
      </c>
      <c r="D334" s="14">
        <f>IF($A334="","",IF(INDEX('潜水記録'!$C$5:$C$3004,$AS334)="","",INDEX('潜水記録'!$C$5:$C$3004,$AS334)))</f>
        <v/>
      </c>
      <c r="E334" s="14">
        <f>IF($A334="","",IF(INDEX('潜水記録'!$D$5:$D$3004,$AS334)="","",INDEX('潜水記録'!$D$5:$D$3004,$AS334)))</f>
        <v/>
      </c>
      <c r="F334" s="14">
        <f>IF($A334="","",IF(INDEX('潜水記録'!$E$5:$E$3004,$AS334)="","",INDEX('潜水記録'!$E$5:$E$3004,$AS334)))</f>
        <v/>
      </c>
      <c r="G334" s="14">
        <f>IF($A334="","",IF(INDEX('潜水記録'!$F$5:$F$3004,$AS334)="","",INDEX('潜水記録'!$F$5:$F$3004,$AS334)))</f>
        <v/>
      </c>
      <c r="H334" s="14">
        <f>IF($A334="","",IF(INDEX('潜水記録'!$G$5:$G$3004,$AS334)="","",INDEX('潜水記録'!$G$5:$G$3004,$AS334)))</f>
        <v/>
      </c>
      <c r="I334" s="14">
        <f>IF($A334="","",IF(INDEX('潜水記録'!$H$5:$H$3004,$AS334)="","",INDEX('潜水記録'!$H$5:$H$3004,$AS334)))</f>
        <v/>
      </c>
      <c r="J334" s="14">
        <f>IF($A334="","",IF(INDEX('潜水記録'!$I$5:$I$3004,$AS334)="","",INDEX('潜水記録'!$I$5:$I$3004,$AS334)))</f>
        <v/>
      </c>
      <c r="K334" s="14">
        <f>IF($A334="","",IF(INDEX('潜水記録'!$J$5:$J$3004,$AS334)="","",INDEX('潜水記録'!$J$5:$J$3004,$AS334)))</f>
        <v/>
      </c>
      <c r="L334" s="14">
        <f>IF($A334="","",IF(INDEX('潜水記録'!$K$5:$K$3004,$AS334)="","",INDEX('潜水記録'!$K$5:$K$3004,$AS334)))</f>
        <v/>
      </c>
      <c r="M334" s="14">
        <f>IF($A334="","",IF(INDEX('潜水記録'!$L$5:$L$3004,$AS334)="","",INDEX('潜水記録'!$L$5:$L$3004,$AS334)))</f>
        <v/>
      </c>
      <c r="N334" s="14">
        <f>IF($A334="","",IF(INDEX('潜水記録'!$M$5:$M$3004,$AS334)="","",INDEX('潜水記録'!$M$5:$M$3004,$AS334)))</f>
        <v/>
      </c>
      <c r="O334" s="14">
        <f>IF($A334="","",IF(INDEX('潜水記録'!$N$5:$N$3004,$AS334)="","",INDEX('潜水記録'!$N$5:$N$3004,$AS334)))</f>
        <v/>
      </c>
      <c r="P334" s="14">
        <f>IF($A334="","",IF(INDEX('潜水記録'!$O$5:$O$3004,$AS334)="","",INDEX('潜水記録'!$O$5:$O$3004,$AS334)))</f>
        <v/>
      </c>
      <c r="Q334" s="14">
        <f>IF($A334="","",IF(INDEX('潜水記録'!$P$5:$P$3004,$AS334)="","",INDEX('潜水記録'!$P$5:$P$3004,$AS334)))</f>
        <v/>
      </c>
      <c r="R334" s="14">
        <f>IF($A334="","",IF(INDEX('潜水記録'!$Q$5:$Q$3004,$AS334)="","",INDEX('潜水記録'!$Q$5:$Q$3004,$AS334)))</f>
        <v/>
      </c>
      <c r="S334" s="14">
        <f>IF($A334="","",IF(INDEX('潜水記録'!$R$5:$R$3004,$AS334)="","",INDEX('潜水記録'!$R$5:$R$3004,$AS334)))</f>
        <v/>
      </c>
      <c r="T334" s="14">
        <f>IF($A334="","",IF(INDEX('潜水記録'!$S$5:$S$3004,$AS334)="","",INDEX('潜水記録'!$S$5:$S$3004,$AS334)))</f>
        <v/>
      </c>
      <c r="U334" s="14">
        <f>IF($A334="","",IF(INDEX('潜水記録'!$T$5:$T$3004,$AS334)="","",INDEX('潜水記録'!$T$5:$T$3004,$AS334)))</f>
        <v/>
      </c>
      <c r="V334" s="46">
        <f>IF($A334="","",IF(INDEX('潜水記録'!$U$5:$U$3004,$AS334)="","",INDEX('潜水記録'!$U$5:$U$3004,$AS334)))</f>
        <v/>
      </c>
      <c r="W334" s="46">
        <f>IF($A334="","",IF(INDEX('潜水記録'!$V$5:$V$3004,$AS334)="","",INDEX('潜水記録'!$V$5:$V$3004,$AS334)))</f>
        <v/>
      </c>
      <c r="X334" s="14">
        <f>IF($A334="","",IF(INDEX('潜水記録'!$W$5:$W$3004,$AS334)="","",INDEX('潜水記録'!$W$5:$W$3004,$AS334)))</f>
        <v/>
      </c>
      <c r="Y334" s="14">
        <f>IF($A334="","",IF(INDEX('潜水記録'!$X$5:$X$3004,$AS334)="","",INDEX('潜水記録'!$X$5:$X$3004,$AS334)))</f>
        <v/>
      </c>
      <c r="Z334" s="14">
        <f>IF($A334="","",IF(INDEX('潜水記録'!$Y$5:$Y$3004,$AS334)="","",INDEX('潜水記録'!$Y$5:$Y$3004,$AS334)))</f>
        <v/>
      </c>
      <c r="AA334" s="14">
        <f>IF($A334="","",IF(INDEX('潜水記録'!$Z$5:$Z$3004,$AS334)="","",INDEX('潜水記録'!$Z$5:$Z$3004,$AS334)))</f>
        <v/>
      </c>
      <c r="AB334" s="14">
        <f>IF($A334="","",IF(INDEX('潜水記録'!$AA$5:$AA$3004,$AS334)="","",INDEX('潜水記録'!$AA$5:$AA$3004,$AS334)))</f>
        <v/>
      </c>
      <c r="AC334" s="14">
        <f>IF($A334="","",IF(INDEX('潜水記録'!$AB$5:$AB$3004,$AS334)="","",INDEX('潜水記録'!$AB$5:$AB$3004,$AS334)))</f>
        <v/>
      </c>
      <c r="AD334" s="14">
        <f>IF($A334="","",IF(INDEX('潜水記録'!$AC$5:$AC$3004,$AS334)="","",INDEX('潜水記録'!$AC$5:$AC$3004,$AS334)))</f>
        <v/>
      </c>
      <c r="AE334" s="14">
        <f>IF($A334="","",IF(INDEX('潜水記録'!$AD$5:$AD$3004,$AS334)="","",INDEX('潜水記録'!$AD$5:$AD$3004,$AS334)))</f>
        <v/>
      </c>
      <c r="AF334" s="14">
        <f>IF($A334="","",IF(INDEX('潜水記録'!$AE$5:$AE$3004,$AS334)="","",INDEX('潜水記録'!$AE$5:$AE$3004,$AS334)))</f>
        <v/>
      </c>
      <c r="AG334" s="14">
        <f>IF($A334="","",IF(INDEX('潜水記録'!$AL$5:$AL$3004,$AS334)="","",INDEX('潜水記録'!$AL$5:$AL$3004,$AS334)))</f>
        <v/>
      </c>
      <c r="AH334" s="14">
        <f>IF($A334="","",IF(INDEX('潜水記録'!$AM$5:$AM$3004,$AS334)="","",INDEX('潜水記録'!$AM$5:$AM$3004,$AS334)))</f>
        <v/>
      </c>
      <c r="AI334" s="46">
        <f>IF($A334="","",IF(INDEX('潜水記録'!$AN$5:$AN$3004,$AS334)="","",INDEX('潜水記録'!$AN$5:$AN$3004,$AS334)))</f>
        <v/>
      </c>
      <c r="AJ334" s="14">
        <f>IF($A334="","",IF(INDEX('潜水記録'!$AO$5:$AO$3004,$AS334)="","",INDEX('潜水記録'!$AO$5:$AO$3004,$AS334)))</f>
        <v/>
      </c>
      <c r="AK334" s="14">
        <f>IF($A334="","",IF(INDEX('潜水記録'!$AP$5:$AP$3004,$AS334)="","",INDEX('潜水記録'!$AP$5:$AP$3004,$AS334)))</f>
        <v/>
      </c>
      <c r="AL334" s="14">
        <f>IF($A334="","",IF(INDEX('潜水記録'!$AQ$5:$AQ$3004,$AS334)="","",INDEX('潜水記録'!$AQ$5:$AQ$3004,$AS334)))</f>
        <v/>
      </c>
      <c r="AM334" s="14">
        <f>IF($A334="","",IF(INDEX('潜水記録'!$AR$5:$AR$3004,$AS334)="","",INDEX('潜水記録'!$AR$5:$AR$3004,$AS334)))</f>
        <v/>
      </c>
      <c r="AN334" s="14">
        <f>IF($A334="","",IF(INDEX('潜水記録'!$AS$5:$AS$3004,$AS334)="","",INDEX('潜水記録'!$AS$5:$AS$3004,$AS334)))</f>
        <v/>
      </c>
      <c r="AO334" s="14">
        <f>IF($A334="","",IF(INDEX('潜水記録'!$AT$5:$AT$3004,$AS334)="","",INDEX('潜水記録'!$AT$5:$AT$3004,$AS334)))</f>
        <v/>
      </c>
      <c r="AP334" s="14">
        <f>IF($A334="","",IF(INDEX('潜水記録'!$AU$5:$AU$3004,$AS334)="","",INDEX('潜水記録'!$AU$5:$AU$3004,$AS334)))</f>
        <v/>
      </c>
      <c r="AQ334" s="14">
        <f>IF($A334="","",IF(INDEX('潜水記録'!$AV$5:$AV$3004,$AS334)="","",INDEX('潜水記録'!$AV$5:$AV$3004,$AS334)))</f>
        <v/>
      </c>
      <c r="AR334" s="14">
        <f>IF($A334="","",IF(INDEX('潜水記録'!$AW$5:$AW$3004,$AS334)="","",INDEX('潜水記録'!$AW$5:$AW$3004,$AS334)))</f>
        <v/>
      </c>
      <c r="AS334" s="20">
        <f>IF($A334="","",MATCH($A334,'潜水記録'!$AI$5:$AI$3004,0))</f>
        <v/>
      </c>
    </row>
    <row r="335">
      <c r="A335" s="14">
        <f>IF(325&lt;=$C$8,325,"")</f>
        <v/>
      </c>
      <c r="B335" s="16">
        <f>IF($A335="","",IF(INDEX('潜水記録'!$A$5:$A$3004,$AS335)="","",INDEX('潜水記録'!$A$5:$A$3004,$AS335)))</f>
        <v/>
      </c>
      <c r="C335" s="14">
        <f>IF($A335="","",IF(INDEX('潜水記録'!$B$5:$B$3004,$AS335)="","",INDEX('潜水記録'!$B$5:$B$3004,$AS335)))</f>
        <v/>
      </c>
      <c r="D335" s="14">
        <f>IF($A335="","",IF(INDEX('潜水記録'!$C$5:$C$3004,$AS335)="","",INDEX('潜水記録'!$C$5:$C$3004,$AS335)))</f>
        <v/>
      </c>
      <c r="E335" s="14">
        <f>IF($A335="","",IF(INDEX('潜水記録'!$D$5:$D$3004,$AS335)="","",INDEX('潜水記録'!$D$5:$D$3004,$AS335)))</f>
        <v/>
      </c>
      <c r="F335" s="14">
        <f>IF($A335="","",IF(INDEX('潜水記録'!$E$5:$E$3004,$AS335)="","",INDEX('潜水記録'!$E$5:$E$3004,$AS335)))</f>
        <v/>
      </c>
      <c r="G335" s="14">
        <f>IF($A335="","",IF(INDEX('潜水記録'!$F$5:$F$3004,$AS335)="","",INDEX('潜水記録'!$F$5:$F$3004,$AS335)))</f>
        <v/>
      </c>
      <c r="H335" s="14">
        <f>IF($A335="","",IF(INDEX('潜水記録'!$G$5:$G$3004,$AS335)="","",INDEX('潜水記録'!$G$5:$G$3004,$AS335)))</f>
        <v/>
      </c>
      <c r="I335" s="14">
        <f>IF($A335="","",IF(INDEX('潜水記録'!$H$5:$H$3004,$AS335)="","",INDEX('潜水記録'!$H$5:$H$3004,$AS335)))</f>
        <v/>
      </c>
      <c r="J335" s="14">
        <f>IF($A335="","",IF(INDEX('潜水記録'!$I$5:$I$3004,$AS335)="","",INDEX('潜水記録'!$I$5:$I$3004,$AS335)))</f>
        <v/>
      </c>
      <c r="K335" s="14">
        <f>IF($A335="","",IF(INDEX('潜水記録'!$J$5:$J$3004,$AS335)="","",INDEX('潜水記録'!$J$5:$J$3004,$AS335)))</f>
        <v/>
      </c>
      <c r="L335" s="14">
        <f>IF($A335="","",IF(INDEX('潜水記録'!$K$5:$K$3004,$AS335)="","",INDEX('潜水記録'!$K$5:$K$3004,$AS335)))</f>
        <v/>
      </c>
      <c r="M335" s="14">
        <f>IF($A335="","",IF(INDEX('潜水記録'!$L$5:$L$3004,$AS335)="","",INDEX('潜水記録'!$L$5:$L$3004,$AS335)))</f>
        <v/>
      </c>
      <c r="N335" s="14">
        <f>IF($A335="","",IF(INDEX('潜水記録'!$M$5:$M$3004,$AS335)="","",INDEX('潜水記録'!$M$5:$M$3004,$AS335)))</f>
        <v/>
      </c>
      <c r="O335" s="14">
        <f>IF($A335="","",IF(INDEX('潜水記録'!$N$5:$N$3004,$AS335)="","",INDEX('潜水記録'!$N$5:$N$3004,$AS335)))</f>
        <v/>
      </c>
      <c r="P335" s="14">
        <f>IF($A335="","",IF(INDEX('潜水記録'!$O$5:$O$3004,$AS335)="","",INDEX('潜水記録'!$O$5:$O$3004,$AS335)))</f>
        <v/>
      </c>
      <c r="Q335" s="14">
        <f>IF($A335="","",IF(INDEX('潜水記録'!$P$5:$P$3004,$AS335)="","",INDEX('潜水記録'!$P$5:$P$3004,$AS335)))</f>
        <v/>
      </c>
      <c r="R335" s="14">
        <f>IF($A335="","",IF(INDEX('潜水記録'!$Q$5:$Q$3004,$AS335)="","",INDEX('潜水記録'!$Q$5:$Q$3004,$AS335)))</f>
        <v/>
      </c>
      <c r="S335" s="14">
        <f>IF($A335="","",IF(INDEX('潜水記録'!$R$5:$R$3004,$AS335)="","",INDEX('潜水記録'!$R$5:$R$3004,$AS335)))</f>
        <v/>
      </c>
      <c r="T335" s="14">
        <f>IF($A335="","",IF(INDEX('潜水記録'!$S$5:$S$3004,$AS335)="","",INDEX('潜水記録'!$S$5:$S$3004,$AS335)))</f>
        <v/>
      </c>
      <c r="U335" s="14">
        <f>IF($A335="","",IF(INDEX('潜水記録'!$T$5:$T$3004,$AS335)="","",INDEX('潜水記録'!$T$5:$T$3004,$AS335)))</f>
        <v/>
      </c>
      <c r="V335" s="46">
        <f>IF($A335="","",IF(INDEX('潜水記録'!$U$5:$U$3004,$AS335)="","",INDEX('潜水記録'!$U$5:$U$3004,$AS335)))</f>
        <v/>
      </c>
      <c r="W335" s="46">
        <f>IF($A335="","",IF(INDEX('潜水記録'!$V$5:$V$3004,$AS335)="","",INDEX('潜水記録'!$V$5:$V$3004,$AS335)))</f>
        <v/>
      </c>
      <c r="X335" s="14">
        <f>IF($A335="","",IF(INDEX('潜水記録'!$W$5:$W$3004,$AS335)="","",INDEX('潜水記録'!$W$5:$W$3004,$AS335)))</f>
        <v/>
      </c>
      <c r="Y335" s="14">
        <f>IF($A335="","",IF(INDEX('潜水記録'!$X$5:$X$3004,$AS335)="","",INDEX('潜水記録'!$X$5:$X$3004,$AS335)))</f>
        <v/>
      </c>
      <c r="Z335" s="14">
        <f>IF($A335="","",IF(INDEX('潜水記録'!$Y$5:$Y$3004,$AS335)="","",INDEX('潜水記録'!$Y$5:$Y$3004,$AS335)))</f>
        <v/>
      </c>
      <c r="AA335" s="14">
        <f>IF($A335="","",IF(INDEX('潜水記録'!$Z$5:$Z$3004,$AS335)="","",INDEX('潜水記録'!$Z$5:$Z$3004,$AS335)))</f>
        <v/>
      </c>
      <c r="AB335" s="14">
        <f>IF($A335="","",IF(INDEX('潜水記録'!$AA$5:$AA$3004,$AS335)="","",INDEX('潜水記録'!$AA$5:$AA$3004,$AS335)))</f>
        <v/>
      </c>
      <c r="AC335" s="14">
        <f>IF($A335="","",IF(INDEX('潜水記録'!$AB$5:$AB$3004,$AS335)="","",INDEX('潜水記録'!$AB$5:$AB$3004,$AS335)))</f>
        <v/>
      </c>
      <c r="AD335" s="14">
        <f>IF($A335="","",IF(INDEX('潜水記録'!$AC$5:$AC$3004,$AS335)="","",INDEX('潜水記録'!$AC$5:$AC$3004,$AS335)))</f>
        <v/>
      </c>
      <c r="AE335" s="14">
        <f>IF($A335="","",IF(INDEX('潜水記録'!$AD$5:$AD$3004,$AS335)="","",INDEX('潜水記録'!$AD$5:$AD$3004,$AS335)))</f>
        <v/>
      </c>
      <c r="AF335" s="14">
        <f>IF($A335="","",IF(INDEX('潜水記録'!$AE$5:$AE$3004,$AS335)="","",INDEX('潜水記録'!$AE$5:$AE$3004,$AS335)))</f>
        <v/>
      </c>
      <c r="AG335" s="14">
        <f>IF($A335="","",IF(INDEX('潜水記録'!$AL$5:$AL$3004,$AS335)="","",INDEX('潜水記録'!$AL$5:$AL$3004,$AS335)))</f>
        <v/>
      </c>
      <c r="AH335" s="14">
        <f>IF($A335="","",IF(INDEX('潜水記録'!$AM$5:$AM$3004,$AS335)="","",INDEX('潜水記録'!$AM$5:$AM$3004,$AS335)))</f>
        <v/>
      </c>
      <c r="AI335" s="46">
        <f>IF($A335="","",IF(INDEX('潜水記録'!$AN$5:$AN$3004,$AS335)="","",INDEX('潜水記録'!$AN$5:$AN$3004,$AS335)))</f>
        <v/>
      </c>
      <c r="AJ335" s="14">
        <f>IF($A335="","",IF(INDEX('潜水記録'!$AO$5:$AO$3004,$AS335)="","",INDEX('潜水記録'!$AO$5:$AO$3004,$AS335)))</f>
        <v/>
      </c>
      <c r="AK335" s="14">
        <f>IF($A335="","",IF(INDEX('潜水記録'!$AP$5:$AP$3004,$AS335)="","",INDEX('潜水記録'!$AP$5:$AP$3004,$AS335)))</f>
        <v/>
      </c>
      <c r="AL335" s="14">
        <f>IF($A335="","",IF(INDEX('潜水記録'!$AQ$5:$AQ$3004,$AS335)="","",INDEX('潜水記録'!$AQ$5:$AQ$3004,$AS335)))</f>
        <v/>
      </c>
      <c r="AM335" s="14">
        <f>IF($A335="","",IF(INDEX('潜水記録'!$AR$5:$AR$3004,$AS335)="","",INDEX('潜水記録'!$AR$5:$AR$3004,$AS335)))</f>
        <v/>
      </c>
      <c r="AN335" s="14">
        <f>IF($A335="","",IF(INDEX('潜水記録'!$AS$5:$AS$3004,$AS335)="","",INDEX('潜水記録'!$AS$5:$AS$3004,$AS335)))</f>
        <v/>
      </c>
      <c r="AO335" s="14">
        <f>IF($A335="","",IF(INDEX('潜水記録'!$AT$5:$AT$3004,$AS335)="","",INDEX('潜水記録'!$AT$5:$AT$3004,$AS335)))</f>
        <v/>
      </c>
      <c r="AP335" s="14">
        <f>IF($A335="","",IF(INDEX('潜水記録'!$AU$5:$AU$3004,$AS335)="","",INDEX('潜水記録'!$AU$5:$AU$3004,$AS335)))</f>
        <v/>
      </c>
      <c r="AQ335" s="14">
        <f>IF($A335="","",IF(INDEX('潜水記録'!$AV$5:$AV$3004,$AS335)="","",INDEX('潜水記録'!$AV$5:$AV$3004,$AS335)))</f>
        <v/>
      </c>
      <c r="AR335" s="14">
        <f>IF($A335="","",IF(INDEX('潜水記録'!$AW$5:$AW$3004,$AS335)="","",INDEX('潜水記録'!$AW$5:$AW$3004,$AS335)))</f>
        <v/>
      </c>
      <c r="AS335" s="20">
        <f>IF($A335="","",MATCH($A335,'潜水記録'!$AI$5:$AI$3004,0))</f>
        <v/>
      </c>
    </row>
    <row r="336">
      <c r="A336" s="14">
        <f>IF(326&lt;=$C$8,326,"")</f>
        <v/>
      </c>
      <c r="B336" s="16">
        <f>IF($A336="","",IF(INDEX('潜水記録'!$A$5:$A$3004,$AS336)="","",INDEX('潜水記録'!$A$5:$A$3004,$AS336)))</f>
        <v/>
      </c>
      <c r="C336" s="14">
        <f>IF($A336="","",IF(INDEX('潜水記録'!$B$5:$B$3004,$AS336)="","",INDEX('潜水記録'!$B$5:$B$3004,$AS336)))</f>
        <v/>
      </c>
      <c r="D336" s="14">
        <f>IF($A336="","",IF(INDEX('潜水記録'!$C$5:$C$3004,$AS336)="","",INDEX('潜水記録'!$C$5:$C$3004,$AS336)))</f>
        <v/>
      </c>
      <c r="E336" s="14">
        <f>IF($A336="","",IF(INDEX('潜水記録'!$D$5:$D$3004,$AS336)="","",INDEX('潜水記録'!$D$5:$D$3004,$AS336)))</f>
        <v/>
      </c>
      <c r="F336" s="14">
        <f>IF($A336="","",IF(INDEX('潜水記録'!$E$5:$E$3004,$AS336)="","",INDEX('潜水記録'!$E$5:$E$3004,$AS336)))</f>
        <v/>
      </c>
      <c r="G336" s="14">
        <f>IF($A336="","",IF(INDEX('潜水記録'!$F$5:$F$3004,$AS336)="","",INDEX('潜水記録'!$F$5:$F$3004,$AS336)))</f>
        <v/>
      </c>
      <c r="H336" s="14">
        <f>IF($A336="","",IF(INDEX('潜水記録'!$G$5:$G$3004,$AS336)="","",INDEX('潜水記録'!$G$5:$G$3004,$AS336)))</f>
        <v/>
      </c>
      <c r="I336" s="14">
        <f>IF($A336="","",IF(INDEX('潜水記録'!$H$5:$H$3004,$AS336)="","",INDEX('潜水記録'!$H$5:$H$3004,$AS336)))</f>
        <v/>
      </c>
      <c r="J336" s="14">
        <f>IF($A336="","",IF(INDEX('潜水記録'!$I$5:$I$3004,$AS336)="","",INDEX('潜水記録'!$I$5:$I$3004,$AS336)))</f>
        <v/>
      </c>
      <c r="K336" s="14">
        <f>IF($A336="","",IF(INDEX('潜水記録'!$J$5:$J$3004,$AS336)="","",INDEX('潜水記録'!$J$5:$J$3004,$AS336)))</f>
        <v/>
      </c>
      <c r="L336" s="14">
        <f>IF($A336="","",IF(INDEX('潜水記録'!$K$5:$K$3004,$AS336)="","",INDEX('潜水記録'!$K$5:$K$3004,$AS336)))</f>
        <v/>
      </c>
      <c r="M336" s="14">
        <f>IF($A336="","",IF(INDEX('潜水記録'!$L$5:$L$3004,$AS336)="","",INDEX('潜水記録'!$L$5:$L$3004,$AS336)))</f>
        <v/>
      </c>
      <c r="N336" s="14">
        <f>IF($A336="","",IF(INDEX('潜水記録'!$M$5:$M$3004,$AS336)="","",INDEX('潜水記録'!$M$5:$M$3004,$AS336)))</f>
        <v/>
      </c>
      <c r="O336" s="14">
        <f>IF($A336="","",IF(INDEX('潜水記録'!$N$5:$N$3004,$AS336)="","",INDEX('潜水記録'!$N$5:$N$3004,$AS336)))</f>
        <v/>
      </c>
      <c r="P336" s="14">
        <f>IF($A336="","",IF(INDEX('潜水記録'!$O$5:$O$3004,$AS336)="","",INDEX('潜水記録'!$O$5:$O$3004,$AS336)))</f>
        <v/>
      </c>
      <c r="Q336" s="14">
        <f>IF($A336="","",IF(INDEX('潜水記録'!$P$5:$P$3004,$AS336)="","",INDEX('潜水記録'!$P$5:$P$3004,$AS336)))</f>
        <v/>
      </c>
      <c r="R336" s="14">
        <f>IF($A336="","",IF(INDEX('潜水記録'!$Q$5:$Q$3004,$AS336)="","",INDEX('潜水記録'!$Q$5:$Q$3004,$AS336)))</f>
        <v/>
      </c>
      <c r="S336" s="14">
        <f>IF($A336="","",IF(INDEX('潜水記録'!$R$5:$R$3004,$AS336)="","",INDEX('潜水記録'!$R$5:$R$3004,$AS336)))</f>
        <v/>
      </c>
      <c r="T336" s="14">
        <f>IF($A336="","",IF(INDEX('潜水記録'!$S$5:$S$3004,$AS336)="","",INDEX('潜水記録'!$S$5:$S$3004,$AS336)))</f>
        <v/>
      </c>
      <c r="U336" s="14">
        <f>IF($A336="","",IF(INDEX('潜水記録'!$T$5:$T$3004,$AS336)="","",INDEX('潜水記録'!$T$5:$T$3004,$AS336)))</f>
        <v/>
      </c>
      <c r="V336" s="46">
        <f>IF($A336="","",IF(INDEX('潜水記録'!$U$5:$U$3004,$AS336)="","",INDEX('潜水記録'!$U$5:$U$3004,$AS336)))</f>
        <v/>
      </c>
      <c r="W336" s="46">
        <f>IF($A336="","",IF(INDEX('潜水記録'!$V$5:$V$3004,$AS336)="","",INDEX('潜水記録'!$V$5:$V$3004,$AS336)))</f>
        <v/>
      </c>
      <c r="X336" s="14">
        <f>IF($A336="","",IF(INDEX('潜水記録'!$W$5:$W$3004,$AS336)="","",INDEX('潜水記録'!$W$5:$W$3004,$AS336)))</f>
        <v/>
      </c>
      <c r="Y336" s="14">
        <f>IF($A336="","",IF(INDEX('潜水記録'!$X$5:$X$3004,$AS336)="","",INDEX('潜水記録'!$X$5:$X$3004,$AS336)))</f>
        <v/>
      </c>
      <c r="Z336" s="14">
        <f>IF($A336="","",IF(INDEX('潜水記録'!$Y$5:$Y$3004,$AS336)="","",INDEX('潜水記録'!$Y$5:$Y$3004,$AS336)))</f>
        <v/>
      </c>
      <c r="AA336" s="14">
        <f>IF($A336="","",IF(INDEX('潜水記録'!$Z$5:$Z$3004,$AS336)="","",INDEX('潜水記録'!$Z$5:$Z$3004,$AS336)))</f>
        <v/>
      </c>
      <c r="AB336" s="14">
        <f>IF($A336="","",IF(INDEX('潜水記録'!$AA$5:$AA$3004,$AS336)="","",INDEX('潜水記録'!$AA$5:$AA$3004,$AS336)))</f>
        <v/>
      </c>
      <c r="AC336" s="14">
        <f>IF($A336="","",IF(INDEX('潜水記録'!$AB$5:$AB$3004,$AS336)="","",INDEX('潜水記録'!$AB$5:$AB$3004,$AS336)))</f>
        <v/>
      </c>
      <c r="AD336" s="14">
        <f>IF($A336="","",IF(INDEX('潜水記録'!$AC$5:$AC$3004,$AS336)="","",INDEX('潜水記録'!$AC$5:$AC$3004,$AS336)))</f>
        <v/>
      </c>
      <c r="AE336" s="14">
        <f>IF($A336="","",IF(INDEX('潜水記録'!$AD$5:$AD$3004,$AS336)="","",INDEX('潜水記録'!$AD$5:$AD$3004,$AS336)))</f>
        <v/>
      </c>
      <c r="AF336" s="14">
        <f>IF($A336="","",IF(INDEX('潜水記録'!$AE$5:$AE$3004,$AS336)="","",INDEX('潜水記録'!$AE$5:$AE$3004,$AS336)))</f>
        <v/>
      </c>
      <c r="AG336" s="14">
        <f>IF($A336="","",IF(INDEX('潜水記録'!$AL$5:$AL$3004,$AS336)="","",INDEX('潜水記録'!$AL$5:$AL$3004,$AS336)))</f>
        <v/>
      </c>
      <c r="AH336" s="14">
        <f>IF($A336="","",IF(INDEX('潜水記録'!$AM$5:$AM$3004,$AS336)="","",INDEX('潜水記録'!$AM$5:$AM$3004,$AS336)))</f>
        <v/>
      </c>
      <c r="AI336" s="46">
        <f>IF($A336="","",IF(INDEX('潜水記録'!$AN$5:$AN$3004,$AS336)="","",INDEX('潜水記録'!$AN$5:$AN$3004,$AS336)))</f>
        <v/>
      </c>
      <c r="AJ336" s="14">
        <f>IF($A336="","",IF(INDEX('潜水記録'!$AO$5:$AO$3004,$AS336)="","",INDEX('潜水記録'!$AO$5:$AO$3004,$AS336)))</f>
        <v/>
      </c>
      <c r="AK336" s="14">
        <f>IF($A336="","",IF(INDEX('潜水記録'!$AP$5:$AP$3004,$AS336)="","",INDEX('潜水記録'!$AP$5:$AP$3004,$AS336)))</f>
        <v/>
      </c>
      <c r="AL336" s="14">
        <f>IF($A336="","",IF(INDEX('潜水記録'!$AQ$5:$AQ$3004,$AS336)="","",INDEX('潜水記録'!$AQ$5:$AQ$3004,$AS336)))</f>
        <v/>
      </c>
      <c r="AM336" s="14">
        <f>IF($A336="","",IF(INDEX('潜水記録'!$AR$5:$AR$3004,$AS336)="","",INDEX('潜水記録'!$AR$5:$AR$3004,$AS336)))</f>
        <v/>
      </c>
      <c r="AN336" s="14">
        <f>IF($A336="","",IF(INDEX('潜水記録'!$AS$5:$AS$3004,$AS336)="","",INDEX('潜水記録'!$AS$5:$AS$3004,$AS336)))</f>
        <v/>
      </c>
      <c r="AO336" s="14">
        <f>IF($A336="","",IF(INDEX('潜水記録'!$AT$5:$AT$3004,$AS336)="","",INDEX('潜水記録'!$AT$5:$AT$3004,$AS336)))</f>
        <v/>
      </c>
      <c r="AP336" s="14">
        <f>IF($A336="","",IF(INDEX('潜水記録'!$AU$5:$AU$3004,$AS336)="","",INDEX('潜水記録'!$AU$5:$AU$3004,$AS336)))</f>
        <v/>
      </c>
      <c r="AQ336" s="14">
        <f>IF($A336="","",IF(INDEX('潜水記録'!$AV$5:$AV$3004,$AS336)="","",INDEX('潜水記録'!$AV$5:$AV$3004,$AS336)))</f>
        <v/>
      </c>
      <c r="AR336" s="14">
        <f>IF($A336="","",IF(INDEX('潜水記録'!$AW$5:$AW$3004,$AS336)="","",INDEX('潜水記録'!$AW$5:$AW$3004,$AS336)))</f>
        <v/>
      </c>
      <c r="AS336" s="20">
        <f>IF($A336="","",MATCH($A336,'潜水記録'!$AI$5:$AI$3004,0))</f>
        <v/>
      </c>
    </row>
    <row r="337">
      <c r="A337" s="14">
        <f>IF(327&lt;=$C$8,327,"")</f>
        <v/>
      </c>
      <c r="B337" s="16">
        <f>IF($A337="","",IF(INDEX('潜水記録'!$A$5:$A$3004,$AS337)="","",INDEX('潜水記録'!$A$5:$A$3004,$AS337)))</f>
        <v/>
      </c>
      <c r="C337" s="14">
        <f>IF($A337="","",IF(INDEX('潜水記録'!$B$5:$B$3004,$AS337)="","",INDEX('潜水記録'!$B$5:$B$3004,$AS337)))</f>
        <v/>
      </c>
      <c r="D337" s="14">
        <f>IF($A337="","",IF(INDEX('潜水記録'!$C$5:$C$3004,$AS337)="","",INDEX('潜水記録'!$C$5:$C$3004,$AS337)))</f>
        <v/>
      </c>
      <c r="E337" s="14">
        <f>IF($A337="","",IF(INDEX('潜水記録'!$D$5:$D$3004,$AS337)="","",INDEX('潜水記録'!$D$5:$D$3004,$AS337)))</f>
        <v/>
      </c>
      <c r="F337" s="14">
        <f>IF($A337="","",IF(INDEX('潜水記録'!$E$5:$E$3004,$AS337)="","",INDEX('潜水記録'!$E$5:$E$3004,$AS337)))</f>
        <v/>
      </c>
      <c r="G337" s="14">
        <f>IF($A337="","",IF(INDEX('潜水記録'!$F$5:$F$3004,$AS337)="","",INDEX('潜水記録'!$F$5:$F$3004,$AS337)))</f>
        <v/>
      </c>
      <c r="H337" s="14">
        <f>IF($A337="","",IF(INDEX('潜水記録'!$G$5:$G$3004,$AS337)="","",INDEX('潜水記録'!$G$5:$G$3004,$AS337)))</f>
        <v/>
      </c>
      <c r="I337" s="14">
        <f>IF($A337="","",IF(INDEX('潜水記録'!$H$5:$H$3004,$AS337)="","",INDEX('潜水記録'!$H$5:$H$3004,$AS337)))</f>
        <v/>
      </c>
      <c r="J337" s="14">
        <f>IF($A337="","",IF(INDEX('潜水記録'!$I$5:$I$3004,$AS337)="","",INDEX('潜水記録'!$I$5:$I$3004,$AS337)))</f>
        <v/>
      </c>
      <c r="K337" s="14">
        <f>IF($A337="","",IF(INDEX('潜水記録'!$J$5:$J$3004,$AS337)="","",INDEX('潜水記録'!$J$5:$J$3004,$AS337)))</f>
        <v/>
      </c>
      <c r="L337" s="14">
        <f>IF($A337="","",IF(INDEX('潜水記録'!$K$5:$K$3004,$AS337)="","",INDEX('潜水記録'!$K$5:$K$3004,$AS337)))</f>
        <v/>
      </c>
      <c r="M337" s="14">
        <f>IF($A337="","",IF(INDEX('潜水記録'!$L$5:$L$3004,$AS337)="","",INDEX('潜水記録'!$L$5:$L$3004,$AS337)))</f>
        <v/>
      </c>
      <c r="N337" s="14">
        <f>IF($A337="","",IF(INDEX('潜水記録'!$M$5:$M$3004,$AS337)="","",INDEX('潜水記録'!$M$5:$M$3004,$AS337)))</f>
        <v/>
      </c>
      <c r="O337" s="14">
        <f>IF($A337="","",IF(INDEX('潜水記録'!$N$5:$N$3004,$AS337)="","",INDEX('潜水記録'!$N$5:$N$3004,$AS337)))</f>
        <v/>
      </c>
      <c r="P337" s="14">
        <f>IF($A337="","",IF(INDEX('潜水記録'!$O$5:$O$3004,$AS337)="","",INDEX('潜水記録'!$O$5:$O$3004,$AS337)))</f>
        <v/>
      </c>
      <c r="Q337" s="14">
        <f>IF($A337="","",IF(INDEX('潜水記録'!$P$5:$P$3004,$AS337)="","",INDEX('潜水記録'!$P$5:$P$3004,$AS337)))</f>
        <v/>
      </c>
      <c r="R337" s="14">
        <f>IF($A337="","",IF(INDEX('潜水記録'!$Q$5:$Q$3004,$AS337)="","",INDEX('潜水記録'!$Q$5:$Q$3004,$AS337)))</f>
        <v/>
      </c>
      <c r="S337" s="14">
        <f>IF($A337="","",IF(INDEX('潜水記録'!$R$5:$R$3004,$AS337)="","",INDEX('潜水記録'!$R$5:$R$3004,$AS337)))</f>
        <v/>
      </c>
      <c r="T337" s="14">
        <f>IF($A337="","",IF(INDEX('潜水記録'!$S$5:$S$3004,$AS337)="","",INDEX('潜水記録'!$S$5:$S$3004,$AS337)))</f>
        <v/>
      </c>
      <c r="U337" s="14">
        <f>IF($A337="","",IF(INDEX('潜水記録'!$T$5:$T$3004,$AS337)="","",INDEX('潜水記録'!$T$5:$T$3004,$AS337)))</f>
        <v/>
      </c>
      <c r="V337" s="46">
        <f>IF($A337="","",IF(INDEX('潜水記録'!$U$5:$U$3004,$AS337)="","",INDEX('潜水記録'!$U$5:$U$3004,$AS337)))</f>
        <v/>
      </c>
      <c r="W337" s="46">
        <f>IF($A337="","",IF(INDEX('潜水記録'!$V$5:$V$3004,$AS337)="","",INDEX('潜水記録'!$V$5:$V$3004,$AS337)))</f>
        <v/>
      </c>
      <c r="X337" s="14">
        <f>IF($A337="","",IF(INDEX('潜水記録'!$W$5:$W$3004,$AS337)="","",INDEX('潜水記録'!$W$5:$W$3004,$AS337)))</f>
        <v/>
      </c>
      <c r="Y337" s="14">
        <f>IF($A337="","",IF(INDEX('潜水記録'!$X$5:$X$3004,$AS337)="","",INDEX('潜水記録'!$X$5:$X$3004,$AS337)))</f>
        <v/>
      </c>
      <c r="Z337" s="14">
        <f>IF($A337="","",IF(INDEX('潜水記録'!$Y$5:$Y$3004,$AS337)="","",INDEX('潜水記録'!$Y$5:$Y$3004,$AS337)))</f>
        <v/>
      </c>
      <c r="AA337" s="14">
        <f>IF($A337="","",IF(INDEX('潜水記録'!$Z$5:$Z$3004,$AS337)="","",INDEX('潜水記録'!$Z$5:$Z$3004,$AS337)))</f>
        <v/>
      </c>
      <c r="AB337" s="14">
        <f>IF($A337="","",IF(INDEX('潜水記録'!$AA$5:$AA$3004,$AS337)="","",INDEX('潜水記録'!$AA$5:$AA$3004,$AS337)))</f>
        <v/>
      </c>
      <c r="AC337" s="14">
        <f>IF($A337="","",IF(INDEX('潜水記録'!$AB$5:$AB$3004,$AS337)="","",INDEX('潜水記録'!$AB$5:$AB$3004,$AS337)))</f>
        <v/>
      </c>
      <c r="AD337" s="14">
        <f>IF($A337="","",IF(INDEX('潜水記録'!$AC$5:$AC$3004,$AS337)="","",INDEX('潜水記録'!$AC$5:$AC$3004,$AS337)))</f>
        <v/>
      </c>
      <c r="AE337" s="14">
        <f>IF($A337="","",IF(INDEX('潜水記録'!$AD$5:$AD$3004,$AS337)="","",INDEX('潜水記録'!$AD$5:$AD$3004,$AS337)))</f>
        <v/>
      </c>
      <c r="AF337" s="14">
        <f>IF($A337="","",IF(INDEX('潜水記録'!$AE$5:$AE$3004,$AS337)="","",INDEX('潜水記録'!$AE$5:$AE$3004,$AS337)))</f>
        <v/>
      </c>
      <c r="AG337" s="14">
        <f>IF($A337="","",IF(INDEX('潜水記録'!$AL$5:$AL$3004,$AS337)="","",INDEX('潜水記録'!$AL$5:$AL$3004,$AS337)))</f>
        <v/>
      </c>
      <c r="AH337" s="14">
        <f>IF($A337="","",IF(INDEX('潜水記録'!$AM$5:$AM$3004,$AS337)="","",INDEX('潜水記録'!$AM$5:$AM$3004,$AS337)))</f>
        <v/>
      </c>
      <c r="AI337" s="46">
        <f>IF($A337="","",IF(INDEX('潜水記録'!$AN$5:$AN$3004,$AS337)="","",INDEX('潜水記録'!$AN$5:$AN$3004,$AS337)))</f>
        <v/>
      </c>
      <c r="AJ337" s="14">
        <f>IF($A337="","",IF(INDEX('潜水記録'!$AO$5:$AO$3004,$AS337)="","",INDEX('潜水記録'!$AO$5:$AO$3004,$AS337)))</f>
        <v/>
      </c>
      <c r="AK337" s="14">
        <f>IF($A337="","",IF(INDEX('潜水記録'!$AP$5:$AP$3004,$AS337)="","",INDEX('潜水記録'!$AP$5:$AP$3004,$AS337)))</f>
        <v/>
      </c>
      <c r="AL337" s="14">
        <f>IF($A337="","",IF(INDEX('潜水記録'!$AQ$5:$AQ$3004,$AS337)="","",INDEX('潜水記録'!$AQ$5:$AQ$3004,$AS337)))</f>
        <v/>
      </c>
      <c r="AM337" s="14">
        <f>IF($A337="","",IF(INDEX('潜水記録'!$AR$5:$AR$3004,$AS337)="","",INDEX('潜水記録'!$AR$5:$AR$3004,$AS337)))</f>
        <v/>
      </c>
      <c r="AN337" s="14">
        <f>IF($A337="","",IF(INDEX('潜水記録'!$AS$5:$AS$3004,$AS337)="","",INDEX('潜水記録'!$AS$5:$AS$3004,$AS337)))</f>
        <v/>
      </c>
      <c r="AO337" s="14">
        <f>IF($A337="","",IF(INDEX('潜水記録'!$AT$5:$AT$3004,$AS337)="","",INDEX('潜水記録'!$AT$5:$AT$3004,$AS337)))</f>
        <v/>
      </c>
      <c r="AP337" s="14">
        <f>IF($A337="","",IF(INDEX('潜水記録'!$AU$5:$AU$3004,$AS337)="","",INDEX('潜水記録'!$AU$5:$AU$3004,$AS337)))</f>
        <v/>
      </c>
      <c r="AQ337" s="14">
        <f>IF($A337="","",IF(INDEX('潜水記録'!$AV$5:$AV$3004,$AS337)="","",INDEX('潜水記録'!$AV$5:$AV$3004,$AS337)))</f>
        <v/>
      </c>
      <c r="AR337" s="14">
        <f>IF($A337="","",IF(INDEX('潜水記録'!$AW$5:$AW$3004,$AS337)="","",INDEX('潜水記録'!$AW$5:$AW$3004,$AS337)))</f>
        <v/>
      </c>
      <c r="AS337" s="20">
        <f>IF($A337="","",MATCH($A337,'潜水記録'!$AI$5:$AI$3004,0))</f>
        <v/>
      </c>
    </row>
    <row r="338">
      <c r="A338" s="14">
        <f>IF(328&lt;=$C$8,328,"")</f>
        <v/>
      </c>
      <c r="B338" s="16">
        <f>IF($A338="","",IF(INDEX('潜水記録'!$A$5:$A$3004,$AS338)="","",INDEX('潜水記録'!$A$5:$A$3004,$AS338)))</f>
        <v/>
      </c>
      <c r="C338" s="14">
        <f>IF($A338="","",IF(INDEX('潜水記録'!$B$5:$B$3004,$AS338)="","",INDEX('潜水記録'!$B$5:$B$3004,$AS338)))</f>
        <v/>
      </c>
      <c r="D338" s="14">
        <f>IF($A338="","",IF(INDEX('潜水記録'!$C$5:$C$3004,$AS338)="","",INDEX('潜水記録'!$C$5:$C$3004,$AS338)))</f>
        <v/>
      </c>
      <c r="E338" s="14">
        <f>IF($A338="","",IF(INDEX('潜水記録'!$D$5:$D$3004,$AS338)="","",INDEX('潜水記録'!$D$5:$D$3004,$AS338)))</f>
        <v/>
      </c>
      <c r="F338" s="14">
        <f>IF($A338="","",IF(INDEX('潜水記録'!$E$5:$E$3004,$AS338)="","",INDEX('潜水記録'!$E$5:$E$3004,$AS338)))</f>
        <v/>
      </c>
      <c r="G338" s="14">
        <f>IF($A338="","",IF(INDEX('潜水記録'!$F$5:$F$3004,$AS338)="","",INDEX('潜水記録'!$F$5:$F$3004,$AS338)))</f>
        <v/>
      </c>
      <c r="H338" s="14">
        <f>IF($A338="","",IF(INDEX('潜水記録'!$G$5:$G$3004,$AS338)="","",INDEX('潜水記録'!$G$5:$G$3004,$AS338)))</f>
        <v/>
      </c>
      <c r="I338" s="14">
        <f>IF($A338="","",IF(INDEX('潜水記録'!$H$5:$H$3004,$AS338)="","",INDEX('潜水記録'!$H$5:$H$3004,$AS338)))</f>
        <v/>
      </c>
      <c r="J338" s="14">
        <f>IF($A338="","",IF(INDEX('潜水記録'!$I$5:$I$3004,$AS338)="","",INDEX('潜水記録'!$I$5:$I$3004,$AS338)))</f>
        <v/>
      </c>
      <c r="K338" s="14">
        <f>IF($A338="","",IF(INDEX('潜水記録'!$J$5:$J$3004,$AS338)="","",INDEX('潜水記録'!$J$5:$J$3004,$AS338)))</f>
        <v/>
      </c>
      <c r="L338" s="14">
        <f>IF($A338="","",IF(INDEX('潜水記録'!$K$5:$K$3004,$AS338)="","",INDEX('潜水記録'!$K$5:$K$3004,$AS338)))</f>
        <v/>
      </c>
      <c r="M338" s="14">
        <f>IF($A338="","",IF(INDEX('潜水記録'!$L$5:$L$3004,$AS338)="","",INDEX('潜水記録'!$L$5:$L$3004,$AS338)))</f>
        <v/>
      </c>
      <c r="N338" s="14">
        <f>IF($A338="","",IF(INDEX('潜水記録'!$M$5:$M$3004,$AS338)="","",INDEX('潜水記録'!$M$5:$M$3004,$AS338)))</f>
        <v/>
      </c>
      <c r="O338" s="14">
        <f>IF($A338="","",IF(INDEX('潜水記録'!$N$5:$N$3004,$AS338)="","",INDEX('潜水記録'!$N$5:$N$3004,$AS338)))</f>
        <v/>
      </c>
      <c r="P338" s="14">
        <f>IF($A338="","",IF(INDEX('潜水記録'!$O$5:$O$3004,$AS338)="","",INDEX('潜水記録'!$O$5:$O$3004,$AS338)))</f>
        <v/>
      </c>
      <c r="Q338" s="14">
        <f>IF($A338="","",IF(INDEX('潜水記録'!$P$5:$P$3004,$AS338)="","",INDEX('潜水記録'!$P$5:$P$3004,$AS338)))</f>
        <v/>
      </c>
      <c r="R338" s="14">
        <f>IF($A338="","",IF(INDEX('潜水記録'!$Q$5:$Q$3004,$AS338)="","",INDEX('潜水記録'!$Q$5:$Q$3004,$AS338)))</f>
        <v/>
      </c>
      <c r="S338" s="14">
        <f>IF($A338="","",IF(INDEX('潜水記録'!$R$5:$R$3004,$AS338)="","",INDEX('潜水記録'!$R$5:$R$3004,$AS338)))</f>
        <v/>
      </c>
      <c r="T338" s="14">
        <f>IF($A338="","",IF(INDEX('潜水記録'!$S$5:$S$3004,$AS338)="","",INDEX('潜水記録'!$S$5:$S$3004,$AS338)))</f>
        <v/>
      </c>
      <c r="U338" s="14">
        <f>IF($A338="","",IF(INDEX('潜水記録'!$T$5:$T$3004,$AS338)="","",INDEX('潜水記録'!$T$5:$T$3004,$AS338)))</f>
        <v/>
      </c>
      <c r="V338" s="46">
        <f>IF($A338="","",IF(INDEX('潜水記録'!$U$5:$U$3004,$AS338)="","",INDEX('潜水記録'!$U$5:$U$3004,$AS338)))</f>
        <v/>
      </c>
      <c r="W338" s="46">
        <f>IF($A338="","",IF(INDEX('潜水記録'!$V$5:$V$3004,$AS338)="","",INDEX('潜水記録'!$V$5:$V$3004,$AS338)))</f>
        <v/>
      </c>
      <c r="X338" s="14">
        <f>IF($A338="","",IF(INDEX('潜水記録'!$W$5:$W$3004,$AS338)="","",INDEX('潜水記録'!$W$5:$W$3004,$AS338)))</f>
        <v/>
      </c>
      <c r="Y338" s="14">
        <f>IF($A338="","",IF(INDEX('潜水記録'!$X$5:$X$3004,$AS338)="","",INDEX('潜水記録'!$X$5:$X$3004,$AS338)))</f>
        <v/>
      </c>
      <c r="Z338" s="14">
        <f>IF($A338="","",IF(INDEX('潜水記録'!$Y$5:$Y$3004,$AS338)="","",INDEX('潜水記録'!$Y$5:$Y$3004,$AS338)))</f>
        <v/>
      </c>
      <c r="AA338" s="14">
        <f>IF($A338="","",IF(INDEX('潜水記録'!$Z$5:$Z$3004,$AS338)="","",INDEX('潜水記録'!$Z$5:$Z$3004,$AS338)))</f>
        <v/>
      </c>
      <c r="AB338" s="14">
        <f>IF($A338="","",IF(INDEX('潜水記録'!$AA$5:$AA$3004,$AS338)="","",INDEX('潜水記録'!$AA$5:$AA$3004,$AS338)))</f>
        <v/>
      </c>
      <c r="AC338" s="14">
        <f>IF($A338="","",IF(INDEX('潜水記録'!$AB$5:$AB$3004,$AS338)="","",INDEX('潜水記録'!$AB$5:$AB$3004,$AS338)))</f>
        <v/>
      </c>
      <c r="AD338" s="14">
        <f>IF($A338="","",IF(INDEX('潜水記録'!$AC$5:$AC$3004,$AS338)="","",INDEX('潜水記録'!$AC$5:$AC$3004,$AS338)))</f>
        <v/>
      </c>
      <c r="AE338" s="14">
        <f>IF($A338="","",IF(INDEX('潜水記録'!$AD$5:$AD$3004,$AS338)="","",INDEX('潜水記録'!$AD$5:$AD$3004,$AS338)))</f>
        <v/>
      </c>
      <c r="AF338" s="14">
        <f>IF($A338="","",IF(INDEX('潜水記録'!$AE$5:$AE$3004,$AS338)="","",INDEX('潜水記録'!$AE$5:$AE$3004,$AS338)))</f>
        <v/>
      </c>
      <c r="AG338" s="14">
        <f>IF($A338="","",IF(INDEX('潜水記録'!$AL$5:$AL$3004,$AS338)="","",INDEX('潜水記録'!$AL$5:$AL$3004,$AS338)))</f>
        <v/>
      </c>
      <c r="AH338" s="14">
        <f>IF($A338="","",IF(INDEX('潜水記録'!$AM$5:$AM$3004,$AS338)="","",INDEX('潜水記録'!$AM$5:$AM$3004,$AS338)))</f>
        <v/>
      </c>
      <c r="AI338" s="46">
        <f>IF($A338="","",IF(INDEX('潜水記録'!$AN$5:$AN$3004,$AS338)="","",INDEX('潜水記録'!$AN$5:$AN$3004,$AS338)))</f>
        <v/>
      </c>
      <c r="AJ338" s="14">
        <f>IF($A338="","",IF(INDEX('潜水記録'!$AO$5:$AO$3004,$AS338)="","",INDEX('潜水記録'!$AO$5:$AO$3004,$AS338)))</f>
        <v/>
      </c>
      <c r="AK338" s="14">
        <f>IF($A338="","",IF(INDEX('潜水記録'!$AP$5:$AP$3004,$AS338)="","",INDEX('潜水記録'!$AP$5:$AP$3004,$AS338)))</f>
        <v/>
      </c>
      <c r="AL338" s="14">
        <f>IF($A338="","",IF(INDEX('潜水記録'!$AQ$5:$AQ$3004,$AS338)="","",INDEX('潜水記録'!$AQ$5:$AQ$3004,$AS338)))</f>
        <v/>
      </c>
      <c r="AM338" s="14">
        <f>IF($A338="","",IF(INDEX('潜水記録'!$AR$5:$AR$3004,$AS338)="","",INDEX('潜水記録'!$AR$5:$AR$3004,$AS338)))</f>
        <v/>
      </c>
      <c r="AN338" s="14">
        <f>IF($A338="","",IF(INDEX('潜水記録'!$AS$5:$AS$3004,$AS338)="","",INDEX('潜水記録'!$AS$5:$AS$3004,$AS338)))</f>
        <v/>
      </c>
      <c r="AO338" s="14">
        <f>IF($A338="","",IF(INDEX('潜水記録'!$AT$5:$AT$3004,$AS338)="","",INDEX('潜水記録'!$AT$5:$AT$3004,$AS338)))</f>
        <v/>
      </c>
      <c r="AP338" s="14">
        <f>IF($A338="","",IF(INDEX('潜水記録'!$AU$5:$AU$3004,$AS338)="","",INDEX('潜水記録'!$AU$5:$AU$3004,$AS338)))</f>
        <v/>
      </c>
      <c r="AQ338" s="14">
        <f>IF($A338="","",IF(INDEX('潜水記録'!$AV$5:$AV$3004,$AS338)="","",INDEX('潜水記録'!$AV$5:$AV$3004,$AS338)))</f>
        <v/>
      </c>
      <c r="AR338" s="14">
        <f>IF($A338="","",IF(INDEX('潜水記録'!$AW$5:$AW$3004,$AS338)="","",INDEX('潜水記録'!$AW$5:$AW$3004,$AS338)))</f>
        <v/>
      </c>
      <c r="AS338" s="20">
        <f>IF($A338="","",MATCH($A338,'潜水記録'!$AI$5:$AI$3004,0))</f>
        <v/>
      </c>
    </row>
    <row r="339">
      <c r="A339" s="14">
        <f>IF(329&lt;=$C$8,329,"")</f>
        <v/>
      </c>
      <c r="B339" s="16">
        <f>IF($A339="","",IF(INDEX('潜水記録'!$A$5:$A$3004,$AS339)="","",INDEX('潜水記録'!$A$5:$A$3004,$AS339)))</f>
        <v/>
      </c>
      <c r="C339" s="14">
        <f>IF($A339="","",IF(INDEX('潜水記録'!$B$5:$B$3004,$AS339)="","",INDEX('潜水記録'!$B$5:$B$3004,$AS339)))</f>
        <v/>
      </c>
      <c r="D339" s="14">
        <f>IF($A339="","",IF(INDEX('潜水記録'!$C$5:$C$3004,$AS339)="","",INDEX('潜水記録'!$C$5:$C$3004,$AS339)))</f>
        <v/>
      </c>
      <c r="E339" s="14">
        <f>IF($A339="","",IF(INDEX('潜水記録'!$D$5:$D$3004,$AS339)="","",INDEX('潜水記録'!$D$5:$D$3004,$AS339)))</f>
        <v/>
      </c>
      <c r="F339" s="14">
        <f>IF($A339="","",IF(INDEX('潜水記録'!$E$5:$E$3004,$AS339)="","",INDEX('潜水記録'!$E$5:$E$3004,$AS339)))</f>
        <v/>
      </c>
      <c r="G339" s="14">
        <f>IF($A339="","",IF(INDEX('潜水記録'!$F$5:$F$3004,$AS339)="","",INDEX('潜水記録'!$F$5:$F$3004,$AS339)))</f>
        <v/>
      </c>
      <c r="H339" s="14">
        <f>IF($A339="","",IF(INDEX('潜水記録'!$G$5:$G$3004,$AS339)="","",INDEX('潜水記録'!$G$5:$G$3004,$AS339)))</f>
        <v/>
      </c>
      <c r="I339" s="14">
        <f>IF($A339="","",IF(INDEX('潜水記録'!$H$5:$H$3004,$AS339)="","",INDEX('潜水記録'!$H$5:$H$3004,$AS339)))</f>
        <v/>
      </c>
      <c r="J339" s="14">
        <f>IF($A339="","",IF(INDEX('潜水記録'!$I$5:$I$3004,$AS339)="","",INDEX('潜水記録'!$I$5:$I$3004,$AS339)))</f>
        <v/>
      </c>
      <c r="K339" s="14">
        <f>IF($A339="","",IF(INDEX('潜水記録'!$J$5:$J$3004,$AS339)="","",INDEX('潜水記録'!$J$5:$J$3004,$AS339)))</f>
        <v/>
      </c>
      <c r="L339" s="14">
        <f>IF($A339="","",IF(INDEX('潜水記録'!$K$5:$K$3004,$AS339)="","",INDEX('潜水記録'!$K$5:$K$3004,$AS339)))</f>
        <v/>
      </c>
      <c r="M339" s="14">
        <f>IF($A339="","",IF(INDEX('潜水記録'!$L$5:$L$3004,$AS339)="","",INDEX('潜水記録'!$L$5:$L$3004,$AS339)))</f>
        <v/>
      </c>
      <c r="N339" s="14">
        <f>IF($A339="","",IF(INDEX('潜水記録'!$M$5:$M$3004,$AS339)="","",INDEX('潜水記録'!$M$5:$M$3004,$AS339)))</f>
        <v/>
      </c>
      <c r="O339" s="14">
        <f>IF($A339="","",IF(INDEX('潜水記録'!$N$5:$N$3004,$AS339)="","",INDEX('潜水記録'!$N$5:$N$3004,$AS339)))</f>
        <v/>
      </c>
      <c r="P339" s="14">
        <f>IF($A339="","",IF(INDEX('潜水記録'!$O$5:$O$3004,$AS339)="","",INDEX('潜水記録'!$O$5:$O$3004,$AS339)))</f>
        <v/>
      </c>
      <c r="Q339" s="14">
        <f>IF($A339="","",IF(INDEX('潜水記録'!$P$5:$P$3004,$AS339)="","",INDEX('潜水記録'!$P$5:$P$3004,$AS339)))</f>
        <v/>
      </c>
      <c r="R339" s="14">
        <f>IF($A339="","",IF(INDEX('潜水記録'!$Q$5:$Q$3004,$AS339)="","",INDEX('潜水記録'!$Q$5:$Q$3004,$AS339)))</f>
        <v/>
      </c>
      <c r="S339" s="14">
        <f>IF($A339="","",IF(INDEX('潜水記録'!$R$5:$R$3004,$AS339)="","",INDEX('潜水記録'!$R$5:$R$3004,$AS339)))</f>
        <v/>
      </c>
      <c r="T339" s="14">
        <f>IF($A339="","",IF(INDEX('潜水記録'!$S$5:$S$3004,$AS339)="","",INDEX('潜水記録'!$S$5:$S$3004,$AS339)))</f>
        <v/>
      </c>
      <c r="U339" s="14">
        <f>IF($A339="","",IF(INDEX('潜水記録'!$T$5:$T$3004,$AS339)="","",INDEX('潜水記録'!$T$5:$T$3004,$AS339)))</f>
        <v/>
      </c>
      <c r="V339" s="46">
        <f>IF($A339="","",IF(INDEX('潜水記録'!$U$5:$U$3004,$AS339)="","",INDEX('潜水記録'!$U$5:$U$3004,$AS339)))</f>
        <v/>
      </c>
      <c r="W339" s="46">
        <f>IF($A339="","",IF(INDEX('潜水記録'!$V$5:$V$3004,$AS339)="","",INDEX('潜水記録'!$V$5:$V$3004,$AS339)))</f>
        <v/>
      </c>
      <c r="X339" s="14">
        <f>IF($A339="","",IF(INDEX('潜水記録'!$W$5:$W$3004,$AS339)="","",INDEX('潜水記録'!$W$5:$W$3004,$AS339)))</f>
        <v/>
      </c>
      <c r="Y339" s="14">
        <f>IF($A339="","",IF(INDEX('潜水記録'!$X$5:$X$3004,$AS339)="","",INDEX('潜水記録'!$X$5:$X$3004,$AS339)))</f>
        <v/>
      </c>
      <c r="Z339" s="14">
        <f>IF($A339="","",IF(INDEX('潜水記録'!$Y$5:$Y$3004,$AS339)="","",INDEX('潜水記録'!$Y$5:$Y$3004,$AS339)))</f>
        <v/>
      </c>
      <c r="AA339" s="14">
        <f>IF($A339="","",IF(INDEX('潜水記録'!$Z$5:$Z$3004,$AS339)="","",INDEX('潜水記録'!$Z$5:$Z$3004,$AS339)))</f>
        <v/>
      </c>
      <c r="AB339" s="14">
        <f>IF($A339="","",IF(INDEX('潜水記録'!$AA$5:$AA$3004,$AS339)="","",INDEX('潜水記録'!$AA$5:$AA$3004,$AS339)))</f>
        <v/>
      </c>
      <c r="AC339" s="14">
        <f>IF($A339="","",IF(INDEX('潜水記録'!$AB$5:$AB$3004,$AS339)="","",INDEX('潜水記録'!$AB$5:$AB$3004,$AS339)))</f>
        <v/>
      </c>
      <c r="AD339" s="14">
        <f>IF($A339="","",IF(INDEX('潜水記録'!$AC$5:$AC$3004,$AS339)="","",INDEX('潜水記録'!$AC$5:$AC$3004,$AS339)))</f>
        <v/>
      </c>
      <c r="AE339" s="14">
        <f>IF($A339="","",IF(INDEX('潜水記録'!$AD$5:$AD$3004,$AS339)="","",INDEX('潜水記録'!$AD$5:$AD$3004,$AS339)))</f>
        <v/>
      </c>
      <c r="AF339" s="14">
        <f>IF($A339="","",IF(INDEX('潜水記録'!$AE$5:$AE$3004,$AS339)="","",INDEX('潜水記録'!$AE$5:$AE$3004,$AS339)))</f>
        <v/>
      </c>
      <c r="AG339" s="14">
        <f>IF($A339="","",IF(INDEX('潜水記録'!$AL$5:$AL$3004,$AS339)="","",INDEX('潜水記録'!$AL$5:$AL$3004,$AS339)))</f>
        <v/>
      </c>
      <c r="AH339" s="14">
        <f>IF($A339="","",IF(INDEX('潜水記録'!$AM$5:$AM$3004,$AS339)="","",INDEX('潜水記録'!$AM$5:$AM$3004,$AS339)))</f>
        <v/>
      </c>
      <c r="AI339" s="46">
        <f>IF($A339="","",IF(INDEX('潜水記録'!$AN$5:$AN$3004,$AS339)="","",INDEX('潜水記録'!$AN$5:$AN$3004,$AS339)))</f>
        <v/>
      </c>
      <c r="AJ339" s="14">
        <f>IF($A339="","",IF(INDEX('潜水記録'!$AO$5:$AO$3004,$AS339)="","",INDEX('潜水記録'!$AO$5:$AO$3004,$AS339)))</f>
        <v/>
      </c>
      <c r="AK339" s="14">
        <f>IF($A339="","",IF(INDEX('潜水記録'!$AP$5:$AP$3004,$AS339)="","",INDEX('潜水記録'!$AP$5:$AP$3004,$AS339)))</f>
        <v/>
      </c>
      <c r="AL339" s="14">
        <f>IF($A339="","",IF(INDEX('潜水記録'!$AQ$5:$AQ$3004,$AS339)="","",INDEX('潜水記録'!$AQ$5:$AQ$3004,$AS339)))</f>
        <v/>
      </c>
      <c r="AM339" s="14">
        <f>IF($A339="","",IF(INDEX('潜水記録'!$AR$5:$AR$3004,$AS339)="","",INDEX('潜水記録'!$AR$5:$AR$3004,$AS339)))</f>
        <v/>
      </c>
      <c r="AN339" s="14">
        <f>IF($A339="","",IF(INDEX('潜水記録'!$AS$5:$AS$3004,$AS339)="","",INDEX('潜水記録'!$AS$5:$AS$3004,$AS339)))</f>
        <v/>
      </c>
      <c r="AO339" s="14">
        <f>IF($A339="","",IF(INDEX('潜水記録'!$AT$5:$AT$3004,$AS339)="","",INDEX('潜水記録'!$AT$5:$AT$3004,$AS339)))</f>
        <v/>
      </c>
      <c r="AP339" s="14">
        <f>IF($A339="","",IF(INDEX('潜水記録'!$AU$5:$AU$3004,$AS339)="","",INDEX('潜水記録'!$AU$5:$AU$3004,$AS339)))</f>
        <v/>
      </c>
      <c r="AQ339" s="14">
        <f>IF($A339="","",IF(INDEX('潜水記録'!$AV$5:$AV$3004,$AS339)="","",INDEX('潜水記録'!$AV$5:$AV$3004,$AS339)))</f>
        <v/>
      </c>
      <c r="AR339" s="14">
        <f>IF($A339="","",IF(INDEX('潜水記録'!$AW$5:$AW$3004,$AS339)="","",INDEX('潜水記録'!$AW$5:$AW$3004,$AS339)))</f>
        <v/>
      </c>
      <c r="AS339" s="20">
        <f>IF($A339="","",MATCH($A339,'潜水記録'!$AI$5:$AI$3004,0))</f>
        <v/>
      </c>
    </row>
    <row r="340">
      <c r="A340" s="14">
        <f>IF(330&lt;=$C$8,330,"")</f>
        <v/>
      </c>
      <c r="B340" s="16">
        <f>IF($A340="","",IF(INDEX('潜水記録'!$A$5:$A$3004,$AS340)="","",INDEX('潜水記録'!$A$5:$A$3004,$AS340)))</f>
        <v/>
      </c>
      <c r="C340" s="14">
        <f>IF($A340="","",IF(INDEX('潜水記録'!$B$5:$B$3004,$AS340)="","",INDEX('潜水記録'!$B$5:$B$3004,$AS340)))</f>
        <v/>
      </c>
      <c r="D340" s="14">
        <f>IF($A340="","",IF(INDEX('潜水記録'!$C$5:$C$3004,$AS340)="","",INDEX('潜水記録'!$C$5:$C$3004,$AS340)))</f>
        <v/>
      </c>
      <c r="E340" s="14">
        <f>IF($A340="","",IF(INDEX('潜水記録'!$D$5:$D$3004,$AS340)="","",INDEX('潜水記録'!$D$5:$D$3004,$AS340)))</f>
        <v/>
      </c>
      <c r="F340" s="14">
        <f>IF($A340="","",IF(INDEX('潜水記録'!$E$5:$E$3004,$AS340)="","",INDEX('潜水記録'!$E$5:$E$3004,$AS340)))</f>
        <v/>
      </c>
      <c r="G340" s="14">
        <f>IF($A340="","",IF(INDEX('潜水記録'!$F$5:$F$3004,$AS340)="","",INDEX('潜水記録'!$F$5:$F$3004,$AS340)))</f>
        <v/>
      </c>
      <c r="H340" s="14">
        <f>IF($A340="","",IF(INDEX('潜水記録'!$G$5:$G$3004,$AS340)="","",INDEX('潜水記録'!$G$5:$G$3004,$AS340)))</f>
        <v/>
      </c>
      <c r="I340" s="14">
        <f>IF($A340="","",IF(INDEX('潜水記録'!$H$5:$H$3004,$AS340)="","",INDEX('潜水記録'!$H$5:$H$3004,$AS340)))</f>
        <v/>
      </c>
      <c r="J340" s="14">
        <f>IF($A340="","",IF(INDEX('潜水記録'!$I$5:$I$3004,$AS340)="","",INDEX('潜水記録'!$I$5:$I$3004,$AS340)))</f>
        <v/>
      </c>
      <c r="K340" s="14">
        <f>IF($A340="","",IF(INDEX('潜水記録'!$J$5:$J$3004,$AS340)="","",INDEX('潜水記録'!$J$5:$J$3004,$AS340)))</f>
        <v/>
      </c>
      <c r="L340" s="14">
        <f>IF($A340="","",IF(INDEX('潜水記録'!$K$5:$K$3004,$AS340)="","",INDEX('潜水記録'!$K$5:$K$3004,$AS340)))</f>
        <v/>
      </c>
      <c r="M340" s="14">
        <f>IF($A340="","",IF(INDEX('潜水記録'!$L$5:$L$3004,$AS340)="","",INDEX('潜水記録'!$L$5:$L$3004,$AS340)))</f>
        <v/>
      </c>
      <c r="N340" s="14">
        <f>IF($A340="","",IF(INDEX('潜水記録'!$M$5:$M$3004,$AS340)="","",INDEX('潜水記録'!$M$5:$M$3004,$AS340)))</f>
        <v/>
      </c>
      <c r="O340" s="14">
        <f>IF($A340="","",IF(INDEX('潜水記録'!$N$5:$N$3004,$AS340)="","",INDEX('潜水記録'!$N$5:$N$3004,$AS340)))</f>
        <v/>
      </c>
      <c r="P340" s="14">
        <f>IF($A340="","",IF(INDEX('潜水記録'!$O$5:$O$3004,$AS340)="","",INDEX('潜水記録'!$O$5:$O$3004,$AS340)))</f>
        <v/>
      </c>
      <c r="Q340" s="14">
        <f>IF($A340="","",IF(INDEX('潜水記録'!$P$5:$P$3004,$AS340)="","",INDEX('潜水記録'!$P$5:$P$3004,$AS340)))</f>
        <v/>
      </c>
      <c r="R340" s="14">
        <f>IF($A340="","",IF(INDEX('潜水記録'!$Q$5:$Q$3004,$AS340)="","",INDEX('潜水記録'!$Q$5:$Q$3004,$AS340)))</f>
        <v/>
      </c>
      <c r="S340" s="14">
        <f>IF($A340="","",IF(INDEX('潜水記録'!$R$5:$R$3004,$AS340)="","",INDEX('潜水記録'!$R$5:$R$3004,$AS340)))</f>
        <v/>
      </c>
      <c r="T340" s="14">
        <f>IF($A340="","",IF(INDEX('潜水記録'!$S$5:$S$3004,$AS340)="","",INDEX('潜水記録'!$S$5:$S$3004,$AS340)))</f>
        <v/>
      </c>
      <c r="U340" s="14">
        <f>IF($A340="","",IF(INDEX('潜水記録'!$T$5:$T$3004,$AS340)="","",INDEX('潜水記録'!$T$5:$T$3004,$AS340)))</f>
        <v/>
      </c>
      <c r="V340" s="46">
        <f>IF($A340="","",IF(INDEX('潜水記録'!$U$5:$U$3004,$AS340)="","",INDEX('潜水記録'!$U$5:$U$3004,$AS340)))</f>
        <v/>
      </c>
      <c r="W340" s="46">
        <f>IF($A340="","",IF(INDEX('潜水記録'!$V$5:$V$3004,$AS340)="","",INDEX('潜水記録'!$V$5:$V$3004,$AS340)))</f>
        <v/>
      </c>
      <c r="X340" s="14">
        <f>IF($A340="","",IF(INDEX('潜水記録'!$W$5:$W$3004,$AS340)="","",INDEX('潜水記録'!$W$5:$W$3004,$AS340)))</f>
        <v/>
      </c>
      <c r="Y340" s="14">
        <f>IF($A340="","",IF(INDEX('潜水記録'!$X$5:$X$3004,$AS340)="","",INDEX('潜水記録'!$X$5:$X$3004,$AS340)))</f>
        <v/>
      </c>
      <c r="Z340" s="14">
        <f>IF($A340="","",IF(INDEX('潜水記録'!$Y$5:$Y$3004,$AS340)="","",INDEX('潜水記録'!$Y$5:$Y$3004,$AS340)))</f>
        <v/>
      </c>
      <c r="AA340" s="14">
        <f>IF($A340="","",IF(INDEX('潜水記録'!$Z$5:$Z$3004,$AS340)="","",INDEX('潜水記録'!$Z$5:$Z$3004,$AS340)))</f>
        <v/>
      </c>
      <c r="AB340" s="14">
        <f>IF($A340="","",IF(INDEX('潜水記録'!$AA$5:$AA$3004,$AS340)="","",INDEX('潜水記録'!$AA$5:$AA$3004,$AS340)))</f>
        <v/>
      </c>
      <c r="AC340" s="14">
        <f>IF($A340="","",IF(INDEX('潜水記録'!$AB$5:$AB$3004,$AS340)="","",INDEX('潜水記録'!$AB$5:$AB$3004,$AS340)))</f>
        <v/>
      </c>
      <c r="AD340" s="14">
        <f>IF($A340="","",IF(INDEX('潜水記録'!$AC$5:$AC$3004,$AS340)="","",INDEX('潜水記録'!$AC$5:$AC$3004,$AS340)))</f>
        <v/>
      </c>
      <c r="AE340" s="14">
        <f>IF($A340="","",IF(INDEX('潜水記録'!$AD$5:$AD$3004,$AS340)="","",INDEX('潜水記録'!$AD$5:$AD$3004,$AS340)))</f>
        <v/>
      </c>
      <c r="AF340" s="14">
        <f>IF($A340="","",IF(INDEX('潜水記録'!$AE$5:$AE$3004,$AS340)="","",INDEX('潜水記録'!$AE$5:$AE$3004,$AS340)))</f>
        <v/>
      </c>
      <c r="AG340" s="14">
        <f>IF($A340="","",IF(INDEX('潜水記録'!$AL$5:$AL$3004,$AS340)="","",INDEX('潜水記録'!$AL$5:$AL$3004,$AS340)))</f>
        <v/>
      </c>
      <c r="AH340" s="14">
        <f>IF($A340="","",IF(INDEX('潜水記録'!$AM$5:$AM$3004,$AS340)="","",INDEX('潜水記録'!$AM$5:$AM$3004,$AS340)))</f>
        <v/>
      </c>
      <c r="AI340" s="46">
        <f>IF($A340="","",IF(INDEX('潜水記録'!$AN$5:$AN$3004,$AS340)="","",INDEX('潜水記録'!$AN$5:$AN$3004,$AS340)))</f>
        <v/>
      </c>
      <c r="AJ340" s="14">
        <f>IF($A340="","",IF(INDEX('潜水記録'!$AO$5:$AO$3004,$AS340)="","",INDEX('潜水記録'!$AO$5:$AO$3004,$AS340)))</f>
        <v/>
      </c>
      <c r="AK340" s="14">
        <f>IF($A340="","",IF(INDEX('潜水記録'!$AP$5:$AP$3004,$AS340)="","",INDEX('潜水記録'!$AP$5:$AP$3004,$AS340)))</f>
        <v/>
      </c>
      <c r="AL340" s="14">
        <f>IF($A340="","",IF(INDEX('潜水記録'!$AQ$5:$AQ$3004,$AS340)="","",INDEX('潜水記録'!$AQ$5:$AQ$3004,$AS340)))</f>
        <v/>
      </c>
      <c r="AM340" s="14">
        <f>IF($A340="","",IF(INDEX('潜水記録'!$AR$5:$AR$3004,$AS340)="","",INDEX('潜水記録'!$AR$5:$AR$3004,$AS340)))</f>
        <v/>
      </c>
      <c r="AN340" s="14">
        <f>IF($A340="","",IF(INDEX('潜水記録'!$AS$5:$AS$3004,$AS340)="","",INDEX('潜水記録'!$AS$5:$AS$3004,$AS340)))</f>
        <v/>
      </c>
      <c r="AO340" s="14">
        <f>IF($A340="","",IF(INDEX('潜水記録'!$AT$5:$AT$3004,$AS340)="","",INDEX('潜水記録'!$AT$5:$AT$3004,$AS340)))</f>
        <v/>
      </c>
      <c r="AP340" s="14">
        <f>IF($A340="","",IF(INDEX('潜水記録'!$AU$5:$AU$3004,$AS340)="","",INDEX('潜水記録'!$AU$5:$AU$3004,$AS340)))</f>
        <v/>
      </c>
      <c r="AQ340" s="14">
        <f>IF($A340="","",IF(INDEX('潜水記録'!$AV$5:$AV$3004,$AS340)="","",INDEX('潜水記録'!$AV$5:$AV$3004,$AS340)))</f>
        <v/>
      </c>
      <c r="AR340" s="14">
        <f>IF($A340="","",IF(INDEX('潜水記録'!$AW$5:$AW$3004,$AS340)="","",INDEX('潜水記録'!$AW$5:$AW$3004,$AS340)))</f>
        <v/>
      </c>
      <c r="AS340" s="20">
        <f>IF($A340="","",MATCH($A340,'潜水記録'!$AI$5:$AI$3004,0))</f>
        <v/>
      </c>
    </row>
    <row r="341">
      <c r="A341" s="14">
        <f>IF(331&lt;=$C$8,331,"")</f>
        <v/>
      </c>
      <c r="B341" s="16">
        <f>IF($A341="","",IF(INDEX('潜水記録'!$A$5:$A$3004,$AS341)="","",INDEX('潜水記録'!$A$5:$A$3004,$AS341)))</f>
        <v/>
      </c>
      <c r="C341" s="14">
        <f>IF($A341="","",IF(INDEX('潜水記録'!$B$5:$B$3004,$AS341)="","",INDEX('潜水記録'!$B$5:$B$3004,$AS341)))</f>
        <v/>
      </c>
      <c r="D341" s="14">
        <f>IF($A341="","",IF(INDEX('潜水記録'!$C$5:$C$3004,$AS341)="","",INDEX('潜水記録'!$C$5:$C$3004,$AS341)))</f>
        <v/>
      </c>
      <c r="E341" s="14">
        <f>IF($A341="","",IF(INDEX('潜水記録'!$D$5:$D$3004,$AS341)="","",INDEX('潜水記録'!$D$5:$D$3004,$AS341)))</f>
        <v/>
      </c>
      <c r="F341" s="14">
        <f>IF($A341="","",IF(INDEX('潜水記録'!$E$5:$E$3004,$AS341)="","",INDEX('潜水記録'!$E$5:$E$3004,$AS341)))</f>
        <v/>
      </c>
      <c r="G341" s="14">
        <f>IF($A341="","",IF(INDEX('潜水記録'!$F$5:$F$3004,$AS341)="","",INDEX('潜水記録'!$F$5:$F$3004,$AS341)))</f>
        <v/>
      </c>
      <c r="H341" s="14">
        <f>IF($A341="","",IF(INDEX('潜水記録'!$G$5:$G$3004,$AS341)="","",INDEX('潜水記録'!$G$5:$G$3004,$AS341)))</f>
        <v/>
      </c>
      <c r="I341" s="14">
        <f>IF($A341="","",IF(INDEX('潜水記録'!$H$5:$H$3004,$AS341)="","",INDEX('潜水記録'!$H$5:$H$3004,$AS341)))</f>
        <v/>
      </c>
      <c r="J341" s="14">
        <f>IF($A341="","",IF(INDEX('潜水記録'!$I$5:$I$3004,$AS341)="","",INDEX('潜水記録'!$I$5:$I$3004,$AS341)))</f>
        <v/>
      </c>
      <c r="K341" s="14">
        <f>IF($A341="","",IF(INDEX('潜水記録'!$J$5:$J$3004,$AS341)="","",INDEX('潜水記録'!$J$5:$J$3004,$AS341)))</f>
        <v/>
      </c>
      <c r="L341" s="14">
        <f>IF($A341="","",IF(INDEX('潜水記録'!$K$5:$K$3004,$AS341)="","",INDEX('潜水記録'!$K$5:$K$3004,$AS341)))</f>
        <v/>
      </c>
      <c r="M341" s="14">
        <f>IF($A341="","",IF(INDEX('潜水記録'!$L$5:$L$3004,$AS341)="","",INDEX('潜水記録'!$L$5:$L$3004,$AS341)))</f>
        <v/>
      </c>
      <c r="N341" s="14">
        <f>IF($A341="","",IF(INDEX('潜水記録'!$M$5:$M$3004,$AS341)="","",INDEX('潜水記録'!$M$5:$M$3004,$AS341)))</f>
        <v/>
      </c>
      <c r="O341" s="14">
        <f>IF($A341="","",IF(INDEX('潜水記録'!$N$5:$N$3004,$AS341)="","",INDEX('潜水記録'!$N$5:$N$3004,$AS341)))</f>
        <v/>
      </c>
      <c r="P341" s="14">
        <f>IF($A341="","",IF(INDEX('潜水記録'!$O$5:$O$3004,$AS341)="","",INDEX('潜水記録'!$O$5:$O$3004,$AS341)))</f>
        <v/>
      </c>
      <c r="Q341" s="14">
        <f>IF($A341="","",IF(INDEX('潜水記録'!$P$5:$P$3004,$AS341)="","",INDEX('潜水記録'!$P$5:$P$3004,$AS341)))</f>
        <v/>
      </c>
      <c r="R341" s="14">
        <f>IF($A341="","",IF(INDEX('潜水記録'!$Q$5:$Q$3004,$AS341)="","",INDEX('潜水記録'!$Q$5:$Q$3004,$AS341)))</f>
        <v/>
      </c>
      <c r="S341" s="14">
        <f>IF($A341="","",IF(INDEX('潜水記録'!$R$5:$R$3004,$AS341)="","",INDEX('潜水記録'!$R$5:$R$3004,$AS341)))</f>
        <v/>
      </c>
      <c r="T341" s="14">
        <f>IF($A341="","",IF(INDEX('潜水記録'!$S$5:$S$3004,$AS341)="","",INDEX('潜水記録'!$S$5:$S$3004,$AS341)))</f>
        <v/>
      </c>
      <c r="U341" s="14">
        <f>IF($A341="","",IF(INDEX('潜水記録'!$T$5:$T$3004,$AS341)="","",INDEX('潜水記録'!$T$5:$T$3004,$AS341)))</f>
        <v/>
      </c>
      <c r="V341" s="46">
        <f>IF($A341="","",IF(INDEX('潜水記録'!$U$5:$U$3004,$AS341)="","",INDEX('潜水記録'!$U$5:$U$3004,$AS341)))</f>
        <v/>
      </c>
      <c r="W341" s="46">
        <f>IF($A341="","",IF(INDEX('潜水記録'!$V$5:$V$3004,$AS341)="","",INDEX('潜水記録'!$V$5:$V$3004,$AS341)))</f>
        <v/>
      </c>
      <c r="X341" s="14">
        <f>IF($A341="","",IF(INDEX('潜水記録'!$W$5:$W$3004,$AS341)="","",INDEX('潜水記録'!$W$5:$W$3004,$AS341)))</f>
        <v/>
      </c>
      <c r="Y341" s="14">
        <f>IF($A341="","",IF(INDEX('潜水記録'!$X$5:$X$3004,$AS341)="","",INDEX('潜水記録'!$X$5:$X$3004,$AS341)))</f>
        <v/>
      </c>
      <c r="Z341" s="14">
        <f>IF($A341="","",IF(INDEX('潜水記録'!$Y$5:$Y$3004,$AS341)="","",INDEX('潜水記録'!$Y$5:$Y$3004,$AS341)))</f>
        <v/>
      </c>
      <c r="AA341" s="14">
        <f>IF($A341="","",IF(INDEX('潜水記録'!$Z$5:$Z$3004,$AS341)="","",INDEX('潜水記録'!$Z$5:$Z$3004,$AS341)))</f>
        <v/>
      </c>
      <c r="AB341" s="14">
        <f>IF($A341="","",IF(INDEX('潜水記録'!$AA$5:$AA$3004,$AS341)="","",INDEX('潜水記録'!$AA$5:$AA$3004,$AS341)))</f>
        <v/>
      </c>
      <c r="AC341" s="14">
        <f>IF($A341="","",IF(INDEX('潜水記録'!$AB$5:$AB$3004,$AS341)="","",INDEX('潜水記録'!$AB$5:$AB$3004,$AS341)))</f>
        <v/>
      </c>
      <c r="AD341" s="14">
        <f>IF($A341="","",IF(INDEX('潜水記録'!$AC$5:$AC$3004,$AS341)="","",INDEX('潜水記録'!$AC$5:$AC$3004,$AS341)))</f>
        <v/>
      </c>
      <c r="AE341" s="14">
        <f>IF($A341="","",IF(INDEX('潜水記録'!$AD$5:$AD$3004,$AS341)="","",INDEX('潜水記録'!$AD$5:$AD$3004,$AS341)))</f>
        <v/>
      </c>
      <c r="AF341" s="14">
        <f>IF($A341="","",IF(INDEX('潜水記録'!$AE$5:$AE$3004,$AS341)="","",INDEX('潜水記録'!$AE$5:$AE$3004,$AS341)))</f>
        <v/>
      </c>
      <c r="AG341" s="14">
        <f>IF($A341="","",IF(INDEX('潜水記録'!$AL$5:$AL$3004,$AS341)="","",INDEX('潜水記録'!$AL$5:$AL$3004,$AS341)))</f>
        <v/>
      </c>
      <c r="AH341" s="14">
        <f>IF($A341="","",IF(INDEX('潜水記録'!$AM$5:$AM$3004,$AS341)="","",INDEX('潜水記録'!$AM$5:$AM$3004,$AS341)))</f>
        <v/>
      </c>
      <c r="AI341" s="46">
        <f>IF($A341="","",IF(INDEX('潜水記録'!$AN$5:$AN$3004,$AS341)="","",INDEX('潜水記録'!$AN$5:$AN$3004,$AS341)))</f>
        <v/>
      </c>
      <c r="AJ341" s="14">
        <f>IF($A341="","",IF(INDEX('潜水記録'!$AO$5:$AO$3004,$AS341)="","",INDEX('潜水記録'!$AO$5:$AO$3004,$AS341)))</f>
        <v/>
      </c>
      <c r="AK341" s="14">
        <f>IF($A341="","",IF(INDEX('潜水記録'!$AP$5:$AP$3004,$AS341)="","",INDEX('潜水記録'!$AP$5:$AP$3004,$AS341)))</f>
        <v/>
      </c>
      <c r="AL341" s="14">
        <f>IF($A341="","",IF(INDEX('潜水記録'!$AQ$5:$AQ$3004,$AS341)="","",INDEX('潜水記録'!$AQ$5:$AQ$3004,$AS341)))</f>
        <v/>
      </c>
      <c r="AM341" s="14">
        <f>IF($A341="","",IF(INDEX('潜水記録'!$AR$5:$AR$3004,$AS341)="","",INDEX('潜水記録'!$AR$5:$AR$3004,$AS341)))</f>
        <v/>
      </c>
      <c r="AN341" s="14">
        <f>IF($A341="","",IF(INDEX('潜水記録'!$AS$5:$AS$3004,$AS341)="","",INDEX('潜水記録'!$AS$5:$AS$3004,$AS341)))</f>
        <v/>
      </c>
      <c r="AO341" s="14">
        <f>IF($A341="","",IF(INDEX('潜水記録'!$AT$5:$AT$3004,$AS341)="","",INDEX('潜水記録'!$AT$5:$AT$3004,$AS341)))</f>
        <v/>
      </c>
      <c r="AP341" s="14">
        <f>IF($A341="","",IF(INDEX('潜水記録'!$AU$5:$AU$3004,$AS341)="","",INDEX('潜水記録'!$AU$5:$AU$3004,$AS341)))</f>
        <v/>
      </c>
      <c r="AQ341" s="14">
        <f>IF($A341="","",IF(INDEX('潜水記録'!$AV$5:$AV$3004,$AS341)="","",INDEX('潜水記録'!$AV$5:$AV$3004,$AS341)))</f>
        <v/>
      </c>
      <c r="AR341" s="14">
        <f>IF($A341="","",IF(INDEX('潜水記録'!$AW$5:$AW$3004,$AS341)="","",INDEX('潜水記録'!$AW$5:$AW$3004,$AS341)))</f>
        <v/>
      </c>
      <c r="AS341" s="20">
        <f>IF($A341="","",MATCH($A341,'潜水記録'!$AI$5:$AI$3004,0))</f>
        <v/>
      </c>
    </row>
    <row r="342">
      <c r="A342" s="14">
        <f>IF(332&lt;=$C$8,332,"")</f>
        <v/>
      </c>
      <c r="B342" s="16">
        <f>IF($A342="","",IF(INDEX('潜水記録'!$A$5:$A$3004,$AS342)="","",INDEX('潜水記録'!$A$5:$A$3004,$AS342)))</f>
        <v/>
      </c>
      <c r="C342" s="14">
        <f>IF($A342="","",IF(INDEX('潜水記録'!$B$5:$B$3004,$AS342)="","",INDEX('潜水記録'!$B$5:$B$3004,$AS342)))</f>
        <v/>
      </c>
      <c r="D342" s="14">
        <f>IF($A342="","",IF(INDEX('潜水記録'!$C$5:$C$3004,$AS342)="","",INDEX('潜水記録'!$C$5:$C$3004,$AS342)))</f>
        <v/>
      </c>
      <c r="E342" s="14">
        <f>IF($A342="","",IF(INDEX('潜水記録'!$D$5:$D$3004,$AS342)="","",INDEX('潜水記録'!$D$5:$D$3004,$AS342)))</f>
        <v/>
      </c>
      <c r="F342" s="14">
        <f>IF($A342="","",IF(INDEX('潜水記録'!$E$5:$E$3004,$AS342)="","",INDEX('潜水記録'!$E$5:$E$3004,$AS342)))</f>
        <v/>
      </c>
      <c r="G342" s="14">
        <f>IF($A342="","",IF(INDEX('潜水記録'!$F$5:$F$3004,$AS342)="","",INDEX('潜水記録'!$F$5:$F$3004,$AS342)))</f>
        <v/>
      </c>
      <c r="H342" s="14">
        <f>IF($A342="","",IF(INDEX('潜水記録'!$G$5:$G$3004,$AS342)="","",INDEX('潜水記録'!$G$5:$G$3004,$AS342)))</f>
        <v/>
      </c>
      <c r="I342" s="14">
        <f>IF($A342="","",IF(INDEX('潜水記録'!$H$5:$H$3004,$AS342)="","",INDEX('潜水記録'!$H$5:$H$3004,$AS342)))</f>
        <v/>
      </c>
      <c r="J342" s="14">
        <f>IF($A342="","",IF(INDEX('潜水記録'!$I$5:$I$3004,$AS342)="","",INDEX('潜水記録'!$I$5:$I$3004,$AS342)))</f>
        <v/>
      </c>
      <c r="K342" s="14">
        <f>IF($A342="","",IF(INDEX('潜水記録'!$J$5:$J$3004,$AS342)="","",INDEX('潜水記録'!$J$5:$J$3004,$AS342)))</f>
        <v/>
      </c>
      <c r="L342" s="14">
        <f>IF($A342="","",IF(INDEX('潜水記録'!$K$5:$K$3004,$AS342)="","",INDEX('潜水記録'!$K$5:$K$3004,$AS342)))</f>
        <v/>
      </c>
      <c r="M342" s="14">
        <f>IF($A342="","",IF(INDEX('潜水記録'!$L$5:$L$3004,$AS342)="","",INDEX('潜水記録'!$L$5:$L$3004,$AS342)))</f>
        <v/>
      </c>
      <c r="N342" s="14">
        <f>IF($A342="","",IF(INDEX('潜水記録'!$M$5:$M$3004,$AS342)="","",INDEX('潜水記録'!$M$5:$M$3004,$AS342)))</f>
        <v/>
      </c>
      <c r="O342" s="14">
        <f>IF($A342="","",IF(INDEX('潜水記録'!$N$5:$N$3004,$AS342)="","",INDEX('潜水記録'!$N$5:$N$3004,$AS342)))</f>
        <v/>
      </c>
      <c r="P342" s="14">
        <f>IF($A342="","",IF(INDEX('潜水記録'!$O$5:$O$3004,$AS342)="","",INDEX('潜水記録'!$O$5:$O$3004,$AS342)))</f>
        <v/>
      </c>
      <c r="Q342" s="14">
        <f>IF($A342="","",IF(INDEX('潜水記録'!$P$5:$P$3004,$AS342)="","",INDEX('潜水記録'!$P$5:$P$3004,$AS342)))</f>
        <v/>
      </c>
      <c r="R342" s="14">
        <f>IF($A342="","",IF(INDEX('潜水記録'!$Q$5:$Q$3004,$AS342)="","",INDEX('潜水記録'!$Q$5:$Q$3004,$AS342)))</f>
        <v/>
      </c>
      <c r="S342" s="14">
        <f>IF($A342="","",IF(INDEX('潜水記録'!$R$5:$R$3004,$AS342)="","",INDEX('潜水記録'!$R$5:$R$3004,$AS342)))</f>
        <v/>
      </c>
      <c r="T342" s="14">
        <f>IF($A342="","",IF(INDEX('潜水記録'!$S$5:$S$3004,$AS342)="","",INDEX('潜水記録'!$S$5:$S$3004,$AS342)))</f>
        <v/>
      </c>
      <c r="U342" s="14">
        <f>IF($A342="","",IF(INDEX('潜水記録'!$T$5:$T$3004,$AS342)="","",INDEX('潜水記録'!$T$5:$T$3004,$AS342)))</f>
        <v/>
      </c>
      <c r="V342" s="46">
        <f>IF($A342="","",IF(INDEX('潜水記録'!$U$5:$U$3004,$AS342)="","",INDEX('潜水記録'!$U$5:$U$3004,$AS342)))</f>
        <v/>
      </c>
      <c r="W342" s="46">
        <f>IF($A342="","",IF(INDEX('潜水記録'!$V$5:$V$3004,$AS342)="","",INDEX('潜水記録'!$V$5:$V$3004,$AS342)))</f>
        <v/>
      </c>
      <c r="X342" s="14">
        <f>IF($A342="","",IF(INDEX('潜水記録'!$W$5:$W$3004,$AS342)="","",INDEX('潜水記録'!$W$5:$W$3004,$AS342)))</f>
        <v/>
      </c>
      <c r="Y342" s="14">
        <f>IF($A342="","",IF(INDEX('潜水記録'!$X$5:$X$3004,$AS342)="","",INDEX('潜水記録'!$X$5:$X$3004,$AS342)))</f>
        <v/>
      </c>
      <c r="Z342" s="14">
        <f>IF($A342="","",IF(INDEX('潜水記録'!$Y$5:$Y$3004,$AS342)="","",INDEX('潜水記録'!$Y$5:$Y$3004,$AS342)))</f>
        <v/>
      </c>
      <c r="AA342" s="14">
        <f>IF($A342="","",IF(INDEX('潜水記録'!$Z$5:$Z$3004,$AS342)="","",INDEX('潜水記録'!$Z$5:$Z$3004,$AS342)))</f>
        <v/>
      </c>
      <c r="AB342" s="14">
        <f>IF($A342="","",IF(INDEX('潜水記録'!$AA$5:$AA$3004,$AS342)="","",INDEX('潜水記録'!$AA$5:$AA$3004,$AS342)))</f>
        <v/>
      </c>
      <c r="AC342" s="14">
        <f>IF($A342="","",IF(INDEX('潜水記録'!$AB$5:$AB$3004,$AS342)="","",INDEX('潜水記録'!$AB$5:$AB$3004,$AS342)))</f>
        <v/>
      </c>
      <c r="AD342" s="14">
        <f>IF($A342="","",IF(INDEX('潜水記録'!$AC$5:$AC$3004,$AS342)="","",INDEX('潜水記録'!$AC$5:$AC$3004,$AS342)))</f>
        <v/>
      </c>
      <c r="AE342" s="14">
        <f>IF($A342="","",IF(INDEX('潜水記録'!$AD$5:$AD$3004,$AS342)="","",INDEX('潜水記録'!$AD$5:$AD$3004,$AS342)))</f>
        <v/>
      </c>
      <c r="AF342" s="14">
        <f>IF($A342="","",IF(INDEX('潜水記録'!$AE$5:$AE$3004,$AS342)="","",INDEX('潜水記録'!$AE$5:$AE$3004,$AS342)))</f>
        <v/>
      </c>
      <c r="AG342" s="14">
        <f>IF($A342="","",IF(INDEX('潜水記録'!$AL$5:$AL$3004,$AS342)="","",INDEX('潜水記録'!$AL$5:$AL$3004,$AS342)))</f>
        <v/>
      </c>
      <c r="AH342" s="14">
        <f>IF($A342="","",IF(INDEX('潜水記録'!$AM$5:$AM$3004,$AS342)="","",INDEX('潜水記録'!$AM$5:$AM$3004,$AS342)))</f>
        <v/>
      </c>
      <c r="AI342" s="46">
        <f>IF($A342="","",IF(INDEX('潜水記録'!$AN$5:$AN$3004,$AS342)="","",INDEX('潜水記録'!$AN$5:$AN$3004,$AS342)))</f>
        <v/>
      </c>
      <c r="AJ342" s="14">
        <f>IF($A342="","",IF(INDEX('潜水記録'!$AO$5:$AO$3004,$AS342)="","",INDEX('潜水記録'!$AO$5:$AO$3004,$AS342)))</f>
        <v/>
      </c>
      <c r="AK342" s="14">
        <f>IF($A342="","",IF(INDEX('潜水記録'!$AP$5:$AP$3004,$AS342)="","",INDEX('潜水記録'!$AP$5:$AP$3004,$AS342)))</f>
        <v/>
      </c>
      <c r="AL342" s="14">
        <f>IF($A342="","",IF(INDEX('潜水記録'!$AQ$5:$AQ$3004,$AS342)="","",INDEX('潜水記録'!$AQ$5:$AQ$3004,$AS342)))</f>
        <v/>
      </c>
      <c r="AM342" s="14">
        <f>IF($A342="","",IF(INDEX('潜水記録'!$AR$5:$AR$3004,$AS342)="","",INDEX('潜水記録'!$AR$5:$AR$3004,$AS342)))</f>
        <v/>
      </c>
      <c r="AN342" s="14">
        <f>IF($A342="","",IF(INDEX('潜水記録'!$AS$5:$AS$3004,$AS342)="","",INDEX('潜水記録'!$AS$5:$AS$3004,$AS342)))</f>
        <v/>
      </c>
      <c r="AO342" s="14">
        <f>IF($A342="","",IF(INDEX('潜水記録'!$AT$5:$AT$3004,$AS342)="","",INDEX('潜水記録'!$AT$5:$AT$3004,$AS342)))</f>
        <v/>
      </c>
      <c r="AP342" s="14">
        <f>IF($A342="","",IF(INDEX('潜水記録'!$AU$5:$AU$3004,$AS342)="","",INDEX('潜水記録'!$AU$5:$AU$3004,$AS342)))</f>
        <v/>
      </c>
      <c r="AQ342" s="14">
        <f>IF($A342="","",IF(INDEX('潜水記録'!$AV$5:$AV$3004,$AS342)="","",INDEX('潜水記録'!$AV$5:$AV$3004,$AS342)))</f>
        <v/>
      </c>
      <c r="AR342" s="14">
        <f>IF($A342="","",IF(INDEX('潜水記録'!$AW$5:$AW$3004,$AS342)="","",INDEX('潜水記録'!$AW$5:$AW$3004,$AS342)))</f>
        <v/>
      </c>
      <c r="AS342" s="20">
        <f>IF($A342="","",MATCH($A342,'潜水記録'!$AI$5:$AI$3004,0))</f>
        <v/>
      </c>
    </row>
    <row r="343">
      <c r="A343" s="14">
        <f>IF(333&lt;=$C$8,333,"")</f>
        <v/>
      </c>
      <c r="B343" s="16">
        <f>IF($A343="","",IF(INDEX('潜水記録'!$A$5:$A$3004,$AS343)="","",INDEX('潜水記録'!$A$5:$A$3004,$AS343)))</f>
        <v/>
      </c>
      <c r="C343" s="14">
        <f>IF($A343="","",IF(INDEX('潜水記録'!$B$5:$B$3004,$AS343)="","",INDEX('潜水記録'!$B$5:$B$3004,$AS343)))</f>
        <v/>
      </c>
      <c r="D343" s="14">
        <f>IF($A343="","",IF(INDEX('潜水記録'!$C$5:$C$3004,$AS343)="","",INDEX('潜水記録'!$C$5:$C$3004,$AS343)))</f>
        <v/>
      </c>
      <c r="E343" s="14">
        <f>IF($A343="","",IF(INDEX('潜水記録'!$D$5:$D$3004,$AS343)="","",INDEX('潜水記録'!$D$5:$D$3004,$AS343)))</f>
        <v/>
      </c>
      <c r="F343" s="14">
        <f>IF($A343="","",IF(INDEX('潜水記録'!$E$5:$E$3004,$AS343)="","",INDEX('潜水記録'!$E$5:$E$3004,$AS343)))</f>
        <v/>
      </c>
      <c r="G343" s="14">
        <f>IF($A343="","",IF(INDEX('潜水記録'!$F$5:$F$3004,$AS343)="","",INDEX('潜水記録'!$F$5:$F$3004,$AS343)))</f>
        <v/>
      </c>
      <c r="H343" s="14">
        <f>IF($A343="","",IF(INDEX('潜水記録'!$G$5:$G$3004,$AS343)="","",INDEX('潜水記録'!$G$5:$G$3004,$AS343)))</f>
        <v/>
      </c>
      <c r="I343" s="14">
        <f>IF($A343="","",IF(INDEX('潜水記録'!$H$5:$H$3004,$AS343)="","",INDEX('潜水記録'!$H$5:$H$3004,$AS343)))</f>
        <v/>
      </c>
      <c r="J343" s="14">
        <f>IF($A343="","",IF(INDEX('潜水記録'!$I$5:$I$3004,$AS343)="","",INDEX('潜水記録'!$I$5:$I$3004,$AS343)))</f>
        <v/>
      </c>
      <c r="K343" s="14">
        <f>IF($A343="","",IF(INDEX('潜水記録'!$J$5:$J$3004,$AS343)="","",INDEX('潜水記録'!$J$5:$J$3004,$AS343)))</f>
        <v/>
      </c>
      <c r="L343" s="14">
        <f>IF($A343="","",IF(INDEX('潜水記録'!$K$5:$K$3004,$AS343)="","",INDEX('潜水記録'!$K$5:$K$3004,$AS343)))</f>
        <v/>
      </c>
      <c r="M343" s="14">
        <f>IF($A343="","",IF(INDEX('潜水記録'!$L$5:$L$3004,$AS343)="","",INDEX('潜水記録'!$L$5:$L$3004,$AS343)))</f>
        <v/>
      </c>
      <c r="N343" s="14">
        <f>IF($A343="","",IF(INDEX('潜水記録'!$M$5:$M$3004,$AS343)="","",INDEX('潜水記録'!$M$5:$M$3004,$AS343)))</f>
        <v/>
      </c>
      <c r="O343" s="14">
        <f>IF($A343="","",IF(INDEX('潜水記録'!$N$5:$N$3004,$AS343)="","",INDEX('潜水記録'!$N$5:$N$3004,$AS343)))</f>
        <v/>
      </c>
      <c r="P343" s="14">
        <f>IF($A343="","",IF(INDEX('潜水記録'!$O$5:$O$3004,$AS343)="","",INDEX('潜水記録'!$O$5:$O$3004,$AS343)))</f>
        <v/>
      </c>
      <c r="Q343" s="14">
        <f>IF($A343="","",IF(INDEX('潜水記録'!$P$5:$P$3004,$AS343)="","",INDEX('潜水記録'!$P$5:$P$3004,$AS343)))</f>
        <v/>
      </c>
      <c r="R343" s="14">
        <f>IF($A343="","",IF(INDEX('潜水記録'!$Q$5:$Q$3004,$AS343)="","",INDEX('潜水記録'!$Q$5:$Q$3004,$AS343)))</f>
        <v/>
      </c>
      <c r="S343" s="14">
        <f>IF($A343="","",IF(INDEX('潜水記録'!$R$5:$R$3004,$AS343)="","",INDEX('潜水記録'!$R$5:$R$3004,$AS343)))</f>
        <v/>
      </c>
      <c r="T343" s="14">
        <f>IF($A343="","",IF(INDEX('潜水記録'!$S$5:$S$3004,$AS343)="","",INDEX('潜水記録'!$S$5:$S$3004,$AS343)))</f>
        <v/>
      </c>
      <c r="U343" s="14">
        <f>IF($A343="","",IF(INDEX('潜水記録'!$T$5:$T$3004,$AS343)="","",INDEX('潜水記録'!$T$5:$T$3004,$AS343)))</f>
        <v/>
      </c>
      <c r="V343" s="46">
        <f>IF($A343="","",IF(INDEX('潜水記録'!$U$5:$U$3004,$AS343)="","",INDEX('潜水記録'!$U$5:$U$3004,$AS343)))</f>
        <v/>
      </c>
      <c r="W343" s="46">
        <f>IF($A343="","",IF(INDEX('潜水記録'!$V$5:$V$3004,$AS343)="","",INDEX('潜水記録'!$V$5:$V$3004,$AS343)))</f>
        <v/>
      </c>
      <c r="X343" s="14">
        <f>IF($A343="","",IF(INDEX('潜水記録'!$W$5:$W$3004,$AS343)="","",INDEX('潜水記録'!$W$5:$W$3004,$AS343)))</f>
        <v/>
      </c>
      <c r="Y343" s="14">
        <f>IF($A343="","",IF(INDEX('潜水記録'!$X$5:$X$3004,$AS343)="","",INDEX('潜水記録'!$X$5:$X$3004,$AS343)))</f>
        <v/>
      </c>
      <c r="Z343" s="14">
        <f>IF($A343="","",IF(INDEX('潜水記録'!$Y$5:$Y$3004,$AS343)="","",INDEX('潜水記録'!$Y$5:$Y$3004,$AS343)))</f>
        <v/>
      </c>
      <c r="AA343" s="14">
        <f>IF($A343="","",IF(INDEX('潜水記録'!$Z$5:$Z$3004,$AS343)="","",INDEX('潜水記録'!$Z$5:$Z$3004,$AS343)))</f>
        <v/>
      </c>
      <c r="AB343" s="14">
        <f>IF($A343="","",IF(INDEX('潜水記録'!$AA$5:$AA$3004,$AS343)="","",INDEX('潜水記録'!$AA$5:$AA$3004,$AS343)))</f>
        <v/>
      </c>
      <c r="AC343" s="14">
        <f>IF($A343="","",IF(INDEX('潜水記録'!$AB$5:$AB$3004,$AS343)="","",INDEX('潜水記録'!$AB$5:$AB$3004,$AS343)))</f>
        <v/>
      </c>
      <c r="AD343" s="14">
        <f>IF($A343="","",IF(INDEX('潜水記録'!$AC$5:$AC$3004,$AS343)="","",INDEX('潜水記録'!$AC$5:$AC$3004,$AS343)))</f>
        <v/>
      </c>
      <c r="AE343" s="14">
        <f>IF($A343="","",IF(INDEX('潜水記録'!$AD$5:$AD$3004,$AS343)="","",INDEX('潜水記録'!$AD$5:$AD$3004,$AS343)))</f>
        <v/>
      </c>
      <c r="AF343" s="14">
        <f>IF($A343="","",IF(INDEX('潜水記録'!$AE$5:$AE$3004,$AS343)="","",INDEX('潜水記録'!$AE$5:$AE$3004,$AS343)))</f>
        <v/>
      </c>
      <c r="AG343" s="14">
        <f>IF($A343="","",IF(INDEX('潜水記録'!$AL$5:$AL$3004,$AS343)="","",INDEX('潜水記録'!$AL$5:$AL$3004,$AS343)))</f>
        <v/>
      </c>
      <c r="AH343" s="14">
        <f>IF($A343="","",IF(INDEX('潜水記録'!$AM$5:$AM$3004,$AS343)="","",INDEX('潜水記録'!$AM$5:$AM$3004,$AS343)))</f>
        <v/>
      </c>
      <c r="AI343" s="46">
        <f>IF($A343="","",IF(INDEX('潜水記録'!$AN$5:$AN$3004,$AS343)="","",INDEX('潜水記録'!$AN$5:$AN$3004,$AS343)))</f>
        <v/>
      </c>
      <c r="AJ343" s="14">
        <f>IF($A343="","",IF(INDEX('潜水記録'!$AO$5:$AO$3004,$AS343)="","",INDEX('潜水記録'!$AO$5:$AO$3004,$AS343)))</f>
        <v/>
      </c>
      <c r="AK343" s="14">
        <f>IF($A343="","",IF(INDEX('潜水記録'!$AP$5:$AP$3004,$AS343)="","",INDEX('潜水記録'!$AP$5:$AP$3004,$AS343)))</f>
        <v/>
      </c>
      <c r="AL343" s="14">
        <f>IF($A343="","",IF(INDEX('潜水記録'!$AQ$5:$AQ$3004,$AS343)="","",INDEX('潜水記録'!$AQ$5:$AQ$3004,$AS343)))</f>
        <v/>
      </c>
      <c r="AM343" s="14">
        <f>IF($A343="","",IF(INDEX('潜水記録'!$AR$5:$AR$3004,$AS343)="","",INDEX('潜水記録'!$AR$5:$AR$3004,$AS343)))</f>
        <v/>
      </c>
      <c r="AN343" s="14">
        <f>IF($A343="","",IF(INDEX('潜水記録'!$AS$5:$AS$3004,$AS343)="","",INDEX('潜水記録'!$AS$5:$AS$3004,$AS343)))</f>
        <v/>
      </c>
      <c r="AO343" s="14">
        <f>IF($A343="","",IF(INDEX('潜水記録'!$AT$5:$AT$3004,$AS343)="","",INDEX('潜水記録'!$AT$5:$AT$3004,$AS343)))</f>
        <v/>
      </c>
      <c r="AP343" s="14">
        <f>IF($A343="","",IF(INDEX('潜水記録'!$AU$5:$AU$3004,$AS343)="","",INDEX('潜水記録'!$AU$5:$AU$3004,$AS343)))</f>
        <v/>
      </c>
      <c r="AQ343" s="14">
        <f>IF($A343="","",IF(INDEX('潜水記録'!$AV$5:$AV$3004,$AS343)="","",INDEX('潜水記録'!$AV$5:$AV$3004,$AS343)))</f>
        <v/>
      </c>
      <c r="AR343" s="14">
        <f>IF($A343="","",IF(INDEX('潜水記録'!$AW$5:$AW$3004,$AS343)="","",INDEX('潜水記録'!$AW$5:$AW$3004,$AS343)))</f>
        <v/>
      </c>
      <c r="AS343" s="20">
        <f>IF($A343="","",MATCH($A343,'潜水記録'!$AI$5:$AI$3004,0))</f>
        <v/>
      </c>
    </row>
    <row r="344">
      <c r="A344" s="14">
        <f>IF(334&lt;=$C$8,334,"")</f>
        <v/>
      </c>
      <c r="B344" s="16">
        <f>IF($A344="","",IF(INDEX('潜水記録'!$A$5:$A$3004,$AS344)="","",INDEX('潜水記録'!$A$5:$A$3004,$AS344)))</f>
        <v/>
      </c>
      <c r="C344" s="14">
        <f>IF($A344="","",IF(INDEX('潜水記録'!$B$5:$B$3004,$AS344)="","",INDEX('潜水記録'!$B$5:$B$3004,$AS344)))</f>
        <v/>
      </c>
      <c r="D344" s="14">
        <f>IF($A344="","",IF(INDEX('潜水記録'!$C$5:$C$3004,$AS344)="","",INDEX('潜水記録'!$C$5:$C$3004,$AS344)))</f>
        <v/>
      </c>
      <c r="E344" s="14">
        <f>IF($A344="","",IF(INDEX('潜水記録'!$D$5:$D$3004,$AS344)="","",INDEX('潜水記録'!$D$5:$D$3004,$AS344)))</f>
        <v/>
      </c>
      <c r="F344" s="14">
        <f>IF($A344="","",IF(INDEX('潜水記録'!$E$5:$E$3004,$AS344)="","",INDEX('潜水記録'!$E$5:$E$3004,$AS344)))</f>
        <v/>
      </c>
      <c r="G344" s="14">
        <f>IF($A344="","",IF(INDEX('潜水記録'!$F$5:$F$3004,$AS344)="","",INDEX('潜水記録'!$F$5:$F$3004,$AS344)))</f>
        <v/>
      </c>
      <c r="H344" s="14">
        <f>IF($A344="","",IF(INDEX('潜水記録'!$G$5:$G$3004,$AS344)="","",INDEX('潜水記録'!$G$5:$G$3004,$AS344)))</f>
        <v/>
      </c>
      <c r="I344" s="14">
        <f>IF($A344="","",IF(INDEX('潜水記録'!$H$5:$H$3004,$AS344)="","",INDEX('潜水記録'!$H$5:$H$3004,$AS344)))</f>
        <v/>
      </c>
      <c r="J344" s="14">
        <f>IF($A344="","",IF(INDEX('潜水記録'!$I$5:$I$3004,$AS344)="","",INDEX('潜水記録'!$I$5:$I$3004,$AS344)))</f>
        <v/>
      </c>
      <c r="K344" s="14">
        <f>IF($A344="","",IF(INDEX('潜水記録'!$J$5:$J$3004,$AS344)="","",INDEX('潜水記録'!$J$5:$J$3004,$AS344)))</f>
        <v/>
      </c>
      <c r="L344" s="14">
        <f>IF($A344="","",IF(INDEX('潜水記録'!$K$5:$K$3004,$AS344)="","",INDEX('潜水記録'!$K$5:$K$3004,$AS344)))</f>
        <v/>
      </c>
      <c r="M344" s="14">
        <f>IF($A344="","",IF(INDEX('潜水記録'!$L$5:$L$3004,$AS344)="","",INDEX('潜水記録'!$L$5:$L$3004,$AS344)))</f>
        <v/>
      </c>
      <c r="N344" s="14">
        <f>IF($A344="","",IF(INDEX('潜水記録'!$M$5:$M$3004,$AS344)="","",INDEX('潜水記録'!$M$5:$M$3004,$AS344)))</f>
        <v/>
      </c>
      <c r="O344" s="14">
        <f>IF($A344="","",IF(INDEX('潜水記録'!$N$5:$N$3004,$AS344)="","",INDEX('潜水記録'!$N$5:$N$3004,$AS344)))</f>
        <v/>
      </c>
      <c r="P344" s="14">
        <f>IF($A344="","",IF(INDEX('潜水記録'!$O$5:$O$3004,$AS344)="","",INDEX('潜水記録'!$O$5:$O$3004,$AS344)))</f>
        <v/>
      </c>
      <c r="Q344" s="14">
        <f>IF($A344="","",IF(INDEX('潜水記録'!$P$5:$P$3004,$AS344)="","",INDEX('潜水記録'!$P$5:$P$3004,$AS344)))</f>
        <v/>
      </c>
      <c r="R344" s="14">
        <f>IF($A344="","",IF(INDEX('潜水記録'!$Q$5:$Q$3004,$AS344)="","",INDEX('潜水記録'!$Q$5:$Q$3004,$AS344)))</f>
        <v/>
      </c>
      <c r="S344" s="14">
        <f>IF($A344="","",IF(INDEX('潜水記録'!$R$5:$R$3004,$AS344)="","",INDEX('潜水記録'!$R$5:$R$3004,$AS344)))</f>
        <v/>
      </c>
      <c r="T344" s="14">
        <f>IF($A344="","",IF(INDEX('潜水記録'!$S$5:$S$3004,$AS344)="","",INDEX('潜水記録'!$S$5:$S$3004,$AS344)))</f>
        <v/>
      </c>
      <c r="U344" s="14">
        <f>IF($A344="","",IF(INDEX('潜水記録'!$T$5:$T$3004,$AS344)="","",INDEX('潜水記録'!$T$5:$T$3004,$AS344)))</f>
        <v/>
      </c>
      <c r="V344" s="46">
        <f>IF($A344="","",IF(INDEX('潜水記録'!$U$5:$U$3004,$AS344)="","",INDEX('潜水記録'!$U$5:$U$3004,$AS344)))</f>
        <v/>
      </c>
      <c r="W344" s="46">
        <f>IF($A344="","",IF(INDEX('潜水記録'!$V$5:$V$3004,$AS344)="","",INDEX('潜水記録'!$V$5:$V$3004,$AS344)))</f>
        <v/>
      </c>
      <c r="X344" s="14">
        <f>IF($A344="","",IF(INDEX('潜水記録'!$W$5:$W$3004,$AS344)="","",INDEX('潜水記録'!$W$5:$W$3004,$AS344)))</f>
        <v/>
      </c>
      <c r="Y344" s="14">
        <f>IF($A344="","",IF(INDEX('潜水記録'!$X$5:$X$3004,$AS344)="","",INDEX('潜水記録'!$X$5:$X$3004,$AS344)))</f>
        <v/>
      </c>
      <c r="Z344" s="14">
        <f>IF($A344="","",IF(INDEX('潜水記録'!$Y$5:$Y$3004,$AS344)="","",INDEX('潜水記録'!$Y$5:$Y$3004,$AS344)))</f>
        <v/>
      </c>
      <c r="AA344" s="14">
        <f>IF($A344="","",IF(INDEX('潜水記録'!$Z$5:$Z$3004,$AS344)="","",INDEX('潜水記録'!$Z$5:$Z$3004,$AS344)))</f>
        <v/>
      </c>
      <c r="AB344" s="14">
        <f>IF($A344="","",IF(INDEX('潜水記録'!$AA$5:$AA$3004,$AS344)="","",INDEX('潜水記録'!$AA$5:$AA$3004,$AS344)))</f>
        <v/>
      </c>
      <c r="AC344" s="14">
        <f>IF($A344="","",IF(INDEX('潜水記録'!$AB$5:$AB$3004,$AS344)="","",INDEX('潜水記録'!$AB$5:$AB$3004,$AS344)))</f>
        <v/>
      </c>
      <c r="AD344" s="14">
        <f>IF($A344="","",IF(INDEX('潜水記録'!$AC$5:$AC$3004,$AS344)="","",INDEX('潜水記録'!$AC$5:$AC$3004,$AS344)))</f>
        <v/>
      </c>
      <c r="AE344" s="14">
        <f>IF($A344="","",IF(INDEX('潜水記録'!$AD$5:$AD$3004,$AS344)="","",INDEX('潜水記録'!$AD$5:$AD$3004,$AS344)))</f>
        <v/>
      </c>
      <c r="AF344" s="14">
        <f>IF($A344="","",IF(INDEX('潜水記録'!$AE$5:$AE$3004,$AS344)="","",INDEX('潜水記録'!$AE$5:$AE$3004,$AS344)))</f>
        <v/>
      </c>
      <c r="AG344" s="14">
        <f>IF($A344="","",IF(INDEX('潜水記録'!$AL$5:$AL$3004,$AS344)="","",INDEX('潜水記録'!$AL$5:$AL$3004,$AS344)))</f>
        <v/>
      </c>
      <c r="AH344" s="14">
        <f>IF($A344="","",IF(INDEX('潜水記録'!$AM$5:$AM$3004,$AS344)="","",INDEX('潜水記録'!$AM$5:$AM$3004,$AS344)))</f>
        <v/>
      </c>
      <c r="AI344" s="46">
        <f>IF($A344="","",IF(INDEX('潜水記録'!$AN$5:$AN$3004,$AS344)="","",INDEX('潜水記録'!$AN$5:$AN$3004,$AS344)))</f>
        <v/>
      </c>
      <c r="AJ344" s="14">
        <f>IF($A344="","",IF(INDEX('潜水記録'!$AO$5:$AO$3004,$AS344)="","",INDEX('潜水記録'!$AO$5:$AO$3004,$AS344)))</f>
        <v/>
      </c>
      <c r="AK344" s="14">
        <f>IF($A344="","",IF(INDEX('潜水記録'!$AP$5:$AP$3004,$AS344)="","",INDEX('潜水記録'!$AP$5:$AP$3004,$AS344)))</f>
        <v/>
      </c>
      <c r="AL344" s="14">
        <f>IF($A344="","",IF(INDEX('潜水記録'!$AQ$5:$AQ$3004,$AS344)="","",INDEX('潜水記録'!$AQ$5:$AQ$3004,$AS344)))</f>
        <v/>
      </c>
      <c r="AM344" s="14">
        <f>IF($A344="","",IF(INDEX('潜水記録'!$AR$5:$AR$3004,$AS344)="","",INDEX('潜水記録'!$AR$5:$AR$3004,$AS344)))</f>
        <v/>
      </c>
      <c r="AN344" s="14">
        <f>IF($A344="","",IF(INDEX('潜水記録'!$AS$5:$AS$3004,$AS344)="","",INDEX('潜水記録'!$AS$5:$AS$3004,$AS344)))</f>
        <v/>
      </c>
      <c r="AO344" s="14">
        <f>IF($A344="","",IF(INDEX('潜水記録'!$AT$5:$AT$3004,$AS344)="","",INDEX('潜水記録'!$AT$5:$AT$3004,$AS344)))</f>
        <v/>
      </c>
      <c r="AP344" s="14">
        <f>IF($A344="","",IF(INDEX('潜水記録'!$AU$5:$AU$3004,$AS344)="","",INDEX('潜水記録'!$AU$5:$AU$3004,$AS344)))</f>
        <v/>
      </c>
      <c r="AQ344" s="14">
        <f>IF($A344="","",IF(INDEX('潜水記録'!$AV$5:$AV$3004,$AS344)="","",INDEX('潜水記録'!$AV$5:$AV$3004,$AS344)))</f>
        <v/>
      </c>
      <c r="AR344" s="14">
        <f>IF($A344="","",IF(INDEX('潜水記録'!$AW$5:$AW$3004,$AS344)="","",INDEX('潜水記録'!$AW$5:$AW$3004,$AS344)))</f>
        <v/>
      </c>
      <c r="AS344" s="20">
        <f>IF($A344="","",MATCH($A344,'潜水記録'!$AI$5:$AI$3004,0))</f>
        <v/>
      </c>
    </row>
    <row r="345">
      <c r="A345" s="14">
        <f>IF(335&lt;=$C$8,335,"")</f>
        <v/>
      </c>
      <c r="B345" s="16">
        <f>IF($A345="","",IF(INDEX('潜水記録'!$A$5:$A$3004,$AS345)="","",INDEX('潜水記録'!$A$5:$A$3004,$AS345)))</f>
        <v/>
      </c>
      <c r="C345" s="14">
        <f>IF($A345="","",IF(INDEX('潜水記録'!$B$5:$B$3004,$AS345)="","",INDEX('潜水記録'!$B$5:$B$3004,$AS345)))</f>
        <v/>
      </c>
      <c r="D345" s="14">
        <f>IF($A345="","",IF(INDEX('潜水記録'!$C$5:$C$3004,$AS345)="","",INDEX('潜水記録'!$C$5:$C$3004,$AS345)))</f>
        <v/>
      </c>
      <c r="E345" s="14">
        <f>IF($A345="","",IF(INDEX('潜水記録'!$D$5:$D$3004,$AS345)="","",INDEX('潜水記録'!$D$5:$D$3004,$AS345)))</f>
        <v/>
      </c>
      <c r="F345" s="14">
        <f>IF($A345="","",IF(INDEX('潜水記録'!$E$5:$E$3004,$AS345)="","",INDEX('潜水記録'!$E$5:$E$3004,$AS345)))</f>
        <v/>
      </c>
      <c r="G345" s="14">
        <f>IF($A345="","",IF(INDEX('潜水記録'!$F$5:$F$3004,$AS345)="","",INDEX('潜水記録'!$F$5:$F$3004,$AS345)))</f>
        <v/>
      </c>
      <c r="H345" s="14">
        <f>IF($A345="","",IF(INDEX('潜水記録'!$G$5:$G$3004,$AS345)="","",INDEX('潜水記録'!$G$5:$G$3004,$AS345)))</f>
        <v/>
      </c>
      <c r="I345" s="14">
        <f>IF($A345="","",IF(INDEX('潜水記録'!$H$5:$H$3004,$AS345)="","",INDEX('潜水記録'!$H$5:$H$3004,$AS345)))</f>
        <v/>
      </c>
      <c r="J345" s="14">
        <f>IF($A345="","",IF(INDEX('潜水記録'!$I$5:$I$3004,$AS345)="","",INDEX('潜水記録'!$I$5:$I$3004,$AS345)))</f>
        <v/>
      </c>
      <c r="K345" s="14">
        <f>IF($A345="","",IF(INDEX('潜水記録'!$J$5:$J$3004,$AS345)="","",INDEX('潜水記録'!$J$5:$J$3004,$AS345)))</f>
        <v/>
      </c>
      <c r="L345" s="14">
        <f>IF($A345="","",IF(INDEX('潜水記録'!$K$5:$K$3004,$AS345)="","",INDEX('潜水記録'!$K$5:$K$3004,$AS345)))</f>
        <v/>
      </c>
      <c r="M345" s="14">
        <f>IF($A345="","",IF(INDEX('潜水記録'!$L$5:$L$3004,$AS345)="","",INDEX('潜水記録'!$L$5:$L$3004,$AS345)))</f>
        <v/>
      </c>
      <c r="N345" s="14">
        <f>IF($A345="","",IF(INDEX('潜水記録'!$M$5:$M$3004,$AS345)="","",INDEX('潜水記録'!$M$5:$M$3004,$AS345)))</f>
        <v/>
      </c>
      <c r="O345" s="14">
        <f>IF($A345="","",IF(INDEX('潜水記録'!$N$5:$N$3004,$AS345)="","",INDEX('潜水記録'!$N$5:$N$3004,$AS345)))</f>
        <v/>
      </c>
      <c r="P345" s="14">
        <f>IF($A345="","",IF(INDEX('潜水記録'!$O$5:$O$3004,$AS345)="","",INDEX('潜水記録'!$O$5:$O$3004,$AS345)))</f>
        <v/>
      </c>
      <c r="Q345" s="14">
        <f>IF($A345="","",IF(INDEX('潜水記録'!$P$5:$P$3004,$AS345)="","",INDEX('潜水記録'!$P$5:$P$3004,$AS345)))</f>
        <v/>
      </c>
      <c r="R345" s="14">
        <f>IF($A345="","",IF(INDEX('潜水記録'!$Q$5:$Q$3004,$AS345)="","",INDEX('潜水記録'!$Q$5:$Q$3004,$AS345)))</f>
        <v/>
      </c>
      <c r="S345" s="14">
        <f>IF($A345="","",IF(INDEX('潜水記録'!$R$5:$R$3004,$AS345)="","",INDEX('潜水記録'!$R$5:$R$3004,$AS345)))</f>
        <v/>
      </c>
      <c r="T345" s="14">
        <f>IF($A345="","",IF(INDEX('潜水記録'!$S$5:$S$3004,$AS345)="","",INDEX('潜水記録'!$S$5:$S$3004,$AS345)))</f>
        <v/>
      </c>
      <c r="U345" s="14">
        <f>IF($A345="","",IF(INDEX('潜水記録'!$T$5:$T$3004,$AS345)="","",INDEX('潜水記録'!$T$5:$T$3004,$AS345)))</f>
        <v/>
      </c>
      <c r="V345" s="46">
        <f>IF($A345="","",IF(INDEX('潜水記録'!$U$5:$U$3004,$AS345)="","",INDEX('潜水記録'!$U$5:$U$3004,$AS345)))</f>
        <v/>
      </c>
      <c r="W345" s="46">
        <f>IF($A345="","",IF(INDEX('潜水記録'!$V$5:$V$3004,$AS345)="","",INDEX('潜水記録'!$V$5:$V$3004,$AS345)))</f>
        <v/>
      </c>
      <c r="X345" s="14">
        <f>IF($A345="","",IF(INDEX('潜水記録'!$W$5:$W$3004,$AS345)="","",INDEX('潜水記録'!$W$5:$W$3004,$AS345)))</f>
        <v/>
      </c>
      <c r="Y345" s="14">
        <f>IF($A345="","",IF(INDEX('潜水記録'!$X$5:$X$3004,$AS345)="","",INDEX('潜水記録'!$X$5:$X$3004,$AS345)))</f>
        <v/>
      </c>
      <c r="Z345" s="14">
        <f>IF($A345="","",IF(INDEX('潜水記録'!$Y$5:$Y$3004,$AS345)="","",INDEX('潜水記録'!$Y$5:$Y$3004,$AS345)))</f>
        <v/>
      </c>
      <c r="AA345" s="14">
        <f>IF($A345="","",IF(INDEX('潜水記録'!$Z$5:$Z$3004,$AS345)="","",INDEX('潜水記録'!$Z$5:$Z$3004,$AS345)))</f>
        <v/>
      </c>
      <c r="AB345" s="14">
        <f>IF($A345="","",IF(INDEX('潜水記録'!$AA$5:$AA$3004,$AS345)="","",INDEX('潜水記録'!$AA$5:$AA$3004,$AS345)))</f>
        <v/>
      </c>
      <c r="AC345" s="14">
        <f>IF($A345="","",IF(INDEX('潜水記録'!$AB$5:$AB$3004,$AS345)="","",INDEX('潜水記録'!$AB$5:$AB$3004,$AS345)))</f>
        <v/>
      </c>
      <c r="AD345" s="14">
        <f>IF($A345="","",IF(INDEX('潜水記録'!$AC$5:$AC$3004,$AS345)="","",INDEX('潜水記録'!$AC$5:$AC$3004,$AS345)))</f>
        <v/>
      </c>
      <c r="AE345" s="14">
        <f>IF($A345="","",IF(INDEX('潜水記録'!$AD$5:$AD$3004,$AS345)="","",INDEX('潜水記録'!$AD$5:$AD$3004,$AS345)))</f>
        <v/>
      </c>
      <c r="AF345" s="14">
        <f>IF($A345="","",IF(INDEX('潜水記録'!$AE$5:$AE$3004,$AS345)="","",INDEX('潜水記録'!$AE$5:$AE$3004,$AS345)))</f>
        <v/>
      </c>
      <c r="AG345" s="14">
        <f>IF($A345="","",IF(INDEX('潜水記録'!$AL$5:$AL$3004,$AS345)="","",INDEX('潜水記録'!$AL$5:$AL$3004,$AS345)))</f>
        <v/>
      </c>
      <c r="AH345" s="14">
        <f>IF($A345="","",IF(INDEX('潜水記録'!$AM$5:$AM$3004,$AS345)="","",INDEX('潜水記録'!$AM$5:$AM$3004,$AS345)))</f>
        <v/>
      </c>
      <c r="AI345" s="46">
        <f>IF($A345="","",IF(INDEX('潜水記録'!$AN$5:$AN$3004,$AS345)="","",INDEX('潜水記録'!$AN$5:$AN$3004,$AS345)))</f>
        <v/>
      </c>
      <c r="AJ345" s="14">
        <f>IF($A345="","",IF(INDEX('潜水記録'!$AO$5:$AO$3004,$AS345)="","",INDEX('潜水記録'!$AO$5:$AO$3004,$AS345)))</f>
        <v/>
      </c>
      <c r="AK345" s="14">
        <f>IF($A345="","",IF(INDEX('潜水記録'!$AP$5:$AP$3004,$AS345)="","",INDEX('潜水記録'!$AP$5:$AP$3004,$AS345)))</f>
        <v/>
      </c>
      <c r="AL345" s="14">
        <f>IF($A345="","",IF(INDEX('潜水記録'!$AQ$5:$AQ$3004,$AS345)="","",INDEX('潜水記録'!$AQ$5:$AQ$3004,$AS345)))</f>
        <v/>
      </c>
      <c r="AM345" s="14">
        <f>IF($A345="","",IF(INDEX('潜水記録'!$AR$5:$AR$3004,$AS345)="","",INDEX('潜水記録'!$AR$5:$AR$3004,$AS345)))</f>
        <v/>
      </c>
      <c r="AN345" s="14">
        <f>IF($A345="","",IF(INDEX('潜水記録'!$AS$5:$AS$3004,$AS345)="","",INDEX('潜水記録'!$AS$5:$AS$3004,$AS345)))</f>
        <v/>
      </c>
      <c r="AO345" s="14">
        <f>IF($A345="","",IF(INDEX('潜水記録'!$AT$5:$AT$3004,$AS345)="","",INDEX('潜水記録'!$AT$5:$AT$3004,$AS345)))</f>
        <v/>
      </c>
      <c r="AP345" s="14">
        <f>IF($A345="","",IF(INDEX('潜水記録'!$AU$5:$AU$3004,$AS345)="","",INDEX('潜水記録'!$AU$5:$AU$3004,$AS345)))</f>
        <v/>
      </c>
      <c r="AQ345" s="14">
        <f>IF($A345="","",IF(INDEX('潜水記録'!$AV$5:$AV$3004,$AS345)="","",INDEX('潜水記録'!$AV$5:$AV$3004,$AS345)))</f>
        <v/>
      </c>
      <c r="AR345" s="14">
        <f>IF($A345="","",IF(INDEX('潜水記録'!$AW$5:$AW$3004,$AS345)="","",INDEX('潜水記録'!$AW$5:$AW$3004,$AS345)))</f>
        <v/>
      </c>
      <c r="AS345" s="20">
        <f>IF($A345="","",MATCH($A345,'潜水記録'!$AI$5:$AI$3004,0))</f>
        <v/>
      </c>
    </row>
    <row r="346">
      <c r="A346" s="14">
        <f>IF(336&lt;=$C$8,336,"")</f>
        <v/>
      </c>
      <c r="B346" s="16">
        <f>IF($A346="","",IF(INDEX('潜水記録'!$A$5:$A$3004,$AS346)="","",INDEX('潜水記録'!$A$5:$A$3004,$AS346)))</f>
        <v/>
      </c>
      <c r="C346" s="14">
        <f>IF($A346="","",IF(INDEX('潜水記録'!$B$5:$B$3004,$AS346)="","",INDEX('潜水記録'!$B$5:$B$3004,$AS346)))</f>
        <v/>
      </c>
      <c r="D346" s="14">
        <f>IF($A346="","",IF(INDEX('潜水記録'!$C$5:$C$3004,$AS346)="","",INDEX('潜水記録'!$C$5:$C$3004,$AS346)))</f>
        <v/>
      </c>
      <c r="E346" s="14">
        <f>IF($A346="","",IF(INDEX('潜水記録'!$D$5:$D$3004,$AS346)="","",INDEX('潜水記録'!$D$5:$D$3004,$AS346)))</f>
        <v/>
      </c>
      <c r="F346" s="14">
        <f>IF($A346="","",IF(INDEX('潜水記録'!$E$5:$E$3004,$AS346)="","",INDEX('潜水記録'!$E$5:$E$3004,$AS346)))</f>
        <v/>
      </c>
      <c r="G346" s="14">
        <f>IF($A346="","",IF(INDEX('潜水記録'!$F$5:$F$3004,$AS346)="","",INDEX('潜水記録'!$F$5:$F$3004,$AS346)))</f>
        <v/>
      </c>
      <c r="H346" s="14">
        <f>IF($A346="","",IF(INDEX('潜水記録'!$G$5:$G$3004,$AS346)="","",INDEX('潜水記録'!$G$5:$G$3004,$AS346)))</f>
        <v/>
      </c>
      <c r="I346" s="14">
        <f>IF($A346="","",IF(INDEX('潜水記録'!$H$5:$H$3004,$AS346)="","",INDEX('潜水記録'!$H$5:$H$3004,$AS346)))</f>
        <v/>
      </c>
      <c r="J346" s="14">
        <f>IF($A346="","",IF(INDEX('潜水記録'!$I$5:$I$3004,$AS346)="","",INDEX('潜水記録'!$I$5:$I$3004,$AS346)))</f>
        <v/>
      </c>
      <c r="K346" s="14">
        <f>IF($A346="","",IF(INDEX('潜水記録'!$J$5:$J$3004,$AS346)="","",INDEX('潜水記録'!$J$5:$J$3004,$AS346)))</f>
        <v/>
      </c>
      <c r="L346" s="14">
        <f>IF($A346="","",IF(INDEX('潜水記録'!$K$5:$K$3004,$AS346)="","",INDEX('潜水記録'!$K$5:$K$3004,$AS346)))</f>
        <v/>
      </c>
      <c r="M346" s="14">
        <f>IF($A346="","",IF(INDEX('潜水記録'!$L$5:$L$3004,$AS346)="","",INDEX('潜水記録'!$L$5:$L$3004,$AS346)))</f>
        <v/>
      </c>
      <c r="N346" s="14">
        <f>IF($A346="","",IF(INDEX('潜水記録'!$M$5:$M$3004,$AS346)="","",INDEX('潜水記録'!$M$5:$M$3004,$AS346)))</f>
        <v/>
      </c>
      <c r="O346" s="14">
        <f>IF($A346="","",IF(INDEX('潜水記録'!$N$5:$N$3004,$AS346)="","",INDEX('潜水記録'!$N$5:$N$3004,$AS346)))</f>
        <v/>
      </c>
      <c r="P346" s="14">
        <f>IF($A346="","",IF(INDEX('潜水記録'!$O$5:$O$3004,$AS346)="","",INDEX('潜水記録'!$O$5:$O$3004,$AS346)))</f>
        <v/>
      </c>
      <c r="Q346" s="14">
        <f>IF($A346="","",IF(INDEX('潜水記録'!$P$5:$P$3004,$AS346)="","",INDEX('潜水記録'!$P$5:$P$3004,$AS346)))</f>
        <v/>
      </c>
      <c r="R346" s="14">
        <f>IF($A346="","",IF(INDEX('潜水記録'!$Q$5:$Q$3004,$AS346)="","",INDEX('潜水記録'!$Q$5:$Q$3004,$AS346)))</f>
        <v/>
      </c>
      <c r="S346" s="14">
        <f>IF($A346="","",IF(INDEX('潜水記録'!$R$5:$R$3004,$AS346)="","",INDEX('潜水記録'!$R$5:$R$3004,$AS346)))</f>
        <v/>
      </c>
      <c r="T346" s="14">
        <f>IF($A346="","",IF(INDEX('潜水記録'!$S$5:$S$3004,$AS346)="","",INDEX('潜水記録'!$S$5:$S$3004,$AS346)))</f>
        <v/>
      </c>
      <c r="U346" s="14">
        <f>IF($A346="","",IF(INDEX('潜水記録'!$T$5:$T$3004,$AS346)="","",INDEX('潜水記録'!$T$5:$T$3004,$AS346)))</f>
        <v/>
      </c>
      <c r="V346" s="46">
        <f>IF($A346="","",IF(INDEX('潜水記録'!$U$5:$U$3004,$AS346)="","",INDEX('潜水記録'!$U$5:$U$3004,$AS346)))</f>
        <v/>
      </c>
      <c r="W346" s="46">
        <f>IF($A346="","",IF(INDEX('潜水記録'!$V$5:$V$3004,$AS346)="","",INDEX('潜水記録'!$V$5:$V$3004,$AS346)))</f>
        <v/>
      </c>
      <c r="X346" s="14">
        <f>IF($A346="","",IF(INDEX('潜水記録'!$W$5:$W$3004,$AS346)="","",INDEX('潜水記録'!$W$5:$W$3004,$AS346)))</f>
        <v/>
      </c>
      <c r="Y346" s="14">
        <f>IF($A346="","",IF(INDEX('潜水記録'!$X$5:$X$3004,$AS346)="","",INDEX('潜水記録'!$X$5:$X$3004,$AS346)))</f>
        <v/>
      </c>
      <c r="Z346" s="14">
        <f>IF($A346="","",IF(INDEX('潜水記録'!$Y$5:$Y$3004,$AS346)="","",INDEX('潜水記録'!$Y$5:$Y$3004,$AS346)))</f>
        <v/>
      </c>
      <c r="AA346" s="14">
        <f>IF($A346="","",IF(INDEX('潜水記録'!$Z$5:$Z$3004,$AS346)="","",INDEX('潜水記録'!$Z$5:$Z$3004,$AS346)))</f>
        <v/>
      </c>
      <c r="AB346" s="14">
        <f>IF($A346="","",IF(INDEX('潜水記録'!$AA$5:$AA$3004,$AS346)="","",INDEX('潜水記録'!$AA$5:$AA$3004,$AS346)))</f>
        <v/>
      </c>
      <c r="AC346" s="14">
        <f>IF($A346="","",IF(INDEX('潜水記録'!$AB$5:$AB$3004,$AS346)="","",INDEX('潜水記録'!$AB$5:$AB$3004,$AS346)))</f>
        <v/>
      </c>
      <c r="AD346" s="14">
        <f>IF($A346="","",IF(INDEX('潜水記録'!$AC$5:$AC$3004,$AS346)="","",INDEX('潜水記録'!$AC$5:$AC$3004,$AS346)))</f>
        <v/>
      </c>
      <c r="AE346" s="14">
        <f>IF($A346="","",IF(INDEX('潜水記録'!$AD$5:$AD$3004,$AS346)="","",INDEX('潜水記録'!$AD$5:$AD$3004,$AS346)))</f>
        <v/>
      </c>
      <c r="AF346" s="14">
        <f>IF($A346="","",IF(INDEX('潜水記録'!$AE$5:$AE$3004,$AS346)="","",INDEX('潜水記録'!$AE$5:$AE$3004,$AS346)))</f>
        <v/>
      </c>
      <c r="AG346" s="14">
        <f>IF($A346="","",IF(INDEX('潜水記録'!$AL$5:$AL$3004,$AS346)="","",INDEX('潜水記録'!$AL$5:$AL$3004,$AS346)))</f>
        <v/>
      </c>
      <c r="AH346" s="14">
        <f>IF($A346="","",IF(INDEX('潜水記録'!$AM$5:$AM$3004,$AS346)="","",INDEX('潜水記録'!$AM$5:$AM$3004,$AS346)))</f>
        <v/>
      </c>
      <c r="AI346" s="46">
        <f>IF($A346="","",IF(INDEX('潜水記録'!$AN$5:$AN$3004,$AS346)="","",INDEX('潜水記録'!$AN$5:$AN$3004,$AS346)))</f>
        <v/>
      </c>
      <c r="AJ346" s="14">
        <f>IF($A346="","",IF(INDEX('潜水記録'!$AO$5:$AO$3004,$AS346)="","",INDEX('潜水記録'!$AO$5:$AO$3004,$AS346)))</f>
        <v/>
      </c>
      <c r="AK346" s="14">
        <f>IF($A346="","",IF(INDEX('潜水記録'!$AP$5:$AP$3004,$AS346)="","",INDEX('潜水記録'!$AP$5:$AP$3004,$AS346)))</f>
        <v/>
      </c>
      <c r="AL346" s="14">
        <f>IF($A346="","",IF(INDEX('潜水記録'!$AQ$5:$AQ$3004,$AS346)="","",INDEX('潜水記録'!$AQ$5:$AQ$3004,$AS346)))</f>
        <v/>
      </c>
      <c r="AM346" s="14">
        <f>IF($A346="","",IF(INDEX('潜水記録'!$AR$5:$AR$3004,$AS346)="","",INDEX('潜水記録'!$AR$5:$AR$3004,$AS346)))</f>
        <v/>
      </c>
      <c r="AN346" s="14">
        <f>IF($A346="","",IF(INDEX('潜水記録'!$AS$5:$AS$3004,$AS346)="","",INDEX('潜水記録'!$AS$5:$AS$3004,$AS346)))</f>
        <v/>
      </c>
      <c r="AO346" s="14">
        <f>IF($A346="","",IF(INDEX('潜水記録'!$AT$5:$AT$3004,$AS346)="","",INDEX('潜水記録'!$AT$5:$AT$3004,$AS346)))</f>
        <v/>
      </c>
      <c r="AP346" s="14">
        <f>IF($A346="","",IF(INDEX('潜水記録'!$AU$5:$AU$3004,$AS346)="","",INDEX('潜水記録'!$AU$5:$AU$3004,$AS346)))</f>
        <v/>
      </c>
      <c r="AQ346" s="14">
        <f>IF($A346="","",IF(INDEX('潜水記録'!$AV$5:$AV$3004,$AS346)="","",INDEX('潜水記録'!$AV$5:$AV$3004,$AS346)))</f>
        <v/>
      </c>
      <c r="AR346" s="14">
        <f>IF($A346="","",IF(INDEX('潜水記録'!$AW$5:$AW$3004,$AS346)="","",INDEX('潜水記録'!$AW$5:$AW$3004,$AS346)))</f>
        <v/>
      </c>
      <c r="AS346" s="20">
        <f>IF($A346="","",MATCH($A346,'潜水記録'!$AI$5:$AI$3004,0))</f>
        <v/>
      </c>
    </row>
    <row r="347">
      <c r="A347" s="14">
        <f>IF(337&lt;=$C$8,337,"")</f>
        <v/>
      </c>
      <c r="B347" s="16">
        <f>IF($A347="","",IF(INDEX('潜水記録'!$A$5:$A$3004,$AS347)="","",INDEX('潜水記録'!$A$5:$A$3004,$AS347)))</f>
        <v/>
      </c>
      <c r="C347" s="14">
        <f>IF($A347="","",IF(INDEX('潜水記録'!$B$5:$B$3004,$AS347)="","",INDEX('潜水記録'!$B$5:$B$3004,$AS347)))</f>
        <v/>
      </c>
      <c r="D347" s="14">
        <f>IF($A347="","",IF(INDEX('潜水記録'!$C$5:$C$3004,$AS347)="","",INDEX('潜水記録'!$C$5:$C$3004,$AS347)))</f>
        <v/>
      </c>
      <c r="E347" s="14">
        <f>IF($A347="","",IF(INDEX('潜水記録'!$D$5:$D$3004,$AS347)="","",INDEX('潜水記録'!$D$5:$D$3004,$AS347)))</f>
        <v/>
      </c>
      <c r="F347" s="14">
        <f>IF($A347="","",IF(INDEX('潜水記録'!$E$5:$E$3004,$AS347)="","",INDEX('潜水記録'!$E$5:$E$3004,$AS347)))</f>
        <v/>
      </c>
      <c r="G347" s="14">
        <f>IF($A347="","",IF(INDEX('潜水記録'!$F$5:$F$3004,$AS347)="","",INDEX('潜水記録'!$F$5:$F$3004,$AS347)))</f>
        <v/>
      </c>
      <c r="H347" s="14">
        <f>IF($A347="","",IF(INDEX('潜水記録'!$G$5:$G$3004,$AS347)="","",INDEX('潜水記録'!$G$5:$G$3004,$AS347)))</f>
        <v/>
      </c>
      <c r="I347" s="14">
        <f>IF($A347="","",IF(INDEX('潜水記録'!$H$5:$H$3004,$AS347)="","",INDEX('潜水記録'!$H$5:$H$3004,$AS347)))</f>
        <v/>
      </c>
      <c r="J347" s="14">
        <f>IF($A347="","",IF(INDEX('潜水記録'!$I$5:$I$3004,$AS347)="","",INDEX('潜水記録'!$I$5:$I$3004,$AS347)))</f>
        <v/>
      </c>
      <c r="K347" s="14">
        <f>IF($A347="","",IF(INDEX('潜水記録'!$J$5:$J$3004,$AS347)="","",INDEX('潜水記録'!$J$5:$J$3004,$AS347)))</f>
        <v/>
      </c>
      <c r="L347" s="14">
        <f>IF($A347="","",IF(INDEX('潜水記録'!$K$5:$K$3004,$AS347)="","",INDEX('潜水記録'!$K$5:$K$3004,$AS347)))</f>
        <v/>
      </c>
      <c r="M347" s="14">
        <f>IF($A347="","",IF(INDEX('潜水記録'!$L$5:$L$3004,$AS347)="","",INDEX('潜水記録'!$L$5:$L$3004,$AS347)))</f>
        <v/>
      </c>
      <c r="N347" s="14">
        <f>IF($A347="","",IF(INDEX('潜水記録'!$M$5:$M$3004,$AS347)="","",INDEX('潜水記録'!$M$5:$M$3004,$AS347)))</f>
        <v/>
      </c>
      <c r="O347" s="14">
        <f>IF($A347="","",IF(INDEX('潜水記録'!$N$5:$N$3004,$AS347)="","",INDEX('潜水記録'!$N$5:$N$3004,$AS347)))</f>
        <v/>
      </c>
      <c r="P347" s="14">
        <f>IF($A347="","",IF(INDEX('潜水記録'!$O$5:$O$3004,$AS347)="","",INDEX('潜水記録'!$O$5:$O$3004,$AS347)))</f>
        <v/>
      </c>
      <c r="Q347" s="14">
        <f>IF($A347="","",IF(INDEX('潜水記録'!$P$5:$P$3004,$AS347)="","",INDEX('潜水記録'!$P$5:$P$3004,$AS347)))</f>
        <v/>
      </c>
      <c r="R347" s="14">
        <f>IF($A347="","",IF(INDEX('潜水記録'!$Q$5:$Q$3004,$AS347)="","",INDEX('潜水記録'!$Q$5:$Q$3004,$AS347)))</f>
        <v/>
      </c>
      <c r="S347" s="14">
        <f>IF($A347="","",IF(INDEX('潜水記録'!$R$5:$R$3004,$AS347)="","",INDEX('潜水記録'!$R$5:$R$3004,$AS347)))</f>
        <v/>
      </c>
      <c r="T347" s="14">
        <f>IF($A347="","",IF(INDEX('潜水記録'!$S$5:$S$3004,$AS347)="","",INDEX('潜水記録'!$S$5:$S$3004,$AS347)))</f>
        <v/>
      </c>
      <c r="U347" s="14">
        <f>IF($A347="","",IF(INDEX('潜水記録'!$T$5:$T$3004,$AS347)="","",INDEX('潜水記録'!$T$5:$T$3004,$AS347)))</f>
        <v/>
      </c>
      <c r="V347" s="46">
        <f>IF($A347="","",IF(INDEX('潜水記録'!$U$5:$U$3004,$AS347)="","",INDEX('潜水記録'!$U$5:$U$3004,$AS347)))</f>
        <v/>
      </c>
      <c r="W347" s="46">
        <f>IF($A347="","",IF(INDEX('潜水記録'!$V$5:$V$3004,$AS347)="","",INDEX('潜水記録'!$V$5:$V$3004,$AS347)))</f>
        <v/>
      </c>
      <c r="X347" s="14">
        <f>IF($A347="","",IF(INDEX('潜水記録'!$W$5:$W$3004,$AS347)="","",INDEX('潜水記録'!$W$5:$W$3004,$AS347)))</f>
        <v/>
      </c>
      <c r="Y347" s="14">
        <f>IF($A347="","",IF(INDEX('潜水記録'!$X$5:$X$3004,$AS347)="","",INDEX('潜水記録'!$X$5:$X$3004,$AS347)))</f>
        <v/>
      </c>
      <c r="Z347" s="14">
        <f>IF($A347="","",IF(INDEX('潜水記録'!$Y$5:$Y$3004,$AS347)="","",INDEX('潜水記録'!$Y$5:$Y$3004,$AS347)))</f>
        <v/>
      </c>
      <c r="AA347" s="14">
        <f>IF($A347="","",IF(INDEX('潜水記録'!$Z$5:$Z$3004,$AS347)="","",INDEX('潜水記録'!$Z$5:$Z$3004,$AS347)))</f>
        <v/>
      </c>
      <c r="AB347" s="14">
        <f>IF($A347="","",IF(INDEX('潜水記録'!$AA$5:$AA$3004,$AS347)="","",INDEX('潜水記録'!$AA$5:$AA$3004,$AS347)))</f>
        <v/>
      </c>
      <c r="AC347" s="14">
        <f>IF($A347="","",IF(INDEX('潜水記録'!$AB$5:$AB$3004,$AS347)="","",INDEX('潜水記録'!$AB$5:$AB$3004,$AS347)))</f>
        <v/>
      </c>
      <c r="AD347" s="14">
        <f>IF($A347="","",IF(INDEX('潜水記録'!$AC$5:$AC$3004,$AS347)="","",INDEX('潜水記録'!$AC$5:$AC$3004,$AS347)))</f>
        <v/>
      </c>
      <c r="AE347" s="14">
        <f>IF($A347="","",IF(INDEX('潜水記録'!$AD$5:$AD$3004,$AS347)="","",INDEX('潜水記録'!$AD$5:$AD$3004,$AS347)))</f>
        <v/>
      </c>
      <c r="AF347" s="14">
        <f>IF($A347="","",IF(INDEX('潜水記録'!$AE$5:$AE$3004,$AS347)="","",INDEX('潜水記録'!$AE$5:$AE$3004,$AS347)))</f>
        <v/>
      </c>
      <c r="AG347" s="14">
        <f>IF($A347="","",IF(INDEX('潜水記録'!$AL$5:$AL$3004,$AS347)="","",INDEX('潜水記録'!$AL$5:$AL$3004,$AS347)))</f>
        <v/>
      </c>
      <c r="AH347" s="14">
        <f>IF($A347="","",IF(INDEX('潜水記録'!$AM$5:$AM$3004,$AS347)="","",INDEX('潜水記録'!$AM$5:$AM$3004,$AS347)))</f>
        <v/>
      </c>
      <c r="AI347" s="46">
        <f>IF($A347="","",IF(INDEX('潜水記録'!$AN$5:$AN$3004,$AS347)="","",INDEX('潜水記録'!$AN$5:$AN$3004,$AS347)))</f>
        <v/>
      </c>
      <c r="AJ347" s="14">
        <f>IF($A347="","",IF(INDEX('潜水記録'!$AO$5:$AO$3004,$AS347)="","",INDEX('潜水記録'!$AO$5:$AO$3004,$AS347)))</f>
        <v/>
      </c>
      <c r="AK347" s="14">
        <f>IF($A347="","",IF(INDEX('潜水記録'!$AP$5:$AP$3004,$AS347)="","",INDEX('潜水記録'!$AP$5:$AP$3004,$AS347)))</f>
        <v/>
      </c>
      <c r="AL347" s="14">
        <f>IF($A347="","",IF(INDEX('潜水記録'!$AQ$5:$AQ$3004,$AS347)="","",INDEX('潜水記録'!$AQ$5:$AQ$3004,$AS347)))</f>
        <v/>
      </c>
      <c r="AM347" s="14">
        <f>IF($A347="","",IF(INDEX('潜水記録'!$AR$5:$AR$3004,$AS347)="","",INDEX('潜水記録'!$AR$5:$AR$3004,$AS347)))</f>
        <v/>
      </c>
      <c r="AN347" s="14">
        <f>IF($A347="","",IF(INDEX('潜水記録'!$AS$5:$AS$3004,$AS347)="","",INDEX('潜水記録'!$AS$5:$AS$3004,$AS347)))</f>
        <v/>
      </c>
      <c r="AO347" s="14">
        <f>IF($A347="","",IF(INDEX('潜水記録'!$AT$5:$AT$3004,$AS347)="","",INDEX('潜水記録'!$AT$5:$AT$3004,$AS347)))</f>
        <v/>
      </c>
      <c r="AP347" s="14">
        <f>IF($A347="","",IF(INDEX('潜水記録'!$AU$5:$AU$3004,$AS347)="","",INDEX('潜水記録'!$AU$5:$AU$3004,$AS347)))</f>
        <v/>
      </c>
      <c r="AQ347" s="14">
        <f>IF($A347="","",IF(INDEX('潜水記録'!$AV$5:$AV$3004,$AS347)="","",INDEX('潜水記録'!$AV$5:$AV$3004,$AS347)))</f>
        <v/>
      </c>
      <c r="AR347" s="14">
        <f>IF($A347="","",IF(INDEX('潜水記録'!$AW$5:$AW$3004,$AS347)="","",INDEX('潜水記録'!$AW$5:$AW$3004,$AS347)))</f>
        <v/>
      </c>
      <c r="AS347" s="20">
        <f>IF($A347="","",MATCH($A347,'潜水記録'!$AI$5:$AI$3004,0))</f>
        <v/>
      </c>
    </row>
    <row r="348">
      <c r="A348" s="14">
        <f>IF(338&lt;=$C$8,338,"")</f>
        <v/>
      </c>
      <c r="B348" s="16">
        <f>IF($A348="","",IF(INDEX('潜水記録'!$A$5:$A$3004,$AS348)="","",INDEX('潜水記録'!$A$5:$A$3004,$AS348)))</f>
        <v/>
      </c>
      <c r="C348" s="14">
        <f>IF($A348="","",IF(INDEX('潜水記録'!$B$5:$B$3004,$AS348)="","",INDEX('潜水記録'!$B$5:$B$3004,$AS348)))</f>
        <v/>
      </c>
      <c r="D348" s="14">
        <f>IF($A348="","",IF(INDEX('潜水記録'!$C$5:$C$3004,$AS348)="","",INDEX('潜水記録'!$C$5:$C$3004,$AS348)))</f>
        <v/>
      </c>
      <c r="E348" s="14">
        <f>IF($A348="","",IF(INDEX('潜水記録'!$D$5:$D$3004,$AS348)="","",INDEX('潜水記録'!$D$5:$D$3004,$AS348)))</f>
        <v/>
      </c>
      <c r="F348" s="14">
        <f>IF($A348="","",IF(INDEX('潜水記録'!$E$5:$E$3004,$AS348)="","",INDEX('潜水記録'!$E$5:$E$3004,$AS348)))</f>
        <v/>
      </c>
      <c r="G348" s="14">
        <f>IF($A348="","",IF(INDEX('潜水記録'!$F$5:$F$3004,$AS348)="","",INDEX('潜水記録'!$F$5:$F$3004,$AS348)))</f>
        <v/>
      </c>
      <c r="H348" s="14">
        <f>IF($A348="","",IF(INDEX('潜水記録'!$G$5:$G$3004,$AS348)="","",INDEX('潜水記録'!$G$5:$G$3004,$AS348)))</f>
        <v/>
      </c>
      <c r="I348" s="14">
        <f>IF($A348="","",IF(INDEX('潜水記録'!$H$5:$H$3004,$AS348)="","",INDEX('潜水記録'!$H$5:$H$3004,$AS348)))</f>
        <v/>
      </c>
      <c r="J348" s="14">
        <f>IF($A348="","",IF(INDEX('潜水記録'!$I$5:$I$3004,$AS348)="","",INDEX('潜水記録'!$I$5:$I$3004,$AS348)))</f>
        <v/>
      </c>
      <c r="K348" s="14">
        <f>IF($A348="","",IF(INDEX('潜水記録'!$J$5:$J$3004,$AS348)="","",INDEX('潜水記録'!$J$5:$J$3004,$AS348)))</f>
        <v/>
      </c>
      <c r="L348" s="14">
        <f>IF($A348="","",IF(INDEX('潜水記録'!$K$5:$K$3004,$AS348)="","",INDEX('潜水記録'!$K$5:$K$3004,$AS348)))</f>
        <v/>
      </c>
      <c r="M348" s="14">
        <f>IF($A348="","",IF(INDEX('潜水記録'!$L$5:$L$3004,$AS348)="","",INDEX('潜水記録'!$L$5:$L$3004,$AS348)))</f>
        <v/>
      </c>
      <c r="N348" s="14">
        <f>IF($A348="","",IF(INDEX('潜水記録'!$M$5:$M$3004,$AS348)="","",INDEX('潜水記録'!$M$5:$M$3004,$AS348)))</f>
        <v/>
      </c>
      <c r="O348" s="14">
        <f>IF($A348="","",IF(INDEX('潜水記録'!$N$5:$N$3004,$AS348)="","",INDEX('潜水記録'!$N$5:$N$3004,$AS348)))</f>
        <v/>
      </c>
      <c r="P348" s="14">
        <f>IF($A348="","",IF(INDEX('潜水記録'!$O$5:$O$3004,$AS348)="","",INDEX('潜水記録'!$O$5:$O$3004,$AS348)))</f>
        <v/>
      </c>
      <c r="Q348" s="14">
        <f>IF($A348="","",IF(INDEX('潜水記録'!$P$5:$P$3004,$AS348)="","",INDEX('潜水記録'!$P$5:$P$3004,$AS348)))</f>
        <v/>
      </c>
      <c r="R348" s="14">
        <f>IF($A348="","",IF(INDEX('潜水記録'!$Q$5:$Q$3004,$AS348)="","",INDEX('潜水記録'!$Q$5:$Q$3004,$AS348)))</f>
        <v/>
      </c>
      <c r="S348" s="14">
        <f>IF($A348="","",IF(INDEX('潜水記録'!$R$5:$R$3004,$AS348)="","",INDEX('潜水記録'!$R$5:$R$3004,$AS348)))</f>
        <v/>
      </c>
      <c r="T348" s="14">
        <f>IF($A348="","",IF(INDEX('潜水記録'!$S$5:$S$3004,$AS348)="","",INDEX('潜水記録'!$S$5:$S$3004,$AS348)))</f>
        <v/>
      </c>
      <c r="U348" s="14">
        <f>IF($A348="","",IF(INDEX('潜水記録'!$T$5:$T$3004,$AS348)="","",INDEX('潜水記録'!$T$5:$T$3004,$AS348)))</f>
        <v/>
      </c>
      <c r="V348" s="46">
        <f>IF($A348="","",IF(INDEX('潜水記録'!$U$5:$U$3004,$AS348)="","",INDEX('潜水記録'!$U$5:$U$3004,$AS348)))</f>
        <v/>
      </c>
      <c r="W348" s="46">
        <f>IF($A348="","",IF(INDEX('潜水記録'!$V$5:$V$3004,$AS348)="","",INDEX('潜水記録'!$V$5:$V$3004,$AS348)))</f>
        <v/>
      </c>
      <c r="X348" s="14">
        <f>IF($A348="","",IF(INDEX('潜水記録'!$W$5:$W$3004,$AS348)="","",INDEX('潜水記録'!$W$5:$W$3004,$AS348)))</f>
        <v/>
      </c>
      <c r="Y348" s="14">
        <f>IF($A348="","",IF(INDEX('潜水記録'!$X$5:$X$3004,$AS348)="","",INDEX('潜水記録'!$X$5:$X$3004,$AS348)))</f>
        <v/>
      </c>
      <c r="Z348" s="14">
        <f>IF($A348="","",IF(INDEX('潜水記録'!$Y$5:$Y$3004,$AS348)="","",INDEX('潜水記録'!$Y$5:$Y$3004,$AS348)))</f>
        <v/>
      </c>
      <c r="AA348" s="14">
        <f>IF($A348="","",IF(INDEX('潜水記録'!$Z$5:$Z$3004,$AS348)="","",INDEX('潜水記録'!$Z$5:$Z$3004,$AS348)))</f>
        <v/>
      </c>
      <c r="AB348" s="14">
        <f>IF($A348="","",IF(INDEX('潜水記録'!$AA$5:$AA$3004,$AS348)="","",INDEX('潜水記録'!$AA$5:$AA$3004,$AS348)))</f>
        <v/>
      </c>
      <c r="AC348" s="14">
        <f>IF($A348="","",IF(INDEX('潜水記録'!$AB$5:$AB$3004,$AS348)="","",INDEX('潜水記録'!$AB$5:$AB$3004,$AS348)))</f>
        <v/>
      </c>
      <c r="AD348" s="14">
        <f>IF($A348="","",IF(INDEX('潜水記録'!$AC$5:$AC$3004,$AS348)="","",INDEX('潜水記録'!$AC$5:$AC$3004,$AS348)))</f>
        <v/>
      </c>
      <c r="AE348" s="14">
        <f>IF($A348="","",IF(INDEX('潜水記録'!$AD$5:$AD$3004,$AS348)="","",INDEX('潜水記録'!$AD$5:$AD$3004,$AS348)))</f>
        <v/>
      </c>
      <c r="AF348" s="14">
        <f>IF($A348="","",IF(INDEX('潜水記録'!$AE$5:$AE$3004,$AS348)="","",INDEX('潜水記録'!$AE$5:$AE$3004,$AS348)))</f>
        <v/>
      </c>
      <c r="AG348" s="14">
        <f>IF($A348="","",IF(INDEX('潜水記録'!$AL$5:$AL$3004,$AS348)="","",INDEX('潜水記録'!$AL$5:$AL$3004,$AS348)))</f>
        <v/>
      </c>
      <c r="AH348" s="14">
        <f>IF($A348="","",IF(INDEX('潜水記録'!$AM$5:$AM$3004,$AS348)="","",INDEX('潜水記録'!$AM$5:$AM$3004,$AS348)))</f>
        <v/>
      </c>
      <c r="AI348" s="46">
        <f>IF($A348="","",IF(INDEX('潜水記録'!$AN$5:$AN$3004,$AS348)="","",INDEX('潜水記録'!$AN$5:$AN$3004,$AS348)))</f>
        <v/>
      </c>
      <c r="AJ348" s="14">
        <f>IF($A348="","",IF(INDEX('潜水記録'!$AO$5:$AO$3004,$AS348)="","",INDEX('潜水記録'!$AO$5:$AO$3004,$AS348)))</f>
        <v/>
      </c>
      <c r="AK348" s="14">
        <f>IF($A348="","",IF(INDEX('潜水記録'!$AP$5:$AP$3004,$AS348)="","",INDEX('潜水記録'!$AP$5:$AP$3004,$AS348)))</f>
        <v/>
      </c>
      <c r="AL348" s="14">
        <f>IF($A348="","",IF(INDEX('潜水記録'!$AQ$5:$AQ$3004,$AS348)="","",INDEX('潜水記録'!$AQ$5:$AQ$3004,$AS348)))</f>
        <v/>
      </c>
      <c r="AM348" s="14">
        <f>IF($A348="","",IF(INDEX('潜水記録'!$AR$5:$AR$3004,$AS348)="","",INDEX('潜水記録'!$AR$5:$AR$3004,$AS348)))</f>
        <v/>
      </c>
      <c r="AN348" s="14">
        <f>IF($A348="","",IF(INDEX('潜水記録'!$AS$5:$AS$3004,$AS348)="","",INDEX('潜水記録'!$AS$5:$AS$3004,$AS348)))</f>
        <v/>
      </c>
      <c r="AO348" s="14">
        <f>IF($A348="","",IF(INDEX('潜水記録'!$AT$5:$AT$3004,$AS348)="","",INDEX('潜水記録'!$AT$5:$AT$3004,$AS348)))</f>
        <v/>
      </c>
      <c r="AP348" s="14">
        <f>IF($A348="","",IF(INDEX('潜水記録'!$AU$5:$AU$3004,$AS348)="","",INDEX('潜水記録'!$AU$5:$AU$3004,$AS348)))</f>
        <v/>
      </c>
      <c r="AQ348" s="14">
        <f>IF($A348="","",IF(INDEX('潜水記録'!$AV$5:$AV$3004,$AS348)="","",INDEX('潜水記録'!$AV$5:$AV$3004,$AS348)))</f>
        <v/>
      </c>
      <c r="AR348" s="14">
        <f>IF($A348="","",IF(INDEX('潜水記録'!$AW$5:$AW$3004,$AS348)="","",INDEX('潜水記録'!$AW$5:$AW$3004,$AS348)))</f>
        <v/>
      </c>
      <c r="AS348" s="20">
        <f>IF($A348="","",MATCH($A348,'潜水記録'!$AI$5:$AI$3004,0))</f>
        <v/>
      </c>
    </row>
    <row r="349">
      <c r="A349" s="14">
        <f>IF(339&lt;=$C$8,339,"")</f>
        <v/>
      </c>
      <c r="B349" s="16">
        <f>IF($A349="","",IF(INDEX('潜水記録'!$A$5:$A$3004,$AS349)="","",INDEX('潜水記録'!$A$5:$A$3004,$AS349)))</f>
        <v/>
      </c>
      <c r="C349" s="14">
        <f>IF($A349="","",IF(INDEX('潜水記録'!$B$5:$B$3004,$AS349)="","",INDEX('潜水記録'!$B$5:$B$3004,$AS349)))</f>
        <v/>
      </c>
      <c r="D349" s="14">
        <f>IF($A349="","",IF(INDEX('潜水記録'!$C$5:$C$3004,$AS349)="","",INDEX('潜水記録'!$C$5:$C$3004,$AS349)))</f>
        <v/>
      </c>
      <c r="E349" s="14">
        <f>IF($A349="","",IF(INDEX('潜水記録'!$D$5:$D$3004,$AS349)="","",INDEX('潜水記録'!$D$5:$D$3004,$AS349)))</f>
        <v/>
      </c>
      <c r="F349" s="14">
        <f>IF($A349="","",IF(INDEX('潜水記録'!$E$5:$E$3004,$AS349)="","",INDEX('潜水記録'!$E$5:$E$3004,$AS349)))</f>
        <v/>
      </c>
      <c r="G349" s="14">
        <f>IF($A349="","",IF(INDEX('潜水記録'!$F$5:$F$3004,$AS349)="","",INDEX('潜水記録'!$F$5:$F$3004,$AS349)))</f>
        <v/>
      </c>
      <c r="H349" s="14">
        <f>IF($A349="","",IF(INDEX('潜水記録'!$G$5:$G$3004,$AS349)="","",INDEX('潜水記録'!$G$5:$G$3004,$AS349)))</f>
        <v/>
      </c>
      <c r="I349" s="14">
        <f>IF($A349="","",IF(INDEX('潜水記録'!$H$5:$H$3004,$AS349)="","",INDEX('潜水記録'!$H$5:$H$3004,$AS349)))</f>
        <v/>
      </c>
      <c r="J349" s="14">
        <f>IF($A349="","",IF(INDEX('潜水記録'!$I$5:$I$3004,$AS349)="","",INDEX('潜水記録'!$I$5:$I$3004,$AS349)))</f>
        <v/>
      </c>
      <c r="K349" s="14">
        <f>IF($A349="","",IF(INDEX('潜水記録'!$J$5:$J$3004,$AS349)="","",INDEX('潜水記録'!$J$5:$J$3004,$AS349)))</f>
        <v/>
      </c>
      <c r="L349" s="14">
        <f>IF($A349="","",IF(INDEX('潜水記録'!$K$5:$K$3004,$AS349)="","",INDEX('潜水記録'!$K$5:$K$3004,$AS349)))</f>
        <v/>
      </c>
      <c r="M349" s="14">
        <f>IF($A349="","",IF(INDEX('潜水記録'!$L$5:$L$3004,$AS349)="","",INDEX('潜水記録'!$L$5:$L$3004,$AS349)))</f>
        <v/>
      </c>
      <c r="N349" s="14">
        <f>IF($A349="","",IF(INDEX('潜水記録'!$M$5:$M$3004,$AS349)="","",INDEX('潜水記録'!$M$5:$M$3004,$AS349)))</f>
        <v/>
      </c>
      <c r="O349" s="14">
        <f>IF($A349="","",IF(INDEX('潜水記録'!$N$5:$N$3004,$AS349)="","",INDEX('潜水記録'!$N$5:$N$3004,$AS349)))</f>
        <v/>
      </c>
      <c r="P349" s="14">
        <f>IF($A349="","",IF(INDEX('潜水記録'!$O$5:$O$3004,$AS349)="","",INDEX('潜水記録'!$O$5:$O$3004,$AS349)))</f>
        <v/>
      </c>
      <c r="Q349" s="14">
        <f>IF($A349="","",IF(INDEX('潜水記録'!$P$5:$P$3004,$AS349)="","",INDEX('潜水記録'!$P$5:$P$3004,$AS349)))</f>
        <v/>
      </c>
      <c r="R349" s="14">
        <f>IF($A349="","",IF(INDEX('潜水記録'!$Q$5:$Q$3004,$AS349)="","",INDEX('潜水記録'!$Q$5:$Q$3004,$AS349)))</f>
        <v/>
      </c>
      <c r="S349" s="14">
        <f>IF($A349="","",IF(INDEX('潜水記録'!$R$5:$R$3004,$AS349)="","",INDEX('潜水記録'!$R$5:$R$3004,$AS349)))</f>
        <v/>
      </c>
      <c r="T349" s="14">
        <f>IF($A349="","",IF(INDEX('潜水記録'!$S$5:$S$3004,$AS349)="","",INDEX('潜水記録'!$S$5:$S$3004,$AS349)))</f>
        <v/>
      </c>
      <c r="U349" s="14">
        <f>IF($A349="","",IF(INDEX('潜水記録'!$T$5:$T$3004,$AS349)="","",INDEX('潜水記録'!$T$5:$T$3004,$AS349)))</f>
        <v/>
      </c>
      <c r="V349" s="46">
        <f>IF($A349="","",IF(INDEX('潜水記録'!$U$5:$U$3004,$AS349)="","",INDEX('潜水記録'!$U$5:$U$3004,$AS349)))</f>
        <v/>
      </c>
      <c r="W349" s="46">
        <f>IF($A349="","",IF(INDEX('潜水記録'!$V$5:$V$3004,$AS349)="","",INDEX('潜水記録'!$V$5:$V$3004,$AS349)))</f>
        <v/>
      </c>
      <c r="X349" s="14">
        <f>IF($A349="","",IF(INDEX('潜水記録'!$W$5:$W$3004,$AS349)="","",INDEX('潜水記録'!$W$5:$W$3004,$AS349)))</f>
        <v/>
      </c>
      <c r="Y349" s="14">
        <f>IF($A349="","",IF(INDEX('潜水記録'!$X$5:$X$3004,$AS349)="","",INDEX('潜水記録'!$X$5:$X$3004,$AS349)))</f>
        <v/>
      </c>
      <c r="Z349" s="14">
        <f>IF($A349="","",IF(INDEX('潜水記録'!$Y$5:$Y$3004,$AS349)="","",INDEX('潜水記録'!$Y$5:$Y$3004,$AS349)))</f>
        <v/>
      </c>
      <c r="AA349" s="14">
        <f>IF($A349="","",IF(INDEX('潜水記録'!$Z$5:$Z$3004,$AS349)="","",INDEX('潜水記録'!$Z$5:$Z$3004,$AS349)))</f>
        <v/>
      </c>
      <c r="AB349" s="14">
        <f>IF($A349="","",IF(INDEX('潜水記録'!$AA$5:$AA$3004,$AS349)="","",INDEX('潜水記録'!$AA$5:$AA$3004,$AS349)))</f>
        <v/>
      </c>
      <c r="AC349" s="14">
        <f>IF($A349="","",IF(INDEX('潜水記録'!$AB$5:$AB$3004,$AS349)="","",INDEX('潜水記録'!$AB$5:$AB$3004,$AS349)))</f>
        <v/>
      </c>
      <c r="AD349" s="14">
        <f>IF($A349="","",IF(INDEX('潜水記録'!$AC$5:$AC$3004,$AS349)="","",INDEX('潜水記録'!$AC$5:$AC$3004,$AS349)))</f>
        <v/>
      </c>
      <c r="AE349" s="14">
        <f>IF($A349="","",IF(INDEX('潜水記録'!$AD$5:$AD$3004,$AS349)="","",INDEX('潜水記録'!$AD$5:$AD$3004,$AS349)))</f>
        <v/>
      </c>
      <c r="AF349" s="14">
        <f>IF($A349="","",IF(INDEX('潜水記録'!$AE$5:$AE$3004,$AS349)="","",INDEX('潜水記録'!$AE$5:$AE$3004,$AS349)))</f>
        <v/>
      </c>
      <c r="AG349" s="14">
        <f>IF($A349="","",IF(INDEX('潜水記録'!$AL$5:$AL$3004,$AS349)="","",INDEX('潜水記録'!$AL$5:$AL$3004,$AS349)))</f>
        <v/>
      </c>
      <c r="AH349" s="14">
        <f>IF($A349="","",IF(INDEX('潜水記録'!$AM$5:$AM$3004,$AS349)="","",INDEX('潜水記録'!$AM$5:$AM$3004,$AS349)))</f>
        <v/>
      </c>
      <c r="AI349" s="46">
        <f>IF($A349="","",IF(INDEX('潜水記録'!$AN$5:$AN$3004,$AS349)="","",INDEX('潜水記録'!$AN$5:$AN$3004,$AS349)))</f>
        <v/>
      </c>
      <c r="AJ349" s="14">
        <f>IF($A349="","",IF(INDEX('潜水記録'!$AO$5:$AO$3004,$AS349)="","",INDEX('潜水記録'!$AO$5:$AO$3004,$AS349)))</f>
        <v/>
      </c>
      <c r="AK349" s="14">
        <f>IF($A349="","",IF(INDEX('潜水記録'!$AP$5:$AP$3004,$AS349)="","",INDEX('潜水記録'!$AP$5:$AP$3004,$AS349)))</f>
        <v/>
      </c>
      <c r="AL349" s="14">
        <f>IF($A349="","",IF(INDEX('潜水記録'!$AQ$5:$AQ$3004,$AS349)="","",INDEX('潜水記録'!$AQ$5:$AQ$3004,$AS349)))</f>
        <v/>
      </c>
      <c r="AM349" s="14">
        <f>IF($A349="","",IF(INDEX('潜水記録'!$AR$5:$AR$3004,$AS349)="","",INDEX('潜水記録'!$AR$5:$AR$3004,$AS349)))</f>
        <v/>
      </c>
      <c r="AN349" s="14">
        <f>IF($A349="","",IF(INDEX('潜水記録'!$AS$5:$AS$3004,$AS349)="","",INDEX('潜水記録'!$AS$5:$AS$3004,$AS349)))</f>
        <v/>
      </c>
      <c r="AO349" s="14">
        <f>IF($A349="","",IF(INDEX('潜水記録'!$AT$5:$AT$3004,$AS349)="","",INDEX('潜水記録'!$AT$5:$AT$3004,$AS349)))</f>
        <v/>
      </c>
      <c r="AP349" s="14">
        <f>IF($A349="","",IF(INDEX('潜水記録'!$AU$5:$AU$3004,$AS349)="","",INDEX('潜水記録'!$AU$5:$AU$3004,$AS349)))</f>
        <v/>
      </c>
      <c r="AQ349" s="14">
        <f>IF($A349="","",IF(INDEX('潜水記録'!$AV$5:$AV$3004,$AS349)="","",INDEX('潜水記録'!$AV$5:$AV$3004,$AS349)))</f>
        <v/>
      </c>
      <c r="AR349" s="14">
        <f>IF($A349="","",IF(INDEX('潜水記録'!$AW$5:$AW$3004,$AS349)="","",INDEX('潜水記録'!$AW$5:$AW$3004,$AS349)))</f>
        <v/>
      </c>
      <c r="AS349" s="20">
        <f>IF($A349="","",MATCH($A349,'潜水記録'!$AI$5:$AI$3004,0))</f>
        <v/>
      </c>
    </row>
    <row r="350">
      <c r="A350" s="14">
        <f>IF(340&lt;=$C$8,340,"")</f>
        <v/>
      </c>
      <c r="B350" s="16">
        <f>IF($A350="","",IF(INDEX('潜水記録'!$A$5:$A$3004,$AS350)="","",INDEX('潜水記録'!$A$5:$A$3004,$AS350)))</f>
        <v/>
      </c>
      <c r="C350" s="14">
        <f>IF($A350="","",IF(INDEX('潜水記録'!$B$5:$B$3004,$AS350)="","",INDEX('潜水記録'!$B$5:$B$3004,$AS350)))</f>
        <v/>
      </c>
      <c r="D350" s="14">
        <f>IF($A350="","",IF(INDEX('潜水記録'!$C$5:$C$3004,$AS350)="","",INDEX('潜水記録'!$C$5:$C$3004,$AS350)))</f>
        <v/>
      </c>
      <c r="E350" s="14">
        <f>IF($A350="","",IF(INDEX('潜水記録'!$D$5:$D$3004,$AS350)="","",INDEX('潜水記録'!$D$5:$D$3004,$AS350)))</f>
        <v/>
      </c>
      <c r="F350" s="14">
        <f>IF($A350="","",IF(INDEX('潜水記録'!$E$5:$E$3004,$AS350)="","",INDEX('潜水記録'!$E$5:$E$3004,$AS350)))</f>
        <v/>
      </c>
      <c r="G350" s="14">
        <f>IF($A350="","",IF(INDEX('潜水記録'!$F$5:$F$3004,$AS350)="","",INDEX('潜水記録'!$F$5:$F$3004,$AS350)))</f>
        <v/>
      </c>
      <c r="H350" s="14">
        <f>IF($A350="","",IF(INDEX('潜水記録'!$G$5:$G$3004,$AS350)="","",INDEX('潜水記録'!$G$5:$G$3004,$AS350)))</f>
        <v/>
      </c>
      <c r="I350" s="14">
        <f>IF($A350="","",IF(INDEX('潜水記録'!$H$5:$H$3004,$AS350)="","",INDEX('潜水記録'!$H$5:$H$3004,$AS350)))</f>
        <v/>
      </c>
      <c r="J350" s="14">
        <f>IF($A350="","",IF(INDEX('潜水記録'!$I$5:$I$3004,$AS350)="","",INDEX('潜水記録'!$I$5:$I$3004,$AS350)))</f>
        <v/>
      </c>
      <c r="K350" s="14">
        <f>IF($A350="","",IF(INDEX('潜水記録'!$J$5:$J$3004,$AS350)="","",INDEX('潜水記録'!$J$5:$J$3004,$AS350)))</f>
        <v/>
      </c>
      <c r="L350" s="14">
        <f>IF($A350="","",IF(INDEX('潜水記録'!$K$5:$K$3004,$AS350)="","",INDEX('潜水記録'!$K$5:$K$3004,$AS350)))</f>
        <v/>
      </c>
      <c r="M350" s="14">
        <f>IF($A350="","",IF(INDEX('潜水記録'!$L$5:$L$3004,$AS350)="","",INDEX('潜水記録'!$L$5:$L$3004,$AS350)))</f>
        <v/>
      </c>
      <c r="N350" s="14">
        <f>IF($A350="","",IF(INDEX('潜水記録'!$M$5:$M$3004,$AS350)="","",INDEX('潜水記録'!$M$5:$M$3004,$AS350)))</f>
        <v/>
      </c>
      <c r="O350" s="14">
        <f>IF($A350="","",IF(INDEX('潜水記録'!$N$5:$N$3004,$AS350)="","",INDEX('潜水記録'!$N$5:$N$3004,$AS350)))</f>
        <v/>
      </c>
      <c r="P350" s="14">
        <f>IF($A350="","",IF(INDEX('潜水記録'!$O$5:$O$3004,$AS350)="","",INDEX('潜水記録'!$O$5:$O$3004,$AS350)))</f>
        <v/>
      </c>
      <c r="Q350" s="14">
        <f>IF($A350="","",IF(INDEX('潜水記録'!$P$5:$P$3004,$AS350)="","",INDEX('潜水記録'!$P$5:$P$3004,$AS350)))</f>
        <v/>
      </c>
      <c r="R350" s="14">
        <f>IF($A350="","",IF(INDEX('潜水記録'!$Q$5:$Q$3004,$AS350)="","",INDEX('潜水記録'!$Q$5:$Q$3004,$AS350)))</f>
        <v/>
      </c>
      <c r="S350" s="14">
        <f>IF($A350="","",IF(INDEX('潜水記録'!$R$5:$R$3004,$AS350)="","",INDEX('潜水記録'!$R$5:$R$3004,$AS350)))</f>
        <v/>
      </c>
      <c r="T350" s="14">
        <f>IF($A350="","",IF(INDEX('潜水記録'!$S$5:$S$3004,$AS350)="","",INDEX('潜水記録'!$S$5:$S$3004,$AS350)))</f>
        <v/>
      </c>
      <c r="U350" s="14">
        <f>IF($A350="","",IF(INDEX('潜水記録'!$T$5:$T$3004,$AS350)="","",INDEX('潜水記録'!$T$5:$T$3004,$AS350)))</f>
        <v/>
      </c>
      <c r="V350" s="46">
        <f>IF($A350="","",IF(INDEX('潜水記録'!$U$5:$U$3004,$AS350)="","",INDEX('潜水記録'!$U$5:$U$3004,$AS350)))</f>
        <v/>
      </c>
      <c r="W350" s="46">
        <f>IF($A350="","",IF(INDEX('潜水記録'!$V$5:$V$3004,$AS350)="","",INDEX('潜水記録'!$V$5:$V$3004,$AS350)))</f>
        <v/>
      </c>
      <c r="X350" s="14">
        <f>IF($A350="","",IF(INDEX('潜水記録'!$W$5:$W$3004,$AS350)="","",INDEX('潜水記録'!$W$5:$W$3004,$AS350)))</f>
        <v/>
      </c>
      <c r="Y350" s="14">
        <f>IF($A350="","",IF(INDEX('潜水記録'!$X$5:$X$3004,$AS350)="","",INDEX('潜水記録'!$X$5:$X$3004,$AS350)))</f>
        <v/>
      </c>
      <c r="Z350" s="14">
        <f>IF($A350="","",IF(INDEX('潜水記録'!$Y$5:$Y$3004,$AS350)="","",INDEX('潜水記録'!$Y$5:$Y$3004,$AS350)))</f>
        <v/>
      </c>
      <c r="AA350" s="14">
        <f>IF($A350="","",IF(INDEX('潜水記録'!$Z$5:$Z$3004,$AS350)="","",INDEX('潜水記録'!$Z$5:$Z$3004,$AS350)))</f>
        <v/>
      </c>
      <c r="AB350" s="14">
        <f>IF($A350="","",IF(INDEX('潜水記録'!$AA$5:$AA$3004,$AS350)="","",INDEX('潜水記録'!$AA$5:$AA$3004,$AS350)))</f>
        <v/>
      </c>
      <c r="AC350" s="14">
        <f>IF($A350="","",IF(INDEX('潜水記録'!$AB$5:$AB$3004,$AS350)="","",INDEX('潜水記録'!$AB$5:$AB$3004,$AS350)))</f>
        <v/>
      </c>
      <c r="AD350" s="14">
        <f>IF($A350="","",IF(INDEX('潜水記録'!$AC$5:$AC$3004,$AS350)="","",INDEX('潜水記録'!$AC$5:$AC$3004,$AS350)))</f>
        <v/>
      </c>
      <c r="AE350" s="14">
        <f>IF($A350="","",IF(INDEX('潜水記録'!$AD$5:$AD$3004,$AS350)="","",INDEX('潜水記録'!$AD$5:$AD$3004,$AS350)))</f>
        <v/>
      </c>
      <c r="AF350" s="14">
        <f>IF($A350="","",IF(INDEX('潜水記録'!$AE$5:$AE$3004,$AS350)="","",INDEX('潜水記録'!$AE$5:$AE$3004,$AS350)))</f>
        <v/>
      </c>
      <c r="AG350" s="14">
        <f>IF($A350="","",IF(INDEX('潜水記録'!$AL$5:$AL$3004,$AS350)="","",INDEX('潜水記録'!$AL$5:$AL$3004,$AS350)))</f>
        <v/>
      </c>
      <c r="AH350" s="14">
        <f>IF($A350="","",IF(INDEX('潜水記録'!$AM$5:$AM$3004,$AS350)="","",INDEX('潜水記録'!$AM$5:$AM$3004,$AS350)))</f>
        <v/>
      </c>
      <c r="AI350" s="46">
        <f>IF($A350="","",IF(INDEX('潜水記録'!$AN$5:$AN$3004,$AS350)="","",INDEX('潜水記録'!$AN$5:$AN$3004,$AS350)))</f>
        <v/>
      </c>
      <c r="AJ350" s="14">
        <f>IF($A350="","",IF(INDEX('潜水記録'!$AO$5:$AO$3004,$AS350)="","",INDEX('潜水記録'!$AO$5:$AO$3004,$AS350)))</f>
        <v/>
      </c>
      <c r="AK350" s="14">
        <f>IF($A350="","",IF(INDEX('潜水記録'!$AP$5:$AP$3004,$AS350)="","",INDEX('潜水記録'!$AP$5:$AP$3004,$AS350)))</f>
        <v/>
      </c>
      <c r="AL350" s="14">
        <f>IF($A350="","",IF(INDEX('潜水記録'!$AQ$5:$AQ$3004,$AS350)="","",INDEX('潜水記録'!$AQ$5:$AQ$3004,$AS350)))</f>
        <v/>
      </c>
      <c r="AM350" s="14">
        <f>IF($A350="","",IF(INDEX('潜水記録'!$AR$5:$AR$3004,$AS350)="","",INDEX('潜水記録'!$AR$5:$AR$3004,$AS350)))</f>
        <v/>
      </c>
      <c r="AN350" s="14">
        <f>IF($A350="","",IF(INDEX('潜水記録'!$AS$5:$AS$3004,$AS350)="","",INDEX('潜水記録'!$AS$5:$AS$3004,$AS350)))</f>
        <v/>
      </c>
      <c r="AO350" s="14">
        <f>IF($A350="","",IF(INDEX('潜水記録'!$AT$5:$AT$3004,$AS350)="","",INDEX('潜水記録'!$AT$5:$AT$3004,$AS350)))</f>
        <v/>
      </c>
      <c r="AP350" s="14">
        <f>IF($A350="","",IF(INDEX('潜水記録'!$AU$5:$AU$3004,$AS350)="","",INDEX('潜水記録'!$AU$5:$AU$3004,$AS350)))</f>
        <v/>
      </c>
      <c r="AQ350" s="14">
        <f>IF($A350="","",IF(INDEX('潜水記録'!$AV$5:$AV$3004,$AS350)="","",INDEX('潜水記録'!$AV$5:$AV$3004,$AS350)))</f>
        <v/>
      </c>
      <c r="AR350" s="14">
        <f>IF($A350="","",IF(INDEX('潜水記録'!$AW$5:$AW$3004,$AS350)="","",INDEX('潜水記録'!$AW$5:$AW$3004,$AS350)))</f>
        <v/>
      </c>
      <c r="AS350" s="20">
        <f>IF($A350="","",MATCH($A350,'潜水記録'!$AI$5:$AI$3004,0))</f>
        <v/>
      </c>
    </row>
    <row r="351">
      <c r="A351" s="14">
        <f>IF(341&lt;=$C$8,341,"")</f>
        <v/>
      </c>
      <c r="B351" s="16">
        <f>IF($A351="","",IF(INDEX('潜水記録'!$A$5:$A$3004,$AS351)="","",INDEX('潜水記録'!$A$5:$A$3004,$AS351)))</f>
        <v/>
      </c>
      <c r="C351" s="14">
        <f>IF($A351="","",IF(INDEX('潜水記録'!$B$5:$B$3004,$AS351)="","",INDEX('潜水記録'!$B$5:$B$3004,$AS351)))</f>
        <v/>
      </c>
      <c r="D351" s="14">
        <f>IF($A351="","",IF(INDEX('潜水記録'!$C$5:$C$3004,$AS351)="","",INDEX('潜水記録'!$C$5:$C$3004,$AS351)))</f>
        <v/>
      </c>
      <c r="E351" s="14">
        <f>IF($A351="","",IF(INDEX('潜水記録'!$D$5:$D$3004,$AS351)="","",INDEX('潜水記録'!$D$5:$D$3004,$AS351)))</f>
        <v/>
      </c>
      <c r="F351" s="14">
        <f>IF($A351="","",IF(INDEX('潜水記録'!$E$5:$E$3004,$AS351)="","",INDEX('潜水記録'!$E$5:$E$3004,$AS351)))</f>
        <v/>
      </c>
      <c r="G351" s="14">
        <f>IF($A351="","",IF(INDEX('潜水記録'!$F$5:$F$3004,$AS351)="","",INDEX('潜水記録'!$F$5:$F$3004,$AS351)))</f>
        <v/>
      </c>
      <c r="H351" s="14">
        <f>IF($A351="","",IF(INDEX('潜水記録'!$G$5:$G$3004,$AS351)="","",INDEX('潜水記録'!$G$5:$G$3004,$AS351)))</f>
        <v/>
      </c>
      <c r="I351" s="14">
        <f>IF($A351="","",IF(INDEX('潜水記録'!$H$5:$H$3004,$AS351)="","",INDEX('潜水記録'!$H$5:$H$3004,$AS351)))</f>
        <v/>
      </c>
      <c r="J351" s="14">
        <f>IF($A351="","",IF(INDEX('潜水記録'!$I$5:$I$3004,$AS351)="","",INDEX('潜水記録'!$I$5:$I$3004,$AS351)))</f>
        <v/>
      </c>
      <c r="K351" s="14">
        <f>IF($A351="","",IF(INDEX('潜水記録'!$J$5:$J$3004,$AS351)="","",INDEX('潜水記録'!$J$5:$J$3004,$AS351)))</f>
        <v/>
      </c>
      <c r="L351" s="14">
        <f>IF($A351="","",IF(INDEX('潜水記録'!$K$5:$K$3004,$AS351)="","",INDEX('潜水記録'!$K$5:$K$3004,$AS351)))</f>
        <v/>
      </c>
      <c r="M351" s="14">
        <f>IF($A351="","",IF(INDEX('潜水記録'!$L$5:$L$3004,$AS351)="","",INDEX('潜水記録'!$L$5:$L$3004,$AS351)))</f>
        <v/>
      </c>
      <c r="N351" s="14">
        <f>IF($A351="","",IF(INDEX('潜水記録'!$M$5:$M$3004,$AS351)="","",INDEX('潜水記録'!$M$5:$M$3004,$AS351)))</f>
        <v/>
      </c>
      <c r="O351" s="14">
        <f>IF($A351="","",IF(INDEX('潜水記録'!$N$5:$N$3004,$AS351)="","",INDEX('潜水記録'!$N$5:$N$3004,$AS351)))</f>
        <v/>
      </c>
      <c r="P351" s="14">
        <f>IF($A351="","",IF(INDEX('潜水記録'!$O$5:$O$3004,$AS351)="","",INDEX('潜水記録'!$O$5:$O$3004,$AS351)))</f>
        <v/>
      </c>
      <c r="Q351" s="14">
        <f>IF($A351="","",IF(INDEX('潜水記録'!$P$5:$P$3004,$AS351)="","",INDEX('潜水記録'!$P$5:$P$3004,$AS351)))</f>
        <v/>
      </c>
      <c r="R351" s="14">
        <f>IF($A351="","",IF(INDEX('潜水記録'!$Q$5:$Q$3004,$AS351)="","",INDEX('潜水記録'!$Q$5:$Q$3004,$AS351)))</f>
        <v/>
      </c>
      <c r="S351" s="14">
        <f>IF($A351="","",IF(INDEX('潜水記録'!$R$5:$R$3004,$AS351)="","",INDEX('潜水記録'!$R$5:$R$3004,$AS351)))</f>
        <v/>
      </c>
      <c r="T351" s="14">
        <f>IF($A351="","",IF(INDEX('潜水記録'!$S$5:$S$3004,$AS351)="","",INDEX('潜水記録'!$S$5:$S$3004,$AS351)))</f>
        <v/>
      </c>
      <c r="U351" s="14">
        <f>IF($A351="","",IF(INDEX('潜水記録'!$T$5:$T$3004,$AS351)="","",INDEX('潜水記録'!$T$5:$T$3004,$AS351)))</f>
        <v/>
      </c>
      <c r="V351" s="46">
        <f>IF($A351="","",IF(INDEX('潜水記録'!$U$5:$U$3004,$AS351)="","",INDEX('潜水記録'!$U$5:$U$3004,$AS351)))</f>
        <v/>
      </c>
      <c r="W351" s="46">
        <f>IF($A351="","",IF(INDEX('潜水記録'!$V$5:$V$3004,$AS351)="","",INDEX('潜水記録'!$V$5:$V$3004,$AS351)))</f>
        <v/>
      </c>
      <c r="X351" s="14">
        <f>IF($A351="","",IF(INDEX('潜水記録'!$W$5:$W$3004,$AS351)="","",INDEX('潜水記録'!$W$5:$W$3004,$AS351)))</f>
        <v/>
      </c>
      <c r="Y351" s="14">
        <f>IF($A351="","",IF(INDEX('潜水記録'!$X$5:$X$3004,$AS351)="","",INDEX('潜水記録'!$X$5:$X$3004,$AS351)))</f>
        <v/>
      </c>
      <c r="Z351" s="14">
        <f>IF($A351="","",IF(INDEX('潜水記録'!$Y$5:$Y$3004,$AS351)="","",INDEX('潜水記録'!$Y$5:$Y$3004,$AS351)))</f>
        <v/>
      </c>
      <c r="AA351" s="14">
        <f>IF($A351="","",IF(INDEX('潜水記録'!$Z$5:$Z$3004,$AS351)="","",INDEX('潜水記録'!$Z$5:$Z$3004,$AS351)))</f>
        <v/>
      </c>
      <c r="AB351" s="14">
        <f>IF($A351="","",IF(INDEX('潜水記録'!$AA$5:$AA$3004,$AS351)="","",INDEX('潜水記録'!$AA$5:$AA$3004,$AS351)))</f>
        <v/>
      </c>
      <c r="AC351" s="14">
        <f>IF($A351="","",IF(INDEX('潜水記録'!$AB$5:$AB$3004,$AS351)="","",INDEX('潜水記録'!$AB$5:$AB$3004,$AS351)))</f>
        <v/>
      </c>
      <c r="AD351" s="14">
        <f>IF($A351="","",IF(INDEX('潜水記録'!$AC$5:$AC$3004,$AS351)="","",INDEX('潜水記録'!$AC$5:$AC$3004,$AS351)))</f>
        <v/>
      </c>
      <c r="AE351" s="14">
        <f>IF($A351="","",IF(INDEX('潜水記録'!$AD$5:$AD$3004,$AS351)="","",INDEX('潜水記録'!$AD$5:$AD$3004,$AS351)))</f>
        <v/>
      </c>
      <c r="AF351" s="14">
        <f>IF($A351="","",IF(INDEX('潜水記録'!$AE$5:$AE$3004,$AS351)="","",INDEX('潜水記録'!$AE$5:$AE$3004,$AS351)))</f>
        <v/>
      </c>
      <c r="AG351" s="14">
        <f>IF($A351="","",IF(INDEX('潜水記録'!$AL$5:$AL$3004,$AS351)="","",INDEX('潜水記録'!$AL$5:$AL$3004,$AS351)))</f>
        <v/>
      </c>
      <c r="AH351" s="14">
        <f>IF($A351="","",IF(INDEX('潜水記録'!$AM$5:$AM$3004,$AS351)="","",INDEX('潜水記録'!$AM$5:$AM$3004,$AS351)))</f>
        <v/>
      </c>
      <c r="AI351" s="46">
        <f>IF($A351="","",IF(INDEX('潜水記録'!$AN$5:$AN$3004,$AS351)="","",INDEX('潜水記録'!$AN$5:$AN$3004,$AS351)))</f>
        <v/>
      </c>
      <c r="AJ351" s="14">
        <f>IF($A351="","",IF(INDEX('潜水記録'!$AO$5:$AO$3004,$AS351)="","",INDEX('潜水記録'!$AO$5:$AO$3004,$AS351)))</f>
        <v/>
      </c>
      <c r="AK351" s="14">
        <f>IF($A351="","",IF(INDEX('潜水記録'!$AP$5:$AP$3004,$AS351)="","",INDEX('潜水記録'!$AP$5:$AP$3004,$AS351)))</f>
        <v/>
      </c>
      <c r="AL351" s="14">
        <f>IF($A351="","",IF(INDEX('潜水記録'!$AQ$5:$AQ$3004,$AS351)="","",INDEX('潜水記録'!$AQ$5:$AQ$3004,$AS351)))</f>
        <v/>
      </c>
      <c r="AM351" s="14">
        <f>IF($A351="","",IF(INDEX('潜水記録'!$AR$5:$AR$3004,$AS351)="","",INDEX('潜水記録'!$AR$5:$AR$3004,$AS351)))</f>
        <v/>
      </c>
      <c r="AN351" s="14">
        <f>IF($A351="","",IF(INDEX('潜水記録'!$AS$5:$AS$3004,$AS351)="","",INDEX('潜水記録'!$AS$5:$AS$3004,$AS351)))</f>
        <v/>
      </c>
      <c r="AO351" s="14">
        <f>IF($A351="","",IF(INDEX('潜水記録'!$AT$5:$AT$3004,$AS351)="","",INDEX('潜水記録'!$AT$5:$AT$3004,$AS351)))</f>
        <v/>
      </c>
      <c r="AP351" s="14">
        <f>IF($A351="","",IF(INDEX('潜水記録'!$AU$5:$AU$3004,$AS351)="","",INDEX('潜水記録'!$AU$5:$AU$3004,$AS351)))</f>
        <v/>
      </c>
      <c r="AQ351" s="14">
        <f>IF($A351="","",IF(INDEX('潜水記録'!$AV$5:$AV$3004,$AS351)="","",INDEX('潜水記録'!$AV$5:$AV$3004,$AS351)))</f>
        <v/>
      </c>
      <c r="AR351" s="14">
        <f>IF($A351="","",IF(INDEX('潜水記録'!$AW$5:$AW$3004,$AS351)="","",INDEX('潜水記録'!$AW$5:$AW$3004,$AS351)))</f>
        <v/>
      </c>
      <c r="AS351" s="20">
        <f>IF($A351="","",MATCH($A351,'潜水記録'!$AI$5:$AI$3004,0))</f>
        <v/>
      </c>
    </row>
    <row r="352">
      <c r="A352" s="14">
        <f>IF(342&lt;=$C$8,342,"")</f>
        <v/>
      </c>
      <c r="B352" s="16">
        <f>IF($A352="","",IF(INDEX('潜水記録'!$A$5:$A$3004,$AS352)="","",INDEX('潜水記録'!$A$5:$A$3004,$AS352)))</f>
        <v/>
      </c>
      <c r="C352" s="14">
        <f>IF($A352="","",IF(INDEX('潜水記録'!$B$5:$B$3004,$AS352)="","",INDEX('潜水記録'!$B$5:$B$3004,$AS352)))</f>
        <v/>
      </c>
      <c r="D352" s="14">
        <f>IF($A352="","",IF(INDEX('潜水記録'!$C$5:$C$3004,$AS352)="","",INDEX('潜水記録'!$C$5:$C$3004,$AS352)))</f>
        <v/>
      </c>
      <c r="E352" s="14">
        <f>IF($A352="","",IF(INDEX('潜水記録'!$D$5:$D$3004,$AS352)="","",INDEX('潜水記録'!$D$5:$D$3004,$AS352)))</f>
        <v/>
      </c>
      <c r="F352" s="14">
        <f>IF($A352="","",IF(INDEX('潜水記録'!$E$5:$E$3004,$AS352)="","",INDEX('潜水記録'!$E$5:$E$3004,$AS352)))</f>
        <v/>
      </c>
      <c r="G352" s="14">
        <f>IF($A352="","",IF(INDEX('潜水記録'!$F$5:$F$3004,$AS352)="","",INDEX('潜水記録'!$F$5:$F$3004,$AS352)))</f>
        <v/>
      </c>
      <c r="H352" s="14">
        <f>IF($A352="","",IF(INDEX('潜水記録'!$G$5:$G$3004,$AS352)="","",INDEX('潜水記録'!$G$5:$G$3004,$AS352)))</f>
        <v/>
      </c>
      <c r="I352" s="14">
        <f>IF($A352="","",IF(INDEX('潜水記録'!$H$5:$H$3004,$AS352)="","",INDEX('潜水記録'!$H$5:$H$3004,$AS352)))</f>
        <v/>
      </c>
      <c r="J352" s="14">
        <f>IF($A352="","",IF(INDEX('潜水記録'!$I$5:$I$3004,$AS352)="","",INDEX('潜水記録'!$I$5:$I$3004,$AS352)))</f>
        <v/>
      </c>
      <c r="K352" s="14">
        <f>IF($A352="","",IF(INDEX('潜水記録'!$J$5:$J$3004,$AS352)="","",INDEX('潜水記録'!$J$5:$J$3004,$AS352)))</f>
        <v/>
      </c>
      <c r="L352" s="14">
        <f>IF($A352="","",IF(INDEX('潜水記録'!$K$5:$K$3004,$AS352)="","",INDEX('潜水記録'!$K$5:$K$3004,$AS352)))</f>
        <v/>
      </c>
      <c r="M352" s="14">
        <f>IF($A352="","",IF(INDEX('潜水記録'!$L$5:$L$3004,$AS352)="","",INDEX('潜水記録'!$L$5:$L$3004,$AS352)))</f>
        <v/>
      </c>
      <c r="N352" s="14">
        <f>IF($A352="","",IF(INDEX('潜水記録'!$M$5:$M$3004,$AS352)="","",INDEX('潜水記録'!$M$5:$M$3004,$AS352)))</f>
        <v/>
      </c>
      <c r="O352" s="14">
        <f>IF($A352="","",IF(INDEX('潜水記録'!$N$5:$N$3004,$AS352)="","",INDEX('潜水記録'!$N$5:$N$3004,$AS352)))</f>
        <v/>
      </c>
      <c r="P352" s="14">
        <f>IF($A352="","",IF(INDEX('潜水記録'!$O$5:$O$3004,$AS352)="","",INDEX('潜水記録'!$O$5:$O$3004,$AS352)))</f>
        <v/>
      </c>
      <c r="Q352" s="14">
        <f>IF($A352="","",IF(INDEX('潜水記録'!$P$5:$P$3004,$AS352)="","",INDEX('潜水記録'!$P$5:$P$3004,$AS352)))</f>
        <v/>
      </c>
      <c r="R352" s="14">
        <f>IF($A352="","",IF(INDEX('潜水記録'!$Q$5:$Q$3004,$AS352)="","",INDEX('潜水記録'!$Q$5:$Q$3004,$AS352)))</f>
        <v/>
      </c>
      <c r="S352" s="14">
        <f>IF($A352="","",IF(INDEX('潜水記録'!$R$5:$R$3004,$AS352)="","",INDEX('潜水記録'!$R$5:$R$3004,$AS352)))</f>
        <v/>
      </c>
      <c r="T352" s="14">
        <f>IF($A352="","",IF(INDEX('潜水記録'!$S$5:$S$3004,$AS352)="","",INDEX('潜水記録'!$S$5:$S$3004,$AS352)))</f>
        <v/>
      </c>
      <c r="U352" s="14">
        <f>IF($A352="","",IF(INDEX('潜水記録'!$T$5:$T$3004,$AS352)="","",INDEX('潜水記録'!$T$5:$T$3004,$AS352)))</f>
        <v/>
      </c>
      <c r="V352" s="46">
        <f>IF($A352="","",IF(INDEX('潜水記録'!$U$5:$U$3004,$AS352)="","",INDEX('潜水記録'!$U$5:$U$3004,$AS352)))</f>
        <v/>
      </c>
      <c r="W352" s="46">
        <f>IF($A352="","",IF(INDEX('潜水記録'!$V$5:$V$3004,$AS352)="","",INDEX('潜水記録'!$V$5:$V$3004,$AS352)))</f>
        <v/>
      </c>
      <c r="X352" s="14">
        <f>IF($A352="","",IF(INDEX('潜水記録'!$W$5:$W$3004,$AS352)="","",INDEX('潜水記録'!$W$5:$W$3004,$AS352)))</f>
        <v/>
      </c>
      <c r="Y352" s="14">
        <f>IF($A352="","",IF(INDEX('潜水記録'!$X$5:$X$3004,$AS352)="","",INDEX('潜水記録'!$X$5:$X$3004,$AS352)))</f>
        <v/>
      </c>
      <c r="Z352" s="14">
        <f>IF($A352="","",IF(INDEX('潜水記録'!$Y$5:$Y$3004,$AS352)="","",INDEX('潜水記録'!$Y$5:$Y$3004,$AS352)))</f>
        <v/>
      </c>
      <c r="AA352" s="14">
        <f>IF($A352="","",IF(INDEX('潜水記録'!$Z$5:$Z$3004,$AS352)="","",INDEX('潜水記録'!$Z$5:$Z$3004,$AS352)))</f>
        <v/>
      </c>
      <c r="AB352" s="14">
        <f>IF($A352="","",IF(INDEX('潜水記録'!$AA$5:$AA$3004,$AS352)="","",INDEX('潜水記録'!$AA$5:$AA$3004,$AS352)))</f>
        <v/>
      </c>
      <c r="AC352" s="14">
        <f>IF($A352="","",IF(INDEX('潜水記録'!$AB$5:$AB$3004,$AS352)="","",INDEX('潜水記録'!$AB$5:$AB$3004,$AS352)))</f>
        <v/>
      </c>
      <c r="AD352" s="14">
        <f>IF($A352="","",IF(INDEX('潜水記録'!$AC$5:$AC$3004,$AS352)="","",INDEX('潜水記録'!$AC$5:$AC$3004,$AS352)))</f>
        <v/>
      </c>
      <c r="AE352" s="14">
        <f>IF($A352="","",IF(INDEX('潜水記録'!$AD$5:$AD$3004,$AS352)="","",INDEX('潜水記録'!$AD$5:$AD$3004,$AS352)))</f>
        <v/>
      </c>
      <c r="AF352" s="14">
        <f>IF($A352="","",IF(INDEX('潜水記録'!$AE$5:$AE$3004,$AS352)="","",INDEX('潜水記録'!$AE$5:$AE$3004,$AS352)))</f>
        <v/>
      </c>
      <c r="AG352" s="14">
        <f>IF($A352="","",IF(INDEX('潜水記録'!$AL$5:$AL$3004,$AS352)="","",INDEX('潜水記録'!$AL$5:$AL$3004,$AS352)))</f>
        <v/>
      </c>
      <c r="AH352" s="14">
        <f>IF($A352="","",IF(INDEX('潜水記録'!$AM$5:$AM$3004,$AS352)="","",INDEX('潜水記録'!$AM$5:$AM$3004,$AS352)))</f>
        <v/>
      </c>
      <c r="AI352" s="46">
        <f>IF($A352="","",IF(INDEX('潜水記録'!$AN$5:$AN$3004,$AS352)="","",INDEX('潜水記録'!$AN$5:$AN$3004,$AS352)))</f>
        <v/>
      </c>
      <c r="AJ352" s="14">
        <f>IF($A352="","",IF(INDEX('潜水記録'!$AO$5:$AO$3004,$AS352)="","",INDEX('潜水記録'!$AO$5:$AO$3004,$AS352)))</f>
        <v/>
      </c>
      <c r="AK352" s="14">
        <f>IF($A352="","",IF(INDEX('潜水記録'!$AP$5:$AP$3004,$AS352)="","",INDEX('潜水記録'!$AP$5:$AP$3004,$AS352)))</f>
        <v/>
      </c>
      <c r="AL352" s="14">
        <f>IF($A352="","",IF(INDEX('潜水記録'!$AQ$5:$AQ$3004,$AS352)="","",INDEX('潜水記録'!$AQ$5:$AQ$3004,$AS352)))</f>
        <v/>
      </c>
      <c r="AM352" s="14">
        <f>IF($A352="","",IF(INDEX('潜水記録'!$AR$5:$AR$3004,$AS352)="","",INDEX('潜水記録'!$AR$5:$AR$3004,$AS352)))</f>
        <v/>
      </c>
      <c r="AN352" s="14">
        <f>IF($A352="","",IF(INDEX('潜水記録'!$AS$5:$AS$3004,$AS352)="","",INDEX('潜水記録'!$AS$5:$AS$3004,$AS352)))</f>
        <v/>
      </c>
      <c r="AO352" s="14">
        <f>IF($A352="","",IF(INDEX('潜水記録'!$AT$5:$AT$3004,$AS352)="","",INDEX('潜水記録'!$AT$5:$AT$3004,$AS352)))</f>
        <v/>
      </c>
      <c r="AP352" s="14">
        <f>IF($A352="","",IF(INDEX('潜水記録'!$AU$5:$AU$3004,$AS352)="","",INDEX('潜水記録'!$AU$5:$AU$3004,$AS352)))</f>
        <v/>
      </c>
      <c r="AQ352" s="14">
        <f>IF($A352="","",IF(INDEX('潜水記録'!$AV$5:$AV$3004,$AS352)="","",INDEX('潜水記録'!$AV$5:$AV$3004,$AS352)))</f>
        <v/>
      </c>
      <c r="AR352" s="14">
        <f>IF($A352="","",IF(INDEX('潜水記録'!$AW$5:$AW$3004,$AS352)="","",INDEX('潜水記録'!$AW$5:$AW$3004,$AS352)))</f>
        <v/>
      </c>
      <c r="AS352" s="20">
        <f>IF($A352="","",MATCH($A352,'潜水記録'!$AI$5:$AI$3004,0))</f>
        <v/>
      </c>
    </row>
    <row r="353">
      <c r="A353" s="14">
        <f>IF(343&lt;=$C$8,343,"")</f>
        <v/>
      </c>
      <c r="B353" s="16">
        <f>IF($A353="","",IF(INDEX('潜水記録'!$A$5:$A$3004,$AS353)="","",INDEX('潜水記録'!$A$5:$A$3004,$AS353)))</f>
        <v/>
      </c>
      <c r="C353" s="14">
        <f>IF($A353="","",IF(INDEX('潜水記録'!$B$5:$B$3004,$AS353)="","",INDEX('潜水記録'!$B$5:$B$3004,$AS353)))</f>
        <v/>
      </c>
      <c r="D353" s="14">
        <f>IF($A353="","",IF(INDEX('潜水記録'!$C$5:$C$3004,$AS353)="","",INDEX('潜水記録'!$C$5:$C$3004,$AS353)))</f>
        <v/>
      </c>
      <c r="E353" s="14">
        <f>IF($A353="","",IF(INDEX('潜水記録'!$D$5:$D$3004,$AS353)="","",INDEX('潜水記録'!$D$5:$D$3004,$AS353)))</f>
        <v/>
      </c>
      <c r="F353" s="14">
        <f>IF($A353="","",IF(INDEX('潜水記録'!$E$5:$E$3004,$AS353)="","",INDEX('潜水記録'!$E$5:$E$3004,$AS353)))</f>
        <v/>
      </c>
      <c r="G353" s="14">
        <f>IF($A353="","",IF(INDEX('潜水記録'!$F$5:$F$3004,$AS353)="","",INDEX('潜水記録'!$F$5:$F$3004,$AS353)))</f>
        <v/>
      </c>
      <c r="H353" s="14">
        <f>IF($A353="","",IF(INDEX('潜水記録'!$G$5:$G$3004,$AS353)="","",INDEX('潜水記録'!$G$5:$G$3004,$AS353)))</f>
        <v/>
      </c>
      <c r="I353" s="14">
        <f>IF($A353="","",IF(INDEX('潜水記録'!$H$5:$H$3004,$AS353)="","",INDEX('潜水記録'!$H$5:$H$3004,$AS353)))</f>
        <v/>
      </c>
      <c r="J353" s="14">
        <f>IF($A353="","",IF(INDEX('潜水記録'!$I$5:$I$3004,$AS353)="","",INDEX('潜水記録'!$I$5:$I$3004,$AS353)))</f>
        <v/>
      </c>
      <c r="K353" s="14">
        <f>IF($A353="","",IF(INDEX('潜水記録'!$J$5:$J$3004,$AS353)="","",INDEX('潜水記録'!$J$5:$J$3004,$AS353)))</f>
        <v/>
      </c>
      <c r="L353" s="14">
        <f>IF($A353="","",IF(INDEX('潜水記録'!$K$5:$K$3004,$AS353)="","",INDEX('潜水記録'!$K$5:$K$3004,$AS353)))</f>
        <v/>
      </c>
      <c r="M353" s="14">
        <f>IF($A353="","",IF(INDEX('潜水記録'!$L$5:$L$3004,$AS353)="","",INDEX('潜水記録'!$L$5:$L$3004,$AS353)))</f>
        <v/>
      </c>
      <c r="N353" s="14">
        <f>IF($A353="","",IF(INDEX('潜水記録'!$M$5:$M$3004,$AS353)="","",INDEX('潜水記録'!$M$5:$M$3004,$AS353)))</f>
        <v/>
      </c>
      <c r="O353" s="14">
        <f>IF($A353="","",IF(INDEX('潜水記録'!$N$5:$N$3004,$AS353)="","",INDEX('潜水記録'!$N$5:$N$3004,$AS353)))</f>
        <v/>
      </c>
      <c r="P353" s="14">
        <f>IF($A353="","",IF(INDEX('潜水記録'!$O$5:$O$3004,$AS353)="","",INDEX('潜水記録'!$O$5:$O$3004,$AS353)))</f>
        <v/>
      </c>
      <c r="Q353" s="14">
        <f>IF($A353="","",IF(INDEX('潜水記録'!$P$5:$P$3004,$AS353)="","",INDEX('潜水記録'!$P$5:$P$3004,$AS353)))</f>
        <v/>
      </c>
      <c r="R353" s="14">
        <f>IF($A353="","",IF(INDEX('潜水記録'!$Q$5:$Q$3004,$AS353)="","",INDEX('潜水記録'!$Q$5:$Q$3004,$AS353)))</f>
        <v/>
      </c>
      <c r="S353" s="14">
        <f>IF($A353="","",IF(INDEX('潜水記録'!$R$5:$R$3004,$AS353)="","",INDEX('潜水記録'!$R$5:$R$3004,$AS353)))</f>
        <v/>
      </c>
      <c r="T353" s="14">
        <f>IF($A353="","",IF(INDEX('潜水記録'!$S$5:$S$3004,$AS353)="","",INDEX('潜水記録'!$S$5:$S$3004,$AS353)))</f>
        <v/>
      </c>
      <c r="U353" s="14">
        <f>IF($A353="","",IF(INDEX('潜水記録'!$T$5:$T$3004,$AS353)="","",INDEX('潜水記録'!$T$5:$T$3004,$AS353)))</f>
        <v/>
      </c>
      <c r="V353" s="46">
        <f>IF($A353="","",IF(INDEX('潜水記録'!$U$5:$U$3004,$AS353)="","",INDEX('潜水記録'!$U$5:$U$3004,$AS353)))</f>
        <v/>
      </c>
      <c r="W353" s="46">
        <f>IF($A353="","",IF(INDEX('潜水記録'!$V$5:$V$3004,$AS353)="","",INDEX('潜水記録'!$V$5:$V$3004,$AS353)))</f>
        <v/>
      </c>
      <c r="X353" s="14">
        <f>IF($A353="","",IF(INDEX('潜水記録'!$W$5:$W$3004,$AS353)="","",INDEX('潜水記録'!$W$5:$W$3004,$AS353)))</f>
        <v/>
      </c>
      <c r="Y353" s="14">
        <f>IF($A353="","",IF(INDEX('潜水記録'!$X$5:$X$3004,$AS353)="","",INDEX('潜水記録'!$X$5:$X$3004,$AS353)))</f>
        <v/>
      </c>
      <c r="Z353" s="14">
        <f>IF($A353="","",IF(INDEX('潜水記録'!$Y$5:$Y$3004,$AS353)="","",INDEX('潜水記録'!$Y$5:$Y$3004,$AS353)))</f>
        <v/>
      </c>
      <c r="AA353" s="14">
        <f>IF($A353="","",IF(INDEX('潜水記録'!$Z$5:$Z$3004,$AS353)="","",INDEX('潜水記録'!$Z$5:$Z$3004,$AS353)))</f>
        <v/>
      </c>
      <c r="AB353" s="14">
        <f>IF($A353="","",IF(INDEX('潜水記録'!$AA$5:$AA$3004,$AS353)="","",INDEX('潜水記録'!$AA$5:$AA$3004,$AS353)))</f>
        <v/>
      </c>
      <c r="AC353" s="14">
        <f>IF($A353="","",IF(INDEX('潜水記録'!$AB$5:$AB$3004,$AS353)="","",INDEX('潜水記録'!$AB$5:$AB$3004,$AS353)))</f>
        <v/>
      </c>
      <c r="AD353" s="14">
        <f>IF($A353="","",IF(INDEX('潜水記録'!$AC$5:$AC$3004,$AS353)="","",INDEX('潜水記録'!$AC$5:$AC$3004,$AS353)))</f>
        <v/>
      </c>
      <c r="AE353" s="14">
        <f>IF($A353="","",IF(INDEX('潜水記録'!$AD$5:$AD$3004,$AS353)="","",INDEX('潜水記録'!$AD$5:$AD$3004,$AS353)))</f>
        <v/>
      </c>
      <c r="AF353" s="14">
        <f>IF($A353="","",IF(INDEX('潜水記録'!$AE$5:$AE$3004,$AS353)="","",INDEX('潜水記録'!$AE$5:$AE$3004,$AS353)))</f>
        <v/>
      </c>
      <c r="AG353" s="14">
        <f>IF($A353="","",IF(INDEX('潜水記録'!$AL$5:$AL$3004,$AS353)="","",INDEX('潜水記録'!$AL$5:$AL$3004,$AS353)))</f>
        <v/>
      </c>
      <c r="AH353" s="14">
        <f>IF($A353="","",IF(INDEX('潜水記録'!$AM$5:$AM$3004,$AS353)="","",INDEX('潜水記録'!$AM$5:$AM$3004,$AS353)))</f>
        <v/>
      </c>
      <c r="AI353" s="46">
        <f>IF($A353="","",IF(INDEX('潜水記録'!$AN$5:$AN$3004,$AS353)="","",INDEX('潜水記録'!$AN$5:$AN$3004,$AS353)))</f>
        <v/>
      </c>
      <c r="AJ353" s="14">
        <f>IF($A353="","",IF(INDEX('潜水記録'!$AO$5:$AO$3004,$AS353)="","",INDEX('潜水記録'!$AO$5:$AO$3004,$AS353)))</f>
        <v/>
      </c>
      <c r="AK353" s="14">
        <f>IF($A353="","",IF(INDEX('潜水記録'!$AP$5:$AP$3004,$AS353)="","",INDEX('潜水記録'!$AP$5:$AP$3004,$AS353)))</f>
        <v/>
      </c>
      <c r="AL353" s="14">
        <f>IF($A353="","",IF(INDEX('潜水記録'!$AQ$5:$AQ$3004,$AS353)="","",INDEX('潜水記録'!$AQ$5:$AQ$3004,$AS353)))</f>
        <v/>
      </c>
      <c r="AM353" s="14">
        <f>IF($A353="","",IF(INDEX('潜水記録'!$AR$5:$AR$3004,$AS353)="","",INDEX('潜水記録'!$AR$5:$AR$3004,$AS353)))</f>
        <v/>
      </c>
      <c r="AN353" s="14">
        <f>IF($A353="","",IF(INDEX('潜水記録'!$AS$5:$AS$3004,$AS353)="","",INDEX('潜水記録'!$AS$5:$AS$3004,$AS353)))</f>
        <v/>
      </c>
      <c r="AO353" s="14">
        <f>IF($A353="","",IF(INDEX('潜水記録'!$AT$5:$AT$3004,$AS353)="","",INDEX('潜水記録'!$AT$5:$AT$3004,$AS353)))</f>
        <v/>
      </c>
      <c r="AP353" s="14">
        <f>IF($A353="","",IF(INDEX('潜水記録'!$AU$5:$AU$3004,$AS353)="","",INDEX('潜水記録'!$AU$5:$AU$3004,$AS353)))</f>
        <v/>
      </c>
      <c r="AQ353" s="14">
        <f>IF($A353="","",IF(INDEX('潜水記録'!$AV$5:$AV$3004,$AS353)="","",INDEX('潜水記録'!$AV$5:$AV$3004,$AS353)))</f>
        <v/>
      </c>
      <c r="AR353" s="14">
        <f>IF($A353="","",IF(INDEX('潜水記録'!$AW$5:$AW$3004,$AS353)="","",INDEX('潜水記録'!$AW$5:$AW$3004,$AS353)))</f>
        <v/>
      </c>
      <c r="AS353" s="20">
        <f>IF($A353="","",MATCH($A353,'潜水記録'!$AI$5:$AI$3004,0))</f>
        <v/>
      </c>
    </row>
    <row r="354">
      <c r="A354" s="14">
        <f>IF(344&lt;=$C$8,344,"")</f>
        <v/>
      </c>
      <c r="B354" s="16">
        <f>IF($A354="","",IF(INDEX('潜水記録'!$A$5:$A$3004,$AS354)="","",INDEX('潜水記録'!$A$5:$A$3004,$AS354)))</f>
        <v/>
      </c>
      <c r="C354" s="14">
        <f>IF($A354="","",IF(INDEX('潜水記録'!$B$5:$B$3004,$AS354)="","",INDEX('潜水記録'!$B$5:$B$3004,$AS354)))</f>
        <v/>
      </c>
      <c r="D354" s="14">
        <f>IF($A354="","",IF(INDEX('潜水記録'!$C$5:$C$3004,$AS354)="","",INDEX('潜水記録'!$C$5:$C$3004,$AS354)))</f>
        <v/>
      </c>
      <c r="E354" s="14">
        <f>IF($A354="","",IF(INDEX('潜水記録'!$D$5:$D$3004,$AS354)="","",INDEX('潜水記録'!$D$5:$D$3004,$AS354)))</f>
        <v/>
      </c>
      <c r="F354" s="14">
        <f>IF($A354="","",IF(INDEX('潜水記録'!$E$5:$E$3004,$AS354)="","",INDEX('潜水記録'!$E$5:$E$3004,$AS354)))</f>
        <v/>
      </c>
      <c r="G354" s="14">
        <f>IF($A354="","",IF(INDEX('潜水記録'!$F$5:$F$3004,$AS354)="","",INDEX('潜水記録'!$F$5:$F$3004,$AS354)))</f>
        <v/>
      </c>
      <c r="H354" s="14">
        <f>IF($A354="","",IF(INDEX('潜水記録'!$G$5:$G$3004,$AS354)="","",INDEX('潜水記録'!$G$5:$G$3004,$AS354)))</f>
        <v/>
      </c>
      <c r="I354" s="14">
        <f>IF($A354="","",IF(INDEX('潜水記録'!$H$5:$H$3004,$AS354)="","",INDEX('潜水記録'!$H$5:$H$3004,$AS354)))</f>
        <v/>
      </c>
      <c r="J354" s="14">
        <f>IF($A354="","",IF(INDEX('潜水記録'!$I$5:$I$3004,$AS354)="","",INDEX('潜水記録'!$I$5:$I$3004,$AS354)))</f>
        <v/>
      </c>
      <c r="K354" s="14">
        <f>IF($A354="","",IF(INDEX('潜水記録'!$J$5:$J$3004,$AS354)="","",INDEX('潜水記録'!$J$5:$J$3004,$AS354)))</f>
        <v/>
      </c>
      <c r="L354" s="14">
        <f>IF($A354="","",IF(INDEX('潜水記録'!$K$5:$K$3004,$AS354)="","",INDEX('潜水記録'!$K$5:$K$3004,$AS354)))</f>
        <v/>
      </c>
      <c r="M354" s="14">
        <f>IF($A354="","",IF(INDEX('潜水記録'!$L$5:$L$3004,$AS354)="","",INDEX('潜水記録'!$L$5:$L$3004,$AS354)))</f>
        <v/>
      </c>
      <c r="N354" s="14">
        <f>IF($A354="","",IF(INDEX('潜水記録'!$M$5:$M$3004,$AS354)="","",INDEX('潜水記録'!$M$5:$M$3004,$AS354)))</f>
        <v/>
      </c>
      <c r="O354" s="14">
        <f>IF($A354="","",IF(INDEX('潜水記録'!$N$5:$N$3004,$AS354)="","",INDEX('潜水記録'!$N$5:$N$3004,$AS354)))</f>
        <v/>
      </c>
      <c r="P354" s="14">
        <f>IF($A354="","",IF(INDEX('潜水記録'!$O$5:$O$3004,$AS354)="","",INDEX('潜水記録'!$O$5:$O$3004,$AS354)))</f>
        <v/>
      </c>
      <c r="Q354" s="14">
        <f>IF($A354="","",IF(INDEX('潜水記録'!$P$5:$P$3004,$AS354)="","",INDEX('潜水記録'!$P$5:$P$3004,$AS354)))</f>
        <v/>
      </c>
      <c r="R354" s="14">
        <f>IF($A354="","",IF(INDEX('潜水記録'!$Q$5:$Q$3004,$AS354)="","",INDEX('潜水記録'!$Q$5:$Q$3004,$AS354)))</f>
        <v/>
      </c>
      <c r="S354" s="14">
        <f>IF($A354="","",IF(INDEX('潜水記録'!$R$5:$R$3004,$AS354)="","",INDEX('潜水記録'!$R$5:$R$3004,$AS354)))</f>
        <v/>
      </c>
      <c r="T354" s="14">
        <f>IF($A354="","",IF(INDEX('潜水記録'!$S$5:$S$3004,$AS354)="","",INDEX('潜水記録'!$S$5:$S$3004,$AS354)))</f>
        <v/>
      </c>
      <c r="U354" s="14">
        <f>IF($A354="","",IF(INDEX('潜水記録'!$T$5:$T$3004,$AS354)="","",INDEX('潜水記録'!$T$5:$T$3004,$AS354)))</f>
        <v/>
      </c>
      <c r="V354" s="46">
        <f>IF($A354="","",IF(INDEX('潜水記録'!$U$5:$U$3004,$AS354)="","",INDEX('潜水記録'!$U$5:$U$3004,$AS354)))</f>
        <v/>
      </c>
      <c r="W354" s="46">
        <f>IF($A354="","",IF(INDEX('潜水記録'!$V$5:$V$3004,$AS354)="","",INDEX('潜水記録'!$V$5:$V$3004,$AS354)))</f>
        <v/>
      </c>
      <c r="X354" s="14">
        <f>IF($A354="","",IF(INDEX('潜水記録'!$W$5:$W$3004,$AS354)="","",INDEX('潜水記録'!$W$5:$W$3004,$AS354)))</f>
        <v/>
      </c>
      <c r="Y354" s="14">
        <f>IF($A354="","",IF(INDEX('潜水記録'!$X$5:$X$3004,$AS354)="","",INDEX('潜水記録'!$X$5:$X$3004,$AS354)))</f>
        <v/>
      </c>
      <c r="Z354" s="14">
        <f>IF($A354="","",IF(INDEX('潜水記録'!$Y$5:$Y$3004,$AS354)="","",INDEX('潜水記録'!$Y$5:$Y$3004,$AS354)))</f>
        <v/>
      </c>
      <c r="AA354" s="14">
        <f>IF($A354="","",IF(INDEX('潜水記録'!$Z$5:$Z$3004,$AS354)="","",INDEX('潜水記録'!$Z$5:$Z$3004,$AS354)))</f>
        <v/>
      </c>
      <c r="AB354" s="14">
        <f>IF($A354="","",IF(INDEX('潜水記録'!$AA$5:$AA$3004,$AS354)="","",INDEX('潜水記録'!$AA$5:$AA$3004,$AS354)))</f>
        <v/>
      </c>
      <c r="AC354" s="14">
        <f>IF($A354="","",IF(INDEX('潜水記録'!$AB$5:$AB$3004,$AS354)="","",INDEX('潜水記録'!$AB$5:$AB$3004,$AS354)))</f>
        <v/>
      </c>
      <c r="AD354" s="14">
        <f>IF($A354="","",IF(INDEX('潜水記録'!$AC$5:$AC$3004,$AS354)="","",INDEX('潜水記録'!$AC$5:$AC$3004,$AS354)))</f>
        <v/>
      </c>
      <c r="AE354" s="14">
        <f>IF($A354="","",IF(INDEX('潜水記録'!$AD$5:$AD$3004,$AS354)="","",INDEX('潜水記録'!$AD$5:$AD$3004,$AS354)))</f>
        <v/>
      </c>
      <c r="AF354" s="14">
        <f>IF($A354="","",IF(INDEX('潜水記録'!$AE$5:$AE$3004,$AS354)="","",INDEX('潜水記録'!$AE$5:$AE$3004,$AS354)))</f>
        <v/>
      </c>
      <c r="AG354" s="14">
        <f>IF($A354="","",IF(INDEX('潜水記録'!$AL$5:$AL$3004,$AS354)="","",INDEX('潜水記録'!$AL$5:$AL$3004,$AS354)))</f>
        <v/>
      </c>
      <c r="AH354" s="14">
        <f>IF($A354="","",IF(INDEX('潜水記録'!$AM$5:$AM$3004,$AS354)="","",INDEX('潜水記録'!$AM$5:$AM$3004,$AS354)))</f>
        <v/>
      </c>
      <c r="AI354" s="46">
        <f>IF($A354="","",IF(INDEX('潜水記録'!$AN$5:$AN$3004,$AS354)="","",INDEX('潜水記録'!$AN$5:$AN$3004,$AS354)))</f>
        <v/>
      </c>
      <c r="AJ354" s="14">
        <f>IF($A354="","",IF(INDEX('潜水記録'!$AO$5:$AO$3004,$AS354)="","",INDEX('潜水記録'!$AO$5:$AO$3004,$AS354)))</f>
        <v/>
      </c>
      <c r="AK354" s="14">
        <f>IF($A354="","",IF(INDEX('潜水記録'!$AP$5:$AP$3004,$AS354)="","",INDEX('潜水記録'!$AP$5:$AP$3004,$AS354)))</f>
        <v/>
      </c>
      <c r="AL354" s="14">
        <f>IF($A354="","",IF(INDEX('潜水記録'!$AQ$5:$AQ$3004,$AS354)="","",INDEX('潜水記録'!$AQ$5:$AQ$3004,$AS354)))</f>
        <v/>
      </c>
      <c r="AM354" s="14">
        <f>IF($A354="","",IF(INDEX('潜水記録'!$AR$5:$AR$3004,$AS354)="","",INDEX('潜水記録'!$AR$5:$AR$3004,$AS354)))</f>
        <v/>
      </c>
      <c r="AN354" s="14">
        <f>IF($A354="","",IF(INDEX('潜水記録'!$AS$5:$AS$3004,$AS354)="","",INDEX('潜水記録'!$AS$5:$AS$3004,$AS354)))</f>
        <v/>
      </c>
      <c r="AO354" s="14">
        <f>IF($A354="","",IF(INDEX('潜水記録'!$AT$5:$AT$3004,$AS354)="","",INDEX('潜水記録'!$AT$5:$AT$3004,$AS354)))</f>
        <v/>
      </c>
      <c r="AP354" s="14">
        <f>IF($A354="","",IF(INDEX('潜水記録'!$AU$5:$AU$3004,$AS354)="","",INDEX('潜水記録'!$AU$5:$AU$3004,$AS354)))</f>
        <v/>
      </c>
      <c r="AQ354" s="14">
        <f>IF($A354="","",IF(INDEX('潜水記録'!$AV$5:$AV$3004,$AS354)="","",INDEX('潜水記録'!$AV$5:$AV$3004,$AS354)))</f>
        <v/>
      </c>
      <c r="AR354" s="14">
        <f>IF($A354="","",IF(INDEX('潜水記録'!$AW$5:$AW$3004,$AS354)="","",INDEX('潜水記録'!$AW$5:$AW$3004,$AS354)))</f>
        <v/>
      </c>
      <c r="AS354" s="20">
        <f>IF($A354="","",MATCH($A354,'潜水記録'!$AI$5:$AI$3004,0))</f>
        <v/>
      </c>
    </row>
    <row r="355">
      <c r="A355" s="14">
        <f>IF(345&lt;=$C$8,345,"")</f>
        <v/>
      </c>
      <c r="B355" s="16">
        <f>IF($A355="","",IF(INDEX('潜水記録'!$A$5:$A$3004,$AS355)="","",INDEX('潜水記録'!$A$5:$A$3004,$AS355)))</f>
        <v/>
      </c>
      <c r="C355" s="14">
        <f>IF($A355="","",IF(INDEX('潜水記録'!$B$5:$B$3004,$AS355)="","",INDEX('潜水記録'!$B$5:$B$3004,$AS355)))</f>
        <v/>
      </c>
      <c r="D355" s="14">
        <f>IF($A355="","",IF(INDEX('潜水記録'!$C$5:$C$3004,$AS355)="","",INDEX('潜水記録'!$C$5:$C$3004,$AS355)))</f>
        <v/>
      </c>
      <c r="E355" s="14">
        <f>IF($A355="","",IF(INDEX('潜水記録'!$D$5:$D$3004,$AS355)="","",INDEX('潜水記録'!$D$5:$D$3004,$AS355)))</f>
        <v/>
      </c>
      <c r="F355" s="14">
        <f>IF($A355="","",IF(INDEX('潜水記録'!$E$5:$E$3004,$AS355)="","",INDEX('潜水記録'!$E$5:$E$3004,$AS355)))</f>
        <v/>
      </c>
      <c r="G355" s="14">
        <f>IF($A355="","",IF(INDEX('潜水記録'!$F$5:$F$3004,$AS355)="","",INDEX('潜水記録'!$F$5:$F$3004,$AS355)))</f>
        <v/>
      </c>
      <c r="H355" s="14">
        <f>IF($A355="","",IF(INDEX('潜水記録'!$G$5:$G$3004,$AS355)="","",INDEX('潜水記録'!$G$5:$G$3004,$AS355)))</f>
        <v/>
      </c>
      <c r="I355" s="14">
        <f>IF($A355="","",IF(INDEX('潜水記録'!$H$5:$H$3004,$AS355)="","",INDEX('潜水記録'!$H$5:$H$3004,$AS355)))</f>
        <v/>
      </c>
      <c r="J355" s="14">
        <f>IF($A355="","",IF(INDEX('潜水記録'!$I$5:$I$3004,$AS355)="","",INDEX('潜水記録'!$I$5:$I$3004,$AS355)))</f>
        <v/>
      </c>
      <c r="K355" s="14">
        <f>IF($A355="","",IF(INDEX('潜水記録'!$J$5:$J$3004,$AS355)="","",INDEX('潜水記録'!$J$5:$J$3004,$AS355)))</f>
        <v/>
      </c>
      <c r="L355" s="14">
        <f>IF($A355="","",IF(INDEX('潜水記録'!$K$5:$K$3004,$AS355)="","",INDEX('潜水記録'!$K$5:$K$3004,$AS355)))</f>
        <v/>
      </c>
      <c r="M355" s="14">
        <f>IF($A355="","",IF(INDEX('潜水記録'!$L$5:$L$3004,$AS355)="","",INDEX('潜水記録'!$L$5:$L$3004,$AS355)))</f>
        <v/>
      </c>
      <c r="N355" s="14">
        <f>IF($A355="","",IF(INDEX('潜水記録'!$M$5:$M$3004,$AS355)="","",INDEX('潜水記録'!$M$5:$M$3004,$AS355)))</f>
        <v/>
      </c>
      <c r="O355" s="14">
        <f>IF($A355="","",IF(INDEX('潜水記録'!$N$5:$N$3004,$AS355)="","",INDEX('潜水記録'!$N$5:$N$3004,$AS355)))</f>
        <v/>
      </c>
      <c r="P355" s="14">
        <f>IF($A355="","",IF(INDEX('潜水記録'!$O$5:$O$3004,$AS355)="","",INDEX('潜水記録'!$O$5:$O$3004,$AS355)))</f>
        <v/>
      </c>
      <c r="Q355" s="14">
        <f>IF($A355="","",IF(INDEX('潜水記録'!$P$5:$P$3004,$AS355)="","",INDEX('潜水記録'!$P$5:$P$3004,$AS355)))</f>
        <v/>
      </c>
      <c r="R355" s="14">
        <f>IF($A355="","",IF(INDEX('潜水記録'!$Q$5:$Q$3004,$AS355)="","",INDEX('潜水記録'!$Q$5:$Q$3004,$AS355)))</f>
        <v/>
      </c>
      <c r="S355" s="14">
        <f>IF($A355="","",IF(INDEX('潜水記録'!$R$5:$R$3004,$AS355)="","",INDEX('潜水記録'!$R$5:$R$3004,$AS355)))</f>
        <v/>
      </c>
      <c r="T355" s="14">
        <f>IF($A355="","",IF(INDEX('潜水記録'!$S$5:$S$3004,$AS355)="","",INDEX('潜水記録'!$S$5:$S$3004,$AS355)))</f>
        <v/>
      </c>
      <c r="U355" s="14">
        <f>IF($A355="","",IF(INDEX('潜水記録'!$T$5:$T$3004,$AS355)="","",INDEX('潜水記録'!$T$5:$T$3004,$AS355)))</f>
        <v/>
      </c>
      <c r="V355" s="46">
        <f>IF($A355="","",IF(INDEX('潜水記録'!$U$5:$U$3004,$AS355)="","",INDEX('潜水記録'!$U$5:$U$3004,$AS355)))</f>
        <v/>
      </c>
      <c r="W355" s="46">
        <f>IF($A355="","",IF(INDEX('潜水記録'!$V$5:$V$3004,$AS355)="","",INDEX('潜水記録'!$V$5:$V$3004,$AS355)))</f>
        <v/>
      </c>
      <c r="X355" s="14">
        <f>IF($A355="","",IF(INDEX('潜水記録'!$W$5:$W$3004,$AS355)="","",INDEX('潜水記録'!$W$5:$W$3004,$AS355)))</f>
        <v/>
      </c>
      <c r="Y355" s="14">
        <f>IF($A355="","",IF(INDEX('潜水記録'!$X$5:$X$3004,$AS355)="","",INDEX('潜水記録'!$X$5:$X$3004,$AS355)))</f>
        <v/>
      </c>
      <c r="Z355" s="14">
        <f>IF($A355="","",IF(INDEX('潜水記録'!$Y$5:$Y$3004,$AS355)="","",INDEX('潜水記録'!$Y$5:$Y$3004,$AS355)))</f>
        <v/>
      </c>
      <c r="AA355" s="14">
        <f>IF($A355="","",IF(INDEX('潜水記録'!$Z$5:$Z$3004,$AS355)="","",INDEX('潜水記録'!$Z$5:$Z$3004,$AS355)))</f>
        <v/>
      </c>
      <c r="AB355" s="14">
        <f>IF($A355="","",IF(INDEX('潜水記録'!$AA$5:$AA$3004,$AS355)="","",INDEX('潜水記録'!$AA$5:$AA$3004,$AS355)))</f>
        <v/>
      </c>
      <c r="AC355" s="14">
        <f>IF($A355="","",IF(INDEX('潜水記録'!$AB$5:$AB$3004,$AS355)="","",INDEX('潜水記録'!$AB$5:$AB$3004,$AS355)))</f>
        <v/>
      </c>
      <c r="AD355" s="14">
        <f>IF($A355="","",IF(INDEX('潜水記録'!$AC$5:$AC$3004,$AS355)="","",INDEX('潜水記録'!$AC$5:$AC$3004,$AS355)))</f>
        <v/>
      </c>
      <c r="AE355" s="14">
        <f>IF($A355="","",IF(INDEX('潜水記録'!$AD$5:$AD$3004,$AS355)="","",INDEX('潜水記録'!$AD$5:$AD$3004,$AS355)))</f>
        <v/>
      </c>
      <c r="AF355" s="14">
        <f>IF($A355="","",IF(INDEX('潜水記録'!$AE$5:$AE$3004,$AS355)="","",INDEX('潜水記録'!$AE$5:$AE$3004,$AS355)))</f>
        <v/>
      </c>
      <c r="AG355" s="14">
        <f>IF($A355="","",IF(INDEX('潜水記録'!$AL$5:$AL$3004,$AS355)="","",INDEX('潜水記録'!$AL$5:$AL$3004,$AS355)))</f>
        <v/>
      </c>
      <c r="AH355" s="14">
        <f>IF($A355="","",IF(INDEX('潜水記録'!$AM$5:$AM$3004,$AS355)="","",INDEX('潜水記録'!$AM$5:$AM$3004,$AS355)))</f>
        <v/>
      </c>
      <c r="AI355" s="46">
        <f>IF($A355="","",IF(INDEX('潜水記録'!$AN$5:$AN$3004,$AS355)="","",INDEX('潜水記録'!$AN$5:$AN$3004,$AS355)))</f>
        <v/>
      </c>
      <c r="AJ355" s="14">
        <f>IF($A355="","",IF(INDEX('潜水記録'!$AO$5:$AO$3004,$AS355)="","",INDEX('潜水記録'!$AO$5:$AO$3004,$AS355)))</f>
        <v/>
      </c>
      <c r="AK355" s="14">
        <f>IF($A355="","",IF(INDEX('潜水記録'!$AP$5:$AP$3004,$AS355)="","",INDEX('潜水記録'!$AP$5:$AP$3004,$AS355)))</f>
        <v/>
      </c>
      <c r="AL355" s="14">
        <f>IF($A355="","",IF(INDEX('潜水記録'!$AQ$5:$AQ$3004,$AS355)="","",INDEX('潜水記録'!$AQ$5:$AQ$3004,$AS355)))</f>
        <v/>
      </c>
      <c r="AM355" s="14">
        <f>IF($A355="","",IF(INDEX('潜水記録'!$AR$5:$AR$3004,$AS355)="","",INDEX('潜水記録'!$AR$5:$AR$3004,$AS355)))</f>
        <v/>
      </c>
      <c r="AN355" s="14">
        <f>IF($A355="","",IF(INDEX('潜水記録'!$AS$5:$AS$3004,$AS355)="","",INDEX('潜水記録'!$AS$5:$AS$3004,$AS355)))</f>
        <v/>
      </c>
      <c r="AO355" s="14">
        <f>IF($A355="","",IF(INDEX('潜水記録'!$AT$5:$AT$3004,$AS355)="","",INDEX('潜水記録'!$AT$5:$AT$3004,$AS355)))</f>
        <v/>
      </c>
      <c r="AP355" s="14">
        <f>IF($A355="","",IF(INDEX('潜水記録'!$AU$5:$AU$3004,$AS355)="","",INDEX('潜水記録'!$AU$5:$AU$3004,$AS355)))</f>
        <v/>
      </c>
      <c r="AQ355" s="14">
        <f>IF($A355="","",IF(INDEX('潜水記録'!$AV$5:$AV$3004,$AS355)="","",INDEX('潜水記録'!$AV$5:$AV$3004,$AS355)))</f>
        <v/>
      </c>
      <c r="AR355" s="14">
        <f>IF($A355="","",IF(INDEX('潜水記録'!$AW$5:$AW$3004,$AS355)="","",INDEX('潜水記録'!$AW$5:$AW$3004,$AS355)))</f>
        <v/>
      </c>
      <c r="AS355" s="20">
        <f>IF($A355="","",MATCH($A355,'潜水記録'!$AI$5:$AI$3004,0))</f>
        <v/>
      </c>
    </row>
    <row r="356">
      <c r="A356" s="14">
        <f>IF(346&lt;=$C$8,346,"")</f>
        <v/>
      </c>
      <c r="B356" s="16">
        <f>IF($A356="","",IF(INDEX('潜水記録'!$A$5:$A$3004,$AS356)="","",INDEX('潜水記録'!$A$5:$A$3004,$AS356)))</f>
        <v/>
      </c>
      <c r="C356" s="14">
        <f>IF($A356="","",IF(INDEX('潜水記録'!$B$5:$B$3004,$AS356)="","",INDEX('潜水記録'!$B$5:$B$3004,$AS356)))</f>
        <v/>
      </c>
      <c r="D356" s="14">
        <f>IF($A356="","",IF(INDEX('潜水記録'!$C$5:$C$3004,$AS356)="","",INDEX('潜水記録'!$C$5:$C$3004,$AS356)))</f>
        <v/>
      </c>
      <c r="E356" s="14">
        <f>IF($A356="","",IF(INDEX('潜水記録'!$D$5:$D$3004,$AS356)="","",INDEX('潜水記録'!$D$5:$D$3004,$AS356)))</f>
        <v/>
      </c>
      <c r="F356" s="14">
        <f>IF($A356="","",IF(INDEX('潜水記録'!$E$5:$E$3004,$AS356)="","",INDEX('潜水記録'!$E$5:$E$3004,$AS356)))</f>
        <v/>
      </c>
      <c r="G356" s="14">
        <f>IF($A356="","",IF(INDEX('潜水記録'!$F$5:$F$3004,$AS356)="","",INDEX('潜水記録'!$F$5:$F$3004,$AS356)))</f>
        <v/>
      </c>
      <c r="H356" s="14">
        <f>IF($A356="","",IF(INDEX('潜水記録'!$G$5:$G$3004,$AS356)="","",INDEX('潜水記録'!$G$5:$G$3004,$AS356)))</f>
        <v/>
      </c>
      <c r="I356" s="14">
        <f>IF($A356="","",IF(INDEX('潜水記録'!$H$5:$H$3004,$AS356)="","",INDEX('潜水記録'!$H$5:$H$3004,$AS356)))</f>
        <v/>
      </c>
      <c r="J356" s="14">
        <f>IF($A356="","",IF(INDEX('潜水記録'!$I$5:$I$3004,$AS356)="","",INDEX('潜水記録'!$I$5:$I$3004,$AS356)))</f>
        <v/>
      </c>
      <c r="K356" s="14">
        <f>IF($A356="","",IF(INDEX('潜水記録'!$J$5:$J$3004,$AS356)="","",INDEX('潜水記録'!$J$5:$J$3004,$AS356)))</f>
        <v/>
      </c>
      <c r="L356" s="14">
        <f>IF($A356="","",IF(INDEX('潜水記録'!$K$5:$K$3004,$AS356)="","",INDEX('潜水記録'!$K$5:$K$3004,$AS356)))</f>
        <v/>
      </c>
      <c r="M356" s="14">
        <f>IF($A356="","",IF(INDEX('潜水記録'!$L$5:$L$3004,$AS356)="","",INDEX('潜水記録'!$L$5:$L$3004,$AS356)))</f>
        <v/>
      </c>
      <c r="N356" s="14">
        <f>IF($A356="","",IF(INDEX('潜水記録'!$M$5:$M$3004,$AS356)="","",INDEX('潜水記録'!$M$5:$M$3004,$AS356)))</f>
        <v/>
      </c>
      <c r="O356" s="14">
        <f>IF($A356="","",IF(INDEX('潜水記録'!$N$5:$N$3004,$AS356)="","",INDEX('潜水記録'!$N$5:$N$3004,$AS356)))</f>
        <v/>
      </c>
      <c r="P356" s="14">
        <f>IF($A356="","",IF(INDEX('潜水記録'!$O$5:$O$3004,$AS356)="","",INDEX('潜水記録'!$O$5:$O$3004,$AS356)))</f>
        <v/>
      </c>
      <c r="Q356" s="14">
        <f>IF($A356="","",IF(INDEX('潜水記録'!$P$5:$P$3004,$AS356)="","",INDEX('潜水記録'!$P$5:$P$3004,$AS356)))</f>
        <v/>
      </c>
      <c r="R356" s="14">
        <f>IF($A356="","",IF(INDEX('潜水記録'!$Q$5:$Q$3004,$AS356)="","",INDEX('潜水記録'!$Q$5:$Q$3004,$AS356)))</f>
        <v/>
      </c>
      <c r="S356" s="14">
        <f>IF($A356="","",IF(INDEX('潜水記録'!$R$5:$R$3004,$AS356)="","",INDEX('潜水記録'!$R$5:$R$3004,$AS356)))</f>
        <v/>
      </c>
      <c r="T356" s="14">
        <f>IF($A356="","",IF(INDEX('潜水記録'!$S$5:$S$3004,$AS356)="","",INDEX('潜水記録'!$S$5:$S$3004,$AS356)))</f>
        <v/>
      </c>
      <c r="U356" s="14">
        <f>IF($A356="","",IF(INDEX('潜水記録'!$T$5:$T$3004,$AS356)="","",INDEX('潜水記録'!$T$5:$T$3004,$AS356)))</f>
        <v/>
      </c>
      <c r="V356" s="46">
        <f>IF($A356="","",IF(INDEX('潜水記録'!$U$5:$U$3004,$AS356)="","",INDEX('潜水記録'!$U$5:$U$3004,$AS356)))</f>
        <v/>
      </c>
      <c r="W356" s="46">
        <f>IF($A356="","",IF(INDEX('潜水記録'!$V$5:$V$3004,$AS356)="","",INDEX('潜水記録'!$V$5:$V$3004,$AS356)))</f>
        <v/>
      </c>
      <c r="X356" s="14">
        <f>IF($A356="","",IF(INDEX('潜水記録'!$W$5:$W$3004,$AS356)="","",INDEX('潜水記録'!$W$5:$W$3004,$AS356)))</f>
        <v/>
      </c>
      <c r="Y356" s="14">
        <f>IF($A356="","",IF(INDEX('潜水記録'!$X$5:$X$3004,$AS356)="","",INDEX('潜水記録'!$X$5:$X$3004,$AS356)))</f>
        <v/>
      </c>
      <c r="Z356" s="14">
        <f>IF($A356="","",IF(INDEX('潜水記録'!$Y$5:$Y$3004,$AS356)="","",INDEX('潜水記録'!$Y$5:$Y$3004,$AS356)))</f>
        <v/>
      </c>
      <c r="AA356" s="14">
        <f>IF($A356="","",IF(INDEX('潜水記録'!$Z$5:$Z$3004,$AS356)="","",INDEX('潜水記録'!$Z$5:$Z$3004,$AS356)))</f>
        <v/>
      </c>
      <c r="AB356" s="14">
        <f>IF($A356="","",IF(INDEX('潜水記録'!$AA$5:$AA$3004,$AS356)="","",INDEX('潜水記録'!$AA$5:$AA$3004,$AS356)))</f>
        <v/>
      </c>
      <c r="AC356" s="14">
        <f>IF($A356="","",IF(INDEX('潜水記録'!$AB$5:$AB$3004,$AS356)="","",INDEX('潜水記録'!$AB$5:$AB$3004,$AS356)))</f>
        <v/>
      </c>
      <c r="AD356" s="14">
        <f>IF($A356="","",IF(INDEX('潜水記録'!$AC$5:$AC$3004,$AS356)="","",INDEX('潜水記録'!$AC$5:$AC$3004,$AS356)))</f>
        <v/>
      </c>
      <c r="AE356" s="14">
        <f>IF($A356="","",IF(INDEX('潜水記録'!$AD$5:$AD$3004,$AS356)="","",INDEX('潜水記録'!$AD$5:$AD$3004,$AS356)))</f>
        <v/>
      </c>
      <c r="AF356" s="14">
        <f>IF($A356="","",IF(INDEX('潜水記録'!$AE$5:$AE$3004,$AS356)="","",INDEX('潜水記録'!$AE$5:$AE$3004,$AS356)))</f>
        <v/>
      </c>
      <c r="AG356" s="14">
        <f>IF($A356="","",IF(INDEX('潜水記録'!$AL$5:$AL$3004,$AS356)="","",INDEX('潜水記録'!$AL$5:$AL$3004,$AS356)))</f>
        <v/>
      </c>
      <c r="AH356" s="14">
        <f>IF($A356="","",IF(INDEX('潜水記録'!$AM$5:$AM$3004,$AS356)="","",INDEX('潜水記録'!$AM$5:$AM$3004,$AS356)))</f>
        <v/>
      </c>
      <c r="AI356" s="46">
        <f>IF($A356="","",IF(INDEX('潜水記録'!$AN$5:$AN$3004,$AS356)="","",INDEX('潜水記録'!$AN$5:$AN$3004,$AS356)))</f>
        <v/>
      </c>
      <c r="AJ356" s="14">
        <f>IF($A356="","",IF(INDEX('潜水記録'!$AO$5:$AO$3004,$AS356)="","",INDEX('潜水記録'!$AO$5:$AO$3004,$AS356)))</f>
        <v/>
      </c>
      <c r="AK356" s="14">
        <f>IF($A356="","",IF(INDEX('潜水記録'!$AP$5:$AP$3004,$AS356)="","",INDEX('潜水記録'!$AP$5:$AP$3004,$AS356)))</f>
        <v/>
      </c>
      <c r="AL356" s="14">
        <f>IF($A356="","",IF(INDEX('潜水記録'!$AQ$5:$AQ$3004,$AS356)="","",INDEX('潜水記録'!$AQ$5:$AQ$3004,$AS356)))</f>
        <v/>
      </c>
      <c r="AM356" s="14">
        <f>IF($A356="","",IF(INDEX('潜水記録'!$AR$5:$AR$3004,$AS356)="","",INDEX('潜水記録'!$AR$5:$AR$3004,$AS356)))</f>
        <v/>
      </c>
      <c r="AN356" s="14">
        <f>IF($A356="","",IF(INDEX('潜水記録'!$AS$5:$AS$3004,$AS356)="","",INDEX('潜水記録'!$AS$5:$AS$3004,$AS356)))</f>
        <v/>
      </c>
      <c r="AO356" s="14">
        <f>IF($A356="","",IF(INDEX('潜水記録'!$AT$5:$AT$3004,$AS356)="","",INDEX('潜水記録'!$AT$5:$AT$3004,$AS356)))</f>
        <v/>
      </c>
      <c r="AP356" s="14">
        <f>IF($A356="","",IF(INDEX('潜水記録'!$AU$5:$AU$3004,$AS356)="","",INDEX('潜水記録'!$AU$5:$AU$3004,$AS356)))</f>
        <v/>
      </c>
      <c r="AQ356" s="14">
        <f>IF($A356="","",IF(INDEX('潜水記録'!$AV$5:$AV$3004,$AS356)="","",INDEX('潜水記録'!$AV$5:$AV$3004,$AS356)))</f>
        <v/>
      </c>
      <c r="AR356" s="14">
        <f>IF($A356="","",IF(INDEX('潜水記録'!$AW$5:$AW$3004,$AS356)="","",INDEX('潜水記録'!$AW$5:$AW$3004,$AS356)))</f>
        <v/>
      </c>
      <c r="AS356" s="20">
        <f>IF($A356="","",MATCH($A356,'潜水記録'!$AI$5:$AI$3004,0))</f>
        <v/>
      </c>
    </row>
    <row r="357">
      <c r="A357" s="14">
        <f>IF(347&lt;=$C$8,347,"")</f>
        <v/>
      </c>
      <c r="B357" s="16">
        <f>IF($A357="","",IF(INDEX('潜水記録'!$A$5:$A$3004,$AS357)="","",INDEX('潜水記録'!$A$5:$A$3004,$AS357)))</f>
        <v/>
      </c>
      <c r="C357" s="14">
        <f>IF($A357="","",IF(INDEX('潜水記録'!$B$5:$B$3004,$AS357)="","",INDEX('潜水記録'!$B$5:$B$3004,$AS357)))</f>
        <v/>
      </c>
      <c r="D357" s="14">
        <f>IF($A357="","",IF(INDEX('潜水記録'!$C$5:$C$3004,$AS357)="","",INDEX('潜水記録'!$C$5:$C$3004,$AS357)))</f>
        <v/>
      </c>
      <c r="E357" s="14">
        <f>IF($A357="","",IF(INDEX('潜水記録'!$D$5:$D$3004,$AS357)="","",INDEX('潜水記録'!$D$5:$D$3004,$AS357)))</f>
        <v/>
      </c>
      <c r="F357" s="14">
        <f>IF($A357="","",IF(INDEX('潜水記録'!$E$5:$E$3004,$AS357)="","",INDEX('潜水記録'!$E$5:$E$3004,$AS357)))</f>
        <v/>
      </c>
      <c r="G357" s="14">
        <f>IF($A357="","",IF(INDEX('潜水記録'!$F$5:$F$3004,$AS357)="","",INDEX('潜水記録'!$F$5:$F$3004,$AS357)))</f>
        <v/>
      </c>
      <c r="H357" s="14">
        <f>IF($A357="","",IF(INDEX('潜水記録'!$G$5:$G$3004,$AS357)="","",INDEX('潜水記録'!$G$5:$G$3004,$AS357)))</f>
        <v/>
      </c>
      <c r="I357" s="14">
        <f>IF($A357="","",IF(INDEX('潜水記録'!$H$5:$H$3004,$AS357)="","",INDEX('潜水記録'!$H$5:$H$3004,$AS357)))</f>
        <v/>
      </c>
      <c r="J357" s="14">
        <f>IF($A357="","",IF(INDEX('潜水記録'!$I$5:$I$3004,$AS357)="","",INDEX('潜水記録'!$I$5:$I$3004,$AS357)))</f>
        <v/>
      </c>
      <c r="K357" s="14">
        <f>IF($A357="","",IF(INDEX('潜水記録'!$J$5:$J$3004,$AS357)="","",INDEX('潜水記録'!$J$5:$J$3004,$AS357)))</f>
        <v/>
      </c>
      <c r="L357" s="14">
        <f>IF($A357="","",IF(INDEX('潜水記録'!$K$5:$K$3004,$AS357)="","",INDEX('潜水記録'!$K$5:$K$3004,$AS357)))</f>
        <v/>
      </c>
      <c r="M357" s="14">
        <f>IF($A357="","",IF(INDEX('潜水記録'!$L$5:$L$3004,$AS357)="","",INDEX('潜水記録'!$L$5:$L$3004,$AS357)))</f>
        <v/>
      </c>
      <c r="N357" s="14">
        <f>IF($A357="","",IF(INDEX('潜水記録'!$M$5:$M$3004,$AS357)="","",INDEX('潜水記録'!$M$5:$M$3004,$AS357)))</f>
        <v/>
      </c>
      <c r="O357" s="14">
        <f>IF($A357="","",IF(INDEX('潜水記録'!$N$5:$N$3004,$AS357)="","",INDEX('潜水記録'!$N$5:$N$3004,$AS357)))</f>
        <v/>
      </c>
      <c r="P357" s="14">
        <f>IF($A357="","",IF(INDEX('潜水記録'!$O$5:$O$3004,$AS357)="","",INDEX('潜水記録'!$O$5:$O$3004,$AS357)))</f>
        <v/>
      </c>
      <c r="Q357" s="14">
        <f>IF($A357="","",IF(INDEX('潜水記録'!$P$5:$P$3004,$AS357)="","",INDEX('潜水記録'!$P$5:$P$3004,$AS357)))</f>
        <v/>
      </c>
      <c r="R357" s="14">
        <f>IF($A357="","",IF(INDEX('潜水記録'!$Q$5:$Q$3004,$AS357)="","",INDEX('潜水記録'!$Q$5:$Q$3004,$AS357)))</f>
        <v/>
      </c>
      <c r="S357" s="14">
        <f>IF($A357="","",IF(INDEX('潜水記録'!$R$5:$R$3004,$AS357)="","",INDEX('潜水記録'!$R$5:$R$3004,$AS357)))</f>
        <v/>
      </c>
      <c r="T357" s="14">
        <f>IF($A357="","",IF(INDEX('潜水記録'!$S$5:$S$3004,$AS357)="","",INDEX('潜水記録'!$S$5:$S$3004,$AS357)))</f>
        <v/>
      </c>
      <c r="U357" s="14">
        <f>IF($A357="","",IF(INDEX('潜水記録'!$T$5:$T$3004,$AS357)="","",INDEX('潜水記録'!$T$5:$T$3004,$AS357)))</f>
        <v/>
      </c>
      <c r="V357" s="46">
        <f>IF($A357="","",IF(INDEX('潜水記録'!$U$5:$U$3004,$AS357)="","",INDEX('潜水記録'!$U$5:$U$3004,$AS357)))</f>
        <v/>
      </c>
      <c r="W357" s="46">
        <f>IF($A357="","",IF(INDEX('潜水記録'!$V$5:$V$3004,$AS357)="","",INDEX('潜水記録'!$V$5:$V$3004,$AS357)))</f>
        <v/>
      </c>
      <c r="X357" s="14">
        <f>IF($A357="","",IF(INDEX('潜水記録'!$W$5:$W$3004,$AS357)="","",INDEX('潜水記録'!$W$5:$W$3004,$AS357)))</f>
        <v/>
      </c>
      <c r="Y357" s="14">
        <f>IF($A357="","",IF(INDEX('潜水記録'!$X$5:$X$3004,$AS357)="","",INDEX('潜水記録'!$X$5:$X$3004,$AS357)))</f>
        <v/>
      </c>
      <c r="Z357" s="14">
        <f>IF($A357="","",IF(INDEX('潜水記録'!$Y$5:$Y$3004,$AS357)="","",INDEX('潜水記録'!$Y$5:$Y$3004,$AS357)))</f>
        <v/>
      </c>
      <c r="AA357" s="14">
        <f>IF($A357="","",IF(INDEX('潜水記録'!$Z$5:$Z$3004,$AS357)="","",INDEX('潜水記録'!$Z$5:$Z$3004,$AS357)))</f>
        <v/>
      </c>
      <c r="AB357" s="14">
        <f>IF($A357="","",IF(INDEX('潜水記録'!$AA$5:$AA$3004,$AS357)="","",INDEX('潜水記録'!$AA$5:$AA$3004,$AS357)))</f>
        <v/>
      </c>
      <c r="AC357" s="14">
        <f>IF($A357="","",IF(INDEX('潜水記録'!$AB$5:$AB$3004,$AS357)="","",INDEX('潜水記録'!$AB$5:$AB$3004,$AS357)))</f>
        <v/>
      </c>
      <c r="AD357" s="14">
        <f>IF($A357="","",IF(INDEX('潜水記録'!$AC$5:$AC$3004,$AS357)="","",INDEX('潜水記録'!$AC$5:$AC$3004,$AS357)))</f>
        <v/>
      </c>
      <c r="AE357" s="14">
        <f>IF($A357="","",IF(INDEX('潜水記録'!$AD$5:$AD$3004,$AS357)="","",INDEX('潜水記録'!$AD$5:$AD$3004,$AS357)))</f>
        <v/>
      </c>
      <c r="AF357" s="14">
        <f>IF($A357="","",IF(INDEX('潜水記録'!$AE$5:$AE$3004,$AS357)="","",INDEX('潜水記録'!$AE$5:$AE$3004,$AS357)))</f>
        <v/>
      </c>
      <c r="AG357" s="14">
        <f>IF($A357="","",IF(INDEX('潜水記録'!$AL$5:$AL$3004,$AS357)="","",INDEX('潜水記録'!$AL$5:$AL$3004,$AS357)))</f>
        <v/>
      </c>
      <c r="AH357" s="14">
        <f>IF($A357="","",IF(INDEX('潜水記録'!$AM$5:$AM$3004,$AS357)="","",INDEX('潜水記録'!$AM$5:$AM$3004,$AS357)))</f>
        <v/>
      </c>
      <c r="AI357" s="46">
        <f>IF($A357="","",IF(INDEX('潜水記録'!$AN$5:$AN$3004,$AS357)="","",INDEX('潜水記録'!$AN$5:$AN$3004,$AS357)))</f>
        <v/>
      </c>
      <c r="AJ357" s="14">
        <f>IF($A357="","",IF(INDEX('潜水記録'!$AO$5:$AO$3004,$AS357)="","",INDEX('潜水記録'!$AO$5:$AO$3004,$AS357)))</f>
        <v/>
      </c>
      <c r="AK357" s="14">
        <f>IF($A357="","",IF(INDEX('潜水記録'!$AP$5:$AP$3004,$AS357)="","",INDEX('潜水記録'!$AP$5:$AP$3004,$AS357)))</f>
        <v/>
      </c>
      <c r="AL357" s="14">
        <f>IF($A357="","",IF(INDEX('潜水記録'!$AQ$5:$AQ$3004,$AS357)="","",INDEX('潜水記録'!$AQ$5:$AQ$3004,$AS357)))</f>
        <v/>
      </c>
      <c r="AM357" s="14">
        <f>IF($A357="","",IF(INDEX('潜水記録'!$AR$5:$AR$3004,$AS357)="","",INDEX('潜水記録'!$AR$5:$AR$3004,$AS357)))</f>
        <v/>
      </c>
      <c r="AN357" s="14">
        <f>IF($A357="","",IF(INDEX('潜水記録'!$AS$5:$AS$3004,$AS357)="","",INDEX('潜水記録'!$AS$5:$AS$3004,$AS357)))</f>
        <v/>
      </c>
      <c r="AO357" s="14">
        <f>IF($A357="","",IF(INDEX('潜水記録'!$AT$5:$AT$3004,$AS357)="","",INDEX('潜水記録'!$AT$5:$AT$3004,$AS357)))</f>
        <v/>
      </c>
      <c r="AP357" s="14">
        <f>IF($A357="","",IF(INDEX('潜水記録'!$AU$5:$AU$3004,$AS357)="","",INDEX('潜水記録'!$AU$5:$AU$3004,$AS357)))</f>
        <v/>
      </c>
      <c r="AQ357" s="14">
        <f>IF($A357="","",IF(INDEX('潜水記録'!$AV$5:$AV$3004,$AS357)="","",INDEX('潜水記録'!$AV$5:$AV$3004,$AS357)))</f>
        <v/>
      </c>
      <c r="AR357" s="14">
        <f>IF($A357="","",IF(INDEX('潜水記録'!$AW$5:$AW$3004,$AS357)="","",INDEX('潜水記録'!$AW$5:$AW$3004,$AS357)))</f>
        <v/>
      </c>
      <c r="AS357" s="20">
        <f>IF($A357="","",MATCH($A357,'潜水記録'!$AI$5:$AI$3004,0))</f>
        <v/>
      </c>
    </row>
    <row r="358">
      <c r="A358" s="14">
        <f>IF(348&lt;=$C$8,348,"")</f>
        <v/>
      </c>
      <c r="B358" s="16">
        <f>IF($A358="","",IF(INDEX('潜水記録'!$A$5:$A$3004,$AS358)="","",INDEX('潜水記録'!$A$5:$A$3004,$AS358)))</f>
        <v/>
      </c>
      <c r="C358" s="14">
        <f>IF($A358="","",IF(INDEX('潜水記録'!$B$5:$B$3004,$AS358)="","",INDEX('潜水記録'!$B$5:$B$3004,$AS358)))</f>
        <v/>
      </c>
      <c r="D358" s="14">
        <f>IF($A358="","",IF(INDEX('潜水記録'!$C$5:$C$3004,$AS358)="","",INDEX('潜水記録'!$C$5:$C$3004,$AS358)))</f>
        <v/>
      </c>
      <c r="E358" s="14">
        <f>IF($A358="","",IF(INDEX('潜水記録'!$D$5:$D$3004,$AS358)="","",INDEX('潜水記録'!$D$5:$D$3004,$AS358)))</f>
        <v/>
      </c>
      <c r="F358" s="14">
        <f>IF($A358="","",IF(INDEX('潜水記録'!$E$5:$E$3004,$AS358)="","",INDEX('潜水記録'!$E$5:$E$3004,$AS358)))</f>
        <v/>
      </c>
      <c r="G358" s="14">
        <f>IF($A358="","",IF(INDEX('潜水記録'!$F$5:$F$3004,$AS358)="","",INDEX('潜水記録'!$F$5:$F$3004,$AS358)))</f>
        <v/>
      </c>
      <c r="H358" s="14">
        <f>IF($A358="","",IF(INDEX('潜水記録'!$G$5:$G$3004,$AS358)="","",INDEX('潜水記録'!$G$5:$G$3004,$AS358)))</f>
        <v/>
      </c>
      <c r="I358" s="14">
        <f>IF($A358="","",IF(INDEX('潜水記録'!$H$5:$H$3004,$AS358)="","",INDEX('潜水記録'!$H$5:$H$3004,$AS358)))</f>
        <v/>
      </c>
      <c r="J358" s="14">
        <f>IF($A358="","",IF(INDEX('潜水記録'!$I$5:$I$3004,$AS358)="","",INDEX('潜水記録'!$I$5:$I$3004,$AS358)))</f>
        <v/>
      </c>
      <c r="K358" s="14">
        <f>IF($A358="","",IF(INDEX('潜水記録'!$J$5:$J$3004,$AS358)="","",INDEX('潜水記録'!$J$5:$J$3004,$AS358)))</f>
        <v/>
      </c>
      <c r="L358" s="14">
        <f>IF($A358="","",IF(INDEX('潜水記録'!$K$5:$K$3004,$AS358)="","",INDEX('潜水記録'!$K$5:$K$3004,$AS358)))</f>
        <v/>
      </c>
      <c r="M358" s="14">
        <f>IF($A358="","",IF(INDEX('潜水記録'!$L$5:$L$3004,$AS358)="","",INDEX('潜水記録'!$L$5:$L$3004,$AS358)))</f>
        <v/>
      </c>
      <c r="N358" s="14">
        <f>IF($A358="","",IF(INDEX('潜水記録'!$M$5:$M$3004,$AS358)="","",INDEX('潜水記録'!$M$5:$M$3004,$AS358)))</f>
        <v/>
      </c>
      <c r="O358" s="14">
        <f>IF($A358="","",IF(INDEX('潜水記録'!$N$5:$N$3004,$AS358)="","",INDEX('潜水記録'!$N$5:$N$3004,$AS358)))</f>
        <v/>
      </c>
      <c r="P358" s="14">
        <f>IF($A358="","",IF(INDEX('潜水記録'!$O$5:$O$3004,$AS358)="","",INDEX('潜水記録'!$O$5:$O$3004,$AS358)))</f>
        <v/>
      </c>
      <c r="Q358" s="14">
        <f>IF($A358="","",IF(INDEX('潜水記録'!$P$5:$P$3004,$AS358)="","",INDEX('潜水記録'!$P$5:$P$3004,$AS358)))</f>
        <v/>
      </c>
      <c r="R358" s="14">
        <f>IF($A358="","",IF(INDEX('潜水記録'!$Q$5:$Q$3004,$AS358)="","",INDEX('潜水記録'!$Q$5:$Q$3004,$AS358)))</f>
        <v/>
      </c>
      <c r="S358" s="14">
        <f>IF($A358="","",IF(INDEX('潜水記録'!$R$5:$R$3004,$AS358)="","",INDEX('潜水記録'!$R$5:$R$3004,$AS358)))</f>
        <v/>
      </c>
      <c r="T358" s="14">
        <f>IF($A358="","",IF(INDEX('潜水記録'!$S$5:$S$3004,$AS358)="","",INDEX('潜水記録'!$S$5:$S$3004,$AS358)))</f>
        <v/>
      </c>
      <c r="U358" s="14">
        <f>IF($A358="","",IF(INDEX('潜水記録'!$T$5:$T$3004,$AS358)="","",INDEX('潜水記録'!$T$5:$T$3004,$AS358)))</f>
        <v/>
      </c>
      <c r="V358" s="46">
        <f>IF($A358="","",IF(INDEX('潜水記録'!$U$5:$U$3004,$AS358)="","",INDEX('潜水記録'!$U$5:$U$3004,$AS358)))</f>
        <v/>
      </c>
      <c r="W358" s="46">
        <f>IF($A358="","",IF(INDEX('潜水記録'!$V$5:$V$3004,$AS358)="","",INDEX('潜水記録'!$V$5:$V$3004,$AS358)))</f>
        <v/>
      </c>
      <c r="X358" s="14">
        <f>IF($A358="","",IF(INDEX('潜水記録'!$W$5:$W$3004,$AS358)="","",INDEX('潜水記録'!$W$5:$W$3004,$AS358)))</f>
        <v/>
      </c>
      <c r="Y358" s="14">
        <f>IF($A358="","",IF(INDEX('潜水記録'!$X$5:$X$3004,$AS358)="","",INDEX('潜水記録'!$X$5:$X$3004,$AS358)))</f>
        <v/>
      </c>
      <c r="Z358" s="14">
        <f>IF($A358="","",IF(INDEX('潜水記録'!$Y$5:$Y$3004,$AS358)="","",INDEX('潜水記録'!$Y$5:$Y$3004,$AS358)))</f>
        <v/>
      </c>
      <c r="AA358" s="14">
        <f>IF($A358="","",IF(INDEX('潜水記録'!$Z$5:$Z$3004,$AS358)="","",INDEX('潜水記録'!$Z$5:$Z$3004,$AS358)))</f>
        <v/>
      </c>
      <c r="AB358" s="14">
        <f>IF($A358="","",IF(INDEX('潜水記録'!$AA$5:$AA$3004,$AS358)="","",INDEX('潜水記録'!$AA$5:$AA$3004,$AS358)))</f>
        <v/>
      </c>
      <c r="AC358" s="14">
        <f>IF($A358="","",IF(INDEX('潜水記録'!$AB$5:$AB$3004,$AS358)="","",INDEX('潜水記録'!$AB$5:$AB$3004,$AS358)))</f>
        <v/>
      </c>
      <c r="AD358" s="14">
        <f>IF($A358="","",IF(INDEX('潜水記録'!$AC$5:$AC$3004,$AS358)="","",INDEX('潜水記録'!$AC$5:$AC$3004,$AS358)))</f>
        <v/>
      </c>
      <c r="AE358" s="14">
        <f>IF($A358="","",IF(INDEX('潜水記録'!$AD$5:$AD$3004,$AS358)="","",INDEX('潜水記録'!$AD$5:$AD$3004,$AS358)))</f>
        <v/>
      </c>
      <c r="AF358" s="14">
        <f>IF($A358="","",IF(INDEX('潜水記録'!$AE$5:$AE$3004,$AS358)="","",INDEX('潜水記録'!$AE$5:$AE$3004,$AS358)))</f>
        <v/>
      </c>
      <c r="AG358" s="14">
        <f>IF($A358="","",IF(INDEX('潜水記録'!$AL$5:$AL$3004,$AS358)="","",INDEX('潜水記録'!$AL$5:$AL$3004,$AS358)))</f>
        <v/>
      </c>
      <c r="AH358" s="14">
        <f>IF($A358="","",IF(INDEX('潜水記録'!$AM$5:$AM$3004,$AS358)="","",INDEX('潜水記録'!$AM$5:$AM$3004,$AS358)))</f>
        <v/>
      </c>
      <c r="AI358" s="46">
        <f>IF($A358="","",IF(INDEX('潜水記録'!$AN$5:$AN$3004,$AS358)="","",INDEX('潜水記録'!$AN$5:$AN$3004,$AS358)))</f>
        <v/>
      </c>
      <c r="AJ358" s="14">
        <f>IF($A358="","",IF(INDEX('潜水記録'!$AO$5:$AO$3004,$AS358)="","",INDEX('潜水記録'!$AO$5:$AO$3004,$AS358)))</f>
        <v/>
      </c>
      <c r="AK358" s="14">
        <f>IF($A358="","",IF(INDEX('潜水記録'!$AP$5:$AP$3004,$AS358)="","",INDEX('潜水記録'!$AP$5:$AP$3004,$AS358)))</f>
        <v/>
      </c>
      <c r="AL358" s="14">
        <f>IF($A358="","",IF(INDEX('潜水記録'!$AQ$5:$AQ$3004,$AS358)="","",INDEX('潜水記録'!$AQ$5:$AQ$3004,$AS358)))</f>
        <v/>
      </c>
      <c r="AM358" s="14">
        <f>IF($A358="","",IF(INDEX('潜水記録'!$AR$5:$AR$3004,$AS358)="","",INDEX('潜水記録'!$AR$5:$AR$3004,$AS358)))</f>
        <v/>
      </c>
      <c r="AN358" s="14">
        <f>IF($A358="","",IF(INDEX('潜水記録'!$AS$5:$AS$3004,$AS358)="","",INDEX('潜水記録'!$AS$5:$AS$3004,$AS358)))</f>
        <v/>
      </c>
      <c r="AO358" s="14">
        <f>IF($A358="","",IF(INDEX('潜水記録'!$AT$5:$AT$3004,$AS358)="","",INDEX('潜水記録'!$AT$5:$AT$3004,$AS358)))</f>
        <v/>
      </c>
      <c r="AP358" s="14">
        <f>IF($A358="","",IF(INDEX('潜水記録'!$AU$5:$AU$3004,$AS358)="","",INDEX('潜水記録'!$AU$5:$AU$3004,$AS358)))</f>
        <v/>
      </c>
      <c r="AQ358" s="14">
        <f>IF($A358="","",IF(INDEX('潜水記録'!$AV$5:$AV$3004,$AS358)="","",INDEX('潜水記録'!$AV$5:$AV$3004,$AS358)))</f>
        <v/>
      </c>
      <c r="AR358" s="14">
        <f>IF($A358="","",IF(INDEX('潜水記録'!$AW$5:$AW$3004,$AS358)="","",INDEX('潜水記録'!$AW$5:$AW$3004,$AS358)))</f>
        <v/>
      </c>
      <c r="AS358" s="20">
        <f>IF($A358="","",MATCH($A358,'潜水記録'!$AI$5:$AI$3004,0))</f>
        <v/>
      </c>
    </row>
    <row r="359">
      <c r="A359" s="14">
        <f>IF(349&lt;=$C$8,349,"")</f>
        <v/>
      </c>
      <c r="B359" s="16">
        <f>IF($A359="","",IF(INDEX('潜水記録'!$A$5:$A$3004,$AS359)="","",INDEX('潜水記録'!$A$5:$A$3004,$AS359)))</f>
        <v/>
      </c>
      <c r="C359" s="14">
        <f>IF($A359="","",IF(INDEX('潜水記録'!$B$5:$B$3004,$AS359)="","",INDEX('潜水記録'!$B$5:$B$3004,$AS359)))</f>
        <v/>
      </c>
      <c r="D359" s="14">
        <f>IF($A359="","",IF(INDEX('潜水記録'!$C$5:$C$3004,$AS359)="","",INDEX('潜水記録'!$C$5:$C$3004,$AS359)))</f>
        <v/>
      </c>
      <c r="E359" s="14">
        <f>IF($A359="","",IF(INDEX('潜水記録'!$D$5:$D$3004,$AS359)="","",INDEX('潜水記録'!$D$5:$D$3004,$AS359)))</f>
        <v/>
      </c>
      <c r="F359" s="14">
        <f>IF($A359="","",IF(INDEX('潜水記録'!$E$5:$E$3004,$AS359)="","",INDEX('潜水記録'!$E$5:$E$3004,$AS359)))</f>
        <v/>
      </c>
      <c r="G359" s="14">
        <f>IF($A359="","",IF(INDEX('潜水記録'!$F$5:$F$3004,$AS359)="","",INDEX('潜水記録'!$F$5:$F$3004,$AS359)))</f>
        <v/>
      </c>
      <c r="H359" s="14">
        <f>IF($A359="","",IF(INDEX('潜水記録'!$G$5:$G$3004,$AS359)="","",INDEX('潜水記録'!$G$5:$G$3004,$AS359)))</f>
        <v/>
      </c>
      <c r="I359" s="14">
        <f>IF($A359="","",IF(INDEX('潜水記録'!$H$5:$H$3004,$AS359)="","",INDEX('潜水記録'!$H$5:$H$3004,$AS359)))</f>
        <v/>
      </c>
      <c r="J359" s="14">
        <f>IF($A359="","",IF(INDEX('潜水記録'!$I$5:$I$3004,$AS359)="","",INDEX('潜水記録'!$I$5:$I$3004,$AS359)))</f>
        <v/>
      </c>
      <c r="K359" s="14">
        <f>IF($A359="","",IF(INDEX('潜水記録'!$J$5:$J$3004,$AS359)="","",INDEX('潜水記録'!$J$5:$J$3004,$AS359)))</f>
        <v/>
      </c>
      <c r="L359" s="14">
        <f>IF($A359="","",IF(INDEX('潜水記録'!$K$5:$K$3004,$AS359)="","",INDEX('潜水記録'!$K$5:$K$3004,$AS359)))</f>
        <v/>
      </c>
      <c r="M359" s="14">
        <f>IF($A359="","",IF(INDEX('潜水記録'!$L$5:$L$3004,$AS359)="","",INDEX('潜水記録'!$L$5:$L$3004,$AS359)))</f>
        <v/>
      </c>
      <c r="N359" s="14">
        <f>IF($A359="","",IF(INDEX('潜水記録'!$M$5:$M$3004,$AS359)="","",INDEX('潜水記録'!$M$5:$M$3004,$AS359)))</f>
        <v/>
      </c>
      <c r="O359" s="14">
        <f>IF($A359="","",IF(INDEX('潜水記録'!$N$5:$N$3004,$AS359)="","",INDEX('潜水記録'!$N$5:$N$3004,$AS359)))</f>
        <v/>
      </c>
      <c r="P359" s="14">
        <f>IF($A359="","",IF(INDEX('潜水記録'!$O$5:$O$3004,$AS359)="","",INDEX('潜水記録'!$O$5:$O$3004,$AS359)))</f>
        <v/>
      </c>
      <c r="Q359" s="14">
        <f>IF($A359="","",IF(INDEX('潜水記録'!$P$5:$P$3004,$AS359)="","",INDEX('潜水記録'!$P$5:$P$3004,$AS359)))</f>
        <v/>
      </c>
      <c r="R359" s="14">
        <f>IF($A359="","",IF(INDEX('潜水記録'!$Q$5:$Q$3004,$AS359)="","",INDEX('潜水記録'!$Q$5:$Q$3004,$AS359)))</f>
        <v/>
      </c>
      <c r="S359" s="14">
        <f>IF($A359="","",IF(INDEX('潜水記録'!$R$5:$R$3004,$AS359)="","",INDEX('潜水記録'!$R$5:$R$3004,$AS359)))</f>
        <v/>
      </c>
      <c r="T359" s="14">
        <f>IF($A359="","",IF(INDEX('潜水記録'!$S$5:$S$3004,$AS359)="","",INDEX('潜水記録'!$S$5:$S$3004,$AS359)))</f>
        <v/>
      </c>
      <c r="U359" s="14">
        <f>IF($A359="","",IF(INDEX('潜水記録'!$T$5:$T$3004,$AS359)="","",INDEX('潜水記録'!$T$5:$T$3004,$AS359)))</f>
        <v/>
      </c>
      <c r="V359" s="46">
        <f>IF($A359="","",IF(INDEX('潜水記録'!$U$5:$U$3004,$AS359)="","",INDEX('潜水記録'!$U$5:$U$3004,$AS359)))</f>
        <v/>
      </c>
      <c r="W359" s="46">
        <f>IF($A359="","",IF(INDEX('潜水記録'!$V$5:$V$3004,$AS359)="","",INDEX('潜水記録'!$V$5:$V$3004,$AS359)))</f>
        <v/>
      </c>
      <c r="X359" s="14">
        <f>IF($A359="","",IF(INDEX('潜水記録'!$W$5:$W$3004,$AS359)="","",INDEX('潜水記録'!$W$5:$W$3004,$AS359)))</f>
        <v/>
      </c>
      <c r="Y359" s="14">
        <f>IF($A359="","",IF(INDEX('潜水記録'!$X$5:$X$3004,$AS359)="","",INDEX('潜水記録'!$X$5:$X$3004,$AS359)))</f>
        <v/>
      </c>
      <c r="Z359" s="14">
        <f>IF($A359="","",IF(INDEX('潜水記録'!$Y$5:$Y$3004,$AS359)="","",INDEX('潜水記録'!$Y$5:$Y$3004,$AS359)))</f>
        <v/>
      </c>
      <c r="AA359" s="14">
        <f>IF($A359="","",IF(INDEX('潜水記録'!$Z$5:$Z$3004,$AS359)="","",INDEX('潜水記録'!$Z$5:$Z$3004,$AS359)))</f>
        <v/>
      </c>
      <c r="AB359" s="14">
        <f>IF($A359="","",IF(INDEX('潜水記録'!$AA$5:$AA$3004,$AS359)="","",INDEX('潜水記録'!$AA$5:$AA$3004,$AS359)))</f>
        <v/>
      </c>
      <c r="AC359" s="14">
        <f>IF($A359="","",IF(INDEX('潜水記録'!$AB$5:$AB$3004,$AS359)="","",INDEX('潜水記録'!$AB$5:$AB$3004,$AS359)))</f>
        <v/>
      </c>
      <c r="AD359" s="14">
        <f>IF($A359="","",IF(INDEX('潜水記録'!$AC$5:$AC$3004,$AS359)="","",INDEX('潜水記録'!$AC$5:$AC$3004,$AS359)))</f>
        <v/>
      </c>
      <c r="AE359" s="14">
        <f>IF($A359="","",IF(INDEX('潜水記録'!$AD$5:$AD$3004,$AS359)="","",INDEX('潜水記録'!$AD$5:$AD$3004,$AS359)))</f>
        <v/>
      </c>
      <c r="AF359" s="14">
        <f>IF($A359="","",IF(INDEX('潜水記録'!$AE$5:$AE$3004,$AS359)="","",INDEX('潜水記録'!$AE$5:$AE$3004,$AS359)))</f>
        <v/>
      </c>
      <c r="AG359" s="14">
        <f>IF($A359="","",IF(INDEX('潜水記録'!$AL$5:$AL$3004,$AS359)="","",INDEX('潜水記録'!$AL$5:$AL$3004,$AS359)))</f>
        <v/>
      </c>
      <c r="AH359" s="14">
        <f>IF($A359="","",IF(INDEX('潜水記録'!$AM$5:$AM$3004,$AS359)="","",INDEX('潜水記録'!$AM$5:$AM$3004,$AS359)))</f>
        <v/>
      </c>
      <c r="AI359" s="46">
        <f>IF($A359="","",IF(INDEX('潜水記録'!$AN$5:$AN$3004,$AS359)="","",INDEX('潜水記録'!$AN$5:$AN$3004,$AS359)))</f>
        <v/>
      </c>
      <c r="AJ359" s="14">
        <f>IF($A359="","",IF(INDEX('潜水記録'!$AO$5:$AO$3004,$AS359)="","",INDEX('潜水記録'!$AO$5:$AO$3004,$AS359)))</f>
        <v/>
      </c>
      <c r="AK359" s="14">
        <f>IF($A359="","",IF(INDEX('潜水記録'!$AP$5:$AP$3004,$AS359)="","",INDEX('潜水記録'!$AP$5:$AP$3004,$AS359)))</f>
        <v/>
      </c>
      <c r="AL359" s="14">
        <f>IF($A359="","",IF(INDEX('潜水記録'!$AQ$5:$AQ$3004,$AS359)="","",INDEX('潜水記録'!$AQ$5:$AQ$3004,$AS359)))</f>
        <v/>
      </c>
      <c r="AM359" s="14">
        <f>IF($A359="","",IF(INDEX('潜水記録'!$AR$5:$AR$3004,$AS359)="","",INDEX('潜水記録'!$AR$5:$AR$3004,$AS359)))</f>
        <v/>
      </c>
      <c r="AN359" s="14">
        <f>IF($A359="","",IF(INDEX('潜水記録'!$AS$5:$AS$3004,$AS359)="","",INDEX('潜水記録'!$AS$5:$AS$3004,$AS359)))</f>
        <v/>
      </c>
      <c r="AO359" s="14">
        <f>IF($A359="","",IF(INDEX('潜水記録'!$AT$5:$AT$3004,$AS359)="","",INDEX('潜水記録'!$AT$5:$AT$3004,$AS359)))</f>
        <v/>
      </c>
      <c r="AP359" s="14">
        <f>IF($A359="","",IF(INDEX('潜水記録'!$AU$5:$AU$3004,$AS359)="","",INDEX('潜水記録'!$AU$5:$AU$3004,$AS359)))</f>
        <v/>
      </c>
      <c r="AQ359" s="14">
        <f>IF($A359="","",IF(INDEX('潜水記録'!$AV$5:$AV$3004,$AS359)="","",INDEX('潜水記録'!$AV$5:$AV$3004,$AS359)))</f>
        <v/>
      </c>
      <c r="AR359" s="14">
        <f>IF($A359="","",IF(INDEX('潜水記録'!$AW$5:$AW$3004,$AS359)="","",INDEX('潜水記録'!$AW$5:$AW$3004,$AS359)))</f>
        <v/>
      </c>
      <c r="AS359" s="20">
        <f>IF($A359="","",MATCH($A359,'潜水記録'!$AI$5:$AI$3004,0))</f>
        <v/>
      </c>
    </row>
    <row r="360">
      <c r="A360" s="14">
        <f>IF(350&lt;=$C$8,350,"")</f>
        <v/>
      </c>
      <c r="B360" s="16">
        <f>IF($A360="","",IF(INDEX('潜水記録'!$A$5:$A$3004,$AS360)="","",INDEX('潜水記録'!$A$5:$A$3004,$AS360)))</f>
        <v/>
      </c>
      <c r="C360" s="14">
        <f>IF($A360="","",IF(INDEX('潜水記録'!$B$5:$B$3004,$AS360)="","",INDEX('潜水記録'!$B$5:$B$3004,$AS360)))</f>
        <v/>
      </c>
      <c r="D360" s="14">
        <f>IF($A360="","",IF(INDEX('潜水記録'!$C$5:$C$3004,$AS360)="","",INDEX('潜水記録'!$C$5:$C$3004,$AS360)))</f>
        <v/>
      </c>
      <c r="E360" s="14">
        <f>IF($A360="","",IF(INDEX('潜水記録'!$D$5:$D$3004,$AS360)="","",INDEX('潜水記録'!$D$5:$D$3004,$AS360)))</f>
        <v/>
      </c>
      <c r="F360" s="14">
        <f>IF($A360="","",IF(INDEX('潜水記録'!$E$5:$E$3004,$AS360)="","",INDEX('潜水記録'!$E$5:$E$3004,$AS360)))</f>
        <v/>
      </c>
      <c r="G360" s="14">
        <f>IF($A360="","",IF(INDEX('潜水記録'!$F$5:$F$3004,$AS360)="","",INDEX('潜水記録'!$F$5:$F$3004,$AS360)))</f>
        <v/>
      </c>
      <c r="H360" s="14">
        <f>IF($A360="","",IF(INDEX('潜水記録'!$G$5:$G$3004,$AS360)="","",INDEX('潜水記録'!$G$5:$G$3004,$AS360)))</f>
        <v/>
      </c>
      <c r="I360" s="14">
        <f>IF($A360="","",IF(INDEX('潜水記録'!$H$5:$H$3004,$AS360)="","",INDEX('潜水記録'!$H$5:$H$3004,$AS360)))</f>
        <v/>
      </c>
      <c r="J360" s="14">
        <f>IF($A360="","",IF(INDEX('潜水記録'!$I$5:$I$3004,$AS360)="","",INDEX('潜水記録'!$I$5:$I$3004,$AS360)))</f>
        <v/>
      </c>
      <c r="K360" s="14">
        <f>IF($A360="","",IF(INDEX('潜水記録'!$J$5:$J$3004,$AS360)="","",INDEX('潜水記録'!$J$5:$J$3004,$AS360)))</f>
        <v/>
      </c>
      <c r="L360" s="14">
        <f>IF($A360="","",IF(INDEX('潜水記録'!$K$5:$K$3004,$AS360)="","",INDEX('潜水記録'!$K$5:$K$3004,$AS360)))</f>
        <v/>
      </c>
      <c r="M360" s="14">
        <f>IF($A360="","",IF(INDEX('潜水記録'!$L$5:$L$3004,$AS360)="","",INDEX('潜水記録'!$L$5:$L$3004,$AS360)))</f>
        <v/>
      </c>
      <c r="N360" s="14">
        <f>IF($A360="","",IF(INDEX('潜水記録'!$M$5:$M$3004,$AS360)="","",INDEX('潜水記録'!$M$5:$M$3004,$AS360)))</f>
        <v/>
      </c>
      <c r="O360" s="14">
        <f>IF($A360="","",IF(INDEX('潜水記録'!$N$5:$N$3004,$AS360)="","",INDEX('潜水記録'!$N$5:$N$3004,$AS360)))</f>
        <v/>
      </c>
      <c r="P360" s="14">
        <f>IF($A360="","",IF(INDEX('潜水記録'!$O$5:$O$3004,$AS360)="","",INDEX('潜水記録'!$O$5:$O$3004,$AS360)))</f>
        <v/>
      </c>
      <c r="Q360" s="14">
        <f>IF($A360="","",IF(INDEX('潜水記録'!$P$5:$P$3004,$AS360)="","",INDEX('潜水記録'!$P$5:$P$3004,$AS360)))</f>
        <v/>
      </c>
      <c r="R360" s="14">
        <f>IF($A360="","",IF(INDEX('潜水記録'!$Q$5:$Q$3004,$AS360)="","",INDEX('潜水記録'!$Q$5:$Q$3004,$AS360)))</f>
        <v/>
      </c>
      <c r="S360" s="14">
        <f>IF($A360="","",IF(INDEX('潜水記録'!$R$5:$R$3004,$AS360)="","",INDEX('潜水記録'!$R$5:$R$3004,$AS360)))</f>
        <v/>
      </c>
      <c r="T360" s="14">
        <f>IF($A360="","",IF(INDEX('潜水記録'!$S$5:$S$3004,$AS360)="","",INDEX('潜水記録'!$S$5:$S$3004,$AS360)))</f>
        <v/>
      </c>
      <c r="U360" s="14">
        <f>IF($A360="","",IF(INDEX('潜水記録'!$T$5:$T$3004,$AS360)="","",INDEX('潜水記録'!$T$5:$T$3004,$AS360)))</f>
        <v/>
      </c>
      <c r="V360" s="46">
        <f>IF($A360="","",IF(INDEX('潜水記録'!$U$5:$U$3004,$AS360)="","",INDEX('潜水記録'!$U$5:$U$3004,$AS360)))</f>
        <v/>
      </c>
      <c r="W360" s="46">
        <f>IF($A360="","",IF(INDEX('潜水記録'!$V$5:$V$3004,$AS360)="","",INDEX('潜水記録'!$V$5:$V$3004,$AS360)))</f>
        <v/>
      </c>
      <c r="X360" s="14">
        <f>IF($A360="","",IF(INDEX('潜水記録'!$W$5:$W$3004,$AS360)="","",INDEX('潜水記録'!$W$5:$W$3004,$AS360)))</f>
        <v/>
      </c>
      <c r="Y360" s="14">
        <f>IF($A360="","",IF(INDEX('潜水記録'!$X$5:$X$3004,$AS360)="","",INDEX('潜水記録'!$X$5:$X$3004,$AS360)))</f>
        <v/>
      </c>
      <c r="Z360" s="14">
        <f>IF($A360="","",IF(INDEX('潜水記録'!$Y$5:$Y$3004,$AS360)="","",INDEX('潜水記録'!$Y$5:$Y$3004,$AS360)))</f>
        <v/>
      </c>
      <c r="AA360" s="14">
        <f>IF($A360="","",IF(INDEX('潜水記録'!$Z$5:$Z$3004,$AS360)="","",INDEX('潜水記録'!$Z$5:$Z$3004,$AS360)))</f>
        <v/>
      </c>
      <c r="AB360" s="14">
        <f>IF($A360="","",IF(INDEX('潜水記録'!$AA$5:$AA$3004,$AS360)="","",INDEX('潜水記録'!$AA$5:$AA$3004,$AS360)))</f>
        <v/>
      </c>
      <c r="AC360" s="14">
        <f>IF($A360="","",IF(INDEX('潜水記録'!$AB$5:$AB$3004,$AS360)="","",INDEX('潜水記録'!$AB$5:$AB$3004,$AS360)))</f>
        <v/>
      </c>
      <c r="AD360" s="14">
        <f>IF($A360="","",IF(INDEX('潜水記録'!$AC$5:$AC$3004,$AS360)="","",INDEX('潜水記録'!$AC$5:$AC$3004,$AS360)))</f>
        <v/>
      </c>
      <c r="AE360" s="14">
        <f>IF($A360="","",IF(INDEX('潜水記録'!$AD$5:$AD$3004,$AS360)="","",INDEX('潜水記録'!$AD$5:$AD$3004,$AS360)))</f>
        <v/>
      </c>
      <c r="AF360" s="14">
        <f>IF($A360="","",IF(INDEX('潜水記録'!$AE$5:$AE$3004,$AS360)="","",INDEX('潜水記録'!$AE$5:$AE$3004,$AS360)))</f>
        <v/>
      </c>
      <c r="AG360" s="14">
        <f>IF($A360="","",IF(INDEX('潜水記録'!$AL$5:$AL$3004,$AS360)="","",INDEX('潜水記録'!$AL$5:$AL$3004,$AS360)))</f>
        <v/>
      </c>
      <c r="AH360" s="14">
        <f>IF($A360="","",IF(INDEX('潜水記録'!$AM$5:$AM$3004,$AS360)="","",INDEX('潜水記録'!$AM$5:$AM$3004,$AS360)))</f>
        <v/>
      </c>
      <c r="AI360" s="46">
        <f>IF($A360="","",IF(INDEX('潜水記録'!$AN$5:$AN$3004,$AS360)="","",INDEX('潜水記録'!$AN$5:$AN$3004,$AS360)))</f>
        <v/>
      </c>
      <c r="AJ360" s="14">
        <f>IF($A360="","",IF(INDEX('潜水記録'!$AO$5:$AO$3004,$AS360)="","",INDEX('潜水記録'!$AO$5:$AO$3004,$AS360)))</f>
        <v/>
      </c>
      <c r="AK360" s="14">
        <f>IF($A360="","",IF(INDEX('潜水記録'!$AP$5:$AP$3004,$AS360)="","",INDEX('潜水記録'!$AP$5:$AP$3004,$AS360)))</f>
        <v/>
      </c>
      <c r="AL360" s="14">
        <f>IF($A360="","",IF(INDEX('潜水記録'!$AQ$5:$AQ$3004,$AS360)="","",INDEX('潜水記録'!$AQ$5:$AQ$3004,$AS360)))</f>
        <v/>
      </c>
      <c r="AM360" s="14">
        <f>IF($A360="","",IF(INDEX('潜水記録'!$AR$5:$AR$3004,$AS360)="","",INDEX('潜水記録'!$AR$5:$AR$3004,$AS360)))</f>
        <v/>
      </c>
      <c r="AN360" s="14">
        <f>IF($A360="","",IF(INDEX('潜水記録'!$AS$5:$AS$3004,$AS360)="","",INDEX('潜水記録'!$AS$5:$AS$3004,$AS360)))</f>
        <v/>
      </c>
      <c r="AO360" s="14">
        <f>IF($A360="","",IF(INDEX('潜水記録'!$AT$5:$AT$3004,$AS360)="","",INDEX('潜水記録'!$AT$5:$AT$3004,$AS360)))</f>
        <v/>
      </c>
      <c r="AP360" s="14">
        <f>IF($A360="","",IF(INDEX('潜水記録'!$AU$5:$AU$3004,$AS360)="","",INDEX('潜水記録'!$AU$5:$AU$3004,$AS360)))</f>
        <v/>
      </c>
      <c r="AQ360" s="14">
        <f>IF($A360="","",IF(INDEX('潜水記録'!$AV$5:$AV$3004,$AS360)="","",INDEX('潜水記録'!$AV$5:$AV$3004,$AS360)))</f>
        <v/>
      </c>
      <c r="AR360" s="14">
        <f>IF($A360="","",IF(INDEX('潜水記録'!$AW$5:$AW$3004,$AS360)="","",INDEX('潜水記録'!$AW$5:$AW$3004,$AS360)))</f>
        <v/>
      </c>
      <c r="AS360" s="20">
        <f>IF($A360="","",MATCH($A360,'潜水記録'!$AI$5:$AI$3004,0))</f>
        <v/>
      </c>
    </row>
    <row r="361">
      <c r="A361" s="14">
        <f>IF(351&lt;=$C$8,351,"")</f>
        <v/>
      </c>
      <c r="B361" s="16">
        <f>IF($A361="","",IF(INDEX('潜水記録'!$A$5:$A$3004,$AS361)="","",INDEX('潜水記録'!$A$5:$A$3004,$AS361)))</f>
        <v/>
      </c>
      <c r="C361" s="14">
        <f>IF($A361="","",IF(INDEX('潜水記録'!$B$5:$B$3004,$AS361)="","",INDEX('潜水記録'!$B$5:$B$3004,$AS361)))</f>
        <v/>
      </c>
      <c r="D361" s="14">
        <f>IF($A361="","",IF(INDEX('潜水記録'!$C$5:$C$3004,$AS361)="","",INDEX('潜水記録'!$C$5:$C$3004,$AS361)))</f>
        <v/>
      </c>
      <c r="E361" s="14">
        <f>IF($A361="","",IF(INDEX('潜水記録'!$D$5:$D$3004,$AS361)="","",INDEX('潜水記録'!$D$5:$D$3004,$AS361)))</f>
        <v/>
      </c>
      <c r="F361" s="14">
        <f>IF($A361="","",IF(INDEX('潜水記録'!$E$5:$E$3004,$AS361)="","",INDEX('潜水記録'!$E$5:$E$3004,$AS361)))</f>
        <v/>
      </c>
      <c r="G361" s="14">
        <f>IF($A361="","",IF(INDEX('潜水記録'!$F$5:$F$3004,$AS361)="","",INDEX('潜水記録'!$F$5:$F$3004,$AS361)))</f>
        <v/>
      </c>
      <c r="H361" s="14">
        <f>IF($A361="","",IF(INDEX('潜水記録'!$G$5:$G$3004,$AS361)="","",INDEX('潜水記録'!$G$5:$G$3004,$AS361)))</f>
        <v/>
      </c>
      <c r="I361" s="14">
        <f>IF($A361="","",IF(INDEX('潜水記録'!$H$5:$H$3004,$AS361)="","",INDEX('潜水記録'!$H$5:$H$3004,$AS361)))</f>
        <v/>
      </c>
      <c r="J361" s="14">
        <f>IF($A361="","",IF(INDEX('潜水記録'!$I$5:$I$3004,$AS361)="","",INDEX('潜水記録'!$I$5:$I$3004,$AS361)))</f>
        <v/>
      </c>
      <c r="K361" s="14">
        <f>IF($A361="","",IF(INDEX('潜水記録'!$J$5:$J$3004,$AS361)="","",INDEX('潜水記録'!$J$5:$J$3004,$AS361)))</f>
        <v/>
      </c>
      <c r="L361" s="14">
        <f>IF($A361="","",IF(INDEX('潜水記録'!$K$5:$K$3004,$AS361)="","",INDEX('潜水記録'!$K$5:$K$3004,$AS361)))</f>
        <v/>
      </c>
      <c r="M361" s="14">
        <f>IF($A361="","",IF(INDEX('潜水記録'!$L$5:$L$3004,$AS361)="","",INDEX('潜水記録'!$L$5:$L$3004,$AS361)))</f>
        <v/>
      </c>
      <c r="N361" s="14">
        <f>IF($A361="","",IF(INDEX('潜水記録'!$M$5:$M$3004,$AS361)="","",INDEX('潜水記録'!$M$5:$M$3004,$AS361)))</f>
        <v/>
      </c>
      <c r="O361" s="14">
        <f>IF($A361="","",IF(INDEX('潜水記録'!$N$5:$N$3004,$AS361)="","",INDEX('潜水記録'!$N$5:$N$3004,$AS361)))</f>
        <v/>
      </c>
      <c r="P361" s="14">
        <f>IF($A361="","",IF(INDEX('潜水記録'!$O$5:$O$3004,$AS361)="","",INDEX('潜水記録'!$O$5:$O$3004,$AS361)))</f>
        <v/>
      </c>
      <c r="Q361" s="14">
        <f>IF($A361="","",IF(INDEX('潜水記録'!$P$5:$P$3004,$AS361)="","",INDEX('潜水記録'!$P$5:$P$3004,$AS361)))</f>
        <v/>
      </c>
      <c r="R361" s="14">
        <f>IF($A361="","",IF(INDEX('潜水記録'!$Q$5:$Q$3004,$AS361)="","",INDEX('潜水記録'!$Q$5:$Q$3004,$AS361)))</f>
        <v/>
      </c>
      <c r="S361" s="14">
        <f>IF($A361="","",IF(INDEX('潜水記録'!$R$5:$R$3004,$AS361)="","",INDEX('潜水記録'!$R$5:$R$3004,$AS361)))</f>
        <v/>
      </c>
      <c r="T361" s="14">
        <f>IF($A361="","",IF(INDEX('潜水記録'!$S$5:$S$3004,$AS361)="","",INDEX('潜水記録'!$S$5:$S$3004,$AS361)))</f>
        <v/>
      </c>
      <c r="U361" s="14">
        <f>IF($A361="","",IF(INDEX('潜水記録'!$T$5:$T$3004,$AS361)="","",INDEX('潜水記録'!$T$5:$T$3004,$AS361)))</f>
        <v/>
      </c>
      <c r="V361" s="46">
        <f>IF($A361="","",IF(INDEX('潜水記録'!$U$5:$U$3004,$AS361)="","",INDEX('潜水記録'!$U$5:$U$3004,$AS361)))</f>
        <v/>
      </c>
      <c r="W361" s="46">
        <f>IF($A361="","",IF(INDEX('潜水記録'!$V$5:$V$3004,$AS361)="","",INDEX('潜水記録'!$V$5:$V$3004,$AS361)))</f>
        <v/>
      </c>
      <c r="X361" s="14">
        <f>IF($A361="","",IF(INDEX('潜水記録'!$W$5:$W$3004,$AS361)="","",INDEX('潜水記録'!$W$5:$W$3004,$AS361)))</f>
        <v/>
      </c>
      <c r="Y361" s="14">
        <f>IF($A361="","",IF(INDEX('潜水記録'!$X$5:$X$3004,$AS361)="","",INDEX('潜水記録'!$X$5:$X$3004,$AS361)))</f>
        <v/>
      </c>
      <c r="Z361" s="14">
        <f>IF($A361="","",IF(INDEX('潜水記録'!$Y$5:$Y$3004,$AS361)="","",INDEX('潜水記録'!$Y$5:$Y$3004,$AS361)))</f>
        <v/>
      </c>
      <c r="AA361" s="14">
        <f>IF($A361="","",IF(INDEX('潜水記録'!$Z$5:$Z$3004,$AS361)="","",INDEX('潜水記録'!$Z$5:$Z$3004,$AS361)))</f>
        <v/>
      </c>
      <c r="AB361" s="14">
        <f>IF($A361="","",IF(INDEX('潜水記録'!$AA$5:$AA$3004,$AS361)="","",INDEX('潜水記録'!$AA$5:$AA$3004,$AS361)))</f>
        <v/>
      </c>
      <c r="AC361" s="14">
        <f>IF($A361="","",IF(INDEX('潜水記録'!$AB$5:$AB$3004,$AS361)="","",INDEX('潜水記録'!$AB$5:$AB$3004,$AS361)))</f>
        <v/>
      </c>
      <c r="AD361" s="14">
        <f>IF($A361="","",IF(INDEX('潜水記録'!$AC$5:$AC$3004,$AS361)="","",INDEX('潜水記録'!$AC$5:$AC$3004,$AS361)))</f>
        <v/>
      </c>
      <c r="AE361" s="14">
        <f>IF($A361="","",IF(INDEX('潜水記録'!$AD$5:$AD$3004,$AS361)="","",INDEX('潜水記録'!$AD$5:$AD$3004,$AS361)))</f>
        <v/>
      </c>
      <c r="AF361" s="14">
        <f>IF($A361="","",IF(INDEX('潜水記録'!$AE$5:$AE$3004,$AS361)="","",INDEX('潜水記録'!$AE$5:$AE$3004,$AS361)))</f>
        <v/>
      </c>
      <c r="AG361" s="14">
        <f>IF($A361="","",IF(INDEX('潜水記録'!$AL$5:$AL$3004,$AS361)="","",INDEX('潜水記録'!$AL$5:$AL$3004,$AS361)))</f>
        <v/>
      </c>
      <c r="AH361" s="14">
        <f>IF($A361="","",IF(INDEX('潜水記録'!$AM$5:$AM$3004,$AS361)="","",INDEX('潜水記録'!$AM$5:$AM$3004,$AS361)))</f>
        <v/>
      </c>
      <c r="AI361" s="46">
        <f>IF($A361="","",IF(INDEX('潜水記録'!$AN$5:$AN$3004,$AS361)="","",INDEX('潜水記録'!$AN$5:$AN$3004,$AS361)))</f>
        <v/>
      </c>
      <c r="AJ361" s="14">
        <f>IF($A361="","",IF(INDEX('潜水記録'!$AO$5:$AO$3004,$AS361)="","",INDEX('潜水記録'!$AO$5:$AO$3004,$AS361)))</f>
        <v/>
      </c>
      <c r="AK361" s="14">
        <f>IF($A361="","",IF(INDEX('潜水記録'!$AP$5:$AP$3004,$AS361)="","",INDEX('潜水記録'!$AP$5:$AP$3004,$AS361)))</f>
        <v/>
      </c>
      <c r="AL361" s="14">
        <f>IF($A361="","",IF(INDEX('潜水記録'!$AQ$5:$AQ$3004,$AS361)="","",INDEX('潜水記録'!$AQ$5:$AQ$3004,$AS361)))</f>
        <v/>
      </c>
      <c r="AM361" s="14">
        <f>IF($A361="","",IF(INDEX('潜水記録'!$AR$5:$AR$3004,$AS361)="","",INDEX('潜水記録'!$AR$5:$AR$3004,$AS361)))</f>
        <v/>
      </c>
      <c r="AN361" s="14">
        <f>IF($A361="","",IF(INDEX('潜水記録'!$AS$5:$AS$3004,$AS361)="","",INDEX('潜水記録'!$AS$5:$AS$3004,$AS361)))</f>
        <v/>
      </c>
      <c r="AO361" s="14">
        <f>IF($A361="","",IF(INDEX('潜水記録'!$AT$5:$AT$3004,$AS361)="","",INDEX('潜水記録'!$AT$5:$AT$3004,$AS361)))</f>
        <v/>
      </c>
      <c r="AP361" s="14">
        <f>IF($A361="","",IF(INDEX('潜水記録'!$AU$5:$AU$3004,$AS361)="","",INDEX('潜水記録'!$AU$5:$AU$3004,$AS361)))</f>
        <v/>
      </c>
      <c r="AQ361" s="14">
        <f>IF($A361="","",IF(INDEX('潜水記録'!$AV$5:$AV$3004,$AS361)="","",INDEX('潜水記録'!$AV$5:$AV$3004,$AS361)))</f>
        <v/>
      </c>
      <c r="AR361" s="14">
        <f>IF($A361="","",IF(INDEX('潜水記録'!$AW$5:$AW$3004,$AS361)="","",INDEX('潜水記録'!$AW$5:$AW$3004,$AS361)))</f>
        <v/>
      </c>
      <c r="AS361" s="20">
        <f>IF($A361="","",MATCH($A361,'潜水記録'!$AI$5:$AI$3004,0))</f>
        <v/>
      </c>
    </row>
    <row r="362">
      <c r="A362" s="14">
        <f>IF(352&lt;=$C$8,352,"")</f>
        <v/>
      </c>
      <c r="B362" s="16">
        <f>IF($A362="","",IF(INDEX('潜水記録'!$A$5:$A$3004,$AS362)="","",INDEX('潜水記録'!$A$5:$A$3004,$AS362)))</f>
        <v/>
      </c>
      <c r="C362" s="14">
        <f>IF($A362="","",IF(INDEX('潜水記録'!$B$5:$B$3004,$AS362)="","",INDEX('潜水記録'!$B$5:$B$3004,$AS362)))</f>
        <v/>
      </c>
      <c r="D362" s="14">
        <f>IF($A362="","",IF(INDEX('潜水記録'!$C$5:$C$3004,$AS362)="","",INDEX('潜水記録'!$C$5:$C$3004,$AS362)))</f>
        <v/>
      </c>
      <c r="E362" s="14">
        <f>IF($A362="","",IF(INDEX('潜水記録'!$D$5:$D$3004,$AS362)="","",INDEX('潜水記録'!$D$5:$D$3004,$AS362)))</f>
        <v/>
      </c>
      <c r="F362" s="14">
        <f>IF($A362="","",IF(INDEX('潜水記録'!$E$5:$E$3004,$AS362)="","",INDEX('潜水記録'!$E$5:$E$3004,$AS362)))</f>
        <v/>
      </c>
      <c r="G362" s="14">
        <f>IF($A362="","",IF(INDEX('潜水記録'!$F$5:$F$3004,$AS362)="","",INDEX('潜水記録'!$F$5:$F$3004,$AS362)))</f>
        <v/>
      </c>
      <c r="H362" s="14">
        <f>IF($A362="","",IF(INDEX('潜水記録'!$G$5:$G$3004,$AS362)="","",INDEX('潜水記録'!$G$5:$G$3004,$AS362)))</f>
        <v/>
      </c>
      <c r="I362" s="14">
        <f>IF($A362="","",IF(INDEX('潜水記録'!$H$5:$H$3004,$AS362)="","",INDEX('潜水記録'!$H$5:$H$3004,$AS362)))</f>
        <v/>
      </c>
      <c r="J362" s="14">
        <f>IF($A362="","",IF(INDEX('潜水記録'!$I$5:$I$3004,$AS362)="","",INDEX('潜水記録'!$I$5:$I$3004,$AS362)))</f>
        <v/>
      </c>
      <c r="K362" s="14">
        <f>IF($A362="","",IF(INDEX('潜水記録'!$J$5:$J$3004,$AS362)="","",INDEX('潜水記録'!$J$5:$J$3004,$AS362)))</f>
        <v/>
      </c>
      <c r="L362" s="14">
        <f>IF($A362="","",IF(INDEX('潜水記録'!$K$5:$K$3004,$AS362)="","",INDEX('潜水記録'!$K$5:$K$3004,$AS362)))</f>
        <v/>
      </c>
      <c r="M362" s="14">
        <f>IF($A362="","",IF(INDEX('潜水記録'!$L$5:$L$3004,$AS362)="","",INDEX('潜水記録'!$L$5:$L$3004,$AS362)))</f>
        <v/>
      </c>
      <c r="N362" s="14">
        <f>IF($A362="","",IF(INDEX('潜水記録'!$M$5:$M$3004,$AS362)="","",INDEX('潜水記録'!$M$5:$M$3004,$AS362)))</f>
        <v/>
      </c>
      <c r="O362" s="14">
        <f>IF($A362="","",IF(INDEX('潜水記録'!$N$5:$N$3004,$AS362)="","",INDEX('潜水記録'!$N$5:$N$3004,$AS362)))</f>
        <v/>
      </c>
      <c r="P362" s="14">
        <f>IF($A362="","",IF(INDEX('潜水記録'!$O$5:$O$3004,$AS362)="","",INDEX('潜水記録'!$O$5:$O$3004,$AS362)))</f>
        <v/>
      </c>
      <c r="Q362" s="14">
        <f>IF($A362="","",IF(INDEX('潜水記録'!$P$5:$P$3004,$AS362)="","",INDEX('潜水記録'!$P$5:$P$3004,$AS362)))</f>
        <v/>
      </c>
      <c r="R362" s="14">
        <f>IF($A362="","",IF(INDEX('潜水記録'!$Q$5:$Q$3004,$AS362)="","",INDEX('潜水記録'!$Q$5:$Q$3004,$AS362)))</f>
        <v/>
      </c>
      <c r="S362" s="14">
        <f>IF($A362="","",IF(INDEX('潜水記録'!$R$5:$R$3004,$AS362)="","",INDEX('潜水記録'!$R$5:$R$3004,$AS362)))</f>
        <v/>
      </c>
      <c r="T362" s="14">
        <f>IF($A362="","",IF(INDEX('潜水記録'!$S$5:$S$3004,$AS362)="","",INDEX('潜水記録'!$S$5:$S$3004,$AS362)))</f>
        <v/>
      </c>
      <c r="U362" s="14">
        <f>IF($A362="","",IF(INDEX('潜水記録'!$T$5:$T$3004,$AS362)="","",INDEX('潜水記録'!$T$5:$T$3004,$AS362)))</f>
        <v/>
      </c>
      <c r="V362" s="46">
        <f>IF($A362="","",IF(INDEX('潜水記録'!$U$5:$U$3004,$AS362)="","",INDEX('潜水記録'!$U$5:$U$3004,$AS362)))</f>
        <v/>
      </c>
      <c r="W362" s="46">
        <f>IF($A362="","",IF(INDEX('潜水記録'!$V$5:$V$3004,$AS362)="","",INDEX('潜水記録'!$V$5:$V$3004,$AS362)))</f>
        <v/>
      </c>
      <c r="X362" s="14">
        <f>IF($A362="","",IF(INDEX('潜水記録'!$W$5:$W$3004,$AS362)="","",INDEX('潜水記録'!$W$5:$W$3004,$AS362)))</f>
        <v/>
      </c>
      <c r="Y362" s="14">
        <f>IF($A362="","",IF(INDEX('潜水記録'!$X$5:$X$3004,$AS362)="","",INDEX('潜水記録'!$X$5:$X$3004,$AS362)))</f>
        <v/>
      </c>
      <c r="Z362" s="14">
        <f>IF($A362="","",IF(INDEX('潜水記録'!$Y$5:$Y$3004,$AS362)="","",INDEX('潜水記録'!$Y$5:$Y$3004,$AS362)))</f>
        <v/>
      </c>
      <c r="AA362" s="14">
        <f>IF($A362="","",IF(INDEX('潜水記録'!$Z$5:$Z$3004,$AS362)="","",INDEX('潜水記録'!$Z$5:$Z$3004,$AS362)))</f>
        <v/>
      </c>
      <c r="AB362" s="14">
        <f>IF($A362="","",IF(INDEX('潜水記録'!$AA$5:$AA$3004,$AS362)="","",INDEX('潜水記録'!$AA$5:$AA$3004,$AS362)))</f>
        <v/>
      </c>
      <c r="AC362" s="14">
        <f>IF($A362="","",IF(INDEX('潜水記録'!$AB$5:$AB$3004,$AS362)="","",INDEX('潜水記録'!$AB$5:$AB$3004,$AS362)))</f>
        <v/>
      </c>
      <c r="AD362" s="14">
        <f>IF($A362="","",IF(INDEX('潜水記録'!$AC$5:$AC$3004,$AS362)="","",INDEX('潜水記録'!$AC$5:$AC$3004,$AS362)))</f>
        <v/>
      </c>
      <c r="AE362" s="14">
        <f>IF($A362="","",IF(INDEX('潜水記録'!$AD$5:$AD$3004,$AS362)="","",INDEX('潜水記録'!$AD$5:$AD$3004,$AS362)))</f>
        <v/>
      </c>
      <c r="AF362" s="14">
        <f>IF($A362="","",IF(INDEX('潜水記録'!$AE$5:$AE$3004,$AS362)="","",INDEX('潜水記録'!$AE$5:$AE$3004,$AS362)))</f>
        <v/>
      </c>
      <c r="AG362" s="14">
        <f>IF($A362="","",IF(INDEX('潜水記録'!$AL$5:$AL$3004,$AS362)="","",INDEX('潜水記録'!$AL$5:$AL$3004,$AS362)))</f>
        <v/>
      </c>
      <c r="AH362" s="14">
        <f>IF($A362="","",IF(INDEX('潜水記録'!$AM$5:$AM$3004,$AS362)="","",INDEX('潜水記録'!$AM$5:$AM$3004,$AS362)))</f>
        <v/>
      </c>
      <c r="AI362" s="46">
        <f>IF($A362="","",IF(INDEX('潜水記録'!$AN$5:$AN$3004,$AS362)="","",INDEX('潜水記録'!$AN$5:$AN$3004,$AS362)))</f>
        <v/>
      </c>
      <c r="AJ362" s="14">
        <f>IF($A362="","",IF(INDEX('潜水記録'!$AO$5:$AO$3004,$AS362)="","",INDEX('潜水記録'!$AO$5:$AO$3004,$AS362)))</f>
        <v/>
      </c>
      <c r="AK362" s="14">
        <f>IF($A362="","",IF(INDEX('潜水記録'!$AP$5:$AP$3004,$AS362)="","",INDEX('潜水記録'!$AP$5:$AP$3004,$AS362)))</f>
        <v/>
      </c>
      <c r="AL362" s="14">
        <f>IF($A362="","",IF(INDEX('潜水記録'!$AQ$5:$AQ$3004,$AS362)="","",INDEX('潜水記録'!$AQ$5:$AQ$3004,$AS362)))</f>
        <v/>
      </c>
      <c r="AM362" s="14">
        <f>IF($A362="","",IF(INDEX('潜水記録'!$AR$5:$AR$3004,$AS362)="","",INDEX('潜水記録'!$AR$5:$AR$3004,$AS362)))</f>
        <v/>
      </c>
      <c r="AN362" s="14">
        <f>IF($A362="","",IF(INDEX('潜水記録'!$AS$5:$AS$3004,$AS362)="","",INDEX('潜水記録'!$AS$5:$AS$3004,$AS362)))</f>
        <v/>
      </c>
      <c r="AO362" s="14">
        <f>IF($A362="","",IF(INDEX('潜水記録'!$AT$5:$AT$3004,$AS362)="","",INDEX('潜水記録'!$AT$5:$AT$3004,$AS362)))</f>
        <v/>
      </c>
      <c r="AP362" s="14">
        <f>IF($A362="","",IF(INDEX('潜水記録'!$AU$5:$AU$3004,$AS362)="","",INDEX('潜水記録'!$AU$5:$AU$3004,$AS362)))</f>
        <v/>
      </c>
      <c r="AQ362" s="14">
        <f>IF($A362="","",IF(INDEX('潜水記録'!$AV$5:$AV$3004,$AS362)="","",INDEX('潜水記録'!$AV$5:$AV$3004,$AS362)))</f>
        <v/>
      </c>
      <c r="AR362" s="14">
        <f>IF($A362="","",IF(INDEX('潜水記録'!$AW$5:$AW$3004,$AS362)="","",INDEX('潜水記録'!$AW$5:$AW$3004,$AS362)))</f>
        <v/>
      </c>
      <c r="AS362" s="20">
        <f>IF($A362="","",MATCH($A362,'潜水記録'!$AI$5:$AI$3004,0))</f>
        <v/>
      </c>
    </row>
    <row r="363">
      <c r="A363" s="14">
        <f>IF(353&lt;=$C$8,353,"")</f>
        <v/>
      </c>
      <c r="B363" s="16">
        <f>IF($A363="","",IF(INDEX('潜水記録'!$A$5:$A$3004,$AS363)="","",INDEX('潜水記録'!$A$5:$A$3004,$AS363)))</f>
        <v/>
      </c>
      <c r="C363" s="14">
        <f>IF($A363="","",IF(INDEX('潜水記録'!$B$5:$B$3004,$AS363)="","",INDEX('潜水記録'!$B$5:$B$3004,$AS363)))</f>
        <v/>
      </c>
      <c r="D363" s="14">
        <f>IF($A363="","",IF(INDEX('潜水記録'!$C$5:$C$3004,$AS363)="","",INDEX('潜水記録'!$C$5:$C$3004,$AS363)))</f>
        <v/>
      </c>
      <c r="E363" s="14">
        <f>IF($A363="","",IF(INDEX('潜水記録'!$D$5:$D$3004,$AS363)="","",INDEX('潜水記録'!$D$5:$D$3004,$AS363)))</f>
        <v/>
      </c>
      <c r="F363" s="14">
        <f>IF($A363="","",IF(INDEX('潜水記録'!$E$5:$E$3004,$AS363)="","",INDEX('潜水記録'!$E$5:$E$3004,$AS363)))</f>
        <v/>
      </c>
      <c r="G363" s="14">
        <f>IF($A363="","",IF(INDEX('潜水記録'!$F$5:$F$3004,$AS363)="","",INDEX('潜水記録'!$F$5:$F$3004,$AS363)))</f>
        <v/>
      </c>
      <c r="H363" s="14">
        <f>IF($A363="","",IF(INDEX('潜水記録'!$G$5:$G$3004,$AS363)="","",INDEX('潜水記録'!$G$5:$G$3004,$AS363)))</f>
        <v/>
      </c>
      <c r="I363" s="14">
        <f>IF($A363="","",IF(INDEX('潜水記録'!$H$5:$H$3004,$AS363)="","",INDEX('潜水記録'!$H$5:$H$3004,$AS363)))</f>
        <v/>
      </c>
      <c r="J363" s="14">
        <f>IF($A363="","",IF(INDEX('潜水記録'!$I$5:$I$3004,$AS363)="","",INDEX('潜水記録'!$I$5:$I$3004,$AS363)))</f>
        <v/>
      </c>
      <c r="K363" s="14">
        <f>IF($A363="","",IF(INDEX('潜水記録'!$J$5:$J$3004,$AS363)="","",INDEX('潜水記録'!$J$5:$J$3004,$AS363)))</f>
        <v/>
      </c>
      <c r="L363" s="14">
        <f>IF($A363="","",IF(INDEX('潜水記録'!$K$5:$K$3004,$AS363)="","",INDEX('潜水記録'!$K$5:$K$3004,$AS363)))</f>
        <v/>
      </c>
      <c r="M363" s="14">
        <f>IF($A363="","",IF(INDEX('潜水記録'!$L$5:$L$3004,$AS363)="","",INDEX('潜水記録'!$L$5:$L$3004,$AS363)))</f>
        <v/>
      </c>
      <c r="N363" s="14">
        <f>IF($A363="","",IF(INDEX('潜水記録'!$M$5:$M$3004,$AS363)="","",INDEX('潜水記録'!$M$5:$M$3004,$AS363)))</f>
        <v/>
      </c>
      <c r="O363" s="14">
        <f>IF($A363="","",IF(INDEX('潜水記録'!$N$5:$N$3004,$AS363)="","",INDEX('潜水記録'!$N$5:$N$3004,$AS363)))</f>
        <v/>
      </c>
      <c r="P363" s="14">
        <f>IF($A363="","",IF(INDEX('潜水記録'!$O$5:$O$3004,$AS363)="","",INDEX('潜水記録'!$O$5:$O$3004,$AS363)))</f>
        <v/>
      </c>
      <c r="Q363" s="14">
        <f>IF($A363="","",IF(INDEX('潜水記録'!$P$5:$P$3004,$AS363)="","",INDEX('潜水記録'!$P$5:$P$3004,$AS363)))</f>
        <v/>
      </c>
      <c r="R363" s="14">
        <f>IF($A363="","",IF(INDEX('潜水記録'!$Q$5:$Q$3004,$AS363)="","",INDEX('潜水記録'!$Q$5:$Q$3004,$AS363)))</f>
        <v/>
      </c>
      <c r="S363" s="14">
        <f>IF($A363="","",IF(INDEX('潜水記録'!$R$5:$R$3004,$AS363)="","",INDEX('潜水記録'!$R$5:$R$3004,$AS363)))</f>
        <v/>
      </c>
      <c r="T363" s="14">
        <f>IF($A363="","",IF(INDEX('潜水記録'!$S$5:$S$3004,$AS363)="","",INDEX('潜水記録'!$S$5:$S$3004,$AS363)))</f>
        <v/>
      </c>
      <c r="U363" s="14">
        <f>IF($A363="","",IF(INDEX('潜水記録'!$T$5:$T$3004,$AS363)="","",INDEX('潜水記録'!$T$5:$T$3004,$AS363)))</f>
        <v/>
      </c>
      <c r="V363" s="46">
        <f>IF($A363="","",IF(INDEX('潜水記録'!$U$5:$U$3004,$AS363)="","",INDEX('潜水記録'!$U$5:$U$3004,$AS363)))</f>
        <v/>
      </c>
      <c r="W363" s="46">
        <f>IF($A363="","",IF(INDEX('潜水記録'!$V$5:$V$3004,$AS363)="","",INDEX('潜水記録'!$V$5:$V$3004,$AS363)))</f>
        <v/>
      </c>
      <c r="X363" s="14">
        <f>IF($A363="","",IF(INDEX('潜水記録'!$W$5:$W$3004,$AS363)="","",INDEX('潜水記録'!$W$5:$W$3004,$AS363)))</f>
        <v/>
      </c>
      <c r="Y363" s="14">
        <f>IF($A363="","",IF(INDEX('潜水記録'!$X$5:$X$3004,$AS363)="","",INDEX('潜水記録'!$X$5:$X$3004,$AS363)))</f>
        <v/>
      </c>
      <c r="Z363" s="14">
        <f>IF($A363="","",IF(INDEX('潜水記録'!$Y$5:$Y$3004,$AS363)="","",INDEX('潜水記録'!$Y$5:$Y$3004,$AS363)))</f>
        <v/>
      </c>
      <c r="AA363" s="14">
        <f>IF($A363="","",IF(INDEX('潜水記録'!$Z$5:$Z$3004,$AS363)="","",INDEX('潜水記録'!$Z$5:$Z$3004,$AS363)))</f>
        <v/>
      </c>
      <c r="AB363" s="14">
        <f>IF($A363="","",IF(INDEX('潜水記録'!$AA$5:$AA$3004,$AS363)="","",INDEX('潜水記録'!$AA$5:$AA$3004,$AS363)))</f>
        <v/>
      </c>
      <c r="AC363" s="14">
        <f>IF($A363="","",IF(INDEX('潜水記録'!$AB$5:$AB$3004,$AS363)="","",INDEX('潜水記録'!$AB$5:$AB$3004,$AS363)))</f>
        <v/>
      </c>
      <c r="AD363" s="14">
        <f>IF($A363="","",IF(INDEX('潜水記録'!$AC$5:$AC$3004,$AS363)="","",INDEX('潜水記録'!$AC$5:$AC$3004,$AS363)))</f>
        <v/>
      </c>
      <c r="AE363" s="14">
        <f>IF($A363="","",IF(INDEX('潜水記録'!$AD$5:$AD$3004,$AS363)="","",INDEX('潜水記録'!$AD$5:$AD$3004,$AS363)))</f>
        <v/>
      </c>
      <c r="AF363" s="14">
        <f>IF($A363="","",IF(INDEX('潜水記録'!$AE$5:$AE$3004,$AS363)="","",INDEX('潜水記録'!$AE$5:$AE$3004,$AS363)))</f>
        <v/>
      </c>
      <c r="AG363" s="14">
        <f>IF($A363="","",IF(INDEX('潜水記録'!$AL$5:$AL$3004,$AS363)="","",INDEX('潜水記録'!$AL$5:$AL$3004,$AS363)))</f>
        <v/>
      </c>
      <c r="AH363" s="14">
        <f>IF($A363="","",IF(INDEX('潜水記録'!$AM$5:$AM$3004,$AS363)="","",INDEX('潜水記録'!$AM$5:$AM$3004,$AS363)))</f>
        <v/>
      </c>
      <c r="AI363" s="46">
        <f>IF($A363="","",IF(INDEX('潜水記録'!$AN$5:$AN$3004,$AS363)="","",INDEX('潜水記録'!$AN$5:$AN$3004,$AS363)))</f>
        <v/>
      </c>
      <c r="AJ363" s="14">
        <f>IF($A363="","",IF(INDEX('潜水記録'!$AO$5:$AO$3004,$AS363)="","",INDEX('潜水記録'!$AO$5:$AO$3004,$AS363)))</f>
        <v/>
      </c>
      <c r="AK363" s="14">
        <f>IF($A363="","",IF(INDEX('潜水記録'!$AP$5:$AP$3004,$AS363)="","",INDEX('潜水記録'!$AP$5:$AP$3004,$AS363)))</f>
        <v/>
      </c>
      <c r="AL363" s="14">
        <f>IF($A363="","",IF(INDEX('潜水記録'!$AQ$5:$AQ$3004,$AS363)="","",INDEX('潜水記録'!$AQ$5:$AQ$3004,$AS363)))</f>
        <v/>
      </c>
      <c r="AM363" s="14">
        <f>IF($A363="","",IF(INDEX('潜水記録'!$AR$5:$AR$3004,$AS363)="","",INDEX('潜水記録'!$AR$5:$AR$3004,$AS363)))</f>
        <v/>
      </c>
      <c r="AN363" s="14">
        <f>IF($A363="","",IF(INDEX('潜水記録'!$AS$5:$AS$3004,$AS363)="","",INDEX('潜水記録'!$AS$5:$AS$3004,$AS363)))</f>
        <v/>
      </c>
      <c r="AO363" s="14">
        <f>IF($A363="","",IF(INDEX('潜水記録'!$AT$5:$AT$3004,$AS363)="","",INDEX('潜水記録'!$AT$5:$AT$3004,$AS363)))</f>
        <v/>
      </c>
      <c r="AP363" s="14">
        <f>IF($A363="","",IF(INDEX('潜水記録'!$AU$5:$AU$3004,$AS363)="","",INDEX('潜水記録'!$AU$5:$AU$3004,$AS363)))</f>
        <v/>
      </c>
      <c r="AQ363" s="14">
        <f>IF($A363="","",IF(INDEX('潜水記録'!$AV$5:$AV$3004,$AS363)="","",INDEX('潜水記録'!$AV$5:$AV$3004,$AS363)))</f>
        <v/>
      </c>
      <c r="AR363" s="14">
        <f>IF($A363="","",IF(INDEX('潜水記録'!$AW$5:$AW$3004,$AS363)="","",INDEX('潜水記録'!$AW$5:$AW$3004,$AS363)))</f>
        <v/>
      </c>
      <c r="AS363" s="20">
        <f>IF($A363="","",MATCH($A363,'潜水記録'!$AI$5:$AI$3004,0))</f>
        <v/>
      </c>
    </row>
    <row r="364">
      <c r="A364" s="14">
        <f>IF(354&lt;=$C$8,354,"")</f>
        <v/>
      </c>
      <c r="B364" s="16">
        <f>IF($A364="","",IF(INDEX('潜水記録'!$A$5:$A$3004,$AS364)="","",INDEX('潜水記録'!$A$5:$A$3004,$AS364)))</f>
        <v/>
      </c>
      <c r="C364" s="14">
        <f>IF($A364="","",IF(INDEX('潜水記録'!$B$5:$B$3004,$AS364)="","",INDEX('潜水記録'!$B$5:$B$3004,$AS364)))</f>
        <v/>
      </c>
      <c r="D364" s="14">
        <f>IF($A364="","",IF(INDEX('潜水記録'!$C$5:$C$3004,$AS364)="","",INDEX('潜水記録'!$C$5:$C$3004,$AS364)))</f>
        <v/>
      </c>
      <c r="E364" s="14">
        <f>IF($A364="","",IF(INDEX('潜水記録'!$D$5:$D$3004,$AS364)="","",INDEX('潜水記録'!$D$5:$D$3004,$AS364)))</f>
        <v/>
      </c>
      <c r="F364" s="14">
        <f>IF($A364="","",IF(INDEX('潜水記録'!$E$5:$E$3004,$AS364)="","",INDEX('潜水記録'!$E$5:$E$3004,$AS364)))</f>
        <v/>
      </c>
      <c r="G364" s="14">
        <f>IF($A364="","",IF(INDEX('潜水記録'!$F$5:$F$3004,$AS364)="","",INDEX('潜水記録'!$F$5:$F$3004,$AS364)))</f>
        <v/>
      </c>
      <c r="H364" s="14">
        <f>IF($A364="","",IF(INDEX('潜水記録'!$G$5:$G$3004,$AS364)="","",INDEX('潜水記録'!$G$5:$G$3004,$AS364)))</f>
        <v/>
      </c>
      <c r="I364" s="14">
        <f>IF($A364="","",IF(INDEX('潜水記録'!$H$5:$H$3004,$AS364)="","",INDEX('潜水記録'!$H$5:$H$3004,$AS364)))</f>
        <v/>
      </c>
      <c r="J364" s="14">
        <f>IF($A364="","",IF(INDEX('潜水記録'!$I$5:$I$3004,$AS364)="","",INDEX('潜水記録'!$I$5:$I$3004,$AS364)))</f>
        <v/>
      </c>
      <c r="K364" s="14">
        <f>IF($A364="","",IF(INDEX('潜水記録'!$J$5:$J$3004,$AS364)="","",INDEX('潜水記録'!$J$5:$J$3004,$AS364)))</f>
        <v/>
      </c>
      <c r="L364" s="14">
        <f>IF($A364="","",IF(INDEX('潜水記録'!$K$5:$K$3004,$AS364)="","",INDEX('潜水記録'!$K$5:$K$3004,$AS364)))</f>
        <v/>
      </c>
      <c r="M364" s="14">
        <f>IF($A364="","",IF(INDEX('潜水記録'!$L$5:$L$3004,$AS364)="","",INDEX('潜水記録'!$L$5:$L$3004,$AS364)))</f>
        <v/>
      </c>
      <c r="N364" s="14">
        <f>IF($A364="","",IF(INDEX('潜水記録'!$M$5:$M$3004,$AS364)="","",INDEX('潜水記録'!$M$5:$M$3004,$AS364)))</f>
        <v/>
      </c>
      <c r="O364" s="14">
        <f>IF($A364="","",IF(INDEX('潜水記録'!$N$5:$N$3004,$AS364)="","",INDEX('潜水記録'!$N$5:$N$3004,$AS364)))</f>
        <v/>
      </c>
      <c r="P364" s="14">
        <f>IF($A364="","",IF(INDEX('潜水記録'!$O$5:$O$3004,$AS364)="","",INDEX('潜水記録'!$O$5:$O$3004,$AS364)))</f>
        <v/>
      </c>
      <c r="Q364" s="14">
        <f>IF($A364="","",IF(INDEX('潜水記録'!$P$5:$P$3004,$AS364)="","",INDEX('潜水記録'!$P$5:$P$3004,$AS364)))</f>
        <v/>
      </c>
      <c r="R364" s="14">
        <f>IF($A364="","",IF(INDEX('潜水記録'!$Q$5:$Q$3004,$AS364)="","",INDEX('潜水記録'!$Q$5:$Q$3004,$AS364)))</f>
        <v/>
      </c>
      <c r="S364" s="14">
        <f>IF($A364="","",IF(INDEX('潜水記録'!$R$5:$R$3004,$AS364)="","",INDEX('潜水記録'!$R$5:$R$3004,$AS364)))</f>
        <v/>
      </c>
      <c r="T364" s="14">
        <f>IF($A364="","",IF(INDEX('潜水記録'!$S$5:$S$3004,$AS364)="","",INDEX('潜水記録'!$S$5:$S$3004,$AS364)))</f>
        <v/>
      </c>
      <c r="U364" s="14">
        <f>IF($A364="","",IF(INDEX('潜水記録'!$T$5:$T$3004,$AS364)="","",INDEX('潜水記録'!$T$5:$T$3004,$AS364)))</f>
        <v/>
      </c>
      <c r="V364" s="46">
        <f>IF($A364="","",IF(INDEX('潜水記録'!$U$5:$U$3004,$AS364)="","",INDEX('潜水記録'!$U$5:$U$3004,$AS364)))</f>
        <v/>
      </c>
      <c r="W364" s="46">
        <f>IF($A364="","",IF(INDEX('潜水記録'!$V$5:$V$3004,$AS364)="","",INDEX('潜水記録'!$V$5:$V$3004,$AS364)))</f>
        <v/>
      </c>
      <c r="X364" s="14">
        <f>IF($A364="","",IF(INDEX('潜水記録'!$W$5:$W$3004,$AS364)="","",INDEX('潜水記録'!$W$5:$W$3004,$AS364)))</f>
        <v/>
      </c>
      <c r="Y364" s="14">
        <f>IF($A364="","",IF(INDEX('潜水記録'!$X$5:$X$3004,$AS364)="","",INDEX('潜水記録'!$X$5:$X$3004,$AS364)))</f>
        <v/>
      </c>
      <c r="Z364" s="14">
        <f>IF($A364="","",IF(INDEX('潜水記録'!$Y$5:$Y$3004,$AS364)="","",INDEX('潜水記録'!$Y$5:$Y$3004,$AS364)))</f>
        <v/>
      </c>
      <c r="AA364" s="14">
        <f>IF($A364="","",IF(INDEX('潜水記録'!$Z$5:$Z$3004,$AS364)="","",INDEX('潜水記録'!$Z$5:$Z$3004,$AS364)))</f>
        <v/>
      </c>
      <c r="AB364" s="14">
        <f>IF($A364="","",IF(INDEX('潜水記録'!$AA$5:$AA$3004,$AS364)="","",INDEX('潜水記録'!$AA$5:$AA$3004,$AS364)))</f>
        <v/>
      </c>
      <c r="AC364" s="14">
        <f>IF($A364="","",IF(INDEX('潜水記録'!$AB$5:$AB$3004,$AS364)="","",INDEX('潜水記録'!$AB$5:$AB$3004,$AS364)))</f>
        <v/>
      </c>
      <c r="AD364" s="14">
        <f>IF($A364="","",IF(INDEX('潜水記録'!$AC$5:$AC$3004,$AS364)="","",INDEX('潜水記録'!$AC$5:$AC$3004,$AS364)))</f>
        <v/>
      </c>
      <c r="AE364" s="14">
        <f>IF($A364="","",IF(INDEX('潜水記録'!$AD$5:$AD$3004,$AS364)="","",INDEX('潜水記録'!$AD$5:$AD$3004,$AS364)))</f>
        <v/>
      </c>
      <c r="AF364" s="14">
        <f>IF($A364="","",IF(INDEX('潜水記録'!$AE$5:$AE$3004,$AS364)="","",INDEX('潜水記録'!$AE$5:$AE$3004,$AS364)))</f>
        <v/>
      </c>
      <c r="AG364" s="14">
        <f>IF($A364="","",IF(INDEX('潜水記録'!$AL$5:$AL$3004,$AS364)="","",INDEX('潜水記録'!$AL$5:$AL$3004,$AS364)))</f>
        <v/>
      </c>
      <c r="AH364" s="14">
        <f>IF($A364="","",IF(INDEX('潜水記録'!$AM$5:$AM$3004,$AS364)="","",INDEX('潜水記録'!$AM$5:$AM$3004,$AS364)))</f>
        <v/>
      </c>
      <c r="AI364" s="46">
        <f>IF($A364="","",IF(INDEX('潜水記録'!$AN$5:$AN$3004,$AS364)="","",INDEX('潜水記録'!$AN$5:$AN$3004,$AS364)))</f>
        <v/>
      </c>
      <c r="AJ364" s="14">
        <f>IF($A364="","",IF(INDEX('潜水記録'!$AO$5:$AO$3004,$AS364)="","",INDEX('潜水記録'!$AO$5:$AO$3004,$AS364)))</f>
        <v/>
      </c>
      <c r="AK364" s="14">
        <f>IF($A364="","",IF(INDEX('潜水記録'!$AP$5:$AP$3004,$AS364)="","",INDEX('潜水記録'!$AP$5:$AP$3004,$AS364)))</f>
        <v/>
      </c>
      <c r="AL364" s="14">
        <f>IF($A364="","",IF(INDEX('潜水記録'!$AQ$5:$AQ$3004,$AS364)="","",INDEX('潜水記録'!$AQ$5:$AQ$3004,$AS364)))</f>
        <v/>
      </c>
      <c r="AM364" s="14">
        <f>IF($A364="","",IF(INDEX('潜水記録'!$AR$5:$AR$3004,$AS364)="","",INDEX('潜水記録'!$AR$5:$AR$3004,$AS364)))</f>
        <v/>
      </c>
      <c r="AN364" s="14">
        <f>IF($A364="","",IF(INDEX('潜水記録'!$AS$5:$AS$3004,$AS364)="","",INDEX('潜水記録'!$AS$5:$AS$3004,$AS364)))</f>
        <v/>
      </c>
      <c r="AO364" s="14">
        <f>IF($A364="","",IF(INDEX('潜水記録'!$AT$5:$AT$3004,$AS364)="","",INDEX('潜水記録'!$AT$5:$AT$3004,$AS364)))</f>
        <v/>
      </c>
      <c r="AP364" s="14">
        <f>IF($A364="","",IF(INDEX('潜水記録'!$AU$5:$AU$3004,$AS364)="","",INDEX('潜水記録'!$AU$5:$AU$3004,$AS364)))</f>
        <v/>
      </c>
      <c r="AQ364" s="14">
        <f>IF($A364="","",IF(INDEX('潜水記録'!$AV$5:$AV$3004,$AS364)="","",INDEX('潜水記録'!$AV$5:$AV$3004,$AS364)))</f>
        <v/>
      </c>
      <c r="AR364" s="14">
        <f>IF($A364="","",IF(INDEX('潜水記録'!$AW$5:$AW$3004,$AS364)="","",INDEX('潜水記録'!$AW$5:$AW$3004,$AS364)))</f>
        <v/>
      </c>
      <c r="AS364" s="20">
        <f>IF($A364="","",MATCH($A364,'潜水記録'!$AI$5:$AI$3004,0))</f>
        <v/>
      </c>
    </row>
    <row r="365">
      <c r="A365" s="14">
        <f>IF(355&lt;=$C$8,355,"")</f>
        <v/>
      </c>
      <c r="B365" s="16">
        <f>IF($A365="","",IF(INDEX('潜水記録'!$A$5:$A$3004,$AS365)="","",INDEX('潜水記録'!$A$5:$A$3004,$AS365)))</f>
        <v/>
      </c>
      <c r="C365" s="14">
        <f>IF($A365="","",IF(INDEX('潜水記録'!$B$5:$B$3004,$AS365)="","",INDEX('潜水記録'!$B$5:$B$3004,$AS365)))</f>
        <v/>
      </c>
      <c r="D365" s="14">
        <f>IF($A365="","",IF(INDEX('潜水記録'!$C$5:$C$3004,$AS365)="","",INDEX('潜水記録'!$C$5:$C$3004,$AS365)))</f>
        <v/>
      </c>
      <c r="E365" s="14">
        <f>IF($A365="","",IF(INDEX('潜水記録'!$D$5:$D$3004,$AS365)="","",INDEX('潜水記録'!$D$5:$D$3004,$AS365)))</f>
        <v/>
      </c>
      <c r="F365" s="14">
        <f>IF($A365="","",IF(INDEX('潜水記録'!$E$5:$E$3004,$AS365)="","",INDEX('潜水記録'!$E$5:$E$3004,$AS365)))</f>
        <v/>
      </c>
      <c r="G365" s="14">
        <f>IF($A365="","",IF(INDEX('潜水記録'!$F$5:$F$3004,$AS365)="","",INDEX('潜水記録'!$F$5:$F$3004,$AS365)))</f>
        <v/>
      </c>
      <c r="H365" s="14">
        <f>IF($A365="","",IF(INDEX('潜水記録'!$G$5:$G$3004,$AS365)="","",INDEX('潜水記録'!$G$5:$G$3004,$AS365)))</f>
        <v/>
      </c>
      <c r="I365" s="14">
        <f>IF($A365="","",IF(INDEX('潜水記録'!$H$5:$H$3004,$AS365)="","",INDEX('潜水記録'!$H$5:$H$3004,$AS365)))</f>
        <v/>
      </c>
      <c r="J365" s="14">
        <f>IF($A365="","",IF(INDEX('潜水記録'!$I$5:$I$3004,$AS365)="","",INDEX('潜水記録'!$I$5:$I$3004,$AS365)))</f>
        <v/>
      </c>
      <c r="K365" s="14">
        <f>IF($A365="","",IF(INDEX('潜水記録'!$J$5:$J$3004,$AS365)="","",INDEX('潜水記録'!$J$5:$J$3004,$AS365)))</f>
        <v/>
      </c>
      <c r="L365" s="14">
        <f>IF($A365="","",IF(INDEX('潜水記録'!$K$5:$K$3004,$AS365)="","",INDEX('潜水記録'!$K$5:$K$3004,$AS365)))</f>
        <v/>
      </c>
      <c r="M365" s="14">
        <f>IF($A365="","",IF(INDEX('潜水記録'!$L$5:$L$3004,$AS365)="","",INDEX('潜水記録'!$L$5:$L$3004,$AS365)))</f>
        <v/>
      </c>
      <c r="N365" s="14">
        <f>IF($A365="","",IF(INDEX('潜水記録'!$M$5:$M$3004,$AS365)="","",INDEX('潜水記録'!$M$5:$M$3004,$AS365)))</f>
        <v/>
      </c>
      <c r="O365" s="14">
        <f>IF($A365="","",IF(INDEX('潜水記録'!$N$5:$N$3004,$AS365)="","",INDEX('潜水記録'!$N$5:$N$3004,$AS365)))</f>
        <v/>
      </c>
      <c r="P365" s="14">
        <f>IF($A365="","",IF(INDEX('潜水記録'!$O$5:$O$3004,$AS365)="","",INDEX('潜水記録'!$O$5:$O$3004,$AS365)))</f>
        <v/>
      </c>
      <c r="Q365" s="14">
        <f>IF($A365="","",IF(INDEX('潜水記録'!$P$5:$P$3004,$AS365)="","",INDEX('潜水記録'!$P$5:$P$3004,$AS365)))</f>
        <v/>
      </c>
      <c r="R365" s="14">
        <f>IF($A365="","",IF(INDEX('潜水記録'!$Q$5:$Q$3004,$AS365)="","",INDEX('潜水記録'!$Q$5:$Q$3004,$AS365)))</f>
        <v/>
      </c>
      <c r="S365" s="14">
        <f>IF($A365="","",IF(INDEX('潜水記録'!$R$5:$R$3004,$AS365)="","",INDEX('潜水記録'!$R$5:$R$3004,$AS365)))</f>
        <v/>
      </c>
      <c r="T365" s="14">
        <f>IF($A365="","",IF(INDEX('潜水記録'!$S$5:$S$3004,$AS365)="","",INDEX('潜水記録'!$S$5:$S$3004,$AS365)))</f>
        <v/>
      </c>
      <c r="U365" s="14">
        <f>IF($A365="","",IF(INDEX('潜水記録'!$T$5:$T$3004,$AS365)="","",INDEX('潜水記録'!$T$5:$T$3004,$AS365)))</f>
        <v/>
      </c>
      <c r="V365" s="46">
        <f>IF($A365="","",IF(INDEX('潜水記録'!$U$5:$U$3004,$AS365)="","",INDEX('潜水記録'!$U$5:$U$3004,$AS365)))</f>
        <v/>
      </c>
      <c r="W365" s="46">
        <f>IF($A365="","",IF(INDEX('潜水記録'!$V$5:$V$3004,$AS365)="","",INDEX('潜水記録'!$V$5:$V$3004,$AS365)))</f>
        <v/>
      </c>
      <c r="X365" s="14">
        <f>IF($A365="","",IF(INDEX('潜水記録'!$W$5:$W$3004,$AS365)="","",INDEX('潜水記録'!$W$5:$W$3004,$AS365)))</f>
        <v/>
      </c>
      <c r="Y365" s="14">
        <f>IF($A365="","",IF(INDEX('潜水記録'!$X$5:$X$3004,$AS365)="","",INDEX('潜水記録'!$X$5:$X$3004,$AS365)))</f>
        <v/>
      </c>
      <c r="Z365" s="14">
        <f>IF($A365="","",IF(INDEX('潜水記録'!$Y$5:$Y$3004,$AS365)="","",INDEX('潜水記録'!$Y$5:$Y$3004,$AS365)))</f>
        <v/>
      </c>
      <c r="AA365" s="14">
        <f>IF($A365="","",IF(INDEX('潜水記録'!$Z$5:$Z$3004,$AS365)="","",INDEX('潜水記録'!$Z$5:$Z$3004,$AS365)))</f>
        <v/>
      </c>
      <c r="AB365" s="14">
        <f>IF($A365="","",IF(INDEX('潜水記録'!$AA$5:$AA$3004,$AS365)="","",INDEX('潜水記録'!$AA$5:$AA$3004,$AS365)))</f>
        <v/>
      </c>
      <c r="AC365" s="14">
        <f>IF($A365="","",IF(INDEX('潜水記録'!$AB$5:$AB$3004,$AS365)="","",INDEX('潜水記録'!$AB$5:$AB$3004,$AS365)))</f>
        <v/>
      </c>
      <c r="AD365" s="14">
        <f>IF($A365="","",IF(INDEX('潜水記録'!$AC$5:$AC$3004,$AS365)="","",INDEX('潜水記録'!$AC$5:$AC$3004,$AS365)))</f>
        <v/>
      </c>
      <c r="AE365" s="14">
        <f>IF($A365="","",IF(INDEX('潜水記録'!$AD$5:$AD$3004,$AS365)="","",INDEX('潜水記録'!$AD$5:$AD$3004,$AS365)))</f>
        <v/>
      </c>
      <c r="AF365" s="14">
        <f>IF($A365="","",IF(INDEX('潜水記録'!$AE$5:$AE$3004,$AS365)="","",INDEX('潜水記録'!$AE$5:$AE$3004,$AS365)))</f>
        <v/>
      </c>
      <c r="AG365" s="14">
        <f>IF($A365="","",IF(INDEX('潜水記録'!$AL$5:$AL$3004,$AS365)="","",INDEX('潜水記録'!$AL$5:$AL$3004,$AS365)))</f>
        <v/>
      </c>
      <c r="AH365" s="14">
        <f>IF($A365="","",IF(INDEX('潜水記録'!$AM$5:$AM$3004,$AS365)="","",INDEX('潜水記録'!$AM$5:$AM$3004,$AS365)))</f>
        <v/>
      </c>
      <c r="AI365" s="46">
        <f>IF($A365="","",IF(INDEX('潜水記録'!$AN$5:$AN$3004,$AS365)="","",INDEX('潜水記録'!$AN$5:$AN$3004,$AS365)))</f>
        <v/>
      </c>
      <c r="AJ365" s="14">
        <f>IF($A365="","",IF(INDEX('潜水記録'!$AO$5:$AO$3004,$AS365)="","",INDEX('潜水記録'!$AO$5:$AO$3004,$AS365)))</f>
        <v/>
      </c>
      <c r="AK365" s="14">
        <f>IF($A365="","",IF(INDEX('潜水記録'!$AP$5:$AP$3004,$AS365)="","",INDEX('潜水記録'!$AP$5:$AP$3004,$AS365)))</f>
        <v/>
      </c>
      <c r="AL365" s="14">
        <f>IF($A365="","",IF(INDEX('潜水記録'!$AQ$5:$AQ$3004,$AS365)="","",INDEX('潜水記録'!$AQ$5:$AQ$3004,$AS365)))</f>
        <v/>
      </c>
      <c r="AM365" s="14">
        <f>IF($A365="","",IF(INDEX('潜水記録'!$AR$5:$AR$3004,$AS365)="","",INDEX('潜水記録'!$AR$5:$AR$3004,$AS365)))</f>
        <v/>
      </c>
      <c r="AN365" s="14">
        <f>IF($A365="","",IF(INDEX('潜水記録'!$AS$5:$AS$3004,$AS365)="","",INDEX('潜水記録'!$AS$5:$AS$3004,$AS365)))</f>
        <v/>
      </c>
      <c r="AO365" s="14">
        <f>IF($A365="","",IF(INDEX('潜水記録'!$AT$5:$AT$3004,$AS365)="","",INDEX('潜水記録'!$AT$5:$AT$3004,$AS365)))</f>
        <v/>
      </c>
      <c r="AP365" s="14">
        <f>IF($A365="","",IF(INDEX('潜水記録'!$AU$5:$AU$3004,$AS365)="","",INDEX('潜水記録'!$AU$5:$AU$3004,$AS365)))</f>
        <v/>
      </c>
      <c r="AQ365" s="14">
        <f>IF($A365="","",IF(INDEX('潜水記録'!$AV$5:$AV$3004,$AS365)="","",INDEX('潜水記録'!$AV$5:$AV$3004,$AS365)))</f>
        <v/>
      </c>
      <c r="AR365" s="14">
        <f>IF($A365="","",IF(INDEX('潜水記録'!$AW$5:$AW$3004,$AS365)="","",INDEX('潜水記録'!$AW$5:$AW$3004,$AS365)))</f>
        <v/>
      </c>
      <c r="AS365" s="20">
        <f>IF($A365="","",MATCH($A365,'潜水記録'!$AI$5:$AI$3004,0))</f>
        <v/>
      </c>
    </row>
    <row r="366">
      <c r="A366" s="14">
        <f>IF(356&lt;=$C$8,356,"")</f>
        <v/>
      </c>
      <c r="B366" s="16">
        <f>IF($A366="","",IF(INDEX('潜水記録'!$A$5:$A$3004,$AS366)="","",INDEX('潜水記録'!$A$5:$A$3004,$AS366)))</f>
        <v/>
      </c>
      <c r="C366" s="14">
        <f>IF($A366="","",IF(INDEX('潜水記録'!$B$5:$B$3004,$AS366)="","",INDEX('潜水記録'!$B$5:$B$3004,$AS366)))</f>
        <v/>
      </c>
      <c r="D366" s="14">
        <f>IF($A366="","",IF(INDEX('潜水記録'!$C$5:$C$3004,$AS366)="","",INDEX('潜水記録'!$C$5:$C$3004,$AS366)))</f>
        <v/>
      </c>
      <c r="E366" s="14">
        <f>IF($A366="","",IF(INDEX('潜水記録'!$D$5:$D$3004,$AS366)="","",INDEX('潜水記録'!$D$5:$D$3004,$AS366)))</f>
        <v/>
      </c>
      <c r="F366" s="14">
        <f>IF($A366="","",IF(INDEX('潜水記録'!$E$5:$E$3004,$AS366)="","",INDEX('潜水記録'!$E$5:$E$3004,$AS366)))</f>
        <v/>
      </c>
      <c r="G366" s="14">
        <f>IF($A366="","",IF(INDEX('潜水記録'!$F$5:$F$3004,$AS366)="","",INDEX('潜水記録'!$F$5:$F$3004,$AS366)))</f>
        <v/>
      </c>
      <c r="H366" s="14">
        <f>IF($A366="","",IF(INDEX('潜水記録'!$G$5:$G$3004,$AS366)="","",INDEX('潜水記録'!$G$5:$G$3004,$AS366)))</f>
        <v/>
      </c>
      <c r="I366" s="14">
        <f>IF($A366="","",IF(INDEX('潜水記録'!$H$5:$H$3004,$AS366)="","",INDEX('潜水記録'!$H$5:$H$3004,$AS366)))</f>
        <v/>
      </c>
      <c r="J366" s="14">
        <f>IF($A366="","",IF(INDEX('潜水記録'!$I$5:$I$3004,$AS366)="","",INDEX('潜水記録'!$I$5:$I$3004,$AS366)))</f>
        <v/>
      </c>
      <c r="K366" s="14">
        <f>IF($A366="","",IF(INDEX('潜水記録'!$J$5:$J$3004,$AS366)="","",INDEX('潜水記録'!$J$5:$J$3004,$AS366)))</f>
        <v/>
      </c>
      <c r="L366" s="14">
        <f>IF($A366="","",IF(INDEX('潜水記録'!$K$5:$K$3004,$AS366)="","",INDEX('潜水記録'!$K$5:$K$3004,$AS366)))</f>
        <v/>
      </c>
      <c r="M366" s="14">
        <f>IF($A366="","",IF(INDEX('潜水記録'!$L$5:$L$3004,$AS366)="","",INDEX('潜水記録'!$L$5:$L$3004,$AS366)))</f>
        <v/>
      </c>
      <c r="N366" s="14">
        <f>IF($A366="","",IF(INDEX('潜水記録'!$M$5:$M$3004,$AS366)="","",INDEX('潜水記録'!$M$5:$M$3004,$AS366)))</f>
        <v/>
      </c>
      <c r="O366" s="14">
        <f>IF($A366="","",IF(INDEX('潜水記録'!$N$5:$N$3004,$AS366)="","",INDEX('潜水記録'!$N$5:$N$3004,$AS366)))</f>
        <v/>
      </c>
      <c r="P366" s="14">
        <f>IF($A366="","",IF(INDEX('潜水記録'!$O$5:$O$3004,$AS366)="","",INDEX('潜水記録'!$O$5:$O$3004,$AS366)))</f>
        <v/>
      </c>
      <c r="Q366" s="14">
        <f>IF($A366="","",IF(INDEX('潜水記録'!$P$5:$P$3004,$AS366)="","",INDEX('潜水記録'!$P$5:$P$3004,$AS366)))</f>
        <v/>
      </c>
      <c r="R366" s="14">
        <f>IF($A366="","",IF(INDEX('潜水記録'!$Q$5:$Q$3004,$AS366)="","",INDEX('潜水記録'!$Q$5:$Q$3004,$AS366)))</f>
        <v/>
      </c>
      <c r="S366" s="14">
        <f>IF($A366="","",IF(INDEX('潜水記録'!$R$5:$R$3004,$AS366)="","",INDEX('潜水記録'!$R$5:$R$3004,$AS366)))</f>
        <v/>
      </c>
      <c r="T366" s="14">
        <f>IF($A366="","",IF(INDEX('潜水記録'!$S$5:$S$3004,$AS366)="","",INDEX('潜水記録'!$S$5:$S$3004,$AS366)))</f>
        <v/>
      </c>
      <c r="U366" s="14">
        <f>IF($A366="","",IF(INDEX('潜水記録'!$T$5:$T$3004,$AS366)="","",INDEX('潜水記録'!$T$5:$T$3004,$AS366)))</f>
        <v/>
      </c>
      <c r="V366" s="46">
        <f>IF($A366="","",IF(INDEX('潜水記録'!$U$5:$U$3004,$AS366)="","",INDEX('潜水記録'!$U$5:$U$3004,$AS366)))</f>
        <v/>
      </c>
      <c r="W366" s="46">
        <f>IF($A366="","",IF(INDEX('潜水記録'!$V$5:$V$3004,$AS366)="","",INDEX('潜水記録'!$V$5:$V$3004,$AS366)))</f>
        <v/>
      </c>
      <c r="X366" s="14">
        <f>IF($A366="","",IF(INDEX('潜水記録'!$W$5:$W$3004,$AS366)="","",INDEX('潜水記録'!$W$5:$W$3004,$AS366)))</f>
        <v/>
      </c>
      <c r="Y366" s="14">
        <f>IF($A366="","",IF(INDEX('潜水記録'!$X$5:$X$3004,$AS366)="","",INDEX('潜水記録'!$X$5:$X$3004,$AS366)))</f>
        <v/>
      </c>
      <c r="Z366" s="14">
        <f>IF($A366="","",IF(INDEX('潜水記録'!$Y$5:$Y$3004,$AS366)="","",INDEX('潜水記録'!$Y$5:$Y$3004,$AS366)))</f>
        <v/>
      </c>
      <c r="AA366" s="14">
        <f>IF($A366="","",IF(INDEX('潜水記録'!$Z$5:$Z$3004,$AS366)="","",INDEX('潜水記録'!$Z$5:$Z$3004,$AS366)))</f>
        <v/>
      </c>
      <c r="AB366" s="14">
        <f>IF($A366="","",IF(INDEX('潜水記録'!$AA$5:$AA$3004,$AS366)="","",INDEX('潜水記録'!$AA$5:$AA$3004,$AS366)))</f>
        <v/>
      </c>
      <c r="AC366" s="14">
        <f>IF($A366="","",IF(INDEX('潜水記録'!$AB$5:$AB$3004,$AS366)="","",INDEX('潜水記録'!$AB$5:$AB$3004,$AS366)))</f>
        <v/>
      </c>
      <c r="AD366" s="14">
        <f>IF($A366="","",IF(INDEX('潜水記録'!$AC$5:$AC$3004,$AS366)="","",INDEX('潜水記録'!$AC$5:$AC$3004,$AS366)))</f>
        <v/>
      </c>
      <c r="AE366" s="14">
        <f>IF($A366="","",IF(INDEX('潜水記録'!$AD$5:$AD$3004,$AS366)="","",INDEX('潜水記録'!$AD$5:$AD$3004,$AS366)))</f>
        <v/>
      </c>
      <c r="AF366" s="14">
        <f>IF($A366="","",IF(INDEX('潜水記録'!$AE$5:$AE$3004,$AS366)="","",INDEX('潜水記録'!$AE$5:$AE$3004,$AS366)))</f>
        <v/>
      </c>
      <c r="AG366" s="14">
        <f>IF($A366="","",IF(INDEX('潜水記録'!$AL$5:$AL$3004,$AS366)="","",INDEX('潜水記録'!$AL$5:$AL$3004,$AS366)))</f>
        <v/>
      </c>
      <c r="AH366" s="14">
        <f>IF($A366="","",IF(INDEX('潜水記録'!$AM$5:$AM$3004,$AS366)="","",INDEX('潜水記録'!$AM$5:$AM$3004,$AS366)))</f>
        <v/>
      </c>
      <c r="AI366" s="46">
        <f>IF($A366="","",IF(INDEX('潜水記録'!$AN$5:$AN$3004,$AS366)="","",INDEX('潜水記録'!$AN$5:$AN$3004,$AS366)))</f>
        <v/>
      </c>
      <c r="AJ366" s="14">
        <f>IF($A366="","",IF(INDEX('潜水記録'!$AO$5:$AO$3004,$AS366)="","",INDEX('潜水記録'!$AO$5:$AO$3004,$AS366)))</f>
        <v/>
      </c>
      <c r="AK366" s="14">
        <f>IF($A366="","",IF(INDEX('潜水記録'!$AP$5:$AP$3004,$AS366)="","",INDEX('潜水記録'!$AP$5:$AP$3004,$AS366)))</f>
        <v/>
      </c>
      <c r="AL366" s="14">
        <f>IF($A366="","",IF(INDEX('潜水記録'!$AQ$5:$AQ$3004,$AS366)="","",INDEX('潜水記録'!$AQ$5:$AQ$3004,$AS366)))</f>
        <v/>
      </c>
      <c r="AM366" s="14">
        <f>IF($A366="","",IF(INDEX('潜水記録'!$AR$5:$AR$3004,$AS366)="","",INDEX('潜水記録'!$AR$5:$AR$3004,$AS366)))</f>
        <v/>
      </c>
      <c r="AN366" s="14">
        <f>IF($A366="","",IF(INDEX('潜水記録'!$AS$5:$AS$3004,$AS366)="","",INDEX('潜水記録'!$AS$5:$AS$3004,$AS366)))</f>
        <v/>
      </c>
      <c r="AO366" s="14">
        <f>IF($A366="","",IF(INDEX('潜水記録'!$AT$5:$AT$3004,$AS366)="","",INDEX('潜水記録'!$AT$5:$AT$3004,$AS366)))</f>
        <v/>
      </c>
      <c r="AP366" s="14">
        <f>IF($A366="","",IF(INDEX('潜水記録'!$AU$5:$AU$3004,$AS366)="","",INDEX('潜水記録'!$AU$5:$AU$3004,$AS366)))</f>
        <v/>
      </c>
      <c r="AQ366" s="14">
        <f>IF($A366="","",IF(INDEX('潜水記録'!$AV$5:$AV$3004,$AS366)="","",INDEX('潜水記録'!$AV$5:$AV$3004,$AS366)))</f>
        <v/>
      </c>
      <c r="AR366" s="14">
        <f>IF($A366="","",IF(INDEX('潜水記録'!$AW$5:$AW$3004,$AS366)="","",INDEX('潜水記録'!$AW$5:$AW$3004,$AS366)))</f>
        <v/>
      </c>
      <c r="AS366" s="20">
        <f>IF($A366="","",MATCH($A366,'潜水記録'!$AI$5:$AI$3004,0))</f>
        <v/>
      </c>
    </row>
    <row r="367">
      <c r="A367" s="14">
        <f>IF(357&lt;=$C$8,357,"")</f>
        <v/>
      </c>
      <c r="B367" s="16">
        <f>IF($A367="","",IF(INDEX('潜水記録'!$A$5:$A$3004,$AS367)="","",INDEX('潜水記録'!$A$5:$A$3004,$AS367)))</f>
        <v/>
      </c>
      <c r="C367" s="14">
        <f>IF($A367="","",IF(INDEX('潜水記録'!$B$5:$B$3004,$AS367)="","",INDEX('潜水記録'!$B$5:$B$3004,$AS367)))</f>
        <v/>
      </c>
      <c r="D367" s="14">
        <f>IF($A367="","",IF(INDEX('潜水記録'!$C$5:$C$3004,$AS367)="","",INDEX('潜水記録'!$C$5:$C$3004,$AS367)))</f>
        <v/>
      </c>
      <c r="E367" s="14">
        <f>IF($A367="","",IF(INDEX('潜水記録'!$D$5:$D$3004,$AS367)="","",INDEX('潜水記録'!$D$5:$D$3004,$AS367)))</f>
        <v/>
      </c>
      <c r="F367" s="14">
        <f>IF($A367="","",IF(INDEX('潜水記録'!$E$5:$E$3004,$AS367)="","",INDEX('潜水記録'!$E$5:$E$3004,$AS367)))</f>
        <v/>
      </c>
      <c r="G367" s="14">
        <f>IF($A367="","",IF(INDEX('潜水記録'!$F$5:$F$3004,$AS367)="","",INDEX('潜水記録'!$F$5:$F$3004,$AS367)))</f>
        <v/>
      </c>
      <c r="H367" s="14">
        <f>IF($A367="","",IF(INDEX('潜水記録'!$G$5:$G$3004,$AS367)="","",INDEX('潜水記録'!$G$5:$G$3004,$AS367)))</f>
        <v/>
      </c>
      <c r="I367" s="14">
        <f>IF($A367="","",IF(INDEX('潜水記録'!$H$5:$H$3004,$AS367)="","",INDEX('潜水記録'!$H$5:$H$3004,$AS367)))</f>
        <v/>
      </c>
      <c r="J367" s="14">
        <f>IF($A367="","",IF(INDEX('潜水記録'!$I$5:$I$3004,$AS367)="","",INDEX('潜水記録'!$I$5:$I$3004,$AS367)))</f>
        <v/>
      </c>
      <c r="K367" s="14">
        <f>IF($A367="","",IF(INDEX('潜水記録'!$J$5:$J$3004,$AS367)="","",INDEX('潜水記録'!$J$5:$J$3004,$AS367)))</f>
        <v/>
      </c>
      <c r="L367" s="14">
        <f>IF($A367="","",IF(INDEX('潜水記録'!$K$5:$K$3004,$AS367)="","",INDEX('潜水記録'!$K$5:$K$3004,$AS367)))</f>
        <v/>
      </c>
      <c r="M367" s="14">
        <f>IF($A367="","",IF(INDEX('潜水記録'!$L$5:$L$3004,$AS367)="","",INDEX('潜水記録'!$L$5:$L$3004,$AS367)))</f>
        <v/>
      </c>
      <c r="N367" s="14">
        <f>IF($A367="","",IF(INDEX('潜水記録'!$M$5:$M$3004,$AS367)="","",INDEX('潜水記録'!$M$5:$M$3004,$AS367)))</f>
        <v/>
      </c>
      <c r="O367" s="14">
        <f>IF($A367="","",IF(INDEX('潜水記録'!$N$5:$N$3004,$AS367)="","",INDEX('潜水記録'!$N$5:$N$3004,$AS367)))</f>
        <v/>
      </c>
      <c r="P367" s="14">
        <f>IF($A367="","",IF(INDEX('潜水記録'!$O$5:$O$3004,$AS367)="","",INDEX('潜水記録'!$O$5:$O$3004,$AS367)))</f>
        <v/>
      </c>
      <c r="Q367" s="14">
        <f>IF($A367="","",IF(INDEX('潜水記録'!$P$5:$P$3004,$AS367)="","",INDEX('潜水記録'!$P$5:$P$3004,$AS367)))</f>
        <v/>
      </c>
      <c r="R367" s="14">
        <f>IF($A367="","",IF(INDEX('潜水記録'!$Q$5:$Q$3004,$AS367)="","",INDEX('潜水記録'!$Q$5:$Q$3004,$AS367)))</f>
        <v/>
      </c>
      <c r="S367" s="14">
        <f>IF($A367="","",IF(INDEX('潜水記録'!$R$5:$R$3004,$AS367)="","",INDEX('潜水記録'!$R$5:$R$3004,$AS367)))</f>
        <v/>
      </c>
      <c r="T367" s="14">
        <f>IF($A367="","",IF(INDEX('潜水記録'!$S$5:$S$3004,$AS367)="","",INDEX('潜水記録'!$S$5:$S$3004,$AS367)))</f>
        <v/>
      </c>
      <c r="U367" s="14">
        <f>IF($A367="","",IF(INDEX('潜水記録'!$T$5:$T$3004,$AS367)="","",INDEX('潜水記録'!$T$5:$T$3004,$AS367)))</f>
        <v/>
      </c>
      <c r="V367" s="46">
        <f>IF($A367="","",IF(INDEX('潜水記録'!$U$5:$U$3004,$AS367)="","",INDEX('潜水記録'!$U$5:$U$3004,$AS367)))</f>
        <v/>
      </c>
      <c r="W367" s="46">
        <f>IF($A367="","",IF(INDEX('潜水記録'!$V$5:$V$3004,$AS367)="","",INDEX('潜水記録'!$V$5:$V$3004,$AS367)))</f>
        <v/>
      </c>
      <c r="X367" s="14">
        <f>IF($A367="","",IF(INDEX('潜水記録'!$W$5:$W$3004,$AS367)="","",INDEX('潜水記録'!$W$5:$W$3004,$AS367)))</f>
        <v/>
      </c>
      <c r="Y367" s="14">
        <f>IF($A367="","",IF(INDEX('潜水記録'!$X$5:$X$3004,$AS367)="","",INDEX('潜水記録'!$X$5:$X$3004,$AS367)))</f>
        <v/>
      </c>
      <c r="Z367" s="14">
        <f>IF($A367="","",IF(INDEX('潜水記録'!$Y$5:$Y$3004,$AS367)="","",INDEX('潜水記録'!$Y$5:$Y$3004,$AS367)))</f>
        <v/>
      </c>
      <c r="AA367" s="14">
        <f>IF($A367="","",IF(INDEX('潜水記録'!$Z$5:$Z$3004,$AS367)="","",INDEX('潜水記録'!$Z$5:$Z$3004,$AS367)))</f>
        <v/>
      </c>
      <c r="AB367" s="14">
        <f>IF($A367="","",IF(INDEX('潜水記録'!$AA$5:$AA$3004,$AS367)="","",INDEX('潜水記録'!$AA$5:$AA$3004,$AS367)))</f>
        <v/>
      </c>
      <c r="AC367" s="14">
        <f>IF($A367="","",IF(INDEX('潜水記録'!$AB$5:$AB$3004,$AS367)="","",INDEX('潜水記録'!$AB$5:$AB$3004,$AS367)))</f>
        <v/>
      </c>
      <c r="AD367" s="14">
        <f>IF($A367="","",IF(INDEX('潜水記録'!$AC$5:$AC$3004,$AS367)="","",INDEX('潜水記録'!$AC$5:$AC$3004,$AS367)))</f>
        <v/>
      </c>
      <c r="AE367" s="14">
        <f>IF($A367="","",IF(INDEX('潜水記録'!$AD$5:$AD$3004,$AS367)="","",INDEX('潜水記録'!$AD$5:$AD$3004,$AS367)))</f>
        <v/>
      </c>
      <c r="AF367" s="14">
        <f>IF($A367="","",IF(INDEX('潜水記録'!$AE$5:$AE$3004,$AS367)="","",INDEX('潜水記録'!$AE$5:$AE$3004,$AS367)))</f>
        <v/>
      </c>
      <c r="AG367" s="14">
        <f>IF($A367="","",IF(INDEX('潜水記録'!$AL$5:$AL$3004,$AS367)="","",INDEX('潜水記録'!$AL$5:$AL$3004,$AS367)))</f>
        <v/>
      </c>
      <c r="AH367" s="14">
        <f>IF($A367="","",IF(INDEX('潜水記録'!$AM$5:$AM$3004,$AS367)="","",INDEX('潜水記録'!$AM$5:$AM$3004,$AS367)))</f>
        <v/>
      </c>
      <c r="AI367" s="46">
        <f>IF($A367="","",IF(INDEX('潜水記録'!$AN$5:$AN$3004,$AS367)="","",INDEX('潜水記録'!$AN$5:$AN$3004,$AS367)))</f>
        <v/>
      </c>
      <c r="AJ367" s="14">
        <f>IF($A367="","",IF(INDEX('潜水記録'!$AO$5:$AO$3004,$AS367)="","",INDEX('潜水記録'!$AO$5:$AO$3004,$AS367)))</f>
        <v/>
      </c>
      <c r="AK367" s="14">
        <f>IF($A367="","",IF(INDEX('潜水記録'!$AP$5:$AP$3004,$AS367)="","",INDEX('潜水記録'!$AP$5:$AP$3004,$AS367)))</f>
        <v/>
      </c>
      <c r="AL367" s="14">
        <f>IF($A367="","",IF(INDEX('潜水記録'!$AQ$5:$AQ$3004,$AS367)="","",INDEX('潜水記録'!$AQ$5:$AQ$3004,$AS367)))</f>
        <v/>
      </c>
      <c r="AM367" s="14">
        <f>IF($A367="","",IF(INDEX('潜水記録'!$AR$5:$AR$3004,$AS367)="","",INDEX('潜水記録'!$AR$5:$AR$3004,$AS367)))</f>
        <v/>
      </c>
      <c r="AN367" s="14">
        <f>IF($A367="","",IF(INDEX('潜水記録'!$AS$5:$AS$3004,$AS367)="","",INDEX('潜水記録'!$AS$5:$AS$3004,$AS367)))</f>
        <v/>
      </c>
      <c r="AO367" s="14">
        <f>IF($A367="","",IF(INDEX('潜水記録'!$AT$5:$AT$3004,$AS367)="","",INDEX('潜水記録'!$AT$5:$AT$3004,$AS367)))</f>
        <v/>
      </c>
      <c r="AP367" s="14">
        <f>IF($A367="","",IF(INDEX('潜水記録'!$AU$5:$AU$3004,$AS367)="","",INDEX('潜水記録'!$AU$5:$AU$3004,$AS367)))</f>
        <v/>
      </c>
      <c r="AQ367" s="14">
        <f>IF($A367="","",IF(INDEX('潜水記録'!$AV$5:$AV$3004,$AS367)="","",INDEX('潜水記録'!$AV$5:$AV$3004,$AS367)))</f>
        <v/>
      </c>
      <c r="AR367" s="14">
        <f>IF($A367="","",IF(INDEX('潜水記録'!$AW$5:$AW$3004,$AS367)="","",INDEX('潜水記録'!$AW$5:$AW$3004,$AS367)))</f>
        <v/>
      </c>
      <c r="AS367" s="20">
        <f>IF($A367="","",MATCH($A367,'潜水記録'!$AI$5:$AI$3004,0))</f>
        <v/>
      </c>
    </row>
    <row r="368">
      <c r="A368" s="14">
        <f>IF(358&lt;=$C$8,358,"")</f>
        <v/>
      </c>
      <c r="B368" s="16">
        <f>IF($A368="","",IF(INDEX('潜水記録'!$A$5:$A$3004,$AS368)="","",INDEX('潜水記録'!$A$5:$A$3004,$AS368)))</f>
        <v/>
      </c>
      <c r="C368" s="14">
        <f>IF($A368="","",IF(INDEX('潜水記録'!$B$5:$B$3004,$AS368)="","",INDEX('潜水記録'!$B$5:$B$3004,$AS368)))</f>
        <v/>
      </c>
      <c r="D368" s="14">
        <f>IF($A368="","",IF(INDEX('潜水記録'!$C$5:$C$3004,$AS368)="","",INDEX('潜水記録'!$C$5:$C$3004,$AS368)))</f>
        <v/>
      </c>
      <c r="E368" s="14">
        <f>IF($A368="","",IF(INDEX('潜水記録'!$D$5:$D$3004,$AS368)="","",INDEX('潜水記録'!$D$5:$D$3004,$AS368)))</f>
        <v/>
      </c>
      <c r="F368" s="14">
        <f>IF($A368="","",IF(INDEX('潜水記録'!$E$5:$E$3004,$AS368)="","",INDEX('潜水記録'!$E$5:$E$3004,$AS368)))</f>
        <v/>
      </c>
      <c r="G368" s="14">
        <f>IF($A368="","",IF(INDEX('潜水記録'!$F$5:$F$3004,$AS368)="","",INDEX('潜水記録'!$F$5:$F$3004,$AS368)))</f>
        <v/>
      </c>
      <c r="H368" s="14">
        <f>IF($A368="","",IF(INDEX('潜水記録'!$G$5:$G$3004,$AS368)="","",INDEX('潜水記録'!$G$5:$G$3004,$AS368)))</f>
        <v/>
      </c>
      <c r="I368" s="14">
        <f>IF($A368="","",IF(INDEX('潜水記録'!$H$5:$H$3004,$AS368)="","",INDEX('潜水記録'!$H$5:$H$3004,$AS368)))</f>
        <v/>
      </c>
      <c r="J368" s="14">
        <f>IF($A368="","",IF(INDEX('潜水記録'!$I$5:$I$3004,$AS368)="","",INDEX('潜水記録'!$I$5:$I$3004,$AS368)))</f>
        <v/>
      </c>
      <c r="K368" s="14">
        <f>IF($A368="","",IF(INDEX('潜水記録'!$J$5:$J$3004,$AS368)="","",INDEX('潜水記録'!$J$5:$J$3004,$AS368)))</f>
        <v/>
      </c>
      <c r="L368" s="14">
        <f>IF($A368="","",IF(INDEX('潜水記録'!$K$5:$K$3004,$AS368)="","",INDEX('潜水記録'!$K$5:$K$3004,$AS368)))</f>
        <v/>
      </c>
      <c r="M368" s="14">
        <f>IF($A368="","",IF(INDEX('潜水記録'!$L$5:$L$3004,$AS368)="","",INDEX('潜水記録'!$L$5:$L$3004,$AS368)))</f>
        <v/>
      </c>
      <c r="N368" s="14">
        <f>IF($A368="","",IF(INDEX('潜水記録'!$M$5:$M$3004,$AS368)="","",INDEX('潜水記録'!$M$5:$M$3004,$AS368)))</f>
        <v/>
      </c>
      <c r="O368" s="14">
        <f>IF($A368="","",IF(INDEX('潜水記録'!$N$5:$N$3004,$AS368)="","",INDEX('潜水記録'!$N$5:$N$3004,$AS368)))</f>
        <v/>
      </c>
      <c r="P368" s="14">
        <f>IF($A368="","",IF(INDEX('潜水記録'!$O$5:$O$3004,$AS368)="","",INDEX('潜水記録'!$O$5:$O$3004,$AS368)))</f>
        <v/>
      </c>
      <c r="Q368" s="14">
        <f>IF($A368="","",IF(INDEX('潜水記録'!$P$5:$P$3004,$AS368)="","",INDEX('潜水記録'!$P$5:$P$3004,$AS368)))</f>
        <v/>
      </c>
      <c r="R368" s="14">
        <f>IF($A368="","",IF(INDEX('潜水記録'!$Q$5:$Q$3004,$AS368)="","",INDEX('潜水記録'!$Q$5:$Q$3004,$AS368)))</f>
        <v/>
      </c>
      <c r="S368" s="14">
        <f>IF($A368="","",IF(INDEX('潜水記録'!$R$5:$R$3004,$AS368)="","",INDEX('潜水記録'!$R$5:$R$3004,$AS368)))</f>
        <v/>
      </c>
      <c r="T368" s="14">
        <f>IF($A368="","",IF(INDEX('潜水記録'!$S$5:$S$3004,$AS368)="","",INDEX('潜水記録'!$S$5:$S$3004,$AS368)))</f>
        <v/>
      </c>
      <c r="U368" s="14">
        <f>IF($A368="","",IF(INDEX('潜水記録'!$T$5:$T$3004,$AS368)="","",INDEX('潜水記録'!$T$5:$T$3004,$AS368)))</f>
        <v/>
      </c>
      <c r="V368" s="46">
        <f>IF($A368="","",IF(INDEX('潜水記録'!$U$5:$U$3004,$AS368)="","",INDEX('潜水記録'!$U$5:$U$3004,$AS368)))</f>
        <v/>
      </c>
      <c r="W368" s="46">
        <f>IF($A368="","",IF(INDEX('潜水記録'!$V$5:$V$3004,$AS368)="","",INDEX('潜水記録'!$V$5:$V$3004,$AS368)))</f>
        <v/>
      </c>
      <c r="X368" s="14">
        <f>IF($A368="","",IF(INDEX('潜水記録'!$W$5:$W$3004,$AS368)="","",INDEX('潜水記録'!$W$5:$W$3004,$AS368)))</f>
        <v/>
      </c>
      <c r="Y368" s="14">
        <f>IF($A368="","",IF(INDEX('潜水記録'!$X$5:$X$3004,$AS368)="","",INDEX('潜水記録'!$X$5:$X$3004,$AS368)))</f>
        <v/>
      </c>
      <c r="Z368" s="14">
        <f>IF($A368="","",IF(INDEX('潜水記録'!$Y$5:$Y$3004,$AS368)="","",INDEX('潜水記録'!$Y$5:$Y$3004,$AS368)))</f>
        <v/>
      </c>
      <c r="AA368" s="14">
        <f>IF($A368="","",IF(INDEX('潜水記録'!$Z$5:$Z$3004,$AS368)="","",INDEX('潜水記録'!$Z$5:$Z$3004,$AS368)))</f>
        <v/>
      </c>
      <c r="AB368" s="14">
        <f>IF($A368="","",IF(INDEX('潜水記録'!$AA$5:$AA$3004,$AS368)="","",INDEX('潜水記録'!$AA$5:$AA$3004,$AS368)))</f>
        <v/>
      </c>
      <c r="AC368" s="14">
        <f>IF($A368="","",IF(INDEX('潜水記録'!$AB$5:$AB$3004,$AS368)="","",INDEX('潜水記録'!$AB$5:$AB$3004,$AS368)))</f>
        <v/>
      </c>
      <c r="AD368" s="14">
        <f>IF($A368="","",IF(INDEX('潜水記録'!$AC$5:$AC$3004,$AS368)="","",INDEX('潜水記録'!$AC$5:$AC$3004,$AS368)))</f>
        <v/>
      </c>
      <c r="AE368" s="14">
        <f>IF($A368="","",IF(INDEX('潜水記録'!$AD$5:$AD$3004,$AS368)="","",INDEX('潜水記録'!$AD$5:$AD$3004,$AS368)))</f>
        <v/>
      </c>
      <c r="AF368" s="14">
        <f>IF($A368="","",IF(INDEX('潜水記録'!$AE$5:$AE$3004,$AS368)="","",INDEX('潜水記録'!$AE$5:$AE$3004,$AS368)))</f>
        <v/>
      </c>
      <c r="AG368" s="14">
        <f>IF($A368="","",IF(INDEX('潜水記録'!$AL$5:$AL$3004,$AS368)="","",INDEX('潜水記録'!$AL$5:$AL$3004,$AS368)))</f>
        <v/>
      </c>
      <c r="AH368" s="14">
        <f>IF($A368="","",IF(INDEX('潜水記録'!$AM$5:$AM$3004,$AS368)="","",INDEX('潜水記録'!$AM$5:$AM$3004,$AS368)))</f>
        <v/>
      </c>
      <c r="AI368" s="46">
        <f>IF($A368="","",IF(INDEX('潜水記録'!$AN$5:$AN$3004,$AS368)="","",INDEX('潜水記録'!$AN$5:$AN$3004,$AS368)))</f>
        <v/>
      </c>
      <c r="AJ368" s="14">
        <f>IF($A368="","",IF(INDEX('潜水記録'!$AO$5:$AO$3004,$AS368)="","",INDEX('潜水記録'!$AO$5:$AO$3004,$AS368)))</f>
        <v/>
      </c>
      <c r="AK368" s="14">
        <f>IF($A368="","",IF(INDEX('潜水記録'!$AP$5:$AP$3004,$AS368)="","",INDEX('潜水記録'!$AP$5:$AP$3004,$AS368)))</f>
        <v/>
      </c>
      <c r="AL368" s="14">
        <f>IF($A368="","",IF(INDEX('潜水記録'!$AQ$5:$AQ$3004,$AS368)="","",INDEX('潜水記録'!$AQ$5:$AQ$3004,$AS368)))</f>
        <v/>
      </c>
      <c r="AM368" s="14">
        <f>IF($A368="","",IF(INDEX('潜水記録'!$AR$5:$AR$3004,$AS368)="","",INDEX('潜水記録'!$AR$5:$AR$3004,$AS368)))</f>
        <v/>
      </c>
      <c r="AN368" s="14">
        <f>IF($A368="","",IF(INDEX('潜水記録'!$AS$5:$AS$3004,$AS368)="","",INDEX('潜水記録'!$AS$5:$AS$3004,$AS368)))</f>
        <v/>
      </c>
      <c r="AO368" s="14">
        <f>IF($A368="","",IF(INDEX('潜水記録'!$AT$5:$AT$3004,$AS368)="","",INDEX('潜水記録'!$AT$5:$AT$3004,$AS368)))</f>
        <v/>
      </c>
      <c r="AP368" s="14">
        <f>IF($A368="","",IF(INDEX('潜水記録'!$AU$5:$AU$3004,$AS368)="","",INDEX('潜水記録'!$AU$5:$AU$3004,$AS368)))</f>
        <v/>
      </c>
      <c r="AQ368" s="14">
        <f>IF($A368="","",IF(INDEX('潜水記録'!$AV$5:$AV$3004,$AS368)="","",INDEX('潜水記録'!$AV$5:$AV$3004,$AS368)))</f>
        <v/>
      </c>
      <c r="AR368" s="14">
        <f>IF($A368="","",IF(INDEX('潜水記録'!$AW$5:$AW$3004,$AS368)="","",INDEX('潜水記録'!$AW$5:$AW$3004,$AS368)))</f>
        <v/>
      </c>
      <c r="AS368" s="20">
        <f>IF($A368="","",MATCH($A368,'潜水記録'!$AI$5:$AI$3004,0))</f>
        <v/>
      </c>
    </row>
    <row r="369">
      <c r="A369" s="14">
        <f>IF(359&lt;=$C$8,359,"")</f>
        <v/>
      </c>
      <c r="B369" s="16">
        <f>IF($A369="","",IF(INDEX('潜水記録'!$A$5:$A$3004,$AS369)="","",INDEX('潜水記録'!$A$5:$A$3004,$AS369)))</f>
        <v/>
      </c>
      <c r="C369" s="14">
        <f>IF($A369="","",IF(INDEX('潜水記録'!$B$5:$B$3004,$AS369)="","",INDEX('潜水記録'!$B$5:$B$3004,$AS369)))</f>
        <v/>
      </c>
      <c r="D369" s="14">
        <f>IF($A369="","",IF(INDEX('潜水記録'!$C$5:$C$3004,$AS369)="","",INDEX('潜水記録'!$C$5:$C$3004,$AS369)))</f>
        <v/>
      </c>
      <c r="E369" s="14">
        <f>IF($A369="","",IF(INDEX('潜水記録'!$D$5:$D$3004,$AS369)="","",INDEX('潜水記録'!$D$5:$D$3004,$AS369)))</f>
        <v/>
      </c>
      <c r="F369" s="14">
        <f>IF($A369="","",IF(INDEX('潜水記録'!$E$5:$E$3004,$AS369)="","",INDEX('潜水記録'!$E$5:$E$3004,$AS369)))</f>
        <v/>
      </c>
      <c r="G369" s="14">
        <f>IF($A369="","",IF(INDEX('潜水記録'!$F$5:$F$3004,$AS369)="","",INDEX('潜水記録'!$F$5:$F$3004,$AS369)))</f>
        <v/>
      </c>
      <c r="H369" s="14">
        <f>IF($A369="","",IF(INDEX('潜水記録'!$G$5:$G$3004,$AS369)="","",INDEX('潜水記録'!$G$5:$G$3004,$AS369)))</f>
        <v/>
      </c>
      <c r="I369" s="14">
        <f>IF($A369="","",IF(INDEX('潜水記録'!$H$5:$H$3004,$AS369)="","",INDEX('潜水記録'!$H$5:$H$3004,$AS369)))</f>
        <v/>
      </c>
      <c r="J369" s="14">
        <f>IF($A369="","",IF(INDEX('潜水記録'!$I$5:$I$3004,$AS369)="","",INDEX('潜水記録'!$I$5:$I$3004,$AS369)))</f>
        <v/>
      </c>
      <c r="K369" s="14">
        <f>IF($A369="","",IF(INDEX('潜水記録'!$J$5:$J$3004,$AS369)="","",INDEX('潜水記録'!$J$5:$J$3004,$AS369)))</f>
        <v/>
      </c>
      <c r="L369" s="14">
        <f>IF($A369="","",IF(INDEX('潜水記録'!$K$5:$K$3004,$AS369)="","",INDEX('潜水記録'!$K$5:$K$3004,$AS369)))</f>
        <v/>
      </c>
      <c r="M369" s="14">
        <f>IF($A369="","",IF(INDEX('潜水記録'!$L$5:$L$3004,$AS369)="","",INDEX('潜水記録'!$L$5:$L$3004,$AS369)))</f>
        <v/>
      </c>
      <c r="N369" s="14">
        <f>IF($A369="","",IF(INDEX('潜水記録'!$M$5:$M$3004,$AS369)="","",INDEX('潜水記録'!$M$5:$M$3004,$AS369)))</f>
        <v/>
      </c>
      <c r="O369" s="14">
        <f>IF($A369="","",IF(INDEX('潜水記録'!$N$5:$N$3004,$AS369)="","",INDEX('潜水記録'!$N$5:$N$3004,$AS369)))</f>
        <v/>
      </c>
      <c r="P369" s="14">
        <f>IF($A369="","",IF(INDEX('潜水記録'!$O$5:$O$3004,$AS369)="","",INDEX('潜水記録'!$O$5:$O$3004,$AS369)))</f>
        <v/>
      </c>
      <c r="Q369" s="14">
        <f>IF($A369="","",IF(INDEX('潜水記録'!$P$5:$P$3004,$AS369)="","",INDEX('潜水記録'!$P$5:$P$3004,$AS369)))</f>
        <v/>
      </c>
      <c r="R369" s="14">
        <f>IF($A369="","",IF(INDEX('潜水記録'!$Q$5:$Q$3004,$AS369)="","",INDEX('潜水記録'!$Q$5:$Q$3004,$AS369)))</f>
        <v/>
      </c>
      <c r="S369" s="14">
        <f>IF($A369="","",IF(INDEX('潜水記録'!$R$5:$R$3004,$AS369)="","",INDEX('潜水記録'!$R$5:$R$3004,$AS369)))</f>
        <v/>
      </c>
      <c r="T369" s="14">
        <f>IF($A369="","",IF(INDEX('潜水記録'!$S$5:$S$3004,$AS369)="","",INDEX('潜水記録'!$S$5:$S$3004,$AS369)))</f>
        <v/>
      </c>
      <c r="U369" s="14">
        <f>IF($A369="","",IF(INDEX('潜水記録'!$T$5:$T$3004,$AS369)="","",INDEX('潜水記録'!$T$5:$T$3004,$AS369)))</f>
        <v/>
      </c>
      <c r="V369" s="46">
        <f>IF($A369="","",IF(INDEX('潜水記録'!$U$5:$U$3004,$AS369)="","",INDEX('潜水記録'!$U$5:$U$3004,$AS369)))</f>
        <v/>
      </c>
      <c r="W369" s="46">
        <f>IF($A369="","",IF(INDEX('潜水記録'!$V$5:$V$3004,$AS369)="","",INDEX('潜水記録'!$V$5:$V$3004,$AS369)))</f>
        <v/>
      </c>
      <c r="X369" s="14">
        <f>IF($A369="","",IF(INDEX('潜水記録'!$W$5:$W$3004,$AS369)="","",INDEX('潜水記録'!$W$5:$W$3004,$AS369)))</f>
        <v/>
      </c>
      <c r="Y369" s="14">
        <f>IF($A369="","",IF(INDEX('潜水記録'!$X$5:$X$3004,$AS369)="","",INDEX('潜水記録'!$X$5:$X$3004,$AS369)))</f>
        <v/>
      </c>
      <c r="Z369" s="14">
        <f>IF($A369="","",IF(INDEX('潜水記録'!$Y$5:$Y$3004,$AS369)="","",INDEX('潜水記録'!$Y$5:$Y$3004,$AS369)))</f>
        <v/>
      </c>
      <c r="AA369" s="14">
        <f>IF($A369="","",IF(INDEX('潜水記録'!$Z$5:$Z$3004,$AS369)="","",INDEX('潜水記録'!$Z$5:$Z$3004,$AS369)))</f>
        <v/>
      </c>
      <c r="AB369" s="14">
        <f>IF($A369="","",IF(INDEX('潜水記録'!$AA$5:$AA$3004,$AS369)="","",INDEX('潜水記録'!$AA$5:$AA$3004,$AS369)))</f>
        <v/>
      </c>
      <c r="AC369" s="14">
        <f>IF($A369="","",IF(INDEX('潜水記録'!$AB$5:$AB$3004,$AS369)="","",INDEX('潜水記録'!$AB$5:$AB$3004,$AS369)))</f>
        <v/>
      </c>
      <c r="AD369" s="14">
        <f>IF($A369="","",IF(INDEX('潜水記録'!$AC$5:$AC$3004,$AS369)="","",INDEX('潜水記録'!$AC$5:$AC$3004,$AS369)))</f>
        <v/>
      </c>
      <c r="AE369" s="14">
        <f>IF($A369="","",IF(INDEX('潜水記録'!$AD$5:$AD$3004,$AS369)="","",INDEX('潜水記録'!$AD$5:$AD$3004,$AS369)))</f>
        <v/>
      </c>
      <c r="AF369" s="14">
        <f>IF($A369="","",IF(INDEX('潜水記録'!$AE$5:$AE$3004,$AS369)="","",INDEX('潜水記録'!$AE$5:$AE$3004,$AS369)))</f>
        <v/>
      </c>
      <c r="AG369" s="14">
        <f>IF($A369="","",IF(INDEX('潜水記録'!$AL$5:$AL$3004,$AS369)="","",INDEX('潜水記録'!$AL$5:$AL$3004,$AS369)))</f>
        <v/>
      </c>
      <c r="AH369" s="14">
        <f>IF($A369="","",IF(INDEX('潜水記録'!$AM$5:$AM$3004,$AS369)="","",INDEX('潜水記録'!$AM$5:$AM$3004,$AS369)))</f>
        <v/>
      </c>
      <c r="AI369" s="46">
        <f>IF($A369="","",IF(INDEX('潜水記録'!$AN$5:$AN$3004,$AS369)="","",INDEX('潜水記録'!$AN$5:$AN$3004,$AS369)))</f>
        <v/>
      </c>
      <c r="AJ369" s="14">
        <f>IF($A369="","",IF(INDEX('潜水記録'!$AO$5:$AO$3004,$AS369)="","",INDEX('潜水記録'!$AO$5:$AO$3004,$AS369)))</f>
        <v/>
      </c>
      <c r="AK369" s="14">
        <f>IF($A369="","",IF(INDEX('潜水記録'!$AP$5:$AP$3004,$AS369)="","",INDEX('潜水記録'!$AP$5:$AP$3004,$AS369)))</f>
        <v/>
      </c>
      <c r="AL369" s="14">
        <f>IF($A369="","",IF(INDEX('潜水記録'!$AQ$5:$AQ$3004,$AS369)="","",INDEX('潜水記録'!$AQ$5:$AQ$3004,$AS369)))</f>
        <v/>
      </c>
      <c r="AM369" s="14">
        <f>IF($A369="","",IF(INDEX('潜水記録'!$AR$5:$AR$3004,$AS369)="","",INDEX('潜水記録'!$AR$5:$AR$3004,$AS369)))</f>
        <v/>
      </c>
      <c r="AN369" s="14">
        <f>IF($A369="","",IF(INDEX('潜水記録'!$AS$5:$AS$3004,$AS369)="","",INDEX('潜水記録'!$AS$5:$AS$3004,$AS369)))</f>
        <v/>
      </c>
      <c r="AO369" s="14">
        <f>IF($A369="","",IF(INDEX('潜水記録'!$AT$5:$AT$3004,$AS369)="","",INDEX('潜水記録'!$AT$5:$AT$3004,$AS369)))</f>
        <v/>
      </c>
      <c r="AP369" s="14">
        <f>IF($A369="","",IF(INDEX('潜水記録'!$AU$5:$AU$3004,$AS369)="","",INDEX('潜水記録'!$AU$5:$AU$3004,$AS369)))</f>
        <v/>
      </c>
      <c r="AQ369" s="14">
        <f>IF($A369="","",IF(INDEX('潜水記録'!$AV$5:$AV$3004,$AS369)="","",INDEX('潜水記録'!$AV$5:$AV$3004,$AS369)))</f>
        <v/>
      </c>
      <c r="AR369" s="14">
        <f>IF($A369="","",IF(INDEX('潜水記録'!$AW$5:$AW$3004,$AS369)="","",INDEX('潜水記録'!$AW$5:$AW$3004,$AS369)))</f>
        <v/>
      </c>
      <c r="AS369" s="20">
        <f>IF($A369="","",MATCH($A369,'潜水記録'!$AI$5:$AI$3004,0))</f>
        <v/>
      </c>
    </row>
    <row r="370">
      <c r="A370" s="14">
        <f>IF(360&lt;=$C$8,360,"")</f>
        <v/>
      </c>
      <c r="B370" s="16">
        <f>IF($A370="","",IF(INDEX('潜水記録'!$A$5:$A$3004,$AS370)="","",INDEX('潜水記録'!$A$5:$A$3004,$AS370)))</f>
        <v/>
      </c>
      <c r="C370" s="14">
        <f>IF($A370="","",IF(INDEX('潜水記録'!$B$5:$B$3004,$AS370)="","",INDEX('潜水記録'!$B$5:$B$3004,$AS370)))</f>
        <v/>
      </c>
      <c r="D370" s="14">
        <f>IF($A370="","",IF(INDEX('潜水記録'!$C$5:$C$3004,$AS370)="","",INDEX('潜水記録'!$C$5:$C$3004,$AS370)))</f>
        <v/>
      </c>
      <c r="E370" s="14">
        <f>IF($A370="","",IF(INDEX('潜水記録'!$D$5:$D$3004,$AS370)="","",INDEX('潜水記録'!$D$5:$D$3004,$AS370)))</f>
        <v/>
      </c>
      <c r="F370" s="14">
        <f>IF($A370="","",IF(INDEX('潜水記録'!$E$5:$E$3004,$AS370)="","",INDEX('潜水記録'!$E$5:$E$3004,$AS370)))</f>
        <v/>
      </c>
      <c r="G370" s="14">
        <f>IF($A370="","",IF(INDEX('潜水記録'!$F$5:$F$3004,$AS370)="","",INDEX('潜水記録'!$F$5:$F$3004,$AS370)))</f>
        <v/>
      </c>
      <c r="H370" s="14">
        <f>IF($A370="","",IF(INDEX('潜水記録'!$G$5:$G$3004,$AS370)="","",INDEX('潜水記録'!$G$5:$G$3004,$AS370)))</f>
        <v/>
      </c>
      <c r="I370" s="14">
        <f>IF($A370="","",IF(INDEX('潜水記録'!$H$5:$H$3004,$AS370)="","",INDEX('潜水記録'!$H$5:$H$3004,$AS370)))</f>
        <v/>
      </c>
      <c r="J370" s="14">
        <f>IF($A370="","",IF(INDEX('潜水記録'!$I$5:$I$3004,$AS370)="","",INDEX('潜水記録'!$I$5:$I$3004,$AS370)))</f>
        <v/>
      </c>
      <c r="K370" s="14">
        <f>IF($A370="","",IF(INDEX('潜水記録'!$J$5:$J$3004,$AS370)="","",INDEX('潜水記録'!$J$5:$J$3004,$AS370)))</f>
        <v/>
      </c>
      <c r="L370" s="14">
        <f>IF($A370="","",IF(INDEX('潜水記録'!$K$5:$K$3004,$AS370)="","",INDEX('潜水記録'!$K$5:$K$3004,$AS370)))</f>
        <v/>
      </c>
      <c r="M370" s="14">
        <f>IF($A370="","",IF(INDEX('潜水記録'!$L$5:$L$3004,$AS370)="","",INDEX('潜水記録'!$L$5:$L$3004,$AS370)))</f>
        <v/>
      </c>
      <c r="N370" s="14">
        <f>IF($A370="","",IF(INDEX('潜水記録'!$M$5:$M$3004,$AS370)="","",INDEX('潜水記録'!$M$5:$M$3004,$AS370)))</f>
        <v/>
      </c>
      <c r="O370" s="14">
        <f>IF($A370="","",IF(INDEX('潜水記録'!$N$5:$N$3004,$AS370)="","",INDEX('潜水記録'!$N$5:$N$3004,$AS370)))</f>
        <v/>
      </c>
      <c r="P370" s="14">
        <f>IF($A370="","",IF(INDEX('潜水記録'!$O$5:$O$3004,$AS370)="","",INDEX('潜水記録'!$O$5:$O$3004,$AS370)))</f>
        <v/>
      </c>
      <c r="Q370" s="14">
        <f>IF($A370="","",IF(INDEX('潜水記録'!$P$5:$P$3004,$AS370)="","",INDEX('潜水記録'!$P$5:$P$3004,$AS370)))</f>
        <v/>
      </c>
      <c r="R370" s="14">
        <f>IF($A370="","",IF(INDEX('潜水記録'!$Q$5:$Q$3004,$AS370)="","",INDEX('潜水記録'!$Q$5:$Q$3004,$AS370)))</f>
        <v/>
      </c>
      <c r="S370" s="14">
        <f>IF($A370="","",IF(INDEX('潜水記録'!$R$5:$R$3004,$AS370)="","",INDEX('潜水記録'!$R$5:$R$3004,$AS370)))</f>
        <v/>
      </c>
      <c r="T370" s="14">
        <f>IF($A370="","",IF(INDEX('潜水記録'!$S$5:$S$3004,$AS370)="","",INDEX('潜水記録'!$S$5:$S$3004,$AS370)))</f>
        <v/>
      </c>
      <c r="U370" s="14">
        <f>IF($A370="","",IF(INDEX('潜水記録'!$T$5:$T$3004,$AS370)="","",INDEX('潜水記録'!$T$5:$T$3004,$AS370)))</f>
        <v/>
      </c>
      <c r="V370" s="46">
        <f>IF($A370="","",IF(INDEX('潜水記録'!$U$5:$U$3004,$AS370)="","",INDEX('潜水記録'!$U$5:$U$3004,$AS370)))</f>
        <v/>
      </c>
      <c r="W370" s="46">
        <f>IF($A370="","",IF(INDEX('潜水記録'!$V$5:$V$3004,$AS370)="","",INDEX('潜水記録'!$V$5:$V$3004,$AS370)))</f>
        <v/>
      </c>
      <c r="X370" s="14">
        <f>IF($A370="","",IF(INDEX('潜水記録'!$W$5:$W$3004,$AS370)="","",INDEX('潜水記録'!$W$5:$W$3004,$AS370)))</f>
        <v/>
      </c>
      <c r="Y370" s="14">
        <f>IF($A370="","",IF(INDEX('潜水記録'!$X$5:$X$3004,$AS370)="","",INDEX('潜水記録'!$X$5:$X$3004,$AS370)))</f>
        <v/>
      </c>
      <c r="Z370" s="14">
        <f>IF($A370="","",IF(INDEX('潜水記録'!$Y$5:$Y$3004,$AS370)="","",INDEX('潜水記録'!$Y$5:$Y$3004,$AS370)))</f>
        <v/>
      </c>
      <c r="AA370" s="14">
        <f>IF($A370="","",IF(INDEX('潜水記録'!$Z$5:$Z$3004,$AS370)="","",INDEX('潜水記録'!$Z$5:$Z$3004,$AS370)))</f>
        <v/>
      </c>
      <c r="AB370" s="14">
        <f>IF($A370="","",IF(INDEX('潜水記録'!$AA$5:$AA$3004,$AS370)="","",INDEX('潜水記録'!$AA$5:$AA$3004,$AS370)))</f>
        <v/>
      </c>
      <c r="AC370" s="14">
        <f>IF($A370="","",IF(INDEX('潜水記録'!$AB$5:$AB$3004,$AS370)="","",INDEX('潜水記録'!$AB$5:$AB$3004,$AS370)))</f>
        <v/>
      </c>
      <c r="AD370" s="14">
        <f>IF($A370="","",IF(INDEX('潜水記録'!$AC$5:$AC$3004,$AS370)="","",INDEX('潜水記録'!$AC$5:$AC$3004,$AS370)))</f>
        <v/>
      </c>
      <c r="AE370" s="14">
        <f>IF($A370="","",IF(INDEX('潜水記録'!$AD$5:$AD$3004,$AS370)="","",INDEX('潜水記録'!$AD$5:$AD$3004,$AS370)))</f>
        <v/>
      </c>
      <c r="AF370" s="14">
        <f>IF($A370="","",IF(INDEX('潜水記録'!$AE$5:$AE$3004,$AS370)="","",INDEX('潜水記録'!$AE$5:$AE$3004,$AS370)))</f>
        <v/>
      </c>
      <c r="AG370" s="14">
        <f>IF($A370="","",IF(INDEX('潜水記録'!$AL$5:$AL$3004,$AS370)="","",INDEX('潜水記録'!$AL$5:$AL$3004,$AS370)))</f>
        <v/>
      </c>
      <c r="AH370" s="14">
        <f>IF($A370="","",IF(INDEX('潜水記録'!$AM$5:$AM$3004,$AS370)="","",INDEX('潜水記録'!$AM$5:$AM$3004,$AS370)))</f>
        <v/>
      </c>
      <c r="AI370" s="46">
        <f>IF($A370="","",IF(INDEX('潜水記録'!$AN$5:$AN$3004,$AS370)="","",INDEX('潜水記録'!$AN$5:$AN$3004,$AS370)))</f>
        <v/>
      </c>
      <c r="AJ370" s="14">
        <f>IF($A370="","",IF(INDEX('潜水記録'!$AO$5:$AO$3004,$AS370)="","",INDEX('潜水記録'!$AO$5:$AO$3004,$AS370)))</f>
        <v/>
      </c>
      <c r="AK370" s="14">
        <f>IF($A370="","",IF(INDEX('潜水記録'!$AP$5:$AP$3004,$AS370)="","",INDEX('潜水記録'!$AP$5:$AP$3004,$AS370)))</f>
        <v/>
      </c>
      <c r="AL370" s="14">
        <f>IF($A370="","",IF(INDEX('潜水記録'!$AQ$5:$AQ$3004,$AS370)="","",INDEX('潜水記録'!$AQ$5:$AQ$3004,$AS370)))</f>
        <v/>
      </c>
      <c r="AM370" s="14">
        <f>IF($A370="","",IF(INDEX('潜水記録'!$AR$5:$AR$3004,$AS370)="","",INDEX('潜水記録'!$AR$5:$AR$3004,$AS370)))</f>
        <v/>
      </c>
      <c r="AN370" s="14">
        <f>IF($A370="","",IF(INDEX('潜水記録'!$AS$5:$AS$3004,$AS370)="","",INDEX('潜水記録'!$AS$5:$AS$3004,$AS370)))</f>
        <v/>
      </c>
      <c r="AO370" s="14">
        <f>IF($A370="","",IF(INDEX('潜水記録'!$AT$5:$AT$3004,$AS370)="","",INDEX('潜水記録'!$AT$5:$AT$3004,$AS370)))</f>
        <v/>
      </c>
      <c r="AP370" s="14">
        <f>IF($A370="","",IF(INDEX('潜水記録'!$AU$5:$AU$3004,$AS370)="","",INDEX('潜水記録'!$AU$5:$AU$3004,$AS370)))</f>
        <v/>
      </c>
      <c r="AQ370" s="14">
        <f>IF($A370="","",IF(INDEX('潜水記録'!$AV$5:$AV$3004,$AS370)="","",INDEX('潜水記録'!$AV$5:$AV$3004,$AS370)))</f>
        <v/>
      </c>
      <c r="AR370" s="14">
        <f>IF($A370="","",IF(INDEX('潜水記録'!$AW$5:$AW$3004,$AS370)="","",INDEX('潜水記録'!$AW$5:$AW$3004,$AS370)))</f>
        <v/>
      </c>
      <c r="AS370" s="20">
        <f>IF($A370="","",MATCH($A370,'潜水記録'!$AI$5:$AI$3004,0))</f>
        <v/>
      </c>
    </row>
    <row r="371">
      <c r="A371" s="14">
        <f>IF(361&lt;=$C$8,361,"")</f>
        <v/>
      </c>
      <c r="B371" s="16">
        <f>IF($A371="","",IF(INDEX('潜水記録'!$A$5:$A$3004,$AS371)="","",INDEX('潜水記録'!$A$5:$A$3004,$AS371)))</f>
        <v/>
      </c>
      <c r="C371" s="14">
        <f>IF($A371="","",IF(INDEX('潜水記録'!$B$5:$B$3004,$AS371)="","",INDEX('潜水記録'!$B$5:$B$3004,$AS371)))</f>
        <v/>
      </c>
      <c r="D371" s="14">
        <f>IF($A371="","",IF(INDEX('潜水記録'!$C$5:$C$3004,$AS371)="","",INDEX('潜水記録'!$C$5:$C$3004,$AS371)))</f>
        <v/>
      </c>
      <c r="E371" s="14">
        <f>IF($A371="","",IF(INDEX('潜水記録'!$D$5:$D$3004,$AS371)="","",INDEX('潜水記録'!$D$5:$D$3004,$AS371)))</f>
        <v/>
      </c>
      <c r="F371" s="14">
        <f>IF($A371="","",IF(INDEX('潜水記録'!$E$5:$E$3004,$AS371)="","",INDEX('潜水記録'!$E$5:$E$3004,$AS371)))</f>
        <v/>
      </c>
      <c r="G371" s="14">
        <f>IF($A371="","",IF(INDEX('潜水記録'!$F$5:$F$3004,$AS371)="","",INDEX('潜水記録'!$F$5:$F$3004,$AS371)))</f>
        <v/>
      </c>
      <c r="H371" s="14">
        <f>IF($A371="","",IF(INDEX('潜水記録'!$G$5:$G$3004,$AS371)="","",INDEX('潜水記録'!$G$5:$G$3004,$AS371)))</f>
        <v/>
      </c>
      <c r="I371" s="14">
        <f>IF($A371="","",IF(INDEX('潜水記録'!$H$5:$H$3004,$AS371)="","",INDEX('潜水記録'!$H$5:$H$3004,$AS371)))</f>
        <v/>
      </c>
      <c r="J371" s="14">
        <f>IF($A371="","",IF(INDEX('潜水記録'!$I$5:$I$3004,$AS371)="","",INDEX('潜水記録'!$I$5:$I$3004,$AS371)))</f>
        <v/>
      </c>
      <c r="K371" s="14">
        <f>IF($A371="","",IF(INDEX('潜水記録'!$J$5:$J$3004,$AS371)="","",INDEX('潜水記録'!$J$5:$J$3004,$AS371)))</f>
        <v/>
      </c>
      <c r="L371" s="14">
        <f>IF($A371="","",IF(INDEX('潜水記録'!$K$5:$K$3004,$AS371)="","",INDEX('潜水記録'!$K$5:$K$3004,$AS371)))</f>
        <v/>
      </c>
      <c r="M371" s="14">
        <f>IF($A371="","",IF(INDEX('潜水記録'!$L$5:$L$3004,$AS371)="","",INDEX('潜水記録'!$L$5:$L$3004,$AS371)))</f>
        <v/>
      </c>
      <c r="N371" s="14">
        <f>IF($A371="","",IF(INDEX('潜水記録'!$M$5:$M$3004,$AS371)="","",INDEX('潜水記録'!$M$5:$M$3004,$AS371)))</f>
        <v/>
      </c>
      <c r="O371" s="14">
        <f>IF($A371="","",IF(INDEX('潜水記録'!$N$5:$N$3004,$AS371)="","",INDEX('潜水記録'!$N$5:$N$3004,$AS371)))</f>
        <v/>
      </c>
      <c r="P371" s="14">
        <f>IF($A371="","",IF(INDEX('潜水記録'!$O$5:$O$3004,$AS371)="","",INDEX('潜水記録'!$O$5:$O$3004,$AS371)))</f>
        <v/>
      </c>
      <c r="Q371" s="14">
        <f>IF($A371="","",IF(INDEX('潜水記録'!$P$5:$P$3004,$AS371)="","",INDEX('潜水記録'!$P$5:$P$3004,$AS371)))</f>
        <v/>
      </c>
      <c r="R371" s="14">
        <f>IF($A371="","",IF(INDEX('潜水記録'!$Q$5:$Q$3004,$AS371)="","",INDEX('潜水記録'!$Q$5:$Q$3004,$AS371)))</f>
        <v/>
      </c>
      <c r="S371" s="14">
        <f>IF($A371="","",IF(INDEX('潜水記録'!$R$5:$R$3004,$AS371)="","",INDEX('潜水記録'!$R$5:$R$3004,$AS371)))</f>
        <v/>
      </c>
      <c r="T371" s="14">
        <f>IF($A371="","",IF(INDEX('潜水記録'!$S$5:$S$3004,$AS371)="","",INDEX('潜水記録'!$S$5:$S$3004,$AS371)))</f>
        <v/>
      </c>
      <c r="U371" s="14">
        <f>IF($A371="","",IF(INDEX('潜水記録'!$T$5:$T$3004,$AS371)="","",INDEX('潜水記録'!$T$5:$T$3004,$AS371)))</f>
        <v/>
      </c>
      <c r="V371" s="46">
        <f>IF($A371="","",IF(INDEX('潜水記録'!$U$5:$U$3004,$AS371)="","",INDEX('潜水記録'!$U$5:$U$3004,$AS371)))</f>
        <v/>
      </c>
      <c r="W371" s="46">
        <f>IF($A371="","",IF(INDEX('潜水記録'!$V$5:$V$3004,$AS371)="","",INDEX('潜水記録'!$V$5:$V$3004,$AS371)))</f>
        <v/>
      </c>
      <c r="X371" s="14">
        <f>IF($A371="","",IF(INDEX('潜水記録'!$W$5:$W$3004,$AS371)="","",INDEX('潜水記録'!$W$5:$W$3004,$AS371)))</f>
        <v/>
      </c>
      <c r="Y371" s="14">
        <f>IF($A371="","",IF(INDEX('潜水記録'!$X$5:$X$3004,$AS371)="","",INDEX('潜水記録'!$X$5:$X$3004,$AS371)))</f>
        <v/>
      </c>
      <c r="Z371" s="14">
        <f>IF($A371="","",IF(INDEX('潜水記録'!$Y$5:$Y$3004,$AS371)="","",INDEX('潜水記録'!$Y$5:$Y$3004,$AS371)))</f>
        <v/>
      </c>
      <c r="AA371" s="14">
        <f>IF($A371="","",IF(INDEX('潜水記録'!$Z$5:$Z$3004,$AS371)="","",INDEX('潜水記録'!$Z$5:$Z$3004,$AS371)))</f>
        <v/>
      </c>
      <c r="AB371" s="14">
        <f>IF($A371="","",IF(INDEX('潜水記録'!$AA$5:$AA$3004,$AS371)="","",INDEX('潜水記録'!$AA$5:$AA$3004,$AS371)))</f>
        <v/>
      </c>
      <c r="AC371" s="14">
        <f>IF($A371="","",IF(INDEX('潜水記録'!$AB$5:$AB$3004,$AS371)="","",INDEX('潜水記録'!$AB$5:$AB$3004,$AS371)))</f>
        <v/>
      </c>
      <c r="AD371" s="14">
        <f>IF($A371="","",IF(INDEX('潜水記録'!$AC$5:$AC$3004,$AS371)="","",INDEX('潜水記録'!$AC$5:$AC$3004,$AS371)))</f>
        <v/>
      </c>
      <c r="AE371" s="14">
        <f>IF($A371="","",IF(INDEX('潜水記録'!$AD$5:$AD$3004,$AS371)="","",INDEX('潜水記録'!$AD$5:$AD$3004,$AS371)))</f>
        <v/>
      </c>
      <c r="AF371" s="14">
        <f>IF($A371="","",IF(INDEX('潜水記録'!$AE$5:$AE$3004,$AS371)="","",INDEX('潜水記録'!$AE$5:$AE$3004,$AS371)))</f>
        <v/>
      </c>
      <c r="AG371" s="14">
        <f>IF($A371="","",IF(INDEX('潜水記録'!$AL$5:$AL$3004,$AS371)="","",INDEX('潜水記録'!$AL$5:$AL$3004,$AS371)))</f>
        <v/>
      </c>
      <c r="AH371" s="14">
        <f>IF($A371="","",IF(INDEX('潜水記録'!$AM$5:$AM$3004,$AS371)="","",INDEX('潜水記録'!$AM$5:$AM$3004,$AS371)))</f>
        <v/>
      </c>
      <c r="AI371" s="46">
        <f>IF($A371="","",IF(INDEX('潜水記録'!$AN$5:$AN$3004,$AS371)="","",INDEX('潜水記録'!$AN$5:$AN$3004,$AS371)))</f>
        <v/>
      </c>
      <c r="AJ371" s="14">
        <f>IF($A371="","",IF(INDEX('潜水記録'!$AO$5:$AO$3004,$AS371)="","",INDEX('潜水記録'!$AO$5:$AO$3004,$AS371)))</f>
        <v/>
      </c>
      <c r="AK371" s="14">
        <f>IF($A371="","",IF(INDEX('潜水記録'!$AP$5:$AP$3004,$AS371)="","",INDEX('潜水記録'!$AP$5:$AP$3004,$AS371)))</f>
        <v/>
      </c>
      <c r="AL371" s="14">
        <f>IF($A371="","",IF(INDEX('潜水記録'!$AQ$5:$AQ$3004,$AS371)="","",INDEX('潜水記録'!$AQ$5:$AQ$3004,$AS371)))</f>
        <v/>
      </c>
      <c r="AM371" s="14">
        <f>IF($A371="","",IF(INDEX('潜水記録'!$AR$5:$AR$3004,$AS371)="","",INDEX('潜水記録'!$AR$5:$AR$3004,$AS371)))</f>
        <v/>
      </c>
      <c r="AN371" s="14">
        <f>IF($A371="","",IF(INDEX('潜水記録'!$AS$5:$AS$3004,$AS371)="","",INDEX('潜水記録'!$AS$5:$AS$3004,$AS371)))</f>
        <v/>
      </c>
      <c r="AO371" s="14">
        <f>IF($A371="","",IF(INDEX('潜水記録'!$AT$5:$AT$3004,$AS371)="","",INDEX('潜水記録'!$AT$5:$AT$3004,$AS371)))</f>
        <v/>
      </c>
      <c r="AP371" s="14">
        <f>IF($A371="","",IF(INDEX('潜水記録'!$AU$5:$AU$3004,$AS371)="","",INDEX('潜水記録'!$AU$5:$AU$3004,$AS371)))</f>
        <v/>
      </c>
      <c r="AQ371" s="14">
        <f>IF($A371="","",IF(INDEX('潜水記録'!$AV$5:$AV$3004,$AS371)="","",INDEX('潜水記録'!$AV$5:$AV$3004,$AS371)))</f>
        <v/>
      </c>
      <c r="AR371" s="14">
        <f>IF($A371="","",IF(INDEX('潜水記録'!$AW$5:$AW$3004,$AS371)="","",INDEX('潜水記録'!$AW$5:$AW$3004,$AS371)))</f>
        <v/>
      </c>
      <c r="AS371" s="20">
        <f>IF($A371="","",MATCH($A371,'潜水記録'!$AI$5:$AI$3004,0))</f>
        <v/>
      </c>
    </row>
    <row r="372">
      <c r="A372" s="14">
        <f>IF(362&lt;=$C$8,362,"")</f>
        <v/>
      </c>
      <c r="B372" s="16">
        <f>IF($A372="","",IF(INDEX('潜水記録'!$A$5:$A$3004,$AS372)="","",INDEX('潜水記録'!$A$5:$A$3004,$AS372)))</f>
        <v/>
      </c>
      <c r="C372" s="14">
        <f>IF($A372="","",IF(INDEX('潜水記録'!$B$5:$B$3004,$AS372)="","",INDEX('潜水記録'!$B$5:$B$3004,$AS372)))</f>
        <v/>
      </c>
      <c r="D372" s="14">
        <f>IF($A372="","",IF(INDEX('潜水記録'!$C$5:$C$3004,$AS372)="","",INDEX('潜水記録'!$C$5:$C$3004,$AS372)))</f>
        <v/>
      </c>
      <c r="E372" s="14">
        <f>IF($A372="","",IF(INDEX('潜水記録'!$D$5:$D$3004,$AS372)="","",INDEX('潜水記録'!$D$5:$D$3004,$AS372)))</f>
        <v/>
      </c>
      <c r="F372" s="14">
        <f>IF($A372="","",IF(INDEX('潜水記録'!$E$5:$E$3004,$AS372)="","",INDEX('潜水記録'!$E$5:$E$3004,$AS372)))</f>
        <v/>
      </c>
      <c r="G372" s="14">
        <f>IF($A372="","",IF(INDEX('潜水記録'!$F$5:$F$3004,$AS372)="","",INDEX('潜水記録'!$F$5:$F$3004,$AS372)))</f>
        <v/>
      </c>
      <c r="H372" s="14">
        <f>IF($A372="","",IF(INDEX('潜水記録'!$G$5:$G$3004,$AS372)="","",INDEX('潜水記録'!$G$5:$G$3004,$AS372)))</f>
        <v/>
      </c>
      <c r="I372" s="14">
        <f>IF($A372="","",IF(INDEX('潜水記録'!$H$5:$H$3004,$AS372)="","",INDEX('潜水記録'!$H$5:$H$3004,$AS372)))</f>
        <v/>
      </c>
      <c r="J372" s="14">
        <f>IF($A372="","",IF(INDEX('潜水記録'!$I$5:$I$3004,$AS372)="","",INDEX('潜水記録'!$I$5:$I$3004,$AS372)))</f>
        <v/>
      </c>
      <c r="K372" s="14">
        <f>IF($A372="","",IF(INDEX('潜水記録'!$J$5:$J$3004,$AS372)="","",INDEX('潜水記録'!$J$5:$J$3004,$AS372)))</f>
        <v/>
      </c>
      <c r="L372" s="14">
        <f>IF($A372="","",IF(INDEX('潜水記録'!$K$5:$K$3004,$AS372)="","",INDEX('潜水記録'!$K$5:$K$3004,$AS372)))</f>
        <v/>
      </c>
      <c r="M372" s="14">
        <f>IF($A372="","",IF(INDEX('潜水記録'!$L$5:$L$3004,$AS372)="","",INDEX('潜水記録'!$L$5:$L$3004,$AS372)))</f>
        <v/>
      </c>
      <c r="N372" s="14">
        <f>IF($A372="","",IF(INDEX('潜水記録'!$M$5:$M$3004,$AS372)="","",INDEX('潜水記録'!$M$5:$M$3004,$AS372)))</f>
        <v/>
      </c>
      <c r="O372" s="14">
        <f>IF($A372="","",IF(INDEX('潜水記録'!$N$5:$N$3004,$AS372)="","",INDEX('潜水記録'!$N$5:$N$3004,$AS372)))</f>
        <v/>
      </c>
      <c r="P372" s="14">
        <f>IF($A372="","",IF(INDEX('潜水記録'!$O$5:$O$3004,$AS372)="","",INDEX('潜水記録'!$O$5:$O$3004,$AS372)))</f>
        <v/>
      </c>
      <c r="Q372" s="14">
        <f>IF($A372="","",IF(INDEX('潜水記録'!$P$5:$P$3004,$AS372)="","",INDEX('潜水記録'!$P$5:$P$3004,$AS372)))</f>
        <v/>
      </c>
      <c r="R372" s="14">
        <f>IF($A372="","",IF(INDEX('潜水記録'!$Q$5:$Q$3004,$AS372)="","",INDEX('潜水記録'!$Q$5:$Q$3004,$AS372)))</f>
        <v/>
      </c>
      <c r="S372" s="14">
        <f>IF($A372="","",IF(INDEX('潜水記録'!$R$5:$R$3004,$AS372)="","",INDEX('潜水記録'!$R$5:$R$3004,$AS372)))</f>
        <v/>
      </c>
      <c r="T372" s="14">
        <f>IF($A372="","",IF(INDEX('潜水記録'!$S$5:$S$3004,$AS372)="","",INDEX('潜水記録'!$S$5:$S$3004,$AS372)))</f>
        <v/>
      </c>
      <c r="U372" s="14">
        <f>IF($A372="","",IF(INDEX('潜水記録'!$T$5:$T$3004,$AS372)="","",INDEX('潜水記録'!$T$5:$T$3004,$AS372)))</f>
        <v/>
      </c>
      <c r="V372" s="46">
        <f>IF($A372="","",IF(INDEX('潜水記録'!$U$5:$U$3004,$AS372)="","",INDEX('潜水記録'!$U$5:$U$3004,$AS372)))</f>
        <v/>
      </c>
      <c r="W372" s="46">
        <f>IF($A372="","",IF(INDEX('潜水記録'!$V$5:$V$3004,$AS372)="","",INDEX('潜水記録'!$V$5:$V$3004,$AS372)))</f>
        <v/>
      </c>
      <c r="X372" s="14">
        <f>IF($A372="","",IF(INDEX('潜水記録'!$W$5:$W$3004,$AS372)="","",INDEX('潜水記録'!$W$5:$W$3004,$AS372)))</f>
        <v/>
      </c>
      <c r="Y372" s="14">
        <f>IF($A372="","",IF(INDEX('潜水記録'!$X$5:$X$3004,$AS372)="","",INDEX('潜水記録'!$X$5:$X$3004,$AS372)))</f>
        <v/>
      </c>
      <c r="Z372" s="14">
        <f>IF($A372="","",IF(INDEX('潜水記録'!$Y$5:$Y$3004,$AS372)="","",INDEX('潜水記録'!$Y$5:$Y$3004,$AS372)))</f>
        <v/>
      </c>
      <c r="AA372" s="14">
        <f>IF($A372="","",IF(INDEX('潜水記録'!$Z$5:$Z$3004,$AS372)="","",INDEX('潜水記録'!$Z$5:$Z$3004,$AS372)))</f>
        <v/>
      </c>
      <c r="AB372" s="14">
        <f>IF($A372="","",IF(INDEX('潜水記録'!$AA$5:$AA$3004,$AS372)="","",INDEX('潜水記録'!$AA$5:$AA$3004,$AS372)))</f>
        <v/>
      </c>
      <c r="AC372" s="14">
        <f>IF($A372="","",IF(INDEX('潜水記録'!$AB$5:$AB$3004,$AS372)="","",INDEX('潜水記録'!$AB$5:$AB$3004,$AS372)))</f>
        <v/>
      </c>
      <c r="AD372" s="14">
        <f>IF($A372="","",IF(INDEX('潜水記録'!$AC$5:$AC$3004,$AS372)="","",INDEX('潜水記録'!$AC$5:$AC$3004,$AS372)))</f>
        <v/>
      </c>
      <c r="AE372" s="14">
        <f>IF($A372="","",IF(INDEX('潜水記録'!$AD$5:$AD$3004,$AS372)="","",INDEX('潜水記録'!$AD$5:$AD$3004,$AS372)))</f>
        <v/>
      </c>
      <c r="AF372" s="14">
        <f>IF($A372="","",IF(INDEX('潜水記録'!$AE$5:$AE$3004,$AS372)="","",INDEX('潜水記録'!$AE$5:$AE$3004,$AS372)))</f>
        <v/>
      </c>
      <c r="AG372" s="14">
        <f>IF($A372="","",IF(INDEX('潜水記録'!$AL$5:$AL$3004,$AS372)="","",INDEX('潜水記録'!$AL$5:$AL$3004,$AS372)))</f>
        <v/>
      </c>
      <c r="AH372" s="14">
        <f>IF($A372="","",IF(INDEX('潜水記録'!$AM$5:$AM$3004,$AS372)="","",INDEX('潜水記録'!$AM$5:$AM$3004,$AS372)))</f>
        <v/>
      </c>
      <c r="AI372" s="46">
        <f>IF($A372="","",IF(INDEX('潜水記録'!$AN$5:$AN$3004,$AS372)="","",INDEX('潜水記録'!$AN$5:$AN$3004,$AS372)))</f>
        <v/>
      </c>
      <c r="AJ372" s="14">
        <f>IF($A372="","",IF(INDEX('潜水記録'!$AO$5:$AO$3004,$AS372)="","",INDEX('潜水記録'!$AO$5:$AO$3004,$AS372)))</f>
        <v/>
      </c>
      <c r="AK372" s="14">
        <f>IF($A372="","",IF(INDEX('潜水記録'!$AP$5:$AP$3004,$AS372)="","",INDEX('潜水記録'!$AP$5:$AP$3004,$AS372)))</f>
        <v/>
      </c>
      <c r="AL372" s="14">
        <f>IF($A372="","",IF(INDEX('潜水記録'!$AQ$5:$AQ$3004,$AS372)="","",INDEX('潜水記録'!$AQ$5:$AQ$3004,$AS372)))</f>
        <v/>
      </c>
      <c r="AM372" s="14">
        <f>IF($A372="","",IF(INDEX('潜水記録'!$AR$5:$AR$3004,$AS372)="","",INDEX('潜水記録'!$AR$5:$AR$3004,$AS372)))</f>
        <v/>
      </c>
      <c r="AN372" s="14">
        <f>IF($A372="","",IF(INDEX('潜水記録'!$AS$5:$AS$3004,$AS372)="","",INDEX('潜水記録'!$AS$5:$AS$3004,$AS372)))</f>
        <v/>
      </c>
      <c r="AO372" s="14">
        <f>IF($A372="","",IF(INDEX('潜水記録'!$AT$5:$AT$3004,$AS372)="","",INDEX('潜水記録'!$AT$5:$AT$3004,$AS372)))</f>
        <v/>
      </c>
      <c r="AP372" s="14">
        <f>IF($A372="","",IF(INDEX('潜水記録'!$AU$5:$AU$3004,$AS372)="","",INDEX('潜水記録'!$AU$5:$AU$3004,$AS372)))</f>
        <v/>
      </c>
      <c r="AQ372" s="14">
        <f>IF($A372="","",IF(INDEX('潜水記録'!$AV$5:$AV$3004,$AS372)="","",INDEX('潜水記録'!$AV$5:$AV$3004,$AS372)))</f>
        <v/>
      </c>
      <c r="AR372" s="14">
        <f>IF($A372="","",IF(INDEX('潜水記録'!$AW$5:$AW$3004,$AS372)="","",INDEX('潜水記録'!$AW$5:$AW$3004,$AS372)))</f>
        <v/>
      </c>
      <c r="AS372" s="20">
        <f>IF($A372="","",MATCH($A372,'潜水記録'!$AI$5:$AI$3004,0))</f>
        <v/>
      </c>
    </row>
    <row r="373">
      <c r="A373" s="14">
        <f>IF(363&lt;=$C$8,363,"")</f>
        <v/>
      </c>
      <c r="B373" s="16">
        <f>IF($A373="","",IF(INDEX('潜水記録'!$A$5:$A$3004,$AS373)="","",INDEX('潜水記録'!$A$5:$A$3004,$AS373)))</f>
        <v/>
      </c>
      <c r="C373" s="14">
        <f>IF($A373="","",IF(INDEX('潜水記録'!$B$5:$B$3004,$AS373)="","",INDEX('潜水記録'!$B$5:$B$3004,$AS373)))</f>
        <v/>
      </c>
      <c r="D373" s="14">
        <f>IF($A373="","",IF(INDEX('潜水記録'!$C$5:$C$3004,$AS373)="","",INDEX('潜水記録'!$C$5:$C$3004,$AS373)))</f>
        <v/>
      </c>
      <c r="E373" s="14">
        <f>IF($A373="","",IF(INDEX('潜水記録'!$D$5:$D$3004,$AS373)="","",INDEX('潜水記録'!$D$5:$D$3004,$AS373)))</f>
        <v/>
      </c>
      <c r="F373" s="14">
        <f>IF($A373="","",IF(INDEX('潜水記録'!$E$5:$E$3004,$AS373)="","",INDEX('潜水記録'!$E$5:$E$3004,$AS373)))</f>
        <v/>
      </c>
      <c r="G373" s="14">
        <f>IF($A373="","",IF(INDEX('潜水記録'!$F$5:$F$3004,$AS373)="","",INDEX('潜水記録'!$F$5:$F$3004,$AS373)))</f>
        <v/>
      </c>
      <c r="H373" s="14">
        <f>IF($A373="","",IF(INDEX('潜水記録'!$G$5:$G$3004,$AS373)="","",INDEX('潜水記録'!$G$5:$G$3004,$AS373)))</f>
        <v/>
      </c>
      <c r="I373" s="14">
        <f>IF($A373="","",IF(INDEX('潜水記録'!$H$5:$H$3004,$AS373)="","",INDEX('潜水記録'!$H$5:$H$3004,$AS373)))</f>
        <v/>
      </c>
      <c r="J373" s="14">
        <f>IF($A373="","",IF(INDEX('潜水記録'!$I$5:$I$3004,$AS373)="","",INDEX('潜水記録'!$I$5:$I$3004,$AS373)))</f>
        <v/>
      </c>
      <c r="K373" s="14">
        <f>IF($A373="","",IF(INDEX('潜水記録'!$J$5:$J$3004,$AS373)="","",INDEX('潜水記録'!$J$5:$J$3004,$AS373)))</f>
        <v/>
      </c>
      <c r="L373" s="14">
        <f>IF($A373="","",IF(INDEX('潜水記録'!$K$5:$K$3004,$AS373)="","",INDEX('潜水記録'!$K$5:$K$3004,$AS373)))</f>
        <v/>
      </c>
      <c r="M373" s="14">
        <f>IF($A373="","",IF(INDEX('潜水記録'!$L$5:$L$3004,$AS373)="","",INDEX('潜水記録'!$L$5:$L$3004,$AS373)))</f>
        <v/>
      </c>
      <c r="N373" s="14">
        <f>IF($A373="","",IF(INDEX('潜水記録'!$M$5:$M$3004,$AS373)="","",INDEX('潜水記録'!$M$5:$M$3004,$AS373)))</f>
        <v/>
      </c>
      <c r="O373" s="14">
        <f>IF($A373="","",IF(INDEX('潜水記録'!$N$5:$N$3004,$AS373)="","",INDEX('潜水記録'!$N$5:$N$3004,$AS373)))</f>
        <v/>
      </c>
      <c r="P373" s="14">
        <f>IF($A373="","",IF(INDEX('潜水記録'!$O$5:$O$3004,$AS373)="","",INDEX('潜水記録'!$O$5:$O$3004,$AS373)))</f>
        <v/>
      </c>
      <c r="Q373" s="14">
        <f>IF($A373="","",IF(INDEX('潜水記録'!$P$5:$P$3004,$AS373)="","",INDEX('潜水記録'!$P$5:$P$3004,$AS373)))</f>
        <v/>
      </c>
      <c r="R373" s="14">
        <f>IF($A373="","",IF(INDEX('潜水記録'!$Q$5:$Q$3004,$AS373)="","",INDEX('潜水記録'!$Q$5:$Q$3004,$AS373)))</f>
        <v/>
      </c>
      <c r="S373" s="14">
        <f>IF($A373="","",IF(INDEX('潜水記録'!$R$5:$R$3004,$AS373)="","",INDEX('潜水記録'!$R$5:$R$3004,$AS373)))</f>
        <v/>
      </c>
      <c r="T373" s="14">
        <f>IF($A373="","",IF(INDEX('潜水記録'!$S$5:$S$3004,$AS373)="","",INDEX('潜水記録'!$S$5:$S$3004,$AS373)))</f>
        <v/>
      </c>
      <c r="U373" s="14">
        <f>IF($A373="","",IF(INDEX('潜水記録'!$T$5:$T$3004,$AS373)="","",INDEX('潜水記録'!$T$5:$T$3004,$AS373)))</f>
        <v/>
      </c>
      <c r="V373" s="46">
        <f>IF($A373="","",IF(INDEX('潜水記録'!$U$5:$U$3004,$AS373)="","",INDEX('潜水記録'!$U$5:$U$3004,$AS373)))</f>
        <v/>
      </c>
      <c r="W373" s="46">
        <f>IF($A373="","",IF(INDEX('潜水記録'!$V$5:$V$3004,$AS373)="","",INDEX('潜水記録'!$V$5:$V$3004,$AS373)))</f>
        <v/>
      </c>
      <c r="X373" s="14">
        <f>IF($A373="","",IF(INDEX('潜水記録'!$W$5:$W$3004,$AS373)="","",INDEX('潜水記録'!$W$5:$W$3004,$AS373)))</f>
        <v/>
      </c>
      <c r="Y373" s="14">
        <f>IF($A373="","",IF(INDEX('潜水記録'!$X$5:$X$3004,$AS373)="","",INDEX('潜水記録'!$X$5:$X$3004,$AS373)))</f>
        <v/>
      </c>
      <c r="Z373" s="14">
        <f>IF($A373="","",IF(INDEX('潜水記録'!$Y$5:$Y$3004,$AS373)="","",INDEX('潜水記録'!$Y$5:$Y$3004,$AS373)))</f>
        <v/>
      </c>
      <c r="AA373" s="14">
        <f>IF($A373="","",IF(INDEX('潜水記録'!$Z$5:$Z$3004,$AS373)="","",INDEX('潜水記録'!$Z$5:$Z$3004,$AS373)))</f>
        <v/>
      </c>
      <c r="AB373" s="14">
        <f>IF($A373="","",IF(INDEX('潜水記録'!$AA$5:$AA$3004,$AS373)="","",INDEX('潜水記録'!$AA$5:$AA$3004,$AS373)))</f>
        <v/>
      </c>
      <c r="AC373" s="14">
        <f>IF($A373="","",IF(INDEX('潜水記録'!$AB$5:$AB$3004,$AS373)="","",INDEX('潜水記録'!$AB$5:$AB$3004,$AS373)))</f>
        <v/>
      </c>
      <c r="AD373" s="14">
        <f>IF($A373="","",IF(INDEX('潜水記録'!$AC$5:$AC$3004,$AS373)="","",INDEX('潜水記録'!$AC$5:$AC$3004,$AS373)))</f>
        <v/>
      </c>
      <c r="AE373" s="14">
        <f>IF($A373="","",IF(INDEX('潜水記録'!$AD$5:$AD$3004,$AS373)="","",INDEX('潜水記録'!$AD$5:$AD$3004,$AS373)))</f>
        <v/>
      </c>
      <c r="AF373" s="14">
        <f>IF($A373="","",IF(INDEX('潜水記録'!$AE$5:$AE$3004,$AS373)="","",INDEX('潜水記録'!$AE$5:$AE$3004,$AS373)))</f>
        <v/>
      </c>
      <c r="AG373" s="14">
        <f>IF($A373="","",IF(INDEX('潜水記録'!$AL$5:$AL$3004,$AS373)="","",INDEX('潜水記録'!$AL$5:$AL$3004,$AS373)))</f>
        <v/>
      </c>
      <c r="AH373" s="14">
        <f>IF($A373="","",IF(INDEX('潜水記録'!$AM$5:$AM$3004,$AS373)="","",INDEX('潜水記録'!$AM$5:$AM$3004,$AS373)))</f>
        <v/>
      </c>
      <c r="AI373" s="46">
        <f>IF($A373="","",IF(INDEX('潜水記録'!$AN$5:$AN$3004,$AS373)="","",INDEX('潜水記録'!$AN$5:$AN$3004,$AS373)))</f>
        <v/>
      </c>
      <c r="AJ373" s="14">
        <f>IF($A373="","",IF(INDEX('潜水記録'!$AO$5:$AO$3004,$AS373)="","",INDEX('潜水記録'!$AO$5:$AO$3004,$AS373)))</f>
        <v/>
      </c>
      <c r="AK373" s="14">
        <f>IF($A373="","",IF(INDEX('潜水記録'!$AP$5:$AP$3004,$AS373)="","",INDEX('潜水記録'!$AP$5:$AP$3004,$AS373)))</f>
        <v/>
      </c>
      <c r="AL373" s="14">
        <f>IF($A373="","",IF(INDEX('潜水記録'!$AQ$5:$AQ$3004,$AS373)="","",INDEX('潜水記録'!$AQ$5:$AQ$3004,$AS373)))</f>
        <v/>
      </c>
      <c r="AM373" s="14">
        <f>IF($A373="","",IF(INDEX('潜水記録'!$AR$5:$AR$3004,$AS373)="","",INDEX('潜水記録'!$AR$5:$AR$3004,$AS373)))</f>
        <v/>
      </c>
      <c r="AN373" s="14">
        <f>IF($A373="","",IF(INDEX('潜水記録'!$AS$5:$AS$3004,$AS373)="","",INDEX('潜水記録'!$AS$5:$AS$3004,$AS373)))</f>
        <v/>
      </c>
      <c r="AO373" s="14">
        <f>IF($A373="","",IF(INDEX('潜水記録'!$AT$5:$AT$3004,$AS373)="","",INDEX('潜水記録'!$AT$5:$AT$3004,$AS373)))</f>
        <v/>
      </c>
      <c r="AP373" s="14">
        <f>IF($A373="","",IF(INDEX('潜水記録'!$AU$5:$AU$3004,$AS373)="","",INDEX('潜水記録'!$AU$5:$AU$3004,$AS373)))</f>
        <v/>
      </c>
      <c r="AQ373" s="14">
        <f>IF($A373="","",IF(INDEX('潜水記録'!$AV$5:$AV$3004,$AS373)="","",INDEX('潜水記録'!$AV$5:$AV$3004,$AS373)))</f>
        <v/>
      </c>
      <c r="AR373" s="14">
        <f>IF($A373="","",IF(INDEX('潜水記録'!$AW$5:$AW$3004,$AS373)="","",INDEX('潜水記録'!$AW$5:$AW$3004,$AS373)))</f>
        <v/>
      </c>
      <c r="AS373" s="20">
        <f>IF($A373="","",MATCH($A373,'潜水記録'!$AI$5:$AI$3004,0))</f>
        <v/>
      </c>
    </row>
    <row r="374">
      <c r="A374" s="14">
        <f>IF(364&lt;=$C$8,364,"")</f>
        <v/>
      </c>
      <c r="B374" s="16">
        <f>IF($A374="","",IF(INDEX('潜水記録'!$A$5:$A$3004,$AS374)="","",INDEX('潜水記録'!$A$5:$A$3004,$AS374)))</f>
        <v/>
      </c>
      <c r="C374" s="14">
        <f>IF($A374="","",IF(INDEX('潜水記録'!$B$5:$B$3004,$AS374)="","",INDEX('潜水記録'!$B$5:$B$3004,$AS374)))</f>
        <v/>
      </c>
      <c r="D374" s="14">
        <f>IF($A374="","",IF(INDEX('潜水記録'!$C$5:$C$3004,$AS374)="","",INDEX('潜水記録'!$C$5:$C$3004,$AS374)))</f>
        <v/>
      </c>
      <c r="E374" s="14">
        <f>IF($A374="","",IF(INDEX('潜水記録'!$D$5:$D$3004,$AS374)="","",INDEX('潜水記録'!$D$5:$D$3004,$AS374)))</f>
        <v/>
      </c>
      <c r="F374" s="14">
        <f>IF($A374="","",IF(INDEX('潜水記録'!$E$5:$E$3004,$AS374)="","",INDEX('潜水記録'!$E$5:$E$3004,$AS374)))</f>
        <v/>
      </c>
      <c r="G374" s="14">
        <f>IF($A374="","",IF(INDEX('潜水記録'!$F$5:$F$3004,$AS374)="","",INDEX('潜水記録'!$F$5:$F$3004,$AS374)))</f>
        <v/>
      </c>
      <c r="H374" s="14">
        <f>IF($A374="","",IF(INDEX('潜水記録'!$G$5:$G$3004,$AS374)="","",INDEX('潜水記録'!$G$5:$G$3004,$AS374)))</f>
        <v/>
      </c>
      <c r="I374" s="14">
        <f>IF($A374="","",IF(INDEX('潜水記録'!$H$5:$H$3004,$AS374)="","",INDEX('潜水記録'!$H$5:$H$3004,$AS374)))</f>
        <v/>
      </c>
      <c r="J374" s="14">
        <f>IF($A374="","",IF(INDEX('潜水記録'!$I$5:$I$3004,$AS374)="","",INDEX('潜水記録'!$I$5:$I$3004,$AS374)))</f>
        <v/>
      </c>
      <c r="K374" s="14">
        <f>IF($A374="","",IF(INDEX('潜水記録'!$J$5:$J$3004,$AS374)="","",INDEX('潜水記録'!$J$5:$J$3004,$AS374)))</f>
        <v/>
      </c>
      <c r="L374" s="14">
        <f>IF($A374="","",IF(INDEX('潜水記録'!$K$5:$K$3004,$AS374)="","",INDEX('潜水記録'!$K$5:$K$3004,$AS374)))</f>
        <v/>
      </c>
      <c r="M374" s="14">
        <f>IF($A374="","",IF(INDEX('潜水記録'!$L$5:$L$3004,$AS374)="","",INDEX('潜水記録'!$L$5:$L$3004,$AS374)))</f>
        <v/>
      </c>
      <c r="N374" s="14">
        <f>IF($A374="","",IF(INDEX('潜水記録'!$M$5:$M$3004,$AS374)="","",INDEX('潜水記録'!$M$5:$M$3004,$AS374)))</f>
        <v/>
      </c>
      <c r="O374" s="14">
        <f>IF($A374="","",IF(INDEX('潜水記録'!$N$5:$N$3004,$AS374)="","",INDEX('潜水記録'!$N$5:$N$3004,$AS374)))</f>
        <v/>
      </c>
      <c r="P374" s="14">
        <f>IF($A374="","",IF(INDEX('潜水記録'!$O$5:$O$3004,$AS374)="","",INDEX('潜水記録'!$O$5:$O$3004,$AS374)))</f>
        <v/>
      </c>
      <c r="Q374" s="14">
        <f>IF($A374="","",IF(INDEX('潜水記録'!$P$5:$P$3004,$AS374)="","",INDEX('潜水記録'!$P$5:$P$3004,$AS374)))</f>
        <v/>
      </c>
      <c r="R374" s="14">
        <f>IF($A374="","",IF(INDEX('潜水記録'!$Q$5:$Q$3004,$AS374)="","",INDEX('潜水記録'!$Q$5:$Q$3004,$AS374)))</f>
        <v/>
      </c>
      <c r="S374" s="14">
        <f>IF($A374="","",IF(INDEX('潜水記録'!$R$5:$R$3004,$AS374)="","",INDEX('潜水記録'!$R$5:$R$3004,$AS374)))</f>
        <v/>
      </c>
      <c r="T374" s="14">
        <f>IF($A374="","",IF(INDEX('潜水記録'!$S$5:$S$3004,$AS374)="","",INDEX('潜水記録'!$S$5:$S$3004,$AS374)))</f>
        <v/>
      </c>
      <c r="U374" s="14">
        <f>IF($A374="","",IF(INDEX('潜水記録'!$T$5:$T$3004,$AS374)="","",INDEX('潜水記録'!$T$5:$T$3004,$AS374)))</f>
        <v/>
      </c>
      <c r="V374" s="46">
        <f>IF($A374="","",IF(INDEX('潜水記録'!$U$5:$U$3004,$AS374)="","",INDEX('潜水記録'!$U$5:$U$3004,$AS374)))</f>
        <v/>
      </c>
      <c r="W374" s="46">
        <f>IF($A374="","",IF(INDEX('潜水記録'!$V$5:$V$3004,$AS374)="","",INDEX('潜水記録'!$V$5:$V$3004,$AS374)))</f>
        <v/>
      </c>
      <c r="X374" s="14">
        <f>IF($A374="","",IF(INDEX('潜水記録'!$W$5:$W$3004,$AS374)="","",INDEX('潜水記録'!$W$5:$W$3004,$AS374)))</f>
        <v/>
      </c>
      <c r="Y374" s="14">
        <f>IF($A374="","",IF(INDEX('潜水記録'!$X$5:$X$3004,$AS374)="","",INDEX('潜水記録'!$X$5:$X$3004,$AS374)))</f>
        <v/>
      </c>
      <c r="Z374" s="14">
        <f>IF($A374="","",IF(INDEX('潜水記録'!$Y$5:$Y$3004,$AS374)="","",INDEX('潜水記録'!$Y$5:$Y$3004,$AS374)))</f>
        <v/>
      </c>
      <c r="AA374" s="14">
        <f>IF($A374="","",IF(INDEX('潜水記録'!$Z$5:$Z$3004,$AS374)="","",INDEX('潜水記録'!$Z$5:$Z$3004,$AS374)))</f>
        <v/>
      </c>
      <c r="AB374" s="14">
        <f>IF($A374="","",IF(INDEX('潜水記録'!$AA$5:$AA$3004,$AS374)="","",INDEX('潜水記録'!$AA$5:$AA$3004,$AS374)))</f>
        <v/>
      </c>
      <c r="AC374" s="14">
        <f>IF($A374="","",IF(INDEX('潜水記録'!$AB$5:$AB$3004,$AS374)="","",INDEX('潜水記録'!$AB$5:$AB$3004,$AS374)))</f>
        <v/>
      </c>
      <c r="AD374" s="14">
        <f>IF($A374="","",IF(INDEX('潜水記録'!$AC$5:$AC$3004,$AS374)="","",INDEX('潜水記録'!$AC$5:$AC$3004,$AS374)))</f>
        <v/>
      </c>
      <c r="AE374" s="14">
        <f>IF($A374="","",IF(INDEX('潜水記録'!$AD$5:$AD$3004,$AS374)="","",INDEX('潜水記録'!$AD$5:$AD$3004,$AS374)))</f>
        <v/>
      </c>
      <c r="AF374" s="14">
        <f>IF($A374="","",IF(INDEX('潜水記録'!$AE$5:$AE$3004,$AS374)="","",INDEX('潜水記録'!$AE$5:$AE$3004,$AS374)))</f>
        <v/>
      </c>
      <c r="AG374" s="14">
        <f>IF($A374="","",IF(INDEX('潜水記録'!$AL$5:$AL$3004,$AS374)="","",INDEX('潜水記録'!$AL$5:$AL$3004,$AS374)))</f>
        <v/>
      </c>
      <c r="AH374" s="14">
        <f>IF($A374="","",IF(INDEX('潜水記録'!$AM$5:$AM$3004,$AS374)="","",INDEX('潜水記録'!$AM$5:$AM$3004,$AS374)))</f>
        <v/>
      </c>
      <c r="AI374" s="46">
        <f>IF($A374="","",IF(INDEX('潜水記録'!$AN$5:$AN$3004,$AS374)="","",INDEX('潜水記録'!$AN$5:$AN$3004,$AS374)))</f>
        <v/>
      </c>
      <c r="AJ374" s="14">
        <f>IF($A374="","",IF(INDEX('潜水記録'!$AO$5:$AO$3004,$AS374)="","",INDEX('潜水記録'!$AO$5:$AO$3004,$AS374)))</f>
        <v/>
      </c>
      <c r="AK374" s="14">
        <f>IF($A374="","",IF(INDEX('潜水記録'!$AP$5:$AP$3004,$AS374)="","",INDEX('潜水記録'!$AP$5:$AP$3004,$AS374)))</f>
        <v/>
      </c>
      <c r="AL374" s="14">
        <f>IF($A374="","",IF(INDEX('潜水記録'!$AQ$5:$AQ$3004,$AS374)="","",INDEX('潜水記録'!$AQ$5:$AQ$3004,$AS374)))</f>
        <v/>
      </c>
      <c r="AM374" s="14">
        <f>IF($A374="","",IF(INDEX('潜水記録'!$AR$5:$AR$3004,$AS374)="","",INDEX('潜水記録'!$AR$5:$AR$3004,$AS374)))</f>
        <v/>
      </c>
      <c r="AN374" s="14">
        <f>IF($A374="","",IF(INDEX('潜水記録'!$AS$5:$AS$3004,$AS374)="","",INDEX('潜水記録'!$AS$5:$AS$3004,$AS374)))</f>
        <v/>
      </c>
      <c r="AO374" s="14">
        <f>IF($A374="","",IF(INDEX('潜水記録'!$AT$5:$AT$3004,$AS374)="","",INDEX('潜水記録'!$AT$5:$AT$3004,$AS374)))</f>
        <v/>
      </c>
      <c r="AP374" s="14">
        <f>IF($A374="","",IF(INDEX('潜水記録'!$AU$5:$AU$3004,$AS374)="","",INDEX('潜水記録'!$AU$5:$AU$3004,$AS374)))</f>
        <v/>
      </c>
      <c r="AQ374" s="14">
        <f>IF($A374="","",IF(INDEX('潜水記録'!$AV$5:$AV$3004,$AS374)="","",INDEX('潜水記録'!$AV$5:$AV$3004,$AS374)))</f>
        <v/>
      </c>
      <c r="AR374" s="14">
        <f>IF($A374="","",IF(INDEX('潜水記録'!$AW$5:$AW$3004,$AS374)="","",INDEX('潜水記録'!$AW$5:$AW$3004,$AS374)))</f>
        <v/>
      </c>
      <c r="AS374" s="20">
        <f>IF($A374="","",MATCH($A374,'潜水記録'!$AI$5:$AI$3004,0))</f>
        <v/>
      </c>
    </row>
    <row r="375">
      <c r="A375" s="14">
        <f>IF(365&lt;=$C$8,365,"")</f>
        <v/>
      </c>
      <c r="B375" s="16">
        <f>IF($A375="","",IF(INDEX('潜水記録'!$A$5:$A$3004,$AS375)="","",INDEX('潜水記録'!$A$5:$A$3004,$AS375)))</f>
        <v/>
      </c>
      <c r="C375" s="14">
        <f>IF($A375="","",IF(INDEX('潜水記録'!$B$5:$B$3004,$AS375)="","",INDEX('潜水記録'!$B$5:$B$3004,$AS375)))</f>
        <v/>
      </c>
      <c r="D375" s="14">
        <f>IF($A375="","",IF(INDEX('潜水記録'!$C$5:$C$3004,$AS375)="","",INDEX('潜水記録'!$C$5:$C$3004,$AS375)))</f>
        <v/>
      </c>
      <c r="E375" s="14">
        <f>IF($A375="","",IF(INDEX('潜水記録'!$D$5:$D$3004,$AS375)="","",INDEX('潜水記録'!$D$5:$D$3004,$AS375)))</f>
        <v/>
      </c>
      <c r="F375" s="14">
        <f>IF($A375="","",IF(INDEX('潜水記録'!$E$5:$E$3004,$AS375)="","",INDEX('潜水記録'!$E$5:$E$3004,$AS375)))</f>
        <v/>
      </c>
      <c r="G375" s="14">
        <f>IF($A375="","",IF(INDEX('潜水記録'!$F$5:$F$3004,$AS375)="","",INDEX('潜水記録'!$F$5:$F$3004,$AS375)))</f>
        <v/>
      </c>
      <c r="H375" s="14">
        <f>IF($A375="","",IF(INDEX('潜水記録'!$G$5:$G$3004,$AS375)="","",INDEX('潜水記録'!$G$5:$G$3004,$AS375)))</f>
        <v/>
      </c>
      <c r="I375" s="14">
        <f>IF($A375="","",IF(INDEX('潜水記録'!$H$5:$H$3004,$AS375)="","",INDEX('潜水記録'!$H$5:$H$3004,$AS375)))</f>
        <v/>
      </c>
      <c r="J375" s="14">
        <f>IF($A375="","",IF(INDEX('潜水記録'!$I$5:$I$3004,$AS375)="","",INDEX('潜水記録'!$I$5:$I$3004,$AS375)))</f>
        <v/>
      </c>
      <c r="K375" s="14">
        <f>IF($A375="","",IF(INDEX('潜水記録'!$J$5:$J$3004,$AS375)="","",INDEX('潜水記録'!$J$5:$J$3004,$AS375)))</f>
        <v/>
      </c>
      <c r="L375" s="14">
        <f>IF($A375="","",IF(INDEX('潜水記録'!$K$5:$K$3004,$AS375)="","",INDEX('潜水記録'!$K$5:$K$3004,$AS375)))</f>
        <v/>
      </c>
      <c r="M375" s="14">
        <f>IF($A375="","",IF(INDEX('潜水記録'!$L$5:$L$3004,$AS375)="","",INDEX('潜水記録'!$L$5:$L$3004,$AS375)))</f>
        <v/>
      </c>
      <c r="N375" s="14">
        <f>IF($A375="","",IF(INDEX('潜水記録'!$M$5:$M$3004,$AS375)="","",INDEX('潜水記録'!$M$5:$M$3004,$AS375)))</f>
        <v/>
      </c>
      <c r="O375" s="14">
        <f>IF($A375="","",IF(INDEX('潜水記録'!$N$5:$N$3004,$AS375)="","",INDEX('潜水記録'!$N$5:$N$3004,$AS375)))</f>
        <v/>
      </c>
      <c r="P375" s="14">
        <f>IF($A375="","",IF(INDEX('潜水記録'!$O$5:$O$3004,$AS375)="","",INDEX('潜水記録'!$O$5:$O$3004,$AS375)))</f>
        <v/>
      </c>
      <c r="Q375" s="14">
        <f>IF($A375="","",IF(INDEX('潜水記録'!$P$5:$P$3004,$AS375)="","",INDEX('潜水記録'!$P$5:$P$3004,$AS375)))</f>
        <v/>
      </c>
      <c r="R375" s="14">
        <f>IF($A375="","",IF(INDEX('潜水記録'!$Q$5:$Q$3004,$AS375)="","",INDEX('潜水記録'!$Q$5:$Q$3004,$AS375)))</f>
        <v/>
      </c>
      <c r="S375" s="14">
        <f>IF($A375="","",IF(INDEX('潜水記録'!$R$5:$R$3004,$AS375)="","",INDEX('潜水記録'!$R$5:$R$3004,$AS375)))</f>
        <v/>
      </c>
      <c r="T375" s="14">
        <f>IF($A375="","",IF(INDEX('潜水記録'!$S$5:$S$3004,$AS375)="","",INDEX('潜水記録'!$S$5:$S$3004,$AS375)))</f>
        <v/>
      </c>
      <c r="U375" s="14">
        <f>IF($A375="","",IF(INDEX('潜水記録'!$T$5:$T$3004,$AS375)="","",INDEX('潜水記録'!$T$5:$T$3004,$AS375)))</f>
        <v/>
      </c>
      <c r="V375" s="46">
        <f>IF($A375="","",IF(INDEX('潜水記録'!$U$5:$U$3004,$AS375)="","",INDEX('潜水記録'!$U$5:$U$3004,$AS375)))</f>
        <v/>
      </c>
      <c r="W375" s="46">
        <f>IF($A375="","",IF(INDEX('潜水記録'!$V$5:$V$3004,$AS375)="","",INDEX('潜水記録'!$V$5:$V$3004,$AS375)))</f>
        <v/>
      </c>
      <c r="X375" s="14">
        <f>IF($A375="","",IF(INDEX('潜水記録'!$W$5:$W$3004,$AS375)="","",INDEX('潜水記録'!$W$5:$W$3004,$AS375)))</f>
        <v/>
      </c>
      <c r="Y375" s="14">
        <f>IF($A375="","",IF(INDEX('潜水記録'!$X$5:$X$3004,$AS375)="","",INDEX('潜水記録'!$X$5:$X$3004,$AS375)))</f>
        <v/>
      </c>
      <c r="Z375" s="14">
        <f>IF($A375="","",IF(INDEX('潜水記録'!$Y$5:$Y$3004,$AS375)="","",INDEX('潜水記録'!$Y$5:$Y$3004,$AS375)))</f>
        <v/>
      </c>
      <c r="AA375" s="14">
        <f>IF($A375="","",IF(INDEX('潜水記録'!$Z$5:$Z$3004,$AS375)="","",INDEX('潜水記録'!$Z$5:$Z$3004,$AS375)))</f>
        <v/>
      </c>
      <c r="AB375" s="14">
        <f>IF($A375="","",IF(INDEX('潜水記録'!$AA$5:$AA$3004,$AS375)="","",INDEX('潜水記録'!$AA$5:$AA$3004,$AS375)))</f>
        <v/>
      </c>
      <c r="AC375" s="14">
        <f>IF($A375="","",IF(INDEX('潜水記録'!$AB$5:$AB$3004,$AS375)="","",INDEX('潜水記録'!$AB$5:$AB$3004,$AS375)))</f>
        <v/>
      </c>
      <c r="AD375" s="14">
        <f>IF($A375="","",IF(INDEX('潜水記録'!$AC$5:$AC$3004,$AS375)="","",INDEX('潜水記録'!$AC$5:$AC$3004,$AS375)))</f>
        <v/>
      </c>
      <c r="AE375" s="14">
        <f>IF($A375="","",IF(INDEX('潜水記録'!$AD$5:$AD$3004,$AS375)="","",INDEX('潜水記録'!$AD$5:$AD$3004,$AS375)))</f>
        <v/>
      </c>
      <c r="AF375" s="14">
        <f>IF($A375="","",IF(INDEX('潜水記録'!$AE$5:$AE$3004,$AS375)="","",INDEX('潜水記録'!$AE$5:$AE$3004,$AS375)))</f>
        <v/>
      </c>
      <c r="AG375" s="14">
        <f>IF($A375="","",IF(INDEX('潜水記録'!$AL$5:$AL$3004,$AS375)="","",INDEX('潜水記録'!$AL$5:$AL$3004,$AS375)))</f>
        <v/>
      </c>
      <c r="AH375" s="14">
        <f>IF($A375="","",IF(INDEX('潜水記録'!$AM$5:$AM$3004,$AS375)="","",INDEX('潜水記録'!$AM$5:$AM$3004,$AS375)))</f>
        <v/>
      </c>
      <c r="AI375" s="46">
        <f>IF($A375="","",IF(INDEX('潜水記録'!$AN$5:$AN$3004,$AS375)="","",INDEX('潜水記録'!$AN$5:$AN$3004,$AS375)))</f>
        <v/>
      </c>
      <c r="AJ375" s="14">
        <f>IF($A375="","",IF(INDEX('潜水記録'!$AO$5:$AO$3004,$AS375)="","",INDEX('潜水記録'!$AO$5:$AO$3004,$AS375)))</f>
        <v/>
      </c>
      <c r="AK375" s="14">
        <f>IF($A375="","",IF(INDEX('潜水記録'!$AP$5:$AP$3004,$AS375)="","",INDEX('潜水記録'!$AP$5:$AP$3004,$AS375)))</f>
        <v/>
      </c>
      <c r="AL375" s="14">
        <f>IF($A375="","",IF(INDEX('潜水記録'!$AQ$5:$AQ$3004,$AS375)="","",INDEX('潜水記録'!$AQ$5:$AQ$3004,$AS375)))</f>
        <v/>
      </c>
      <c r="AM375" s="14">
        <f>IF($A375="","",IF(INDEX('潜水記録'!$AR$5:$AR$3004,$AS375)="","",INDEX('潜水記録'!$AR$5:$AR$3004,$AS375)))</f>
        <v/>
      </c>
      <c r="AN375" s="14">
        <f>IF($A375="","",IF(INDEX('潜水記録'!$AS$5:$AS$3004,$AS375)="","",INDEX('潜水記録'!$AS$5:$AS$3004,$AS375)))</f>
        <v/>
      </c>
      <c r="AO375" s="14">
        <f>IF($A375="","",IF(INDEX('潜水記録'!$AT$5:$AT$3004,$AS375)="","",INDEX('潜水記録'!$AT$5:$AT$3004,$AS375)))</f>
        <v/>
      </c>
      <c r="AP375" s="14">
        <f>IF($A375="","",IF(INDEX('潜水記録'!$AU$5:$AU$3004,$AS375)="","",INDEX('潜水記録'!$AU$5:$AU$3004,$AS375)))</f>
        <v/>
      </c>
      <c r="AQ375" s="14">
        <f>IF($A375="","",IF(INDEX('潜水記録'!$AV$5:$AV$3004,$AS375)="","",INDEX('潜水記録'!$AV$5:$AV$3004,$AS375)))</f>
        <v/>
      </c>
      <c r="AR375" s="14">
        <f>IF($A375="","",IF(INDEX('潜水記録'!$AW$5:$AW$3004,$AS375)="","",INDEX('潜水記録'!$AW$5:$AW$3004,$AS375)))</f>
        <v/>
      </c>
      <c r="AS375" s="20">
        <f>IF($A375="","",MATCH($A375,'潜水記録'!$AI$5:$AI$3004,0))</f>
        <v/>
      </c>
    </row>
    <row r="376">
      <c r="A376" s="14">
        <f>IF(366&lt;=$C$8,366,"")</f>
        <v/>
      </c>
      <c r="B376" s="16">
        <f>IF($A376="","",IF(INDEX('潜水記録'!$A$5:$A$3004,$AS376)="","",INDEX('潜水記録'!$A$5:$A$3004,$AS376)))</f>
        <v/>
      </c>
      <c r="C376" s="14">
        <f>IF($A376="","",IF(INDEX('潜水記録'!$B$5:$B$3004,$AS376)="","",INDEX('潜水記録'!$B$5:$B$3004,$AS376)))</f>
        <v/>
      </c>
      <c r="D376" s="14">
        <f>IF($A376="","",IF(INDEX('潜水記録'!$C$5:$C$3004,$AS376)="","",INDEX('潜水記録'!$C$5:$C$3004,$AS376)))</f>
        <v/>
      </c>
      <c r="E376" s="14">
        <f>IF($A376="","",IF(INDEX('潜水記録'!$D$5:$D$3004,$AS376)="","",INDEX('潜水記録'!$D$5:$D$3004,$AS376)))</f>
        <v/>
      </c>
      <c r="F376" s="14">
        <f>IF($A376="","",IF(INDEX('潜水記録'!$E$5:$E$3004,$AS376)="","",INDEX('潜水記録'!$E$5:$E$3004,$AS376)))</f>
        <v/>
      </c>
      <c r="G376" s="14">
        <f>IF($A376="","",IF(INDEX('潜水記録'!$F$5:$F$3004,$AS376)="","",INDEX('潜水記録'!$F$5:$F$3004,$AS376)))</f>
        <v/>
      </c>
      <c r="H376" s="14">
        <f>IF($A376="","",IF(INDEX('潜水記録'!$G$5:$G$3004,$AS376)="","",INDEX('潜水記録'!$G$5:$G$3004,$AS376)))</f>
        <v/>
      </c>
      <c r="I376" s="14">
        <f>IF($A376="","",IF(INDEX('潜水記録'!$H$5:$H$3004,$AS376)="","",INDEX('潜水記録'!$H$5:$H$3004,$AS376)))</f>
        <v/>
      </c>
      <c r="J376" s="14">
        <f>IF($A376="","",IF(INDEX('潜水記録'!$I$5:$I$3004,$AS376)="","",INDEX('潜水記録'!$I$5:$I$3004,$AS376)))</f>
        <v/>
      </c>
      <c r="K376" s="14">
        <f>IF($A376="","",IF(INDEX('潜水記録'!$J$5:$J$3004,$AS376)="","",INDEX('潜水記録'!$J$5:$J$3004,$AS376)))</f>
        <v/>
      </c>
      <c r="L376" s="14">
        <f>IF($A376="","",IF(INDEX('潜水記録'!$K$5:$K$3004,$AS376)="","",INDEX('潜水記録'!$K$5:$K$3004,$AS376)))</f>
        <v/>
      </c>
      <c r="M376" s="14">
        <f>IF($A376="","",IF(INDEX('潜水記録'!$L$5:$L$3004,$AS376)="","",INDEX('潜水記録'!$L$5:$L$3004,$AS376)))</f>
        <v/>
      </c>
      <c r="N376" s="14">
        <f>IF($A376="","",IF(INDEX('潜水記録'!$M$5:$M$3004,$AS376)="","",INDEX('潜水記録'!$M$5:$M$3004,$AS376)))</f>
        <v/>
      </c>
      <c r="O376" s="14">
        <f>IF($A376="","",IF(INDEX('潜水記録'!$N$5:$N$3004,$AS376)="","",INDEX('潜水記録'!$N$5:$N$3004,$AS376)))</f>
        <v/>
      </c>
      <c r="P376" s="14">
        <f>IF($A376="","",IF(INDEX('潜水記録'!$O$5:$O$3004,$AS376)="","",INDEX('潜水記録'!$O$5:$O$3004,$AS376)))</f>
        <v/>
      </c>
      <c r="Q376" s="14">
        <f>IF($A376="","",IF(INDEX('潜水記録'!$P$5:$P$3004,$AS376)="","",INDEX('潜水記録'!$P$5:$P$3004,$AS376)))</f>
        <v/>
      </c>
      <c r="R376" s="14">
        <f>IF($A376="","",IF(INDEX('潜水記録'!$Q$5:$Q$3004,$AS376)="","",INDEX('潜水記録'!$Q$5:$Q$3004,$AS376)))</f>
        <v/>
      </c>
      <c r="S376" s="14">
        <f>IF($A376="","",IF(INDEX('潜水記録'!$R$5:$R$3004,$AS376)="","",INDEX('潜水記録'!$R$5:$R$3004,$AS376)))</f>
        <v/>
      </c>
      <c r="T376" s="14">
        <f>IF($A376="","",IF(INDEX('潜水記録'!$S$5:$S$3004,$AS376)="","",INDEX('潜水記録'!$S$5:$S$3004,$AS376)))</f>
        <v/>
      </c>
      <c r="U376" s="14">
        <f>IF($A376="","",IF(INDEX('潜水記録'!$T$5:$T$3004,$AS376)="","",INDEX('潜水記録'!$T$5:$T$3004,$AS376)))</f>
        <v/>
      </c>
      <c r="V376" s="46">
        <f>IF($A376="","",IF(INDEX('潜水記録'!$U$5:$U$3004,$AS376)="","",INDEX('潜水記録'!$U$5:$U$3004,$AS376)))</f>
        <v/>
      </c>
      <c r="W376" s="46">
        <f>IF($A376="","",IF(INDEX('潜水記録'!$V$5:$V$3004,$AS376)="","",INDEX('潜水記録'!$V$5:$V$3004,$AS376)))</f>
        <v/>
      </c>
      <c r="X376" s="14">
        <f>IF($A376="","",IF(INDEX('潜水記録'!$W$5:$W$3004,$AS376)="","",INDEX('潜水記録'!$W$5:$W$3004,$AS376)))</f>
        <v/>
      </c>
      <c r="Y376" s="14">
        <f>IF($A376="","",IF(INDEX('潜水記録'!$X$5:$X$3004,$AS376)="","",INDEX('潜水記録'!$X$5:$X$3004,$AS376)))</f>
        <v/>
      </c>
      <c r="Z376" s="14">
        <f>IF($A376="","",IF(INDEX('潜水記録'!$Y$5:$Y$3004,$AS376)="","",INDEX('潜水記録'!$Y$5:$Y$3004,$AS376)))</f>
        <v/>
      </c>
      <c r="AA376" s="14">
        <f>IF($A376="","",IF(INDEX('潜水記録'!$Z$5:$Z$3004,$AS376)="","",INDEX('潜水記録'!$Z$5:$Z$3004,$AS376)))</f>
        <v/>
      </c>
      <c r="AB376" s="14">
        <f>IF($A376="","",IF(INDEX('潜水記録'!$AA$5:$AA$3004,$AS376)="","",INDEX('潜水記録'!$AA$5:$AA$3004,$AS376)))</f>
        <v/>
      </c>
      <c r="AC376" s="14">
        <f>IF($A376="","",IF(INDEX('潜水記録'!$AB$5:$AB$3004,$AS376)="","",INDEX('潜水記録'!$AB$5:$AB$3004,$AS376)))</f>
        <v/>
      </c>
      <c r="AD376" s="14">
        <f>IF($A376="","",IF(INDEX('潜水記録'!$AC$5:$AC$3004,$AS376)="","",INDEX('潜水記録'!$AC$5:$AC$3004,$AS376)))</f>
        <v/>
      </c>
      <c r="AE376" s="14">
        <f>IF($A376="","",IF(INDEX('潜水記録'!$AD$5:$AD$3004,$AS376)="","",INDEX('潜水記録'!$AD$5:$AD$3004,$AS376)))</f>
        <v/>
      </c>
      <c r="AF376" s="14">
        <f>IF($A376="","",IF(INDEX('潜水記録'!$AE$5:$AE$3004,$AS376)="","",INDEX('潜水記録'!$AE$5:$AE$3004,$AS376)))</f>
        <v/>
      </c>
      <c r="AG376" s="14">
        <f>IF($A376="","",IF(INDEX('潜水記録'!$AL$5:$AL$3004,$AS376)="","",INDEX('潜水記録'!$AL$5:$AL$3004,$AS376)))</f>
        <v/>
      </c>
      <c r="AH376" s="14">
        <f>IF($A376="","",IF(INDEX('潜水記録'!$AM$5:$AM$3004,$AS376)="","",INDEX('潜水記録'!$AM$5:$AM$3004,$AS376)))</f>
        <v/>
      </c>
      <c r="AI376" s="46">
        <f>IF($A376="","",IF(INDEX('潜水記録'!$AN$5:$AN$3004,$AS376)="","",INDEX('潜水記録'!$AN$5:$AN$3004,$AS376)))</f>
        <v/>
      </c>
      <c r="AJ376" s="14">
        <f>IF($A376="","",IF(INDEX('潜水記録'!$AO$5:$AO$3004,$AS376)="","",INDEX('潜水記録'!$AO$5:$AO$3004,$AS376)))</f>
        <v/>
      </c>
      <c r="AK376" s="14">
        <f>IF($A376="","",IF(INDEX('潜水記録'!$AP$5:$AP$3004,$AS376)="","",INDEX('潜水記録'!$AP$5:$AP$3004,$AS376)))</f>
        <v/>
      </c>
      <c r="AL376" s="14">
        <f>IF($A376="","",IF(INDEX('潜水記録'!$AQ$5:$AQ$3004,$AS376)="","",INDEX('潜水記録'!$AQ$5:$AQ$3004,$AS376)))</f>
        <v/>
      </c>
      <c r="AM376" s="14">
        <f>IF($A376="","",IF(INDEX('潜水記録'!$AR$5:$AR$3004,$AS376)="","",INDEX('潜水記録'!$AR$5:$AR$3004,$AS376)))</f>
        <v/>
      </c>
      <c r="AN376" s="14">
        <f>IF($A376="","",IF(INDEX('潜水記録'!$AS$5:$AS$3004,$AS376)="","",INDEX('潜水記録'!$AS$5:$AS$3004,$AS376)))</f>
        <v/>
      </c>
      <c r="AO376" s="14">
        <f>IF($A376="","",IF(INDEX('潜水記録'!$AT$5:$AT$3004,$AS376)="","",INDEX('潜水記録'!$AT$5:$AT$3004,$AS376)))</f>
        <v/>
      </c>
      <c r="AP376" s="14">
        <f>IF($A376="","",IF(INDEX('潜水記録'!$AU$5:$AU$3004,$AS376)="","",INDEX('潜水記録'!$AU$5:$AU$3004,$AS376)))</f>
        <v/>
      </c>
      <c r="AQ376" s="14">
        <f>IF($A376="","",IF(INDEX('潜水記録'!$AV$5:$AV$3004,$AS376)="","",INDEX('潜水記録'!$AV$5:$AV$3004,$AS376)))</f>
        <v/>
      </c>
      <c r="AR376" s="14">
        <f>IF($A376="","",IF(INDEX('潜水記録'!$AW$5:$AW$3004,$AS376)="","",INDEX('潜水記録'!$AW$5:$AW$3004,$AS376)))</f>
        <v/>
      </c>
      <c r="AS376" s="20">
        <f>IF($A376="","",MATCH($A376,'潜水記録'!$AI$5:$AI$3004,0))</f>
        <v/>
      </c>
    </row>
    <row r="377">
      <c r="A377" s="14">
        <f>IF(367&lt;=$C$8,367,"")</f>
        <v/>
      </c>
      <c r="B377" s="16">
        <f>IF($A377="","",IF(INDEX('潜水記録'!$A$5:$A$3004,$AS377)="","",INDEX('潜水記録'!$A$5:$A$3004,$AS377)))</f>
        <v/>
      </c>
      <c r="C377" s="14">
        <f>IF($A377="","",IF(INDEX('潜水記録'!$B$5:$B$3004,$AS377)="","",INDEX('潜水記録'!$B$5:$B$3004,$AS377)))</f>
        <v/>
      </c>
      <c r="D377" s="14">
        <f>IF($A377="","",IF(INDEX('潜水記録'!$C$5:$C$3004,$AS377)="","",INDEX('潜水記録'!$C$5:$C$3004,$AS377)))</f>
        <v/>
      </c>
      <c r="E377" s="14">
        <f>IF($A377="","",IF(INDEX('潜水記録'!$D$5:$D$3004,$AS377)="","",INDEX('潜水記録'!$D$5:$D$3004,$AS377)))</f>
        <v/>
      </c>
      <c r="F377" s="14">
        <f>IF($A377="","",IF(INDEX('潜水記録'!$E$5:$E$3004,$AS377)="","",INDEX('潜水記録'!$E$5:$E$3004,$AS377)))</f>
        <v/>
      </c>
      <c r="G377" s="14">
        <f>IF($A377="","",IF(INDEX('潜水記録'!$F$5:$F$3004,$AS377)="","",INDEX('潜水記録'!$F$5:$F$3004,$AS377)))</f>
        <v/>
      </c>
      <c r="H377" s="14">
        <f>IF($A377="","",IF(INDEX('潜水記録'!$G$5:$G$3004,$AS377)="","",INDEX('潜水記録'!$G$5:$G$3004,$AS377)))</f>
        <v/>
      </c>
      <c r="I377" s="14">
        <f>IF($A377="","",IF(INDEX('潜水記録'!$H$5:$H$3004,$AS377)="","",INDEX('潜水記録'!$H$5:$H$3004,$AS377)))</f>
        <v/>
      </c>
      <c r="J377" s="14">
        <f>IF($A377="","",IF(INDEX('潜水記録'!$I$5:$I$3004,$AS377)="","",INDEX('潜水記録'!$I$5:$I$3004,$AS377)))</f>
        <v/>
      </c>
      <c r="K377" s="14">
        <f>IF($A377="","",IF(INDEX('潜水記録'!$J$5:$J$3004,$AS377)="","",INDEX('潜水記録'!$J$5:$J$3004,$AS377)))</f>
        <v/>
      </c>
      <c r="L377" s="14">
        <f>IF($A377="","",IF(INDEX('潜水記録'!$K$5:$K$3004,$AS377)="","",INDEX('潜水記録'!$K$5:$K$3004,$AS377)))</f>
        <v/>
      </c>
      <c r="M377" s="14">
        <f>IF($A377="","",IF(INDEX('潜水記録'!$L$5:$L$3004,$AS377)="","",INDEX('潜水記録'!$L$5:$L$3004,$AS377)))</f>
        <v/>
      </c>
      <c r="N377" s="14">
        <f>IF($A377="","",IF(INDEX('潜水記録'!$M$5:$M$3004,$AS377)="","",INDEX('潜水記録'!$M$5:$M$3004,$AS377)))</f>
        <v/>
      </c>
      <c r="O377" s="14">
        <f>IF($A377="","",IF(INDEX('潜水記録'!$N$5:$N$3004,$AS377)="","",INDEX('潜水記録'!$N$5:$N$3004,$AS377)))</f>
        <v/>
      </c>
      <c r="P377" s="14">
        <f>IF($A377="","",IF(INDEX('潜水記録'!$O$5:$O$3004,$AS377)="","",INDEX('潜水記録'!$O$5:$O$3004,$AS377)))</f>
        <v/>
      </c>
      <c r="Q377" s="14">
        <f>IF($A377="","",IF(INDEX('潜水記録'!$P$5:$P$3004,$AS377)="","",INDEX('潜水記録'!$P$5:$P$3004,$AS377)))</f>
        <v/>
      </c>
      <c r="R377" s="14">
        <f>IF($A377="","",IF(INDEX('潜水記録'!$Q$5:$Q$3004,$AS377)="","",INDEX('潜水記録'!$Q$5:$Q$3004,$AS377)))</f>
        <v/>
      </c>
      <c r="S377" s="14">
        <f>IF($A377="","",IF(INDEX('潜水記録'!$R$5:$R$3004,$AS377)="","",INDEX('潜水記録'!$R$5:$R$3004,$AS377)))</f>
        <v/>
      </c>
      <c r="T377" s="14">
        <f>IF($A377="","",IF(INDEX('潜水記録'!$S$5:$S$3004,$AS377)="","",INDEX('潜水記録'!$S$5:$S$3004,$AS377)))</f>
        <v/>
      </c>
      <c r="U377" s="14">
        <f>IF($A377="","",IF(INDEX('潜水記録'!$T$5:$T$3004,$AS377)="","",INDEX('潜水記録'!$T$5:$T$3004,$AS377)))</f>
        <v/>
      </c>
      <c r="V377" s="46">
        <f>IF($A377="","",IF(INDEX('潜水記録'!$U$5:$U$3004,$AS377)="","",INDEX('潜水記録'!$U$5:$U$3004,$AS377)))</f>
        <v/>
      </c>
      <c r="W377" s="46">
        <f>IF($A377="","",IF(INDEX('潜水記録'!$V$5:$V$3004,$AS377)="","",INDEX('潜水記録'!$V$5:$V$3004,$AS377)))</f>
        <v/>
      </c>
      <c r="X377" s="14">
        <f>IF($A377="","",IF(INDEX('潜水記録'!$W$5:$W$3004,$AS377)="","",INDEX('潜水記録'!$W$5:$W$3004,$AS377)))</f>
        <v/>
      </c>
      <c r="Y377" s="14">
        <f>IF($A377="","",IF(INDEX('潜水記録'!$X$5:$X$3004,$AS377)="","",INDEX('潜水記録'!$X$5:$X$3004,$AS377)))</f>
        <v/>
      </c>
      <c r="Z377" s="14">
        <f>IF($A377="","",IF(INDEX('潜水記録'!$Y$5:$Y$3004,$AS377)="","",INDEX('潜水記録'!$Y$5:$Y$3004,$AS377)))</f>
        <v/>
      </c>
      <c r="AA377" s="14">
        <f>IF($A377="","",IF(INDEX('潜水記録'!$Z$5:$Z$3004,$AS377)="","",INDEX('潜水記録'!$Z$5:$Z$3004,$AS377)))</f>
        <v/>
      </c>
      <c r="AB377" s="14">
        <f>IF($A377="","",IF(INDEX('潜水記録'!$AA$5:$AA$3004,$AS377)="","",INDEX('潜水記録'!$AA$5:$AA$3004,$AS377)))</f>
        <v/>
      </c>
      <c r="AC377" s="14">
        <f>IF($A377="","",IF(INDEX('潜水記録'!$AB$5:$AB$3004,$AS377)="","",INDEX('潜水記録'!$AB$5:$AB$3004,$AS377)))</f>
        <v/>
      </c>
      <c r="AD377" s="14">
        <f>IF($A377="","",IF(INDEX('潜水記録'!$AC$5:$AC$3004,$AS377)="","",INDEX('潜水記録'!$AC$5:$AC$3004,$AS377)))</f>
        <v/>
      </c>
      <c r="AE377" s="14">
        <f>IF($A377="","",IF(INDEX('潜水記録'!$AD$5:$AD$3004,$AS377)="","",INDEX('潜水記録'!$AD$5:$AD$3004,$AS377)))</f>
        <v/>
      </c>
      <c r="AF377" s="14">
        <f>IF($A377="","",IF(INDEX('潜水記録'!$AE$5:$AE$3004,$AS377)="","",INDEX('潜水記録'!$AE$5:$AE$3004,$AS377)))</f>
        <v/>
      </c>
      <c r="AG377" s="14">
        <f>IF($A377="","",IF(INDEX('潜水記録'!$AL$5:$AL$3004,$AS377)="","",INDEX('潜水記録'!$AL$5:$AL$3004,$AS377)))</f>
        <v/>
      </c>
      <c r="AH377" s="14">
        <f>IF($A377="","",IF(INDEX('潜水記録'!$AM$5:$AM$3004,$AS377)="","",INDEX('潜水記録'!$AM$5:$AM$3004,$AS377)))</f>
        <v/>
      </c>
      <c r="AI377" s="46">
        <f>IF($A377="","",IF(INDEX('潜水記録'!$AN$5:$AN$3004,$AS377)="","",INDEX('潜水記録'!$AN$5:$AN$3004,$AS377)))</f>
        <v/>
      </c>
      <c r="AJ377" s="14">
        <f>IF($A377="","",IF(INDEX('潜水記録'!$AO$5:$AO$3004,$AS377)="","",INDEX('潜水記録'!$AO$5:$AO$3004,$AS377)))</f>
        <v/>
      </c>
      <c r="AK377" s="14">
        <f>IF($A377="","",IF(INDEX('潜水記録'!$AP$5:$AP$3004,$AS377)="","",INDEX('潜水記録'!$AP$5:$AP$3004,$AS377)))</f>
        <v/>
      </c>
      <c r="AL377" s="14">
        <f>IF($A377="","",IF(INDEX('潜水記録'!$AQ$5:$AQ$3004,$AS377)="","",INDEX('潜水記録'!$AQ$5:$AQ$3004,$AS377)))</f>
        <v/>
      </c>
      <c r="AM377" s="14">
        <f>IF($A377="","",IF(INDEX('潜水記録'!$AR$5:$AR$3004,$AS377)="","",INDEX('潜水記録'!$AR$5:$AR$3004,$AS377)))</f>
        <v/>
      </c>
      <c r="AN377" s="14">
        <f>IF($A377="","",IF(INDEX('潜水記録'!$AS$5:$AS$3004,$AS377)="","",INDEX('潜水記録'!$AS$5:$AS$3004,$AS377)))</f>
        <v/>
      </c>
      <c r="AO377" s="14">
        <f>IF($A377="","",IF(INDEX('潜水記録'!$AT$5:$AT$3004,$AS377)="","",INDEX('潜水記録'!$AT$5:$AT$3004,$AS377)))</f>
        <v/>
      </c>
      <c r="AP377" s="14">
        <f>IF($A377="","",IF(INDEX('潜水記録'!$AU$5:$AU$3004,$AS377)="","",INDEX('潜水記録'!$AU$5:$AU$3004,$AS377)))</f>
        <v/>
      </c>
      <c r="AQ377" s="14">
        <f>IF($A377="","",IF(INDEX('潜水記録'!$AV$5:$AV$3004,$AS377)="","",INDEX('潜水記録'!$AV$5:$AV$3004,$AS377)))</f>
        <v/>
      </c>
      <c r="AR377" s="14">
        <f>IF($A377="","",IF(INDEX('潜水記録'!$AW$5:$AW$3004,$AS377)="","",INDEX('潜水記録'!$AW$5:$AW$3004,$AS377)))</f>
        <v/>
      </c>
      <c r="AS377" s="20">
        <f>IF($A377="","",MATCH($A377,'潜水記録'!$AI$5:$AI$3004,0))</f>
        <v/>
      </c>
    </row>
    <row r="378">
      <c r="A378" s="14">
        <f>IF(368&lt;=$C$8,368,"")</f>
        <v/>
      </c>
      <c r="B378" s="16">
        <f>IF($A378="","",IF(INDEX('潜水記録'!$A$5:$A$3004,$AS378)="","",INDEX('潜水記録'!$A$5:$A$3004,$AS378)))</f>
        <v/>
      </c>
      <c r="C378" s="14">
        <f>IF($A378="","",IF(INDEX('潜水記録'!$B$5:$B$3004,$AS378)="","",INDEX('潜水記録'!$B$5:$B$3004,$AS378)))</f>
        <v/>
      </c>
      <c r="D378" s="14">
        <f>IF($A378="","",IF(INDEX('潜水記録'!$C$5:$C$3004,$AS378)="","",INDEX('潜水記録'!$C$5:$C$3004,$AS378)))</f>
        <v/>
      </c>
      <c r="E378" s="14">
        <f>IF($A378="","",IF(INDEX('潜水記録'!$D$5:$D$3004,$AS378)="","",INDEX('潜水記録'!$D$5:$D$3004,$AS378)))</f>
        <v/>
      </c>
      <c r="F378" s="14">
        <f>IF($A378="","",IF(INDEX('潜水記録'!$E$5:$E$3004,$AS378)="","",INDEX('潜水記録'!$E$5:$E$3004,$AS378)))</f>
        <v/>
      </c>
      <c r="G378" s="14">
        <f>IF($A378="","",IF(INDEX('潜水記録'!$F$5:$F$3004,$AS378)="","",INDEX('潜水記録'!$F$5:$F$3004,$AS378)))</f>
        <v/>
      </c>
      <c r="H378" s="14">
        <f>IF($A378="","",IF(INDEX('潜水記録'!$G$5:$G$3004,$AS378)="","",INDEX('潜水記録'!$G$5:$G$3004,$AS378)))</f>
        <v/>
      </c>
      <c r="I378" s="14">
        <f>IF($A378="","",IF(INDEX('潜水記録'!$H$5:$H$3004,$AS378)="","",INDEX('潜水記録'!$H$5:$H$3004,$AS378)))</f>
        <v/>
      </c>
      <c r="J378" s="14">
        <f>IF($A378="","",IF(INDEX('潜水記録'!$I$5:$I$3004,$AS378)="","",INDEX('潜水記録'!$I$5:$I$3004,$AS378)))</f>
        <v/>
      </c>
      <c r="K378" s="14">
        <f>IF($A378="","",IF(INDEX('潜水記録'!$J$5:$J$3004,$AS378)="","",INDEX('潜水記録'!$J$5:$J$3004,$AS378)))</f>
        <v/>
      </c>
      <c r="L378" s="14">
        <f>IF($A378="","",IF(INDEX('潜水記録'!$K$5:$K$3004,$AS378)="","",INDEX('潜水記録'!$K$5:$K$3004,$AS378)))</f>
        <v/>
      </c>
      <c r="M378" s="14">
        <f>IF($A378="","",IF(INDEX('潜水記録'!$L$5:$L$3004,$AS378)="","",INDEX('潜水記録'!$L$5:$L$3004,$AS378)))</f>
        <v/>
      </c>
      <c r="N378" s="14">
        <f>IF($A378="","",IF(INDEX('潜水記録'!$M$5:$M$3004,$AS378)="","",INDEX('潜水記録'!$M$5:$M$3004,$AS378)))</f>
        <v/>
      </c>
      <c r="O378" s="14">
        <f>IF($A378="","",IF(INDEX('潜水記録'!$N$5:$N$3004,$AS378)="","",INDEX('潜水記録'!$N$5:$N$3004,$AS378)))</f>
        <v/>
      </c>
      <c r="P378" s="14">
        <f>IF($A378="","",IF(INDEX('潜水記録'!$O$5:$O$3004,$AS378)="","",INDEX('潜水記録'!$O$5:$O$3004,$AS378)))</f>
        <v/>
      </c>
      <c r="Q378" s="14">
        <f>IF($A378="","",IF(INDEX('潜水記録'!$P$5:$P$3004,$AS378)="","",INDEX('潜水記録'!$P$5:$P$3004,$AS378)))</f>
        <v/>
      </c>
      <c r="R378" s="14">
        <f>IF($A378="","",IF(INDEX('潜水記録'!$Q$5:$Q$3004,$AS378)="","",INDEX('潜水記録'!$Q$5:$Q$3004,$AS378)))</f>
        <v/>
      </c>
      <c r="S378" s="14">
        <f>IF($A378="","",IF(INDEX('潜水記録'!$R$5:$R$3004,$AS378)="","",INDEX('潜水記録'!$R$5:$R$3004,$AS378)))</f>
        <v/>
      </c>
      <c r="T378" s="14">
        <f>IF($A378="","",IF(INDEX('潜水記録'!$S$5:$S$3004,$AS378)="","",INDEX('潜水記録'!$S$5:$S$3004,$AS378)))</f>
        <v/>
      </c>
      <c r="U378" s="14">
        <f>IF($A378="","",IF(INDEX('潜水記録'!$T$5:$T$3004,$AS378)="","",INDEX('潜水記録'!$T$5:$T$3004,$AS378)))</f>
        <v/>
      </c>
      <c r="V378" s="46">
        <f>IF($A378="","",IF(INDEX('潜水記録'!$U$5:$U$3004,$AS378)="","",INDEX('潜水記録'!$U$5:$U$3004,$AS378)))</f>
        <v/>
      </c>
      <c r="W378" s="46">
        <f>IF($A378="","",IF(INDEX('潜水記録'!$V$5:$V$3004,$AS378)="","",INDEX('潜水記録'!$V$5:$V$3004,$AS378)))</f>
        <v/>
      </c>
      <c r="X378" s="14">
        <f>IF($A378="","",IF(INDEX('潜水記録'!$W$5:$W$3004,$AS378)="","",INDEX('潜水記録'!$W$5:$W$3004,$AS378)))</f>
        <v/>
      </c>
      <c r="Y378" s="14">
        <f>IF($A378="","",IF(INDEX('潜水記録'!$X$5:$X$3004,$AS378)="","",INDEX('潜水記録'!$X$5:$X$3004,$AS378)))</f>
        <v/>
      </c>
      <c r="Z378" s="14">
        <f>IF($A378="","",IF(INDEX('潜水記録'!$Y$5:$Y$3004,$AS378)="","",INDEX('潜水記録'!$Y$5:$Y$3004,$AS378)))</f>
        <v/>
      </c>
      <c r="AA378" s="14">
        <f>IF($A378="","",IF(INDEX('潜水記録'!$Z$5:$Z$3004,$AS378)="","",INDEX('潜水記録'!$Z$5:$Z$3004,$AS378)))</f>
        <v/>
      </c>
      <c r="AB378" s="14">
        <f>IF($A378="","",IF(INDEX('潜水記録'!$AA$5:$AA$3004,$AS378)="","",INDEX('潜水記録'!$AA$5:$AA$3004,$AS378)))</f>
        <v/>
      </c>
      <c r="AC378" s="14">
        <f>IF($A378="","",IF(INDEX('潜水記録'!$AB$5:$AB$3004,$AS378)="","",INDEX('潜水記録'!$AB$5:$AB$3004,$AS378)))</f>
        <v/>
      </c>
      <c r="AD378" s="14">
        <f>IF($A378="","",IF(INDEX('潜水記録'!$AC$5:$AC$3004,$AS378)="","",INDEX('潜水記録'!$AC$5:$AC$3004,$AS378)))</f>
        <v/>
      </c>
      <c r="AE378" s="14">
        <f>IF($A378="","",IF(INDEX('潜水記録'!$AD$5:$AD$3004,$AS378)="","",INDEX('潜水記録'!$AD$5:$AD$3004,$AS378)))</f>
        <v/>
      </c>
      <c r="AF378" s="14">
        <f>IF($A378="","",IF(INDEX('潜水記録'!$AE$5:$AE$3004,$AS378)="","",INDEX('潜水記録'!$AE$5:$AE$3004,$AS378)))</f>
        <v/>
      </c>
      <c r="AG378" s="14">
        <f>IF($A378="","",IF(INDEX('潜水記録'!$AL$5:$AL$3004,$AS378)="","",INDEX('潜水記録'!$AL$5:$AL$3004,$AS378)))</f>
        <v/>
      </c>
      <c r="AH378" s="14">
        <f>IF($A378="","",IF(INDEX('潜水記録'!$AM$5:$AM$3004,$AS378)="","",INDEX('潜水記録'!$AM$5:$AM$3004,$AS378)))</f>
        <v/>
      </c>
      <c r="AI378" s="46">
        <f>IF($A378="","",IF(INDEX('潜水記録'!$AN$5:$AN$3004,$AS378)="","",INDEX('潜水記録'!$AN$5:$AN$3004,$AS378)))</f>
        <v/>
      </c>
      <c r="AJ378" s="14">
        <f>IF($A378="","",IF(INDEX('潜水記録'!$AO$5:$AO$3004,$AS378)="","",INDEX('潜水記録'!$AO$5:$AO$3004,$AS378)))</f>
        <v/>
      </c>
      <c r="AK378" s="14">
        <f>IF($A378="","",IF(INDEX('潜水記録'!$AP$5:$AP$3004,$AS378)="","",INDEX('潜水記録'!$AP$5:$AP$3004,$AS378)))</f>
        <v/>
      </c>
      <c r="AL378" s="14">
        <f>IF($A378="","",IF(INDEX('潜水記録'!$AQ$5:$AQ$3004,$AS378)="","",INDEX('潜水記録'!$AQ$5:$AQ$3004,$AS378)))</f>
        <v/>
      </c>
      <c r="AM378" s="14">
        <f>IF($A378="","",IF(INDEX('潜水記録'!$AR$5:$AR$3004,$AS378)="","",INDEX('潜水記録'!$AR$5:$AR$3004,$AS378)))</f>
        <v/>
      </c>
      <c r="AN378" s="14">
        <f>IF($A378="","",IF(INDEX('潜水記録'!$AS$5:$AS$3004,$AS378)="","",INDEX('潜水記録'!$AS$5:$AS$3004,$AS378)))</f>
        <v/>
      </c>
      <c r="AO378" s="14">
        <f>IF($A378="","",IF(INDEX('潜水記録'!$AT$5:$AT$3004,$AS378)="","",INDEX('潜水記録'!$AT$5:$AT$3004,$AS378)))</f>
        <v/>
      </c>
      <c r="AP378" s="14">
        <f>IF($A378="","",IF(INDEX('潜水記録'!$AU$5:$AU$3004,$AS378)="","",INDEX('潜水記録'!$AU$5:$AU$3004,$AS378)))</f>
        <v/>
      </c>
      <c r="AQ378" s="14">
        <f>IF($A378="","",IF(INDEX('潜水記録'!$AV$5:$AV$3004,$AS378)="","",INDEX('潜水記録'!$AV$5:$AV$3004,$AS378)))</f>
        <v/>
      </c>
      <c r="AR378" s="14">
        <f>IF($A378="","",IF(INDEX('潜水記録'!$AW$5:$AW$3004,$AS378)="","",INDEX('潜水記録'!$AW$5:$AW$3004,$AS378)))</f>
        <v/>
      </c>
      <c r="AS378" s="20">
        <f>IF($A378="","",MATCH($A378,'潜水記録'!$AI$5:$AI$3004,0))</f>
        <v/>
      </c>
    </row>
    <row r="379">
      <c r="A379" s="14">
        <f>IF(369&lt;=$C$8,369,"")</f>
        <v/>
      </c>
      <c r="B379" s="16">
        <f>IF($A379="","",IF(INDEX('潜水記録'!$A$5:$A$3004,$AS379)="","",INDEX('潜水記録'!$A$5:$A$3004,$AS379)))</f>
        <v/>
      </c>
      <c r="C379" s="14">
        <f>IF($A379="","",IF(INDEX('潜水記録'!$B$5:$B$3004,$AS379)="","",INDEX('潜水記録'!$B$5:$B$3004,$AS379)))</f>
        <v/>
      </c>
      <c r="D379" s="14">
        <f>IF($A379="","",IF(INDEX('潜水記録'!$C$5:$C$3004,$AS379)="","",INDEX('潜水記録'!$C$5:$C$3004,$AS379)))</f>
        <v/>
      </c>
      <c r="E379" s="14">
        <f>IF($A379="","",IF(INDEX('潜水記録'!$D$5:$D$3004,$AS379)="","",INDEX('潜水記録'!$D$5:$D$3004,$AS379)))</f>
        <v/>
      </c>
      <c r="F379" s="14">
        <f>IF($A379="","",IF(INDEX('潜水記録'!$E$5:$E$3004,$AS379)="","",INDEX('潜水記録'!$E$5:$E$3004,$AS379)))</f>
        <v/>
      </c>
      <c r="G379" s="14">
        <f>IF($A379="","",IF(INDEX('潜水記録'!$F$5:$F$3004,$AS379)="","",INDEX('潜水記録'!$F$5:$F$3004,$AS379)))</f>
        <v/>
      </c>
      <c r="H379" s="14">
        <f>IF($A379="","",IF(INDEX('潜水記録'!$G$5:$G$3004,$AS379)="","",INDEX('潜水記録'!$G$5:$G$3004,$AS379)))</f>
        <v/>
      </c>
      <c r="I379" s="14">
        <f>IF($A379="","",IF(INDEX('潜水記録'!$H$5:$H$3004,$AS379)="","",INDEX('潜水記録'!$H$5:$H$3004,$AS379)))</f>
        <v/>
      </c>
      <c r="J379" s="14">
        <f>IF($A379="","",IF(INDEX('潜水記録'!$I$5:$I$3004,$AS379)="","",INDEX('潜水記録'!$I$5:$I$3004,$AS379)))</f>
        <v/>
      </c>
      <c r="K379" s="14">
        <f>IF($A379="","",IF(INDEX('潜水記録'!$J$5:$J$3004,$AS379)="","",INDEX('潜水記録'!$J$5:$J$3004,$AS379)))</f>
        <v/>
      </c>
      <c r="L379" s="14">
        <f>IF($A379="","",IF(INDEX('潜水記録'!$K$5:$K$3004,$AS379)="","",INDEX('潜水記録'!$K$5:$K$3004,$AS379)))</f>
        <v/>
      </c>
      <c r="M379" s="14">
        <f>IF($A379="","",IF(INDEX('潜水記録'!$L$5:$L$3004,$AS379)="","",INDEX('潜水記録'!$L$5:$L$3004,$AS379)))</f>
        <v/>
      </c>
      <c r="N379" s="14">
        <f>IF($A379="","",IF(INDEX('潜水記録'!$M$5:$M$3004,$AS379)="","",INDEX('潜水記録'!$M$5:$M$3004,$AS379)))</f>
        <v/>
      </c>
      <c r="O379" s="14">
        <f>IF($A379="","",IF(INDEX('潜水記録'!$N$5:$N$3004,$AS379)="","",INDEX('潜水記録'!$N$5:$N$3004,$AS379)))</f>
        <v/>
      </c>
      <c r="P379" s="14">
        <f>IF($A379="","",IF(INDEX('潜水記録'!$O$5:$O$3004,$AS379)="","",INDEX('潜水記録'!$O$5:$O$3004,$AS379)))</f>
        <v/>
      </c>
      <c r="Q379" s="14">
        <f>IF($A379="","",IF(INDEX('潜水記録'!$P$5:$P$3004,$AS379)="","",INDEX('潜水記録'!$P$5:$P$3004,$AS379)))</f>
        <v/>
      </c>
      <c r="R379" s="14">
        <f>IF($A379="","",IF(INDEX('潜水記録'!$Q$5:$Q$3004,$AS379)="","",INDEX('潜水記録'!$Q$5:$Q$3004,$AS379)))</f>
        <v/>
      </c>
      <c r="S379" s="14">
        <f>IF($A379="","",IF(INDEX('潜水記録'!$R$5:$R$3004,$AS379)="","",INDEX('潜水記録'!$R$5:$R$3004,$AS379)))</f>
        <v/>
      </c>
      <c r="T379" s="14">
        <f>IF($A379="","",IF(INDEX('潜水記録'!$S$5:$S$3004,$AS379)="","",INDEX('潜水記録'!$S$5:$S$3004,$AS379)))</f>
        <v/>
      </c>
      <c r="U379" s="14">
        <f>IF($A379="","",IF(INDEX('潜水記録'!$T$5:$T$3004,$AS379)="","",INDEX('潜水記録'!$T$5:$T$3004,$AS379)))</f>
        <v/>
      </c>
      <c r="V379" s="46">
        <f>IF($A379="","",IF(INDEX('潜水記録'!$U$5:$U$3004,$AS379)="","",INDEX('潜水記録'!$U$5:$U$3004,$AS379)))</f>
        <v/>
      </c>
      <c r="W379" s="46">
        <f>IF($A379="","",IF(INDEX('潜水記録'!$V$5:$V$3004,$AS379)="","",INDEX('潜水記録'!$V$5:$V$3004,$AS379)))</f>
        <v/>
      </c>
      <c r="X379" s="14">
        <f>IF($A379="","",IF(INDEX('潜水記録'!$W$5:$W$3004,$AS379)="","",INDEX('潜水記録'!$W$5:$W$3004,$AS379)))</f>
        <v/>
      </c>
      <c r="Y379" s="14">
        <f>IF($A379="","",IF(INDEX('潜水記録'!$X$5:$X$3004,$AS379)="","",INDEX('潜水記録'!$X$5:$X$3004,$AS379)))</f>
        <v/>
      </c>
      <c r="Z379" s="14">
        <f>IF($A379="","",IF(INDEX('潜水記録'!$Y$5:$Y$3004,$AS379)="","",INDEX('潜水記録'!$Y$5:$Y$3004,$AS379)))</f>
        <v/>
      </c>
      <c r="AA379" s="14">
        <f>IF($A379="","",IF(INDEX('潜水記録'!$Z$5:$Z$3004,$AS379)="","",INDEX('潜水記録'!$Z$5:$Z$3004,$AS379)))</f>
        <v/>
      </c>
      <c r="AB379" s="14">
        <f>IF($A379="","",IF(INDEX('潜水記録'!$AA$5:$AA$3004,$AS379)="","",INDEX('潜水記録'!$AA$5:$AA$3004,$AS379)))</f>
        <v/>
      </c>
      <c r="AC379" s="14">
        <f>IF($A379="","",IF(INDEX('潜水記録'!$AB$5:$AB$3004,$AS379)="","",INDEX('潜水記録'!$AB$5:$AB$3004,$AS379)))</f>
        <v/>
      </c>
      <c r="AD379" s="14">
        <f>IF($A379="","",IF(INDEX('潜水記録'!$AC$5:$AC$3004,$AS379)="","",INDEX('潜水記録'!$AC$5:$AC$3004,$AS379)))</f>
        <v/>
      </c>
      <c r="AE379" s="14">
        <f>IF($A379="","",IF(INDEX('潜水記録'!$AD$5:$AD$3004,$AS379)="","",INDEX('潜水記録'!$AD$5:$AD$3004,$AS379)))</f>
        <v/>
      </c>
      <c r="AF379" s="14">
        <f>IF($A379="","",IF(INDEX('潜水記録'!$AE$5:$AE$3004,$AS379)="","",INDEX('潜水記録'!$AE$5:$AE$3004,$AS379)))</f>
        <v/>
      </c>
      <c r="AG379" s="14">
        <f>IF($A379="","",IF(INDEX('潜水記録'!$AL$5:$AL$3004,$AS379)="","",INDEX('潜水記録'!$AL$5:$AL$3004,$AS379)))</f>
        <v/>
      </c>
      <c r="AH379" s="14">
        <f>IF($A379="","",IF(INDEX('潜水記録'!$AM$5:$AM$3004,$AS379)="","",INDEX('潜水記録'!$AM$5:$AM$3004,$AS379)))</f>
        <v/>
      </c>
      <c r="AI379" s="46">
        <f>IF($A379="","",IF(INDEX('潜水記録'!$AN$5:$AN$3004,$AS379)="","",INDEX('潜水記録'!$AN$5:$AN$3004,$AS379)))</f>
        <v/>
      </c>
      <c r="AJ379" s="14">
        <f>IF($A379="","",IF(INDEX('潜水記録'!$AO$5:$AO$3004,$AS379)="","",INDEX('潜水記録'!$AO$5:$AO$3004,$AS379)))</f>
        <v/>
      </c>
      <c r="AK379" s="14">
        <f>IF($A379="","",IF(INDEX('潜水記録'!$AP$5:$AP$3004,$AS379)="","",INDEX('潜水記録'!$AP$5:$AP$3004,$AS379)))</f>
        <v/>
      </c>
      <c r="AL379" s="14">
        <f>IF($A379="","",IF(INDEX('潜水記録'!$AQ$5:$AQ$3004,$AS379)="","",INDEX('潜水記録'!$AQ$5:$AQ$3004,$AS379)))</f>
        <v/>
      </c>
      <c r="AM379" s="14">
        <f>IF($A379="","",IF(INDEX('潜水記録'!$AR$5:$AR$3004,$AS379)="","",INDEX('潜水記録'!$AR$5:$AR$3004,$AS379)))</f>
        <v/>
      </c>
      <c r="AN379" s="14">
        <f>IF($A379="","",IF(INDEX('潜水記録'!$AS$5:$AS$3004,$AS379)="","",INDEX('潜水記録'!$AS$5:$AS$3004,$AS379)))</f>
        <v/>
      </c>
      <c r="AO379" s="14">
        <f>IF($A379="","",IF(INDEX('潜水記録'!$AT$5:$AT$3004,$AS379)="","",INDEX('潜水記録'!$AT$5:$AT$3004,$AS379)))</f>
        <v/>
      </c>
      <c r="AP379" s="14">
        <f>IF($A379="","",IF(INDEX('潜水記録'!$AU$5:$AU$3004,$AS379)="","",INDEX('潜水記録'!$AU$5:$AU$3004,$AS379)))</f>
        <v/>
      </c>
      <c r="AQ379" s="14">
        <f>IF($A379="","",IF(INDEX('潜水記録'!$AV$5:$AV$3004,$AS379)="","",INDEX('潜水記録'!$AV$5:$AV$3004,$AS379)))</f>
        <v/>
      </c>
      <c r="AR379" s="14">
        <f>IF($A379="","",IF(INDEX('潜水記録'!$AW$5:$AW$3004,$AS379)="","",INDEX('潜水記録'!$AW$5:$AW$3004,$AS379)))</f>
        <v/>
      </c>
      <c r="AS379" s="20">
        <f>IF($A379="","",MATCH($A379,'潜水記録'!$AI$5:$AI$3004,0))</f>
        <v/>
      </c>
    </row>
    <row r="380">
      <c r="A380" s="14">
        <f>IF(370&lt;=$C$8,370,"")</f>
        <v/>
      </c>
      <c r="B380" s="16">
        <f>IF($A380="","",IF(INDEX('潜水記録'!$A$5:$A$3004,$AS380)="","",INDEX('潜水記録'!$A$5:$A$3004,$AS380)))</f>
        <v/>
      </c>
      <c r="C380" s="14">
        <f>IF($A380="","",IF(INDEX('潜水記録'!$B$5:$B$3004,$AS380)="","",INDEX('潜水記録'!$B$5:$B$3004,$AS380)))</f>
        <v/>
      </c>
      <c r="D380" s="14">
        <f>IF($A380="","",IF(INDEX('潜水記録'!$C$5:$C$3004,$AS380)="","",INDEX('潜水記録'!$C$5:$C$3004,$AS380)))</f>
        <v/>
      </c>
      <c r="E380" s="14">
        <f>IF($A380="","",IF(INDEX('潜水記録'!$D$5:$D$3004,$AS380)="","",INDEX('潜水記録'!$D$5:$D$3004,$AS380)))</f>
        <v/>
      </c>
      <c r="F380" s="14">
        <f>IF($A380="","",IF(INDEX('潜水記録'!$E$5:$E$3004,$AS380)="","",INDEX('潜水記録'!$E$5:$E$3004,$AS380)))</f>
        <v/>
      </c>
      <c r="G380" s="14">
        <f>IF($A380="","",IF(INDEX('潜水記録'!$F$5:$F$3004,$AS380)="","",INDEX('潜水記録'!$F$5:$F$3004,$AS380)))</f>
        <v/>
      </c>
      <c r="H380" s="14">
        <f>IF($A380="","",IF(INDEX('潜水記録'!$G$5:$G$3004,$AS380)="","",INDEX('潜水記録'!$G$5:$G$3004,$AS380)))</f>
        <v/>
      </c>
      <c r="I380" s="14">
        <f>IF($A380="","",IF(INDEX('潜水記録'!$H$5:$H$3004,$AS380)="","",INDEX('潜水記録'!$H$5:$H$3004,$AS380)))</f>
        <v/>
      </c>
      <c r="J380" s="14">
        <f>IF($A380="","",IF(INDEX('潜水記録'!$I$5:$I$3004,$AS380)="","",INDEX('潜水記録'!$I$5:$I$3004,$AS380)))</f>
        <v/>
      </c>
      <c r="K380" s="14">
        <f>IF($A380="","",IF(INDEX('潜水記録'!$J$5:$J$3004,$AS380)="","",INDEX('潜水記録'!$J$5:$J$3004,$AS380)))</f>
        <v/>
      </c>
      <c r="L380" s="14">
        <f>IF($A380="","",IF(INDEX('潜水記録'!$K$5:$K$3004,$AS380)="","",INDEX('潜水記録'!$K$5:$K$3004,$AS380)))</f>
        <v/>
      </c>
      <c r="M380" s="14">
        <f>IF($A380="","",IF(INDEX('潜水記録'!$L$5:$L$3004,$AS380)="","",INDEX('潜水記録'!$L$5:$L$3004,$AS380)))</f>
        <v/>
      </c>
      <c r="N380" s="14">
        <f>IF($A380="","",IF(INDEX('潜水記録'!$M$5:$M$3004,$AS380)="","",INDEX('潜水記録'!$M$5:$M$3004,$AS380)))</f>
        <v/>
      </c>
      <c r="O380" s="14">
        <f>IF($A380="","",IF(INDEX('潜水記録'!$N$5:$N$3004,$AS380)="","",INDEX('潜水記録'!$N$5:$N$3004,$AS380)))</f>
        <v/>
      </c>
      <c r="P380" s="14">
        <f>IF($A380="","",IF(INDEX('潜水記録'!$O$5:$O$3004,$AS380)="","",INDEX('潜水記録'!$O$5:$O$3004,$AS380)))</f>
        <v/>
      </c>
      <c r="Q380" s="14">
        <f>IF($A380="","",IF(INDEX('潜水記録'!$P$5:$P$3004,$AS380)="","",INDEX('潜水記録'!$P$5:$P$3004,$AS380)))</f>
        <v/>
      </c>
      <c r="R380" s="14">
        <f>IF($A380="","",IF(INDEX('潜水記録'!$Q$5:$Q$3004,$AS380)="","",INDEX('潜水記録'!$Q$5:$Q$3004,$AS380)))</f>
        <v/>
      </c>
      <c r="S380" s="14">
        <f>IF($A380="","",IF(INDEX('潜水記録'!$R$5:$R$3004,$AS380)="","",INDEX('潜水記録'!$R$5:$R$3004,$AS380)))</f>
        <v/>
      </c>
      <c r="T380" s="14">
        <f>IF($A380="","",IF(INDEX('潜水記録'!$S$5:$S$3004,$AS380)="","",INDEX('潜水記録'!$S$5:$S$3004,$AS380)))</f>
        <v/>
      </c>
      <c r="U380" s="14">
        <f>IF($A380="","",IF(INDEX('潜水記録'!$T$5:$T$3004,$AS380)="","",INDEX('潜水記録'!$T$5:$T$3004,$AS380)))</f>
        <v/>
      </c>
      <c r="V380" s="46">
        <f>IF($A380="","",IF(INDEX('潜水記録'!$U$5:$U$3004,$AS380)="","",INDEX('潜水記録'!$U$5:$U$3004,$AS380)))</f>
        <v/>
      </c>
      <c r="W380" s="46">
        <f>IF($A380="","",IF(INDEX('潜水記録'!$V$5:$V$3004,$AS380)="","",INDEX('潜水記録'!$V$5:$V$3004,$AS380)))</f>
        <v/>
      </c>
      <c r="X380" s="14">
        <f>IF($A380="","",IF(INDEX('潜水記録'!$W$5:$W$3004,$AS380)="","",INDEX('潜水記録'!$W$5:$W$3004,$AS380)))</f>
        <v/>
      </c>
      <c r="Y380" s="14">
        <f>IF($A380="","",IF(INDEX('潜水記録'!$X$5:$X$3004,$AS380)="","",INDEX('潜水記録'!$X$5:$X$3004,$AS380)))</f>
        <v/>
      </c>
      <c r="Z380" s="14">
        <f>IF($A380="","",IF(INDEX('潜水記録'!$Y$5:$Y$3004,$AS380)="","",INDEX('潜水記録'!$Y$5:$Y$3004,$AS380)))</f>
        <v/>
      </c>
      <c r="AA380" s="14">
        <f>IF($A380="","",IF(INDEX('潜水記録'!$Z$5:$Z$3004,$AS380)="","",INDEX('潜水記録'!$Z$5:$Z$3004,$AS380)))</f>
        <v/>
      </c>
      <c r="AB380" s="14">
        <f>IF($A380="","",IF(INDEX('潜水記録'!$AA$5:$AA$3004,$AS380)="","",INDEX('潜水記録'!$AA$5:$AA$3004,$AS380)))</f>
        <v/>
      </c>
      <c r="AC380" s="14">
        <f>IF($A380="","",IF(INDEX('潜水記録'!$AB$5:$AB$3004,$AS380)="","",INDEX('潜水記録'!$AB$5:$AB$3004,$AS380)))</f>
        <v/>
      </c>
      <c r="AD380" s="14">
        <f>IF($A380="","",IF(INDEX('潜水記録'!$AC$5:$AC$3004,$AS380)="","",INDEX('潜水記録'!$AC$5:$AC$3004,$AS380)))</f>
        <v/>
      </c>
      <c r="AE380" s="14">
        <f>IF($A380="","",IF(INDEX('潜水記録'!$AD$5:$AD$3004,$AS380)="","",INDEX('潜水記録'!$AD$5:$AD$3004,$AS380)))</f>
        <v/>
      </c>
      <c r="AF380" s="14">
        <f>IF($A380="","",IF(INDEX('潜水記録'!$AE$5:$AE$3004,$AS380)="","",INDEX('潜水記録'!$AE$5:$AE$3004,$AS380)))</f>
        <v/>
      </c>
      <c r="AG380" s="14">
        <f>IF($A380="","",IF(INDEX('潜水記録'!$AL$5:$AL$3004,$AS380)="","",INDEX('潜水記録'!$AL$5:$AL$3004,$AS380)))</f>
        <v/>
      </c>
      <c r="AH380" s="14">
        <f>IF($A380="","",IF(INDEX('潜水記録'!$AM$5:$AM$3004,$AS380)="","",INDEX('潜水記録'!$AM$5:$AM$3004,$AS380)))</f>
        <v/>
      </c>
      <c r="AI380" s="46">
        <f>IF($A380="","",IF(INDEX('潜水記録'!$AN$5:$AN$3004,$AS380)="","",INDEX('潜水記録'!$AN$5:$AN$3004,$AS380)))</f>
        <v/>
      </c>
      <c r="AJ380" s="14">
        <f>IF($A380="","",IF(INDEX('潜水記録'!$AO$5:$AO$3004,$AS380)="","",INDEX('潜水記録'!$AO$5:$AO$3004,$AS380)))</f>
        <v/>
      </c>
      <c r="AK380" s="14">
        <f>IF($A380="","",IF(INDEX('潜水記録'!$AP$5:$AP$3004,$AS380)="","",INDEX('潜水記録'!$AP$5:$AP$3004,$AS380)))</f>
        <v/>
      </c>
      <c r="AL380" s="14">
        <f>IF($A380="","",IF(INDEX('潜水記録'!$AQ$5:$AQ$3004,$AS380)="","",INDEX('潜水記録'!$AQ$5:$AQ$3004,$AS380)))</f>
        <v/>
      </c>
      <c r="AM380" s="14">
        <f>IF($A380="","",IF(INDEX('潜水記録'!$AR$5:$AR$3004,$AS380)="","",INDEX('潜水記録'!$AR$5:$AR$3004,$AS380)))</f>
        <v/>
      </c>
      <c r="AN380" s="14">
        <f>IF($A380="","",IF(INDEX('潜水記録'!$AS$5:$AS$3004,$AS380)="","",INDEX('潜水記録'!$AS$5:$AS$3004,$AS380)))</f>
        <v/>
      </c>
      <c r="AO380" s="14">
        <f>IF($A380="","",IF(INDEX('潜水記録'!$AT$5:$AT$3004,$AS380)="","",INDEX('潜水記録'!$AT$5:$AT$3004,$AS380)))</f>
        <v/>
      </c>
      <c r="AP380" s="14">
        <f>IF($A380="","",IF(INDEX('潜水記録'!$AU$5:$AU$3004,$AS380)="","",INDEX('潜水記録'!$AU$5:$AU$3004,$AS380)))</f>
        <v/>
      </c>
      <c r="AQ380" s="14">
        <f>IF($A380="","",IF(INDEX('潜水記録'!$AV$5:$AV$3004,$AS380)="","",INDEX('潜水記録'!$AV$5:$AV$3004,$AS380)))</f>
        <v/>
      </c>
      <c r="AR380" s="14">
        <f>IF($A380="","",IF(INDEX('潜水記録'!$AW$5:$AW$3004,$AS380)="","",INDEX('潜水記録'!$AW$5:$AW$3004,$AS380)))</f>
        <v/>
      </c>
      <c r="AS380" s="20">
        <f>IF($A380="","",MATCH($A380,'潜水記録'!$AI$5:$AI$3004,0))</f>
        <v/>
      </c>
    </row>
    <row r="381">
      <c r="A381" s="14">
        <f>IF(371&lt;=$C$8,371,"")</f>
        <v/>
      </c>
      <c r="B381" s="16">
        <f>IF($A381="","",IF(INDEX('潜水記録'!$A$5:$A$3004,$AS381)="","",INDEX('潜水記録'!$A$5:$A$3004,$AS381)))</f>
        <v/>
      </c>
      <c r="C381" s="14">
        <f>IF($A381="","",IF(INDEX('潜水記録'!$B$5:$B$3004,$AS381)="","",INDEX('潜水記録'!$B$5:$B$3004,$AS381)))</f>
        <v/>
      </c>
      <c r="D381" s="14">
        <f>IF($A381="","",IF(INDEX('潜水記録'!$C$5:$C$3004,$AS381)="","",INDEX('潜水記録'!$C$5:$C$3004,$AS381)))</f>
        <v/>
      </c>
      <c r="E381" s="14">
        <f>IF($A381="","",IF(INDEX('潜水記録'!$D$5:$D$3004,$AS381)="","",INDEX('潜水記録'!$D$5:$D$3004,$AS381)))</f>
        <v/>
      </c>
      <c r="F381" s="14">
        <f>IF($A381="","",IF(INDEX('潜水記録'!$E$5:$E$3004,$AS381)="","",INDEX('潜水記録'!$E$5:$E$3004,$AS381)))</f>
        <v/>
      </c>
      <c r="G381" s="14">
        <f>IF($A381="","",IF(INDEX('潜水記録'!$F$5:$F$3004,$AS381)="","",INDEX('潜水記録'!$F$5:$F$3004,$AS381)))</f>
        <v/>
      </c>
      <c r="H381" s="14">
        <f>IF($A381="","",IF(INDEX('潜水記録'!$G$5:$G$3004,$AS381)="","",INDEX('潜水記録'!$G$5:$G$3004,$AS381)))</f>
        <v/>
      </c>
      <c r="I381" s="14">
        <f>IF($A381="","",IF(INDEX('潜水記録'!$H$5:$H$3004,$AS381)="","",INDEX('潜水記録'!$H$5:$H$3004,$AS381)))</f>
        <v/>
      </c>
      <c r="J381" s="14">
        <f>IF($A381="","",IF(INDEX('潜水記録'!$I$5:$I$3004,$AS381)="","",INDEX('潜水記録'!$I$5:$I$3004,$AS381)))</f>
        <v/>
      </c>
      <c r="K381" s="14">
        <f>IF($A381="","",IF(INDEX('潜水記録'!$J$5:$J$3004,$AS381)="","",INDEX('潜水記録'!$J$5:$J$3004,$AS381)))</f>
        <v/>
      </c>
      <c r="L381" s="14">
        <f>IF($A381="","",IF(INDEX('潜水記録'!$K$5:$K$3004,$AS381)="","",INDEX('潜水記録'!$K$5:$K$3004,$AS381)))</f>
        <v/>
      </c>
      <c r="M381" s="14">
        <f>IF($A381="","",IF(INDEX('潜水記録'!$L$5:$L$3004,$AS381)="","",INDEX('潜水記録'!$L$5:$L$3004,$AS381)))</f>
        <v/>
      </c>
      <c r="N381" s="14">
        <f>IF($A381="","",IF(INDEX('潜水記録'!$M$5:$M$3004,$AS381)="","",INDEX('潜水記録'!$M$5:$M$3004,$AS381)))</f>
        <v/>
      </c>
      <c r="O381" s="14">
        <f>IF($A381="","",IF(INDEX('潜水記録'!$N$5:$N$3004,$AS381)="","",INDEX('潜水記録'!$N$5:$N$3004,$AS381)))</f>
        <v/>
      </c>
      <c r="P381" s="14">
        <f>IF($A381="","",IF(INDEX('潜水記録'!$O$5:$O$3004,$AS381)="","",INDEX('潜水記録'!$O$5:$O$3004,$AS381)))</f>
        <v/>
      </c>
      <c r="Q381" s="14">
        <f>IF($A381="","",IF(INDEX('潜水記録'!$P$5:$P$3004,$AS381)="","",INDEX('潜水記録'!$P$5:$P$3004,$AS381)))</f>
        <v/>
      </c>
      <c r="R381" s="14">
        <f>IF($A381="","",IF(INDEX('潜水記録'!$Q$5:$Q$3004,$AS381)="","",INDEX('潜水記録'!$Q$5:$Q$3004,$AS381)))</f>
        <v/>
      </c>
      <c r="S381" s="14">
        <f>IF($A381="","",IF(INDEX('潜水記録'!$R$5:$R$3004,$AS381)="","",INDEX('潜水記録'!$R$5:$R$3004,$AS381)))</f>
        <v/>
      </c>
      <c r="T381" s="14">
        <f>IF($A381="","",IF(INDEX('潜水記録'!$S$5:$S$3004,$AS381)="","",INDEX('潜水記録'!$S$5:$S$3004,$AS381)))</f>
        <v/>
      </c>
      <c r="U381" s="14">
        <f>IF($A381="","",IF(INDEX('潜水記録'!$T$5:$T$3004,$AS381)="","",INDEX('潜水記録'!$T$5:$T$3004,$AS381)))</f>
        <v/>
      </c>
      <c r="V381" s="46">
        <f>IF($A381="","",IF(INDEX('潜水記録'!$U$5:$U$3004,$AS381)="","",INDEX('潜水記録'!$U$5:$U$3004,$AS381)))</f>
        <v/>
      </c>
      <c r="W381" s="46">
        <f>IF($A381="","",IF(INDEX('潜水記録'!$V$5:$V$3004,$AS381)="","",INDEX('潜水記録'!$V$5:$V$3004,$AS381)))</f>
        <v/>
      </c>
      <c r="X381" s="14">
        <f>IF($A381="","",IF(INDEX('潜水記録'!$W$5:$W$3004,$AS381)="","",INDEX('潜水記録'!$W$5:$W$3004,$AS381)))</f>
        <v/>
      </c>
      <c r="Y381" s="14">
        <f>IF($A381="","",IF(INDEX('潜水記録'!$X$5:$X$3004,$AS381)="","",INDEX('潜水記録'!$X$5:$X$3004,$AS381)))</f>
        <v/>
      </c>
      <c r="Z381" s="14">
        <f>IF($A381="","",IF(INDEX('潜水記録'!$Y$5:$Y$3004,$AS381)="","",INDEX('潜水記録'!$Y$5:$Y$3004,$AS381)))</f>
        <v/>
      </c>
      <c r="AA381" s="14">
        <f>IF($A381="","",IF(INDEX('潜水記録'!$Z$5:$Z$3004,$AS381)="","",INDEX('潜水記録'!$Z$5:$Z$3004,$AS381)))</f>
        <v/>
      </c>
      <c r="AB381" s="14">
        <f>IF($A381="","",IF(INDEX('潜水記録'!$AA$5:$AA$3004,$AS381)="","",INDEX('潜水記録'!$AA$5:$AA$3004,$AS381)))</f>
        <v/>
      </c>
      <c r="AC381" s="14">
        <f>IF($A381="","",IF(INDEX('潜水記録'!$AB$5:$AB$3004,$AS381)="","",INDEX('潜水記録'!$AB$5:$AB$3004,$AS381)))</f>
        <v/>
      </c>
      <c r="AD381" s="14">
        <f>IF($A381="","",IF(INDEX('潜水記録'!$AC$5:$AC$3004,$AS381)="","",INDEX('潜水記録'!$AC$5:$AC$3004,$AS381)))</f>
        <v/>
      </c>
      <c r="AE381" s="14">
        <f>IF($A381="","",IF(INDEX('潜水記録'!$AD$5:$AD$3004,$AS381)="","",INDEX('潜水記録'!$AD$5:$AD$3004,$AS381)))</f>
        <v/>
      </c>
      <c r="AF381" s="14">
        <f>IF($A381="","",IF(INDEX('潜水記録'!$AE$5:$AE$3004,$AS381)="","",INDEX('潜水記録'!$AE$5:$AE$3004,$AS381)))</f>
        <v/>
      </c>
      <c r="AG381" s="14">
        <f>IF($A381="","",IF(INDEX('潜水記録'!$AL$5:$AL$3004,$AS381)="","",INDEX('潜水記録'!$AL$5:$AL$3004,$AS381)))</f>
        <v/>
      </c>
      <c r="AH381" s="14">
        <f>IF($A381="","",IF(INDEX('潜水記録'!$AM$5:$AM$3004,$AS381)="","",INDEX('潜水記録'!$AM$5:$AM$3004,$AS381)))</f>
        <v/>
      </c>
      <c r="AI381" s="46">
        <f>IF($A381="","",IF(INDEX('潜水記録'!$AN$5:$AN$3004,$AS381)="","",INDEX('潜水記録'!$AN$5:$AN$3004,$AS381)))</f>
        <v/>
      </c>
      <c r="AJ381" s="14">
        <f>IF($A381="","",IF(INDEX('潜水記録'!$AO$5:$AO$3004,$AS381)="","",INDEX('潜水記録'!$AO$5:$AO$3004,$AS381)))</f>
        <v/>
      </c>
      <c r="AK381" s="14">
        <f>IF($A381="","",IF(INDEX('潜水記録'!$AP$5:$AP$3004,$AS381)="","",INDEX('潜水記録'!$AP$5:$AP$3004,$AS381)))</f>
        <v/>
      </c>
      <c r="AL381" s="14">
        <f>IF($A381="","",IF(INDEX('潜水記録'!$AQ$5:$AQ$3004,$AS381)="","",INDEX('潜水記録'!$AQ$5:$AQ$3004,$AS381)))</f>
        <v/>
      </c>
      <c r="AM381" s="14">
        <f>IF($A381="","",IF(INDEX('潜水記録'!$AR$5:$AR$3004,$AS381)="","",INDEX('潜水記録'!$AR$5:$AR$3004,$AS381)))</f>
        <v/>
      </c>
      <c r="AN381" s="14">
        <f>IF($A381="","",IF(INDEX('潜水記録'!$AS$5:$AS$3004,$AS381)="","",INDEX('潜水記録'!$AS$5:$AS$3004,$AS381)))</f>
        <v/>
      </c>
      <c r="AO381" s="14">
        <f>IF($A381="","",IF(INDEX('潜水記録'!$AT$5:$AT$3004,$AS381)="","",INDEX('潜水記録'!$AT$5:$AT$3004,$AS381)))</f>
        <v/>
      </c>
      <c r="AP381" s="14">
        <f>IF($A381="","",IF(INDEX('潜水記録'!$AU$5:$AU$3004,$AS381)="","",INDEX('潜水記録'!$AU$5:$AU$3004,$AS381)))</f>
        <v/>
      </c>
      <c r="AQ381" s="14">
        <f>IF($A381="","",IF(INDEX('潜水記録'!$AV$5:$AV$3004,$AS381)="","",INDEX('潜水記録'!$AV$5:$AV$3004,$AS381)))</f>
        <v/>
      </c>
      <c r="AR381" s="14">
        <f>IF($A381="","",IF(INDEX('潜水記録'!$AW$5:$AW$3004,$AS381)="","",INDEX('潜水記録'!$AW$5:$AW$3004,$AS381)))</f>
        <v/>
      </c>
      <c r="AS381" s="20">
        <f>IF($A381="","",MATCH($A381,'潜水記録'!$AI$5:$AI$3004,0))</f>
        <v/>
      </c>
    </row>
    <row r="382">
      <c r="A382" s="14">
        <f>IF(372&lt;=$C$8,372,"")</f>
        <v/>
      </c>
      <c r="B382" s="16">
        <f>IF($A382="","",IF(INDEX('潜水記録'!$A$5:$A$3004,$AS382)="","",INDEX('潜水記録'!$A$5:$A$3004,$AS382)))</f>
        <v/>
      </c>
      <c r="C382" s="14">
        <f>IF($A382="","",IF(INDEX('潜水記録'!$B$5:$B$3004,$AS382)="","",INDEX('潜水記録'!$B$5:$B$3004,$AS382)))</f>
        <v/>
      </c>
      <c r="D382" s="14">
        <f>IF($A382="","",IF(INDEX('潜水記録'!$C$5:$C$3004,$AS382)="","",INDEX('潜水記録'!$C$5:$C$3004,$AS382)))</f>
        <v/>
      </c>
      <c r="E382" s="14">
        <f>IF($A382="","",IF(INDEX('潜水記録'!$D$5:$D$3004,$AS382)="","",INDEX('潜水記録'!$D$5:$D$3004,$AS382)))</f>
        <v/>
      </c>
      <c r="F382" s="14">
        <f>IF($A382="","",IF(INDEX('潜水記録'!$E$5:$E$3004,$AS382)="","",INDEX('潜水記録'!$E$5:$E$3004,$AS382)))</f>
        <v/>
      </c>
      <c r="G382" s="14">
        <f>IF($A382="","",IF(INDEX('潜水記録'!$F$5:$F$3004,$AS382)="","",INDEX('潜水記録'!$F$5:$F$3004,$AS382)))</f>
        <v/>
      </c>
      <c r="H382" s="14">
        <f>IF($A382="","",IF(INDEX('潜水記録'!$G$5:$G$3004,$AS382)="","",INDEX('潜水記録'!$G$5:$G$3004,$AS382)))</f>
        <v/>
      </c>
      <c r="I382" s="14">
        <f>IF($A382="","",IF(INDEX('潜水記録'!$H$5:$H$3004,$AS382)="","",INDEX('潜水記録'!$H$5:$H$3004,$AS382)))</f>
        <v/>
      </c>
      <c r="J382" s="14">
        <f>IF($A382="","",IF(INDEX('潜水記録'!$I$5:$I$3004,$AS382)="","",INDEX('潜水記録'!$I$5:$I$3004,$AS382)))</f>
        <v/>
      </c>
      <c r="K382" s="14">
        <f>IF($A382="","",IF(INDEX('潜水記録'!$J$5:$J$3004,$AS382)="","",INDEX('潜水記録'!$J$5:$J$3004,$AS382)))</f>
        <v/>
      </c>
      <c r="L382" s="14">
        <f>IF($A382="","",IF(INDEX('潜水記録'!$K$5:$K$3004,$AS382)="","",INDEX('潜水記録'!$K$5:$K$3004,$AS382)))</f>
        <v/>
      </c>
      <c r="M382" s="14">
        <f>IF($A382="","",IF(INDEX('潜水記録'!$L$5:$L$3004,$AS382)="","",INDEX('潜水記録'!$L$5:$L$3004,$AS382)))</f>
        <v/>
      </c>
      <c r="N382" s="14">
        <f>IF($A382="","",IF(INDEX('潜水記録'!$M$5:$M$3004,$AS382)="","",INDEX('潜水記録'!$M$5:$M$3004,$AS382)))</f>
        <v/>
      </c>
      <c r="O382" s="14">
        <f>IF($A382="","",IF(INDEX('潜水記録'!$N$5:$N$3004,$AS382)="","",INDEX('潜水記録'!$N$5:$N$3004,$AS382)))</f>
        <v/>
      </c>
      <c r="P382" s="14">
        <f>IF($A382="","",IF(INDEX('潜水記録'!$O$5:$O$3004,$AS382)="","",INDEX('潜水記録'!$O$5:$O$3004,$AS382)))</f>
        <v/>
      </c>
      <c r="Q382" s="14">
        <f>IF($A382="","",IF(INDEX('潜水記録'!$P$5:$P$3004,$AS382)="","",INDEX('潜水記録'!$P$5:$P$3004,$AS382)))</f>
        <v/>
      </c>
      <c r="R382" s="14">
        <f>IF($A382="","",IF(INDEX('潜水記録'!$Q$5:$Q$3004,$AS382)="","",INDEX('潜水記録'!$Q$5:$Q$3004,$AS382)))</f>
        <v/>
      </c>
      <c r="S382" s="14">
        <f>IF($A382="","",IF(INDEX('潜水記録'!$R$5:$R$3004,$AS382)="","",INDEX('潜水記録'!$R$5:$R$3004,$AS382)))</f>
        <v/>
      </c>
      <c r="T382" s="14">
        <f>IF($A382="","",IF(INDEX('潜水記録'!$S$5:$S$3004,$AS382)="","",INDEX('潜水記録'!$S$5:$S$3004,$AS382)))</f>
        <v/>
      </c>
      <c r="U382" s="14">
        <f>IF($A382="","",IF(INDEX('潜水記録'!$T$5:$T$3004,$AS382)="","",INDEX('潜水記録'!$T$5:$T$3004,$AS382)))</f>
        <v/>
      </c>
      <c r="V382" s="46">
        <f>IF($A382="","",IF(INDEX('潜水記録'!$U$5:$U$3004,$AS382)="","",INDEX('潜水記録'!$U$5:$U$3004,$AS382)))</f>
        <v/>
      </c>
      <c r="W382" s="46">
        <f>IF($A382="","",IF(INDEX('潜水記録'!$V$5:$V$3004,$AS382)="","",INDEX('潜水記録'!$V$5:$V$3004,$AS382)))</f>
        <v/>
      </c>
      <c r="X382" s="14">
        <f>IF($A382="","",IF(INDEX('潜水記録'!$W$5:$W$3004,$AS382)="","",INDEX('潜水記録'!$W$5:$W$3004,$AS382)))</f>
        <v/>
      </c>
      <c r="Y382" s="14">
        <f>IF($A382="","",IF(INDEX('潜水記録'!$X$5:$X$3004,$AS382)="","",INDEX('潜水記録'!$X$5:$X$3004,$AS382)))</f>
        <v/>
      </c>
      <c r="Z382" s="14">
        <f>IF($A382="","",IF(INDEX('潜水記録'!$Y$5:$Y$3004,$AS382)="","",INDEX('潜水記録'!$Y$5:$Y$3004,$AS382)))</f>
        <v/>
      </c>
      <c r="AA382" s="14">
        <f>IF($A382="","",IF(INDEX('潜水記録'!$Z$5:$Z$3004,$AS382)="","",INDEX('潜水記録'!$Z$5:$Z$3004,$AS382)))</f>
        <v/>
      </c>
      <c r="AB382" s="14">
        <f>IF($A382="","",IF(INDEX('潜水記録'!$AA$5:$AA$3004,$AS382)="","",INDEX('潜水記録'!$AA$5:$AA$3004,$AS382)))</f>
        <v/>
      </c>
      <c r="AC382" s="14">
        <f>IF($A382="","",IF(INDEX('潜水記録'!$AB$5:$AB$3004,$AS382)="","",INDEX('潜水記録'!$AB$5:$AB$3004,$AS382)))</f>
        <v/>
      </c>
      <c r="AD382" s="14">
        <f>IF($A382="","",IF(INDEX('潜水記録'!$AC$5:$AC$3004,$AS382)="","",INDEX('潜水記録'!$AC$5:$AC$3004,$AS382)))</f>
        <v/>
      </c>
      <c r="AE382" s="14">
        <f>IF($A382="","",IF(INDEX('潜水記録'!$AD$5:$AD$3004,$AS382)="","",INDEX('潜水記録'!$AD$5:$AD$3004,$AS382)))</f>
        <v/>
      </c>
      <c r="AF382" s="14">
        <f>IF($A382="","",IF(INDEX('潜水記録'!$AE$5:$AE$3004,$AS382)="","",INDEX('潜水記録'!$AE$5:$AE$3004,$AS382)))</f>
        <v/>
      </c>
      <c r="AG382" s="14">
        <f>IF($A382="","",IF(INDEX('潜水記録'!$AL$5:$AL$3004,$AS382)="","",INDEX('潜水記録'!$AL$5:$AL$3004,$AS382)))</f>
        <v/>
      </c>
      <c r="AH382" s="14">
        <f>IF($A382="","",IF(INDEX('潜水記録'!$AM$5:$AM$3004,$AS382)="","",INDEX('潜水記録'!$AM$5:$AM$3004,$AS382)))</f>
        <v/>
      </c>
      <c r="AI382" s="46">
        <f>IF($A382="","",IF(INDEX('潜水記録'!$AN$5:$AN$3004,$AS382)="","",INDEX('潜水記録'!$AN$5:$AN$3004,$AS382)))</f>
        <v/>
      </c>
      <c r="AJ382" s="14">
        <f>IF($A382="","",IF(INDEX('潜水記録'!$AO$5:$AO$3004,$AS382)="","",INDEX('潜水記録'!$AO$5:$AO$3004,$AS382)))</f>
        <v/>
      </c>
      <c r="AK382" s="14">
        <f>IF($A382="","",IF(INDEX('潜水記録'!$AP$5:$AP$3004,$AS382)="","",INDEX('潜水記録'!$AP$5:$AP$3004,$AS382)))</f>
        <v/>
      </c>
      <c r="AL382" s="14">
        <f>IF($A382="","",IF(INDEX('潜水記録'!$AQ$5:$AQ$3004,$AS382)="","",INDEX('潜水記録'!$AQ$5:$AQ$3004,$AS382)))</f>
        <v/>
      </c>
      <c r="AM382" s="14">
        <f>IF($A382="","",IF(INDEX('潜水記録'!$AR$5:$AR$3004,$AS382)="","",INDEX('潜水記録'!$AR$5:$AR$3004,$AS382)))</f>
        <v/>
      </c>
      <c r="AN382" s="14">
        <f>IF($A382="","",IF(INDEX('潜水記録'!$AS$5:$AS$3004,$AS382)="","",INDEX('潜水記録'!$AS$5:$AS$3004,$AS382)))</f>
        <v/>
      </c>
      <c r="AO382" s="14">
        <f>IF($A382="","",IF(INDEX('潜水記録'!$AT$5:$AT$3004,$AS382)="","",INDEX('潜水記録'!$AT$5:$AT$3004,$AS382)))</f>
        <v/>
      </c>
      <c r="AP382" s="14">
        <f>IF($A382="","",IF(INDEX('潜水記録'!$AU$5:$AU$3004,$AS382)="","",INDEX('潜水記録'!$AU$5:$AU$3004,$AS382)))</f>
        <v/>
      </c>
      <c r="AQ382" s="14">
        <f>IF($A382="","",IF(INDEX('潜水記録'!$AV$5:$AV$3004,$AS382)="","",INDEX('潜水記録'!$AV$5:$AV$3004,$AS382)))</f>
        <v/>
      </c>
      <c r="AR382" s="14">
        <f>IF($A382="","",IF(INDEX('潜水記録'!$AW$5:$AW$3004,$AS382)="","",INDEX('潜水記録'!$AW$5:$AW$3004,$AS382)))</f>
        <v/>
      </c>
      <c r="AS382" s="20">
        <f>IF($A382="","",MATCH($A382,'潜水記録'!$AI$5:$AI$3004,0))</f>
        <v/>
      </c>
    </row>
    <row r="383">
      <c r="A383" s="14">
        <f>IF(373&lt;=$C$8,373,"")</f>
        <v/>
      </c>
      <c r="B383" s="16">
        <f>IF($A383="","",IF(INDEX('潜水記録'!$A$5:$A$3004,$AS383)="","",INDEX('潜水記録'!$A$5:$A$3004,$AS383)))</f>
        <v/>
      </c>
      <c r="C383" s="14">
        <f>IF($A383="","",IF(INDEX('潜水記録'!$B$5:$B$3004,$AS383)="","",INDEX('潜水記録'!$B$5:$B$3004,$AS383)))</f>
        <v/>
      </c>
      <c r="D383" s="14">
        <f>IF($A383="","",IF(INDEX('潜水記録'!$C$5:$C$3004,$AS383)="","",INDEX('潜水記録'!$C$5:$C$3004,$AS383)))</f>
        <v/>
      </c>
      <c r="E383" s="14">
        <f>IF($A383="","",IF(INDEX('潜水記録'!$D$5:$D$3004,$AS383)="","",INDEX('潜水記録'!$D$5:$D$3004,$AS383)))</f>
        <v/>
      </c>
      <c r="F383" s="14">
        <f>IF($A383="","",IF(INDEX('潜水記録'!$E$5:$E$3004,$AS383)="","",INDEX('潜水記録'!$E$5:$E$3004,$AS383)))</f>
        <v/>
      </c>
      <c r="G383" s="14">
        <f>IF($A383="","",IF(INDEX('潜水記録'!$F$5:$F$3004,$AS383)="","",INDEX('潜水記録'!$F$5:$F$3004,$AS383)))</f>
        <v/>
      </c>
      <c r="H383" s="14">
        <f>IF($A383="","",IF(INDEX('潜水記録'!$G$5:$G$3004,$AS383)="","",INDEX('潜水記録'!$G$5:$G$3004,$AS383)))</f>
        <v/>
      </c>
      <c r="I383" s="14">
        <f>IF($A383="","",IF(INDEX('潜水記録'!$H$5:$H$3004,$AS383)="","",INDEX('潜水記録'!$H$5:$H$3004,$AS383)))</f>
        <v/>
      </c>
      <c r="J383" s="14">
        <f>IF($A383="","",IF(INDEX('潜水記録'!$I$5:$I$3004,$AS383)="","",INDEX('潜水記録'!$I$5:$I$3004,$AS383)))</f>
        <v/>
      </c>
      <c r="K383" s="14">
        <f>IF($A383="","",IF(INDEX('潜水記録'!$J$5:$J$3004,$AS383)="","",INDEX('潜水記録'!$J$5:$J$3004,$AS383)))</f>
        <v/>
      </c>
      <c r="L383" s="14">
        <f>IF($A383="","",IF(INDEX('潜水記録'!$K$5:$K$3004,$AS383)="","",INDEX('潜水記録'!$K$5:$K$3004,$AS383)))</f>
        <v/>
      </c>
      <c r="M383" s="14">
        <f>IF($A383="","",IF(INDEX('潜水記録'!$L$5:$L$3004,$AS383)="","",INDEX('潜水記録'!$L$5:$L$3004,$AS383)))</f>
        <v/>
      </c>
      <c r="N383" s="14">
        <f>IF($A383="","",IF(INDEX('潜水記録'!$M$5:$M$3004,$AS383)="","",INDEX('潜水記録'!$M$5:$M$3004,$AS383)))</f>
        <v/>
      </c>
      <c r="O383" s="14">
        <f>IF($A383="","",IF(INDEX('潜水記録'!$N$5:$N$3004,$AS383)="","",INDEX('潜水記録'!$N$5:$N$3004,$AS383)))</f>
        <v/>
      </c>
      <c r="P383" s="14">
        <f>IF($A383="","",IF(INDEX('潜水記録'!$O$5:$O$3004,$AS383)="","",INDEX('潜水記録'!$O$5:$O$3004,$AS383)))</f>
        <v/>
      </c>
      <c r="Q383" s="14">
        <f>IF($A383="","",IF(INDEX('潜水記録'!$P$5:$P$3004,$AS383)="","",INDEX('潜水記録'!$P$5:$P$3004,$AS383)))</f>
        <v/>
      </c>
      <c r="R383" s="14">
        <f>IF($A383="","",IF(INDEX('潜水記録'!$Q$5:$Q$3004,$AS383)="","",INDEX('潜水記録'!$Q$5:$Q$3004,$AS383)))</f>
        <v/>
      </c>
      <c r="S383" s="14">
        <f>IF($A383="","",IF(INDEX('潜水記録'!$R$5:$R$3004,$AS383)="","",INDEX('潜水記録'!$R$5:$R$3004,$AS383)))</f>
        <v/>
      </c>
      <c r="T383" s="14">
        <f>IF($A383="","",IF(INDEX('潜水記録'!$S$5:$S$3004,$AS383)="","",INDEX('潜水記録'!$S$5:$S$3004,$AS383)))</f>
        <v/>
      </c>
      <c r="U383" s="14">
        <f>IF($A383="","",IF(INDEX('潜水記録'!$T$5:$T$3004,$AS383)="","",INDEX('潜水記録'!$T$5:$T$3004,$AS383)))</f>
        <v/>
      </c>
      <c r="V383" s="46">
        <f>IF($A383="","",IF(INDEX('潜水記録'!$U$5:$U$3004,$AS383)="","",INDEX('潜水記録'!$U$5:$U$3004,$AS383)))</f>
        <v/>
      </c>
      <c r="W383" s="46">
        <f>IF($A383="","",IF(INDEX('潜水記録'!$V$5:$V$3004,$AS383)="","",INDEX('潜水記録'!$V$5:$V$3004,$AS383)))</f>
        <v/>
      </c>
      <c r="X383" s="14">
        <f>IF($A383="","",IF(INDEX('潜水記録'!$W$5:$W$3004,$AS383)="","",INDEX('潜水記録'!$W$5:$W$3004,$AS383)))</f>
        <v/>
      </c>
      <c r="Y383" s="14">
        <f>IF($A383="","",IF(INDEX('潜水記録'!$X$5:$X$3004,$AS383)="","",INDEX('潜水記録'!$X$5:$X$3004,$AS383)))</f>
        <v/>
      </c>
      <c r="Z383" s="14">
        <f>IF($A383="","",IF(INDEX('潜水記録'!$Y$5:$Y$3004,$AS383)="","",INDEX('潜水記録'!$Y$5:$Y$3004,$AS383)))</f>
        <v/>
      </c>
      <c r="AA383" s="14">
        <f>IF($A383="","",IF(INDEX('潜水記録'!$Z$5:$Z$3004,$AS383)="","",INDEX('潜水記録'!$Z$5:$Z$3004,$AS383)))</f>
        <v/>
      </c>
      <c r="AB383" s="14">
        <f>IF($A383="","",IF(INDEX('潜水記録'!$AA$5:$AA$3004,$AS383)="","",INDEX('潜水記録'!$AA$5:$AA$3004,$AS383)))</f>
        <v/>
      </c>
      <c r="AC383" s="14">
        <f>IF($A383="","",IF(INDEX('潜水記録'!$AB$5:$AB$3004,$AS383)="","",INDEX('潜水記録'!$AB$5:$AB$3004,$AS383)))</f>
        <v/>
      </c>
      <c r="AD383" s="14">
        <f>IF($A383="","",IF(INDEX('潜水記録'!$AC$5:$AC$3004,$AS383)="","",INDEX('潜水記録'!$AC$5:$AC$3004,$AS383)))</f>
        <v/>
      </c>
      <c r="AE383" s="14">
        <f>IF($A383="","",IF(INDEX('潜水記録'!$AD$5:$AD$3004,$AS383)="","",INDEX('潜水記録'!$AD$5:$AD$3004,$AS383)))</f>
        <v/>
      </c>
      <c r="AF383" s="14">
        <f>IF($A383="","",IF(INDEX('潜水記録'!$AE$5:$AE$3004,$AS383)="","",INDEX('潜水記録'!$AE$5:$AE$3004,$AS383)))</f>
        <v/>
      </c>
      <c r="AG383" s="14">
        <f>IF($A383="","",IF(INDEX('潜水記録'!$AL$5:$AL$3004,$AS383)="","",INDEX('潜水記録'!$AL$5:$AL$3004,$AS383)))</f>
        <v/>
      </c>
      <c r="AH383" s="14">
        <f>IF($A383="","",IF(INDEX('潜水記録'!$AM$5:$AM$3004,$AS383)="","",INDEX('潜水記録'!$AM$5:$AM$3004,$AS383)))</f>
        <v/>
      </c>
      <c r="AI383" s="46">
        <f>IF($A383="","",IF(INDEX('潜水記録'!$AN$5:$AN$3004,$AS383)="","",INDEX('潜水記録'!$AN$5:$AN$3004,$AS383)))</f>
        <v/>
      </c>
      <c r="AJ383" s="14">
        <f>IF($A383="","",IF(INDEX('潜水記録'!$AO$5:$AO$3004,$AS383)="","",INDEX('潜水記録'!$AO$5:$AO$3004,$AS383)))</f>
        <v/>
      </c>
      <c r="AK383" s="14">
        <f>IF($A383="","",IF(INDEX('潜水記録'!$AP$5:$AP$3004,$AS383)="","",INDEX('潜水記録'!$AP$5:$AP$3004,$AS383)))</f>
        <v/>
      </c>
      <c r="AL383" s="14">
        <f>IF($A383="","",IF(INDEX('潜水記録'!$AQ$5:$AQ$3004,$AS383)="","",INDEX('潜水記録'!$AQ$5:$AQ$3004,$AS383)))</f>
        <v/>
      </c>
      <c r="AM383" s="14">
        <f>IF($A383="","",IF(INDEX('潜水記録'!$AR$5:$AR$3004,$AS383)="","",INDEX('潜水記録'!$AR$5:$AR$3004,$AS383)))</f>
        <v/>
      </c>
      <c r="AN383" s="14">
        <f>IF($A383="","",IF(INDEX('潜水記録'!$AS$5:$AS$3004,$AS383)="","",INDEX('潜水記録'!$AS$5:$AS$3004,$AS383)))</f>
        <v/>
      </c>
      <c r="AO383" s="14">
        <f>IF($A383="","",IF(INDEX('潜水記録'!$AT$5:$AT$3004,$AS383)="","",INDEX('潜水記録'!$AT$5:$AT$3004,$AS383)))</f>
        <v/>
      </c>
      <c r="AP383" s="14">
        <f>IF($A383="","",IF(INDEX('潜水記録'!$AU$5:$AU$3004,$AS383)="","",INDEX('潜水記録'!$AU$5:$AU$3004,$AS383)))</f>
        <v/>
      </c>
      <c r="AQ383" s="14">
        <f>IF($A383="","",IF(INDEX('潜水記録'!$AV$5:$AV$3004,$AS383)="","",INDEX('潜水記録'!$AV$5:$AV$3004,$AS383)))</f>
        <v/>
      </c>
      <c r="AR383" s="14">
        <f>IF($A383="","",IF(INDEX('潜水記録'!$AW$5:$AW$3004,$AS383)="","",INDEX('潜水記録'!$AW$5:$AW$3004,$AS383)))</f>
        <v/>
      </c>
      <c r="AS383" s="20">
        <f>IF($A383="","",MATCH($A383,'潜水記録'!$AI$5:$AI$3004,0))</f>
        <v/>
      </c>
    </row>
    <row r="384">
      <c r="A384" s="14">
        <f>IF(374&lt;=$C$8,374,"")</f>
        <v/>
      </c>
      <c r="B384" s="16">
        <f>IF($A384="","",IF(INDEX('潜水記録'!$A$5:$A$3004,$AS384)="","",INDEX('潜水記録'!$A$5:$A$3004,$AS384)))</f>
        <v/>
      </c>
      <c r="C384" s="14">
        <f>IF($A384="","",IF(INDEX('潜水記録'!$B$5:$B$3004,$AS384)="","",INDEX('潜水記録'!$B$5:$B$3004,$AS384)))</f>
        <v/>
      </c>
      <c r="D384" s="14">
        <f>IF($A384="","",IF(INDEX('潜水記録'!$C$5:$C$3004,$AS384)="","",INDEX('潜水記録'!$C$5:$C$3004,$AS384)))</f>
        <v/>
      </c>
      <c r="E384" s="14">
        <f>IF($A384="","",IF(INDEX('潜水記録'!$D$5:$D$3004,$AS384)="","",INDEX('潜水記録'!$D$5:$D$3004,$AS384)))</f>
        <v/>
      </c>
      <c r="F384" s="14">
        <f>IF($A384="","",IF(INDEX('潜水記録'!$E$5:$E$3004,$AS384)="","",INDEX('潜水記録'!$E$5:$E$3004,$AS384)))</f>
        <v/>
      </c>
      <c r="G384" s="14">
        <f>IF($A384="","",IF(INDEX('潜水記録'!$F$5:$F$3004,$AS384)="","",INDEX('潜水記録'!$F$5:$F$3004,$AS384)))</f>
        <v/>
      </c>
      <c r="H384" s="14">
        <f>IF($A384="","",IF(INDEX('潜水記録'!$G$5:$G$3004,$AS384)="","",INDEX('潜水記録'!$G$5:$G$3004,$AS384)))</f>
        <v/>
      </c>
      <c r="I384" s="14">
        <f>IF($A384="","",IF(INDEX('潜水記録'!$H$5:$H$3004,$AS384)="","",INDEX('潜水記録'!$H$5:$H$3004,$AS384)))</f>
        <v/>
      </c>
      <c r="J384" s="14">
        <f>IF($A384="","",IF(INDEX('潜水記録'!$I$5:$I$3004,$AS384)="","",INDEX('潜水記録'!$I$5:$I$3004,$AS384)))</f>
        <v/>
      </c>
      <c r="K384" s="14">
        <f>IF($A384="","",IF(INDEX('潜水記録'!$J$5:$J$3004,$AS384)="","",INDEX('潜水記録'!$J$5:$J$3004,$AS384)))</f>
        <v/>
      </c>
      <c r="L384" s="14">
        <f>IF($A384="","",IF(INDEX('潜水記録'!$K$5:$K$3004,$AS384)="","",INDEX('潜水記録'!$K$5:$K$3004,$AS384)))</f>
        <v/>
      </c>
      <c r="M384" s="14">
        <f>IF($A384="","",IF(INDEX('潜水記録'!$L$5:$L$3004,$AS384)="","",INDEX('潜水記録'!$L$5:$L$3004,$AS384)))</f>
        <v/>
      </c>
      <c r="N384" s="14">
        <f>IF($A384="","",IF(INDEX('潜水記録'!$M$5:$M$3004,$AS384)="","",INDEX('潜水記録'!$M$5:$M$3004,$AS384)))</f>
        <v/>
      </c>
      <c r="O384" s="14">
        <f>IF($A384="","",IF(INDEX('潜水記録'!$N$5:$N$3004,$AS384)="","",INDEX('潜水記録'!$N$5:$N$3004,$AS384)))</f>
        <v/>
      </c>
      <c r="P384" s="14">
        <f>IF($A384="","",IF(INDEX('潜水記録'!$O$5:$O$3004,$AS384)="","",INDEX('潜水記録'!$O$5:$O$3004,$AS384)))</f>
        <v/>
      </c>
      <c r="Q384" s="14">
        <f>IF($A384="","",IF(INDEX('潜水記録'!$P$5:$P$3004,$AS384)="","",INDEX('潜水記録'!$P$5:$P$3004,$AS384)))</f>
        <v/>
      </c>
      <c r="R384" s="14">
        <f>IF($A384="","",IF(INDEX('潜水記録'!$Q$5:$Q$3004,$AS384)="","",INDEX('潜水記録'!$Q$5:$Q$3004,$AS384)))</f>
        <v/>
      </c>
      <c r="S384" s="14">
        <f>IF($A384="","",IF(INDEX('潜水記録'!$R$5:$R$3004,$AS384)="","",INDEX('潜水記録'!$R$5:$R$3004,$AS384)))</f>
        <v/>
      </c>
      <c r="T384" s="14">
        <f>IF($A384="","",IF(INDEX('潜水記録'!$S$5:$S$3004,$AS384)="","",INDEX('潜水記録'!$S$5:$S$3004,$AS384)))</f>
        <v/>
      </c>
      <c r="U384" s="14">
        <f>IF($A384="","",IF(INDEX('潜水記録'!$T$5:$T$3004,$AS384)="","",INDEX('潜水記録'!$T$5:$T$3004,$AS384)))</f>
        <v/>
      </c>
      <c r="V384" s="46">
        <f>IF($A384="","",IF(INDEX('潜水記録'!$U$5:$U$3004,$AS384)="","",INDEX('潜水記録'!$U$5:$U$3004,$AS384)))</f>
        <v/>
      </c>
      <c r="W384" s="46">
        <f>IF($A384="","",IF(INDEX('潜水記録'!$V$5:$V$3004,$AS384)="","",INDEX('潜水記録'!$V$5:$V$3004,$AS384)))</f>
        <v/>
      </c>
      <c r="X384" s="14">
        <f>IF($A384="","",IF(INDEX('潜水記録'!$W$5:$W$3004,$AS384)="","",INDEX('潜水記録'!$W$5:$W$3004,$AS384)))</f>
        <v/>
      </c>
      <c r="Y384" s="14">
        <f>IF($A384="","",IF(INDEX('潜水記録'!$X$5:$X$3004,$AS384)="","",INDEX('潜水記録'!$X$5:$X$3004,$AS384)))</f>
        <v/>
      </c>
      <c r="Z384" s="14">
        <f>IF($A384="","",IF(INDEX('潜水記録'!$Y$5:$Y$3004,$AS384)="","",INDEX('潜水記録'!$Y$5:$Y$3004,$AS384)))</f>
        <v/>
      </c>
      <c r="AA384" s="14">
        <f>IF($A384="","",IF(INDEX('潜水記録'!$Z$5:$Z$3004,$AS384)="","",INDEX('潜水記録'!$Z$5:$Z$3004,$AS384)))</f>
        <v/>
      </c>
      <c r="AB384" s="14">
        <f>IF($A384="","",IF(INDEX('潜水記録'!$AA$5:$AA$3004,$AS384)="","",INDEX('潜水記録'!$AA$5:$AA$3004,$AS384)))</f>
        <v/>
      </c>
      <c r="AC384" s="14">
        <f>IF($A384="","",IF(INDEX('潜水記録'!$AB$5:$AB$3004,$AS384)="","",INDEX('潜水記録'!$AB$5:$AB$3004,$AS384)))</f>
        <v/>
      </c>
      <c r="AD384" s="14">
        <f>IF($A384="","",IF(INDEX('潜水記録'!$AC$5:$AC$3004,$AS384)="","",INDEX('潜水記録'!$AC$5:$AC$3004,$AS384)))</f>
        <v/>
      </c>
      <c r="AE384" s="14">
        <f>IF($A384="","",IF(INDEX('潜水記録'!$AD$5:$AD$3004,$AS384)="","",INDEX('潜水記録'!$AD$5:$AD$3004,$AS384)))</f>
        <v/>
      </c>
      <c r="AF384" s="14">
        <f>IF($A384="","",IF(INDEX('潜水記録'!$AE$5:$AE$3004,$AS384)="","",INDEX('潜水記録'!$AE$5:$AE$3004,$AS384)))</f>
        <v/>
      </c>
      <c r="AG384" s="14">
        <f>IF($A384="","",IF(INDEX('潜水記録'!$AL$5:$AL$3004,$AS384)="","",INDEX('潜水記録'!$AL$5:$AL$3004,$AS384)))</f>
        <v/>
      </c>
      <c r="AH384" s="14">
        <f>IF($A384="","",IF(INDEX('潜水記録'!$AM$5:$AM$3004,$AS384)="","",INDEX('潜水記録'!$AM$5:$AM$3004,$AS384)))</f>
        <v/>
      </c>
      <c r="AI384" s="46">
        <f>IF($A384="","",IF(INDEX('潜水記録'!$AN$5:$AN$3004,$AS384)="","",INDEX('潜水記録'!$AN$5:$AN$3004,$AS384)))</f>
        <v/>
      </c>
      <c r="AJ384" s="14">
        <f>IF($A384="","",IF(INDEX('潜水記録'!$AO$5:$AO$3004,$AS384)="","",INDEX('潜水記録'!$AO$5:$AO$3004,$AS384)))</f>
        <v/>
      </c>
      <c r="AK384" s="14">
        <f>IF($A384="","",IF(INDEX('潜水記録'!$AP$5:$AP$3004,$AS384)="","",INDEX('潜水記録'!$AP$5:$AP$3004,$AS384)))</f>
        <v/>
      </c>
      <c r="AL384" s="14">
        <f>IF($A384="","",IF(INDEX('潜水記録'!$AQ$5:$AQ$3004,$AS384)="","",INDEX('潜水記録'!$AQ$5:$AQ$3004,$AS384)))</f>
        <v/>
      </c>
      <c r="AM384" s="14">
        <f>IF($A384="","",IF(INDEX('潜水記録'!$AR$5:$AR$3004,$AS384)="","",INDEX('潜水記録'!$AR$5:$AR$3004,$AS384)))</f>
        <v/>
      </c>
      <c r="AN384" s="14">
        <f>IF($A384="","",IF(INDEX('潜水記録'!$AS$5:$AS$3004,$AS384)="","",INDEX('潜水記録'!$AS$5:$AS$3004,$AS384)))</f>
        <v/>
      </c>
      <c r="AO384" s="14">
        <f>IF($A384="","",IF(INDEX('潜水記録'!$AT$5:$AT$3004,$AS384)="","",INDEX('潜水記録'!$AT$5:$AT$3004,$AS384)))</f>
        <v/>
      </c>
      <c r="AP384" s="14">
        <f>IF($A384="","",IF(INDEX('潜水記録'!$AU$5:$AU$3004,$AS384)="","",INDEX('潜水記録'!$AU$5:$AU$3004,$AS384)))</f>
        <v/>
      </c>
      <c r="AQ384" s="14">
        <f>IF($A384="","",IF(INDEX('潜水記録'!$AV$5:$AV$3004,$AS384)="","",INDEX('潜水記録'!$AV$5:$AV$3004,$AS384)))</f>
        <v/>
      </c>
      <c r="AR384" s="14">
        <f>IF($A384="","",IF(INDEX('潜水記録'!$AW$5:$AW$3004,$AS384)="","",INDEX('潜水記録'!$AW$5:$AW$3004,$AS384)))</f>
        <v/>
      </c>
      <c r="AS384" s="20">
        <f>IF($A384="","",MATCH($A384,'潜水記録'!$AI$5:$AI$3004,0))</f>
        <v/>
      </c>
    </row>
    <row r="385">
      <c r="A385" s="14">
        <f>IF(375&lt;=$C$8,375,"")</f>
        <v/>
      </c>
      <c r="B385" s="16">
        <f>IF($A385="","",IF(INDEX('潜水記録'!$A$5:$A$3004,$AS385)="","",INDEX('潜水記録'!$A$5:$A$3004,$AS385)))</f>
        <v/>
      </c>
      <c r="C385" s="14">
        <f>IF($A385="","",IF(INDEX('潜水記録'!$B$5:$B$3004,$AS385)="","",INDEX('潜水記録'!$B$5:$B$3004,$AS385)))</f>
        <v/>
      </c>
      <c r="D385" s="14">
        <f>IF($A385="","",IF(INDEX('潜水記録'!$C$5:$C$3004,$AS385)="","",INDEX('潜水記録'!$C$5:$C$3004,$AS385)))</f>
        <v/>
      </c>
      <c r="E385" s="14">
        <f>IF($A385="","",IF(INDEX('潜水記録'!$D$5:$D$3004,$AS385)="","",INDEX('潜水記録'!$D$5:$D$3004,$AS385)))</f>
        <v/>
      </c>
      <c r="F385" s="14">
        <f>IF($A385="","",IF(INDEX('潜水記録'!$E$5:$E$3004,$AS385)="","",INDEX('潜水記録'!$E$5:$E$3004,$AS385)))</f>
        <v/>
      </c>
      <c r="G385" s="14">
        <f>IF($A385="","",IF(INDEX('潜水記録'!$F$5:$F$3004,$AS385)="","",INDEX('潜水記録'!$F$5:$F$3004,$AS385)))</f>
        <v/>
      </c>
      <c r="H385" s="14">
        <f>IF($A385="","",IF(INDEX('潜水記録'!$G$5:$G$3004,$AS385)="","",INDEX('潜水記録'!$G$5:$G$3004,$AS385)))</f>
        <v/>
      </c>
      <c r="I385" s="14">
        <f>IF($A385="","",IF(INDEX('潜水記録'!$H$5:$H$3004,$AS385)="","",INDEX('潜水記録'!$H$5:$H$3004,$AS385)))</f>
        <v/>
      </c>
      <c r="J385" s="14">
        <f>IF($A385="","",IF(INDEX('潜水記録'!$I$5:$I$3004,$AS385)="","",INDEX('潜水記録'!$I$5:$I$3004,$AS385)))</f>
        <v/>
      </c>
      <c r="K385" s="14">
        <f>IF($A385="","",IF(INDEX('潜水記録'!$J$5:$J$3004,$AS385)="","",INDEX('潜水記録'!$J$5:$J$3004,$AS385)))</f>
        <v/>
      </c>
      <c r="L385" s="14">
        <f>IF($A385="","",IF(INDEX('潜水記録'!$K$5:$K$3004,$AS385)="","",INDEX('潜水記録'!$K$5:$K$3004,$AS385)))</f>
        <v/>
      </c>
      <c r="M385" s="14">
        <f>IF($A385="","",IF(INDEX('潜水記録'!$L$5:$L$3004,$AS385)="","",INDEX('潜水記録'!$L$5:$L$3004,$AS385)))</f>
        <v/>
      </c>
      <c r="N385" s="14">
        <f>IF($A385="","",IF(INDEX('潜水記録'!$M$5:$M$3004,$AS385)="","",INDEX('潜水記録'!$M$5:$M$3004,$AS385)))</f>
        <v/>
      </c>
      <c r="O385" s="14">
        <f>IF($A385="","",IF(INDEX('潜水記録'!$N$5:$N$3004,$AS385)="","",INDEX('潜水記録'!$N$5:$N$3004,$AS385)))</f>
        <v/>
      </c>
      <c r="P385" s="14">
        <f>IF($A385="","",IF(INDEX('潜水記録'!$O$5:$O$3004,$AS385)="","",INDEX('潜水記録'!$O$5:$O$3004,$AS385)))</f>
        <v/>
      </c>
      <c r="Q385" s="14">
        <f>IF($A385="","",IF(INDEX('潜水記録'!$P$5:$P$3004,$AS385)="","",INDEX('潜水記録'!$P$5:$P$3004,$AS385)))</f>
        <v/>
      </c>
      <c r="R385" s="14">
        <f>IF($A385="","",IF(INDEX('潜水記録'!$Q$5:$Q$3004,$AS385)="","",INDEX('潜水記録'!$Q$5:$Q$3004,$AS385)))</f>
        <v/>
      </c>
      <c r="S385" s="14">
        <f>IF($A385="","",IF(INDEX('潜水記録'!$R$5:$R$3004,$AS385)="","",INDEX('潜水記録'!$R$5:$R$3004,$AS385)))</f>
        <v/>
      </c>
      <c r="T385" s="14">
        <f>IF($A385="","",IF(INDEX('潜水記録'!$S$5:$S$3004,$AS385)="","",INDEX('潜水記録'!$S$5:$S$3004,$AS385)))</f>
        <v/>
      </c>
      <c r="U385" s="14">
        <f>IF($A385="","",IF(INDEX('潜水記録'!$T$5:$T$3004,$AS385)="","",INDEX('潜水記録'!$T$5:$T$3004,$AS385)))</f>
        <v/>
      </c>
      <c r="V385" s="46">
        <f>IF($A385="","",IF(INDEX('潜水記録'!$U$5:$U$3004,$AS385)="","",INDEX('潜水記録'!$U$5:$U$3004,$AS385)))</f>
        <v/>
      </c>
      <c r="W385" s="46">
        <f>IF($A385="","",IF(INDEX('潜水記録'!$V$5:$V$3004,$AS385)="","",INDEX('潜水記録'!$V$5:$V$3004,$AS385)))</f>
        <v/>
      </c>
      <c r="X385" s="14">
        <f>IF($A385="","",IF(INDEX('潜水記録'!$W$5:$W$3004,$AS385)="","",INDEX('潜水記録'!$W$5:$W$3004,$AS385)))</f>
        <v/>
      </c>
      <c r="Y385" s="14">
        <f>IF($A385="","",IF(INDEX('潜水記録'!$X$5:$X$3004,$AS385)="","",INDEX('潜水記録'!$X$5:$X$3004,$AS385)))</f>
        <v/>
      </c>
      <c r="Z385" s="14">
        <f>IF($A385="","",IF(INDEX('潜水記録'!$Y$5:$Y$3004,$AS385)="","",INDEX('潜水記録'!$Y$5:$Y$3004,$AS385)))</f>
        <v/>
      </c>
      <c r="AA385" s="14">
        <f>IF($A385="","",IF(INDEX('潜水記録'!$Z$5:$Z$3004,$AS385)="","",INDEX('潜水記録'!$Z$5:$Z$3004,$AS385)))</f>
        <v/>
      </c>
      <c r="AB385" s="14">
        <f>IF($A385="","",IF(INDEX('潜水記録'!$AA$5:$AA$3004,$AS385)="","",INDEX('潜水記録'!$AA$5:$AA$3004,$AS385)))</f>
        <v/>
      </c>
      <c r="AC385" s="14">
        <f>IF($A385="","",IF(INDEX('潜水記録'!$AB$5:$AB$3004,$AS385)="","",INDEX('潜水記録'!$AB$5:$AB$3004,$AS385)))</f>
        <v/>
      </c>
      <c r="AD385" s="14">
        <f>IF($A385="","",IF(INDEX('潜水記録'!$AC$5:$AC$3004,$AS385)="","",INDEX('潜水記録'!$AC$5:$AC$3004,$AS385)))</f>
        <v/>
      </c>
      <c r="AE385" s="14">
        <f>IF($A385="","",IF(INDEX('潜水記録'!$AD$5:$AD$3004,$AS385)="","",INDEX('潜水記録'!$AD$5:$AD$3004,$AS385)))</f>
        <v/>
      </c>
      <c r="AF385" s="14">
        <f>IF($A385="","",IF(INDEX('潜水記録'!$AE$5:$AE$3004,$AS385)="","",INDEX('潜水記録'!$AE$5:$AE$3004,$AS385)))</f>
        <v/>
      </c>
      <c r="AG385" s="14">
        <f>IF($A385="","",IF(INDEX('潜水記録'!$AL$5:$AL$3004,$AS385)="","",INDEX('潜水記録'!$AL$5:$AL$3004,$AS385)))</f>
        <v/>
      </c>
      <c r="AH385" s="14">
        <f>IF($A385="","",IF(INDEX('潜水記録'!$AM$5:$AM$3004,$AS385)="","",INDEX('潜水記録'!$AM$5:$AM$3004,$AS385)))</f>
        <v/>
      </c>
      <c r="AI385" s="46">
        <f>IF($A385="","",IF(INDEX('潜水記録'!$AN$5:$AN$3004,$AS385)="","",INDEX('潜水記録'!$AN$5:$AN$3004,$AS385)))</f>
        <v/>
      </c>
      <c r="AJ385" s="14">
        <f>IF($A385="","",IF(INDEX('潜水記録'!$AO$5:$AO$3004,$AS385)="","",INDEX('潜水記録'!$AO$5:$AO$3004,$AS385)))</f>
        <v/>
      </c>
      <c r="AK385" s="14">
        <f>IF($A385="","",IF(INDEX('潜水記録'!$AP$5:$AP$3004,$AS385)="","",INDEX('潜水記録'!$AP$5:$AP$3004,$AS385)))</f>
        <v/>
      </c>
      <c r="AL385" s="14">
        <f>IF($A385="","",IF(INDEX('潜水記録'!$AQ$5:$AQ$3004,$AS385)="","",INDEX('潜水記録'!$AQ$5:$AQ$3004,$AS385)))</f>
        <v/>
      </c>
      <c r="AM385" s="14">
        <f>IF($A385="","",IF(INDEX('潜水記録'!$AR$5:$AR$3004,$AS385)="","",INDEX('潜水記録'!$AR$5:$AR$3004,$AS385)))</f>
        <v/>
      </c>
      <c r="AN385" s="14">
        <f>IF($A385="","",IF(INDEX('潜水記録'!$AS$5:$AS$3004,$AS385)="","",INDEX('潜水記録'!$AS$5:$AS$3004,$AS385)))</f>
        <v/>
      </c>
      <c r="AO385" s="14">
        <f>IF($A385="","",IF(INDEX('潜水記録'!$AT$5:$AT$3004,$AS385)="","",INDEX('潜水記録'!$AT$5:$AT$3004,$AS385)))</f>
        <v/>
      </c>
      <c r="AP385" s="14">
        <f>IF($A385="","",IF(INDEX('潜水記録'!$AU$5:$AU$3004,$AS385)="","",INDEX('潜水記録'!$AU$5:$AU$3004,$AS385)))</f>
        <v/>
      </c>
      <c r="AQ385" s="14">
        <f>IF($A385="","",IF(INDEX('潜水記録'!$AV$5:$AV$3004,$AS385)="","",INDEX('潜水記録'!$AV$5:$AV$3004,$AS385)))</f>
        <v/>
      </c>
      <c r="AR385" s="14">
        <f>IF($A385="","",IF(INDEX('潜水記録'!$AW$5:$AW$3004,$AS385)="","",INDEX('潜水記録'!$AW$5:$AW$3004,$AS385)))</f>
        <v/>
      </c>
      <c r="AS385" s="20">
        <f>IF($A385="","",MATCH($A385,'潜水記録'!$AI$5:$AI$3004,0))</f>
        <v/>
      </c>
    </row>
    <row r="386">
      <c r="A386" s="14">
        <f>IF(376&lt;=$C$8,376,"")</f>
        <v/>
      </c>
      <c r="B386" s="16">
        <f>IF($A386="","",IF(INDEX('潜水記録'!$A$5:$A$3004,$AS386)="","",INDEX('潜水記録'!$A$5:$A$3004,$AS386)))</f>
        <v/>
      </c>
      <c r="C386" s="14">
        <f>IF($A386="","",IF(INDEX('潜水記録'!$B$5:$B$3004,$AS386)="","",INDEX('潜水記録'!$B$5:$B$3004,$AS386)))</f>
        <v/>
      </c>
      <c r="D386" s="14">
        <f>IF($A386="","",IF(INDEX('潜水記録'!$C$5:$C$3004,$AS386)="","",INDEX('潜水記録'!$C$5:$C$3004,$AS386)))</f>
        <v/>
      </c>
      <c r="E386" s="14">
        <f>IF($A386="","",IF(INDEX('潜水記録'!$D$5:$D$3004,$AS386)="","",INDEX('潜水記録'!$D$5:$D$3004,$AS386)))</f>
        <v/>
      </c>
      <c r="F386" s="14">
        <f>IF($A386="","",IF(INDEX('潜水記録'!$E$5:$E$3004,$AS386)="","",INDEX('潜水記録'!$E$5:$E$3004,$AS386)))</f>
        <v/>
      </c>
      <c r="G386" s="14">
        <f>IF($A386="","",IF(INDEX('潜水記録'!$F$5:$F$3004,$AS386)="","",INDEX('潜水記録'!$F$5:$F$3004,$AS386)))</f>
        <v/>
      </c>
      <c r="H386" s="14">
        <f>IF($A386="","",IF(INDEX('潜水記録'!$G$5:$G$3004,$AS386)="","",INDEX('潜水記録'!$G$5:$G$3004,$AS386)))</f>
        <v/>
      </c>
      <c r="I386" s="14">
        <f>IF($A386="","",IF(INDEX('潜水記録'!$H$5:$H$3004,$AS386)="","",INDEX('潜水記録'!$H$5:$H$3004,$AS386)))</f>
        <v/>
      </c>
      <c r="J386" s="14">
        <f>IF($A386="","",IF(INDEX('潜水記録'!$I$5:$I$3004,$AS386)="","",INDEX('潜水記録'!$I$5:$I$3004,$AS386)))</f>
        <v/>
      </c>
      <c r="K386" s="14">
        <f>IF($A386="","",IF(INDEX('潜水記録'!$J$5:$J$3004,$AS386)="","",INDEX('潜水記録'!$J$5:$J$3004,$AS386)))</f>
        <v/>
      </c>
      <c r="L386" s="14">
        <f>IF($A386="","",IF(INDEX('潜水記録'!$K$5:$K$3004,$AS386)="","",INDEX('潜水記録'!$K$5:$K$3004,$AS386)))</f>
        <v/>
      </c>
      <c r="M386" s="14">
        <f>IF($A386="","",IF(INDEX('潜水記録'!$L$5:$L$3004,$AS386)="","",INDEX('潜水記録'!$L$5:$L$3004,$AS386)))</f>
        <v/>
      </c>
      <c r="N386" s="14">
        <f>IF($A386="","",IF(INDEX('潜水記録'!$M$5:$M$3004,$AS386)="","",INDEX('潜水記録'!$M$5:$M$3004,$AS386)))</f>
        <v/>
      </c>
      <c r="O386" s="14">
        <f>IF($A386="","",IF(INDEX('潜水記録'!$N$5:$N$3004,$AS386)="","",INDEX('潜水記録'!$N$5:$N$3004,$AS386)))</f>
        <v/>
      </c>
      <c r="P386" s="14">
        <f>IF($A386="","",IF(INDEX('潜水記録'!$O$5:$O$3004,$AS386)="","",INDEX('潜水記録'!$O$5:$O$3004,$AS386)))</f>
        <v/>
      </c>
      <c r="Q386" s="14">
        <f>IF($A386="","",IF(INDEX('潜水記録'!$P$5:$P$3004,$AS386)="","",INDEX('潜水記録'!$P$5:$P$3004,$AS386)))</f>
        <v/>
      </c>
      <c r="R386" s="14">
        <f>IF($A386="","",IF(INDEX('潜水記録'!$Q$5:$Q$3004,$AS386)="","",INDEX('潜水記録'!$Q$5:$Q$3004,$AS386)))</f>
        <v/>
      </c>
      <c r="S386" s="14">
        <f>IF($A386="","",IF(INDEX('潜水記録'!$R$5:$R$3004,$AS386)="","",INDEX('潜水記録'!$R$5:$R$3004,$AS386)))</f>
        <v/>
      </c>
      <c r="T386" s="14">
        <f>IF($A386="","",IF(INDEX('潜水記録'!$S$5:$S$3004,$AS386)="","",INDEX('潜水記録'!$S$5:$S$3004,$AS386)))</f>
        <v/>
      </c>
      <c r="U386" s="14">
        <f>IF($A386="","",IF(INDEX('潜水記録'!$T$5:$T$3004,$AS386)="","",INDEX('潜水記録'!$T$5:$T$3004,$AS386)))</f>
        <v/>
      </c>
      <c r="V386" s="46">
        <f>IF($A386="","",IF(INDEX('潜水記録'!$U$5:$U$3004,$AS386)="","",INDEX('潜水記録'!$U$5:$U$3004,$AS386)))</f>
        <v/>
      </c>
      <c r="W386" s="46">
        <f>IF($A386="","",IF(INDEX('潜水記録'!$V$5:$V$3004,$AS386)="","",INDEX('潜水記録'!$V$5:$V$3004,$AS386)))</f>
        <v/>
      </c>
      <c r="X386" s="14">
        <f>IF($A386="","",IF(INDEX('潜水記録'!$W$5:$W$3004,$AS386)="","",INDEX('潜水記録'!$W$5:$W$3004,$AS386)))</f>
        <v/>
      </c>
      <c r="Y386" s="14">
        <f>IF($A386="","",IF(INDEX('潜水記録'!$X$5:$X$3004,$AS386)="","",INDEX('潜水記録'!$X$5:$X$3004,$AS386)))</f>
        <v/>
      </c>
      <c r="Z386" s="14">
        <f>IF($A386="","",IF(INDEX('潜水記録'!$Y$5:$Y$3004,$AS386)="","",INDEX('潜水記録'!$Y$5:$Y$3004,$AS386)))</f>
        <v/>
      </c>
      <c r="AA386" s="14">
        <f>IF($A386="","",IF(INDEX('潜水記録'!$Z$5:$Z$3004,$AS386)="","",INDEX('潜水記録'!$Z$5:$Z$3004,$AS386)))</f>
        <v/>
      </c>
      <c r="AB386" s="14">
        <f>IF($A386="","",IF(INDEX('潜水記録'!$AA$5:$AA$3004,$AS386)="","",INDEX('潜水記録'!$AA$5:$AA$3004,$AS386)))</f>
        <v/>
      </c>
      <c r="AC386" s="14">
        <f>IF($A386="","",IF(INDEX('潜水記録'!$AB$5:$AB$3004,$AS386)="","",INDEX('潜水記録'!$AB$5:$AB$3004,$AS386)))</f>
        <v/>
      </c>
      <c r="AD386" s="14">
        <f>IF($A386="","",IF(INDEX('潜水記録'!$AC$5:$AC$3004,$AS386)="","",INDEX('潜水記録'!$AC$5:$AC$3004,$AS386)))</f>
        <v/>
      </c>
      <c r="AE386" s="14">
        <f>IF($A386="","",IF(INDEX('潜水記録'!$AD$5:$AD$3004,$AS386)="","",INDEX('潜水記録'!$AD$5:$AD$3004,$AS386)))</f>
        <v/>
      </c>
      <c r="AF386" s="14">
        <f>IF($A386="","",IF(INDEX('潜水記録'!$AE$5:$AE$3004,$AS386)="","",INDEX('潜水記録'!$AE$5:$AE$3004,$AS386)))</f>
        <v/>
      </c>
      <c r="AG386" s="14">
        <f>IF($A386="","",IF(INDEX('潜水記録'!$AL$5:$AL$3004,$AS386)="","",INDEX('潜水記録'!$AL$5:$AL$3004,$AS386)))</f>
        <v/>
      </c>
      <c r="AH386" s="14">
        <f>IF($A386="","",IF(INDEX('潜水記録'!$AM$5:$AM$3004,$AS386)="","",INDEX('潜水記録'!$AM$5:$AM$3004,$AS386)))</f>
        <v/>
      </c>
      <c r="AI386" s="46">
        <f>IF($A386="","",IF(INDEX('潜水記録'!$AN$5:$AN$3004,$AS386)="","",INDEX('潜水記録'!$AN$5:$AN$3004,$AS386)))</f>
        <v/>
      </c>
      <c r="AJ386" s="14">
        <f>IF($A386="","",IF(INDEX('潜水記録'!$AO$5:$AO$3004,$AS386)="","",INDEX('潜水記録'!$AO$5:$AO$3004,$AS386)))</f>
        <v/>
      </c>
      <c r="AK386" s="14">
        <f>IF($A386="","",IF(INDEX('潜水記録'!$AP$5:$AP$3004,$AS386)="","",INDEX('潜水記録'!$AP$5:$AP$3004,$AS386)))</f>
        <v/>
      </c>
      <c r="AL386" s="14">
        <f>IF($A386="","",IF(INDEX('潜水記録'!$AQ$5:$AQ$3004,$AS386)="","",INDEX('潜水記録'!$AQ$5:$AQ$3004,$AS386)))</f>
        <v/>
      </c>
      <c r="AM386" s="14">
        <f>IF($A386="","",IF(INDEX('潜水記録'!$AR$5:$AR$3004,$AS386)="","",INDEX('潜水記録'!$AR$5:$AR$3004,$AS386)))</f>
        <v/>
      </c>
      <c r="AN386" s="14">
        <f>IF($A386="","",IF(INDEX('潜水記録'!$AS$5:$AS$3004,$AS386)="","",INDEX('潜水記録'!$AS$5:$AS$3004,$AS386)))</f>
        <v/>
      </c>
      <c r="AO386" s="14">
        <f>IF($A386="","",IF(INDEX('潜水記録'!$AT$5:$AT$3004,$AS386)="","",INDEX('潜水記録'!$AT$5:$AT$3004,$AS386)))</f>
        <v/>
      </c>
      <c r="AP386" s="14">
        <f>IF($A386="","",IF(INDEX('潜水記録'!$AU$5:$AU$3004,$AS386)="","",INDEX('潜水記録'!$AU$5:$AU$3004,$AS386)))</f>
        <v/>
      </c>
      <c r="AQ386" s="14">
        <f>IF($A386="","",IF(INDEX('潜水記録'!$AV$5:$AV$3004,$AS386)="","",INDEX('潜水記録'!$AV$5:$AV$3004,$AS386)))</f>
        <v/>
      </c>
      <c r="AR386" s="14">
        <f>IF($A386="","",IF(INDEX('潜水記録'!$AW$5:$AW$3004,$AS386)="","",INDEX('潜水記録'!$AW$5:$AW$3004,$AS386)))</f>
        <v/>
      </c>
      <c r="AS386" s="20">
        <f>IF($A386="","",MATCH($A386,'潜水記録'!$AI$5:$AI$3004,0))</f>
        <v/>
      </c>
    </row>
    <row r="387">
      <c r="A387" s="14">
        <f>IF(377&lt;=$C$8,377,"")</f>
        <v/>
      </c>
      <c r="B387" s="16">
        <f>IF($A387="","",IF(INDEX('潜水記録'!$A$5:$A$3004,$AS387)="","",INDEX('潜水記録'!$A$5:$A$3004,$AS387)))</f>
        <v/>
      </c>
      <c r="C387" s="14">
        <f>IF($A387="","",IF(INDEX('潜水記録'!$B$5:$B$3004,$AS387)="","",INDEX('潜水記録'!$B$5:$B$3004,$AS387)))</f>
        <v/>
      </c>
      <c r="D387" s="14">
        <f>IF($A387="","",IF(INDEX('潜水記録'!$C$5:$C$3004,$AS387)="","",INDEX('潜水記録'!$C$5:$C$3004,$AS387)))</f>
        <v/>
      </c>
      <c r="E387" s="14">
        <f>IF($A387="","",IF(INDEX('潜水記録'!$D$5:$D$3004,$AS387)="","",INDEX('潜水記録'!$D$5:$D$3004,$AS387)))</f>
        <v/>
      </c>
      <c r="F387" s="14">
        <f>IF($A387="","",IF(INDEX('潜水記録'!$E$5:$E$3004,$AS387)="","",INDEX('潜水記録'!$E$5:$E$3004,$AS387)))</f>
        <v/>
      </c>
      <c r="G387" s="14">
        <f>IF($A387="","",IF(INDEX('潜水記録'!$F$5:$F$3004,$AS387)="","",INDEX('潜水記録'!$F$5:$F$3004,$AS387)))</f>
        <v/>
      </c>
      <c r="H387" s="14">
        <f>IF($A387="","",IF(INDEX('潜水記録'!$G$5:$G$3004,$AS387)="","",INDEX('潜水記録'!$G$5:$G$3004,$AS387)))</f>
        <v/>
      </c>
      <c r="I387" s="14">
        <f>IF($A387="","",IF(INDEX('潜水記録'!$H$5:$H$3004,$AS387)="","",INDEX('潜水記録'!$H$5:$H$3004,$AS387)))</f>
        <v/>
      </c>
      <c r="J387" s="14">
        <f>IF($A387="","",IF(INDEX('潜水記録'!$I$5:$I$3004,$AS387)="","",INDEX('潜水記録'!$I$5:$I$3004,$AS387)))</f>
        <v/>
      </c>
      <c r="K387" s="14">
        <f>IF($A387="","",IF(INDEX('潜水記録'!$J$5:$J$3004,$AS387)="","",INDEX('潜水記録'!$J$5:$J$3004,$AS387)))</f>
        <v/>
      </c>
      <c r="L387" s="14">
        <f>IF($A387="","",IF(INDEX('潜水記録'!$K$5:$K$3004,$AS387)="","",INDEX('潜水記録'!$K$5:$K$3004,$AS387)))</f>
        <v/>
      </c>
      <c r="M387" s="14">
        <f>IF($A387="","",IF(INDEX('潜水記録'!$L$5:$L$3004,$AS387)="","",INDEX('潜水記録'!$L$5:$L$3004,$AS387)))</f>
        <v/>
      </c>
      <c r="N387" s="14">
        <f>IF($A387="","",IF(INDEX('潜水記録'!$M$5:$M$3004,$AS387)="","",INDEX('潜水記録'!$M$5:$M$3004,$AS387)))</f>
        <v/>
      </c>
      <c r="O387" s="14">
        <f>IF($A387="","",IF(INDEX('潜水記録'!$N$5:$N$3004,$AS387)="","",INDEX('潜水記録'!$N$5:$N$3004,$AS387)))</f>
        <v/>
      </c>
      <c r="P387" s="14">
        <f>IF($A387="","",IF(INDEX('潜水記録'!$O$5:$O$3004,$AS387)="","",INDEX('潜水記録'!$O$5:$O$3004,$AS387)))</f>
        <v/>
      </c>
      <c r="Q387" s="14">
        <f>IF($A387="","",IF(INDEX('潜水記録'!$P$5:$P$3004,$AS387)="","",INDEX('潜水記録'!$P$5:$P$3004,$AS387)))</f>
        <v/>
      </c>
      <c r="R387" s="14">
        <f>IF($A387="","",IF(INDEX('潜水記録'!$Q$5:$Q$3004,$AS387)="","",INDEX('潜水記録'!$Q$5:$Q$3004,$AS387)))</f>
        <v/>
      </c>
      <c r="S387" s="14">
        <f>IF($A387="","",IF(INDEX('潜水記録'!$R$5:$R$3004,$AS387)="","",INDEX('潜水記録'!$R$5:$R$3004,$AS387)))</f>
        <v/>
      </c>
      <c r="T387" s="14">
        <f>IF($A387="","",IF(INDEX('潜水記録'!$S$5:$S$3004,$AS387)="","",INDEX('潜水記録'!$S$5:$S$3004,$AS387)))</f>
        <v/>
      </c>
      <c r="U387" s="14">
        <f>IF($A387="","",IF(INDEX('潜水記録'!$T$5:$T$3004,$AS387)="","",INDEX('潜水記録'!$T$5:$T$3004,$AS387)))</f>
        <v/>
      </c>
      <c r="V387" s="46">
        <f>IF($A387="","",IF(INDEX('潜水記録'!$U$5:$U$3004,$AS387)="","",INDEX('潜水記録'!$U$5:$U$3004,$AS387)))</f>
        <v/>
      </c>
      <c r="W387" s="46">
        <f>IF($A387="","",IF(INDEX('潜水記録'!$V$5:$V$3004,$AS387)="","",INDEX('潜水記録'!$V$5:$V$3004,$AS387)))</f>
        <v/>
      </c>
      <c r="X387" s="14">
        <f>IF($A387="","",IF(INDEX('潜水記録'!$W$5:$W$3004,$AS387)="","",INDEX('潜水記録'!$W$5:$W$3004,$AS387)))</f>
        <v/>
      </c>
      <c r="Y387" s="14">
        <f>IF($A387="","",IF(INDEX('潜水記録'!$X$5:$X$3004,$AS387)="","",INDEX('潜水記録'!$X$5:$X$3004,$AS387)))</f>
        <v/>
      </c>
      <c r="Z387" s="14">
        <f>IF($A387="","",IF(INDEX('潜水記録'!$Y$5:$Y$3004,$AS387)="","",INDEX('潜水記録'!$Y$5:$Y$3004,$AS387)))</f>
        <v/>
      </c>
      <c r="AA387" s="14">
        <f>IF($A387="","",IF(INDEX('潜水記録'!$Z$5:$Z$3004,$AS387)="","",INDEX('潜水記録'!$Z$5:$Z$3004,$AS387)))</f>
        <v/>
      </c>
      <c r="AB387" s="14">
        <f>IF($A387="","",IF(INDEX('潜水記録'!$AA$5:$AA$3004,$AS387)="","",INDEX('潜水記録'!$AA$5:$AA$3004,$AS387)))</f>
        <v/>
      </c>
      <c r="AC387" s="14">
        <f>IF($A387="","",IF(INDEX('潜水記録'!$AB$5:$AB$3004,$AS387)="","",INDEX('潜水記録'!$AB$5:$AB$3004,$AS387)))</f>
        <v/>
      </c>
      <c r="AD387" s="14">
        <f>IF($A387="","",IF(INDEX('潜水記録'!$AC$5:$AC$3004,$AS387)="","",INDEX('潜水記録'!$AC$5:$AC$3004,$AS387)))</f>
        <v/>
      </c>
      <c r="AE387" s="14">
        <f>IF($A387="","",IF(INDEX('潜水記録'!$AD$5:$AD$3004,$AS387)="","",INDEX('潜水記録'!$AD$5:$AD$3004,$AS387)))</f>
        <v/>
      </c>
      <c r="AF387" s="14">
        <f>IF($A387="","",IF(INDEX('潜水記録'!$AE$5:$AE$3004,$AS387)="","",INDEX('潜水記録'!$AE$5:$AE$3004,$AS387)))</f>
        <v/>
      </c>
      <c r="AG387" s="14">
        <f>IF($A387="","",IF(INDEX('潜水記録'!$AL$5:$AL$3004,$AS387)="","",INDEX('潜水記録'!$AL$5:$AL$3004,$AS387)))</f>
        <v/>
      </c>
      <c r="AH387" s="14">
        <f>IF($A387="","",IF(INDEX('潜水記録'!$AM$5:$AM$3004,$AS387)="","",INDEX('潜水記録'!$AM$5:$AM$3004,$AS387)))</f>
        <v/>
      </c>
      <c r="AI387" s="46">
        <f>IF($A387="","",IF(INDEX('潜水記録'!$AN$5:$AN$3004,$AS387)="","",INDEX('潜水記録'!$AN$5:$AN$3004,$AS387)))</f>
        <v/>
      </c>
      <c r="AJ387" s="14">
        <f>IF($A387="","",IF(INDEX('潜水記録'!$AO$5:$AO$3004,$AS387)="","",INDEX('潜水記録'!$AO$5:$AO$3004,$AS387)))</f>
        <v/>
      </c>
      <c r="AK387" s="14">
        <f>IF($A387="","",IF(INDEX('潜水記録'!$AP$5:$AP$3004,$AS387)="","",INDEX('潜水記録'!$AP$5:$AP$3004,$AS387)))</f>
        <v/>
      </c>
      <c r="AL387" s="14">
        <f>IF($A387="","",IF(INDEX('潜水記録'!$AQ$5:$AQ$3004,$AS387)="","",INDEX('潜水記録'!$AQ$5:$AQ$3004,$AS387)))</f>
        <v/>
      </c>
      <c r="AM387" s="14">
        <f>IF($A387="","",IF(INDEX('潜水記録'!$AR$5:$AR$3004,$AS387)="","",INDEX('潜水記録'!$AR$5:$AR$3004,$AS387)))</f>
        <v/>
      </c>
      <c r="AN387" s="14">
        <f>IF($A387="","",IF(INDEX('潜水記録'!$AS$5:$AS$3004,$AS387)="","",INDEX('潜水記録'!$AS$5:$AS$3004,$AS387)))</f>
        <v/>
      </c>
      <c r="AO387" s="14">
        <f>IF($A387="","",IF(INDEX('潜水記録'!$AT$5:$AT$3004,$AS387)="","",INDEX('潜水記録'!$AT$5:$AT$3004,$AS387)))</f>
        <v/>
      </c>
      <c r="AP387" s="14">
        <f>IF($A387="","",IF(INDEX('潜水記録'!$AU$5:$AU$3004,$AS387)="","",INDEX('潜水記録'!$AU$5:$AU$3004,$AS387)))</f>
        <v/>
      </c>
      <c r="AQ387" s="14">
        <f>IF($A387="","",IF(INDEX('潜水記録'!$AV$5:$AV$3004,$AS387)="","",INDEX('潜水記録'!$AV$5:$AV$3004,$AS387)))</f>
        <v/>
      </c>
      <c r="AR387" s="14">
        <f>IF($A387="","",IF(INDEX('潜水記録'!$AW$5:$AW$3004,$AS387)="","",INDEX('潜水記録'!$AW$5:$AW$3004,$AS387)))</f>
        <v/>
      </c>
      <c r="AS387" s="20">
        <f>IF($A387="","",MATCH($A387,'潜水記録'!$AI$5:$AI$3004,0))</f>
        <v/>
      </c>
    </row>
    <row r="388">
      <c r="A388" s="14">
        <f>IF(378&lt;=$C$8,378,"")</f>
        <v/>
      </c>
      <c r="B388" s="16">
        <f>IF($A388="","",IF(INDEX('潜水記録'!$A$5:$A$3004,$AS388)="","",INDEX('潜水記録'!$A$5:$A$3004,$AS388)))</f>
        <v/>
      </c>
      <c r="C388" s="14">
        <f>IF($A388="","",IF(INDEX('潜水記録'!$B$5:$B$3004,$AS388)="","",INDEX('潜水記録'!$B$5:$B$3004,$AS388)))</f>
        <v/>
      </c>
      <c r="D388" s="14">
        <f>IF($A388="","",IF(INDEX('潜水記録'!$C$5:$C$3004,$AS388)="","",INDEX('潜水記録'!$C$5:$C$3004,$AS388)))</f>
        <v/>
      </c>
      <c r="E388" s="14">
        <f>IF($A388="","",IF(INDEX('潜水記録'!$D$5:$D$3004,$AS388)="","",INDEX('潜水記録'!$D$5:$D$3004,$AS388)))</f>
        <v/>
      </c>
      <c r="F388" s="14">
        <f>IF($A388="","",IF(INDEX('潜水記録'!$E$5:$E$3004,$AS388)="","",INDEX('潜水記録'!$E$5:$E$3004,$AS388)))</f>
        <v/>
      </c>
      <c r="G388" s="14">
        <f>IF($A388="","",IF(INDEX('潜水記録'!$F$5:$F$3004,$AS388)="","",INDEX('潜水記録'!$F$5:$F$3004,$AS388)))</f>
        <v/>
      </c>
      <c r="H388" s="14">
        <f>IF($A388="","",IF(INDEX('潜水記録'!$G$5:$G$3004,$AS388)="","",INDEX('潜水記録'!$G$5:$G$3004,$AS388)))</f>
        <v/>
      </c>
      <c r="I388" s="14">
        <f>IF($A388="","",IF(INDEX('潜水記録'!$H$5:$H$3004,$AS388)="","",INDEX('潜水記録'!$H$5:$H$3004,$AS388)))</f>
        <v/>
      </c>
      <c r="J388" s="14">
        <f>IF($A388="","",IF(INDEX('潜水記録'!$I$5:$I$3004,$AS388)="","",INDEX('潜水記録'!$I$5:$I$3004,$AS388)))</f>
        <v/>
      </c>
      <c r="K388" s="14">
        <f>IF($A388="","",IF(INDEX('潜水記録'!$J$5:$J$3004,$AS388)="","",INDEX('潜水記録'!$J$5:$J$3004,$AS388)))</f>
        <v/>
      </c>
      <c r="L388" s="14">
        <f>IF($A388="","",IF(INDEX('潜水記録'!$K$5:$K$3004,$AS388)="","",INDEX('潜水記録'!$K$5:$K$3004,$AS388)))</f>
        <v/>
      </c>
      <c r="M388" s="14">
        <f>IF($A388="","",IF(INDEX('潜水記録'!$L$5:$L$3004,$AS388)="","",INDEX('潜水記録'!$L$5:$L$3004,$AS388)))</f>
        <v/>
      </c>
      <c r="N388" s="14">
        <f>IF($A388="","",IF(INDEX('潜水記録'!$M$5:$M$3004,$AS388)="","",INDEX('潜水記録'!$M$5:$M$3004,$AS388)))</f>
        <v/>
      </c>
      <c r="O388" s="14">
        <f>IF($A388="","",IF(INDEX('潜水記録'!$N$5:$N$3004,$AS388)="","",INDEX('潜水記録'!$N$5:$N$3004,$AS388)))</f>
        <v/>
      </c>
      <c r="P388" s="14">
        <f>IF($A388="","",IF(INDEX('潜水記録'!$O$5:$O$3004,$AS388)="","",INDEX('潜水記録'!$O$5:$O$3004,$AS388)))</f>
        <v/>
      </c>
      <c r="Q388" s="14">
        <f>IF($A388="","",IF(INDEX('潜水記録'!$P$5:$P$3004,$AS388)="","",INDEX('潜水記録'!$P$5:$P$3004,$AS388)))</f>
        <v/>
      </c>
      <c r="R388" s="14">
        <f>IF($A388="","",IF(INDEX('潜水記録'!$Q$5:$Q$3004,$AS388)="","",INDEX('潜水記録'!$Q$5:$Q$3004,$AS388)))</f>
        <v/>
      </c>
      <c r="S388" s="14">
        <f>IF($A388="","",IF(INDEX('潜水記録'!$R$5:$R$3004,$AS388)="","",INDEX('潜水記録'!$R$5:$R$3004,$AS388)))</f>
        <v/>
      </c>
      <c r="T388" s="14">
        <f>IF($A388="","",IF(INDEX('潜水記録'!$S$5:$S$3004,$AS388)="","",INDEX('潜水記録'!$S$5:$S$3004,$AS388)))</f>
        <v/>
      </c>
      <c r="U388" s="14">
        <f>IF($A388="","",IF(INDEX('潜水記録'!$T$5:$T$3004,$AS388)="","",INDEX('潜水記録'!$T$5:$T$3004,$AS388)))</f>
        <v/>
      </c>
      <c r="V388" s="46">
        <f>IF($A388="","",IF(INDEX('潜水記録'!$U$5:$U$3004,$AS388)="","",INDEX('潜水記録'!$U$5:$U$3004,$AS388)))</f>
        <v/>
      </c>
      <c r="W388" s="46">
        <f>IF($A388="","",IF(INDEX('潜水記録'!$V$5:$V$3004,$AS388)="","",INDEX('潜水記録'!$V$5:$V$3004,$AS388)))</f>
        <v/>
      </c>
      <c r="X388" s="14">
        <f>IF($A388="","",IF(INDEX('潜水記録'!$W$5:$W$3004,$AS388)="","",INDEX('潜水記録'!$W$5:$W$3004,$AS388)))</f>
        <v/>
      </c>
      <c r="Y388" s="14">
        <f>IF($A388="","",IF(INDEX('潜水記録'!$X$5:$X$3004,$AS388)="","",INDEX('潜水記録'!$X$5:$X$3004,$AS388)))</f>
        <v/>
      </c>
      <c r="Z388" s="14">
        <f>IF($A388="","",IF(INDEX('潜水記録'!$Y$5:$Y$3004,$AS388)="","",INDEX('潜水記録'!$Y$5:$Y$3004,$AS388)))</f>
        <v/>
      </c>
      <c r="AA388" s="14">
        <f>IF($A388="","",IF(INDEX('潜水記録'!$Z$5:$Z$3004,$AS388)="","",INDEX('潜水記録'!$Z$5:$Z$3004,$AS388)))</f>
        <v/>
      </c>
      <c r="AB388" s="14">
        <f>IF($A388="","",IF(INDEX('潜水記録'!$AA$5:$AA$3004,$AS388)="","",INDEX('潜水記録'!$AA$5:$AA$3004,$AS388)))</f>
        <v/>
      </c>
      <c r="AC388" s="14">
        <f>IF($A388="","",IF(INDEX('潜水記録'!$AB$5:$AB$3004,$AS388)="","",INDEX('潜水記録'!$AB$5:$AB$3004,$AS388)))</f>
        <v/>
      </c>
      <c r="AD388" s="14">
        <f>IF($A388="","",IF(INDEX('潜水記録'!$AC$5:$AC$3004,$AS388)="","",INDEX('潜水記録'!$AC$5:$AC$3004,$AS388)))</f>
        <v/>
      </c>
      <c r="AE388" s="14">
        <f>IF($A388="","",IF(INDEX('潜水記録'!$AD$5:$AD$3004,$AS388)="","",INDEX('潜水記録'!$AD$5:$AD$3004,$AS388)))</f>
        <v/>
      </c>
      <c r="AF388" s="14">
        <f>IF($A388="","",IF(INDEX('潜水記録'!$AE$5:$AE$3004,$AS388)="","",INDEX('潜水記録'!$AE$5:$AE$3004,$AS388)))</f>
        <v/>
      </c>
      <c r="AG388" s="14">
        <f>IF($A388="","",IF(INDEX('潜水記録'!$AL$5:$AL$3004,$AS388)="","",INDEX('潜水記録'!$AL$5:$AL$3004,$AS388)))</f>
        <v/>
      </c>
      <c r="AH388" s="14">
        <f>IF($A388="","",IF(INDEX('潜水記録'!$AM$5:$AM$3004,$AS388)="","",INDEX('潜水記録'!$AM$5:$AM$3004,$AS388)))</f>
        <v/>
      </c>
      <c r="AI388" s="46">
        <f>IF($A388="","",IF(INDEX('潜水記録'!$AN$5:$AN$3004,$AS388)="","",INDEX('潜水記録'!$AN$5:$AN$3004,$AS388)))</f>
        <v/>
      </c>
      <c r="AJ388" s="14">
        <f>IF($A388="","",IF(INDEX('潜水記録'!$AO$5:$AO$3004,$AS388)="","",INDEX('潜水記録'!$AO$5:$AO$3004,$AS388)))</f>
        <v/>
      </c>
      <c r="AK388" s="14">
        <f>IF($A388="","",IF(INDEX('潜水記録'!$AP$5:$AP$3004,$AS388)="","",INDEX('潜水記録'!$AP$5:$AP$3004,$AS388)))</f>
        <v/>
      </c>
      <c r="AL388" s="14">
        <f>IF($A388="","",IF(INDEX('潜水記録'!$AQ$5:$AQ$3004,$AS388)="","",INDEX('潜水記録'!$AQ$5:$AQ$3004,$AS388)))</f>
        <v/>
      </c>
      <c r="AM388" s="14">
        <f>IF($A388="","",IF(INDEX('潜水記録'!$AR$5:$AR$3004,$AS388)="","",INDEX('潜水記録'!$AR$5:$AR$3004,$AS388)))</f>
        <v/>
      </c>
      <c r="AN388" s="14">
        <f>IF($A388="","",IF(INDEX('潜水記録'!$AS$5:$AS$3004,$AS388)="","",INDEX('潜水記録'!$AS$5:$AS$3004,$AS388)))</f>
        <v/>
      </c>
      <c r="AO388" s="14">
        <f>IF($A388="","",IF(INDEX('潜水記録'!$AT$5:$AT$3004,$AS388)="","",INDEX('潜水記録'!$AT$5:$AT$3004,$AS388)))</f>
        <v/>
      </c>
      <c r="AP388" s="14">
        <f>IF($A388="","",IF(INDEX('潜水記録'!$AU$5:$AU$3004,$AS388)="","",INDEX('潜水記録'!$AU$5:$AU$3004,$AS388)))</f>
        <v/>
      </c>
      <c r="AQ388" s="14">
        <f>IF($A388="","",IF(INDEX('潜水記録'!$AV$5:$AV$3004,$AS388)="","",INDEX('潜水記録'!$AV$5:$AV$3004,$AS388)))</f>
        <v/>
      </c>
      <c r="AR388" s="14">
        <f>IF($A388="","",IF(INDEX('潜水記録'!$AW$5:$AW$3004,$AS388)="","",INDEX('潜水記録'!$AW$5:$AW$3004,$AS388)))</f>
        <v/>
      </c>
      <c r="AS388" s="20">
        <f>IF($A388="","",MATCH($A388,'潜水記録'!$AI$5:$AI$3004,0))</f>
        <v/>
      </c>
    </row>
    <row r="389">
      <c r="A389" s="14">
        <f>IF(379&lt;=$C$8,379,"")</f>
        <v/>
      </c>
      <c r="B389" s="16">
        <f>IF($A389="","",IF(INDEX('潜水記録'!$A$5:$A$3004,$AS389)="","",INDEX('潜水記録'!$A$5:$A$3004,$AS389)))</f>
        <v/>
      </c>
      <c r="C389" s="14">
        <f>IF($A389="","",IF(INDEX('潜水記録'!$B$5:$B$3004,$AS389)="","",INDEX('潜水記録'!$B$5:$B$3004,$AS389)))</f>
        <v/>
      </c>
      <c r="D389" s="14">
        <f>IF($A389="","",IF(INDEX('潜水記録'!$C$5:$C$3004,$AS389)="","",INDEX('潜水記録'!$C$5:$C$3004,$AS389)))</f>
        <v/>
      </c>
      <c r="E389" s="14">
        <f>IF($A389="","",IF(INDEX('潜水記録'!$D$5:$D$3004,$AS389)="","",INDEX('潜水記録'!$D$5:$D$3004,$AS389)))</f>
        <v/>
      </c>
      <c r="F389" s="14">
        <f>IF($A389="","",IF(INDEX('潜水記録'!$E$5:$E$3004,$AS389)="","",INDEX('潜水記録'!$E$5:$E$3004,$AS389)))</f>
        <v/>
      </c>
      <c r="G389" s="14">
        <f>IF($A389="","",IF(INDEX('潜水記録'!$F$5:$F$3004,$AS389)="","",INDEX('潜水記録'!$F$5:$F$3004,$AS389)))</f>
        <v/>
      </c>
      <c r="H389" s="14">
        <f>IF($A389="","",IF(INDEX('潜水記録'!$G$5:$G$3004,$AS389)="","",INDEX('潜水記録'!$G$5:$G$3004,$AS389)))</f>
        <v/>
      </c>
      <c r="I389" s="14">
        <f>IF($A389="","",IF(INDEX('潜水記録'!$H$5:$H$3004,$AS389)="","",INDEX('潜水記録'!$H$5:$H$3004,$AS389)))</f>
        <v/>
      </c>
      <c r="J389" s="14">
        <f>IF($A389="","",IF(INDEX('潜水記録'!$I$5:$I$3004,$AS389)="","",INDEX('潜水記録'!$I$5:$I$3004,$AS389)))</f>
        <v/>
      </c>
      <c r="K389" s="14">
        <f>IF($A389="","",IF(INDEX('潜水記録'!$J$5:$J$3004,$AS389)="","",INDEX('潜水記録'!$J$5:$J$3004,$AS389)))</f>
        <v/>
      </c>
      <c r="L389" s="14">
        <f>IF($A389="","",IF(INDEX('潜水記録'!$K$5:$K$3004,$AS389)="","",INDEX('潜水記録'!$K$5:$K$3004,$AS389)))</f>
        <v/>
      </c>
      <c r="M389" s="14">
        <f>IF($A389="","",IF(INDEX('潜水記録'!$L$5:$L$3004,$AS389)="","",INDEX('潜水記録'!$L$5:$L$3004,$AS389)))</f>
        <v/>
      </c>
      <c r="N389" s="14">
        <f>IF($A389="","",IF(INDEX('潜水記録'!$M$5:$M$3004,$AS389)="","",INDEX('潜水記録'!$M$5:$M$3004,$AS389)))</f>
        <v/>
      </c>
      <c r="O389" s="14">
        <f>IF($A389="","",IF(INDEX('潜水記録'!$N$5:$N$3004,$AS389)="","",INDEX('潜水記録'!$N$5:$N$3004,$AS389)))</f>
        <v/>
      </c>
      <c r="P389" s="14">
        <f>IF($A389="","",IF(INDEX('潜水記録'!$O$5:$O$3004,$AS389)="","",INDEX('潜水記録'!$O$5:$O$3004,$AS389)))</f>
        <v/>
      </c>
      <c r="Q389" s="14">
        <f>IF($A389="","",IF(INDEX('潜水記録'!$P$5:$P$3004,$AS389)="","",INDEX('潜水記録'!$P$5:$P$3004,$AS389)))</f>
        <v/>
      </c>
      <c r="R389" s="14">
        <f>IF($A389="","",IF(INDEX('潜水記録'!$Q$5:$Q$3004,$AS389)="","",INDEX('潜水記録'!$Q$5:$Q$3004,$AS389)))</f>
        <v/>
      </c>
      <c r="S389" s="14">
        <f>IF($A389="","",IF(INDEX('潜水記録'!$R$5:$R$3004,$AS389)="","",INDEX('潜水記録'!$R$5:$R$3004,$AS389)))</f>
        <v/>
      </c>
      <c r="T389" s="14">
        <f>IF($A389="","",IF(INDEX('潜水記録'!$S$5:$S$3004,$AS389)="","",INDEX('潜水記録'!$S$5:$S$3004,$AS389)))</f>
        <v/>
      </c>
      <c r="U389" s="14">
        <f>IF($A389="","",IF(INDEX('潜水記録'!$T$5:$T$3004,$AS389)="","",INDEX('潜水記録'!$T$5:$T$3004,$AS389)))</f>
        <v/>
      </c>
      <c r="V389" s="46">
        <f>IF($A389="","",IF(INDEX('潜水記録'!$U$5:$U$3004,$AS389)="","",INDEX('潜水記録'!$U$5:$U$3004,$AS389)))</f>
        <v/>
      </c>
      <c r="W389" s="46">
        <f>IF($A389="","",IF(INDEX('潜水記録'!$V$5:$V$3004,$AS389)="","",INDEX('潜水記録'!$V$5:$V$3004,$AS389)))</f>
        <v/>
      </c>
      <c r="X389" s="14">
        <f>IF($A389="","",IF(INDEX('潜水記録'!$W$5:$W$3004,$AS389)="","",INDEX('潜水記録'!$W$5:$W$3004,$AS389)))</f>
        <v/>
      </c>
      <c r="Y389" s="14">
        <f>IF($A389="","",IF(INDEX('潜水記録'!$X$5:$X$3004,$AS389)="","",INDEX('潜水記録'!$X$5:$X$3004,$AS389)))</f>
        <v/>
      </c>
      <c r="Z389" s="14">
        <f>IF($A389="","",IF(INDEX('潜水記録'!$Y$5:$Y$3004,$AS389)="","",INDEX('潜水記録'!$Y$5:$Y$3004,$AS389)))</f>
        <v/>
      </c>
      <c r="AA389" s="14">
        <f>IF($A389="","",IF(INDEX('潜水記録'!$Z$5:$Z$3004,$AS389)="","",INDEX('潜水記録'!$Z$5:$Z$3004,$AS389)))</f>
        <v/>
      </c>
      <c r="AB389" s="14">
        <f>IF($A389="","",IF(INDEX('潜水記録'!$AA$5:$AA$3004,$AS389)="","",INDEX('潜水記録'!$AA$5:$AA$3004,$AS389)))</f>
        <v/>
      </c>
      <c r="AC389" s="14">
        <f>IF($A389="","",IF(INDEX('潜水記録'!$AB$5:$AB$3004,$AS389)="","",INDEX('潜水記録'!$AB$5:$AB$3004,$AS389)))</f>
        <v/>
      </c>
      <c r="AD389" s="14">
        <f>IF($A389="","",IF(INDEX('潜水記録'!$AC$5:$AC$3004,$AS389)="","",INDEX('潜水記録'!$AC$5:$AC$3004,$AS389)))</f>
        <v/>
      </c>
      <c r="AE389" s="14">
        <f>IF($A389="","",IF(INDEX('潜水記録'!$AD$5:$AD$3004,$AS389)="","",INDEX('潜水記録'!$AD$5:$AD$3004,$AS389)))</f>
        <v/>
      </c>
      <c r="AF389" s="14">
        <f>IF($A389="","",IF(INDEX('潜水記録'!$AE$5:$AE$3004,$AS389)="","",INDEX('潜水記録'!$AE$5:$AE$3004,$AS389)))</f>
        <v/>
      </c>
      <c r="AG389" s="14">
        <f>IF($A389="","",IF(INDEX('潜水記録'!$AL$5:$AL$3004,$AS389)="","",INDEX('潜水記録'!$AL$5:$AL$3004,$AS389)))</f>
        <v/>
      </c>
      <c r="AH389" s="14">
        <f>IF($A389="","",IF(INDEX('潜水記録'!$AM$5:$AM$3004,$AS389)="","",INDEX('潜水記録'!$AM$5:$AM$3004,$AS389)))</f>
        <v/>
      </c>
      <c r="AI389" s="46">
        <f>IF($A389="","",IF(INDEX('潜水記録'!$AN$5:$AN$3004,$AS389)="","",INDEX('潜水記録'!$AN$5:$AN$3004,$AS389)))</f>
        <v/>
      </c>
      <c r="AJ389" s="14">
        <f>IF($A389="","",IF(INDEX('潜水記録'!$AO$5:$AO$3004,$AS389)="","",INDEX('潜水記録'!$AO$5:$AO$3004,$AS389)))</f>
        <v/>
      </c>
      <c r="AK389" s="14">
        <f>IF($A389="","",IF(INDEX('潜水記録'!$AP$5:$AP$3004,$AS389)="","",INDEX('潜水記録'!$AP$5:$AP$3004,$AS389)))</f>
        <v/>
      </c>
      <c r="AL389" s="14">
        <f>IF($A389="","",IF(INDEX('潜水記録'!$AQ$5:$AQ$3004,$AS389)="","",INDEX('潜水記録'!$AQ$5:$AQ$3004,$AS389)))</f>
        <v/>
      </c>
      <c r="AM389" s="14">
        <f>IF($A389="","",IF(INDEX('潜水記録'!$AR$5:$AR$3004,$AS389)="","",INDEX('潜水記録'!$AR$5:$AR$3004,$AS389)))</f>
        <v/>
      </c>
      <c r="AN389" s="14">
        <f>IF($A389="","",IF(INDEX('潜水記録'!$AS$5:$AS$3004,$AS389)="","",INDEX('潜水記録'!$AS$5:$AS$3004,$AS389)))</f>
        <v/>
      </c>
      <c r="AO389" s="14">
        <f>IF($A389="","",IF(INDEX('潜水記録'!$AT$5:$AT$3004,$AS389)="","",INDEX('潜水記録'!$AT$5:$AT$3004,$AS389)))</f>
        <v/>
      </c>
      <c r="AP389" s="14">
        <f>IF($A389="","",IF(INDEX('潜水記録'!$AU$5:$AU$3004,$AS389)="","",INDEX('潜水記録'!$AU$5:$AU$3004,$AS389)))</f>
        <v/>
      </c>
      <c r="AQ389" s="14">
        <f>IF($A389="","",IF(INDEX('潜水記録'!$AV$5:$AV$3004,$AS389)="","",INDEX('潜水記録'!$AV$5:$AV$3004,$AS389)))</f>
        <v/>
      </c>
      <c r="AR389" s="14">
        <f>IF($A389="","",IF(INDEX('潜水記録'!$AW$5:$AW$3004,$AS389)="","",INDEX('潜水記録'!$AW$5:$AW$3004,$AS389)))</f>
        <v/>
      </c>
      <c r="AS389" s="20">
        <f>IF($A389="","",MATCH($A389,'潜水記録'!$AI$5:$AI$3004,0))</f>
        <v/>
      </c>
    </row>
    <row r="390">
      <c r="A390" s="14">
        <f>IF(380&lt;=$C$8,380,"")</f>
        <v/>
      </c>
      <c r="B390" s="16">
        <f>IF($A390="","",IF(INDEX('潜水記録'!$A$5:$A$3004,$AS390)="","",INDEX('潜水記録'!$A$5:$A$3004,$AS390)))</f>
        <v/>
      </c>
      <c r="C390" s="14">
        <f>IF($A390="","",IF(INDEX('潜水記録'!$B$5:$B$3004,$AS390)="","",INDEX('潜水記録'!$B$5:$B$3004,$AS390)))</f>
        <v/>
      </c>
      <c r="D390" s="14">
        <f>IF($A390="","",IF(INDEX('潜水記録'!$C$5:$C$3004,$AS390)="","",INDEX('潜水記録'!$C$5:$C$3004,$AS390)))</f>
        <v/>
      </c>
      <c r="E390" s="14">
        <f>IF($A390="","",IF(INDEX('潜水記録'!$D$5:$D$3004,$AS390)="","",INDEX('潜水記録'!$D$5:$D$3004,$AS390)))</f>
        <v/>
      </c>
      <c r="F390" s="14">
        <f>IF($A390="","",IF(INDEX('潜水記録'!$E$5:$E$3004,$AS390)="","",INDEX('潜水記録'!$E$5:$E$3004,$AS390)))</f>
        <v/>
      </c>
      <c r="G390" s="14">
        <f>IF($A390="","",IF(INDEX('潜水記録'!$F$5:$F$3004,$AS390)="","",INDEX('潜水記録'!$F$5:$F$3004,$AS390)))</f>
        <v/>
      </c>
      <c r="H390" s="14">
        <f>IF($A390="","",IF(INDEX('潜水記録'!$G$5:$G$3004,$AS390)="","",INDEX('潜水記録'!$G$5:$G$3004,$AS390)))</f>
        <v/>
      </c>
      <c r="I390" s="14">
        <f>IF($A390="","",IF(INDEX('潜水記録'!$H$5:$H$3004,$AS390)="","",INDEX('潜水記録'!$H$5:$H$3004,$AS390)))</f>
        <v/>
      </c>
      <c r="J390" s="14">
        <f>IF($A390="","",IF(INDEX('潜水記録'!$I$5:$I$3004,$AS390)="","",INDEX('潜水記録'!$I$5:$I$3004,$AS390)))</f>
        <v/>
      </c>
      <c r="K390" s="14">
        <f>IF($A390="","",IF(INDEX('潜水記録'!$J$5:$J$3004,$AS390)="","",INDEX('潜水記録'!$J$5:$J$3004,$AS390)))</f>
        <v/>
      </c>
      <c r="L390" s="14">
        <f>IF($A390="","",IF(INDEX('潜水記録'!$K$5:$K$3004,$AS390)="","",INDEX('潜水記録'!$K$5:$K$3004,$AS390)))</f>
        <v/>
      </c>
      <c r="M390" s="14">
        <f>IF($A390="","",IF(INDEX('潜水記録'!$L$5:$L$3004,$AS390)="","",INDEX('潜水記録'!$L$5:$L$3004,$AS390)))</f>
        <v/>
      </c>
      <c r="N390" s="14">
        <f>IF($A390="","",IF(INDEX('潜水記録'!$M$5:$M$3004,$AS390)="","",INDEX('潜水記録'!$M$5:$M$3004,$AS390)))</f>
        <v/>
      </c>
      <c r="O390" s="14">
        <f>IF($A390="","",IF(INDEX('潜水記録'!$N$5:$N$3004,$AS390)="","",INDEX('潜水記録'!$N$5:$N$3004,$AS390)))</f>
        <v/>
      </c>
      <c r="P390" s="14">
        <f>IF($A390="","",IF(INDEX('潜水記録'!$O$5:$O$3004,$AS390)="","",INDEX('潜水記録'!$O$5:$O$3004,$AS390)))</f>
        <v/>
      </c>
      <c r="Q390" s="14">
        <f>IF($A390="","",IF(INDEX('潜水記録'!$P$5:$P$3004,$AS390)="","",INDEX('潜水記録'!$P$5:$P$3004,$AS390)))</f>
        <v/>
      </c>
      <c r="R390" s="14">
        <f>IF($A390="","",IF(INDEX('潜水記録'!$Q$5:$Q$3004,$AS390)="","",INDEX('潜水記録'!$Q$5:$Q$3004,$AS390)))</f>
        <v/>
      </c>
      <c r="S390" s="14">
        <f>IF($A390="","",IF(INDEX('潜水記録'!$R$5:$R$3004,$AS390)="","",INDEX('潜水記録'!$R$5:$R$3004,$AS390)))</f>
        <v/>
      </c>
      <c r="T390" s="14">
        <f>IF($A390="","",IF(INDEX('潜水記録'!$S$5:$S$3004,$AS390)="","",INDEX('潜水記録'!$S$5:$S$3004,$AS390)))</f>
        <v/>
      </c>
      <c r="U390" s="14">
        <f>IF($A390="","",IF(INDEX('潜水記録'!$T$5:$T$3004,$AS390)="","",INDEX('潜水記録'!$T$5:$T$3004,$AS390)))</f>
        <v/>
      </c>
      <c r="V390" s="46">
        <f>IF($A390="","",IF(INDEX('潜水記録'!$U$5:$U$3004,$AS390)="","",INDEX('潜水記録'!$U$5:$U$3004,$AS390)))</f>
        <v/>
      </c>
      <c r="W390" s="46">
        <f>IF($A390="","",IF(INDEX('潜水記録'!$V$5:$V$3004,$AS390)="","",INDEX('潜水記録'!$V$5:$V$3004,$AS390)))</f>
        <v/>
      </c>
      <c r="X390" s="14">
        <f>IF($A390="","",IF(INDEX('潜水記録'!$W$5:$W$3004,$AS390)="","",INDEX('潜水記録'!$W$5:$W$3004,$AS390)))</f>
        <v/>
      </c>
      <c r="Y390" s="14">
        <f>IF($A390="","",IF(INDEX('潜水記録'!$X$5:$X$3004,$AS390)="","",INDEX('潜水記録'!$X$5:$X$3004,$AS390)))</f>
        <v/>
      </c>
      <c r="Z390" s="14">
        <f>IF($A390="","",IF(INDEX('潜水記録'!$Y$5:$Y$3004,$AS390)="","",INDEX('潜水記録'!$Y$5:$Y$3004,$AS390)))</f>
        <v/>
      </c>
      <c r="AA390" s="14">
        <f>IF($A390="","",IF(INDEX('潜水記録'!$Z$5:$Z$3004,$AS390)="","",INDEX('潜水記録'!$Z$5:$Z$3004,$AS390)))</f>
        <v/>
      </c>
      <c r="AB390" s="14">
        <f>IF($A390="","",IF(INDEX('潜水記録'!$AA$5:$AA$3004,$AS390)="","",INDEX('潜水記録'!$AA$5:$AA$3004,$AS390)))</f>
        <v/>
      </c>
      <c r="AC390" s="14">
        <f>IF($A390="","",IF(INDEX('潜水記録'!$AB$5:$AB$3004,$AS390)="","",INDEX('潜水記録'!$AB$5:$AB$3004,$AS390)))</f>
        <v/>
      </c>
      <c r="AD390" s="14">
        <f>IF($A390="","",IF(INDEX('潜水記録'!$AC$5:$AC$3004,$AS390)="","",INDEX('潜水記録'!$AC$5:$AC$3004,$AS390)))</f>
        <v/>
      </c>
      <c r="AE390" s="14">
        <f>IF($A390="","",IF(INDEX('潜水記録'!$AD$5:$AD$3004,$AS390)="","",INDEX('潜水記録'!$AD$5:$AD$3004,$AS390)))</f>
        <v/>
      </c>
      <c r="AF390" s="14">
        <f>IF($A390="","",IF(INDEX('潜水記録'!$AE$5:$AE$3004,$AS390)="","",INDEX('潜水記録'!$AE$5:$AE$3004,$AS390)))</f>
        <v/>
      </c>
      <c r="AG390" s="14">
        <f>IF($A390="","",IF(INDEX('潜水記録'!$AL$5:$AL$3004,$AS390)="","",INDEX('潜水記録'!$AL$5:$AL$3004,$AS390)))</f>
        <v/>
      </c>
      <c r="AH390" s="14">
        <f>IF($A390="","",IF(INDEX('潜水記録'!$AM$5:$AM$3004,$AS390)="","",INDEX('潜水記録'!$AM$5:$AM$3004,$AS390)))</f>
        <v/>
      </c>
      <c r="AI390" s="46">
        <f>IF($A390="","",IF(INDEX('潜水記録'!$AN$5:$AN$3004,$AS390)="","",INDEX('潜水記録'!$AN$5:$AN$3004,$AS390)))</f>
        <v/>
      </c>
      <c r="AJ390" s="14">
        <f>IF($A390="","",IF(INDEX('潜水記録'!$AO$5:$AO$3004,$AS390)="","",INDEX('潜水記録'!$AO$5:$AO$3004,$AS390)))</f>
        <v/>
      </c>
      <c r="AK390" s="14">
        <f>IF($A390="","",IF(INDEX('潜水記録'!$AP$5:$AP$3004,$AS390)="","",INDEX('潜水記録'!$AP$5:$AP$3004,$AS390)))</f>
        <v/>
      </c>
      <c r="AL390" s="14">
        <f>IF($A390="","",IF(INDEX('潜水記録'!$AQ$5:$AQ$3004,$AS390)="","",INDEX('潜水記録'!$AQ$5:$AQ$3004,$AS390)))</f>
        <v/>
      </c>
      <c r="AM390" s="14">
        <f>IF($A390="","",IF(INDEX('潜水記録'!$AR$5:$AR$3004,$AS390)="","",INDEX('潜水記録'!$AR$5:$AR$3004,$AS390)))</f>
        <v/>
      </c>
      <c r="AN390" s="14">
        <f>IF($A390="","",IF(INDEX('潜水記録'!$AS$5:$AS$3004,$AS390)="","",INDEX('潜水記録'!$AS$5:$AS$3004,$AS390)))</f>
        <v/>
      </c>
      <c r="AO390" s="14">
        <f>IF($A390="","",IF(INDEX('潜水記録'!$AT$5:$AT$3004,$AS390)="","",INDEX('潜水記録'!$AT$5:$AT$3004,$AS390)))</f>
        <v/>
      </c>
      <c r="AP390" s="14">
        <f>IF($A390="","",IF(INDEX('潜水記録'!$AU$5:$AU$3004,$AS390)="","",INDEX('潜水記録'!$AU$5:$AU$3004,$AS390)))</f>
        <v/>
      </c>
      <c r="AQ390" s="14">
        <f>IF($A390="","",IF(INDEX('潜水記録'!$AV$5:$AV$3004,$AS390)="","",INDEX('潜水記録'!$AV$5:$AV$3004,$AS390)))</f>
        <v/>
      </c>
      <c r="AR390" s="14">
        <f>IF($A390="","",IF(INDEX('潜水記録'!$AW$5:$AW$3004,$AS390)="","",INDEX('潜水記録'!$AW$5:$AW$3004,$AS390)))</f>
        <v/>
      </c>
      <c r="AS390" s="20">
        <f>IF($A390="","",MATCH($A390,'潜水記録'!$AI$5:$AI$3004,0))</f>
        <v/>
      </c>
    </row>
    <row r="391">
      <c r="A391" s="14">
        <f>IF(381&lt;=$C$8,381,"")</f>
        <v/>
      </c>
      <c r="B391" s="16">
        <f>IF($A391="","",IF(INDEX('潜水記録'!$A$5:$A$3004,$AS391)="","",INDEX('潜水記録'!$A$5:$A$3004,$AS391)))</f>
        <v/>
      </c>
      <c r="C391" s="14">
        <f>IF($A391="","",IF(INDEX('潜水記録'!$B$5:$B$3004,$AS391)="","",INDEX('潜水記録'!$B$5:$B$3004,$AS391)))</f>
        <v/>
      </c>
      <c r="D391" s="14">
        <f>IF($A391="","",IF(INDEX('潜水記録'!$C$5:$C$3004,$AS391)="","",INDEX('潜水記録'!$C$5:$C$3004,$AS391)))</f>
        <v/>
      </c>
      <c r="E391" s="14">
        <f>IF($A391="","",IF(INDEX('潜水記録'!$D$5:$D$3004,$AS391)="","",INDEX('潜水記録'!$D$5:$D$3004,$AS391)))</f>
        <v/>
      </c>
      <c r="F391" s="14">
        <f>IF($A391="","",IF(INDEX('潜水記録'!$E$5:$E$3004,$AS391)="","",INDEX('潜水記録'!$E$5:$E$3004,$AS391)))</f>
        <v/>
      </c>
      <c r="G391" s="14">
        <f>IF($A391="","",IF(INDEX('潜水記録'!$F$5:$F$3004,$AS391)="","",INDEX('潜水記録'!$F$5:$F$3004,$AS391)))</f>
        <v/>
      </c>
      <c r="H391" s="14">
        <f>IF($A391="","",IF(INDEX('潜水記録'!$G$5:$G$3004,$AS391)="","",INDEX('潜水記録'!$G$5:$G$3004,$AS391)))</f>
        <v/>
      </c>
      <c r="I391" s="14">
        <f>IF($A391="","",IF(INDEX('潜水記録'!$H$5:$H$3004,$AS391)="","",INDEX('潜水記録'!$H$5:$H$3004,$AS391)))</f>
        <v/>
      </c>
      <c r="J391" s="14">
        <f>IF($A391="","",IF(INDEX('潜水記録'!$I$5:$I$3004,$AS391)="","",INDEX('潜水記録'!$I$5:$I$3004,$AS391)))</f>
        <v/>
      </c>
      <c r="K391" s="14">
        <f>IF($A391="","",IF(INDEX('潜水記録'!$J$5:$J$3004,$AS391)="","",INDEX('潜水記録'!$J$5:$J$3004,$AS391)))</f>
        <v/>
      </c>
      <c r="L391" s="14">
        <f>IF($A391="","",IF(INDEX('潜水記録'!$K$5:$K$3004,$AS391)="","",INDEX('潜水記録'!$K$5:$K$3004,$AS391)))</f>
        <v/>
      </c>
      <c r="M391" s="14">
        <f>IF($A391="","",IF(INDEX('潜水記録'!$L$5:$L$3004,$AS391)="","",INDEX('潜水記録'!$L$5:$L$3004,$AS391)))</f>
        <v/>
      </c>
      <c r="N391" s="14">
        <f>IF($A391="","",IF(INDEX('潜水記録'!$M$5:$M$3004,$AS391)="","",INDEX('潜水記録'!$M$5:$M$3004,$AS391)))</f>
        <v/>
      </c>
      <c r="O391" s="14">
        <f>IF($A391="","",IF(INDEX('潜水記録'!$N$5:$N$3004,$AS391)="","",INDEX('潜水記録'!$N$5:$N$3004,$AS391)))</f>
        <v/>
      </c>
      <c r="P391" s="14">
        <f>IF($A391="","",IF(INDEX('潜水記録'!$O$5:$O$3004,$AS391)="","",INDEX('潜水記録'!$O$5:$O$3004,$AS391)))</f>
        <v/>
      </c>
      <c r="Q391" s="14">
        <f>IF($A391="","",IF(INDEX('潜水記録'!$P$5:$P$3004,$AS391)="","",INDEX('潜水記録'!$P$5:$P$3004,$AS391)))</f>
        <v/>
      </c>
      <c r="R391" s="14">
        <f>IF($A391="","",IF(INDEX('潜水記録'!$Q$5:$Q$3004,$AS391)="","",INDEX('潜水記録'!$Q$5:$Q$3004,$AS391)))</f>
        <v/>
      </c>
      <c r="S391" s="14">
        <f>IF($A391="","",IF(INDEX('潜水記録'!$R$5:$R$3004,$AS391)="","",INDEX('潜水記録'!$R$5:$R$3004,$AS391)))</f>
        <v/>
      </c>
      <c r="T391" s="14">
        <f>IF($A391="","",IF(INDEX('潜水記録'!$S$5:$S$3004,$AS391)="","",INDEX('潜水記録'!$S$5:$S$3004,$AS391)))</f>
        <v/>
      </c>
      <c r="U391" s="14">
        <f>IF($A391="","",IF(INDEX('潜水記録'!$T$5:$T$3004,$AS391)="","",INDEX('潜水記録'!$T$5:$T$3004,$AS391)))</f>
        <v/>
      </c>
      <c r="V391" s="46">
        <f>IF($A391="","",IF(INDEX('潜水記録'!$U$5:$U$3004,$AS391)="","",INDEX('潜水記録'!$U$5:$U$3004,$AS391)))</f>
        <v/>
      </c>
      <c r="W391" s="46">
        <f>IF($A391="","",IF(INDEX('潜水記録'!$V$5:$V$3004,$AS391)="","",INDEX('潜水記録'!$V$5:$V$3004,$AS391)))</f>
        <v/>
      </c>
      <c r="X391" s="14">
        <f>IF($A391="","",IF(INDEX('潜水記録'!$W$5:$W$3004,$AS391)="","",INDEX('潜水記録'!$W$5:$W$3004,$AS391)))</f>
        <v/>
      </c>
      <c r="Y391" s="14">
        <f>IF($A391="","",IF(INDEX('潜水記録'!$X$5:$X$3004,$AS391)="","",INDEX('潜水記録'!$X$5:$X$3004,$AS391)))</f>
        <v/>
      </c>
      <c r="Z391" s="14">
        <f>IF($A391="","",IF(INDEX('潜水記録'!$Y$5:$Y$3004,$AS391)="","",INDEX('潜水記録'!$Y$5:$Y$3004,$AS391)))</f>
        <v/>
      </c>
      <c r="AA391" s="14">
        <f>IF($A391="","",IF(INDEX('潜水記録'!$Z$5:$Z$3004,$AS391)="","",INDEX('潜水記録'!$Z$5:$Z$3004,$AS391)))</f>
        <v/>
      </c>
      <c r="AB391" s="14">
        <f>IF($A391="","",IF(INDEX('潜水記録'!$AA$5:$AA$3004,$AS391)="","",INDEX('潜水記録'!$AA$5:$AA$3004,$AS391)))</f>
        <v/>
      </c>
      <c r="AC391" s="14">
        <f>IF($A391="","",IF(INDEX('潜水記録'!$AB$5:$AB$3004,$AS391)="","",INDEX('潜水記録'!$AB$5:$AB$3004,$AS391)))</f>
        <v/>
      </c>
      <c r="AD391" s="14">
        <f>IF($A391="","",IF(INDEX('潜水記録'!$AC$5:$AC$3004,$AS391)="","",INDEX('潜水記録'!$AC$5:$AC$3004,$AS391)))</f>
        <v/>
      </c>
      <c r="AE391" s="14">
        <f>IF($A391="","",IF(INDEX('潜水記録'!$AD$5:$AD$3004,$AS391)="","",INDEX('潜水記録'!$AD$5:$AD$3004,$AS391)))</f>
        <v/>
      </c>
      <c r="AF391" s="14">
        <f>IF($A391="","",IF(INDEX('潜水記録'!$AE$5:$AE$3004,$AS391)="","",INDEX('潜水記録'!$AE$5:$AE$3004,$AS391)))</f>
        <v/>
      </c>
      <c r="AG391" s="14">
        <f>IF($A391="","",IF(INDEX('潜水記録'!$AL$5:$AL$3004,$AS391)="","",INDEX('潜水記録'!$AL$5:$AL$3004,$AS391)))</f>
        <v/>
      </c>
      <c r="AH391" s="14">
        <f>IF($A391="","",IF(INDEX('潜水記録'!$AM$5:$AM$3004,$AS391)="","",INDEX('潜水記録'!$AM$5:$AM$3004,$AS391)))</f>
        <v/>
      </c>
      <c r="AI391" s="46">
        <f>IF($A391="","",IF(INDEX('潜水記録'!$AN$5:$AN$3004,$AS391)="","",INDEX('潜水記録'!$AN$5:$AN$3004,$AS391)))</f>
        <v/>
      </c>
      <c r="AJ391" s="14">
        <f>IF($A391="","",IF(INDEX('潜水記録'!$AO$5:$AO$3004,$AS391)="","",INDEX('潜水記録'!$AO$5:$AO$3004,$AS391)))</f>
        <v/>
      </c>
      <c r="AK391" s="14">
        <f>IF($A391="","",IF(INDEX('潜水記録'!$AP$5:$AP$3004,$AS391)="","",INDEX('潜水記録'!$AP$5:$AP$3004,$AS391)))</f>
        <v/>
      </c>
      <c r="AL391" s="14">
        <f>IF($A391="","",IF(INDEX('潜水記録'!$AQ$5:$AQ$3004,$AS391)="","",INDEX('潜水記録'!$AQ$5:$AQ$3004,$AS391)))</f>
        <v/>
      </c>
      <c r="AM391" s="14">
        <f>IF($A391="","",IF(INDEX('潜水記録'!$AR$5:$AR$3004,$AS391)="","",INDEX('潜水記録'!$AR$5:$AR$3004,$AS391)))</f>
        <v/>
      </c>
      <c r="AN391" s="14">
        <f>IF($A391="","",IF(INDEX('潜水記録'!$AS$5:$AS$3004,$AS391)="","",INDEX('潜水記録'!$AS$5:$AS$3004,$AS391)))</f>
        <v/>
      </c>
      <c r="AO391" s="14">
        <f>IF($A391="","",IF(INDEX('潜水記録'!$AT$5:$AT$3004,$AS391)="","",INDEX('潜水記録'!$AT$5:$AT$3004,$AS391)))</f>
        <v/>
      </c>
      <c r="AP391" s="14">
        <f>IF($A391="","",IF(INDEX('潜水記録'!$AU$5:$AU$3004,$AS391)="","",INDEX('潜水記録'!$AU$5:$AU$3004,$AS391)))</f>
        <v/>
      </c>
      <c r="AQ391" s="14">
        <f>IF($A391="","",IF(INDEX('潜水記録'!$AV$5:$AV$3004,$AS391)="","",INDEX('潜水記録'!$AV$5:$AV$3004,$AS391)))</f>
        <v/>
      </c>
      <c r="AR391" s="14">
        <f>IF($A391="","",IF(INDEX('潜水記録'!$AW$5:$AW$3004,$AS391)="","",INDEX('潜水記録'!$AW$5:$AW$3004,$AS391)))</f>
        <v/>
      </c>
      <c r="AS391" s="20">
        <f>IF($A391="","",MATCH($A391,'潜水記録'!$AI$5:$AI$3004,0))</f>
        <v/>
      </c>
    </row>
    <row r="392">
      <c r="A392" s="14">
        <f>IF(382&lt;=$C$8,382,"")</f>
        <v/>
      </c>
      <c r="B392" s="16">
        <f>IF($A392="","",IF(INDEX('潜水記録'!$A$5:$A$3004,$AS392)="","",INDEX('潜水記録'!$A$5:$A$3004,$AS392)))</f>
        <v/>
      </c>
      <c r="C392" s="14">
        <f>IF($A392="","",IF(INDEX('潜水記録'!$B$5:$B$3004,$AS392)="","",INDEX('潜水記録'!$B$5:$B$3004,$AS392)))</f>
        <v/>
      </c>
      <c r="D392" s="14">
        <f>IF($A392="","",IF(INDEX('潜水記録'!$C$5:$C$3004,$AS392)="","",INDEX('潜水記録'!$C$5:$C$3004,$AS392)))</f>
        <v/>
      </c>
      <c r="E392" s="14">
        <f>IF($A392="","",IF(INDEX('潜水記録'!$D$5:$D$3004,$AS392)="","",INDEX('潜水記録'!$D$5:$D$3004,$AS392)))</f>
        <v/>
      </c>
      <c r="F392" s="14">
        <f>IF($A392="","",IF(INDEX('潜水記録'!$E$5:$E$3004,$AS392)="","",INDEX('潜水記録'!$E$5:$E$3004,$AS392)))</f>
        <v/>
      </c>
      <c r="G392" s="14">
        <f>IF($A392="","",IF(INDEX('潜水記録'!$F$5:$F$3004,$AS392)="","",INDEX('潜水記録'!$F$5:$F$3004,$AS392)))</f>
        <v/>
      </c>
      <c r="H392" s="14">
        <f>IF($A392="","",IF(INDEX('潜水記録'!$G$5:$G$3004,$AS392)="","",INDEX('潜水記録'!$G$5:$G$3004,$AS392)))</f>
        <v/>
      </c>
      <c r="I392" s="14">
        <f>IF($A392="","",IF(INDEX('潜水記録'!$H$5:$H$3004,$AS392)="","",INDEX('潜水記録'!$H$5:$H$3004,$AS392)))</f>
        <v/>
      </c>
      <c r="J392" s="14">
        <f>IF($A392="","",IF(INDEX('潜水記録'!$I$5:$I$3004,$AS392)="","",INDEX('潜水記録'!$I$5:$I$3004,$AS392)))</f>
        <v/>
      </c>
      <c r="K392" s="14">
        <f>IF($A392="","",IF(INDEX('潜水記録'!$J$5:$J$3004,$AS392)="","",INDEX('潜水記録'!$J$5:$J$3004,$AS392)))</f>
        <v/>
      </c>
      <c r="L392" s="14">
        <f>IF($A392="","",IF(INDEX('潜水記録'!$K$5:$K$3004,$AS392)="","",INDEX('潜水記録'!$K$5:$K$3004,$AS392)))</f>
        <v/>
      </c>
      <c r="M392" s="14">
        <f>IF($A392="","",IF(INDEX('潜水記録'!$L$5:$L$3004,$AS392)="","",INDEX('潜水記録'!$L$5:$L$3004,$AS392)))</f>
        <v/>
      </c>
      <c r="N392" s="14">
        <f>IF($A392="","",IF(INDEX('潜水記録'!$M$5:$M$3004,$AS392)="","",INDEX('潜水記録'!$M$5:$M$3004,$AS392)))</f>
        <v/>
      </c>
      <c r="O392" s="14">
        <f>IF($A392="","",IF(INDEX('潜水記録'!$N$5:$N$3004,$AS392)="","",INDEX('潜水記録'!$N$5:$N$3004,$AS392)))</f>
        <v/>
      </c>
      <c r="P392" s="14">
        <f>IF($A392="","",IF(INDEX('潜水記録'!$O$5:$O$3004,$AS392)="","",INDEX('潜水記録'!$O$5:$O$3004,$AS392)))</f>
        <v/>
      </c>
      <c r="Q392" s="14">
        <f>IF($A392="","",IF(INDEX('潜水記録'!$P$5:$P$3004,$AS392)="","",INDEX('潜水記録'!$P$5:$P$3004,$AS392)))</f>
        <v/>
      </c>
      <c r="R392" s="14">
        <f>IF($A392="","",IF(INDEX('潜水記録'!$Q$5:$Q$3004,$AS392)="","",INDEX('潜水記録'!$Q$5:$Q$3004,$AS392)))</f>
        <v/>
      </c>
      <c r="S392" s="14">
        <f>IF($A392="","",IF(INDEX('潜水記録'!$R$5:$R$3004,$AS392)="","",INDEX('潜水記録'!$R$5:$R$3004,$AS392)))</f>
        <v/>
      </c>
      <c r="T392" s="14">
        <f>IF($A392="","",IF(INDEX('潜水記録'!$S$5:$S$3004,$AS392)="","",INDEX('潜水記録'!$S$5:$S$3004,$AS392)))</f>
        <v/>
      </c>
      <c r="U392" s="14">
        <f>IF($A392="","",IF(INDEX('潜水記録'!$T$5:$T$3004,$AS392)="","",INDEX('潜水記録'!$T$5:$T$3004,$AS392)))</f>
        <v/>
      </c>
      <c r="V392" s="46">
        <f>IF($A392="","",IF(INDEX('潜水記録'!$U$5:$U$3004,$AS392)="","",INDEX('潜水記録'!$U$5:$U$3004,$AS392)))</f>
        <v/>
      </c>
      <c r="W392" s="46">
        <f>IF($A392="","",IF(INDEX('潜水記録'!$V$5:$V$3004,$AS392)="","",INDEX('潜水記録'!$V$5:$V$3004,$AS392)))</f>
        <v/>
      </c>
      <c r="X392" s="14">
        <f>IF($A392="","",IF(INDEX('潜水記録'!$W$5:$W$3004,$AS392)="","",INDEX('潜水記録'!$W$5:$W$3004,$AS392)))</f>
        <v/>
      </c>
      <c r="Y392" s="14">
        <f>IF($A392="","",IF(INDEX('潜水記録'!$X$5:$X$3004,$AS392)="","",INDEX('潜水記録'!$X$5:$X$3004,$AS392)))</f>
        <v/>
      </c>
      <c r="Z392" s="14">
        <f>IF($A392="","",IF(INDEX('潜水記録'!$Y$5:$Y$3004,$AS392)="","",INDEX('潜水記録'!$Y$5:$Y$3004,$AS392)))</f>
        <v/>
      </c>
      <c r="AA392" s="14">
        <f>IF($A392="","",IF(INDEX('潜水記録'!$Z$5:$Z$3004,$AS392)="","",INDEX('潜水記録'!$Z$5:$Z$3004,$AS392)))</f>
        <v/>
      </c>
      <c r="AB392" s="14">
        <f>IF($A392="","",IF(INDEX('潜水記録'!$AA$5:$AA$3004,$AS392)="","",INDEX('潜水記録'!$AA$5:$AA$3004,$AS392)))</f>
        <v/>
      </c>
      <c r="AC392" s="14">
        <f>IF($A392="","",IF(INDEX('潜水記録'!$AB$5:$AB$3004,$AS392)="","",INDEX('潜水記録'!$AB$5:$AB$3004,$AS392)))</f>
        <v/>
      </c>
      <c r="AD392" s="14">
        <f>IF($A392="","",IF(INDEX('潜水記録'!$AC$5:$AC$3004,$AS392)="","",INDEX('潜水記録'!$AC$5:$AC$3004,$AS392)))</f>
        <v/>
      </c>
      <c r="AE392" s="14">
        <f>IF($A392="","",IF(INDEX('潜水記録'!$AD$5:$AD$3004,$AS392)="","",INDEX('潜水記録'!$AD$5:$AD$3004,$AS392)))</f>
        <v/>
      </c>
      <c r="AF392" s="14">
        <f>IF($A392="","",IF(INDEX('潜水記録'!$AE$5:$AE$3004,$AS392)="","",INDEX('潜水記録'!$AE$5:$AE$3004,$AS392)))</f>
        <v/>
      </c>
      <c r="AG392" s="14">
        <f>IF($A392="","",IF(INDEX('潜水記録'!$AL$5:$AL$3004,$AS392)="","",INDEX('潜水記録'!$AL$5:$AL$3004,$AS392)))</f>
        <v/>
      </c>
      <c r="AH392" s="14">
        <f>IF($A392="","",IF(INDEX('潜水記録'!$AM$5:$AM$3004,$AS392)="","",INDEX('潜水記録'!$AM$5:$AM$3004,$AS392)))</f>
        <v/>
      </c>
      <c r="AI392" s="46">
        <f>IF($A392="","",IF(INDEX('潜水記録'!$AN$5:$AN$3004,$AS392)="","",INDEX('潜水記録'!$AN$5:$AN$3004,$AS392)))</f>
        <v/>
      </c>
      <c r="AJ392" s="14">
        <f>IF($A392="","",IF(INDEX('潜水記録'!$AO$5:$AO$3004,$AS392)="","",INDEX('潜水記録'!$AO$5:$AO$3004,$AS392)))</f>
        <v/>
      </c>
      <c r="AK392" s="14">
        <f>IF($A392="","",IF(INDEX('潜水記録'!$AP$5:$AP$3004,$AS392)="","",INDEX('潜水記録'!$AP$5:$AP$3004,$AS392)))</f>
        <v/>
      </c>
      <c r="AL392" s="14">
        <f>IF($A392="","",IF(INDEX('潜水記録'!$AQ$5:$AQ$3004,$AS392)="","",INDEX('潜水記録'!$AQ$5:$AQ$3004,$AS392)))</f>
        <v/>
      </c>
      <c r="AM392" s="14">
        <f>IF($A392="","",IF(INDEX('潜水記録'!$AR$5:$AR$3004,$AS392)="","",INDEX('潜水記録'!$AR$5:$AR$3004,$AS392)))</f>
        <v/>
      </c>
      <c r="AN392" s="14">
        <f>IF($A392="","",IF(INDEX('潜水記録'!$AS$5:$AS$3004,$AS392)="","",INDEX('潜水記録'!$AS$5:$AS$3004,$AS392)))</f>
        <v/>
      </c>
      <c r="AO392" s="14">
        <f>IF($A392="","",IF(INDEX('潜水記録'!$AT$5:$AT$3004,$AS392)="","",INDEX('潜水記録'!$AT$5:$AT$3004,$AS392)))</f>
        <v/>
      </c>
      <c r="AP392" s="14">
        <f>IF($A392="","",IF(INDEX('潜水記録'!$AU$5:$AU$3004,$AS392)="","",INDEX('潜水記録'!$AU$5:$AU$3004,$AS392)))</f>
        <v/>
      </c>
      <c r="AQ392" s="14">
        <f>IF($A392="","",IF(INDEX('潜水記録'!$AV$5:$AV$3004,$AS392)="","",INDEX('潜水記録'!$AV$5:$AV$3004,$AS392)))</f>
        <v/>
      </c>
      <c r="AR392" s="14">
        <f>IF($A392="","",IF(INDEX('潜水記録'!$AW$5:$AW$3004,$AS392)="","",INDEX('潜水記録'!$AW$5:$AW$3004,$AS392)))</f>
        <v/>
      </c>
      <c r="AS392" s="20">
        <f>IF($A392="","",MATCH($A392,'潜水記録'!$AI$5:$AI$3004,0))</f>
        <v/>
      </c>
    </row>
    <row r="393">
      <c r="A393" s="14">
        <f>IF(383&lt;=$C$8,383,"")</f>
        <v/>
      </c>
      <c r="B393" s="16">
        <f>IF($A393="","",IF(INDEX('潜水記録'!$A$5:$A$3004,$AS393)="","",INDEX('潜水記録'!$A$5:$A$3004,$AS393)))</f>
        <v/>
      </c>
      <c r="C393" s="14">
        <f>IF($A393="","",IF(INDEX('潜水記録'!$B$5:$B$3004,$AS393)="","",INDEX('潜水記録'!$B$5:$B$3004,$AS393)))</f>
        <v/>
      </c>
      <c r="D393" s="14">
        <f>IF($A393="","",IF(INDEX('潜水記録'!$C$5:$C$3004,$AS393)="","",INDEX('潜水記録'!$C$5:$C$3004,$AS393)))</f>
        <v/>
      </c>
      <c r="E393" s="14">
        <f>IF($A393="","",IF(INDEX('潜水記録'!$D$5:$D$3004,$AS393)="","",INDEX('潜水記録'!$D$5:$D$3004,$AS393)))</f>
        <v/>
      </c>
      <c r="F393" s="14">
        <f>IF($A393="","",IF(INDEX('潜水記録'!$E$5:$E$3004,$AS393)="","",INDEX('潜水記録'!$E$5:$E$3004,$AS393)))</f>
        <v/>
      </c>
      <c r="G393" s="14">
        <f>IF($A393="","",IF(INDEX('潜水記録'!$F$5:$F$3004,$AS393)="","",INDEX('潜水記録'!$F$5:$F$3004,$AS393)))</f>
        <v/>
      </c>
      <c r="H393" s="14">
        <f>IF($A393="","",IF(INDEX('潜水記録'!$G$5:$G$3004,$AS393)="","",INDEX('潜水記録'!$G$5:$G$3004,$AS393)))</f>
        <v/>
      </c>
      <c r="I393" s="14">
        <f>IF($A393="","",IF(INDEX('潜水記録'!$H$5:$H$3004,$AS393)="","",INDEX('潜水記録'!$H$5:$H$3004,$AS393)))</f>
        <v/>
      </c>
      <c r="J393" s="14">
        <f>IF($A393="","",IF(INDEX('潜水記録'!$I$5:$I$3004,$AS393)="","",INDEX('潜水記録'!$I$5:$I$3004,$AS393)))</f>
        <v/>
      </c>
      <c r="K393" s="14">
        <f>IF($A393="","",IF(INDEX('潜水記録'!$J$5:$J$3004,$AS393)="","",INDEX('潜水記録'!$J$5:$J$3004,$AS393)))</f>
        <v/>
      </c>
      <c r="L393" s="14">
        <f>IF($A393="","",IF(INDEX('潜水記録'!$K$5:$K$3004,$AS393)="","",INDEX('潜水記録'!$K$5:$K$3004,$AS393)))</f>
        <v/>
      </c>
      <c r="M393" s="14">
        <f>IF($A393="","",IF(INDEX('潜水記録'!$L$5:$L$3004,$AS393)="","",INDEX('潜水記録'!$L$5:$L$3004,$AS393)))</f>
        <v/>
      </c>
      <c r="N393" s="14">
        <f>IF($A393="","",IF(INDEX('潜水記録'!$M$5:$M$3004,$AS393)="","",INDEX('潜水記録'!$M$5:$M$3004,$AS393)))</f>
        <v/>
      </c>
      <c r="O393" s="14">
        <f>IF($A393="","",IF(INDEX('潜水記録'!$N$5:$N$3004,$AS393)="","",INDEX('潜水記録'!$N$5:$N$3004,$AS393)))</f>
        <v/>
      </c>
      <c r="P393" s="14">
        <f>IF($A393="","",IF(INDEX('潜水記録'!$O$5:$O$3004,$AS393)="","",INDEX('潜水記録'!$O$5:$O$3004,$AS393)))</f>
        <v/>
      </c>
      <c r="Q393" s="14">
        <f>IF($A393="","",IF(INDEX('潜水記録'!$P$5:$P$3004,$AS393)="","",INDEX('潜水記録'!$P$5:$P$3004,$AS393)))</f>
        <v/>
      </c>
      <c r="R393" s="14">
        <f>IF($A393="","",IF(INDEX('潜水記録'!$Q$5:$Q$3004,$AS393)="","",INDEX('潜水記録'!$Q$5:$Q$3004,$AS393)))</f>
        <v/>
      </c>
      <c r="S393" s="14">
        <f>IF($A393="","",IF(INDEX('潜水記録'!$R$5:$R$3004,$AS393)="","",INDEX('潜水記録'!$R$5:$R$3004,$AS393)))</f>
        <v/>
      </c>
      <c r="T393" s="14">
        <f>IF($A393="","",IF(INDEX('潜水記録'!$S$5:$S$3004,$AS393)="","",INDEX('潜水記録'!$S$5:$S$3004,$AS393)))</f>
        <v/>
      </c>
      <c r="U393" s="14">
        <f>IF($A393="","",IF(INDEX('潜水記録'!$T$5:$T$3004,$AS393)="","",INDEX('潜水記録'!$T$5:$T$3004,$AS393)))</f>
        <v/>
      </c>
      <c r="V393" s="46">
        <f>IF($A393="","",IF(INDEX('潜水記録'!$U$5:$U$3004,$AS393)="","",INDEX('潜水記録'!$U$5:$U$3004,$AS393)))</f>
        <v/>
      </c>
      <c r="W393" s="46">
        <f>IF($A393="","",IF(INDEX('潜水記録'!$V$5:$V$3004,$AS393)="","",INDEX('潜水記録'!$V$5:$V$3004,$AS393)))</f>
        <v/>
      </c>
      <c r="X393" s="14">
        <f>IF($A393="","",IF(INDEX('潜水記録'!$W$5:$W$3004,$AS393)="","",INDEX('潜水記録'!$W$5:$W$3004,$AS393)))</f>
        <v/>
      </c>
      <c r="Y393" s="14">
        <f>IF($A393="","",IF(INDEX('潜水記録'!$X$5:$X$3004,$AS393)="","",INDEX('潜水記録'!$X$5:$X$3004,$AS393)))</f>
        <v/>
      </c>
      <c r="Z393" s="14">
        <f>IF($A393="","",IF(INDEX('潜水記録'!$Y$5:$Y$3004,$AS393)="","",INDEX('潜水記録'!$Y$5:$Y$3004,$AS393)))</f>
        <v/>
      </c>
      <c r="AA393" s="14">
        <f>IF($A393="","",IF(INDEX('潜水記録'!$Z$5:$Z$3004,$AS393)="","",INDEX('潜水記録'!$Z$5:$Z$3004,$AS393)))</f>
        <v/>
      </c>
      <c r="AB393" s="14">
        <f>IF($A393="","",IF(INDEX('潜水記録'!$AA$5:$AA$3004,$AS393)="","",INDEX('潜水記録'!$AA$5:$AA$3004,$AS393)))</f>
        <v/>
      </c>
      <c r="AC393" s="14">
        <f>IF($A393="","",IF(INDEX('潜水記録'!$AB$5:$AB$3004,$AS393)="","",INDEX('潜水記録'!$AB$5:$AB$3004,$AS393)))</f>
        <v/>
      </c>
      <c r="AD393" s="14">
        <f>IF($A393="","",IF(INDEX('潜水記録'!$AC$5:$AC$3004,$AS393)="","",INDEX('潜水記録'!$AC$5:$AC$3004,$AS393)))</f>
        <v/>
      </c>
      <c r="AE393" s="14">
        <f>IF($A393="","",IF(INDEX('潜水記録'!$AD$5:$AD$3004,$AS393)="","",INDEX('潜水記録'!$AD$5:$AD$3004,$AS393)))</f>
        <v/>
      </c>
      <c r="AF393" s="14">
        <f>IF($A393="","",IF(INDEX('潜水記録'!$AE$5:$AE$3004,$AS393)="","",INDEX('潜水記録'!$AE$5:$AE$3004,$AS393)))</f>
        <v/>
      </c>
      <c r="AG393" s="14">
        <f>IF($A393="","",IF(INDEX('潜水記録'!$AL$5:$AL$3004,$AS393)="","",INDEX('潜水記録'!$AL$5:$AL$3004,$AS393)))</f>
        <v/>
      </c>
      <c r="AH393" s="14">
        <f>IF($A393="","",IF(INDEX('潜水記録'!$AM$5:$AM$3004,$AS393)="","",INDEX('潜水記録'!$AM$5:$AM$3004,$AS393)))</f>
        <v/>
      </c>
      <c r="AI393" s="46">
        <f>IF($A393="","",IF(INDEX('潜水記録'!$AN$5:$AN$3004,$AS393)="","",INDEX('潜水記録'!$AN$5:$AN$3004,$AS393)))</f>
        <v/>
      </c>
      <c r="AJ393" s="14">
        <f>IF($A393="","",IF(INDEX('潜水記録'!$AO$5:$AO$3004,$AS393)="","",INDEX('潜水記録'!$AO$5:$AO$3004,$AS393)))</f>
        <v/>
      </c>
      <c r="AK393" s="14">
        <f>IF($A393="","",IF(INDEX('潜水記録'!$AP$5:$AP$3004,$AS393)="","",INDEX('潜水記録'!$AP$5:$AP$3004,$AS393)))</f>
        <v/>
      </c>
      <c r="AL393" s="14">
        <f>IF($A393="","",IF(INDEX('潜水記録'!$AQ$5:$AQ$3004,$AS393)="","",INDEX('潜水記録'!$AQ$5:$AQ$3004,$AS393)))</f>
        <v/>
      </c>
      <c r="AM393" s="14">
        <f>IF($A393="","",IF(INDEX('潜水記録'!$AR$5:$AR$3004,$AS393)="","",INDEX('潜水記録'!$AR$5:$AR$3004,$AS393)))</f>
        <v/>
      </c>
      <c r="AN393" s="14">
        <f>IF($A393="","",IF(INDEX('潜水記録'!$AS$5:$AS$3004,$AS393)="","",INDEX('潜水記録'!$AS$5:$AS$3004,$AS393)))</f>
        <v/>
      </c>
      <c r="AO393" s="14">
        <f>IF($A393="","",IF(INDEX('潜水記録'!$AT$5:$AT$3004,$AS393)="","",INDEX('潜水記録'!$AT$5:$AT$3004,$AS393)))</f>
        <v/>
      </c>
      <c r="AP393" s="14">
        <f>IF($A393="","",IF(INDEX('潜水記録'!$AU$5:$AU$3004,$AS393)="","",INDEX('潜水記録'!$AU$5:$AU$3004,$AS393)))</f>
        <v/>
      </c>
      <c r="AQ393" s="14">
        <f>IF($A393="","",IF(INDEX('潜水記録'!$AV$5:$AV$3004,$AS393)="","",INDEX('潜水記録'!$AV$5:$AV$3004,$AS393)))</f>
        <v/>
      </c>
      <c r="AR393" s="14">
        <f>IF($A393="","",IF(INDEX('潜水記録'!$AW$5:$AW$3004,$AS393)="","",INDEX('潜水記録'!$AW$5:$AW$3004,$AS393)))</f>
        <v/>
      </c>
      <c r="AS393" s="20">
        <f>IF($A393="","",MATCH($A393,'潜水記録'!$AI$5:$AI$3004,0))</f>
        <v/>
      </c>
    </row>
    <row r="394">
      <c r="A394" s="14">
        <f>IF(384&lt;=$C$8,384,"")</f>
        <v/>
      </c>
      <c r="B394" s="16">
        <f>IF($A394="","",IF(INDEX('潜水記録'!$A$5:$A$3004,$AS394)="","",INDEX('潜水記録'!$A$5:$A$3004,$AS394)))</f>
        <v/>
      </c>
      <c r="C394" s="14">
        <f>IF($A394="","",IF(INDEX('潜水記録'!$B$5:$B$3004,$AS394)="","",INDEX('潜水記録'!$B$5:$B$3004,$AS394)))</f>
        <v/>
      </c>
      <c r="D394" s="14">
        <f>IF($A394="","",IF(INDEX('潜水記録'!$C$5:$C$3004,$AS394)="","",INDEX('潜水記録'!$C$5:$C$3004,$AS394)))</f>
        <v/>
      </c>
      <c r="E394" s="14">
        <f>IF($A394="","",IF(INDEX('潜水記録'!$D$5:$D$3004,$AS394)="","",INDEX('潜水記録'!$D$5:$D$3004,$AS394)))</f>
        <v/>
      </c>
      <c r="F394" s="14">
        <f>IF($A394="","",IF(INDEX('潜水記録'!$E$5:$E$3004,$AS394)="","",INDEX('潜水記録'!$E$5:$E$3004,$AS394)))</f>
        <v/>
      </c>
      <c r="G394" s="14">
        <f>IF($A394="","",IF(INDEX('潜水記録'!$F$5:$F$3004,$AS394)="","",INDEX('潜水記録'!$F$5:$F$3004,$AS394)))</f>
        <v/>
      </c>
      <c r="H394" s="14">
        <f>IF($A394="","",IF(INDEX('潜水記録'!$G$5:$G$3004,$AS394)="","",INDEX('潜水記録'!$G$5:$G$3004,$AS394)))</f>
        <v/>
      </c>
      <c r="I394" s="14">
        <f>IF($A394="","",IF(INDEX('潜水記録'!$H$5:$H$3004,$AS394)="","",INDEX('潜水記録'!$H$5:$H$3004,$AS394)))</f>
        <v/>
      </c>
      <c r="J394" s="14">
        <f>IF($A394="","",IF(INDEX('潜水記録'!$I$5:$I$3004,$AS394)="","",INDEX('潜水記録'!$I$5:$I$3004,$AS394)))</f>
        <v/>
      </c>
      <c r="K394" s="14">
        <f>IF($A394="","",IF(INDEX('潜水記録'!$J$5:$J$3004,$AS394)="","",INDEX('潜水記録'!$J$5:$J$3004,$AS394)))</f>
        <v/>
      </c>
      <c r="L394" s="14">
        <f>IF($A394="","",IF(INDEX('潜水記録'!$K$5:$K$3004,$AS394)="","",INDEX('潜水記録'!$K$5:$K$3004,$AS394)))</f>
        <v/>
      </c>
      <c r="M394" s="14">
        <f>IF($A394="","",IF(INDEX('潜水記録'!$L$5:$L$3004,$AS394)="","",INDEX('潜水記録'!$L$5:$L$3004,$AS394)))</f>
        <v/>
      </c>
      <c r="N394" s="14">
        <f>IF($A394="","",IF(INDEX('潜水記録'!$M$5:$M$3004,$AS394)="","",INDEX('潜水記録'!$M$5:$M$3004,$AS394)))</f>
        <v/>
      </c>
      <c r="O394" s="14">
        <f>IF($A394="","",IF(INDEX('潜水記録'!$N$5:$N$3004,$AS394)="","",INDEX('潜水記録'!$N$5:$N$3004,$AS394)))</f>
        <v/>
      </c>
      <c r="P394" s="14">
        <f>IF($A394="","",IF(INDEX('潜水記録'!$O$5:$O$3004,$AS394)="","",INDEX('潜水記録'!$O$5:$O$3004,$AS394)))</f>
        <v/>
      </c>
      <c r="Q394" s="14">
        <f>IF($A394="","",IF(INDEX('潜水記録'!$P$5:$P$3004,$AS394)="","",INDEX('潜水記録'!$P$5:$P$3004,$AS394)))</f>
        <v/>
      </c>
      <c r="R394" s="14">
        <f>IF($A394="","",IF(INDEX('潜水記録'!$Q$5:$Q$3004,$AS394)="","",INDEX('潜水記録'!$Q$5:$Q$3004,$AS394)))</f>
        <v/>
      </c>
      <c r="S394" s="14">
        <f>IF($A394="","",IF(INDEX('潜水記録'!$R$5:$R$3004,$AS394)="","",INDEX('潜水記録'!$R$5:$R$3004,$AS394)))</f>
        <v/>
      </c>
      <c r="T394" s="14">
        <f>IF($A394="","",IF(INDEX('潜水記録'!$S$5:$S$3004,$AS394)="","",INDEX('潜水記録'!$S$5:$S$3004,$AS394)))</f>
        <v/>
      </c>
      <c r="U394" s="14">
        <f>IF($A394="","",IF(INDEX('潜水記録'!$T$5:$T$3004,$AS394)="","",INDEX('潜水記録'!$T$5:$T$3004,$AS394)))</f>
        <v/>
      </c>
      <c r="V394" s="46">
        <f>IF($A394="","",IF(INDEX('潜水記録'!$U$5:$U$3004,$AS394)="","",INDEX('潜水記録'!$U$5:$U$3004,$AS394)))</f>
        <v/>
      </c>
      <c r="W394" s="46">
        <f>IF($A394="","",IF(INDEX('潜水記録'!$V$5:$V$3004,$AS394)="","",INDEX('潜水記録'!$V$5:$V$3004,$AS394)))</f>
        <v/>
      </c>
      <c r="X394" s="14">
        <f>IF($A394="","",IF(INDEX('潜水記録'!$W$5:$W$3004,$AS394)="","",INDEX('潜水記録'!$W$5:$W$3004,$AS394)))</f>
        <v/>
      </c>
      <c r="Y394" s="14">
        <f>IF($A394="","",IF(INDEX('潜水記録'!$X$5:$X$3004,$AS394)="","",INDEX('潜水記録'!$X$5:$X$3004,$AS394)))</f>
        <v/>
      </c>
      <c r="Z394" s="14">
        <f>IF($A394="","",IF(INDEX('潜水記録'!$Y$5:$Y$3004,$AS394)="","",INDEX('潜水記録'!$Y$5:$Y$3004,$AS394)))</f>
        <v/>
      </c>
      <c r="AA394" s="14">
        <f>IF($A394="","",IF(INDEX('潜水記録'!$Z$5:$Z$3004,$AS394)="","",INDEX('潜水記録'!$Z$5:$Z$3004,$AS394)))</f>
        <v/>
      </c>
      <c r="AB394" s="14">
        <f>IF($A394="","",IF(INDEX('潜水記録'!$AA$5:$AA$3004,$AS394)="","",INDEX('潜水記録'!$AA$5:$AA$3004,$AS394)))</f>
        <v/>
      </c>
      <c r="AC394" s="14">
        <f>IF($A394="","",IF(INDEX('潜水記録'!$AB$5:$AB$3004,$AS394)="","",INDEX('潜水記録'!$AB$5:$AB$3004,$AS394)))</f>
        <v/>
      </c>
      <c r="AD394" s="14">
        <f>IF($A394="","",IF(INDEX('潜水記録'!$AC$5:$AC$3004,$AS394)="","",INDEX('潜水記録'!$AC$5:$AC$3004,$AS394)))</f>
        <v/>
      </c>
      <c r="AE394" s="14">
        <f>IF($A394="","",IF(INDEX('潜水記録'!$AD$5:$AD$3004,$AS394)="","",INDEX('潜水記録'!$AD$5:$AD$3004,$AS394)))</f>
        <v/>
      </c>
      <c r="AF394" s="14">
        <f>IF($A394="","",IF(INDEX('潜水記録'!$AE$5:$AE$3004,$AS394)="","",INDEX('潜水記録'!$AE$5:$AE$3004,$AS394)))</f>
        <v/>
      </c>
      <c r="AG394" s="14">
        <f>IF($A394="","",IF(INDEX('潜水記録'!$AL$5:$AL$3004,$AS394)="","",INDEX('潜水記録'!$AL$5:$AL$3004,$AS394)))</f>
        <v/>
      </c>
      <c r="AH394" s="14">
        <f>IF($A394="","",IF(INDEX('潜水記録'!$AM$5:$AM$3004,$AS394)="","",INDEX('潜水記録'!$AM$5:$AM$3004,$AS394)))</f>
        <v/>
      </c>
      <c r="AI394" s="46">
        <f>IF($A394="","",IF(INDEX('潜水記録'!$AN$5:$AN$3004,$AS394)="","",INDEX('潜水記録'!$AN$5:$AN$3004,$AS394)))</f>
        <v/>
      </c>
      <c r="AJ394" s="14">
        <f>IF($A394="","",IF(INDEX('潜水記録'!$AO$5:$AO$3004,$AS394)="","",INDEX('潜水記録'!$AO$5:$AO$3004,$AS394)))</f>
        <v/>
      </c>
      <c r="AK394" s="14">
        <f>IF($A394="","",IF(INDEX('潜水記録'!$AP$5:$AP$3004,$AS394)="","",INDEX('潜水記録'!$AP$5:$AP$3004,$AS394)))</f>
        <v/>
      </c>
      <c r="AL394" s="14">
        <f>IF($A394="","",IF(INDEX('潜水記録'!$AQ$5:$AQ$3004,$AS394)="","",INDEX('潜水記録'!$AQ$5:$AQ$3004,$AS394)))</f>
        <v/>
      </c>
      <c r="AM394" s="14">
        <f>IF($A394="","",IF(INDEX('潜水記録'!$AR$5:$AR$3004,$AS394)="","",INDEX('潜水記録'!$AR$5:$AR$3004,$AS394)))</f>
        <v/>
      </c>
      <c r="AN394" s="14">
        <f>IF($A394="","",IF(INDEX('潜水記録'!$AS$5:$AS$3004,$AS394)="","",INDEX('潜水記録'!$AS$5:$AS$3004,$AS394)))</f>
        <v/>
      </c>
      <c r="AO394" s="14">
        <f>IF($A394="","",IF(INDEX('潜水記録'!$AT$5:$AT$3004,$AS394)="","",INDEX('潜水記録'!$AT$5:$AT$3004,$AS394)))</f>
        <v/>
      </c>
      <c r="AP394" s="14">
        <f>IF($A394="","",IF(INDEX('潜水記録'!$AU$5:$AU$3004,$AS394)="","",INDEX('潜水記録'!$AU$5:$AU$3004,$AS394)))</f>
        <v/>
      </c>
      <c r="AQ394" s="14">
        <f>IF($A394="","",IF(INDEX('潜水記録'!$AV$5:$AV$3004,$AS394)="","",INDEX('潜水記録'!$AV$5:$AV$3004,$AS394)))</f>
        <v/>
      </c>
      <c r="AR394" s="14">
        <f>IF($A394="","",IF(INDEX('潜水記録'!$AW$5:$AW$3004,$AS394)="","",INDEX('潜水記録'!$AW$5:$AW$3004,$AS394)))</f>
        <v/>
      </c>
      <c r="AS394" s="20">
        <f>IF($A394="","",MATCH($A394,'潜水記録'!$AI$5:$AI$3004,0))</f>
        <v/>
      </c>
    </row>
    <row r="395">
      <c r="A395" s="14">
        <f>IF(385&lt;=$C$8,385,"")</f>
        <v/>
      </c>
      <c r="B395" s="16">
        <f>IF($A395="","",IF(INDEX('潜水記録'!$A$5:$A$3004,$AS395)="","",INDEX('潜水記録'!$A$5:$A$3004,$AS395)))</f>
        <v/>
      </c>
      <c r="C395" s="14">
        <f>IF($A395="","",IF(INDEX('潜水記録'!$B$5:$B$3004,$AS395)="","",INDEX('潜水記録'!$B$5:$B$3004,$AS395)))</f>
        <v/>
      </c>
      <c r="D395" s="14">
        <f>IF($A395="","",IF(INDEX('潜水記録'!$C$5:$C$3004,$AS395)="","",INDEX('潜水記録'!$C$5:$C$3004,$AS395)))</f>
        <v/>
      </c>
      <c r="E395" s="14">
        <f>IF($A395="","",IF(INDEX('潜水記録'!$D$5:$D$3004,$AS395)="","",INDEX('潜水記録'!$D$5:$D$3004,$AS395)))</f>
        <v/>
      </c>
      <c r="F395" s="14">
        <f>IF($A395="","",IF(INDEX('潜水記録'!$E$5:$E$3004,$AS395)="","",INDEX('潜水記録'!$E$5:$E$3004,$AS395)))</f>
        <v/>
      </c>
      <c r="G395" s="14">
        <f>IF($A395="","",IF(INDEX('潜水記録'!$F$5:$F$3004,$AS395)="","",INDEX('潜水記録'!$F$5:$F$3004,$AS395)))</f>
        <v/>
      </c>
      <c r="H395" s="14">
        <f>IF($A395="","",IF(INDEX('潜水記録'!$G$5:$G$3004,$AS395)="","",INDEX('潜水記録'!$G$5:$G$3004,$AS395)))</f>
        <v/>
      </c>
      <c r="I395" s="14">
        <f>IF($A395="","",IF(INDEX('潜水記録'!$H$5:$H$3004,$AS395)="","",INDEX('潜水記録'!$H$5:$H$3004,$AS395)))</f>
        <v/>
      </c>
      <c r="J395" s="14">
        <f>IF($A395="","",IF(INDEX('潜水記録'!$I$5:$I$3004,$AS395)="","",INDEX('潜水記録'!$I$5:$I$3004,$AS395)))</f>
        <v/>
      </c>
      <c r="K395" s="14">
        <f>IF($A395="","",IF(INDEX('潜水記録'!$J$5:$J$3004,$AS395)="","",INDEX('潜水記録'!$J$5:$J$3004,$AS395)))</f>
        <v/>
      </c>
      <c r="L395" s="14">
        <f>IF($A395="","",IF(INDEX('潜水記録'!$K$5:$K$3004,$AS395)="","",INDEX('潜水記録'!$K$5:$K$3004,$AS395)))</f>
        <v/>
      </c>
      <c r="M395" s="14">
        <f>IF($A395="","",IF(INDEX('潜水記録'!$L$5:$L$3004,$AS395)="","",INDEX('潜水記録'!$L$5:$L$3004,$AS395)))</f>
        <v/>
      </c>
      <c r="N395" s="14">
        <f>IF($A395="","",IF(INDEX('潜水記録'!$M$5:$M$3004,$AS395)="","",INDEX('潜水記録'!$M$5:$M$3004,$AS395)))</f>
        <v/>
      </c>
      <c r="O395" s="14">
        <f>IF($A395="","",IF(INDEX('潜水記録'!$N$5:$N$3004,$AS395)="","",INDEX('潜水記録'!$N$5:$N$3004,$AS395)))</f>
        <v/>
      </c>
      <c r="P395" s="14">
        <f>IF($A395="","",IF(INDEX('潜水記録'!$O$5:$O$3004,$AS395)="","",INDEX('潜水記録'!$O$5:$O$3004,$AS395)))</f>
        <v/>
      </c>
      <c r="Q395" s="14">
        <f>IF($A395="","",IF(INDEX('潜水記録'!$P$5:$P$3004,$AS395)="","",INDEX('潜水記録'!$P$5:$P$3004,$AS395)))</f>
        <v/>
      </c>
      <c r="R395" s="14">
        <f>IF($A395="","",IF(INDEX('潜水記録'!$Q$5:$Q$3004,$AS395)="","",INDEX('潜水記録'!$Q$5:$Q$3004,$AS395)))</f>
        <v/>
      </c>
      <c r="S395" s="14">
        <f>IF($A395="","",IF(INDEX('潜水記録'!$R$5:$R$3004,$AS395)="","",INDEX('潜水記録'!$R$5:$R$3004,$AS395)))</f>
        <v/>
      </c>
      <c r="T395" s="14">
        <f>IF($A395="","",IF(INDEX('潜水記録'!$S$5:$S$3004,$AS395)="","",INDEX('潜水記録'!$S$5:$S$3004,$AS395)))</f>
        <v/>
      </c>
      <c r="U395" s="14">
        <f>IF($A395="","",IF(INDEX('潜水記録'!$T$5:$T$3004,$AS395)="","",INDEX('潜水記録'!$T$5:$T$3004,$AS395)))</f>
        <v/>
      </c>
      <c r="V395" s="46">
        <f>IF($A395="","",IF(INDEX('潜水記録'!$U$5:$U$3004,$AS395)="","",INDEX('潜水記録'!$U$5:$U$3004,$AS395)))</f>
        <v/>
      </c>
      <c r="W395" s="46">
        <f>IF($A395="","",IF(INDEX('潜水記録'!$V$5:$V$3004,$AS395)="","",INDEX('潜水記録'!$V$5:$V$3004,$AS395)))</f>
        <v/>
      </c>
      <c r="X395" s="14">
        <f>IF($A395="","",IF(INDEX('潜水記録'!$W$5:$W$3004,$AS395)="","",INDEX('潜水記録'!$W$5:$W$3004,$AS395)))</f>
        <v/>
      </c>
      <c r="Y395" s="14">
        <f>IF($A395="","",IF(INDEX('潜水記録'!$X$5:$X$3004,$AS395)="","",INDEX('潜水記録'!$X$5:$X$3004,$AS395)))</f>
        <v/>
      </c>
      <c r="Z395" s="14">
        <f>IF($A395="","",IF(INDEX('潜水記録'!$Y$5:$Y$3004,$AS395)="","",INDEX('潜水記録'!$Y$5:$Y$3004,$AS395)))</f>
        <v/>
      </c>
      <c r="AA395" s="14">
        <f>IF($A395="","",IF(INDEX('潜水記録'!$Z$5:$Z$3004,$AS395)="","",INDEX('潜水記録'!$Z$5:$Z$3004,$AS395)))</f>
        <v/>
      </c>
      <c r="AB395" s="14">
        <f>IF($A395="","",IF(INDEX('潜水記録'!$AA$5:$AA$3004,$AS395)="","",INDEX('潜水記録'!$AA$5:$AA$3004,$AS395)))</f>
        <v/>
      </c>
      <c r="AC395" s="14">
        <f>IF($A395="","",IF(INDEX('潜水記録'!$AB$5:$AB$3004,$AS395)="","",INDEX('潜水記録'!$AB$5:$AB$3004,$AS395)))</f>
        <v/>
      </c>
      <c r="AD395" s="14">
        <f>IF($A395="","",IF(INDEX('潜水記録'!$AC$5:$AC$3004,$AS395)="","",INDEX('潜水記録'!$AC$5:$AC$3004,$AS395)))</f>
        <v/>
      </c>
      <c r="AE395" s="14">
        <f>IF($A395="","",IF(INDEX('潜水記録'!$AD$5:$AD$3004,$AS395)="","",INDEX('潜水記録'!$AD$5:$AD$3004,$AS395)))</f>
        <v/>
      </c>
      <c r="AF395" s="14">
        <f>IF($A395="","",IF(INDEX('潜水記録'!$AE$5:$AE$3004,$AS395)="","",INDEX('潜水記録'!$AE$5:$AE$3004,$AS395)))</f>
        <v/>
      </c>
      <c r="AG395" s="14">
        <f>IF($A395="","",IF(INDEX('潜水記録'!$AL$5:$AL$3004,$AS395)="","",INDEX('潜水記録'!$AL$5:$AL$3004,$AS395)))</f>
        <v/>
      </c>
      <c r="AH395" s="14">
        <f>IF($A395="","",IF(INDEX('潜水記録'!$AM$5:$AM$3004,$AS395)="","",INDEX('潜水記録'!$AM$5:$AM$3004,$AS395)))</f>
        <v/>
      </c>
      <c r="AI395" s="46">
        <f>IF($A395="","",IF(INDEX('潜水記録'!$AN$5:$AN$3004,$AS395)="","",INDEX('潜水記録'!$AN$5:$AN$3004,$AS395)))</f>
        <v/>
      </c>
      <c r="AJ395" s="14">
        <f>IF($A395="","",IF(INDEX('潜水記録'!$AO$5:$AO$3004,$AS395)="","",INDEX('潜水記録'!$AO$5:$AO$3004,$AS395)))</f>
        <v/>
      </c>
      <c r="AK395" s="14">
        <f>IF($A395="","",IF(INDEX('潜水記録'!$AP$5:$AP$3004,$AS395)="","",INDEX('潜水記録'!$AP$5:$AP$3004,$AS395)))</f>
        <v/>
      </c>
      <c r="AL395" s="14">
        <f>IF($A395="","",IF(INDEX('潜水記録'!$AQ$5:$AQ$3004,$AS395)="","",INDEX('潜水記録'!$AQ$5:$AQ$3004,$AS395)))</f>
        <v/>
      </c>
      <c r="AM395" s="14">
        <f>IF($A395="","",IF(INDEX('潜水記録'!$AR$5:$AR$3004,$AS395)="","",INDEX('潜水記録'!$AR$5:$AR$3004,$AS395)))</f>
        <v/>
      </c>
      <c r="AN395" s="14">
        <f>IF($A395="","",IF(INDEX('潜水記録'!$AS$5:$AS$3004,$AS395)="","",INDEX('潜水記録'!$AS$5:$AS$3004,$AS395)))</f>
        <v/>
      </c>
      <c r="AO395" s="14">
        <f>IF($A395="","",IF(INDEX('潜水記録'!$AT$5:$AT$3004,$AS395)="","",INDEX('潜水記録'!$AT$5:$AT$3004,$AS395)))</f>
        <v/>
      </c>
      <c r="AP395" s="14">
        <f>IF($A395="","",IF(INDEX('潜水記録'!$AU$5:$AU$3004,$AS395)="","",INDEX('潜水記録'!$AU$5:$AU$3004,$AS395)))</f>
        <v/>
      </c>
      <c r="AQ395" s="14">
        <f>IF($A395="","",IF(INDEX('潜水記録'!$AV$5:$AV$3004,$AS395)="","",INDEX('潜水記録'!$AV$5:$AV$3004,$AS395)))</f>
        <v/>
      </c>
      <c r="AR395" s="14">
        <f>IF($A395="","",IF(INDEX('潜水記録'!$AW$5:$AW$3004,$AS395)="","",INDEX('潜水記録'!$AW$5:$AW$3004,$AS395)))</f>
        <v/>
      </c>
      <c r="AS395" s="20">
        <f>IF($A395="","",MATCH($A395,'潜水記録'!$AI$5:$AI$3004,0))</f>
        <v/>
      </c>
    </row>
    <row r="396">
      <c r="A396" s="14">
        <f>IF(386&lt;=$C$8,386,"")</f>
        <v/>
      </c>
      <c r="B396" s="16">
        <f>IF($A396="","",IF(INDEX('潜水記録'!$A$5:$A$3004,$AS396)="","",INDEX('潜水記録'!$A$5:$A$3004,$AS396)))</f>
        <v/>
      </c>
      <c r="C396" s="14">
        <f>IF($A396="","",IF(INDEX('潜水記録'!$B$5:$B$3004,$AS396)="","",INDEX('潜水記録'!$B$5:$B$3004,$AS396)))</f>
        <v/>
      </c>
      <c r="D396" s="14">
        <f>IF($A396="","",IF(INDEX('潜水記録'!$C$5:$C$3004,$AS396)="","",INDEX('潜水記録'!$C$5:$C$3004,$AS396)))</f>
        <v/>
      </c>
      <c r="E396" s="14">
        <f>IF($A396="","",IF(INDEX('潜水記録'!$D$5:$D$3004,$AS396)="","",INDEX('潜水記録'!$D$5:$D$3004,$AS396)))</f>
        <v/>
      </c>
      <c r="F396" s="14">
        <f>IF($A396="","",IF(INDEX('潜水記録'!$E$5:$E$3004,$AS396)="","",INDEX('潜水記録'!$E$5:$E$3004,$AS396)))</f>
        <v/>
      </c>
      <c r="G396" s="14">
        <f>IF($A396="","",IF(INDEX('潜水記録'!$F$5:$F$3004,$AS396)="","",INDEX('潜水記録'!$F$5:$F$3004,$AS396)))</f>
        <v/>
      </c>
      <c r="H396" s="14">
        <f>IF($A396="","",IF(INDEX('潜水記録'!$G$5:$G$3004,$AS396)="","",INDEX('潜水記録'!$G$5:$G$3004,$AS396)))</f>
        <v/>
      </c>
      <c r="I396" s="14">
        <f>IF($A396="","",IF(INDEX('潜水記録'!$H$5:$H$3004,$AS396)="","",INDEX('潜水記録'!$H$5:$H$3004,$AS396)))</f>
        <v/>
      </c>
      <c r="J396" s="14">
        <f>IF($A396="","",IF(INDEX('潜水記録'!$I$5:$I$3004,$AS396)="","",INDEX('潜水記録'!$I$5:$I$3004,$AS396)))</f>
        <v/>
      </c>
      <c r="K396" s="14">
        <f>IF($A396="","",IF(INDEX('潜水記録'!$J$5:$J$3004,$AS396)="","",INDEX('潜水記録'!$J$5:$J$3004,$AS396)))</f>
        <v/>
      </c>
      <c r="L396" s="14">
        <f>IF($A396="","",IF(INDEX('潜水記録'!$K$5:$K$3004,$AS396)="","",INDEX('潜水記録'!$K$5:$K$3004,$AS396)))</f>
        <v/>
      </c>
      <c r="M396" s="14">
        <f>IF($A396="","",IF(INDEX('潜水記録'!$L$5:$L$3004,$AS396)="","",INDEX('潜水記録'!$L$5:$L$3004,$AS396)))</f>
        <v/>
      </c>
      <c r="N396" s="14">
        <f>IF($A396="","",IF(INDEX('潜水記録'!$M$5:$M$3004,$AS396)="","",INDEX('潜水記録'!$M$5:$M$3004,$AS396)))</f>
        <v/>
      </c>
      <c r="O396" s="14">
        <f>IF($A396="","",IF(INDEX('潜水記録'!$N$5:$N$3004,$AS396)="","",INDEX('潜水記録'!$N$5:$N$3004,$AS396)))</f>
        <v/>
      </c>
      <c r="P396" s="14">
        <f>IF($A396="","",IF(INDEX('潜水記録'!$O$5:$O$3004,$AS396)="","",INDEX('潜水記録'!$O$5:$O$3004,$AS396)))</f>
        <v/>
      </c>
      <c r="Q396" s="14">
        <f>IF($A396="","",IF(INDEX('潜水記録'!$P$5:$P$3004,$AS396)="","",INDEX('潜水記録'!$P$5:$P$3004,$AS396)))</f>
        <v/>
      </c>
      <c r="R396" s="14">
        <f>IF($A396="","",IF(INDEX('潜水記録'!$Q$5:$Q$3004,$AS396)="","",INDEX('潜水記録'!$Q$5:$Q$3004,$AS396)))</f>
        <v/>
      </c>
      <c r="S396" s="14">
        <f>IF($A396="","",IF(INDEX('潜水記録'!$R$5:$R$3004,$AS396)="","",INDEX('潜水記録'!$R$5:$R$3004,$AS396)))</f>
        <v/>
      </c>
      <c r="T396" s="14">
        <f>IF($A396="","",IF(INDEX('潜水記録'!$S$5:$S$3004,$AS396)="","",INDEX('潜水記録'!$S$5:$S$3004,$AS396)))</f>
        <v/>
      </c>
      <c r="U396" s="14">
        <f>IF($A396="","",IF(INDEX('潜水記録'!$T$5:$T$3004,$AS396)="","",INDEX('潜水記録'!$T$5:$T$3004,$AS396)))</f>
        <v/>
      </c>
      <c r="V396" s="46">
        <f>IF($A396="","",IF(INDEX('潜水記録'!$U$5:$U$3004,$AS396)="","",INDEX('潜水記録'!$U$5:$U$3004,$AS396)))</f>
        <v/>
      </c>
      <c r="W396" s="46">
        <f>IF($A396="","",IF(INDEX('潜水記録'!$V$5:$V$3004,$AS396)="","",INDEX('潜水記録'!$V$5:$V$3004,$AS396)))</f>
        <v/>
      </c>
      <c r="X396" s="14">
        <f>IF($A396="","",IF(INDEX('潜水記録'!$W$5:$W$3004,$AS396)="","",INDEX('潜水記録'!$W$5:$W$3004,$AS396)))</f>
        <v/>
      </c>
      <c r="Y396" s="14">
        <f>IF($A396="","",IF(INDEX('潜水記録'!$X$5:$X$3004,$AS396)="","",INDEX('潜水記録'!$X$5:$X$3004,$AS396)))</f>
        <v/>
      </c>
      <c r="Z396" s="14">
        <f>IF($A396="","",IF(INDEX('潜水記録'!$Y$5:$Y$3004,$AS396)="","",INDEX('潜水記録'!$Y$5:$Y$3004,$AS396)))</f>
        <v/>
      </c>
      <c r="AA396" s="14">
        <f>IF($A396="","",IF(INDEX('潜水記録'!$Z$5:$Z$3004,$AS396)="","",INDEX('潜水記録'!$Z$5:$Z$3004,$AS396)))</f>
        <v/>
      </c>
      <c r="AB396" s="14">
        <f>IF($A396="","",IF(INDEX('潜水記録'!$AA$5:$AA$3004,$AS396)="","",INDEX('潜水記録'!$AA$5:$AA$3004,$AS396)))</f>
        <v/>
      </c>
      <c r="AC396" s="14">
        <f>IF($A396="","",IF(INDEX('潜水記録'!$AB$5:$AB$3004,$AS396)="","",INDEX('潜水記録'!$AB$5:$AB$3004,$AS396)))</f>
        <v/>
      </c>
      <c r="AD396" s="14">
        <f>IF($A396="","",IF(INDEX('潜水記録'!$AC$5:$AC$3004,$AS396)="","",INDEX('潜水記録'!$AC$5:$AC$3004,$AS396)))</f>
        <v/>
      </c>
      <c r="AE396" s="14">
        <f>IF($A396="","",IF(INDEX('潜水記録'!$AD$5:$AD$3004,$AS396)="","",INDEX('潜水記録'!$AD$5:$AD$3004,$AS396)))</f>
        <v/>
      </c>
      <c r="AF396" s="14">
        <f>IF($A396="","",IF(INDEX('潜水記録'!$AE$5:$AE$3004,$AS396)="","",INDEX('潜水記録'!$AE$5:$AE$3004,$AS396)))</f>
        <v/>
      </c>
      <c r="AG396" s="14">
        <f>IF($A396="","",IF(INDEX('潜水記録'!$AL$5:$AL$3004,$AS396)="","",INDEX('潜水記録'!$AL$5:$AL$3004,$AS396)))</f>
        <v/>
      </c>
      <c r="AH396" s="14">
        <f>IF($A396="","",IF(INDEX('潜水記録'!$AM$5:$AM$3004,$AS396)="","",INDEX('潜水記録'!$AM$5:$AM$3004,$AS396)))</f>
        <v/>
      </c>
      <c r="AI396" s="46">
        <f>IF($A396="","",IF(INDEX('潜水記録'!$AN$5:$AN$3004,$AS396)="","",INDEX('潜水記録'!$AN$5:$AN$3004,$AS396)))</f>
        <v/>
      </c>
      <c r="AJ396" s="14">
        <f>IF($A396="","",IF(INDEX('潜水記録'!$AO$5:$AO$3004,$AS396)="","",INDEX('潜水記録'!$AO$5:$AO$3004,$AS396)))</f>
        <v/>
      </c>
      <c r="AK396" s="14">
        <f>IF($A396="","",IF(INDEX('潜水記録'!$AP$5:$AP$3004,$AS396)="","",INDEX('潜水記録'!$AP$5:$AP$3004,$AS396)))</f>
        <v/>
      </c>
      <c r="AL396" s="14">
        <f>IF($A396="","",IF(INDEX('潜水記録'!$AQ$5:$AQ$3004,$AS396)="","",INDEX('潜水記録'!$AQ$5:$AQ$3004,$AS396)))</f>
        <v/>
      </c>
      <c r="AM396" s="14">
        <f>IF($A396="","",IF(INDEX('潜水記録'!$AR$5:$AR$3004,$AS396)="","",INDEX('潜水記録'!$AR$5:$AR$3004,$AS396)))</f>
        <v/>
      </c>
      <c r="AN396" s="14">
        <f>IF($A396="","",IF(INDEX('潜水記録'!$AS$5:$AS$3004,$AS396)="","",INDEX('潜水記録'!$AS$5:$AS$3004,$AS396)))</f>
        <v/>
      </c>
      <c r="AO396" s="14">
        <f>IF($A396="","",IF(INDEX('潜水記録'!$AT$5:$AT$3004,$AS396)="","",INDEX('潜水記録'!$AT$5:$AT$3004,$AS396)))</f>
        <v/>
      </c>
      <c r="AP396" s="14">
        <f>IF($A396="","",IF(INDEX('潜水記録'!$AU$5:$AU$3004,$AS396)="","",INDEX('潜水記録'!$AU$5:$AU$3004,$AS396)))</f>
        <v/>
      </c>
      <c r="AQ396" s="14">
        <f>IF($A396="","",IF(INDEX('潜水記録'!$AV$5:$AV$3004,$AS396)="","",INDEX('潜水記録'!$AV$5:$AV$3004,$AS396)))</f>
        <v/>
      </c>
      <c r="AR396" s="14">
        <f>IF($A396="","",IF(INDEX('潜水記録'!$AW$5:$AW$3004,$AS396)="","",INDEX('潜水記録'!$AW$5:$AW$3004,$AS396)))</f>
        <v/>
      </c>
      <c r="AS396" s="20">
        <f>IF($A396="","",MATCH($A396,'潜水記録'!$AI$5:$AI$3004,0))</f>
        <v/>
      </c>
    </row>
    <row r="397">
      <c r="A397" s="14">
        <f>IF(387&lt;=$C$8,387,"")</f>
        <v/>
      </c>
      <c r="B397" s="16">
        <f>IF($A397="","",IF(INDEX('潜水記録'!$A$5:$A$3004,$AS397)="","",INDEX('潜水記録'!$A$5:$A$3004,$AS397)))</f>
        <v/>
      </c>
      <c r="C397" s="14">
        <f>IF($A397="","",IF(INDEX('潜水記録'!$B$5:$B$3004,$AS397)="","",INDEX('潜水記録'!$B$5:$B$3004,$AS397)))</f>
        <v/>
      </c>
      <c r="D397" s="14">
        <f>IF($A397="","",IF(INDEX('潜水記録'!$C$5:$C$3004,$AS397)="","",INDEX('潜水記録'!$C$5:$C$3004,$AS397)))</f>
        <v/>
      </c>
      <c r="E397" s="14">
        <f>IF($A397="","",IF(INDEX('潜水記録'!$D$5:$D$3004,$AS397)="","",INDEX('潜水記録'!$D$5:$D$3004,$AS397)))</f>
        <v/>
      </c>
      <c r="F397" s="14">
        <f>IF($A397="","",IF(INDEX('潜水記録'!$E$5:$E$3004,$AS397)="","",INDEX('潜水記録'!$E$5:$E$3004,$AS397)))</f>
        <v/>
      </c>
      <c r="G397" s="14">
        <f>IF($A397="","",IF(INDEX('潜水記録'!$F$5:$F$3004,$AS397)="","",INDEX('潜水記録'!$F$5:$F$3004,$AS397)))</f>
        <v/>
      </c>
      <c r="H397" s="14">
        <f>IF($A397="","",IF(INDEX('潜水記録'!$G$5:$G$3004,$AS397)="","",INDEX('潜水記録'!$G$5:$G$3004,$AS397)))</f>
        <v/>
      </c>
      <c r="I397" s="14">
        <f>IF($A397="","",IF(INDEX('潜水記録'!$H$5:$H$3004,$AS397)="","",INDEX('潜水記録'!$H$5:$H$3004,$AS397)))</f>
        <v/>
      </c>
      <c r="J397" s="14">
        <f>IF($A397="","",IF(INDEX('潜水記録'!$I$5:$I$3004,$AS397)="","",INDEX('潜水記録'!$I$5:$I$3004,$AS397)))</f>
        <v/>
      </c>
      <c r="K397" s="14">
        <f>IF($A397="","",IF(INDEX('潜水記録'!$J$5:$J$3004,$AS397)="","",INDEX('潜水記録'!$J$5:$J$3004,$AS397)))</f>
        <v/>
      </c>
      <c r="L397" s="14">
        <f>IF($A397="","",IF(INDEX('潜水記録'!$K$5:$K$3004,$AS397)="","",INDEX('潜水記録'!$K$5:$K$3004,$AS397)))</f>
        <v/>
      </c>
      <c r="M397" s="14">
        <f>IF($A397="","",IF(INDEX('潜水記録'!$L$5:$L$3004,$AS397)="","",INDEX('潜水記録'!$L$5:$L$3004,$AS397)))</f>
        <v/>
      </c>
      <c r="N397" s="14">
        <f>IF($A397="","",IF(INDEX('潜水記録'!$M$5:$M$3004,$AS397)="","",INDEX('潜水記録'!$M$5:$M$3004,$AS397)))</f>
        <v/>
      </c>
      <c r="O397" s="14">
        <f>IF($A397="","",IF(INDEX('潜水記録'!$N$5:$N$3004,$AS397)="","",INDEX('潜水記録'!$N$5:$N$3004,$AS397)))</f>
        <v/>
      </c>
      <c r="P397" s="14">
        <f>IF($A397="","",IF(INDEX('潜水記録'!$O$5:$O$3004,$AS397)="","",INDEX('潜水記録'!$O$5:$O$3004,$AS397)))</f>
        <v/>
      </c>
      <c r="Q397" s="14">
        <f>IF($A397="","",IF(INDEX('潜水記録'!$P$5:$P$3004,$AS397)="","",INDEX('潜水記録'!$P$5:$P$3004,$AS397)))</f>
        <v/>
      </c>
      <c r="R397" s="14">
        <f>IF($A397="","",IF(INDEX('潜水記録'!$Q$5:$Q$3004,$AS397)="","",INDEX('潜水記録'!$Q$5:$Q$3004,$AS397)))</f>
        <v/>
      </c>
      <c r="S397" s="14">
        <f>IF($A397="","",IF(INDEX('潜水記録'!$R$5:$R$3004,$AS397)="","",INDEX('潜水記録'!$R$5:$R$3004,$AS397)))</f>
        <v/>
      </c>
      <c r="T397" s="14">
        <f>IF($A397="","",IF(INDEX('潜水記録'!$S$5:$S$3004,$AS397)="","",INDEX('潜水記録'!$S$5:$S$3004,$AS397)))</f>
        <v/>
      </c>
      <c r="U397" s="14">
        <f>IF($A397="","",IF(INDEX('潜水記録'!$T$5:$T$3004,$AS397)="","",INDEX('潜水記録'!$T$5:$T$3004,$AS397)))</f>
        <v/>
      </c>
      <c r="V397" s="46">
        <f>IF($A397="","",IF(INDEX('潜水記録'!$U$5:$U$3004,$AS397)="","",INDEX('潜水記録'!$U$5:$U$3004,$AS397)))</f>
        <v/>
      </c>
      <c r="W397" s="46">
        <f>IF($A397="","",IF(INDEX('潜水記録'!$V$5:$V$3004,$AS397)="","",INDEX('潜水記録'!$V$5:$V$3004,$AS397)))</f>
        <v/>
      </c>
      <c r="X397" s="14">
        <f>IF($A397="","",IF(INDEX('潜水記録'!$W$5:$W$3004,$AS397)="","",INDEX('潜水記録'!$W$5:$W$3004,$AS397)))</f>
        <v/>
      </c>
      <c r="Y397" s="14">
        <f>IF($A397="","",IF(INDEX('潜水記録'!$X$5:$X$3004,$AS397)="","",INDEX('潜水記録'!$X$5:$X$3004,$AS397)))</f>
        <v/>
      </c>
      <c r="Z397" s="14">
        <f>IF($A397="","",IF(INDEX('潜水記録'!$Y$5:$Y$3004,$AS397)="","",INDEX('潜水記録'!$Y$5:$Y$3004,$AS397)))</f>
        <v/>
      </c>
      <c r="AA397" s="14">
        <f>IF($A397="","",IF(INDEX('潜水記録'!$Z$5:$Z$3004,$AS397)="","",INDEX('潜水記録'!$Z$5:$Z$3004,$AS397)))</f>
        <v/>
      </c>
      <c r="AB397" s="14">
        <f>IF($A397="","",IF(INDEX('潜水記録'!$AA$5:$AA$3004,$AS397)="","",INDEX('潜水記録'!$AA$5:$AA$3004,$AS397)))</f>
        <v/>
      </c>
      <c r="AC397" s="14">
        <f>IF($A397="","",IF(INDEX('潜水記録'!$AB$5:$AB$3004,$AS397)="","",INDEX('潜水記録'!$AB$5:$AB$3004,$AS397)))</f>
        <v/>
      </c>
      <c r="AD397" s="14">
        <f>IF($A397="","",IF(INDEX('潜水記録'!$AC$5:$AC$3004,$AS397)="","",INDEX('潜水記録'!$AC$5:$AC$3004,$AS397)))</f>
        <v/>
      </c>
      <c r="AE397" s="14">
        <f>IF($A397="","",IF(INDEX('潜水記録'!$AD$5:$AD$3004,$AS397)="","",INDEX('潜水記録'!$AD$5:$AD$3004,$AS397)))</f>
        <v/>
      </c>
      <c r="AF397" s="14">
        <f>IF($A397="","",IF(INDEX('潜水記録'!$AE$5:$AE$3004,$AS397)="","",INDEX('潜水記録'!$AE$5:$AE$3004,$AS397)))</f>
        <v/>
      </c>
      <c r="AG397" s="14">
        <f>IF($A397="","",IF(INDEX('潜水記録'!$AL$5:$AL$3004,$AS397)="","",INDEX('潜水記録'!$AL$5:$AL$3004,$AS397)))</f>
        <v/>
      </c>
      <c r="AH397" s="14">
        <f>IF($A397="","",IF(INDEX('潜水記録'!$AM$5:$AM$3004,$AS397)="","",INDEX('潜水記録'!$AM$5:$AM$3004,$AS397)))</f>
        <v/>
      </c>
      <c r="AI397" s="46">
        <f>IF($A397="","",IF(INDEX('潜水記録'!$AN$5:$AN$3004,$AS397)="","",INDEX('潜水記録'!$AN$5:$AN$3004,$AS397)))</f>
        <v/>
      </c>
      <c r="AJ397" s="14">
        <f>IF($A397="","",IF(INDEX('潜水記録'!$AO$5:$AO$3004,$AS397)="","",INDEX('潜水記録'!$AO$5:$AO$3004,$AS397)))</f>
        <v/>
      </c>
      <c r="AK397" s="14">
        <f>IF($A397="","",IF(INDEX('潜水記録'!$AP$5:$AP$3004,$AS397)="","",INDEX('潜水記録'!$AP$5:$AP$3004,$AS397)))</f>
        <v/>
      </c>
      <c r="AL397" s="14">
        <f>IF($A397="","",IF(INDEX('潜水記録'!$AQ$5:$AQ$3004,$AS397)="","",INDEX('潜水記録'!$AQ$5:$AQ$3004,$AS397)))</f>
        <v/>
      </c>
      <c r="AM397" s="14">
        <f>IF($A397="","",IF(INDEX('潜水記録'!$AR$5:$AR$3004,$AS397)="","",INDEX('潜水記録'!$AR$5:$AR$3004,$AS397)))</f>
        <v/>
      </c>
      <c r="AN397" s="14">
        <f>IF($A397="","",IF(INDEX('潜水記録'!$AS$5:$AS$3004,$AS397)="","",INDEX('潜水記録'!$AS$5:$AS$3004,$AS397)))</f>
        <v/>
      </c>
      <c r="AO397" s="14">
        <f>IF($A397="","",IF(INDEX('潜水記録'!$AT$5:$AT$3004,$AS397)="","",INDEX('潜水記録'!$AT$5:$AT$3004,$AS397)))</f>
        <v/>
      </c>
      <c r="AP397" s="14">
        <f>IF($A397="","",IF(INDEX('潜水記録'!$AU$5:$AU$3004,$AS397)="","",INDEX('潜水記録'!$AU$5:$AU$3004,$AS397)))</f>
        <v/>
      </c>
      <c r="AQ397" s="14">
        <f>IF($A397="","",IF(INDEX('潜水記録'!$AV$5:$AV$3004,$AS397)="","",INDEX('潜水記録'!$AV$5:$AV$3004,$AS397)))</f>
        <v/>
      </c>
      <c r="AR397" s="14">
        <f>IF($A397="","",IF(INDEX('潜水記録'!$AW$5:$AW$3004,$AS397)="","",INDEX('潜水記録'!$AW$5:$AW$3004,$AS397)))</f>
        <v/>
      </c>
      <c r="AS397" s="20">
        <f>IF($A397="","",MATCH($A397,'潜水記録'!$AI$5:$AI$3004,0))</f>
        <v/>
      </c>
    </row>
    <row r="398">
      <c r="A398" s="14">
        <f>IF(388&lt;=$C$8,388,"")</f>
        <v/>
      </c>
      <c r="B398" s="16">
        <f>IF($A398="","",IF(INDEX('潜水記録'!$A$5:$A$3004,$AS398)="","",INDEX('潜水記録'!$A$5:$A$3004,$AS398)))</f>
        <v/>
      </c>
      <c r="C398" s="14">
        <f>IF($A398="","",IF(INDEX('潜水記録'!$B$5:$B$3004,$AS398)="","",INDEX('潜水記録'!$B$5:$B$3004,$AS398)))</f>
        <v/>
      </c>
      <c r="D398" s="14">
        <f>IF($A398="","",IF(INDEX('潜水記録'!$C$5:$C$3004,$AS398)="","",INDEX('潜水記録'!$C$5:$C$3004,$AS398)))</f>
        <v/>
      </c>
      <c r="E398" s="14">
        <f>IF($A398="","",IF(INDEX('潜水記録'!$D$5:$D$3004,$AS398)="","",INDEX('潜水記録'!$D$5:$D$3004,$AS398)))</f>
        <v/>
      </c>
      <c r="F398" s="14">
        <f>IF($A398="","",IF(INDEX('潜水記録'!$E$5:$E$3004,$AS398)="","",INDEX('潜水記録'!$E$5:$E$3004,$AS398)))</f>
        <v/>
      </c>
      <c r="G398" s="14">
        <f>IF($A398="","",IF(INDEX('潜水記録'!$F$5:$F$3004,$AS398)="","",INDEX('潜水記録'!$F$5:$F$3004,$AS398)))</f>
        <v/>
      </c>
      <c r="H398" s="14">
        <f>IF($A398="","",IF(INDEX('潜水記録'!$G$5:$G$3004,$AS398)="","",INDEX('潜水記録'!$G$5:$G$3004,$AS398)))</f>
        <v/>
      </c>
      <c r="I398" s="14">
        <f>IF($A398="","",IF(INDEX('潜水記録'!$H$5:$H$3004,$AS398)="","",INDEX('潜水記録'!$H$5:$H$3004,$AS398)))</f>
        <v/>
      </c>
      <c r="J398" s="14">
        <f>IF($A398="","",IF(INDEX('潜水記録'!$I$5:$I$3004,$AS398)="","",INDEX('潜水記録'!$I$5:$I$3004,$AS398)))</f>
        <v/>
      </c>
      <c r="K398" s="14">
        <f>IF($A398="","",IF(INDEX('潜水記録'!$J$5:$J$3004,$AS398)="","",INDEX('潜水記録'!$J$5:$J$3004,$AS398)))</f>
        <v/>
      </c>
      <c r="L398" s="14">
        <f>IF($A398="","",IF(INDEX('潜水記録'!$K$5:$K$3004,$AS398)="","",INDEX('潜水記録'!$K$5:$K$3004,$AS398)))</f>
        <v/>
      </c>
      <c r="M398" s="14">
        <f>IF($A398="","",IF(INDEX('潜水記録'!$L$5:$L$3004,$AS398)="","",INDEX('潜水記録'!$L$5:$L$3004,$AS398)))</f>
        <v/>
      </c>
      <c r="N398" s="14">
        <f>IF($A398="","",IF(INDEX('潜水記録'!$M$5:$M$3004,$AS398)="","",INDEX('潜水記録'!$M$5:$M$3004,$AS398)))</f>
        <v/>
      </c>
      <c r="O398" s="14">
        <f>IF($A398="","",IF(INDEX('潜水記録'!$N$5:$N$3004,$AS398)="","",INDEX('潜水記録'!$N$5:$N$3004,$AS398)))</f>
        <v/>
      </c>
      <c r="P398" s="14">
        <f>IF($A398="","",IF(INDEX('潜水記録'!$O$5:$O$3004,$AS398)="","",INDEX('潜水記録'!$O$5:$O$3004,$AS398)))</f>
        <v/>
      </c>
      <c r="Q398" s="14">
        <f>IF($A398="","",IF(INDEX('潜水記録'!$P$5:$P$3004,$AS398)="","",INDEX('潜水記録'!$P$5:$P$3004,$AS398)))</f>
        <v/>
      </c>
      <c r="R398" s="14">
        <f>IF($A398="","",IF(INDEX('潜水記録'!$Q$5:$Q$3004,$AS398)="","",INDEX('潜水記録'!$Q$5:$Q$3004,$AS398)))</f>
        <v/>
      </c>
      <c r="S398" s="14">
        <f>IF($A398="","",IF(INDEX('潜水記録'!$R$5:$R$3004,$AS398)="","",INDEX('潜水記録'!$R$5:$R$3004,$AS398)))</f>
        <v/>
      </c>
      <c r="T398" s="14">
        <f>IF($A398="","",IF(INDEX('潜水記録'!$S$5:$S$3004,$AS398)="","",INDEX('潜水記録'!$S$5:$S$3004,$AS398)))</f>
        <v/>
      </c>
      <c r="U398" s="14">
        <f>IF($A398="","",IF(INDEX('潜水記録'!$T$5:$T$3004,$AS398)="","",INDEX('潜水記録'!$T$5:$T$3004,$AS398)))</f>
        <v/>
      </c>
      <c r="V398" s="46">
        <f>IF($A398="","",IF(INDEX('潜水記録'!$U$5:$U$3004,$AS398)="","",INDEX('潜水記録'!$U$5:$U$3004,$AS398)))</f>
        <v/>
      </c>
      <c r="W398" s="46">
        <f>IF($A398="","",IF(INDEX('潜水記録'!$V$5:$V$3004,$AS398)="","",INDEX('潜水記録'!$V$5:$V$3004,$AS398)))</f>
        <v/>
      </c>
      <c r="X398" s="14">
        <f>IF($A398="","",IF(INDEX('潜水記録'!$W$5:$W$3004,$AS398)="","",INDEX('潜水記録'!$W$5:$W$3004,$AS398)))</f>
        <v/>
      </c>
      <c r="Y398" s="14">
        <f>IF($A398="","",IF(INDEX('潜水記録'!$X$5:$X$3004,$AS398)="","",INDEX('潜水記録'!$X$5:$X$3004,$AS398)))</f>
        <v/>
      </c>
      <c r="Z398" s="14">
        <f>IF($A398="","",IF(INDEX('潜水記録'!$Y$5:$Y$3004,$AS398)="","",INDEX('潜水記録'!$Y$5:$Y$3004,$AS398)))</f>
        <v/>
      </c>
      <c r="AA398" s="14">
        <f>IF($A398="","",IF(INDEX('潜水記録'!$Z$5:$Z$3004,$AS398)="","",INDEX('潜水記録'!$Z$5:$Z$3004,$AS398)))</f>
        <v/>
      </c>
      <c r="AB398" s="14">
        <f>IF($A398="","",IF(INDEX('潜水記録'!$AA$5:$AA$3004,$AS398)="","",INDEX('潜水記録'!$AA$5:$AA$3004,$AS398)))</f>
        <v/>
      </c>
      <c r="AC398" s="14">
        <f>IF($A398="","",IF(INDEX('潜水記録'!$AB$5:$AB$3004,$AS398)="","",INDEX('潜水記録'!$AB$5:$AB$3004,$AS398)))</f>
        <v/>
      </c>
      <c r="AD398" s="14">
        <f>IF($A398="","",IF(INDEX('潜水記録'!$AC$5:$AC$3004,$AS398)="","",INDEX('潜水記録'!$AC$5:$AC$3004,$AS398)))</f>
        <v/>
      </c>
      <c r="AE398" s="14">
        <f>IF($A398="","",IF(INDEX('潜水記録'!$AD$5:$AD$3004,$AS398)="","",INDEX('潜水記録'!$AD$5:$AD$3004,$AS398)))</f>
        <v/>
      </c>
      <c r="AF398" s="14">
        <f>IF($A398="","",IF(INDEX('潜水記録'!$AE$5:$AE$3004,$AS398)="","",INDEX('潜水記録'!$AE$5:$AE$3004,$AS398)))</f>
        <v/>
      </c>
      <c r="AG398" s="14">
        <f>IF($A398="","",IF(INDEX('潜水記録'!$AL$5:$AL$3004,$AS398)="","",INDEX('潜水記録'!$AL$5:$AL$3004,$AS398)))</f>
        <v/>
      </c>
      <c r="AH398" s="14">
        <f>IF($A398="","",IF(INDEX('潜水記録'!$AM$5:$AM$3004,$AS398)="","",INDEX('潜水記録'!$AM$5:$AM$3004,$AS398)))</f>
        <v/>
      </c>
      <c r="AI398" s="46">
        <f>IF($A398="","",IF(INDEX('潜水記録'!$AN$5:$AN$3004,$AS398)="","",INDEX('潜水記録'!$AN$5:$AN$3004,$AS398)))</f>
        <v/>
      </c>
      <c r="AJ398" s="14">
        <f>IF($A398="","",IF(INDEX('潜水記録'!$AO$5:$AO$3004,$AS398)="","",INDEX('潜水記録'!$AO$5:$AO$3004,$AS398)))</f>
        <v/>
      </c>
      <c r="AK398" s="14">
        <f>IF($A398="","",IF(INDEX('潜水記録'!$AP$5:$AP$3004,$AS398)="","",INDEX('潜水記録'!$AP$5:$AP$3004,$AS398)))</f>
        <v/>
      </c>
      <c r="AL398" s="14">
        <f>IF($A398="","",IF(INDEX('潜水記録'!$AQ$5:$AQ$3004,$AS398)="","",INDEX('潜水記録'!$AQ$5:$AQ$3004,$AS398)))</f>
        <v/>
      </c>
      <c r="AM398" s="14">
        <f>IF($A398="","",IF(INDEX('潜水記録'!$AR$5:$AR$3004,$AS398)="","",INDEX('潜水記録'!$AR$5:$AR$3004,$AS398)))</f>
        <v/>
      </c>
      <c r="AN398" s="14">
        <f>IF($A398="","",IF(INDEX('潜水記録'!$AS$5:$AS$3004,$AS398)="","",INDEX('潜水記録'!$AS$5:$AS$3004,$AS398)))</f>
        <v/>
      </c>
      <c r="AO398" s="14">
        <f>IF($A398="","",IF(INDEX('潜水記録'!$AT$5:$AT$3004,$AS398)="","",INDEX('潜水記録'!$AT$5:$AT$3004,$AS398)))</f>
        <v/>
      </c>
      <c r="AP398" s="14">
        <f>IF($A398="","",IF(INDEX('潜水記録'!$AU$5:$AU$3004,$AS398)="","",INDEX('潜水記録'!$AU$5:$AU$3004,$AS398)))</f>
        <v/>
      </c>
      <c r="AQ398" s="14">
        <f>IF($A398="","",IF(INDEX('潜水記録'!$AV$5:$AV$3004,$AS398)="","",INDEX('潜水記録'!$AV$5:$AV$3004,$AS398)))</f>
        <v/>
      </c>
      <c r="AR398" s="14">
        <f>IF($A398="","",IF(INDEX('潜水記録'!$AW$5:$AW$3004,$AS398)="","",INDEX('潜水記録'!$AW$5:$AW$3004,$AS398)))</f>
        <v/>
      </c>
      <c r="AS398" s="20">
        <f>IF($A398="","",MATCH($A398,'潜水記録'!$AI$5:$AI$3004,0))</f>
        <v/>
      </c>
    </row>
    <row r="399">
      <c r="A399" s="14">
        <f>IF(389&lt;=$C$8,389,"")</f>
        <v/>
      </c>
      <c r="B399" s="16">
        <f>IF($A399="","",IF(INDEX('潜水記録'!$A$5:$A$3004,$AS399)="","",INDEX('潜水記録'!$A$5:$A$3004,$AS399)))</f>
        <v/>
      </c>
      <c r="C399" s="14">
        <f>IF($A399="","",IF(INDEX('潜水記録'!$B$5:$B$3004,$AS399)="","",INDEX('潜水記録'!$B$5:$B$3004,$AS399)))</f>
        <v/>
      </c>
      <c r="D399" s="14">
        <f>IF($A399="","",IF(INDEX('潜水記録'!$C$5:$C$3004,$AS399)="","",INDEX('潜水記録'!$C$5:$C$3004,$AS399)))</f>
        <v/>
      </c>
      <c r="E399" s="14">
        <f>IF($A399="","",IF(INDEX('潜水記録'!$D$5:$D$3004,$AS399)="","",INDEX('潜水記録'!$D$5:$D$3004,$AS399)))</f>
        <v/>
      </c>
      <c r="F399" s="14">
        <f>IF($A399="","",IF(INDEX('潜水記録'!$E$5:$E$3004,$AS399)="","",INDEX('潜水記録'!$E$5:$E$3004,$AS399)))</f>
        <v/>
      </c>
      <c r="G399" s="14">
        <f>IF($A399="","",IF(INDEX('潜水記録'!$F$5:$F$3004,$AS399)="","",INDEX('潜水記録'!$F$5:$F$3004,$AS399)))</f>
        <v/>
      </c>
      <c r="H399" s="14">
        <f>IF($A399="","",IF(INDEX('潜水記録'!$G$5:$G$3004,$AS399)="","",INDEX('潜水記録'!$G$5:$G$3004,$AS399)))</f>
        <v/>
      </c>
      <c r="I399" s="14">
        <f>IF($A399="","",IF(INDEX('潜水記録'!$H$5:$H$3004,$AS399)="","",INDEX('潜水記録'!$H$5:$H$3004,$AS399)))</f>
        <v/>
      </c>
      <c r="J399" s="14">
        <f>IF($A399="","",IF(INDEX('潜水記録'!$I$5:$I$3004,$AS399)="","",INDEX('潜水記録'!$I$5:$I$3004,$AS399)))</f>
        <v/>
      </c>
      <c r="K399" s="14">
        <f>IF($A399="","",IF(INDEX('潜水記録'!$J$5:$J$3004,$AS399)="","",INDEX('潜水記録'!$J$5:$J$3004,$AS399)))</f>
        <v/>
      </c>
      <c r="L399" s="14">
        <f>IF($A399="","",IF(INDEX('潜水記録'!$K$5:$K$3004,$AS399)="","",INDEX('潜水記録'!$K$5:$K$3004,$AS399)))</f>
        <v/>
      </c>
      <c r="M399" s="14">
        <f>IF($A399="","",IF(INDEX('潜水記録'!$L$5:$L$3004,$AS399)="","",INDEX('潜水記録'!$L$5:$L$3004,$AS399)))</f>
        <v/>
      </c>
      <c r="N399" s="14">
        <f>IF($A399="","",IF(INDEX('潜水記録'!$M$5:$M$3004,$AS399)="","",INDEX('潜水記録'!$M$5:$M$3004,$AS399)))</f>
        <v/>
      </c>
      <c r="O399" s="14">
        <f>IF($A399="","",IF(INDEX('潜水記録'!$N$5:$N$3004,$AS399)="","",INDEX('潜水記録'!$N$5:$N$3004,$AS399)))</f>
        <v/>
      </c>
      <c r="P399" s="14">
        <f>IF($A399="","",IF(INDEX('潜水記録'!$O$5:$O$3004,$AS399)="","",INDEX('潜水記録'!$O$5:$O$3004,$AS399)))</f>
        <v/>
      </c>
      <c r="Q399" s="14">
        <f>IF($A399="","",IF(INDEX('潜水記録'!$P$5:$P$3004,$AS399)="","",INDEX('潜水記録'!$P$5:$P$3004,$AS399)))</f>
        <v/>
      </c>
      <c r="R399" s="14">
        <f>IF($A399="","",IF(INDEX('潜水記録'!$Q$5:$Q$3004,$AS399)="","",INDEX('潜水記録'!$Q$5:$Q$3004,$AS399)))</f>
        <v/>
      </c>
      <c r="S399" s="14">
        <f>IF($A399="","",IF(INDEX('潜水記録'!$R$5:$R$3004,$AS399)="","",INDEX('潜水記録'!$R$5:$R$3004,$AS399)))</f>
        <v/>
      </c>
      <c r="T399" s="14">
        <f>IF($A399="","",IF(INDEX('潜水記録'!$S$5:$S$3004,$AS399)="","",INDEX('潜水記録'!$S$5:$S$3004,$AS399)))</f>
        <v/>
      </c>
      <c r="U399" s="14">
        <f>IF($A399="","",IF(INDEX('潜水記録'!$T$5:$T$3004,$AS399)="","",INDEX('潜水記録'!$T$5:$T$3004,$AS399)))</f>
        <v/>
      </c>
      <c r="V399" s="46">
        <f>IF($A399="","",IF(INDEX('潜水記録'!$U$5:$U$3004,$AS399)="","",INDEX('潜水記録'!$U$5:$U$3004,$AS399)))</f>
        <v/>
      </c>
      <c r="W399" s="46">
        <f>IF($A399="","",IF(INDEX('潜水記録'!$V$5:$V$3004,$AS399)="","",INDEX('潜水記録'!$V$5:$V$3004,$AS399)))</f>
        <v/>
      </c>
      <c r="X399" s="14">
        <f>IF($A399="","",IF(INDEX('潜水記録'!$W$5:$W$3004,$AS399)="","",INDEX('潜水記録'!$W$5:$W$3004,$AS399)))</f>
        <v/>
      </c>
      <c r="Y399" s="14">
        <f>IF($A399="","",IF(INDEX('潜水記録'!$X$5:$X$3004,$AS399)="","",INDEX('潜水記録'!$X$5:$X$3004,$AS399)))</f>
        <v/>
      </c>
      <c r="Z399" s="14">
        <f>IF($A399="","",IF(INDEX('潜水記録'!$Y$5:$Y$3004,$AS399)="","",INDEX('潜水記録'!$Y$5:$Y$3004,$AS399)))</f>
        <v/>
      </c>
      <c r="AA399" s="14">
        <f>IF($A399="","",IF(INDEX('潜水記録'!$Z$5:$Z$3004,$AS399)="","",INDEX('潜水記録'!$Z$5:$Z$3004,$AS399)))</f>
        <v/>
      </c>
      <c r="AB399" s="14">
        <f>IF($A399="","",IF(INDEX('潜水記録'!$AA$5:$AA$3004,$AS399)="","",INDEX('潜水記録'!$AA$5:$AA$3004,$AS399)))</f>
        <v/>
      </c>
      <c r="AC399" s="14">
        <f>IF($A399="","",IF(INDEX('潜水記録'!$AB$5:$AB$3004,$AS399)="","",INDEX('潜水記録'!$AB$5:$AB$3004,$AS399)))</f>
        <v/>
      </c>
      <c r="AD399" s="14">
        <f>IF($A399="","",IF(INDEX('潜水記録'!$AC$5:$AC$3004,$AS399)="","",INDEX('潜水記録'!$AC$5:$AC$3004,$AS399)))</f>
        <v/>
      </c>
      <c r="AE399" s="14">
        <f>IF($A399="","",IF(INDEX('潜水記録'!$AD$5:$AD$3004,$AS399)="","",INDEX('潜水記録'!$AD$5:$AD$3004,$AS399)))</f>
        <v/>
      </c>
      <c r="AF399" s="14">
        <f>IF($A399="","",IF(INDEX('潜水記録'!$AE$5:$AE$3004,$AS399)="","",INDEX('潜水記録'!$AE$5:$AE$3004,$AS399)))</f>
        <v/>
      </c>
      <c r="AG399" s="14">
        <f>IF($A399="","",IF(INDEX('潜水記録'!$AL$5:$AL$3004,$AS399)="","",INDEX('潜水記録'!$AL$5:$AL$3004,$AS399)))</f>
        <v/>
      </c>
      <c r="AH399" s="14">
        <f>IF($A399="","",IF(INDEX('潜水記録'!$AM$5:$AM$3004,$AS399)="","",INDEX('潜水記録'!$AM$5:$AM$3004,$AS399)))</f>
        <v/>
      </c>
      <c r="AI399" s="46">
        <f>IF($A399="","",IF(INDEX('潜水記録'!$AN$5:$AN$3004,$AS399)="","",INDEX('潜水記録'!$AN$5:$AN$3004,$AS399)))</f>
        <v/>
      </c>
      <c r="AJ399" s="14">
        <f>IF($A399="","",IF(INDEX('潜水記録'!$AO$5:$AO$3004,$AS399)="","",INDEX('潜水記録'!$AO$5:$AO$3004,$AS399)))</f>
        <v/>
      </c>
      <c r="AK399" s="14">
        <f>IF($A399="","",IF(INDEX('潜水記録'!$AP$5:$AP$3004,$AS399)="","",INDEX('潜水記録'!$AP$5:$AP$3004,$AS399)))</f>
        <v/>
      </c>
      <c r="AL399" s="14">
        <f>IF($A399="","",IF(INDEX('潜水記録'!$AQ$5:$AQ$3004,$AS399)="","",INDEX('潜水記録'!$AQ$5:$AQ$3004,$AS399)))</f>
        <v/>
      </c>
      <c r="AM399" s="14">
        <f>IF($A399="","",IF(INDEX('潜水記録'!$AR$5:$AR$3004,$AS399)="","",INDEX('潜水記録'!$AR$5:$AR$3004,$AS399)))</f>
        <v/>
      </c>
      <c r="AN399" s="14">
        <f>IF($A399="","",IF(INDEX('潜水記録'!$AS$5:$AS$3004,$AS399)="","",INDEX('潜水記録'!$AS$5:$AS$3004,$AS399)))</f>
        <v/>
      </c>
      <c r="AO399" s="14">
        <f>IF($A399="","",IF(INDEX('潜水記録'!$AT$5:$AT$3004,$AS399)="","",INDEX('潜水記録'!$AT$5:$AT$3004,$AS399)))</f>
        <v/>
      </c>
      <c r="AP399" s="14">
        <f>IF($A399="","",IF(INDEX('潜水記録'!$AU$5:$AU$3004,$AS399)="","",INDEX('潜水記録'!$AU$5:$AU$3004,$AS399)))</f>
        <v/>
      </c>
      <c r="AQ399" s="14">
        <f>IF($A399="","",IF(INDEX('潜水記録'!$AV$5:$AV$3004,$AS399)="","",INDEX('潜水記録'!$AV$5:$AV$3004,$AS399)))</f>
        <v/>
      </c>
      <c r="AR399" s="14">
        <f>IF($A399="","",IF(INDEX('潜水記録'!$AW$5:$AW$3004,$AS399)="","",INDEX('潜水記録'!$AW$5:$AW$3004,$AS399)))</f>
        <v/>
      </c>
      <c r="AS399" s="20">
        <f>IF($A399="","",MATCH($A399,'潜水記録'!$AI$5:$AI$3004,0))</f>
        <v/>
      </c>
    </row>
    <row r="400">
      <c r="A400" s="14">
        <f>IF(390&lt;=$C$8,390,"")</f>
        <v/>
      </c>
      <c r="B400" s="16">
        <f>IF($A400="","",IF(INDEX('潜水記録'!$A$5:$A$3004,$AS400)="","",INDEX('潜水記録'!$A$5:$A$3004,$AS400)))</f>
        <v/>
      </c>
      <c r="C400" s="14">
        <f>IF($A400="","",IF(INDEX('潜水記録'!$B$5:$B$3004,$AS400)="","",INDEX('潜水記録'!$B$5:$B$3004,$AS400)))</f>
        <v/>
      </c>
      <c r="D400" s="14">
        <f>IF($A400="","",IF(INDEX('潜水記録'!$C$5:$C$3004,$AS400)="","",INDEX('潜水記録'!$C$5:$C$3004,$AS400)))</f>
        <v/>
      </c>
      <c r="E400" s="14">
        <f>IF($A400="","",IF(INDEX('潜水記録'!$D$5:$D$3004,$AS400)="","",INDEX('潜水記録'!$D$5:$D$3004,$AS400)))</f>
        <v/>
      </c>
      <c r="F400" s="14">
        <f>IF($A400="","",IF(INDEX('潜水記録'!$E$5:$E$3004,$AS400)="","",INDEX('潜水記録'!$E$5:$E$3004,$AS400)))</f>
        <v/>
      </c>
      <c r="G400" s="14">
        <f>IF($A400="","",IF(INDEX('潜水記録'!$F$5:$F$3004,$AS400)="","",INDEX('潜水記録'!$F$5:$F$3004,$AS400)))</f>
        <v/>
      </c>
      <c r="H400" s="14">
        <f>IF($A400="","",IF(INDEX('潜水記録'!$G$5:$G$3004,$AS400)="","",INDEX('潜水記録'!$G$5:$G$3004,$AS400)))</f>
        <v/>
      </c>
      <c r="I400" s="14">
        <f>IF($A400="","",IF(INDEX('潜水記録'!$H$5:$H$3004,$AS400)="","",INDEX('潜水記録'!$H$5:$H$3004,$AS400)))</f>
        <v/>
      </c>
      <c r="J400" s="14">
        <f>IF($A400="","",IF(INDEX('潜水記録'!$I$5:$I$3004,$AS400)="","",INDEX('潜水記録'!$I$5:$I$3004,$AS400)))</f>
        <v/>
      </c>
      <c r="K400" s="14">
        <f>IF($A400="","",IF(INDEX('潜水記録'!$J$5:$J$3004,$AS400)="","",INDEX('潜水記録'!$J$5:$J$3004,$AS400)))</f>
        <v/>
      </c>
      <c r="L400" s="14">
        <f>IF($A400="","",IF(INDEX('潜水記録'!$K$5:$K$3004,$AS400)="","",INDEX('潜水記録'!$K$5:$K$3004,$AS400)))</f>
        <v/>
      </c>
      <c r="M400" s="14">
        <f>IF($A400="","",IF(INDEX('潜水記録'!$L$5:$L$3004,$AS400)="","",INDEX('潜水記録'!$L$5:$L$3004,$AS400)))</f>
        <v/>
      </c>
      <c r="N400" s="14">
        <f>IF($A400="","",IF(INDEX('潜水記録'!$M$5:$M$3004,$AS400)="","",INDEX('潜水記録'!$M$5:$M$3004,$AS400)))</f>
        <v/>
      </c>
      <c r="O400" s="14">
        <f>IF($A400="","",IF(INDEX('潜水記録'!$N$5:$N$3004,$AS400)="","",INDEX('潜水記録'!$N$5:$N$3004,$AS400)))</f>
        <v/>
      </c>
      <c r="P400" s="14">
        <f>IF($A400="","",IF(INDEX('潜水記録'!$O$5:$O$3004,$AS400)="","",INDEX('潜水記録'!$O$5:$O$3004,$AS400)))</f>
        <v/>
      </c>
      <c r="Q400" s="14">
        <f>IF($A400="","",IF(INDEX('潜水記録'!$P$5:$P$3004,$AS400)="","",INDEX('潜水記録'!$P$5:$P$3004,$AS400)))</f>
        <v/>
      </c>
      <c r="R400" s="14">
        <f>IF($A400="","",IF(INDEX('潜水記録'!$Q$5:$Q$3004,$AS400)="","",INDEX('潜水記録'!$Q$5:$Q$3004,$AS400)))</f>
        <v/>
      </c>
      <c r="S400" s="14">
        <f>IF($A400="","",IF(INDEX('潜水記録'!$R$5:$R$3004,$AS400)="","",INDEX('潜水記録'!$R$5:$R$3004,$AS400)))</f>
        <v/>
      </c>
      <c r="T400" s="14">
        <f>IF($A400="","",IF(INDEX('潜水記録'!$S$5:$S$3004,$AS400)="","",INDEX('潜水記録'!$S$5:$S$3004,$AS400)))</f>
        <v/>
      </c>
      <c r="U400" s="14">
        <f>IF($A400="","",IF(INDEX('潜水記録'!$T$5:$T$3004,$AS400)="","",INDEX('潜水記録'!$T$5:$T$3004,$AS400)))</f>
        <v/>
      </c>
      <c r="V400" s="46">
        <f>IF($A400="","",IF(INDEX('潜水記録'!$U$5:$U$3004,$AS400)="","",INDEX('潜水記録'!$U$5:$U$3004,$AS400)))</f>
        <v/>
      </c>
      <c r="W400" s="46">
        <f>IF($A400="","",IF(INDEX('潜水記録'!$V$5:$V$3004,$AS400)="","",INDEX('潜水記録'!$V$5:$V$3004,$AS400)))</f>
        <v/>
      </c>
      <c r="X400" s="14">
        <f>IF($A400="","",IF(INDEX('潜水記録'!$W$5:$W$3004,$AS400)="","",INDEX('潜水記録'!$W$5:$W$3004,$AS400)))</f>
        <v/>
      </c>
      <c r="Y400" s="14">
        <f>IF($A400="","",IF(INDEX('潜水記録'!$X$5:$X$3004,$AS400)="","",INDEX('潜水記録'!$X$5:$X$3004,$AS400)))</f>
        <v/>
      </c>
      <c r="Z400" s="14">
        <f>IF($A400="","",IF(INDEX('潜水記録'!$Y$5:$Y$3004,$AS400)="","",INDEX('潜水記録'!$Y$5:$Y$3004,$AS400)))</f>
        <v/>
      </c>
      <c r="AA400" s="14">
        <f>IF($A400="","",IF(INDEX('潜水記録'!$Z$5:$Z$3004,$AS400)="","",INDEX('潜水記録'!$Z$5:$Z$3004,$AS400)))</f>
        <v/>
      </c>
      <c r="AB400" s="14">
        <f>IF($A400="","",IF(INDEX('潜水記録'!$AA$5:$AA$3004,$AS400)="","",INDEX('潜水記録'!$AA$5:$AA$3004,$AS400)))</f>
        <v/>
      </c>
      <c r="AC400" s="14">
        <f>IF($A400="","",IF(INDEX('潜水記録'!$AB$5:$AB$3004,$AS400)="","",INDEX('潜水記録'!$AB$5:$AB$3004,$AS400)))</f>
        <v/>
      </c>
      <c r="AD400" s="14">
        <f>IF($A400="","",IF(INDEX('潜水記録'!$AC$5:$AC$3004,$AS400)="","",INDEX('潜水記録'!$AC$5:$AC$3004,$AS400)))</f>
        <v/>
      </c>
      <c r="AE400" s="14">
        <f>IF($A400="","",IF(INDEX('潜水記録'!$AD$5:$AD$3004,$AS400)="","",INDEX('潜水記録'!$AD$5:$AD$3004,$AS400)))</f>
        <v/>
      </c>
      <c r="AF400" s="14">
        <f>IF($A400="","",IF(INDEX('潜水記録'!$AE$5:$AE$3004,$AS400)="","",INDEX('潜水記録'!$AE$5:$AE$3004,$AS400)))</f>
        <v/>
      </c>
      <c r="AG400" s="14">
        <f>IF($A400="","",IF(INDEX('潜水記録'!$AL$5:$AL$3004,$AS400)="","",INDEX('潜水記録'!$AL$5:$AL$3004,$AS400)))</f>
        <v/>
      </c>
      <c r="AH400" s="14">
        <f>IF($A400="","",IF(INDEX('潜水記録'!$AM$5:$AM$3004,$AS400)="","",INDEX('潜水記録'!$AM$5:$AM$3004,$AS400)))</f>
        <v/>
      </c>
      <c r="AI400" s="46">
        <f>IF($A400="","",IF(INDEX('潜水記録'!$AN$5:$AN$3004,$AS400)="","",INDEX('潜水記録'!$AN$5:$AN$3004,$AS400)))</f>
        <v/>
      </c>
      <c r="AJ400" s="14">
        <f>IF($A400="","",IF(INDEX('潜水記録'!$AO$5:$AO$3004,$AS400)="","",INDEX('潜水記録'!$AO$5:$AO$3004,$AS400)))</f>
        <v/>
      </c>
      <c r="AK400" s="14">
        <f>IF($A400="","",IF(INDEX('潜水記録'!$AP$5:$AP$3004,$AS400)="","",INDEX('潜水記録'!$AP$5:$AP$3004,$AS400)))</f>
        <v/>
      </c>
      <c r="AL400" s="14">
        <f>IF($A400="","",IF(INDEX('潜水記録'!$AQ$5:$AQ$3004,$AS400)="","",INDEX('潜水記録'!$AQ$5:$AQ$3004,$AS400)))</f>
        <v/>
      </c>
      <c r="AM400" s="14">
        <f>IF($A400="","",IF(INDEX('潜水記録'!$AR$5:$AR$3004,$AS400)="","",INDEX('潜水記録'!$AR$5:$AR$3004,$AS400)))</f>
        <v/>
      </c>
      <c r="AN400" s="14">
        <f>IF($A400="","",IF(INDEX('潜水記録'!$AS$5:$AS$3004,$AS400)="","",INDEX('潜水記録'!$AS$5:$AS$3004,$AS400)))</f>
        <v/>
      </c>
      <c r="AO400" s="14">
        <f>IF($A400="","",IF(INDEX('潜水記録'!$AT$5:$AT$3004,$AS400)="","",INDEX('潜水記録'!$AT$5:$AT$3004,$AS400)))</f>
        <v/>
      </c>
      <c r="AP400" s="14">
        <f>IF($A400="","",IF(INDEX('潜水記録'!$AU$5:$AU$3004,$AS400)="","",INDEX('潜水記録'!$AU$5:$AU$3004,$AS400)))</f>
        <v/>
      </c>
      <c r="AQ400" s="14">
        <f>IF($A400="","",IF(INDEX('潜水記録'!$AV$5:$AV$3004,$AS400)="","",INDEX('潜水記録'!$AV$5:$AV$3004,$AS400)))</f>
        <v/>
      </c>
      <c r="AR400" s="14">
        <f>IF($A400="","",IF(INDEX('潜水記録'!$AW$5:$AW$3004,$AS400)="","",INDEX('潜水記録'!$AW$5:$AW$3004,$AS400)))</f>
        <v/>
      </c>
      <c r="AS400" s="20">
        <f>IF($A400="","",MATCH($A400,'潜水記録'!$AI$5:$AI$3004,0))</f>
        <v/>
      </c>
    </row>
    <row r="401">
      <c r="A401" s="14">
        <f>IF(391&lt;=$C$8,391,"")</f>
        <v/>
      </c>
      <c r="B401" s="16">
        <f>IF($A401="","",IF(INDEX('潜水記録'!$A$5:$A$3004,$AS401)="","",INDEX('潜水記録'!$A$5:$A$3004,$AS401)))</f>
        <v/>
      </c>
      <c r="C401" s="14">
        <f>IF($A401="","",IF(INDEX('潜水記録'!$B$5:$B$3004,$AS401)="","",INDEX('潜水記録'!$B$5:$B$3004,$AS401)))</f>
        <v/>
      </c>
      <c r="D401" s="14">
        <f>IF($A401="","",IF(INDEX('潜水記録'!$C$5:$C$3004,$AS401)="","",INDEX('潜水記録'!$C$5:$C$3004,$AS401)))</f>
        <v/>
      </c>
      <c r="E401" s="14">
        <f>IF($A401="","",IF(INDEX('潜水記録'!$D$5:$D$3004,$AS401)="","",INDEX('潜水記録'!$D$5:$D$3004,$AS401)))</f>
        <v/>
      </c>
      <c r="F401" s="14">
        <f>IF($A401="","",IF(INDEX('潜水記録'!$E$5:$E$3004,$AS401)="","",INDEX('潜水記録'!$E$5:$E$3004,$AS401)))</f>
        <v/>
      </c>
      <c r="G401" s="14">
        <f>IF($A401="","",IF(INDEX('潜水記録'!$F$5:$F$3004,$AS401)="","",INDEX('潜水記録'!$F$5:$F$3004,$AS401)))</f>
        <v/>
      </c>
      <c r="H401" s="14">
        <f>IF($A401="","",IF(INDEX('潜水記録'!$G$5:$G$3004,$AS401)="","",INDEX('潜水記録'!$G$5:$G$3004,$AS401)))</f>
        <v/>
      </c>
      <c r="I401" s="14">
        <f>IF($A401="","",IF(INDEX('潜水記録'!$H$5:$H$3004,$AS401)="","",INDEX('潜水記録'!$H$5:$H$3004,$AS401)))</f>
        <v/>
      </c>
      <c r="J401" s="14">
        <f>IF($A401="","",IF(INDEX('潜水記録'!$I$5:$I$3004,$AS401)="","",INDEX('潜水記録'!$I$5:$I$3004,$AS401)))</f>
        <v/>
      </c>
      <c r="K401" s="14">
        <f>IF($A401="","",IF(INDEX('潜水記録'!$J$5:$J$3004,$AS401)="","",INDEX('潜水記録'!$J$5:$J$3004,$AS401)))</f>
        <v/>
      </c>
      <c r="L401" s="14">
        <f>IF($A401="","",IF(INDEX('潜水記録'!$K$5:$K$3004,$AS401)="","",INDEX('潜水記録'!$K$5:$K$3004,$AS401)))</f>
        <v/>
      </c>
      <c r="M401" s="14">
        <f>IF($A401="","",IF(INDEX('潜水記録'!$L$5:$L$3004,$AS401)="","",INDEX('潜水記録'!$L$5:$L$3004,$AS401)))</f>
        <v/>
      </c>
      <c r="N401" s="14">
        <f>IF($A401="","",IF(INDEX('潜水記録'!$M$5:$M$3004,$AS401)="","",INDEX('潜水記録'!$M$5:$M$3004,$AS401)))</f>
        <v/>
      </c>
      <c r="O401" s="14">
        <f>IF($A401="","",IF(INDEX('潜水記録'!$N$5:$N$3004,$AS401)="","",INDEX('潜水記録'!$N$5:$N$3004,$AS401)))</f>
        <v/>
      </c>
      <c r="P401" s="14">
        <f>IF($A401="","",IF(INDEX('潜水記録'!$O$5:$O$3004,$AS401)="","",INDEX('潜水記録'!$O$5:$O$3004,$AS401)))</f>
        <v/>
      </c>
      <c r="Q401" s="14">
        <f>IF($A401="","",IF(INDEX('潜水記録'!$P$5:$P$3004,$AS401)="","",INDEX('潜水記録'!$P$5:$P$3004,$AS401)))</f>
        <v/>
      </c>
      <c r="R401" s="14">
        <f>IF($A401="","",IF(INDEX('潜水記録'!$Q$5:$Q$3004,$AS401)="","",INDEX('潜水記録'!$Q$5:$Q$3004,$AS401)))</f>
        <v/>
      </c>
      <c r="S401" s="14">
        <f>IF($A401="","",IF(INDEX('潜水記録'!$R$5:$R$3004,$AS401)="","",INDEX('潜水記録'!$R$5:$R$3004,$AS401)))</f>
        <v/>
      </c>
      <c r="T401" s="14">
        <f>IF($A401="","",IF(INDEX('潜水記録'!$S$5:$S$3004,$AS401)="","",INDEX('潜水記録'!$S$5:$S$3004,$AS401)))</f>
        <v/>
      </c>
      <c r="U401" s="14">
        <f>IF($A401="","",IF(INDEX('潜水記録'!$T$5:$T$3004,$AS401)="","",INDEX('潜水記録'!$T$5:$T$3004,$AS401)))</f>
        <v/>
      </c>
      <c r="V401" s="46">
        <f>IF($A401="","",IF(INDEX('潜水記録'!$U$5:$U$3004,$AS401)="","",INDEX('潜水記録'!$U$5:$U$3004,$AS401)))</f>
        <v/>
      </c>
      <c r="W401" s="46">
        <f>IF($A401="","",IF(INDEX('潜水記録'!$V$5:$V$3004,$AS401)="","",INDEX('潜水記録'!$V$5:$V$3004,$AS401)))</f>
        <v/>
      </c>
      <c r="X401" s="14">
        <f>IF($A401="","",IF(INDEX('潜水記録'!$W$5:$W$3004,$AS401)="","",INDEX('潜水記録'!$W$5:$W$3004,$AS401)))</f>
        <v/>
      </c>
      <c r="Y401" s="14">
        <f>IF($A401="","",IF(INDEX('潜水記録'!$X$5:$X$3004,$AS401)="","",INDEX('潜水記録'!$X$5:$X$3004,$AS401)))</f>
        <v/>
      </c>
      <c r="Z401" s="14">
        <f>IF($A401="","",IF(INDEX('潜水記録'!$Y$5:$Y$3004,$AS401)="","",INDEX('潜水記録'!$Y$5:$Y$3004,$AS401)))</f>
        <v/>
      </c>
      <c r="AA401" s="14">
        <f>IF($A401="","",IF(INDEX('潜水記録'!$Z$5:$Z$3004,$AS401)="","",INDEX('潜水記録'!$Z$5:$Z$3004,$AS401)))</f>
        <v/>
      </c>
      <c r="AB401" s="14">
        <f>IF($A401="","",IF(INDEX('潜水記録'!$AA$5:$AA$3004,$AS401)="","",INDEX('潜水記録'!$AA$5:$AA$3004,$AS401)))</f>
        <v/>
      </c>
      <c r="AC401" s="14">
        <f>IF($A401="","",IF(INDEX('潜水記録'!$AB$5:$AB$3004,$AS401)="","",INDEX('潜水記録'!$AB$5:$AB$3004,$AS401)))</f>
        <v/>
      </c>
      <c r="AD401" s="14">
        <f>IF($A401="","",IF(INDEX('潜水記録'!$AC$5:$AC$3004,$AS401)="","",INDEX('潜水記録'!$AC$5:$AC$3004,$AS401)))</f>
        <v/>
      </c>
      <c r="AE401" s="14">
        <f>IF($A401="","",IF(INDEX('潜水記録'!$AD$5:$AD$3004,$AS401)="","",INDEX('潜水記録'!$AD$5:$AD$3004,$AS401)))</f>
        <v/>
      </c>
      <c r="AF401" s="14">
        <f>IF($A401="","",IF(INDEX('潜水記録'!$AE$5:$AE$3004,$AS401)="","",INDEX('潜水記録'!$AE$5:$AE$3004,$AS401)))</f>
        <v/>
      </c>
      <c r="AG401" s="14">
        <f>IF($A401="","",IF(INDEX('潜水記録'!$AL$5:$AL$3004,$AS401)="","",INDEX('潜水記録'!$AL$5:$AL$3004,$AS401)))</f>
        <v/>
      </c>
      <c r="AH401" s="14">
        <f>IF($A401="","",IF(INDEX('潜水記録'!$AM$5:$AM$3004,$AS401)="","",INDEX('潜水記録'!$AM$5:$AM$3004,$AS401)))</f>
        <v/>
      </c>
      <c r="AI401" s="46">
        <f>IF($A401="","",IF(INDEX('潜水記録'!$AN$5:$AN$3004,$AS401)="","",INDEX('潜水記録'!$AN$5:$AN$3004,$AS401)))</f>
        <v/>
      </c>
      <c r="AJ401" s="14">
        <f>IF($A401="","",IF(INDEX('潜水記録'!$AO$5:$AO$3004,$AS401)="","",INDEX('潜水記録'!$AO$5:$AO$3004,$AS401)))</f>
        <v/>
      </c>
      <c r="AK401" s="14">
        <f>IF($A401="","",IF(INDEX('潜水記録'!$AP$5:$AP$3004,$AS401)="","",INDEX('潜水記録'!$AP$5:$AP$3004,$AS401)))</f>
        <v/>
      </c>
      <c r="AL401" s="14">
        <f>IF($A401="","",IF(INDEX('潜水記録'!$AQ$5:$AQ$3004,$AS401)="","",INDEX('潜水記録'!$AQ$5:$AQ$3004,$AS401)))</f>
        <v/>
      </c>
      <c r="AM401" s="14">
        <f>IF($A401="","",IF(INDEX('潜水記録'!$AR$5:$AR$3004,$AS401)="","",INDEX('潜水記録'!$AR$5:$AR$3004,$AS401)))</f>
        <v/>
      </c>
      <c r="AN401" s="14">
        <f>IF($A401="","",IF(INDEX('潜水記録'!$AS$5:$AS$3004,$AS401)="","",INDEX('潜水記録'!$AS$5:$AS$3004,$AS401)))</f>
        <v/>
      </c>
      <c r="AO401" s="14">
        <f>IF($A401="","",IF(INDEX('潜水記録'!$AT$5:$AT$3004,$AS401)="","",INDEX('潜水記録'!$AT$5:$AT$3004,$AS401)))</f>
        <v/>
      </c>
      <c r="AP401" s="14">
        <f>IF($A401="","",IF(INDEX('潜水記録'!$AU$5:$AU$3004,$AS401)="","",INDEX('潜水記録'!$AU$5:$AU$3004,$AS401)))</f>
        <v/>
      </c>
      <c r="AQ401" s="14">
        <f>IF($A401="","",IF(INDEX('潜水記録'!$AV$5:$AV$3004,$AS401)="","",INDEX('潜水記録'!$AV$5:$AV$3004,$AS401)))</f>
        <v/>
      </c>
      <c r="AR401" s="14">
        <f>IF($A401="","",IF(INDEX('潜水記録'!$AW$5:$AW$3004,$AS401)="","",INDEX('潜水記録'!$AW$5:$AW$3004,$AS401)))</f>
        <v/>
      </c>
      <c r="AS401" s="20">
        <f>IF($A401="","",MATCH($A401,'潜水記録'!$AI$5:$AI$3004,0))</f>
        <v/>
      </c>
    </row>
    <row r="402">
      <c r="A402" s="14">
        <f>IF(392&lt;=$C$8,392,"")</f>
        <v/>
      </c>
      <c r="B402" s="16">
        <f>IF($A402="","",IF(INDEX('潜水記録'!$A$5:$A$3004,$AS402)="","",INDEX('潜水記録'!$A$5:$A$3004,$AS402)))</f>
        <v/>
      </c>
      <c r="C402" s="14">
        <f>IF($A402="","",IF(INDEX('潜水記録'!$B$5:$B$3004,$AS402)="","",INDEX('潜水記録'!$B$5:$B$3004,$AS402)))</f>
        <v/>
      </c>
      <c r="D402" s="14">
        <f>IF($A402="","",IF(INDEX('潜水記録'!$C$5:$C$3004,$AS402)="","",INDEX('潜水記録'!$C$5:$C$3004,$AS402)))</f>
        <v/>
      </c>
      <c r="E402" s="14">
        <f>IF($A402="","",IF(INDEX('潜水記録'!$D$5:$D$3004,$AS402)="","",INDEX('潜水記録'!$D$5:$D$3004,$AS402)))</f>
        <v/>
      </c>
      <c r="F402" s="14">
        <f>IF($A402="","",IF(INDEX('潜水記録'!$E$5:$E$3004,$AS402)="","",INDEX('潜水記録'!$E$5:$E$3004,$AS402)))</f>
        <v/>
      </c>
      <c r="G402" s="14">
        <f>IF($A402="","",IF(INDEX('潜水記録'!$F$5:$F$3004,$AS402)="","",INDEX('潜水記録'!$F$5:$F$3004,$AS402)))</f>
        <v/>
      </c>
      <c r="H402" s="14">
        <f>IF($A402="","",IF(INDEX('潜水記録'!$G$5:$G$3004,$AS402)="","",INDEX('潜水記録'!$G$5:$G$3004,$AS402)))</f>
        <v/>
      </c>
      <c r="I402" s="14">
        <f>IF($A402="","",IF(INDEX('潜水記録'!$H$5:$H$3004,$AS402)="","",INDEX('潜水記録'!$H$5:$H$3004,$AS402)))</f>
        <v/>
      </c>
      <c r="J402" s="14">
        <f>IF($A402="","",IF(INDEX('潜水記録'!$I$5:$I$3004,$AS402)="","",INDEX('潜水記録'!$I$5:$I$3004,$AS402)))</f>
        <v/>
      </c>
      <c r="K402" s="14">
        <f>IF($A402="","",IF(INDEX('潜水記録'!$J$5:$J$3004,$AS402)="","",INDEX('潜水記録'!$J$5:$J$3004,$AS402)))</f>
        <v/>
      </c>
      <c r="L402" s="14">
        <f>IF($A402="","",IF(INDEX('潜水記録'!$K$5:$K$3004,$AS402)="","",INDEX('潜水記録'!$K$5:$K$3004,$AS402)))</f>
        <v/>
      </c>
      <c r="M402" s="14">
        <f>IF($A402="","",IF(INDEX('潜水記録'!$L$5:$L$3004,$AS402)="","",INDEX('潜水記録'!$L$5:$L$3004,$AS402)))</f>
        <v/>
      </c>
      <c r="N402" s="14">
        <f>IF($A402="","",IF(INDEX('潜水記録'!$M$5:$M$3004,$AS402)="","",INDEX('潜水記録'!$M$5:$M$3004,$AS402)))</f>
        <v/>
      </c>
      <c r="O402" s="14">
        <f>IF($A402="","",IF(INDEX('潜水記録'!$N$5:$N$3004,$AS402)="","",INDEX('潜水記録'!$N$5:$N$3004,$AS402)))</f>
        <v/>
      </c>
      <c r="P402" s="14">
        <f>IF($A402="","",IF(INDEX('潜水記録'!$O$5:$O$3004,$AS402)="","",INDEX('潜水記録'!$O$5:$O$3004,$AS402)))</f>
        <v/>
      </c>
      <c r="Q402" s="14">
        <f>IF($A402="","",IF(INDEX('潜水記録'!$P$5:$P$3004,$AS402)="","",INDEX('潜水記録'!$P$5:$P$3004,$AS402)))</f>
        <v/>
      </c>
      <c r="R402" s="14">
        <f>IF($A402="","",IF(INDEX('潜水記録'!$Q$5:$Q$3004,$AS402)="","",INDEX('潜水記録'!$Q$5:$Q$3004,$AS402)))</f>
        <v/>
      </c>
      <c r="S402" s="14">
        <f>IF($A402="","",IF(INDEX('潜水記録'!$R$5:$R$3004,$AS402)="","",INDEX('潜水記録'!$R$5:$R$3004,$AS402)))</f>
        <v/>
      </c>
      <c r="T402" s="14">
        <f>IF($A402="","",IF(INDEX('潜水記録'!$S$5:$S$3004,$AS402)="","",INDEX('潜水記録'!$S$5:$S$3004,$AS402)))</f>
        <v/>
      </c>
      <c r="U402" s="14">
        <f>IF($A402="","",IF(INDEX('潜水記録'!$T$5:$T$3004,$AS402)="","",INDEX('潜水記録'!$T$5:$T$3004,$AS402)))</f>
        <v/>
      </c>
      <c r="V402" s="46">
        <f>IF($A402="","",IF(INDEX('潜水記録'!$U$5:$U$3004,$AS402)="","",INDEX('潜水記録'!$U$5:$U$3004,$AS402)))</f>
        <v/>
      </c>
      <c r="W402" s="46">
        <f>IF($A402="","",IF(INDEX('潜水記録'!$V$5:$V$3004,$AS402)="","",INDEX('潜水記録'!$V$5:$V$3004,$AS402)))</f>
        <v/>
      </c>
      <c r="X402" s="14">
        <f>IF($A402="","",IF(INDEX('潜水記録'!$W$5:$W$3004,$AS402)="","",INDEX('潜水記録'!$W$5:$W$3004,$AS402)))</f>
        <v/>
      </c>
      <c r="Y402" s="14">
        <f>IF($A402="","",IF(INDEX('潜水記録'!$X$5:$X$3004,$AS402)="","",INDEX('潜水記録'!$X$5:$X$3004,$AS402)))</f>
        <v/>
      </c>
      <c r="Z402" s="14">
        <f>IF($A402="","",IF(INDEX('潜水記録'!$Y$5:$Y$3004,$AS402)="","",INDEX('潜水記録'!$Y$5:$Y$3004,$AS402)))</f>
        <v/>
      </c>
      <c r="AA402" s="14">
        <f>IF($A402="","",IF(INDEX('潜水記録'!$Z$5:$Z$3004,$AS402)="","",INDEX('潜水記録'!$Z$5:$Z$3004,$AS402)))</f>
        <v/>
      </c>
      <c r="AB402" s="14">
        <f>IF($A402="","",IF(INDEX('潜水記録'!$AA$5:$AA$3004,$AS402)="","",INDEX('潜水記録'!$AA$5:$AA$3004,$AS402)))</f>
        <v/>
      </c>
      <c r="AC402" s="14">
        <f>IF($A402="","",IF(INDEX('潜水記録'!$AB$5:$AB$3004,$AS402)="","",INDEX('潜水記録'!$AB$5:$AB$3004,$AS402)))</f>
        <v/>
      </c>
      <c r="AD402" s="14">
        <f>IF($A402="","",IF(INDEX('潜水記録'!$AC$5:$AC$3004,$AS402)="","",INDEX('潜水記録'!$AC$5:$AC$3004,$AS402)))</f>
        <v/>
      </c>
      <c r="AE402" s="14">
        <f>IF($A402="","",IF(INDEX('潜水記録'!$AD$5:$AD$3004,$AS402)="","",INDEX('潜水記録'!$AD$5:$AD$3004,$AS402)))</f>
        <v/>
      </c>
      <c r="AF402" s="14">
        <f>IF($A402="","",IF(INDEX('潜水記録'!$AE$5:$AE$3004,$AS402)="","",INDEX('潜水記録'!$AE$5:$AE$3004,$AS402)))</f>
        <v/>
      </c>
      <c r="AG402" s="14">
        <f>IF($A402="","",IF(INDEX('潜水記録'!$AL$5:$AL$3004,$AS402)="","",INDEX('潜水記録'!$AL$5:$AL$3004,$AS402)))</f>
        <v/>
      </c>
      <c r="AH402" s="14">
        <f>IF($A402="","",IF(INDEX('潜水記録'!$AM$5:$AM$3004,$AS402)="","",INDEX('潜水記録'!$AM$5:$AM$3004,$AS402)))</f>
        <v/>
      </c>
      <c r="AI402" s="46">
        <f>IF($A402="","",IF(INDEX('潜水記録'!$AN$5:$AN$3004,$AS402)="","",INDEX('潜水記録'!$AN$5:$AN$3004,$AS402)))</f>
        <v/>
      </c>
      <c r="AJ402" s="14">
        <f>IF($A402="","",IF(INDEX('潜水記録'!$AO$5:$AO$3004,$AS402)="","",INDEX('潜水記録'!$AO$5:$AO$3004,$AS402)))</f>
        <v/>
      </c>
      <c r="AK402" s="14">
        <f>IF($A402="","",IF(INDEX('潜水記録'!$AP$5:$AP$3004,$AS402)="","",INDEX('潜水記録'!$AP$5:$AP$3004,$AS402)))</f>
        <v/>
      </c>
      <c r="AL402" s="14">
        <f>IF($A402="","",IF(INDEX('潜水記録'!$AQ$5:$AQ$3004,$AS402)="","",INDEX('潜水記録'!$AQ$5:$AQ$3004,$AS402)))</f>
        <v/>
      </c>
      <c r="AM402" s="14">
        <f>IF($A402="","",IF(INDEX('潜水記録'!$AR$5:$AR$3004,$AS402)="","",INDEX('潜水記録'!$AR$5:$AR$3004,$AS402)))</f>
        <v/>
      </c>
      <c r="AN402" s="14">
        <f>IF($A402="","",IF(INDEX('潜水記録'!$AS$5:$AS$3004,$AS402)="","",INDEX('潜水記録'!$AS$5:$AS$3004,$AS402)))</f>
        <v/>
      </c>
      <c r="AO402" s="14">
        <f>IF($A402="","",IF(INDEX('潜水記録'!$AT$5:$AT$3004,$AS402)="","",INDEX('潜水記録'!$AT$5:$AT$3004,$AS402)))</f>
        <v/>
      </c>
      <c r="AP402" s="14">
        <f>IF($A402="","",IF(INDEX('潜水記録'!$AU$5:$AU$3004,$AS402)="","",INDEX('潜水記録'!$AU$5:$AU$3004,$AS402)))</f>
        <v/>
      </c>
      <c r="AQ402" s="14">
        <f>IF($A402="","",IF(INDEX('潜水記録'!$AV$5:$AV$3004,$AS402)="","",INDEX('潜水記録'!$AV$5:$AV$3004,$AS402)))</f>
        <v/>
      </c>
      <c r="AR402" s="14">
        <f>IF($A402="","",IF(INDEX('潜水記録'!$AW$5:$AW$3004,$AS402)="","",INDEX('潜水記録'!$AW$5:$AW$3004,$AS402)))</f>
        <v/>
      </c>
      <c r="AS402" s="20">
        <f>IF($A402="","",MATCH($A402,'潜水記録'!$AI$5:$AI$3004,0))</f>
        <v/>
      </c>
    </row>
    <row r="403">
      <c r="A403" s="14">
        <f>IF(393&lt;=$C$8,393,"")</f>
        <v/>
      </c>
      <c r="B403" s="16">
        <f>IF($A403="","",IF(INDEX('潜水記録'!$A$5:$A$3004,$AS403)="","",INDEX('潜水記録'!$A$5:$A$3004,$AS403)))</f>
        <v/>
      </c>
      <c r="C403" s="14">
        <f>IF($A403="","",IF(INDEX('潜水記録'!$B$5:$B$3004,$AS403)="","",INDEX('潜水記録'!$B$5:$B$3004,$AS403)))</f>
        <v/>
      </c>
      <c r="D403" s="14">
        <f>IF($A403="","",IF(INDEX('潜水記録'!$C$5:$C$3004,$AS403)="","",INDEX('潜水記録'!$C$5:$C$3004,$AS403)))</f>
        <v/>
      </c>
      <c r="E403" s="14">
        <f>IF($A403="","",IF(INDEX('潜水記録'!$D$5:$D$3004,$AS403)="","",INDEX('潜水記録'!$D$5:$D$3004,$AS403)))</f>
        <v/>
      </c>
      <c r="F403" s="14">
        <f>IF($A403="","",IF(INDEX('潜水記録'!$E$5:$E$3004,$AS403)="","",INDEX('潜水記録'!$E$5:$E$3004,$AS403)))</f>
        <v/>
      </c>
      <c r="G403" s="14">
        <f>IF($A403="","",IF(INDEX('潜水記録'!$F$5:$F$3004,$AS403)="","",INDEX('潜水記録'!$F$5:$F$3004,$AS403)))</f>
        <v/>
      </c>
      <c r="H403" s="14">
        <f>IF($A403="","",IF(INDEX('潜水記録'!$G$5:$G$3004,$AS403)="","",INDEX('潜水記録'!$G$5:$G$3004,$AS403)))</f>
        <v/>
      </c>
      <c r="I403" s="14">
        <f>IF($A403="","",IF(INDEX('潜水記録'!$H$5:$H$3004,$AS403)="","",INDEX('潜水記録'!$H$5:$H$3004,$AS403)))</f>
        <v/>
      </c>
      <c r="J403" s="14">
        <f>IF($A403="","",IF(INDEX('潜水記録'!$I$5:$I$3004,$AS403)="","",INDEX('潜水記録'!$I$5:$I$3004,$AS403)))</f>
        <v/>
      </c>
      <c r="K403" s="14">
        <f>IF($A403="","",IF(INDEX('潜水記録'!$J$5:$J$3004,$AS403)="","",INDEX('潜水記録'!$J$5:$J$3004,$AS403)))</f>
        <v/>
      </c>
      <c r="L403" s="14">
        <f>IF($A403="","",IF(INDEX('潜水記録'!$K$5:$K$3004,$AS403)="","",INDEX('潜水記録'!$K$5:$K$3004,$AS403)))</f>
        <v/>
      </c>
      <c r="M403" s="14">
        <f>IF($A403="","",IF(INDEX('潜水記録'!$L$5:$L$3004,$AS403)="","",INDEX('潜水記録'!$L$5:$L$3004,$AS403)))</f>
        <v/>
      </c>
      <c r="N403" s="14">
        <f>IF($A403="","",IF(INDEX('潜水記録'!$M$5:$M$3004,$AS403)="","",INDEX('潜水記録'!$M$5:$M$3004,$AS403)))</f>
        <v/>
      </c>
      <c r="O403" s="14">
        <f>IF($A403="","",IF(INDEX('潜水記録'!$N$5:$N$3004,$AS403)="","",INDEX('潜水記録'!$N$5:$N$3004,$AS403)))</f>
        <v/>
      </c>
      <c r="P403" s="14">
        <f>IF($A403="","",IF(INDEX('潜水記録'!$O$5:$O$3004,$AS403)="","",INDEX('潜水記録'!$O$5:$O$3004,$AS403)))</f>
        <v/>
      </c>
      <c r="Q403" s="14">
        <f>IF($A403="","",IF(INDEX('潜水記録'!$P$5:$P$3004,$AS403)="","",INDEX('潜水記録'!$P$5:$P$3004,$AS403)))</f>
        <v/>
      </c>
      <c r="R403" s="14">
        <f>IF($A403="","",IF(INDEX('潜水記録'!$Q$5:$Q$3004,$AS403)="","",INDEX('潜水記録'!$Q$5:$Q$3004,$AS403)))</f>
        <v/>
      </c>
      <c r="S403" s="14">
        <f>IF($A403="","",IF(INDEX('潜水記録'!$R$5:$R$3004,$AS403)="","",INDEX('潜水記録'!$R$5:$R$3004,$AS403)))</f>
        <v/>
      </c>
      <c r="T403" s="14">
        <f>IF($A403="","",IF(INDEX('潜水記録'!$S$5:$S$3004,$AS403)="","",INDEX('潜水記録'!$S$5:$S$3004,$AS403)))</f>
        <v/>
      </c>
      <c r="U403" s="14">
        <f>IF($A403="","",IF(INDEX('潜水記録'!$T$5:$T$3004,$AS403)="","",INDEX('潜水記録'!$T$5:$T$3004,$AS403)))</f>
        <v/>
      </c>
      <c r="V403" s="46">
        <f>IF($A403="","",IF(INDEX('潜水記録'!$U$5:$U$3004,$AS403)="","",INDEX('潜水記録'!$U$5:$U$3004,$AS403)))</f>
        <v/>
      </c>
      <c r="W403" s="46">
        <f>IF($A403="","",IF(INDEX('潜水記録'!$V$5:$V$3004,$AS403)="","",INDEX('潜水記録'!$V$5:$V$3004,$AS403)))</f>
        <v/>
      </c>
      <c r="X403" s="14">
        <f>IF($A403="","",IF(INDEX('潜水記録'!$W$5:$W$3004,$AS403)="","",INDEX('潜水記録'!$W$5:$W$3004,$AS403)))</f>
        <v/>
      </c>
      <c r="Y403" s="14">
        <f>IF($A403="","",IF(INDEX('潜水記録'!$X$5:$X$3004,$AS403)="","",INDEX('潜水記録'!$X$5:$X$3004,$AS403)))</f>
        <v/>
      </c>
      <c r="Z403" s="14">
        <f>IF($A403="","",IF(INDEX('潜水記録'!$Y$5:$Y$3004,$AS403)="","",INDEX('潜水記録'!$Y$5:$Y$3004,$AS403)))</f>
        <v/>
      </c>
      <c r="AA403" s="14">
        <f>IF($A403="","",IF(INDEX('潜水記録'!$Z$5:$Z$3004,$AS403)="","",INDEX('潜水記録'!$Z$5:$Z$3004,$AS403)))</f>
        <v/>
      </c>
      <c r="AB403" s="14">
        <f>IF($A403="","",IF(INDEX('潜水記録'!$AA$5:$AA$3004,$AS403)="","",INDEX('潜水記録'!$AA$5:$AA$3004,$AS403)))</f>
        <v/>
      </c>
      <c r="AC403" s="14">
        <f>IF($A403="","",IF(INDEX('潜水記録'!$AB$5:$AB$3004,$AS403)="","",INDEX('潜水記録'!$AB$5:$AB$3004,$AS403)))</f>
        <v/>
      </c>
      <c r="AD403" s="14">
        <f>IF($A403="","",IF(INDEX('潜水記録'!$AC$5:$AC$3004,$AS403)="","",INDEX('潜水記録'!$AC$5:$AC$3004,$AS403)))</f>
        <v/>
      </c>
      <c r="AE403" s="14">
        <f>IF($A403="","",IF(INDEX('潜水記録'!$AD$5:$AD$3004,$AS403)="","",INDEX('潜水記録'!$AD$5:$AD$3004,$AS403)))</f>
        <v/>
      </c>
      <c r="AF403" s="14">
        <f>IF($A403="","",IF(INDEX('潜水記録'!$AE$5:$AE$3004,$AS403)="","",INDEX('潜水記録'!$AE$5:$AE$3004,$AS403)))</f>
        <v/>
      </c>
      <c r="AG403" s="14">
        <f>IF($A403="","",IF(INDEX('潜水記録'!$AL$5:$AL$3004,$AS403)="","",INDEX('潜水記録'!$AL$5:$AL$3004,$AS403)))</f>
        <v/>
      </c>
      <c r="AH403" s="14">
        <f>IF($A403="","",IF(INDEX('潜水記録'!$AM$5:$AM$3004,$AS403)="","",INDEX('潜水記録'!$AM$5:$AM$3004,$AS403)))</f>
        <v/>
      </c>
      <c r="AI403" s="46">
        <f>IF($A403="","",IF(INDEX('潜水記録'!$AN$5:$AN$3004,$AS403)="","",INDEX('潜水記録'!$AN$5:$AN$3004,$AS403)))</f>
        <v/>
      </c>
      <c r="AJ403" s="14">
        <f>IF($A403="","",IF(INDEX('潜水記録'!$AO$5:$AO$3004,$AS403)="","",INDEX('潜水記録'!$AO$5:$AO$3004,$AS403)))</f>
        <v/>
      </c>
      <c r="AK403" s="14">
        <f>IF($A403="","",IF(INDEX('潜水記録'!$AP$5:$AP$3004,$AS403)="","",INDEX('潜水記録'!$AP$5:$AP$3004,$AS403)))</f>
        <v/>
      </c>
      <c r="AL403" s="14">
        <f>IF($A403="","",IF(INDEX('潜水記録'!$AQ$5:$AQ$3004,$AS403)="","",INDEX('潜水記録'!$AQ$5:$AQ$3004,$AS403)))</f>
        <v/>
      </c>
      <c r="AM403" s="14">
        <f>IF($A403="","",IF(INDEX('潜水記録'!$AR$5:$AR$3004,$AS403)="","",INDEX('潜水記録'!$AR$5:$AR$3004,$AS403)))</f>
        <v/>
      </c>
      <c r="AN403" s="14">
        <f>IF($A403="","",IF(INDEX('潜水記録'!$AS$5:$AS$3004,$AS403)="","",INDEX('潜水記録'!$AS$5:$AS$3004,$AS403)))</f>
        <v/>
      </c>
      <c r="AO403" s="14">
        <f>IF($A403="","",IF(INDEX('潜水記録'!$AT$5:$AT$3004,$AS403)="","",INDEX('潜水記録'!$AT$5:$AT$3004,$AS403)))</f>
        <v/>
      </c>
      <c r="AP403" s="14">
        <f>IF($A403="","",IF(INDEX('潜水記録'!$AU$5:$AU$3004,$AS403)="","",INDEX('潜水記録'!$AU$5:$AU$3004,$AS403)))</f>
        <v/>
      </c>
      <c r="AQ403" s="14">
        <f>IF($A403="","",IF(INDEX('潜水記録'!$AV$5:$AV$3004,$AS403)="","",INDEX('潜水記録'!$AV$5:$AV$3004,$AS403)))</f>
        <v/>
      </c>
      <c r="AR403" s="14">
        <f>IF($A403="","",IF(INDEX('潜水記録'!$AW$5:$AW$3004,$AS403)="","",INDEX('潜水記録'!$AW$5:$AW$3004,$AS403)))</f>
        <v/>
      </c>
      <c r="AS403" s="20">
        <f>IF($A403="","",MATCH($A403,'潜水記録'!$AI$5:$AI$3004,0))</f>
        <v/>
      </c>
    </row>
    <row r="404">
      <c r="A404" s="14">
        <f>IF(394&lt;=$C$8,394,"")</f>
        <v/>
      </c>
      <c r="B404" s="16">
        <f>IF($A404="","",IF(INDEX('潜水記録'!$A$5:$A$3004,$AS404)="","",INDEX('潜水記録'!$A$5:$A$3004,$AS404)))</f>
        <v/>
      </c>
      <c r="C404" s="14">
        <f>IF($A404="","",IF(INDEX('潜水記録'!$B$5:$B$3004,$AS404)="","",INDEX('潜水記録'!$B$5:$B$3004,$AS404)))</f>
        <v/>
      </c>
      <c r="D404" s="14">
        <f>IF($A404="","",IF(INDEX('潜水記録'!$C$5:$C$3004,$AS404)="","",INDEX('潜水記録'!$C$5:$C$3004,$AS404)))</f>
        <v/>
      </c>
      <c r="E404" s="14">
        <f>IF($A404="","",IF(INDEX('潜水記録'!$D$5:$D$3004,$AS404)="","",INDEX('潜水記録'!$D$5:$D$3004,$AS404)))</f>
        <v/>
      </c>
      <c r="F404" s="14">
        <f>IF($A404="","",IF(INDEX('潜水記録'!$E$5:$E$3004,$AS404)="","",INDEX('潜水記録'!$E$5:$E$3004,$AS404)))</f>
        <v/>
      </c>
      <c r="G404" s="14">
        <f>IF($A404="","",IF(INDEX('潜水記録'!$F$5:$F$3004,$AS404)="","",INDEX('潜水記録'!$F$5:$F$3004,$AS404)))</f>
        <v/>
      </c>
      <c r="H404" s="14">
        <f>IF($A404="","",IF(INDEX('潜水記録'!$G$5:$G$3004,$AS404)="","",INDEX('潜水記録'!$G$5:$G$3004,$AS404)))</f>
        <v/>
      </c>
      <c r="I404" s="14">
        <f>IF($A404="","",IF(INDEX('潜水記録'!$H$5:$H$3004,$AS404)="","",INDEX('潜水記録'!$H$5:$H$3004,$AS404)))</f>
        <v/>
      </c>
      <c r="J404" s="14">
        <f>IF($A404="","",IF(INDEX('潜水記録'!$I$5:$I$3004,$AS404)="","",INDEX('潜水記録'!$I$5:$I$3004,$AS404)))</f>
        <v/>
      </c>
      <c r="K404" s="14">
        <f>IF($A404="","",IF(INDEX('潜水記録'!$J$5:$J$3004,$AS404)="","",INDEX('潜水記録'!$J$5:$J$3004,$AS404)))</f>
        <v/>
      </c>
      <c r="L404" s="14">
        <f>IF($A404="","",IF(INDEX('潜水記録'!$K$5:$K$3004,$AS404)="","",INDEX('潜水記録'!$K$5:$K$3004,$AS404)))</f>
        <v/>
      </c>
      <c r="M404" s="14">
        <f>IF($A404="","",IF(INDEX('潜水記録'!$L$5:$L$3004,$AS404)="","",INDEX('潜水記録'!$L$5:$L$3004,$AS404)))</f>
        <v/>
      </c>
      <c r="N404" s="14">
        <f>IF($A404="","",IF(INDEX('潜水記録'!$M$5:$M$3004,$AS404)="","",INDEX('潜水記録'!$M$5:$M$3004,$AS404)))</f>
        <v/>
      </c>
      <c r="O404" s="14">
        <f>IF($A404="","",IF(INDEX('潜水記録'!$N$5:$N$3004,$AS404)="","",INDEX('潜水記録'!$N$5:$N$3004,$AS404)))</f>
        <v/>
      </c>
      <c r="P404" s="14">
        <f>IF($A404="","",IF(INDEX('潜水記録'!$O$5:$O$3004,$AS404)="","",INDEX('潜水記録'!$O$5:$O$3004,$AS404)))</f>
        <v/>
      </c>
      <c r="Q404" s="14">
        <f>IF($A404="","",IF(INDEX('潜水記録'!$P$5:$P$3004,$AS404)="","",INDEX('潜水記録'!$P$5:$P$3004,$AS404)))</f>
        <v/>
      </c>
      <c r="R404" s="14">
        <f>IF($A404="","",IF(INDEX('潜水記録'!$Q$5:$Q$3004,$AS404)="","",INDEX('潜水記録'!$Q$5:$Q$3004,$AS404)))</f>
        <v/>
      </c>
      <c r="S404" s="14">
        <f>IF($A404="","",IF(INDEX('潜水記録'!$R$5:$R$3004,$AS404)="","",INDEX('潜水記録'!$R$5:$R$3004,$AS404)))</f>
        <v/>
      </c>
      <c r="T404" s="14">
        <f>IF($A404="","",IF(INDEX('潜水記録'!$S$5:$S$3004,$AS404)="","",INDEX('潜水記録'!$S$5:$S$3004,$AS404)))</f>
        <v/>
      </c>
      <c r="U404" s="14">
        <f>IF($A404="","",IF(INDEX('潜水記録'!$T$5:$T$3004,$AS404)="","",INDEX('潜水記録'!$T$5:$T$3004,$AS404)))</f>
        <v/>
      </c>
      <c r="V404" s="46">
        <f>IF($A404="","",IF(INDEX('潜水記録'!$U$5:$U$3004,$AS404)="","",INDEX('潜水記録'!$U$5:$U$3004,$AS404)))</f>
        <v/>
      </c>
      <c r="W404" s="46">
        <f>IF($A404="","",IF(INDEX('潜水記録'!$V$5:$V$3004,$AS404)="","",INDEX('潜水記録'!$V$5:$V$3004,$AS404)))</f>
        <v/>
      </c>
      <c r="X404" s="14">
        <f>IF($A404="","",IF(INDEX('潜水記録'!$W$5:$W$3004,$AS404)="","",INDEX('潜水記録'!$W$5:$W$3004,$AS404)))</f>
        <v/>
      </c>
      <c r="Y404" s="14">
        <f>IF($A404="","",IF(INDEX('潜水記録'!$X$5:$X$3004,$AS404)="","",INDEX('潜水記録'!$X$5:$X$3004,$AS404)))</f>
        <v/>
      </c>
      <c r="Z404" s="14">
        <f>IF($A404="","",IF(INDEX('潜水記録'!$Y$5:$Y$3004,$AS404)="","",INDEX('潜水記録'!$Y$5:$Y$3004,$AS404)))</f>
        <v/>
      </c>
      <c r="AA404" s="14">
        <f>IF($A404="","",IF(INDEX('潜水記録'!$Z$5:$Z$3004,$AS404)="","",INDEX('潜水記録'!$Z$5:$Z$3004,$AS404)))</f>
        <v/>
      </c>
      <c r="AB404" s="14">
        <f>IF($A404="","",IF(INDEX('潜水記録'!$AA$5:$AA$3004,$AS404)="","",INDEX('潜水記録'!$AA$5:$AA$3004,$AS404)))</f>
        <v/>
      </c>
      <c r="AC404" s="14">
        <f>IF($A404="","",IF(INDEX('潜水記録'!$AB$5:$AB$3004,$AS404)="","",INDEX('潜水記録'!$AB$5:$AB$3004,$AS404)))</f>
        <v/>
      </c>
      <c r="AD404" s="14">
        <f>IF($A404="","",IF(INDEX('潜水記録'!$AC$5:$AC$3004,$AS404)="","",INDEX('潜水記録'!$AC$5:$AC$3004,$AS404)))</f>
        <v/>
      </c>
      <c r="AE404" s="14">
        <f>IF($A404="","",IF(INDEX('潜水記録'!$AD$5:$AD$3004,$AS404)="","",INDEX('潜水記録'!$AD$5:$AD$3004,$AS404)))</f>
        <v/>
      </c>
      <c r="AF404" s="14">
        <f>IF($A404="","",IF(INDEX('潜水記録'!$AE$5:$AE$3004,$AS404)="","",INDEX('潜水記録'!$AE$5:$AE$3004,$AS404)))</f>
        <v/>
      </c>
      <c r="AG404" s="14">
        <f>IF($A404="","",IF(INDEX('潜水記録'!$AL$5:$AL$3004,$AS404)="","",INDEX('潜水記録'!$AL$5:$AL$3004,$AS404)))</f>
        <v/>
      </c>
      <c r="AH404" s="14">
        <f>IF($A404="","",IF(INDEX('潜水記録'!$AM$5:$AM$3004,$AS404)="","",INDEX('潜水記録'!$AM$5:$AM$3004,$AS404)))</f>
        <v/>
      </c>
      <c r="AI404" s="46">
        <f>IF($A404="","",IF(INDEX('潜水記録'!$AN$5:$AN$3004,$AS404)="","",INDEX('潜水記録'!$AN$5:$AN$3004,$AS404)))</f>
        <v/>
      </c>
      <c r="AJ404" s="14">
        <f>IF($A404="","",IF(INDEX('潜水記録'!$AO$5:$AO$3004,$AS404)="","",INDEX('潜水記録'!$AO$5:$AO$3004,$AS404)))</f>
        <v/>
      </c>
      <c r="AK404" s="14">
        <f>IF($A404="","",IF(INDEX('潜水記録'!$AP$5:$AP$3004,$AS404)="","",INDEX('潜水記録'!$AP$5:$AP$3004,$AS404)))</f>
        <v/>
      </c>
      <c r="AL404" s="14">
        <f>IF($A404="","",IF(INDEX('潜水記録'!$AQ$5:$AQ$3004,$AS404)="","",INDEX('潜水記録'!$AQ$5:$AQ$3004,$AS404)))</f>
        <v/>
      </c>
      <c r="AM404" s="14">
        <f>IF($A404="","",IF(INDEX('潜水記録'!$AR$5:$AR$3004,$AS404)="","",INDEX('潜水記録'!$AR$5:$AR$3004,$AS404)))</f>
        <v/>
      </c>
      <c r="AN404" s="14">
        <f>IF($A404="","",IF(INDEX('潜水記録'!$AS$5:$AS$3004,$AS404)="","",INDEX('潜水記録'!$AS$5:$AS$3004,$AS404)))</f>
        <v/>
      </c>
      <c r="AO404" s="14">
        <f>IF($A404="","",IF(INDEX('潜水記録'!$AT$5:$AT$3004,$AS404)="","",INDEX('潜水記録'!$AT$5:$AT$3004,$AS404)))</f>
        <v/>
      </c>
      <c r="AP404" s="14">
        <f>IF($A404="","",IF(INDEX('潜水記録'!$AU$5:$AU$3004,$AS404)="","",INDEX('潜水記録'!$AU$5:$AU$3004,$AS404)))</f>
        <v/>
      </c>
      <c r="AQ404" s="14">
        <f>IF($A404="","",IF(INDEX('潜水記録'!$AV$5:$AV$3004,$AS404)="","",INDEX('潜水記録'!$AV$5:$AV$3004,$AS404)))</f>
        <v/>
      </c>
      <c r="AR404" s="14">
        <f>IF($A404="","",IF(INDEX('潜水記録'!$AW$5:$AW$3004,$AS404)="","",INDEX('潜水記録'!$AW$5:$AW$3004,$AS404)))</f>
        <v/>
      </c>
      <c r="AS404" s="20">
        <f>IF($A404="","",MATCH($A404,'潜水記録'!$AI$5:$AI$3004,0))</f>
        <v/>
      </c>
    </row>
    <row r="405">
      <c r="A405" s="14">
        <f>IF(395&lt;=$C$8,395,"")</f>
        <v/>
      </c>
      <c r="B405" s="16">
        <f>IF($A405="","",IF(INDEX('潜水記録'!$A$5:$A$3004,$AS405)="","",INDEX('潜水記録'!$A$5:$A$3004,$AS405)))</f>
        <v/>
      </c>
      <c r="C405" s="14">
        <f>IF($A405="","",IF(INDEX('潜水記録'!$B$5:$B$3004,$AS405)="","",INDEX('潜水記録'!$B$5:$B$3004,$AS405)))</f>
        <v/>
      </c>
      <c r="D405" s="14">
        <f>IF($A405="","",IF(INDEX('潜水記録'!$C$5:$C$3004,$AS405)="","",INDEX('潜水記録'!$C$5:$C$3004,$AS405)))</f>
        <v/>
      </c>
      <c r="E405" s="14">
        <f>IF($A405="","",IF(INDEX('潜水記録'!$D$5:$D$3004,$AS405)="","",INDEX('潜水記録'!$D$5:$D$3004,$AS405)))</f>
        <v/>
      </c>
      <c r="F405" s="14">
        <f>IF($A405="","",IF(INDEX('潜水記録'!$E$5:$E$3004,$AS405)="","",INDEX('潜水記録'!$E$5:$E$3004,$AS405)))</f>
        <v/>
      </c>
      <c r="G405" s="14">
        <f>IF($A405="","",IF(INDEX('潜水記録'!$F$5:$F$3004,$AS405)="","",INDEX('潜水記録'!$F$5:$F$3004,$AS405)))</f>
        <v/>
      </c>
      <c r="H405" s="14">
        <f>IF($A405="","",IF(INDEX('潜水記録'!$G$5:$G$3004,$AS405)="","",INDEX('潜水記録'!$G$5:$G$3004,$AS405)))</f>
        <v/>
      </c>
      <c r="I405" s="14">
        <f>IF($A405="","",IF(INDEX('潜水記録'!$H$5:$H$3004,$AS405)="","",INDEX('潜水記録'!$H$5:$H$3004,$AS405)))</f>
        <v/>
      </c>
      <c r="J405" s="14">
        <f>IF($A405="","",IF(INDEX('潜水記録'!$I$5:$I$3004,$AS405)="","",INDEX('潜水記録'!$I$5:$I$3004,$AS405)))</f>
        <v/>
      </c>
      <c r="K405" s="14">
        <f>IF($A405="","",IF(INDEX('潜水記録'!$J$5:$J$3004,$AS405)="","",INDEX('潜水記録'!$J$5:$J$3004,$AS405)))</f>
        <v/>
      </c>
      <c r="L405" s="14">
        <f>IF($A405="","",IF(INDEX('潜水記録'!$K$5:$K$3004,$AS405)="","",INDEX('潜水記録'!$K$5:$K$3004,$AS405)))</f>
        <v/>
      </c>
      <c r="M405" s="14">
        <f>IF($A405="","",IF(INDEX('潜水記録'!$L$5:$L$3004,$AS405)="","",INDEX('潜水記録'!$L$5:$L$3004,$AS405)))</f>
        <v/>
      </c>
      <c r="N405" s="14">
        <f>IF($A405="","",IF(INDEX('潜水記録'!$M$5:$M$3004,$AS405)="","",INDEX('潜水記録'!$M$5:$M$3004,$AS405)))</f>
        <v/>
      </c>
      <c r="O405" s="14">
        <f>IF($A405="","",IF(INDEX('潜水記録'!$N$5:$N$3004,$AS405)="","",INDEX('潜水記録'!$N$5:$N$3004,$AS405)))</f>
        <v/>
      </c>
      <c r="P405" s="14">
        <f>IF($A405="","",IF(INDEX('潜水記録'!$O$5:$O$3004,$AS405)="","",INDEX('潜水記録'!$O$5:$O$3004,$AS405)))</f>
        <v/>
      </c>
      <c r="Q405" s="14">
        <f>IF($A405="","",IF(INDEX('潜水記録'!$P$5:$P$3004,$AS405)="","",INDEX('潜水記録'!$P$5:$P$3004,$AS405)))</f>
        <v/>
      </c>
      <c r="R405" s="14">
        <f>IF($A405="","",IF(INDEX('潜水記録'!$Q$5:$Q$3004,$AS405)="","",INDEX('潜水記録'!$Q$5:$Q$3004,$AS405)))</f>
        <v/>
      </c>
      <c r="S405" s="14">
        <f>IF($A405="","",IF(INDEX('潜水記録'!$R$5:$R$3004,$AS405)="","",INDEX('潜水記録'!$R$5:$R$3004,$AS405)))</f>
        <v/>
      </c>
      <c r="T405" s="14">
        <f>IF($A405="","",IF(INDEX('潜水記録'!$S$5:$S$3004,$AS405)="","",INDEX('潜水記録'!$S$5:$S$3004,$AS405)))</f>
        <v/>
      </c>
      <c r="U405" s="14">
        <f>IF($A405="","",IF(INDEX('潜水記録'!$T$5:$T$3004,$AS405)="","",INDEX('潜水記録'!$T$5:$T$3004,$AS405)))</f>
        <v/>
      </c>
      <c r="V405" s="46">
        <f>IF($A405="","",IF(INDEX('潜水記録'!$U$5:$U$3004,$AS405)="","",INDEX('潜水記録'!$U$5:$U$3004,$AS405)))</f>
        <v/>
      </c>
      <c r="W405" s="46">
        <f>IF($A405="","",IF(INDEX('潜水記録'!$V$5:$V$3004,$AS405)="","",INDEX('潜水記録'!$V$5:$V$3004,$AS405)))</f>
        <v/>
      </c>
      <c r="X405" s="14">
        <f>IF($A405="","",IF(INDEX('潜水記録'!$W$5:$W$3004,$AS405)="","",INDEX('潜水記録'!$W$5:$W$3004,$AS405)))</f>
        <v/>
      </c>
      <c r="Y405" s="14">
        <f>IF($A405="","",IF(INDEX('潜水記録'!$X$5:$X$3004,$AS405)="","",INDEX('潜水記録'!$X$5:$X$3004,$AS405)))</f>
        <v/>
      </c>
      <c r="Z405" s="14">
        <f>IF($A405="","",IF(INDEX('潜水記録'!$Y$5:$Y$3004,$AS405)="","",INDEX('潜水記録'!$Y$5:$Y$3004,$AS405)))</f>
        <v/>
      </c>
      <c r="AA405" s="14">
        <f>IF($A405="","",IF(INDEX('潜水記録'!$Z$5:$Z$3004,$AS405)="","",INDEX('潜水記録'!$Z$5:$Z$3004,$AS405)))</f>
        <v/>
      </c>
      <c r="AB405" s="14">
        <f>IF($A405="","",IF(INDEX('潜水記録'!$AA$5:$AA$3004,$AS405)="","",INDEX('潜水記録'!$AA$5:$AA$3004,$AS405)))</f>
        <v/>
      </c>
      <c r="AC405" s="14">
        <f>IF($A405="","",IF(INDEX('潜水記録'!$AB$5:$AB$3004,$AS405)="","",INDEX('潜水記録'!$AB$5:$AB$3004,$AS405)))</f>
        <v/>
      </c>
      <c r="AD405" s="14">
        <f>IF($A405="","",IF(INDEX('潜水記録'!$AC$5:$AC$3004,$AS405)="","",INDEX('潜水記録'!$AC$5:$AC$3004,$AS405)))</f>
        <v/>
      </c>
      <c r="AE405" s="14">
        <f>IF($A405="","",IF(INDEX('潜水記録'!$AD$5:$AD$3004,$AS405)="","",INDEX('潜水記録'!$AD$5:$AD$3004,$AS405)))</f>
        <v/>
      </c>
      <c r="AF405" s="14">
        <f>IF($A405="","",IF(INDEX('潜水記録'!$AE$5:$AE$3004,$AS405)="","",INDEX('潜水記録'!$AE$5:$AE$3004,$AS405)))</f>
        <v/>
      </c>
      <c r="AG405" s="14">
        <f>IF($A405="","",IF(INDEX('潜水記録'!$AL$5:$AL$3004,$AS405)="","",INDEX('潜水記録'!$AL$5:$AL$3004,$AS405)))</f>
        <v/>
      </c>
      <c r="AH405" s="14">
        <f>IF($A405="","",IF(INDEX('潜水記録'!$AM$5:$AM$3004,$AS405)="","",INDEX('潜水記録'!$AM$5:$AM$3004,$AS405)))</f>
        <v/>
      </c>
      <c r="AI405" s="46">
        <f>IF($A405="","",IF(INDEX('潜水記録'!$AN$5:$AN$3004,$AS405)="","",INDEX('潜水記録'!$AN$5:$AN$3004,$AS405)))</f>
        <v/>
      </c>
      <c r="AJ405" s="14">
        <f>IF($A405="","",IF(INDEX('潜水記録'!$AO$5:$AO$3004,$AS405)="","",INDEX('潜水記録'!$AO$5:$AO$3004,$AS405)))</f>
        <v/>
      </c>
      <c r="AK405" s="14">
        <f>IF($A405="","",IF(INDEX('潜水記録'!$AP$5:$AP$3004,$AS405)="","",INDEX('潜水記録'!$AP$5:$AP$3004,$AS405)))</f>
        <v/>
      </c>
      <c r="AL405" s="14">
        <f>IF($A405="","",IF(INDEX('潜水記録'!$AQ$5:$AQ$3004,$AS405)="","",INDEX('潜水記録'!$AQ$5:$AQ$3004,$AS405)))</f>
        <v/>
      </c>
      <c r="AM405" s="14">
        <f>IF($A405="","",IF(INDEX('潜水記録'!$AR$5:$AR$3004,$AS405)="","",INDEX('潜水記録'!$AR$5:$AR$3004,$AS405)))</f>
        <v/>
      </c>
      <c r="AN405" s="14">
        <f>IF($A405="","",IF(INDEX('潜水記録'!$AS$5:$AS$3004,$AS405)="","",INDEX('潜水記録'!$AS$5:$AS$3004,$AS405)))</f>
        <v/>
      </c>
      <c r="AO405" s="14">
        <f>IF($A405="","",IF(INDEX('潜水記録'!$AT$5:$AT$3004,$AS405)="","",INDEX('潜水記録'!$AT$5:$AT$3004,$AS405)))</f>
        <v/>
      </c>
      <c r="AP405" s="14">
        <f>IF($A405="","",IF(INDEX('潜水記録'!$AU$5:$AU$3004,$AS405)="","",INDEX('潜水記録'!$AU$5:$AU$3004,$AS405)))</f>
        <v/>
      </c>
      <c r="AQ405" s="14">
        <f>IF($A405="","",IF(INDEX('潜水記録'!$AV$5:$AV$3004,$AS405)="","",INDEX('潜水記録'!$AV$5:$AV$3004,$AS405)))</f>
        <v/>
      </c>
      <c r="AR405" s="14">
        <f>IF($A405="","",IF(INDEX('潜水記録'!$AW$5:$AW$3004,$AS405)="","",INDEX('潜水記録'!$AW$5:$AW$3004,$AS405)))</f>
        <v/>
      </c>
      <c r="AS405" s="20">
        <f>IF($A405="","",MATCH($A405,'潜水記録'!$AI$5:$AI$3004,0))</f>
        <v/>
      </c>
    </row>
    <row r="406">
      <c r="A406" s="14">
        <f>IF(396&lt;=$C$8,396,"")</f>
        <v/>
      </c>
      <c r="B406" s="16">
        <f>IF($A406="","",IF(INDEX('潜水記録'!$A$5:$A$3004,$AS406)="","",INDEX('潜水記録'!$A$5:$A$3004,$AS406)))</f>
        <v/>
      </c>
      <c r="C406" s="14">
        <f>IF($A406="","",IF(INDEX('潜水記録'!$B$5:$B$3004,$AS406)="","",INDEX('潜水記録'!$B$5:$B$3004,$AS406)))</f>
        <v/>
      </c>
      <c r="D406" s="14">
        <f>IF($A406="","",IF(INDEX('潜水記録'!$C$5:$C$3004,$AS406)="","",INDEX('潜水記録'!$C$5:$C$3004,$AS406)))</f>
        <v/>
      </c>
      <c r="E406" s="14">
        <f>IF($A406="","",IF(INDEX('潜水記録'!$D$5:$D$3004,$AS406)="","",INDEX('潜水記録'!$D$5:$D$3004,$AS406)))</f>
        <v/>
      </c>
      <c r="F406" s="14">
        <f>IF($A406="","",IF(INDEX('潜水記録'!$E$5:$E$3004,$AS406)="","",INDEX('潜水記録'!$E$5:$E$3004,$AS406)))</f>
        <v/>
      </c>
      <c r="G406" s="14">
        <f>IF($A406="","",IF(INDEX('潜水記録'!$F$5:$F$3004,$AS406)="","",INDEX('潜水記録'!$F$5:$F$3004,$AS406)))</f>
        <v/>
      </c>
      <c r="H406" s="14">
        <f>IF($A406="","",IF(INDEX('潜水記録'!$G$5:$G$3004,$AS406)="","",INDEX('潜水記録'!$G$5:$G$3004,$AS406)))</f>
        <v/>
      </c>
      <c r="I406" s="14">
        <f>IF($A406="","",IF(INDEX('潜水記録'!$H$5:$H$3004,$AS406)="","",INDEX('潜水記録'!$H$5:$H$3004,$AS406)))</f>
        <v/>
      </c>
      <c r="J406" s="14">
        <f>IF($A406="","",IF(INDEX('潜水記録'!$I$5:$I$3004,$AS406)="","",INDEX('潜水記録'!$I$5:$I$3004,$AS406)))</f>
        <v/>
      </c>
      <c r="K406" s="14">
        <f>IF($A406="","",IF(INDEX('潜水記録'!$J$5:$J$3004,$AS406)="","",INDEX('潜水記録'!$J$5:$J$3004,$AS406)))</f>
        <v/>
      </c>
      <c r="L406" s="14">
        <f>IF($A406="","",IF(INDEX('潜水記録'!$K$5:$K$3004,$AS406)="","",INDEX('潜水記録'!$K$5:$K$3004,$AS406)))</f>
        <v/>
      </c>
      <c r="M406" s="14">
        <f>IF($A406="","",IF(INDEX('潜水記録'!$L$5:$L$3004,$AS406)="","",INDEX('潜水記録'!$L$5:$L$3004,$AS406)))</f>
        <v/>
      </c>
      <c r="N406" s="14">
        <f>IF($A406="","",IF(INDEX('潜水記録'!$M$5:$M$3004,$AS406)="","",INDEX('潜水記録'!$M$5:$M$3004,$AS406)))</f>
        <v/>
      </c>
      <c r="O406" s="14">
        <f>IF($A406="","",IF(INDEX('潜水記録'!$N$5:$N$3004,$AS406)="","",INDEX('潜水記録'!$N$5:$N$3004,$AS406)))</f>
        <v/>
      </c>
      <c r="P406" s="14">
        <f>IF($A406="","",IF(INDEX('潜水記録'!$O$5:$O$3004,$AS406)="","",INDEX('潜水記録'!$O$5:$O$3004,$AS406)))</f>
        <v/>
      </c>
      <c r="Q406" s="14">
        <f>IF($A406="","",IF(INDEX('潜水記録'!$P$5:$P$3004,$AS406)="","",INDEX('潜水記録'!$P$5:$P$3004,$AS406)))</f>
        <v/>
      </c>
      <c r="R406" s="14">
        <f>IF($A406="","",IF(INDEX('潜水記録'!$Q$5:$Q$3004,$AS406)="","",INDEX('潜水記録'!$Q$5:$Q$3004,$AS406)))</f>
        <v/>
      </c>
      <c r="S406" s="14">
        <f>IF($A406="","",IF(INDEX('潜水記録'!$R$5:$R$3004,$AS406)="","",INDEX('潜水記録'!$R$5:$R$3004,$AS406)))</f>
        <v/>
      </c>
      <c r="T406" s="14">
        <f>IF($A406="","",IF(INDEX('潜水記録'!$S$5:$S$3004,$AS406)="","",INDEX('潜水記録'!$S$5:$S$3004,$AS406)))</f>
        <v/>
      </c>
      <c r="U406" s="14">
        <f>IF($A406="","",IF(INDEX('潜水記録'!$T$5:$T$3004,$AS406)="","",INDEX('潜水記録'!$T$5:$T$3004,$AS406)))</f>
        <v/>
      </c>
      <c r="V406" s="46">
        <f>IF($A406="","",IF(INDEX('潜水記録'!$U$5:$U$3004,$AS406)="","",INDEX('潜水記録'!$U$5:$U$3004,$AS406)))</f>
        <v/>
      </c>
      <c r="W406" s="46">
        <f>IF($A406="","",IF(INDEX('潜水記録'!$V$5:$V$3004,$AS406)="","",INDEX('潜水記録'!$V$5:$V$3004,$AS406)))</f>
        <v/>
      </c>
      <c r="X406" s="14">
        <f>IF($A406="","",IF(INDEX('潜水記録'!$W$5:$W$3004,$AS406)="","",INDEX('潜水記録'!$W$5:$W$3004,$AS406)))</f>
        <v/>
      </c>
      <c r="Y406" s="14">
        <f>IF($A406="","",IF(INDEX('潜水記録'!$X$5:$X$3004,$AS406)="","",INDEX('潜水記録'!$X$5:$X$3004,$AS406)))</f>
        <v/>
      </c>
      <c r="Z406" s="14">
        <f>IF($A406="","",IF(INDEX('潜水記録'!$Y$5:$Y$3004,$AS406)="","",INDEX('潜水記録'!$Y$5:$Y$3004,$AS406)))</f>
        <v/>
      </c>
      <c r="AA406" s="14">
        <f>IF($A406="","",IF(INDEX('潜水記録'!$Z$5:$Z$3004,$AS406)="","",INDEX('潜水記録'!$Z$5:$Z$3004,$AS406)))</f>
        <v/>
      </c>
      <c r="AB406" s="14">
        <f>IF($A406="","",IF(INDEX('潜水記録'!$AA$5:$AA$3004,$AS406)="","",INDEX('潜水記録'!$AA$5:$AA$3004,$AS406)))</f>
        <v/>
      </c>
      <c r="AC406" s="14">
        <f>IF($A406="","",IF(INDEX('潜水記録'!$AB$5:$AB$3004,$AS406)="","",INDEX('潜水記録'!$AB$5:$AB$3004,$AS406)))</f>
        <v/>
      </c>
      <c r="AD406" s="14">
        <f>IF($A406="","",IF(INDEX('潜水記録'!$AC$5:$AC$3004,$AS406)="","",INDEX('潜水記録'!$AC$5:$AC$3004,$AS406)))</f>
        <v/>
      </c>
      <c r="AE406" s="14">
        <f>IF($A406="","",IF(INDEX('潜水記録'!$AD$5:$AD$3004,$AS406)="","",INDEX('潜水記録'!$AD$5:$AD$3004,$AS406)))</f>
        <v/>
      </c>
      <c r="AF406" s="14">
        <f>IF($A406="","",IF(INDEX('潜水記録'!$AE$5:$AE$3004,$AS406)="","",INDEX('潜水記録'!$AE$5:$AE$3004,$AS406)))</f>
        <v/>
      </c>
      <c r="AG406" s="14">
        <f>IF($A406="","",IF(INDEX('潜水記録'!$AL$5:$AL$3004,$AS406)="","",INDEX('潜水記録'!$AL$5:$AL$3004,$AS406)))</f>
        <v/>
      </c>
      <c r="AH406" s="14">
        <f>IF($A406="","",IF(INDEX('潜水記録'!$AM$5:$AM$3004,$AS406)="","",INDEX('潜水記録'!$AM$5:$AM$3004,$AS406)))</f>
        <v/>
      </c>
      <c r="AI406" s="46">
        <f>IF($A406="","",IF(INDEX('潜水記録'!$AN$5:$AN$3004,$AS406)="","",INDEX('潜水記録'!$AN$5:$AN$3004,$AS406)))</f>
        <v/>
      </c>
      <c r="AJ406" s="14">
        <f>IF($A406="","",IF(INDEX('潜水記録'!$AO$5:$AO$3004,$AS406)="","",INDEX('潜水記録'!$AO$5:$AO$3004,$AS406)))</f>
        <v/>
      </c>
      <c r="AK406" s="14">
        <f>IF($A406="","",IF(INDEX('潜水記録'!$AP$5:$AP$3004,$AS406)="","",INDEX('潜水記録'!$AP$5:$AP$3004,$AS406)))</f>
        <v/>
      </c>
      <c r="AL406" s="14">
        <f>IF($A406="","",IF(INDEX('潜水記録'!$AQ$5:$AQ$3004,$AS406)="","",INDEX('潜水記録'!$AQ$5:$AQ$3004,$AS406)))</f>
        <v/>
      </c>
      <c r="AM406" s="14">
        <f>IF($A406="","",IF(INDEX('潜水記録'!$AR$5:$AR$3004,$AS406)="","",INDEX('潜水記録'!$AR$5:$AR$3004,$AS406)))</f>
        <v/>
      </c>
      <c r="AN406" s="14">
        <f>IF($A406="","",IF(INDEX('潜水記録'!$AS$5:$AS$3004,$AS406)="","",INDEX('潜水記録'!$AS$5:$AS$3004,$AS406)))</f>
        <v/>
      </c>
      <c r="AO406" s="14">
        <f>IF($A406="","",IF(INDEX('潜水記録'!$AT$5:$AT$3004,$AS406)="","",INDEX('潜水記録'!$AT$5:$AT$3004,$AS406)))</f>
        <v/>
      </c>
      <c r="AP406" s="14">
        <f>IF($A406="","",IF(INDEX('潜水記録'!$AU$5:$AU$3004,$AS406)="","",INDEX('潜水記録'!$AU$5:$AU$3004,$AS406)))</f>
        <v/>
      </c>
      <c r="AQ406" s="14">
        <f>IF($A406="","",IF(INDEX('潜水記録'!$AV$5:$AV$3004,$AS406)="","",INDEX('潜水記録'!$AV$5:$AV$3004,$AS406)))</f>
        <v/>
      </c>
      <c r="AR406" s="14">
        <f>IF($A406="","",IF(INDEX('潜水記録'!$AW$5:$AW$3004,$AS406)="","",INDEX('潜水記録'!$AW$5:$AW$3004,$AS406)))</f>
        <v/>
      </c>
      <c r="AS406" s="20">
        <f>IF($A406="","",MATCH($A406,'潜水記録'!$AI$5:$AI$3004,0))</f>
        <v/>
      </c>
    </row>
    <row r="407">
      <c r="A407" s="14">
        <f>IF(397&lt;=$C$8,397,"")</f>
        <v/>
      </c>
      <c r="B407" s="16">
        <f>IF($A407="","",IF(INDEX('潜水記録'!$A$5:$A$3004,$AS407)="","",INDEX('潜水記録'!$A$5:$A$3004,$AS407)))</f>
        <v/>
      </c>
      <c r="C407" s="14">
        <f>IF($A407="","",IF(INDEX('潜水記録'!$B$5:$B$3004,$AS407)="","",INDEX('潜水記録'!$B$5:$B$3004,$AS407)))</f>
        <v/>
      </c>
      <c r="D407" s="14">
        <f>IF($A407="","",IF(INDEX('潜水記録'!$C$5:$C$3004,$AS407)="","",INDEX('潜水記録'!$C$5:$C$3004,$AS407)))</f>
        <v/>
      </c>
      <c r="E407" s="14">
        <f>IF($A407="","",IF(INDEX('潜水記録'!$D$5:$D$3004,$AS407)="","",INDEX('潜水記録'!$D$5:$D$3004,$AS407)))</f>
        <v/>
      </c>
      <c r="F407" s="14">
        <f>IF($A407="","",IF(INDEX('潜水記録'!$E$5:$E$3004,$AS407)="","",INDEX('潜水記録'!$E$5:$E$3004,$AS407)))</f>
        <v/>
      </c>
      <c r="G407" s="14">
        <f>IF($A407="","",IF(INDEX('潜水記録'!$F$5:$F$3004,$AS407)="","",INDEX('潜水記録'!$F$5:$F$3004,$AS407)))</f>
        <v/>
      </c>
      <c r="H407" s="14">
        <f>IF($A407="","",IF(INDEX('潜水記録'!$G$5:$G$3004,$AS407)="","",INDEX('潜水記録'!$G$5:$G$3004,$AS407)))</f>
        <v/>
      </c>
      <c r="I407" s="14">
        <f>IF($A407="","",IF(INDEX('潜水記録'!$H$5:$H$3004,$AS407)="","",INDEX('潜水記録'!$H$5:$H$3004,$AS407)))</f>
        <v/>
      </c>
      <c r="J407" s="14">
        <f>IF($A407="","",IF(INDEX('潜水記録'!$I$5:$I$3004,$AS407)="","",INDEX('潜水記録'!$I$5:$I$3004,$AS407)))</f>
        <v/>
      </c>
      <c r="K407" s="14">
        <f>IF($A407="","",IF(INDEX('潜水記録'!$J$5:$J$3004,$AS407)="","",INDEX('潜水記録'!$J$5:$J$3004,$AS407)))</f>
        <v/>
      </c>
      <c r="L407" s="14">
        <f>IF($A407="","",IF(INDEX('潜水記録'!$K$5:$K$3004,$AS407)="","",INDEX('潜水記録'!$K$5:$K$3004,$AS407)))</f>
        <v/>
      </c>
      <c r="M407" s="14">
        <f>IF($A407="","",IF(INDEX('潜水記録'!$L$5:$L$3004,$AS407)="","",INDEX('潜水記録'!$L$5:$L$3004,$AS407)))</f>
        <v/>
      </c>
      <c r="N407" s="14">
        <f>IF($A407="","",IF(INDEX('潜水記録'!$M$5:$M$3004,$AS407)="","",INDEX('潜水記録'!$M$5:$M$3004,$AS407)))</f>
        <v/>
      </c>
      <c r="O407" s="14">
        <f>IF($A407="","",IF(INDEX('潜水記録'!$N$5:$N$3004,$AS407)="","",INDEX('潜水記録'!$N$5:$N$3004,$AS407)))</f>
        <v/>
      </c>
      <c r="P407" s="14">
        <f>IF($A407="","",IF(INDEX('潜水記録'!$O$5:$O$3004,$AS407)="","",INDEX('潜水記録'!$O$5:$O$3004,$AS407)))</f>
        <v/>
      </c>
      <c r="Q407" s="14">
        <f>IF($A407="","",IF(INDEX('潜水記録'!$P$5:$P$3004,$AS407)="","",INDEX('潜水記録'!$P$5:$P$3004,$AS407)))</f>
        <v/>
      </c>
      <c r="R407" s="14">
        <f>IF($A407="","",IF(INDEX('潜水記録'!$Q$5:$Q$3004,$AS407)="","",INDEX('潜水記録'!$Q$5:$Q$3004,$AS407)))</f>
        <v/>
      </c>
      <c r="S407" s="14">
        <f>IF($A407="","",IF(INDEX('潜水記録'!$R$5:$R$3004,$AS407)="","",INDEX('潜水記録'!$R$5:$R$3004,$AS407)))</f>
        <v/>
      </c>
      <c r="T407" s="14">
        <f>IF($A407="","",IF(INDEX('潜水記録'!$S$5:$S$3004,$AS407)="","",INDEX('潜水記録'!$S$5:$S$3004,$AS407)))</f>
        <v/>
      </c>
      <c r="U407" s="14">
        <f>IF($A407="","",IF(INDEX('潜水記録'!$T$5:$T$3004,$AS407)="","",INDEX('潜水記録'!$T$5:$T$3004,$AS407)))</f>
        <v/>
      </c>
      <c r="V407" s="46">
        <f>IF($A407="","",IF(INDEX('潜水記録'!$U$5:$U$3004,$AS407)="","",INDEX('潜水記録'!$U$5:$U$3004,$AS407)))</f>
        <v/>
      </c>
      <c r="W407" s="46">
        <f>IF($A407="","",IF(INDEX('潜水記録'!$V$5:$V$3004,$AS407)="","",INDEX('潜水記録'!$V$5:$V$3004,$AS407)))</f>
        <v/>
      </c>
      <c r="X407" s="14">
        <f>IF($A407="","",IF(INDEX('潜水記録'!$W$5:$W$3004,$AS407)="","",INDEX('潜水記録'!$W$5:$W$3004,$AS407)))</f>
        <v/>
      </c>
      <c r="Y407" s="14">
        <f>IF($A407="","",IF(INDEX('潜水記録'!$X$5:$X$3004,$AS407)="","",INDEX('潜水記録'!$X$5:$X$3004,$AS407)))</f>
        <v/>
      </c>
      <c r="Z407" s="14">
        <f>IF($A407="","",IF(INDEX('潜水記録'!$Y$5:$Y$3004,$AS407)="","",INDEX('潜水記録'!$Y$5:$Y$3004,$AS407)))</f>
        <v/>
      </c>
      <c r="AA407" s="14">
        <f>IF($A407="","",IF(INDEX('潜水記録'!$Z$5:$Z$3004,$AS407)="","",INDEX('潜水記録'!$Z$5:$Z$3004,$AS407)))</f>
        <v/>
      </c>
      <c r="AB407" s="14">
        <f>IF($A407="","",IF(INDEX('潜水記録'!$AA$5:$AA$3004,$AS407)="","",INDEX('潜水記録'!$AA$5:$AA$3004,$AS407)))</f>
        <v/>
      </c>
      <c r="AC407" s="14">
        <f>IF($A407="","",IF(INDEX('潜水記録'!$AB$5:$AB$3004,$AS407)="","",INDEX('潜水記録'!$AB$5:$AB$3004,$AS407)))</f>
        <v/>
      </c>
      <c r="AD407" s="14">
        <f>IF($A407="","",IF(INDEX('潜水記録'!$AC$5:$AC$3004,$AS407)="","",INDEX('潜水記録'!$AC$5:$AC$3004,$AS407)))</f>
        <v/>
      </c>
      <c r="AE407" s="14">
        <f>IF($A407="","",IF(INDEX('潜水記録'!$AD$5:$AD$3004,$AS407)="","",INDEX('潜水記録'!$AD$5:$AD$3004,$AS407)))</f>
        <v/>
      </c>
      <c r="AF407" s="14">
        <f>IF($A407="","",IF(INDEX('潜水記録'!$AE$5:$AE$3004,$AS407)="","",INDEX('潜水記録'!$AE$5:$AE$3004,$AS407)))</f>
        <v/>
      </c>
      <c r="AG407" s="14">
        <f>IF($A407="","",IF(INDEX('潜水記録'!$AL$5:$AL$3004,$AS407)="","",INDEX('潜水記録'!$AL$5:$AL$3004,$AS407)))</f>
        <v/>
      </c>
      <c r="AH407" s="14">
        <f>IF($A407="","",IF(INDEX('潜水記録'!$AM$5:$AM$3004,$AS407)="","",INDEX('潜水記録'!$AM$5:$AM$3004,$AS407)))</f>
        <v/>
      </c>
      <c r="AI407" s="46">
        <f>IF($A407="","",IF(INDEX('潜水記録'!$AN$5:$AN$3004,$AS407)="","",INDEX('潜水記録'!$AN$5:$AN$3004,$AS407)))</f>
        <v/>
      </c>
      <c r="AJ407" s="14">
        <f>IF($A407="","",IF(INDEX('潜水記録'!$AO$5:$AO$3004,$AS407)="","",INDEX('潜水記録'!$AO$5:$AO$3004,$AS407)))</f>
        <v/>
      </c>
      <c r="AK407" s="14">
        <f>IF($A407="","",IF(INDEX('潜水記録'!$AP$5:$AP$3004,$AS407)="","",INDEX('潜水記録'!$AP$5:$AP$3004,$AS407)))</f>
        <v/>
      </c>
      <c r="AL407" s="14">
        <f>IF($A407="","",IF(INDEX('潜水記録'!$AQ$5:$AQ$3004,$AS407)="","",INDEX('潜水記録'!$AQ$5:$AQ$3004,$AS407)))</f>
        <v/>
      </c>
      <c r="AM407" s="14">
        <f>IF($A407="","",IF(INDEX('潜水記録'!$AR$5:$AR$3004,$AS407)="","",INDEX('潜水記録'!$AR$5:$AR$3004,$AS407)))</f>
        <v/>
      </c>
      <c r="AN407" s="14">
        <f>IF($A407="","",IF(INDEX('潜水記録'!$AS$5:$AS$3004,$AS407)="","",INDEX('潜水記録'!$AS$5:$AS$3004,$AS407)))</f>
        <v/>
      </c>
      <c r="AO407" s="14">
        <f>IF($A407="","",IF(INDEX('潜水記録'!$AT$5:$AT$3004,$AS407)="","",INDEX('潜水記録'!$AT$5:$AT$3004,$AS407)))</f>
        <v/>
      </c>
      <c r="AP407" s="14">
        <f>IF($A407="","",IF(INDEX('潜水記録'!$AU$5:$AU$3004,$AS407)="","",INDEX('潜水記録'!$AU$5:$AU$3004,$AS407)))</f>
        <v/>
      </c>
      <c r="AQ407" s="14">
        <f>IF($A407="","",IF(INDEX('潜水記録'!$AV$5:$AV$3004,$AS407)="","",INDEX('潜水記録'!$AV$5:$AV$3004,$AS407)))</f>
        <v/>
      </c>
      <c r="AR407" s="14">
        <f>IF($A407="","",IF(INDEX('潜水記録'!$AW$5:$AW$3004,$AS407)="","",INDEX('潜水記録'!$AW$5:$AW$3004,$AS407)))</f>
        <v/>
      </c>
      <c r="AS407" s="20">
        <f>IF($A407="","",MATCH($A407,'潜水記録'!$AI$5:$AI$3004,0))</f>
        <v/>
      </c>
    </row>
    <row r="408">
      <c r="A408" s="14">
        <f>IF(398&lt;=$C$8,398,"")</f>
        <v/>
      </c>
      <c r="B408" s="16">
        <f>IF($A408="","",IF(INDEX('潜水記録'!$A$5:$A$3004,$AS408)="","",INDEX('潜水記録'!$A$5:$A$3004,$AS408)))</f>
        <v/>
      </c>
      <c r="C408" s="14">
        <f>IF($A408="","",IF(INDEX('潜水記録'!$B$5:$B$3004,$AS408)="","",INDEX('潜水記録'!$B$5:$B$3004,$AS408)))</f>
        <v/>
      </c>
      <c r="D408" s="14">
        <f>IF($A408="","",IF(INDEX('潜水記録'!$C$5:$C$3004,$AS408)="","",INDEX('潜水記録'!$C$5:$C$3004,$AS408)))</f>
        <v/>
      </c>
      <c r="E408" s="14">
        <f>IF($A408="","",IF(INDEX('潜水記録'!$D$5:$D$3004,$AS408)="","",INDEX('潜水記録'!$D$5:$D$3004,$AS408)))</f>
        <v/>
      </c>
      <c r="F408" s="14">
        <f>IF($A408="","",IF(INDEX('潜水記録'!$E$5:$E$3004,$AS408)="","",INDEX('潜水記録'!$E$5:$E$3004,$AS408)))</f>
        <v/>
      </c>
      <c r="G408" s="14">
        <f>IF($A408="","",IF(INDEX('潜水記録'!$F$5:$F$3004,$AS408)="","",INDEX('潜水記録'!$F$5:$F$3004,$AS408)))</f>
        <v/>
      </c>
      <c r="H408" s="14">
        <f>IF($A408="","",IF(INDEX('潜水記録'!$G$5:$G$3004,$AS408)="","",INDEX('潜水記録'!$G$5:$G$3004,$AS408)))</f>
        <v/>
      </c>
      <c r="I408" s="14">
        <f>IF($A408="","",IF(INDEX('潜水記録'!$H$5:$H$3004,$AS408)="","",INDEX('潜水記録'!$H$5:$H$3004,$AS408)))</f>
        <v/>
      </c>
      <c r="J408" s="14">
        <f>IF($A408="","",IF(INDEX('潜水記録'!$I$5:$I$3004,$AS408)="","",INDEX('潜水記録'!$I$5:$I$3004,$AS408)))</f>
        <v/>
      </c>
      <c r="K408" s="14">
        <f>IF($A408="","",IF(INDEX('潜水記録'!$J$5:$J$3004,$AS408)="","",INDEX('潜水記録'!$J$5:$J$3004,$AS408)))</f>
        <v/>
      </c>
      <c r="L408" s="14">
        <f>IF($A408="","",IF(INDEX('潜水記録'!$K$5:$K$3004,$AS408)="","",INDEX('潜水記録'!$K$5:$K$3004,$AS408)))</f>
        <v/>
      </c>
      <c r="M408" s="14">
        <f>IF($A408="","",IF(INDEX('潜水記録'!$L$5:$L$3004,$AS408)="","",INDEX('潜水記録'!$L$5:$L$3004,$AS408)))</f>
        <v/>
      </c>
      <c r="N408" s="14">
        <f>IF($A408="","",IF(INDEX('潜水記録'!$M$5:$M$3004,$AS408)="","",INDEX('潜水記録'!$M$5:$M$3004,$AS408)))</f>
        <v/>
      </c>
      <c r="O408" s="14">
        <f>IF($A408="","",IF(INDEX('潜水記録'!$N$5:$N$3004,$AS408)="","",INDEX('潜水記録'!$N$5:$N$3004,$AS408)))</f>
        <v/>
      </c>
      <c r="P408" s="14">
        <f>IF($A408="","",IF(INDEX('潜水記録'!$O$5:$O$3004,$AS408)="","",INDEX('潜水記録'!$O$5:$O$3004,$AS408)))</f>
        <v/>
      </c>
      <c r="Q408" s="14">
        <f>IF($A408="","",IF(INDEX('潜水記録'!$P$5:$P$3004,$AS408)="","",INDEX('潜水記録'!$P$5:$P$3004,$AS408)))</f>
        <v/>
      </c>
      <c r="R408" s="14">
        <f>IF($A408="","",IF(INDEX('潜水記録'!$Q$5:$Q$3004,$AS408)="","",INDEX('潜水記録'!$Q$5:$Q$3004,$AS408)))</f>
        <v/>
      </c>
      <c r="S408" s="14">
        <f>IF($A408="","",IF(INDEX('潜水記録'!$R$5:$R$3004,$AS408)="","",INDEX('潜水記録'!$R$5:$R$3004,$AS408)))</f>
        <v/>
      </c>
      <c r="T408" s="14">
        <f>IF($A408="","",IF(INDEX('潜水記録'!$S$5:$S$3004,$AS408)="","",INDEX('潜水記録'!$S$5:$S$3004,$AS408)))</f>
        <v/>
      </c>
      <c r="U408" s="14">
        <f>IF($A408="","",IF(INDEX('潜水記録'!$T$5:$T$3004,$AS408)="","",INDEX('潜水記録'!$T$5:$T$3004,$AS408)))</f>
        <v/>
      </c>
      <c r="V408" s="46">
        <f>IF($A408="","",IF(INDEX('潜水記録'!$U$5:$U$3004,$AS408)="","",INDEX('潜水記録'!$U$5:$U$3004,$AS408)))</f>
        <v/>
      </c>
      <c r="W408" s="46">
        <f>IF($A408="","",IF(INDEX('潜水記録'!$V$5:$V$3004,$AS408)="","",INDEX('潜水記録'!$V$5:$V$3004,$AS408)))</f>
        <v/>
      </c>
      <c r="X408" s="14">
        <f>IF($A408="","",IF(INDEX('潜水記録'!$W$5:$W$3004,$AS408)="","",INDEX('潜水記録'!$W$5:$W$3004,$AS408)))</f>
        <v/>
      </c>
      <c r="Y408" s="14">
        <f>IF($A408="","",IF(INDEX('潜水記録'!$X$5:$X$3004,$AS408)="","",INDEX('潜水記録'!$X$5:$X$3004,$AS408)))</f>
        <v/>
      </c>
      <c r="Z408" s="14">
        <f>IF($A408="","",IF(INDEX('潜水記録'!$Y$5:$Y$3004,$AS408)="","",INDEX('潜水記録'!$Y$5:$Y$3004,$AS408)))</f>
        <v/>
      </c>
      <c r="AA408" s="14">
        <f>IF($A408="","",IF(INDEX('潜水記録'!$Z$5:$Z$3004,$AS408)="","",INDEX('潜水記録'!$Z$5:$Z$3004,$AS408)))</f>
        <v/>
      </c>
      <c r="AB408" s="14">
        <f>IF($A408="","",IF(INDEX('潜水記録'!$AA$5:$AA$3004,$AS408)="","",INDEX('潜水記録'!$AA$5:$AA$3004,$AS408)))</f>
        <v/>
      </c>
      <c r="AC408" s="14">
        <f>IF($A408="","",IF(INDEX('潜水記録'!$AB$5:$AB$3004,$AS408)="","",INDEX('潜水記録'!$AB$5:$AB$3004,$AS408)))</f>
        <v/>
      </c>
      <c r="AD408" s="14">
        <f>IF($A408="","",IF(INDEX('潜水記録'!$AC$5:$AC$3004,$AS408)="","",INDEX('潜水記録'!$AC$5:$AC$3004,$AS408)))</f>
        <v/>
      </c>
      <c r="AE408" s="14">
        <f>IF($A408="","",IF(INDEX('潜水記録'!$AD$5:$AD$3004,$AS408)="","",INDEX('潜水記録'!$AD$5:$AD$3004,$AS408)))</f>
        <v/>
      </c>
      <c r="AF408" s="14">
        <f>IF($A408="","",IF(INDEX('潜水記録'!$AE$5:$AE$3004,$AS408)="","",INDEX('潜水記録'!$AE$5:$AE$3004,$AS408)))</f>
        <v/>
      </c>
      <c r="AG408" s="14">
        <f>IF($A408="","",IF(INDEX('潜水記録'!$AL$5:$AL$3004,$AS408)="","",INDEX('潜水記録'!$AL$5:$AL$3004,$AS408)))</f>
        <v/>
      </c>
      <c r="AH408" s="14">
        <f>IF($A408="","",IF(INDEX('潜水記録'!$AM$5:$AM$3004,$AS408)="","",INDEX('潜水記録'!$AM$5:$AM$3004,$AS408)))</f>
        <v/>
      </c>
      <c r="AI408" s="46">
        <f>IF($A408="","",IF(INDEX('潜水記録'!$AN$5:$AN$3004,$AS408)="","",INDEX('潜水記録'!$AN$5:$AN$3004,$AS408)))</f>
        <v/>
      </c>
      <c r="AJ408" s="14">
        <f>IF($A408="","",IF(INDEX('潜水記録'!$AO$5:$AO$3004,$AS408)="","",INDEX('潜水記録'!$AO$5:$AO$3004,$AS408)))</f>
        <v/>
      </c>
      <c r="AK408" s="14">
        <f>IF($A408="","",IF(INDEX('潜水記録'!$AP$5:$AP$3004,$AS408)="","",INDEX('潜水記録'!$AP$5:$AP$3004,$AS408)))</f>
        <v/>
      </c>
      <c r="AL408" s="14">
        <f>IF($A408="","",IF(INDEX('潜水記録'!$AQ$5:$AQ$3004,$AS408)="","",INDEX('潜水記録'!$AQ$5:$AQ$3004,$AS408)))</f>
        <v/>
      </c>
      <c r="AM408" s="14">
        <f>IF($A408="","",IF(INDEX('潜水記録'!$AR$5:$AR$3004,$AS408)="","",INDEX('潜水記録'!$AR$5:$AR$3004,$AS408)))</f>
        <v/>
      </c>
      <c r="AN408" s="14">
        <f>IF($A408="","",IF(INDEX('潜水記録'!$AS$5:$AS$3004,$AS408)="","",INDEX('潜水記録'!$AS$5:$AS$3004,$AS408)))</f>
        <v/>
      </c>
      <c r="AO408" s="14">
        <f>IF($A408="","",IF(INDEX('潜水記録'!$AT$5:$AT$3004,$AS408)="","",INDEX('潜水記録'!$AT$5:$AT$3004,$AS408)))</f>
        <v/>
      </c>
      <c r="AP408" s="14">
        <f>IF($A408="","",IF(INDEX('潜水記録'!$AU$5:$AU$3004,$AS408)="","",INDEX('潜水記録'!$AU$5:$AU$3004,$AS408)))</f>
        <v/>
      </c>
      <c r="AQ408" s="14">
        <f>IF($A408="","",IF(INDEX('潜水記録'!$AV$5:$AV$3004,$AS408)="","",INDEX('潜水記録'!$AV$5:$AV$3004,$AS408)))</f>
        <v/>
      </c>
      <c r="AR408" s="14">
        <f>IF($A408="","",IF(INDEX('潜水記録'!$AW$5:$AW$3004,$AS408)="","",INDEX('潜水記録'!$AW$5:$AW$3004,$AS408)))</f>
        <v/>
      </c>
      <c r="AS408" s="20">
        <f>IF($A408="","",MATCH($A408,'潜水記録'!$AI$5:$AI$3004,0))</f>
        <v/>
      </c>
    </row>
    <row r="409">
      <c r="A409" s="14">
        <f>IF(399&lt;=$C$8,399,"")</f>
        <v/>
      </c>
      <c r="B409" s="16">
        <f>IF($A409="","",IF(INDEX('潜水記録'!$A$5:$A$3004,$AS409)="","",INDEX('潜水記録'!$A$5:$A$3004,$AS409)))</f>
        <v/>
      </c>
      <c r="C409" s="14">
        <f>IF($A409="","",IF(INDEX('潜水記録'!$B$5:$B$3004,$AS409)="","",INDEX('潜水記録'!$B$5:$B$3004,$AS409)))</f>
        <v/>
      </c>
      <c r="D409" s="14">
        <f>IF($A409="","",IF(INDEX('潜水記録'!$C$5:$C$3004,$AS409)="","",INDEX('潜水記録'!$C$5:$C$3004,$AS409)))</f>
        <v/>
      </c>
      <c r="E409" s="14">
        <f>IF($A409="","",IF(INDEX('潜水記録'!$D$5:$D$3004,$AS409)="","",INDEX('潜水記録'!$D$5:$D$3004,$AS409)))</f>
        <v/>
      </c>
      <c r="F409" s="14">
        <f>IF($A409="","",IF(INDEX('潜水記録'!$E$5:$E$3004,$AS409)="","",INDEX('潜水記録'!$E$5:$E$3004,$AS409)))</f>
        <v/>
      </c>
      <c r="G409" s="14">
        <f>IF($A409="","",IF(INDEX('潜水記録'!$F$5:$F$3004,$AS409)="","",INDEX('潜水記録'!$F$5:$F$3004,$AS409)))</f>
        <v/>
      </c>
      <c r="H409" s="14">
        <f>IF($A409="","",IF(INDEX('潜水記録'!$G$5:$G$3004,$AS409)="","",INDEX('潜水記録'!$G$5:$G$3004,$AS409)))</f>
        <v/>
      </c>
      <c r="I409" s="14">
        <f>IF($A409="","",IF(INDEX('潜水記録'!$H$5:$H$3004,$AS409)="","",INDEX('潜水記録'!$H$5:$H$3004,$AS409)))</f>
        <v/>
      </c>
      <c r="J409" s="14">
        <f>IF($A409="","",IF(INDEX('潜水記録'!$I$5:$I$3004,$AS409)="","",INDEX('潜水記録'!$I$5:$I$3004,$AS409)))</f>
        <v/>
      </c>
      <c r="K409" s="14">
        <f>IF($A409="","",IF(INDEX('潜水記録'!$J$5:$J$3004,$AS409)="","",INDEX('潜水記録'!$J$5:$J$3004,$AS409)))</f>
        <v/>
      </c>
      <c r="L409" s="14">
        <f>IF($A409="","",IF(INDEX('潜水記録'!$K$5:$K$3004,$AS409)="","",INDEX('潜水記録'!$K$5:$K$3004,$AS409)))</f>
        <v/>
      </c>
      <c r="M409" s="14">
        <f>IF($A409="","",IF(INDEX('潜水記録'!$L$5:$L$3004,$AS409)="","",INDEX('潜水記録'!$L$5:$L$3004,$AS409)))</f>
        <v/>
      </c>
      <c r="N409" s="14">
        <f>IF($A409="","",IF(INDEX('潜水記録'!$M$5:$M$3004,$AS409)="","",INDEX('潜水記録'!$M$5:$M$3004,$AS409)))</f>
        <v/>
      </c>
      <c r="O409" s="14">
        <f>IF($A409="","",IF(INDEX('潜水記録'!$N$5:$N$3004,$AS409)="","",INDEX('潜水記録'!$N$5:$N$3004,$AS409)))</f>
        <v/>
      </c>
      <c r="P409" s="14">
        <f>IF($A409="","",IF(INDEX('潜水記録'!$O$5:$O$3004,$AS409)="","",INDEX('潜水記録'!$O$5:$O$3004,$AS409)))</f>
        <v/>
      </c>
      <c r="Q409" s="14">
        <f>IF($A409="","",IF(INDEX('潜水記録'!$P$5:$P$3004,$AS409)="","",INDEX('潜水記録'!$P$5:$P$3004,$AS409)))</f>
        <v/>
      </c>
      <c r="R409" s="14">
        <f>IF($A409="","",IF(INDEX('潜水記録'!$Q$5:$Q$3004,$AS409)="","",INDEX('潜水記録'!$Q$5:$Q$3004,$AS409)))</f>
        <v/>
      </c>
      <c r="S409" s="14">
        <f>IF($A409="","",IF(INDEX('潜水記録'!$R$5:$R$3004,$AS409)="","",INDEX('潜水記録'!$R$5:$R$3004,$AS409)))</f>
        <v/>
      </c>
      <c r="T409" s="14">
        <f>IF($A409="","",IF(INDEX('潜水記録'!$S$5:$S$3004,$AS409)="","",INDEX('潜水記録'!$S$5:$S$3004,$AS409)))</f>
        <v/>
      </c>
      <c r="U409" s="14">
        <f>IF($A409="","",IF(INDEX('潜水記録'!$T$5:$T$3004,$AS409)="","",INDEX('潜水記録'!$T$5:$T$3004,$AS409)))</f>
        <v/>
      </c>
      <c r="V409" s="46">
        <f>IF($A409="","",IF(INDEX('潜水記録'!$U$5:$U$3004,$AS409)="","",INDEX('潜水記録'!$U$5:$U$3004,$AS409)))</f>
        <v/>
      </c>
      <c r="W409" s="46">
        <f>IF($A409="","",IF(INDEX('潜水記録'!$V$5:$V$3004,$AS409)="","",INDEX('潜水記録'!$V$5:$V$3004,$AS409)))</f>
        <v/>
      </c>
      <c r="X409" s="14">
        <f>IF($A409="","",IF(INDEX('潜水記録'!$W$5:$W$3004,$AS409)="","",INDEX('潜水記録'!$W$5:$W$3004,$AS409)))</f>
        <v/>
      </c>
      <c r="Y409" s="14">
        <f>IF($A409="","",IF(INDEX('潜水記録'!$X$5:$X$3004,$AS409)="","",INDEX('潜水記録'!$X$5:$X$3004,$AS409)))</f>
        <v/>
      </c>
      <c r="Z409" s="14">
        <f>IF($A409="","",IF(INDEX('潜水記録'!$Y$5:$Y$3004,$AS409)="","",INDEX('潜水記録'!$Y$5:$Y$3004,$AS409)))</f>
        <v/>
      </c>
      <c r="AA409" s="14">
        <f>IF($A409="","",IF(INDEX('潜水記録'!$Z$5:$Z$3004,$AS409)="","",INDEX('潜水記録'!$Z$5:$Z$3004,$AS409)))</f>
        <v/>
      </c>
      <c r="AB409" s="14">
        <f>IF($A409="","",IF(INDEX('潜水記録'!$AA$5:$AA$3004,$AS409)="","",INDEX('潜水記録'!$AA$5:$AA$3004,$AS409)))</f>
        <v/>
      </c>
      <c r="AC409" s="14">
        <f>IF($A409="","",IF(INDEX('潜水記録'!$AB$5:$AB$3004,$AS409)="","",INDEX('潜水記録'!$AB$5:$AB$3004,$AS409)))</f>
        <v/>
      </c>
      <c r="AD409" s="14">
        <f>IF($A409="","",IF(INDEX('潜水記録'!$AC$5:$AC$3004,$AS409)="","",INDEX('潜水記録'!$AC$5:$AC$3004,$AS409)))</f>
        <v/>
      </c>
      <c r="AE409" s="14">
        <f>IF($A409="","",IF(INDEX('潜水記録'!$AD$5:$AD$3004,$AS409)="","",INDEX('潜水記録'!$AD$5:$AD$3004,$AS409)))</f>
        <v/>
      </c>
      <c r="AF409" s="14">
        <f>IF($A409="","",IF(INDEX('潜水記録'!$AE$5:$AE$3004,$AS409)="","",INDEX('潜水記録'!$AE$5:$AE$3004,$AS409)))</f>
        <v/>
      </c>
      <c r="AG409" s="14">
        <f>IF($A409="","",IF(INDEX('潜水記録'!$AL$5:$AL$3004,$AS409)="","",INDEX('潜水記録'!$AL$5:$AL$3004,$AS409)))</f>
        <v/>
      </c>
      <c r="AH409" s="14">
        <f>IF($A409="","",IF(INDEX('潜水記録'!$AM$5:$AM$3004,$AS409)="","",INDEX('潜水記録'!$AM$5:$AM$3004,$AS409)))</f>
        <v/>
      </c>
      <c r="AI409" s="46">
        <f>IF($A409="","",IF(INDEX('潜水記録'!$AN$5:$AN$3004,$AS409)="","",INDEX('潜水記録'!$AN$5:$AN$3004,$AS409)))</f>
        <v/>
      </c>
      <c r="AJ409" s="14">
        <f>IF($A409="","",IF(INDEX('潜水記録'!$AO$5:$AO$3004,$AS409)="","",INDEX('潜水記録'!$AO$5:$AO$3004,$AS409)))</f>
        <v/>
      </c>
      <c r="AK409" s="14">
        <f>IF($A409="","",IF(INDEX('潜水記録'!$AP$5:$AP$3004,$AS409)="","",INDEX('潜水記録'!$AP$5:$AP$3004,$AS409)))</f>
        <v/>
      </c>
      <c r="AL409" s="14">
        <f>IF($A409="","",IF(INDEX('潜水記録'!$AQ$5:$AQ$3004,$AS409)="","",INDEX('潜水記録'!$AQ$5:$AQ$3004,$AS409)))</f>
        <v/>
      </c>
      <c r="AM409" s="14">
        <f>IF($A409="","",IF(INDEX('潜水記録'!$AR$5:$AR$3004,$AS409)="","",INDEX('潜水記録'!$AR$5:$AR$3004,$AS409)))</f>
        <v/>
      </c>
      <c r="AN409" s="14">
        <f>IF($A409="","",IF(INDEX('潜水記録'!$AS$5:$AS$3004,$AS409)="","",INDEX('潜水記録'!$AS$5:$AS$3004,$AS409)))</f>
        <v/>
      </c>
      <c r="AO409" s="14">
        <f>IF($A409="","",IF(INDEX('潜水記録'!$AT$5:$AT$3004,$AS409)="","",INDEX('潜水記録'!$AT$5:$AT$3004,$AS409)))</f>
        <v/>
      </c>
      <c r="AP409" s="14">
        <f>IF($A409="","",IF(INDEX('潜水記録'!$AU$5:$AU$3004,$AS409)="","",INDEX('潜水記録'!$AU$5:$AU$3004,$AS409)))</f>
        <v/>
      </c>
      <c r="AQ409" s="14">
        <f>IF($A409="","",IF(INDEX('潜水記録'!$AV$5:$AV$3004,$AS409)="","",INDEX('潜水記録'!$AV$5:$AV$3004,$AS409)))</f>
        <v/>
      </c>
      <c r="AR409" s="14">
        <f>IF($A409="","",IF(INDEX('潜水記録'!$AW$5:$AW$3004,$AS409)="","",INDEX('潜水記録'!$AW$5:$AW$3004,$AS409)))</f>
        <v/>
      </c>
      <c r="AS409" s="20">
        <f>IF($A409="","",MATCH($A409,'潜水記録'!$AI$5:$AI$3004,0))</f>
        <v/>
      </c>
    </row>
    <row r="410">
      <c r="A410" s="14">
        <f>IF(400&lt;=$C$8,400,"")</f>
        <v/>
      </c>
      <c r="B410" s="16">
        <f>IF($A410="","",IF(INDEX('潜水記録'!$A$5:$A$3004,$AS410)="","",INDEX('潜水記録'!$A$5:$A$3004,$AS410)))</f>
        <v/>
      </c>
      <c r="C410" s="14">
        <f>IF($A410="","",IF(INDEX('潜水記録'!$B$5:$B$3004,$AS410)="","",INDEX('潜水記録'!$B$5:$B$3004,$AS410)))</f>
        <v/>
      </c>
      <c r="D410" s="14">
        <f>IF($A410="","",IF(INDEX('潜水記録'!$C$5:$C$3004,$AS410)="","",INDEX('潜水記録'!$C$5:$C$3004,$AS410)))</f>
        <v/>
      </c>
      <c r="E410" s="14">
        <f>IF($A410="","",IF(INDEX('潜水記録'!$D$5:$D$3004,$AS410)="","",INDEX('潜水記録'!$D$5:$D$3004,$AS410)))</f>
        <v/>
      </c>
      <c r="F410" s="14">
        <f>IF($A410="","",IF(INDEX('潜水記録'!$E$5:$E$3004,$AS410)="","",INDEX('潜水記録'!$E$5:$E$3004,$AS410)))</f>
        <v/>
      </c>
      <c r="G410" s="14">
        <f>IF($A410="","",IF(INDEX('潜水記録'!$F$5:$F$3004,$AS410)="","",INDEX('潜水記録'!$F$5:$F$3004,$AS410)))</f>
        <v/>
      </c>
      <c r="H410" s="14">
        <f>IF($A410="","",IF(INDEX('潜水記録'!$G$5:$G$3004,$AS410)="","",INDEX('潜水記録'!$G$5:$G$3004,$AS410)))</f>
        <v/>
      </c>
      <c r="I410" s="14">
        <f>IF($A410="","",IF(INDEX('潜水記録'!$H$5:$H$3004,$AS410)="","",INDEX('潜水記録'!$H$5:$H$3004,$AS410)))</f>
        <v/>
      </c>
      <c r="J410" s="14">
        <f>IF($A410="","",IF(INDEX('潜水記録'!$I$5:$I$3004,$AS410)="","",INDEX('潜水記録'!$I$5:$I$3004,$AS410)))</f>
        <v/>
      </c>
      <c r="K410" s="14">
        <f>IF($A410="","",IF(INDEX('潜水記録'!$J$5:$J$3004,$AS410)="","",INDEX('潜水記録'!$J$5:$J$3004,$AS410)))</f>
        <v/>
      </c>
      <c r="L410" s="14">
        <f>IF($A410="","",IF(INDEX('潜水記録'!$K$5:$K$3004,$AS410)="","",INDEX('潜水記録'!$K$5:$K$3004,$AS410)))</f>
        <v/>
      </c>
      <c r="M410" s="14">
        <f>IF($A410="","",IF(INDEX('潜水記録'!$L$5:$L$3004,$AS410)="","",INDEX('潜水記録'!$L$5:$L$3004,$AS410)))</f>
        <v/>
      </c>
      <c r="N410" s="14">
        <f>IF($A410="","",IF(INDEX('潜水記録'!$M$5:$M$3004,$AS410)="","",INDEX('潜水記録'!$M$5:$M$3004,$AS410)))</f>
        <v/>
      </c>
      <c r="O410" s="14">
        <f>IF($A410="","",IF(INDEX('潜水記録'!$N$5:$N$3004,$AS410)="","",INDEX('潜水記録'!$N$5:$N$3004,$AS410)))</f>
        <v/>
      </c>
      <c r="P410" s="14">
        <f>IF($A410="","",IF(INDEX('潜水記録'!$O$5:$O$3004,$AS410)="","",INDEX('潜水記録'!$O$5:$O$3004,$AS410)))</f>
        <v/>
      </c>
      <c r="Q410" s="14">
        <f>IF($A410="","",IF(INDEX('潜水記録'!$P$5:$P$3004,$AS410)="","",INDEX('潜水記録'!$P$5:$P$3004,$AS410)))</f>
        <v/>
      </c>
      <c r="R410" s="14">
        <f>IF($A410="","",IF(INDEX('潜水記録'!$Q$5:$Q$3004,$AS410)="","",INDEX('潜水記録'!$Q$5:$Q$3004,$AS410)))</f>
        <v/>
      </c>
      <c r="S410" s="14">
        <f>IF($A410="","",IF(INDEX('潜水記録'!$R$5:$R$3004,$AS410)="","",INDEX('潜水記録'!$R$5:$R$3004,$AS410)))</f>
        <v/>
      </c>
      <c r="T410" s="14">
        <f>IF($A410="","",IF(INDEX('潜水記録'!$S$5:$S$3004,$AS410)="","",INDEX('潜水記録'!$S$5:$S$3004,$AS410)))</f>
        <v/>
      </c>
      <c r="U410" s="14">
        <f>IF($A410="","",IF(INDEX('潜水記録'!$T$5:$T$3004,$AS410)="","",INDEX('潜水記録'!$T$5:$T$3004,$AS410)))</f>
        <v/>
      </c>
      <c r="V410" s="46">
        <f>IF($A410="","",IF(INDEX('潜水記録'!$U$5:$U$3004,$AS410)="","",INDEX('潜水記録'!$U$5:$U$3004,$AS410)))</f>
        <v/>
      </c>
      <c r="W410" s="46">
        <f>IF($A410="","",IF(INDEX('潜水記録'!$V$5:$V$3004,$AS410)="","",INDEX('潜水記録'!$V$5:$V$3004,$AS410)))</f>
        <v/>
      </c>
      <c r="X410" s="14">
        <f>IF($A410="","",IF(INDEX('潜水記録'!$W$5:$W$3004,$AS410)="","",INDEX('潜水記録'!$W$5:$W$3004,$AS410)))</f>
        <v/>
      </c>
      <c r="Y410" s="14">
        <f>IF($A410="","",IF(INDEX('潜水記録'!$X$5:$X$3004,$AS410)="","",INDEX('潜水記録'!$X$5:$X$3004,$AS410)))</f>
        <v/>
      </c>
      <c r="Z410" s="14">
        <f>IF($A410="","",IF(INDEX('潜水記録'!$Y$5:$Y$3004,$AS410)="","",INDEX('潜水記録'!$Y$5:$Y$3004,$AS410)))</f>
        <v/>
      </c>
      <c r="AA410" s="14">
        <f>IF($A410="","",IF(INDEX('潜水記録'!$Z$5:$Z$3004,$AS410)="","",INDEX('潜水記録'!$Z$5:$Z$3004,$AS410)))</f>
        <v/>
      </c>
      <c r="AB410" s="14">
        <f>IF($A410="","",IF(INDEX('潜水記録'!$AA$5:$AA$3004,$AS410)="","",INDEX('潜水記録'!$AA$5:$AA$3004,$AS410)))</f>
        <v/>
      </c>
      <c r="AC410" s="14">
        <f>IF($A410="","",IF(INDEX('潜水記録'!$AB$5:$AB$3004,$AS410)="","",INDEX('潜水記録'!$AB$5:$AB$3004,$AS410)))</f>
        <v/>
      </c>
      <c r="AD410" s="14">
        <f>IF($A410="","",IF(INDEX('潜水記録'!$AC$5:$AC$3004,$AS410)="","",INDEX('潜水記録'!$AC$5:$AC$3004,$AS410)))</f>
        <v/>
      </c>
      <c r="AE410" s="14">
        <f>IF($A410="","",IF(INDEX('潜水記録'!$AD$5:$AD$3004,$AS410)="","",INDEX('潜水記録'!$AD$5:$AD$3004,$AS410)))</f>
        <v/>
      </c>
      <c r="AF410" s="14">
        <f>IF($A410="","",IF(INDEX('潜水記録'!$AE$5:$AE$3004,$AS410)="","",INDEX('潜水記録'!$AE$5:$AE$3004,$AS410)))</f>
        <v/>
      </c>
      <c r="AG410" s="14">
        <f>IF($A410="","",IF(INDEX('潜水記録'!$AL$5:$AL$3004,$AS410)="","",INDEX('潜水記録'!$AL$5:$AL$3004,$AS410)))</f>
        <v/>
      </c>
      <c r="AH410" s="14">
        <f>IF($A410="","",IF(INDEX('潜水記録'!$AM$5:$AM$3004,$AS410)="","",INDEX('潜水記録'!$AM$5:$AM$3004,$AS410)))</f>
        <v/>
      </c>
      <c r="AI410" s="46">
        <f>IF($A410="","",IF(INDEX('潜水記録'!$AN$5:$AN$3004,$AS410)="","",INDEX('潜水記録'!$AN$5:$AN$3004,$AS410)))</f>
        <v/>
      </c>
      <c r="AJ410" s="14">
        <f>IF($A410="","",IF(INDEX('潜水記録'!$AO$5:$AO$3004,$AS410)="","",INDEX('潜水記録'!$AO$5:$AO$3004,$AS410)))</f>
        <v/>
      </c>
      <c r="AK410" s="14">
        <f>IF($A410="","",IF(INDEX('潜水記録'!$AP$5:$AP$3004,$AS410)="","",INDEX('潜水記録'!$AP$5:$AP$3004,$AS410)))</f>
        <v/>
      </c>
      <c r="AL410" s="14">
        <f>IF($A410="","",IF(INDEX('潜水記録'!$AQ$5:$AQ$3004,$AS410)="","",INDEX('潜水記録'!$AQ$5:$AQ$3004,$AS410)))</f>
        <v/>
      </c>
      <c r="AM410" s="14">
        <f>IF($A410="","",IF(INDEX('潜水記録'!$AR$5:$AR$3004,$AS410)="","",INDEX('潜水記録'!$AR$5:$AR$3004,$AS410)))</f>
        <v/>
      </c>
      <c r="AN410" s="14">
        <f>IF($A410="","",IF(INDEX('潜水記録'!$AS$5:$AS$3004,$AS410)="","",INDEX('潜水記録'!$AS$5:$AS$3004,$AS410)))</f>
        <v/>
      </c>
      <c r="AO410" s="14">
        <f>IF($A410="","",IF(INDEX('潜水記録'!$AT$5:$AT$3004,$AS410)="","",INDEX('潜水記録'!$AT$5:$AT$3004,$AS410)))</f>
        <v/>
      </c>
      <c r="AP410" s="14">
        <f>IF($A410="","",IF(INDEX('潜水記録'!$AU$5:$AU$3004,$AS410)="","",INDEX('潜水記録'!$AU$5:$AU$3004,$AS410)))</f>
        <v/>
      </c>
      <c r="AQ410" s="14">
        <f>IF($A410="","",IF(INDEX('潜水記録'!$AV$5:$AV$3004,$AS410)="","",INDEX('潜水記録'!$AV$5:$AV$3004,$AS410)))</f>
        <v/>
      </c>
      <c r="AR410" s="14">
        <f>IF($A410="","",IF(INDEX('潜水記録'!$AW$5:$AW$3004,$AS410)="","",INDEX('潜水記録'!$AW$5:$AW$3004,$AS410)))</f>
        <v/>
      </c>
      <c r="AS410" s="20">
        <f>IF($A410="","",MATCH($A410,'潜水記録'!$AI$5:$AI$3004,0))</f>
        <v/>
      </c>
    </row>
    <row r="411">
      <c r="A411" s="14">
        <f>IF(401&lt;=$C$8,401,"")</f>
        <v/>
      </c>
      <c r="B411" s="16">
        <f>IF($A411="","",IF(INDEX('潜水記録'!$A$5:$A$3004,$AS411)="","",INDEX('潜水記録'!$A$5:$A$3004,$AS411)))</f>
        <v/>
      </c>
      <c r="C411" s="14">
        <f>IF($A411="","",IF(INDEX('潜水記録'!$B$5:$B$3004,$AS411)="","",INDEX('潜水記録'!$B$5:$B$3004,$AS411)))</f>
        <v/>
      </c>
      <c r="D411" s="14">
        <f>IF($A411="","",IF(INDEX('潜水記録'!$C$5:$C$3004,$AS411)="","",INDEX('潜水記録'!$C$5:$C$3004,$AS411)))</f>
        <v/>
      </c>
      <c r="E411" s="14">
        <f>IF($A411="","",IF(INDEX('潜水記録'!$D$5:$D$3004,$AS411)="","",INDEX('潜水記録'!$D$5:$D$3004,$AS411)))</f>
        <v/>
      </c>
      <c r="F411" s="14">
        <f>IF($A411="","",IF(INDEX('潜水記録'!$E$5:$E$3004,$AS411)="","",INDEX('潜水記録'!$E$5:$E$3004,$AS411)))</f>
        <v/>
      </c>
      <c r="G411" s="14">
        <f>IF($A411="","",IF(INDEX('潜水記録'!$F$5:$F$3004,$AS411)="","",INDEX('潜水記録'!$F$5:$F$3004,$AS411)))</f>
        <v/>
      </c>
      <c r="H411" s="14">
        <f>IF($A411="","",IF(INDEX('潜水記録'!$G$5:$G$3004,$AS411)="","",INDEX('潜水記録'!$G$5:$G$3004,$AS411)))</f>
        <v/>
      </c>
      <c r="I411" s="14">
        <f>IF($A411="","",IF(INDEX('潜水記録'!$H$5:$H$3004,$AS411)="","",INDEX('潜水記録'!$H$5:$H$3004,$AS411)))</f>
        <v/>
      </c>
      <c r="J411" s="14">
        <f>IF($A411="","",IF(INDEX('潜水記録'!$I$5:$I$3004,$AS411)="","",INDEX('潜水記録'!$I$5:$I$3004,$AS411)))</f>
        <v/>
      </c>
      <c r="K411" s="14">
        <f>IF($A411="","",IF(INDEX('潜水記録'!$J$5:$J$3004,$AS411)="","",INDEX('潜水記録'!$J$5:$J$3004,$AS411)))</f>
        <v/>
      </c>
      <c r="L411" s="14">
        <f>IF($A411="","",IF(INDEX('潜水記録'!$K$5:$K$3004,$AS411)="","",INDEX('潜水記録'!$K$5:$K$3004,$AS411)))</f>
        <v/>
      </c>
      <c r="M411" s="14">
        <f>IF($A411="","",IF(INDEX('潜水記録'!$L$5:$L$3004,$AS411)="","",INDEX('潜水記録'!$L$5:$L$3004,$AS411)))</f>
        <v/>
      </c>
      <c r="N411" s="14">
        <f>IF($A411="","",IF(INDEX('潜水記録'!$M$5:$M$3004,$AS411)="","",INDEX('潜水記録'!$M$5:$M$3004,$AS411)))</f>
        <v/>
      </c>
      <c r="O411" s="14">
        <f>IF($A411="","",IF(INDEX('潜水記録'!$N$5:$N$3004,$AS411)="","",INDEX('潜水記録'!$N$5:$N$3004,$AS411)))</f>
        <v/>
      </c>
      <c r="P411" s="14">
        <f>IF($A411="","",IF(INDEX('潜水記録'!$O$5:$O$3004,$AS411)="","",INDEX('潜水記録'!$O$5:$O$3004,$AS411)))</f>
        <v/>
      </c>
      <c r="Q411" s="14">
        <f>IF($A411="","",IF(INDEX('潜水記録'!$P$5:$P$3004,$AS411)="","",INDEX('潜水記録'!$P$5:$P$3004,$AS411)))</f>
        <v/>
      </c>
      <c r="R411" s="14">
        <f>IF($A411="","",IF(INDEX('潜水記録'!$Q$5:$Q$3004,$AS411)="","",INDEX('潜水記録'!$Q$5:$Q$3004,$AS411)))</f>
        <v/>
      </c>
      <c r="S411" s="14">
        <f>IF($A411="","",IF(INDEX('潜水記録'!$R$5:$R$3004,$AS411)="","",INDEX('潜水記録'!$R$5:$R$3004,$AS411)))</f>
        <v/>
      </c>
      <c r="T411" s="14">
        <f>IF($A411="","",IF(INDEX('潜水記録'!$S$5:$S$3004,$AS411)="","",INDEX('潜水記録'!$S$5:$S$3004,$AS411)))</f>
        <v/>
      </c>
      <c r="U411" s="14">
        <f>IF($A411="","",IF(INDEX('潜水記録'!$T$5:$T$3004,$AS411)="","",INDEX('潜水記録'!$T$5:$T$3004,$AS411)))</f>
        <v/>
      </c>
      <c r="V411" s="46">
        <f>IF($A411="","",IF(INDEX('潜水記録'!$U$5:$U$3004,$AS411)="","",INDEX('潜水記録'!$U$5:$U$3004,$AS411)))</f>
        <v/>
      </c>
      <c r="W411" s="46">
        <f>IF($A411="","",IF(INDEX('潜水記録'!$V$5:$V$3004,$AS411)="","",INDEX('潜水記録'!$V$5:$V$3004,$AS411)))</f>
        <v/>
      </c>
      <c r="X411" s="14">
        <f>IF($A411="","",IF(INDEX('潜水記録'!$W$5:$W$3004,$AS411)="","",INDEX('潜水記録'!$W$5:$W$3004,$AS411)))</f>
        <v/>
      </c>
      <c r="Y411" s="14">
        <f>IF($A411="","",IF(INDEX('潜水記録'!$X$5:$X$3004,$AS411)="","",INDEX('潜水記録'!$X$5:$X$3004,$AS411)))</f>
        <v/>
      </c>
      <c r="Z411" s="14">
        <f>IF($A411="","",IF(INDEX('潜水記録'!$Y$5:$Y$3004,$AS411)="","",INDEX('潜水記録'!$Y$5:$Y$3004,$AS411)))</f>
        <v/>
      </c>
      <c r="AA411" s="14">
        <f>IF($A411="","",IF(INDEX('潜水記録'!$Z$5:$Z$3004,$AS411)="","",INDEX('潜水記録'!$Z$5:$Z$3004,$AS411)))</f>
        <v/>
      </c>
      <c r="AB411" s="14">
        <f>IF($A411="","",IF(INDEX('潜水記録'!$AA$5:$AA$3004,$AS411)="","",INDEX('潜水記録'!$AA$5:$AA$3004,$AS411)))</f>
        <v/>
      </c>
      <c r="AC411" s="14">
        <f>IF($A411="","",IF(INDEX('潜水記録'!$AB$5:$AB$3004,$AS411)="","",INDEX('潜水記録'!$AB$5:$AB$3004,$AS411)))</f>
        <v/>
      </c>
      <c r="AD411" s="14">
        <f>IF($A411="","",IF(INDEX('潜水記録'!$AC$5:$AC$3004,$AS411)="","",INDEX('潜水記録'!$AC$5:$AC$3004,$AS411)))</f>
        <v/>
      </c>
      <c r="AE411" s="14">
        <f>IF($A411="","",IF(INDEX('潜水記録'!$AD$5:$AD$3004,$AS411)="","",INDEX('潜水記録'!$AD$5:$AD$3004,$AS411)))</f>
        <v/>
      </c>
      <c r="AF411" s="14">
        <f>IF($A411="","",IF(INDEX('潜水記録'!$AE$5:$AE$3004,$AS411)="","",INDEX('潜水記録'!$AE$5:$AE$3004,$AS411)))</f>
        <v/>
      </c>
      <c r="AG411" s="14">
        <f>IF($A411="","",IF(INDEX('潜水記録'!$AL$5:$AL$3004,$AS411)="","",INDEX('潜水記録'!$AL$5:$AL$3004,$AS411)))</f>
        <v/>
      </c>
      <c r="AH411" s="14">
        <f>IF($A411="","",IF(INDEX('潜水記録'!$AM$5:$AM$3004,$AS411)="","",INDEX('潜水記録'!$AM$5:$AM$3004,$AS411)))</f>
        <v/>
      </c>
      <c r="AI411" s="46">
        <f>IF($A411="","",IF(INDEX('潜水記録'!$AN$5:$AN$3004,$AS411)="","",INDEX('潜水記録'!$AN$5:$AN$3004,$AS411)))</f>
        <v/>
      </c>
      <c r="AJ411" s="14">
        <f>IF($A411="","",IF(INDEX('潜水記録'!$AO$5:$AO$3004,$AS411)="","",INDEX('潜水記録'!$AO$5:$AO$3004,$AS411)))</f>
        <v/>
      </c>
      <c r="AK411" s="14">
        <f>IF($A411="","",IF(INDEX('潜水記録'!$AP$5:$AP$3004,$AS411)="","",INDEX('潜水記録'!$AP$5:$AP$3004,$AS411)))</f>
        <v/>
      </c>
      <c r="AL411" s="14">
        <f>IF($A411="","",IF(INDEX('潜水記録'!$AQ$5:$AQ$3004,$AS411)="","",INDEX('潜水記録'!$AQ$5:$AQ$3004,$AS411)))</f>
        <v/>
      </c>
      <c r="AM411" s="14">
        <f>IF($A411="","",IF(INDEX('潜水記録'!$AR$5:$AR$3004,$AS411)="","",INDEX('潜水記録'!$AR$5:$AR$3004,$AS411)))</f>
        <v/>
      </c>
      <c r="AN411" s="14">
        <f>IF($A411="","",IF(INDEX('潜水記録'!$AS$5:$AS$3004,$AS411)="","",INDEX('潜水記録'!$AS$5:$AS$3004,$AS411)))</f>
        <v/>
      </c>
      <c r="AO411" s="14">
        <f>IF($A411="","",IF(INDEX('潜水記録'!$AT$5:$AT$3004,$AS411)="","",INDEX('潜水記録'!$AT$5:$AT$3004,$AS411)))</f>
        <v/>
      </c>
      <c r="AP411" s="14">
        <f>IF($A411="","",IF(INDEX('潜水記録'!$AU$5:$AU$3004,$AS411)="","",INDEX('潜水記録'!$AU$5:$AU$3004,$AS411)))</f>
        <v/>
      </c>
      <c r="AQ411" s="14">
        <f>IF($A411="","",IF(INDEX('潜水記録'!$AV$5:$AV$3004,$AS411)="","",INDEX('潜水記録'!$AV$5:$AV$3004,$AS411)))</f>
        <v/>
      </c>
      <c r="AR411" s="14">
        <f>IF($A411="","",IF(INDEX('潜水記録'!$AW$5:$AW$3004,$AS411)="","",INDEX('潜水記録'!$AW$5:$AW$3004,$AS411)))</f>
        <v/>
      </c>
      <c r="AS411" s="20">
        <f>IF($A411="","",MATCH($A411,'潜水記録'!$AI$5:$AI$3004,0))</f>
        <v/>
      </c>
    </row>
    <row r="412">
      <c r="A412" s="14">
        <f>IF(402&lt;=$C$8,402,"")</f>
        <v/>
      </c>
      <c r="B412" s="16">
        <f>IF($A412="","",IF(INDEX('潜水記録'!$A$5:$A$3004,$AS412)="","",INDEX('潜水記録'!$A$5:$A$3004,$AS412)))</f>
        <v/>
      </c>
      <c r="C412" s="14">
        <f>IF($A412="","",IF(INDEX('潜水記録'!$B$5:$B$3004,$AS412)="","",INDEX('潜水記録'!$B$5:$B$3004,$AS412)))</f>
        <v/>
      </c>
      <c r="D412" s="14">
        <f>IF($A412="","",IF(INDEX('潜水記録'!$C$5:$C$3004,$AS412)="","",INDEX('潜水記録'!$C$5:$C$3004,$AS412)))</f>
        <v/>
      </c>
      <c r="E412" s="14">
        <f>IF($A412="","",IF(INDEX('潜水記録'!$D$5:$D$3004,$AS412)="","",INDEX('潜水記録'!$D$5:$D$3004,$AS412)))</f>
        <v/>
      </c>
      <c r="F412" s="14">
        <f>IF($A412="","",IF(INDEX('潜水記録'!$E$5:$E$3004,$AS412)="","",INDEX('潜水記録'!$E$5:$E$3004,$AS412)))</f>
        <v/>
      </c>
      <c r="G412" s="14">
        <f>IF($A412="","",IF(INDEX('潜水記録'!$F$5:$F$3004,$AS412)="","",INDEX('潜水記録'!$F$5:$F$3004,$AS412)))</f>
        <v/>
      </c>
      <c r="H412" s="14">
        <f>IF($A412="","",IF(INDEX('潜水記録'!$G$5:$G$3004,$AS412)="","",INDEX('潜水記録'!$G$5:$G$3004,$AS412)))</f>
        <v/>
      </c>
      <c r="I412" s="14">
        <f>IF($A412="","",IF(INDEX('潜水記録'!$H$5:$H$3004,$AS412)="","",INDEX('潜水記録'!$H$5:$H$3004,$AS412)))</f>
        <v/>
      </c>
      <c r="J412" s="14">
        <f>IF($A412="","",IF(INDEX('潜水記録'!$I$5:$I$3004,$AS412)="","",INDEX('潜水記録'!$I$5:$I$3004,$AS412)))</f>
        <v/>
      </c>
      <c r="K412" s="14">
        <f>IF($A412="","",IF(INDEX('潜水記録'!$J$5:$J$3004,$AS412)="","",INDEX('潜水記録'!$J$5:$J$3004,$AS412)))</f>
        <v/>
      </c>
      <c r="L412" s="14">
        <f>IF($A412="","",IF(INDEX('潜水記録'!$K$5:$K$3004,$AS412)="","",INDEX('潜水記録'!$K$5:$K$3004,$AS412)))</f>
        <v/>
      </c>
      <c r="M412" s="14">
        <f>IF($A412="","",IF(INDEX('潜水記録'!$L$5:$L$3004,$AS412)="","",INDEX('潜水記録'!$L$5:$L$3004,$AS412)))</f>
        <v/>
      </c>
      <c r="N412" s="14">
        <f>IF($A412="","",IF(INDEX('潜水記録'!$M$5:$M$3004,$AS412)="","",INDEX('潜水記録'!$M$5:$M$3004,$AS412)))</f>
        <v/>
      </c>
      <c r="O412" s="14">
        <f>IF($A412="","",IF(INDEX('潜水記録'!$N$5:$N$3004,$AS412)="","",INDEX('潜水記録'!$N$5:$N$3004,$AS412)))</f>
        <v/>
      </c>
      <c r="P412" s="14">
        <f>IF($A412="","",IF(INDEX('潜水記録'!$O$5:$O$3004,$AS412)="","",INDEX('潜水記録'!$O$5:$O$3004,$AS412)))</f>
        <v/>
      </c>
      <c r="Q412" s="14">
        <f>IF($A412="","",IF(INDEX('潜水記録'!$P$5:$P$3004,$AS412)="","",INDEX('潜水記録'!$P$5:$P$3004,$AS412)))</f>
        <v/>
      </c>
      <c r="R412" s="14">
        <f>IF($A412="","",IF(INDEX('潜水記録'!$Q$5:$Q$3004,$AS412)="","",INDEX('潜水記録'!$Q$5:$Q$3004,$AS412)))</f>
        <v/>
      </c>
      <c r="S412" s="14">
        <f>IF($A412="","",IF(INDEX('潜水記録'!$R$5:$R$3004,$AS412)="","",INDEX('潜水記録'!$R$5:$R$3004,$AS412)))</f>
        <v/>
      </c>
      <c r="T412" s="14">
        <f>IF($A412="","",IF(INDEX('潜水記録'!$S$5:$S$3004,$AS412)="","",INDEX('潜水記録'!$S$5:$S$3004,$AS412)))</f>
        <v/>
      </c>
      <c r="U412" s="14">
        <f>IF($A412="","",IF(INDEX('潜水記録'!$T$5:$T$3004,$AS412)="","",INDEX('潜水記録'!$T$5:$T$3004,$AS412)))</f>
        <v/>
      </c>
      <c r="V412" s="46">
        <f>IF($A412="","",IF(INDEX('潜水記録'!$U$5:$U$3004,$AS412)="","",INDEX('潜水記録'!$U$5:$U$3004,$AS412)))</f>
        <v/>
      </c>
      <c r="W412" s="46">
        <f>IF($A412="","",IF(INDEX('潜水記録'!$V$5:$V$3004,$AS412)="","",INDEX('潜水記録'!$V$5:$V$3004,$AS412)))</f>
        <v/>
      </c>
      <c r="X412" s="14">
        <f>IF($A412="","",IF(INDEX('潜水記録'!$W$5:$W$3004,$AS412)="","",INDEX('潜水記録'!$W$5:$W$3004,$AS412)))</f>
        <v/>
      </c>
      <c r="Y412" s="14">
        <f>IF($A412="","",IF(INDEX('潜水記録'!$X$5:$X$3004,$AS412)="","",INDEX('潜水記録'!$X$5:$X$3004,$AS412)))</f>
        <v/>
      </c>
      <c r="Z412" s="14">
        <f>IF($A412="","",IF(INDEX('潜水記録'!$Y$5:$Y$3004,$AS412)="","",INDEX('潜水記録'!$Y$5:$Y$3004,$AS412)))</f>
        <v/>
      </c>
      <c r="AA412" s="14">
        <f>IF($A412="","",IF(INDEX('潜水記録'!$Z$5:$Z$3004,$AS412)="","",INDEX('潜水記録'!$Z$5:$Z$3004,$AS412)))</f>
        <v/>
      </c>
      <c r="AB412" s="14">
        <f>IF($A412="","",IF(INDEX('潜水記録'!$AA$5:$AA$3004,$AS412)="","",INDEX('潜水記録'!$AA$5:$AA$3004,$AS412)))</f>
        <v/>
      </c>
      <c r="AC412" s="14">
        <f>IF($A412="","",IF(INDEX('潜水記録'!$AB$5:$AB$3004,$AS412)="","",INDEX('潜水記録'!$AB$5:$AB$3004,$AS412)))</f>
        <v/>
      </c>
      <c r="AD412" s="14">
        <f>IF($A412="","",IF(INDEX('潜水記録'!$AC$5:$AC$3004,$AS412)="","",INDEX('潜水記録'!$AC$5:$AC$3004,$AS412)))</f>
        <v/>
      </c>
      <c r="AE412" s="14">
        <f>IF($A412="","",IF(INDEX('潜水記録'!$AD$5:$AD$3004,$AS412)="","",INDEX('潜水記録'!$AD$5:$AD$3004,$AS412)))</f>
        <v/>
      </c>
      <c r="AF412" s="14">
        <f>IF($A412="","",IF(INDEX('潜水記録'!$AE$5:$AE$3004,$AS412)="","",INDEX('潜水記録'!$AE$5:$AE$3004,$AS412)))</f>
        <v/>
      </c>
      <c r="AG412" s="14">
        <f>IF($A412="","",IF(INDEX('潜水記録'!$AL$5:$AL$3004,$AS412)="","",INDEX('潜水記録'!$AL$5:$AL$3004,$AS412)))</f>
        <v/>
      </c>
      <c r="AH412" s="14">
        <f>IF($A412="","",IF(INDEX('潜水記録'!$AM$5:$AM$3004,$AS412)="","",INDEX('潜水記録'!$AM$5:$AM$3004,$AS412)))</f>
        <v/>
      </c>
      <c r="AI412" s="46">
        <f>IF($A412="","",IF(INDEX('潜水記録'!$AN$5:$AN$3004,$AS412)="","",INDEX('潜水記録'!$AN$5:$AN$3004,$AS412)))</f>
        <v/>
      </c>
      <c r="AJ412" s="14">
        <f>IF($A412="","",IF(INDEX('潜水記録'!$AO$5:$AO$3004,$AS412)="","",INDEX('潜水記録'!$AO$5:$AO$3004,$AS412)))</f>
        <v/>
      </c>
      <c r="AK412" s="14">
        <f>IF($A412="","",IF(INDEX('潜水記録'!$AP$5:$AP$3004,$AS412)="","",INDEX('潜水記録'!$AP$5:$AP$3004,$AS412)))</f>
        <v/>
      </c>
      <c r="AL412" s="14">
        <f>IF($A412="","",IF(INDEX('潜水記録'!$AQ$5:$AQ$3004,$AS412)="","",INDEX('潜水記録'!$AQ$5:$AQ$3004,$AS412)))</f>
        <v/>
      </c>
      <c r="AM412" s="14">
        <f>IF($A412="","",IF(INDEX('潜水記録'!$AR$5:$AR$3004,$AS412)="","",INDEX('潜水記録'!$AR$5:$AR$3004,$AS412)))</f>
        <v/>
      </c>
      <c r="AN412" s="14">
        <f>IF($A412="","",IF(INDEX('潜水記録'!$AS$5:$AS$3004,$AS412)="","",INDEX('潜水記録'!$AS$5:$AS$3004,$AS412)))</f>
        <v/>
      </c>
      <c r="AO412" s="14">
        <f>IF($A412="","",IF(INDEX('潜水記録'!$AT$5:$AT$3004,$AS412)="","",INDEX('潜水記録'!$AT$5:$AT$3004,$AS412)))</f>
        <v/>
      </c>
      <c r="AP412" s="14">
        <f>IF($A412="","",IF(INDEX('潜水記録'!$AU$5:$AU$3004,$AS412)="","",INDEX('潜水記録'!$AU$5:$AU$3004,$AS412)))</f>
        <v/>
      </c>
      <c r="AQ412" s="14">
        <f>IF($A412="","",IF(INDEX('潜水記録'!$AV$5:$AV$3004,$AS412)="","",INDEX('潜水記録'!$AV$5:$AV$3004,$AS412)))</f>
        <v/>
      </c>
      <c r="AR412" s="14">
        <f>IF($A412="","",IF(INDEX('潜水記録'!$AW$5:$AW$3004,$AS412)="","",INDEX('潜水記録'!$AW$5:$AW$3004,$AS412)))</f>
        <v/>
      </c>
      <c r="AS412" s="20">
        <f>IF($A412="","",MATCH($A412,'潜水記録'!$AI$5:$AI$3004,0))</f>
        <v/>
      </c>
    </row>
    <row r="413">
      <c r="A413" s="14">
        <f>IF(403&lt;=$C$8,403,"")</f>
        <v/>
      </c>
      <c r="B413" s="16">
        <f>IF($A413="","",IF(INDEX('潜水記録'!$A$5:$A$3004,$AS413)="","",INDEX('潜水記録'!$A$5:$A$3004,$AS413)))</f>
        <v/>
      </c>
      <c r="C413" s="14">
        <f>IF($A413="","",IF(INDEX('潜水記録'!$B$5:$B$3004,$AS413)="","",INDEX('潜水記録'!$B$5:$B$3004,$AS413)))</f>
        <v/>
      </c>
      <c r="D413" s="14">
        <f>IF($A413="","",IF(INDEX('潜水記録'!$C$5:$C$3004,$AS413)="","",INDEX('潜水記録'!$C$5:$C$3004,$AS413)))</f>
        <v/>
      </c>
      <c r="E413" s="14">
        <f>IF($A413="","",IF(INDEX('潜水記録'!$D$5:$D$3004,$AS413)="","",INDEX('潜水記録'!$D$5:$D$3004,$AS413)))</f>
        <v/>
      </c>
      <c r="F413" s="14">
        <f>IF($A413="","",IF(INDEX('潜水記録'!$E$5:$E$3004,$AS413)="","",INDEX('潜水記録'!$E$5:$E$3004,$AS413)))</f>
        <v/>
      </c>
      <c r="G413" s="14">
        <f>IF($A413="","",IF(INDEX('潜水記録'!$F$5:$F$3004,$AS413)="","",INDEX('潜水記録'!$F$5:$F$3004,$AS413)))</f>
        <v/>
      </c>
      <c r="H413" s="14">
        <f>IF($A413="","",IF(INDEX('潜水記録'!$G$5:$G$3004,$AS413)="","",INDEX('潜水記録'!$G$5:$G$3004,$AS413)))</f>
        <v/>
      </c>
      <c r="I413" s="14">
        <f>IF($A413="","",IF(INDEX('潜水記録'!$H$5:$H$3004,$AS413)="","",INDEX('潜水記録'!$H$5:$H$3004,$AS413)))</f>
        <v/>
      </c>
      <c r="J413" s="14">
        <f>IF($A413="","",IF(INDEX('潜水記録'!$I$5:$I$3004,$AS413)="","",INDEX('潜水記録'!$I$5:$I$3004,$AS413)))</f>
        <v/>
      </c>
      <c r="K413" s="14">
        <f>IF($A413="","",IF(INDEX('潜水記録'!$J$5:$J$3004,$AS413)="","",INDEX('潜水記録'!$J$5:$J$3004,$AS413)))</f>
        <v/>
      </c>
      <c r="L413" s="14">
        <f>IF($A413="","",IF(INDEX('潜水記録'!$K$5:$K$3004,$AS413)="","",INDEX('潜水記録'!$K$5:$K$3004,$AS413)))</f>
        <v/>
      </c>
      <c r="M413" s="14">
        <f>IF($A413="","",IF(INDEX('潜水記録'!$L$5:$L$3004,$AS413)="","",INDEX('潜水記録'!$L$5:$L$3004,$AS413)))</f>
        <v/>
      </c>
      <c r="N413" s="14">
        <f>IF($A413="","",IF(INDEX('潜水記録'!$M$5:$M$3004,$AS413)="","",INDEX('潜水記録'!$M$5:$M$3004,$AS413)))</f>
        <v/>
      </c>
      <c r="O413" s="14">
        <f>IF($A413="","",IF(INDEX('潜水記録'!$N$5:$N$3004,$AS413)="","",INDEX('潜水記録'!$N$5:$N$3004,$AS413)))</f>
        <v/>
      </c>
      <c r="P413" s="14">
        <f>IF($A413="","",IF(INDEX('潜水記録'!$O$5:$O$3004,$AS413)="","",INDEX('潜水記録'!$O$5:$O$3004,$AS413)))</f>
        <v/>
      </c>
      <c r="Q413" s="14">
        <f>IF($A413="","",IF(INDEX('潜水記録'!$P$5:$P$3004,$AS413)="","",INDEX('潜水記録'!$P$5:$P$3004,$AS413)))</f>
        <v/>
      </c>
      <c r="R413" s="14">
        <f>IF($A413="","",IF(INDEX('潜水記録'!$Q$5:$Q$3004,$AS413)="","",INDEX('潜水記録'!$Q$5:$Q$3004,$AS413)))</f>
        <v/>
      </c>
      <c r="S413" s="14">
        <f>IF($A413="","",IF(INDEX('潜水記録'!$R$5:$R$3004,$AS413)="","",INDEX('潜水記録'!$R$5:$R$3004,$AS413)))</f>
        <v/>
      </c>
      <c r="T413" s="14">
        <f>IF($A413="","",IF(INDEX('潜水記録'!$S$5:$S$3004,$AS413)="","",INDEX('潜水記録'!$S$5:$S$3004,$AS413)))</f>
        <v/>
      </c>
      <c r="U413" s="14">
        <f>IF($A413="","",IF(INDEX('潜水記録'!$T$5:$T$3004,$AS413)="","",INDEX('潜水記録'!$T$5:$T$3004,$AS413)))</f>
        <v/>
      </c>
      <c r="V413" s="46">
        <f>IF($A413="","",IF(INDEX('潜水記録'!$U$5:$U$3004,$AS413)="","",INDEX('潜水記録'!$U$5:$U$3004,$AS413)))</f>
        <v/>
      </c>
      <c r="W413" s="46">
        <f>IF($A413="","",IF(INDEX('潜水記録'!$V$5:$V$3004,$AS413)="","",INDEX('潜水記録'!$V$5:$V$3004,$AS413)))</f>
        <v/>
      </c>
      <c r="X413" s="14">
        <f>IF($A413="","",IF(INDEX('潜水記録'!$W$5:$W$3004,$AS413)="","",INDEX('潜水記録'!$W$5:$W$3004,$AS413)))</f>
        <v/>
      </c>
      <c r="Y413" s="14">
        <f>IF($A413="","",IF(INDEX('潜水記録'!$X$5:$X$3004,$AS413)="","",INDEX('潜水記録'!$X$5:$X$3004,$AS413)))</f>
        <v/>
      </c>
      <c r="Z413" s="14">
        <f>IF($A413="","",IF(INDEX('潜水記録'!$Y$5:$Y$3004,$AS413)="","",INDEX('潜水記録'!$Y$5:$Y$3004,$AS413)))</f>
        <v/>
      </c>
      <c r="AA413" s="14">
        <f>IF($A413="","",IF(INDEX('潜水記録'!$Z$5:$Z$3004,$AS413)="","",INDEX('潜水記録'!$Z$5:$Z$3004,$AS413)))</f>
        <v/>
      </c>
      <c r="AB413" s="14">
        <f>IF($A413="","",IF(INDEX('潜水記録'!$AA$5:$AA$3004,$AS413)="","",INDEX('潜水記録'!$AA$5:$AA$3004,$AS413)))</f>
        <v/>
      </c>
      <c r="AC413" s="14">
        <f>IF($A413="","",IF(INDEX('潜水記録'!$AB$5:$AB$3004,$AS413)="","",INDEX('潜水記録'!$AB$5:$AB$3004,$AS413)))</f>
        <v/>
      </c>
      <c r="AD413" s="14">
        <f>IF($A413="","",IF(INDEX('潜水記録'!$AC$5:$AC$3004,$AS413)="","",INDEX('潜水記録'!$AC$5:$AC$3004,$AS413)))</f>
        <v/>
      </c>
      <c r="AE413" s="14">
        <f>IF($A413="","",IF(INDEX('潜水記録'!$AD$5:$AD$3004,$AS413)="","",INDEX('潜水記録'!$AD$5:$AD$3004,$AS413)))</f>
        <v/>
      </c>
      <c r="AF413" s="14">
        <f>IF($A413="","",IF(INDEX('潜水記録'!$AE$5:$AE$3004,$AS413)="","",INDEX('潜水記録'!$AE$5:$AE$3004,$AS413)))</f>
        <v/>
      </c>
      <c r="AG413" s="14">
        <f>IF($A413="","",IF(INDEX('潜水記録'!$AL$5:$AL$3004,$AS413)="","",INDEX('潜水記録'!$AL$5:$AL$3004,$AS413)))</f>
        <v/>
      </c>
      <c r="AH413" s="14">
        <f>IF($A413="","",IF(INDEX('潜水記録'!$AM$5:$AM$3004,$AS413)="","",INDEX('潜水記録'!$AM$5:$AM$3004,$AS413)))</f>
        <v/>
      </c>
      <c r="AI413" s="46">
        <f>IF($A413="","",IF(INDEX('潜水記録'!$AN$5:$AN$3004,$AS413)="","",INDEX('潜水記録'!$AN$5:$AN$3004,$AS413)))</f>
        <v/>
      </c>
      <c r="AJ413" s="14">
        <f>IF($A413="","",IF(INDEX('潜水記録'!$AO$5:$AO$3004,$AS413)="","",INDEX('潜水記録'!$AO$5:$AO$3004,$AS413)))</f>
        <v/>
      </c>
      <c r="AK413" s="14">
        <f>IF($A413="","",IF(INDEX('潜水記録'!$AP$5:$AP$3004,$AS413)="","",INDEX('潜水記録'!$AP$5:$AP$3004,$AS413)))</f>
        <v/>
      </c>
      <c r="AL413" s="14">
        <f>IF($A413="","",IF(INDEX('潜水記録'!$AQ$5:$AQ$3004,$AS413)="","",INDEX('潜水記録'!$AQ$5:$AQ$3004,$AS413)))</f>
        <v/>
      </c>
      <c r="AM413" s="14">
        <f>IF($A413="","",IF(INDEX('潜水記録'!$AR$5:$AR$3004,$AS413)="","",INDEX('潜水記録'!$AR$5:$AR$3004,$AS413)))</f>
        <v/>
      </c>
      <c r="AN413" s="14">
        <f>IF($A413="","",IF(INDEX('潜水記録'!$AS$5:$AS$3004,$AS413)="","",INDEX('潜水記録'!$AS$5:$AS$3004,$AS413)))</f>
        <v/>
      </c>
      <c r="AO413" s="14">
        <f>IF($A413="","",IF(INDEX('潜水記録'!$AT$5:$AT$3004,$AS413)="","",INDEX('潜水記録'!$AT$5:$AT$3004,$AS413)))</f>
        <v/>
      </c>
      <c r="AP413" s="14">
        <f>IF($A413="","",IF(INDEX('潜水記録'!$AU$5:$AU$3004,$AS413)="","",INDEX('潜水記録'!$AU$5:$AU$3004,$AS413)))</f>
        <v/>
      </c>
      <c r="AQ413" s="14">
        <f>IF($A413="","",IF(INDEX('潜水記録'!$AV$5:$AV$3004,$AS413)="","",INDEX('潜水記録'!$AV$5:$AV$3004,$AS413)))</f>
        <v/>
      </c>
      <c r="AR413" s="14">
        <f>IF($A413="","",IF(INDEX('潜水記録'!$AW$5:$AW$3004,$AS413)="","",INDEX('潜水記録'!$AW$5:$AW$3004,$AS413)))</f>
        <v/>
      </c>
      <c r="AS413" s="20">
        <f>IF($A413="","",MATCH($A413,'潜水記録'!$AI$5:$AI$3004,0))</f>
        <v/>
      </c>
    </row>
    <row r="414">
      <c r="A414" s="14">
        <f>IF(404&lt;=$C$8,404,"")</f>
        <v/>
      </c>
      <c r="B414" s="16">
        <f>IF($A414="","",IF(INDEX('潜水記録'!$A$5:$A$3004,$AS414)="","",INDEX('潜水記録'!$A$5:$A$3004,$AS414)))</f>
        <v/>
      </c>
      <c r="C414" s="14">
        <f>IF($A414="","",IF(INDEX('潜水記録'!$B$5:$B$3004,$AS414)="","",INDEX('潜水記録'!$B$5:$B$3004,$AS414)))</f>
        <v/>
      </c>
      <c r="D414" s="14">
        <f>IF($A414="","",IF(INDEX('潜水記録'!$C$5:$C$3004,$AS414)="","",INDEX('潜水記録'!$C$5:$C$3004,$AS414)))</f>
        <v/>
      </c>
      <c r="E414" s="14">
        <f>IF($A414="","",IF(INDEX('潜水記録'!$D$5:$D$3004,$AS414)="","",INDEX('潜水記録'!$D$5:$D$3004,$AS414)))</f>
        <v/>
      </c>
      <c r="F414" s="14">
        <f>IF($A414="","",IF(INDEX('潜水記録'!$E$5:$E$3004,$AS414)="","",INDEX('潜水記録'!$E$5:$E$3004,$AS414)))</f>
        <v/>
      </c>
      <c r="G414" s="14">
        <f>IF($A414="","",IF(INDEX('潜水記録'!$F$5:$F$3004,$AS414)="","",INDEX('潜水記録'!$F$5:$F$3004,$AS414)))</f>
        <v/>
      </c>
      <c r="H414" s="14">
        <f>IF($A414="","",IF(INDEX('潜水記録'!$G$5:$G$3004,$AS414)="","",INDEX('潜水記録'!$G$5:$G$3004,$AS414)))</f>
        <v/>
      </c>
      <c r="I414" s="14">
        <f>IF($A414="","",IF(INDEX('潜水記録'!$H$5:$H$3004,$AS414)="","",INDEX('潜水記録'!$H$5:$H$3004,$AS414)))</f>
        <v/>
      </c>
      <c r="J414" s="14">
        <f>IF($A414="","",IF(INDEX('潜水記録'!$I$5:$I$3004,$AS414)="","",INDEX('潜水記録'!$I$5:$I$3004,$AS414)))</f>
        <v/>
      </c>
      <c r="K414" s="14">
        <f>IF($A414="","",IF(INDEX('潜水記録'!$J$5:$J$3004,$AS414)="","",INDEX('潜水記録'!$J$5:$J$3004,$AS414)))</f>
        <v/>
      </c>
      <c r="L414" s="14">
        <f>IF($A414="","",IF(INDEX('潜水記録'!$K$5:$K$3004,$AS414)="","",INDEX('潜水記録'!$K$5:$K$3004,$AS414)))</f>
        <v/>
      </c>
      <c r="M414" s="14">
        <f>IF($A414="","",IF(INDEX('潜水記録'!$L$5:$L$3004,$AS414)="","",INDEX('潜水記録'!$L$5:$L$3004,$AS414)))</f>
        <v/>
      </c>
      <c r="N414" s="14">
        <f>IF($A414="","",IF(INDEX('潜水記録'!$M$5:$M$3004,$AS414)="","",INDEX('潜水記録'!$M$5:$M$3004,$AS414)))</f>
        <v/>
      </c>
      <c r="O414" s="14">
        <f>IF($A414="","",IF(INDEX('潜水記録'!$N$5:$N$3004,$AS414)="","",INDEX('潜水記録'!$N$5:$N$3004,$AS414)))</f>
        <v/>
      </c>
      <c r="P414" s="14">
        <f>IF($A414="","",IF(INDEX('潜水記録'!$O$5:$O$3004,$AS414)="","",INDEX('潜水記録'!$O$5:$O$3004,$AS414)))</f>
        <v/>
      </c>
      <c r="Q414" s="14">
        <f>IF($A414="","",IF(INDEX('潜水記録'!$P$5:$P$3004,$AS414)="","",INDEX('潜水記録'!$P$5:$P$3004,$AS414)))</f>
        <v/>
      </c>
      <c r="R414" s="14">
        <f>IF($A414="","",IF(INDEX('潜水記録'!$Q$5:$Q$3004,$AS414)="","",INDEX('潜水記録'!$Q$5:$Q$3004,$AS414)))</f>
        <v/>
      </c>
      <c r="S414" s="14">
        <f>IF($A414="","",IF(INDEX('潜水記録'!$R$5:$R$3004,$AS414)="","",INDEX('潜水記録'!$R$5:$R$3004,$AS414)))</f>
        <v/>
      </c>
      <c r="T414" s="14">
        <f>IF($A414="","",IF(INDEX('潜水記録'!$S$5:$S$3004,$AS414)="","",INDEX('潜水記録'!$S$5:$S$3004,$AS414)))</f>
        <v/>
      </c>
      <c r="U414" s="14">
        <f>IF($A414="","",IF(INDEX('潜水記録'!$T$5:$T$3004,$AS414)="","",INDEX('潜水記録'!$T$5:$T$3004,$AS414)))</f>
        <v/>
      </c>
      <c r="V414" s="46">
        <f>IF($A414="","",IF(INDEX('潜水記録'!$U$5:$U$3004,$AS414)="","",INDEX('潜水記録'!$U$5:$U$3004,$AS414)))</f>
        <v/>
      </c>
      <c r="W414" s="46">
        <f>IF($A414="","",IF(INDEX('潜水記録'!$V$5:$V$3004,$AS414)="","",INDEX('潜水記録'!$V$5:$V$3004,$AS414)))</f>
        <v/>
      </c>
      <c r="X414" s="14">
        <f>IF($A414="","",IF(INDEX('潜水記録'!$W$5:$W$3004,$AS414)="","",INDEX('潜水記録'!$W$5:$W$3004,$AS414)))</f>
        <v/>
      </c>
      <c r="Y414" s="14">
        <f>IF($A414="","",IF(INDEX('潜水記録'!$X$5:$X$3004,$AS414)="","",INDEX('潜水記録'!$X$5:$X$3004,$AS414)))</f>
        <v/>
      </c>
      <c r="Z414" s="14">
        <f>IF($A414="","",IF(INDEX('潜水記録'!$Y$5:$Y$3004,$AS414)="","",INDEX('潜水記録'!$Y$5:$Y$3004,$AS414)))</f>
        <v/>
      </c>
      <c r="AA414" s="14">
        <f>IF($A414="","",IF(INDEX('潜水記録'!$Z$5:$Z$3004,$AS414)="","",INDEX('潜水記録'!$Z$5:$Z$3004,$AS414)))</f>
        <v/>
      </c>
      <c r="AB414" s="14">
        <f>IF($A414="","",IF(INDEX('潜水記録'!$AA$5:$AA$3004,$AS414)="","",INDEX('潜水記録'!$AA$5:$AA$3004,$AS414)))</f>
        <v/>
      </c>
      <c r="AC414" s="14">
        <f>IF($A414="","",IF(INDEX('潜水記録'!$AB$5:$AB$3004,$AS414)="","",INDEX('潜水記録'!$AB$5:$AB$3004,$AS414)))</f>
        <v/>
      </c>
      <c r="AD414" s="14">
        <f>IF($A414="","",IF(INDEX('潜水記録'!$AC$5:$AC$3004,$AS414)="","",INDEX('潜水記録'!$AC$5:$AC$3004,$AS414)))</f>
        <v/>
      </c>
      <c r="AE414" s="14">
        <f>IF($A414="","",IF(INDEX('潜水記録'!$AD$5:$AD$3004,$AS414)="","",INDEX('潜水記録'!$AD$5:$AD$3004,$AS414)))</f>
        <v/>
      </c>
      <c r="AF414" s="14">
        <f>IF($A414="","",IF(INDEX('潜水記録'!$AE$5:$AE$3004,$AS414)="","",INDEX('潜水記録'!$AE$5:$AE$3004,$AS414)))</f>
        <v/>
      </c>
      <c r="AG414" s="14">
        <f>IF($A414="","",IF(INDEX('潜水記録'!$AL$5:$AL$3004,$AS414)="","",INDEX('潜水記録'!$AL$5:$AL$3004,$AS414)))</f>
        <v/>
      </c>
      <c r="AH414" s="14">
        <f>IF($A414="","",IF(INDEX('潜水記録'!$AM$5:$AM$3004,$AS414)="","",INDEX('潜水記録'!$AM$5:$AM$3004,$AS414)))</f>
        <v/>
      </c>
      <c r="AI414" s="46">
        <f>IF($A414="","",IF(INDEX('潜水記録'!$AN$5:$AN$3004,$AS414)="","",INDEX('潜水記録'!$AN$5:$AN$3004,$AS414)))</f>
        <v/>
      </c>
      <c r="AJ414" s="14">
        <f>IF($A414="","",IF(INDEX('潜水記録'!$AO$5:$AO$3004,$AS414)="","",INDEX('潜水記録'!$AO$5:$AO$3004,$AS414)))</f>
        <v/>
      </c>
      <c r="AK414" s="14">
        <f>IF($A414="","",IF(INDEX('潜水記録'!$AP$5:$AP$3004,$AS414)="","",INDEX('潜水記録'!$AP$5:$AP$3004,$AS414)))</f>
        <v/>
      </c>
      <c r="AL414" s="14">
        <f>IF($A414="","",IF(INDEX('潜水記録'!$AQ$5:$AQ$3004,$AS414)="","",INDEX('潜水記録'!$AQ$5:$AQ$3004,$AS414)))</f>
        <v/>
      </c>
      <c r="AM414" s="14">
        <f>IF($A414="","",IF(INDEX('潜水記録'!$AR$5:$AR$3004,$AS414)="","",INDEX('潜水記録'!$AR$5:$AR$3004,$AS414)))</f>
        <v/>
      </c>
      <c r="AN414" s="14">
        <f>IF($A414="","",IF(INDEX('潜水記録'!$AS$5:$AS$3004,$AS414)="","",INDEX('潜水記録'!$AS$5:$AS$3004,$AS414)))</f>
        <v/>
      </c>
      <c r="AO414" s="14">
        <f>IF($A414="","",IF(INDEX('潜水記録'!$AT$5:$AT$3004,$AS414)="","",INDEX('潜水記録'!$AT$5:$AT$3004,$AS414)))</f>
        <v/>
      </c>
      <c r="AP414" s="14">
        <f>IF($A414="","",IF(INDEX('潜水記録'!$AU$5:$AU$3004,$AS414)="","",INDEX('潜水記録'!$AU$5:$AU$3004,$AS414)))</f>
        <v/>
      </c>
      <c r="AQ414" s="14">
        <f>IF($A414="","",IF(INDEX('潜水記録'!$AV$5:$AV$3004,$AS414)="","",INDEX('潜水記録'!$AV$5:$AV$3004,$AS414)))</f>
        <v/>
      </c>
      <c r="AR414" s="14">
        <f>IF($A414="","",IF(INDEX('潜水記録'!$AW$5:$AW$3004,$AS414)="","",INDEX('潜水記録'!$AW$5:$AW$3004,$AS414)))</f>
        <v/>
      </c>
      <c r="AS414" s="20">
        <f>IF($A414="","",MATCH($A414,'潜水記録'!$AI$5:$AI$3004,0))</f>
        <v/>
      </c>
    </row>
    <row r="415">
      <c r="A415" s="14">
        <f>IF(405&lt;=$C$8,405,"")</f>
        <v/>
      </c>
      <c r="B415" s="16">
        <f>IF($A415="","",IF(INDEX('潜水記録'!$A$5:$A$3004,$AS415)="","",INDEX('潜水記録'!$A$5:$A$3004,$AS415)))</f>
        <v/>
      </c>
      <c r="C415" s="14">
        <f>IF($A415="","",IF(INDEX('潜水記録'!$B$5:$B$3004,$AS415)="","",INDEX('潜水記録'!$B$5:$B$3004,$AS415)))</f>
        <v/>
      </c>
      <c r="D415" s="14">
        <f>IF($A415="","",IF(INDEX('潜水記録'!$C$5:$C$3004,$AS415)="","",INDEX('潜水記録'!$C$5:$C$3004,$AS415)))</f>
        <v/>
      </c>
      <c r="E415" s="14">
        <f>IF($A415="","",IF(INDEX('潜水記録'!$D$5:$D$3004,$AS415)="","",INDEX('潜水記録'!$D$5:$D$3004,$AS415)))</f>
        <v/>
      </c>
      <c r="F415" s="14">
        <f>IF($A415="","",IF(INDEX('潜水記録'!$E$5:$E$3004,$AS415)="","",INDEX('潜水記録'!$E$5:$E$3004,$AS415)))</f>
        <v/>
      </c>
      <c r="G415" s="14">
        <f>IF($A415="","",IF(INDEX('潜水記録'!$F$5:$F$3004,$AS415)="","",INDEX('潜水記録'!$F$5:$F$3004,$AS415)))</f>
        <v/>
      </c>
      <c r="H415" s="14">
        <f>IF($A415="","",IF(INDEX('潜水記録'!$G$5:$G$3004,$AS415)="","",INDEX('潜水記録'!$G$5:$G$3004,$AS415)))</f>
        <v/>
      </c>
      <c r="I415" s="14">
        <f>IF($A415="","",IF(INDEX('潜水記録'!$H$5:$H$3004,$AS415)="","",INDEX('潜水記録'!$H$5:$H$3004,$AS415)))</f>
        <v/>
      </c>
      <c r="J415" s="14">
        <f>IF($A415="","",IF(INDEX('潜水記録'!$I$5:$I$3004,$AS415)="","",INDEX('潜水記録'!$I$5:$I$3004,$AS415)))</f>
        <v/>
      </c>
      <c r="K415" s="14">
        <f>IF($A415="","",IF(INDEX('潜水記録'!$J$5:$J$3004,$AS415)="","",INDEX('潜水記録'!$J$5:$J$3004,$AS415)))</f>
        <v/>
      </c>
      <c r="L415" s="14">
        <f>IF($A415="","",IF(INDEX('潜水記録'!$K$5:$K$3004,$AS415)="","",INDEX('潜水記録'!$K$5:$K$3004,$AS415)))</f>
        <v/>
      </c>
      <c r="M415" s="14">
        <f>IF($A415="","",IF(INDEX('潜水記録'!$L$5:$L$3004,$AS415)="","",INDEX('潜水記録'!$L$5:$L$3004,$AS415)))</f>
        <v/>
      </c>
      <c r="N415" s="14">
        <f>IF($A415="","",IF(INDEX('潜水記録'!$M$5:$M$3004,$AS415)="","",INDEX('潜水記録'!$M$5:$M$3004,$AS415)))</f>
        <v/>
      </c>
      <c r="O415" s="14">
        <f>IF($A415="","",IF(INDEX('潜水記録'!$N$5:$N$3004,$AS415)="","",INDEX('潜水記録'!$N$5:$N$3004,$AS415)))</f>
        <v/>
      </c>
      <c r="P415" s="14">
        <f>IF($A415="","",IF(INDEX('潜水記録'!$O$5:$O$3004,$AS415)="","",INDEX('潜水記録'!$O$5:$O$3004,$AS415)))</f>
        <v/>
      </c>
      <c r="Q415" s="14">
        <f>IF($A415="","",IF(INDEX('潜水記録'!$P$5:$P$3004,$AS415)="","",INDEX('潜水記録'!$P$5:$P$3004,$AS415)))</f>
        <v/>
      </c>
      <c r="R415" s="14">
        <f>IF($A415="","",IF(INDEX('潜水記録'!$Q$5:$Q$3004,$AS415)="","",INDEX('潜水記録'!$Q$5:$Q$3004,$AS415)))</f>
        <v/>
      </c>
      <c r="S415" s="14">
        <f>IF($A415="","",IF(INDEX('潜水記録'!$R$5:$R$3004,$AS415)="","",INDEX('潜水記録'!$R$5:$R$3004,$AS415)))</f>
        <v/>
      </c>
      <c r="T415" s="14">
        <f>IF($A415="","",IF(INDEX('潜水記録'!$S$5:$S$3004,$AS415)="","",INDEX('潜水記録'!$S$5:$S$3004,$AS415)))</f>
        <v/>
      </c>
      <c r="U415" s="14">
        <f>IF($A415="","",IF(INDEX('潜水記録'!$T$5:$T$3004,$AS415)="","",INDEX('潜水記録'!$T$5:$T$3004,$AS415)))</f>
        <v/>
      </c>
      <c r="V415" s="46">
        <f>IF($A415="","",IF(INDEX('潜水記録'!$U$5:$U$3004,$AS415)="","",INDEX('潜水記録'!$U$5:$U$3004,$AS415)))</f>
        <v/>
      </c>
      <c r="W415" s="46">
        <f>IF($A415="","",IF(INDEX('潜水記録'!$V$5:$V$3004,$AS415)="","",INDEX('潜水記録'!$V$5:$V$3004,$AS415)))</f>
        <v/>
      </c>
      <c r="X415" s="14">
        <f>IF($A415="","",IF(INDEX('潜水記録'!$W$5:$W$3004,$AS415)="","",INDEX('潜水記録'!$W$5:$W$3004,$AS415)))</f>
        <v/>
      </c>
      <c r="Y415" s="14">
        <f>IF($A415="","",IF(INDEX('潜水記録'!$X$5:$X$3004,$AS415)="","",INDEX('潜水記録'!$X$5:$X$3004,$AS415)))</f>
        <v/>
      </c>
      <c r="Z415" s="14">
        <f>IF($A415="","",IF(INDEX('潜水記録'!$Y$5:$Y$3004,$AS415)="","",INDEX('潜水記録'!$Y$5:$Y$3004,$AS415)))</f>
        <v/>
      </c>
      <c r="AA415" s="14">
        <f>IF($A415="","",IF(INDEX('潜水記録'!$Z$5:$Z$3004,$AS415)="","",INDEX('潜水記録'!$Z$5:$Z$3004,$AS415)))</f>
        <v/>
      </c>
      <c r="AB415" s="14">
        <f>IF($A415="","",IF(INDEX('潜水記録'!$AA$5:$AA$3004,$AS415)="","",INDEX('潜水記録'!$AA$5:$AA$3004,$AS415)))</f>
        <v/>
      </c>
      <c r="AC415" s="14">
        <f>IF($A415="","",IF(INDEX('潜水記録'!$AB$5:$AB$3004,$AS415)="","",INDEX('潜水記録'!$AB$5:$AB$3004,$AS415)))</f>
        <v/>
      </c>
      <c r="AD415" s="14">
        <f>IF($A415="","",IF(INDEX('潜水記録'!$AC$5:$AC$3004,$AS415)="","",INDEX('潜水記録'!$AC$5:$AC$3004,$AS415)))</f>
        <v/>
      </c>
      <c r="AE415" s="14">
        <f>IF($A415="","",IF(INDEX('潜水記録'!$AD$5:$AD$3004,$AS415)="","",INDEX('潜水記録'!$AD$5:$AD$3004,$AS415)))</f>
        <v/>
      </c>
      <c r="AF415" s="14">
        <f>IF($A415="","",IF(INDEX('潜水記録'!$AE$5:$AE$3004,$AS415)="","",INDEX('潜水記録'!$AE$5:$AE$3004,$AS415)))</f>
        <v/>
      </c>
      <c r="AG415" s="14">
        <f>IF($A415="","",IF(INDEX('潜水記録'!$AL$5:$AL$3004,$AS415)="","",INDEX('潜水記録'!$AL$5:$AL$3004,$AS415)))</f>
        <v/>
      </c>
      <c r="AH415" s="14">
        <f>IF($A415="","",IF(INDEX('潜水記録'!$AM$5:$AM$3004,$AS415)="","",INDEX('潜水記録'!$AM$5:$AM$3004,$AS415)))</f>
        <v/>
      </c>
      <c r="AI415" s="46">
        <f>IF($A415="","",IF(INDEX('潜水記録'!$AN$5:$AN$3004,$AS415)="","",INDEX('潜水記録'!$AN$5:$AN$3004,$AS415)))</f>
        <v/>
      </c>
      <c r="AJ415" s="14">
        <f>IF($A415="","",IF(INDEX('潜水記録'!$AO$5:$AO$3004,$AS415)="","",INDEX('潜水記録'!$AO$5:$AO$3004,$AS415)))</f>
        <v/>
      </c>
      <c r="AK415" s="14">
        <f>IF($A415="","",IF(INDEX('潜水記録'!$AP$5:$AP$3004,$AS415)="","",INDEX('潜水記録'!$AP$5:$AP$3004,$AS415)))</f>
        <v/>
      </c>
      <c r="AL415" s="14">
        <f>IF($A415="","",IF(INDEX('潜水記録'!$AQ$5:$AQ$3004,$AS415)="","",INDEX('潜水記録'!$AQ$5:$AQ$3004,$AS415)))</f>
        <v/>
      </c>
      <c r="AM415" s="14">
        <f>IF($A415="","",IF(INDEX('潜水記録'!$AR$5:$AR$3004,$AS415)="","",INDEX('潜水記録'!$AR$5:$AR$3004,$AS415)))</f>
        <v/>
      </c>
      <c r="AN415" s="14">
        <f>IF($A415="","",IF(INDEX('潜水記録'!$AS$5:$AS$3004,$AS415)="","",INDEX('潜水記録'!$AS$5:$AS$3004,$AS415)))</f>
        <v/>
      </c>
      <c r="AO415" s="14">
        <f>IF($A415="","",IF(INDEX('潜水記録'!$AT$5:$AT$3004,$AS415)="","",INDEX('潜水記録'!$AT$5:$AT$3004,$AS415)))</f>
        <v/>
      </c>
      <c r="AP415" s="14">
        <f>IF($A415="","",IF(INDEX('潜水記録'!$AU$5:$AU$3004,$AS415)="","",INDEX('潜水記録'!$AU$5:$AU$3004,$AS415)))</f>
        <v/>
      </c>
      <c r="AQ415" s="14">
        <f>IF($A415="","",IF(INDEX('潜水記録'!$AV$5:$AV$3004,$AS415)="","",INDEX('潜水記録'!$AV$5:$AV$3004,$AS415)))</f>
        <v/>
      </c>
      <c r="AR415" s="14">
        <f>IF($A415="","",IF(INDEX('潜水記録'!$AW$5:$AW$3004,$AS415)="","",INDEX('潜水記録'!$AW$5:$AW$3004,$AS415)))</f>
        <v/>
      </c>
      <c r="AS415" s="20">
        <f>IF($A415="","",MATCH($A415,'潜水記録'!$AI$5:$AI$3004,0))</f>
        <v/>
      </c>
    </row>
    <row r="416">
      <c r="A416" s="14">
        <f>IF(406&lt;=$C$8,406,"")</f>
        <v/>
      </c>
      <c r="B416" s="16">
        <f>IF($A416="","",IF(INDEX('潜水記録'!$A$5:$A$3004,$AS416)="","",INDEX('潜水記録'!$A$5:$A$3004,$AS416)))</f>
        <v/>
      </c>
      <c r="C416" s="14">
        <f>IF($A416="","",IF(INDEX('潜水記録'!$B$5:$B$3004,$AS416)="","",INDEX('潜水記録'!$B$5:$B$3004,$AS416)))</f>
        <v/>
      </c>
      <c r="D416" s="14">
        <f>IF($A416="","",IF(INDEX('潜水記録'!$C$5:$C$3004,$AS416)="","",INDEX('潜水記録'!$C$5:$C$3004,$AS416)))</f>
        <v/>
      </c>
      <c r="E416" s="14">
        <f>IF($A416="","",IF(INDEX('潜水記録'!$D$5:$D$3004,$AS416)="","",INDEX('潜水記録'!$D$5:$D$3004,$AS416)))</f>
        <v/>
      </c>
      <c r="F416" s="14">
        <f>IF($A416="","",IF(INDEX('潜水記録'!$E$5:$E$3004,$AS416)="","",INDEX('潜水記録'!$E$5:$E$3004,$AS416)))</f>
        <v/>
      </c>
      <c r="G416" s="14">
        <f>IF($A416="","",IF(INDEX('潜水記録'!$F$5:$F$3004,$AS416)="","",INDEX('潜水記録'!$F$5:$F$3004,$AS416)))</f>
        <v/>
      </c>
      <c r="H416" s="14">
        <f>IF($A416="","",IF(INDEX('潜水記録'!$G$5:$G$3004,$AS416)="","",INDEX('潜水記録'!$G$5:$G$3004,$AS416)))</f>
        <v/>
      </c>
      <c r="I416" s="14">
        <f>IF($A416="","",IF(INDEX('潜水記録'!$H$5:$H$3004,$AS416)="","",INDEX('潜水記録'!$H$5:$H$3004,$AS416)))</f>
        <v/>
      </c>
      <c r="J416" s="14">
        <f>IF($A416="","",IF(INDEX('潜水記録'!$I$5:$I$3004,$AS416)="","",INDEX('潜水記録'!$I$5:$I$3004,$AS416)))</f>
        <v/>
      </c>
      <c r="K416" s="14">
        <f>IF($A416="","",IF(INDEX('潜水記録'!$J$5:$J$3004,$AS416)="","",INDEX('潜水記録'!$J$5:$J$3004,$AS416)))</f>
        <v/>
      </c>
      <c r="L416" s="14">
        <f>IF($A416="","",IF(INDEX('潜水記録'!$K$5:$K$3004,$AS416)="","",INDEX('潜水記録'!$K$5:$K$3004,$AS416)))</f>
        <v/>
      </c>
      <c r="M416" s="14">
        <f>IF($A416="","",IF(INDEX('潜水記録'!$L$5:$L$3004,$AS416)="","",INDEX('潜水記録'!$L$5:$L$3004,$AS416)))</f>
        <v/>
      </c>
      <c r="N416" s="14">
        <f>IF($A416="","",IF(INDEX('潜水記録'!$M$5:$M$3004,$AS416)="","",INDEX('潜水記録'!$M$5:$M$3004,$AS416)))</f>
        <v/>
      </c>
      <c r="O416" s="14">
        <f>IF($A416="","",IF(INDEX('潜水記録'!$N$5:$N$3004,$AS416)="","",INDEX('潜水記録'!$N$5:$N$3004,$AS416)))</f>
        <v/>
      </c>
      <c r="P416" s="14">
        <f>IF($A416="","",IF(INDEX('潜水記録'!$O$5:$O$3004,$AS416)="","",INDEX('潜水記録'!$O$5:$O$3004,$AS416)))</f>
        <v/>
      </c>
      <c r="Q416" s="14">
        <f>IF($A416="","",IF(INDEX('潜水記録'!$P$5:$P$3004,$AS416)="","",INDEX('潜水記録'!$P$5:$P$3004,$AS416)))</f>
        <v/>
      </c>
      <c r="R416" s="14">
        <f>IF($A416="","",IF(INDEX('潜水記録'!$Q$5:$Q$3004,$AS416)="","",INDEX('潜水記録'!$Q$5:$Q$3004,$AS416)))</f>
        <v/>
      </c>
      <c r="S416" s="14">
        <f>IF($A416="","",IF(INDEX('潜水記録'!$R$5:$R$3004,$AS416)="","",INDEX('潜水記録'!$R$5:$R$3004,$AS416)))</f>
        <v/>
      </c>
      <c r="T416" s="14">
        <f>IF($A416="","",IF(INDEX('潜水記録'!$S$5:$S$3004,$AS416)="","",INDEX('潜水記録'!$S$5:$S$3004,$AS416)))</f>
        <v/>
      </c>
      <c r="U416" s="14">
        <f>IF($A416="","",IF(INDEX('潜水記録'!$T$5:$T$3004,$AS416)="","",INDEX('潜水記録'!$T$5:$T$3004,$AS416)))</f>
        <v/>
      </c>
      <c r="V416" s="46">
        <f>IF($A416="","",IF(INDEX('潜水記録'!$U$5:$U$3004,$AS416)="","",INDEX('潜水記録'!$U$5:$U$3004,$AS416)))</f>
        <v/>
      </c>
      <c r="W416" s="46">
        <f>IF($A416="","",IF(INDEX('潜水記録'!$V$5:$V$3004,$AS416)="","",INDEX('潜水記録'!$V$5:$V$3004,$AS416)))</f>
        <v/>
      </c>
      <c r="X416" s="14">
        <f>IF($A416="","",IF(INDEX('潜水記録'!$W$5:$W$3004,$AS416)="","",INDEX('潜水記録'!$W$5:$W$3004,$AS416)))</f>
        <v/>
      </c>
      <c r="Y416" s="14">
        <f>IF($A416="","",IF(INDEX('潜水記録'!$X$5:$X$3004,$AS416)="","",INDEX('潜水記録'!$X$5:$X$3004,$AS416)))</f>
        <v/>
      </c>
      <c r="Z416" s="14">
        <f>IF($A416="","",IF(INDEX('潜水記録'!$Y$5:$Y$3004,$AS416)="","",INDEX('潜水記録'!$Y$5:$Y$3004,$AS416)))</f>
        <v/>
      </c>
      <c r="AA416" s="14">
        <f>IF($A416="","",IF(INDEX('潜水記録'!$Z$5:$Z$3004,$AS416)="","",INDEX('潜水記録'!$Z$5:$Z$3004,$AS416)))</f>
        <v/>
      </c>
      <c r="AB416" s="14">
        <f>IF($A416="","",IF(INDEX('潜水記録'!$AA$5:$AA$3004,$AS416)="","",INDEX('潜水記録'!$AA$5:$AA$3004,$AS416)))</f>
        <v/>
      </c>
      <c r="AC416" s="14">
        <f>IF($A416="","",IF(INDEX('潜水記録'!$AB$5:$AB$3004,$AS416)="","",INDEX('潜水記録'!$AB$5:$AB$3004,$AS416)))</f>
        <v/>
      </c>
      <c r="AD416" s="14">
        <f>IF($A416="","",IF(INDEX('潜水記録'!$AC$5:$AC$3004,$AS416)="","",INDEX('潜水記録'!$AC$5:$AC$3004,$AS416)))</f>
        <v/>
      </c>
      <c r="AE416" s="14">
        <f>IF($A416="","",IF(INDEX('潜水記録'!$AD$5:$AD$3004,$AS416)="","",INDEX('潜水記録'!$AD$5:$AD$3004,$AS416)))</f>
        <v/>
      </c>
      <c r="AF416" s="14">
        <f>IF($A416="","",IF(INDEX('潜水記録'!$AE$5:$AE$3004,$AS416)="","",INDEX('潜水記録'!$AE$5:$AE$3004,$AS416)))</f>
        <v/>
      </c>
      <c r="AG416" s="14">
        <f>IF($A416="","",IF(INDEX('潜水記録'!$AL$5:$AL$3004,$AS416)="","",INDEX('潜水記録'!$AL$5:$AL$3004,$AS416)))</f>
        <v/>
      </c>
      <c r="AH416" s="14">
        <f>IF($A416="","",IF(INDEX('潜水記録'!$AM$5:$AM$3004,$AS416)="","",INDEX('潜水記録'!$AM$5:$AM$3004,$AS416)))</f>
        <v/>
      </c>
      <c r="AI416" s="46">
        <f>IF($A416="","",IF(INDEX('潜水記録'!$AN$5:$AN$3004,$AS416)="","",INDEX('潜水記録'!$AN$5:$AN$3004,$AS416)))</f>
        <v/>
      </c>
      <c r="AJ416" s="14">
        <f>IF($A416="","",IF(INDEX('潜水記録'!$AO$5:$AO$3004,$AS416)="","",INDEX('潜水記録'!$AO$5:$AO$3004,$AS416)))</f>
        <v/>
      </c>
      <c r="AK416" s="14">
        <f>IF($A416="","",IF(INDEX('潜水記録'!$AP$5:$AP$3004,$AS416)="","",INDEX('潜水記録'!$AP$5:$AP$3004,$AS416)))</f>
        <v/>
      </c>
      <c r="AL416" s="14">
        <f>IF($A416="","",IF(INDEX('潜水記録'!$AQ$5:$AQ$3004,$AS416)="","",INDEX('潜水記録'!$AQ$5:$AQ$3004,$AS416)))</f>
        <v/>
      </c>
      <c r="AM416" s="14">
        <f>IF($A416="","",IF(INDEX('潜水記録'!$AR$5:$AR$3004,$AS416)="","",INDEX('潜水記録'!$AR$5:$AR$3004,$AS416)))</f>
        <v/>
      </c>
      <c r="AN416" s="14">
        <f>IF($A416="","",IF(INDEX('潜水記録'!$AS$5:$AS$3004,$AS416)="","",INDEX('潜水記録'!$AS$5:$AS$3004,$AS416)))</f>
        <v/>
      </c>
      <c r="AO416" s="14">
        <f>IF($A416="","",IF(INDEX('潜水記録'!$AT$5:$AT$3004,$AS416)="","",INDEX('潜水記録'!$AT$5:$AT$3004,$AS416)))</f>
        <v/>
      </c>
      <c r="AP416" s="14">
        <f>IF($A416="","",IF(INDEX('潜水記録'!$AU$5:$AU$3004,$AS416)="","",INDEX('潜水記録'!$AU$5:$AU$3004,$AS416)))</f>
        <v/>
      </c>
      <c r="AQ416" s="14">
        <f>IF($A416="","",IF(INDEX('潜水記録'!$AV$5:$AV$3004,$AS416)="","",INDEX('潜水記録'!$AV$5:$AV$3004,$AS416)))</f>
        <v/>
      </c>
      <c r="AR416" s="14">
        <f>IF($A416="","",IF(INDEX('潜水記録'!$AW$5:$AW$3004,$AS416)="","",INDEX('潜水記録'!$AW$5:$AW$3004,$AS416)))</f>
        <v/>
      </c>
      <c r="AS416" s="20">
        <f>IF($A416="","",MATCH($A416,'潜水記録'!$AI$5:$AI$3004,0))</f>
        <v/>
      </c>
    </row>
    <row r="417">
      <c r="A417" s="14">
        <f>IF(407&lt;=$C$8,407,"")</f>
        <v/>
      </c>
      <c r="B417" s="16">
        <f>IF($A417="","",IF(INDEX('潜水記録'!$A$5:$A$3004,$AS417)="","",INDEX('潜水記録'!$A$5:$A$3004,$AS417)))</f>
        <v/>
      </c>
      <c r="C417" s="14">
        <f>IF($A417="","",IF(INDEX('潜水記録'!$B$5:$B$3004,$AS417)="","",INDEX('潜水記録'!$B$5:$B$3004,$AS417)))</f>
        <v/>
      </c>
      <c r="D417" s="14">
        <f>IF($A417="","",IF(INDEX('潜水記録'!$C$5:$C$3004,$AS417)="","",INDEX('潜水記録'!$C$5:$C$3004,$AS417)))</f>
        <v/>
      </c>
      <c r="E417" s="14">
        <f>IF($A417="","",IF(INDEX('潜水記録'!$D$5:$D$3004,$AS417)="","",INDEX('潜水記録'!$D$5:$D$3004,$AS417)))</f>
        <v/>
      </c>
      <c r="F417" s="14">
        <f>IF($A417="","",IF(INDEX('潜水記録'!$E$5:$E$3004,$AS417)="","",INDEX('潜水記録'!$E$5:$E$3004,$AS417)))</f>
        <v/>
      </c>
      <c r="G417" s="14">
        <f>IF($A417="","",IF(INDEX('潜水記録'!$F$5:$F$3004,$AS417)="","",INDEX('潜水記録'!$F$5:$F$3004,$AS417)))</f>
        <v/>
      </c>
      <c r="H417" s="14">
        <f>IF($A417="","",IF(INDEX('潜水記録'!$G$5:$G$3004,$AS417)="","",INDEX('潜水記録'!$G$5:$G$3004,$AS417)))</f>
        <v/>
      </c>
      <c r="I417" s="14">
        <f>IF($A417="","",IF(INDEX('潜水記録'!$H$5:$H$3004,$AS417)="","",INDEX('潜水記録'!$H$5:$H$3004,$AS417)))</f>
        <v/>
      </c>
      <c r="J417" s="14">
        <f>IF($A417="","",IF(INDEX('潜水記録'!$I$5:$I$3004,$AS417)="","",INDEX('潜水記録'!$I$5:$I$3004,$AS417)))</f>
        <v/>
      </c>
      <c r="K417" s="14">
        <f>IF($A417="","",IF(INDEX('潜水記録'!$J$5:$J$3004,$AS417)="","",INDEX('潜水記録'!$J$5:$J$3004,$AS417)))</f>
        <v/>
      </c>
      <c r="L417" s="14">
        <f>IF($A417="","",IF(INDEX('潜水記録'!$K$5:$K$3004,$AS417)="","",INDEX('潜水記録'!$K$5:$K$3004,$AS417)))</f>
        <v/>
      </c>
      <c r="M417" s="14">
        <f>IF($A417="","",IF(INDEX('潜水記録'!$L$5:$L$3004,$AS417)="","",INDEX('潜水記録'!$L$5:$L$3004,$AS417)))</f>
        <v/>
      </c>
      <c r="N417" s="14">
        <f>IF($A417="","",IF(INDEX('潜水記録'!$M$5:$M$3004,$AS417)="","",INDEX('潜水記録'!$M$5:$M$3004,$AS417)))</f>
        <v/>
      </c>
      <c r="O417" s="14">
        <f>IF($A417="","",IF(INDEX('潜水記録'!$N$5:$N$3004,$AS417)="","",INDEX('潜水記録'!$N$5:$N$3004,$AS417)))</f>
        <v/>
      </c>
      <c r="P417" s="14">
        <f>IF($A417="","",IF(INDEX('潜水記録'!$O$5:$O$3004,$AS417)="","",INDEX('潜水記録'!$O$5:$O$3004,$AS417)))</f>
        <v/>
      </c>
      <c r="Q417" s="14">
        <f>IF($A417="","",IF(INDEX('潜水記録'!$P$5:$P$3004,$AS417)="","",INDEX('潜水記録'!$P$5:$P$3004,$AS417)))</f>
        <v/>
      </c>
      <c r="R417" s="14">
        <f>IF($A417="","",IF(INDEX('潜水記録'!$Q$5:$Q$3004,$AS417)="","",INDEX('潜水記録'!$Q$5:$Q$3004,$AS417)))</f>
        <v/>
      </c>
      <c r="S417" s="14">
        <f>IF($A417="","",IF(INDEX('潜水記録'!$R$5:$R$3004,$AS417)="","",INDEX('潜水記録'!$R$5:$R$3004,$AS417)))</f>
        <v/>
      </c>
      <c r="T417" s="14">
        <f>IF($A417="","",IF(INDEX('潜水記録'!$S$5:$S$3004,$AS417)="","",INDEX('潜水記録'!$S$5:$S$3004,$AS417)))</f>
        <v/>
      </c>
      <c r="U417" s="14">
        <f>IF($A417="","",IF(INDEX('潜水記録'!$T$5:$T$3004,$AS417)="","",INDEX('潜水記録'!$T$5:$T$3004,$AS417)))</f>
        <v/>
      </c>
      <c r="V417" s="46">
        <f>IF($A417="","",IF(INDEX('潜水記録'!$U$5:$U$3004,$AS417)="","",INDEX('潜水記録'!$U$5:$U$3004,$AS417)))</f>
        <v/>
      </c>
      <c r="W417" s="46">
        <f>IF($A417="","",IF(INDEX('潜水記録'!$V$5:$V$3004,$AS417)="","",INDEX('潜水記録'!$V$5:$V$3004,$AS417)))</f>
        <v/>
      </c>
      <c r="X417" s="14">
        <f>IF($A417="","",IF(INDEX('潜水記録'!$W$5:$W$3004,$AS417)="","",INDEX('潜水記録'!$W$5:$W$3004,$AS417)))</f>
        <v/>
      </c>
      <c r="Y417" s="14">
        <f>IF($A417="","",IF(INDEX('潜水記録'!$X$5:$X$3004,$AS417)="","",INDEX('潜水記録'!$X$5:$X$3004,$AS417)))</f>
        <v/>
      </c>
      <c r="Z417" s="14">
        <f>IF($A417="","",IF(INDEX('潜水記録'!$Y$5:$Y$3004,$AS417)="","",INDEX('潜水記録'!$Y$5:$Y$3004,$AS417)))</f>
        <v/>
      </c>
      <c r="AA417" s="14">
        <f>IF($A417="","",IF(INDEX('潜水記録'!$Z$5:$Z$3004,$AS417)="","",INDEX('潜水記録'!$Z$5:$Z$3004,$AS417)))</f>
        <v/>
      </c>
      <c r="AB417" s="14">
        <f>IF($A417="","",IF(INDEX('潜水記録'!$AA$5:$AA$3004,$AS417)="","",INDEX('潜水記録'!$AA$5:$AA$3004,$AS417)))</f>
        <v/>
      </c>
      <c r="AC417" s="14">
        <f>IF($A417="","",IF(INDEX('潜水記録'!$AB$5:$AB$3004,$AS417)="","",INDEX('潜水記録'!$AB$5:$AB$3004,$AS417)))</f>
        <v/>
      </c>
      <c r="AD417" s="14">
        <f>IF($A417="","",IF(INDEX('潜水記録'!$AC$5:$AC$3004,$AS417)="","",INDEX('潜水記録'!$AC$5:$AC$3004,$AS417)))</f>
        <v/>
      </c>
      <c r="AE417" s="14">
        <f>IF($A417="","",IF(INDEX('潜水記録'!$AD$5:$AD$3004,$AS417)="","",INDEX('潜水記録'!$AD$5:$AD$3004,$AS417)))</f>
        <v/>
      </c>
      <c r="AF417" s="14">
        <f>IF($A417="","",IF(INDEX('潜水記録'!$AE$5:$AE$3004,$AS417)="","",INDEX('潜水記録'!$AE$5:$AE$3004,$AS417)))</f>
        <v/>
      </c>
      <c r="AG417" s="14">
        <f>IF($A417="","",IF(INDEX('潜水記録'!$AL$5:$AL$3004,$AS417)="","",INDEX('潜水記録'!$AL$5:$AL$3004,$AS417)))</f>
        <v/>
      </c>
      <c r="AH417" s="14">
        <f>IF($A417="","",IF(INDEX('潜水記録'!$AM$5:$AM$3004,$AS417)="","",INDEX('潜水記録'!$AM$5:$AM$3004,$AS417)))</f>
        <v/>
      </c>
      <c r="AI417" s="46">
        <f>IF($A417="","",IF(INDEX('潜水記録'!$AN$5:$AN$3004,$AS417)="","",INDEX('潜水記録'!$AN$5:$AN$3004,$AS417)))</f>
        <v/>
      </c>
      <c r="AJ417" s="14">
        <f>IF($A417="","",IF(INDEX('潜水記録'!$AO$5:$AO$3004,$AS417)="","",INDEX('潜水記録'!$AO$5:$AO$3004,$AS417)))</f>
        <v/>
      </c>
      <c r="AK417" s="14">
        <f>IF($A417="","",IF(INDEX('潜水記録'!$AP$5:$AP$3004,$AS417)="","",INDEX('潜水記録'!$AP$5:$AP$3004,$AS417)))</f>
        <v/>
      </c>
      <c r="AL417" s="14">
        <f>IF($A417="","",IF(INDEX('潜水記録'!$AQ$5:$AQ$3004,$AS417)="","",INDEX('潜水記録'!$AQ$5:$AQ$3004,$AS417)))</f>
        <v/>
      </c>
      <c r="AM417" s="14">
        <f>IF($A417="","",IF(INDEX('潜水記録'!$AR$5:$AR$3004,$AS417)="","",INDEX('潜水記録'!$AR$5:$AR$3004,$AS417)))</f>
        <v/>
      </c>
      <c r="AN417" s="14">
        <f>IF($A417="","",IF(INDEX('潜水記録'!$AS$5:$AS$3004,$AS417)="","",INDEX('潜水記録'!$AS$5:$AS$3004,$AS417)))</f>
        <v/>
      </c>
      <c r="AO417" s="14">
        <f>IF($A417="","",IF(INDEX('潜水記録'!$AT$5:$AT$3004,$AS417)="","",INDEX('潜水記録'!$AT$5:$AT$3004,$AS417)))</f>
        <v/>
      </c>
      <c r="AP417" s="14">
        <f>IF($A417="","",IF(INDEX('潜水記録'!$AU$5:$AU$3004,$AS417)="","",INDEX('潜水記録'!$AU$5:$AU$3004,$AS417)))</f>
        <v/>
      </c>
      <c r="AQ417" s="14">
        <f>IF($A417="","",IF(INDEX('潜水記録'!$AV$5:$AV$3004,$AS417)="","",INDEX('潜水記録'!$AV$5:$AV$3004,$AS417)))</f>
        <v/>
      </c>
      <c r="AR417" s="14">
        <f>IF($A417="","",IF(INDEX('潜水記録'!$AW$5:$AW$3004,$AS417)="","",INDEX('潜水記録'!$AW$5:$AW$3004,$AS417)))</f>
        <v/>
      </c>
      <c r="AS417" s="20">
        <f>IF($A417="","",MATCH($A417,'潜水記録'!$AI$5:$AI$3004,0))</f>
        <v/>
      </c>
    </row>
    <row r="418">
      <c r="A418" s="14">
        <f>IF(408&lt;=$C$8,408,"")</f>
        <v/>
      </c>
      <c r="B418" s="16">
        <f>IF($A418="","",IF(INDEX('潜水記録'!$A$5:$A$3004,$AS418)="","",INDEX('潜水記録'!$A$5:$A$3004,$AS418)))</f>
        <v/>
      </c>
      <c r="C418" s="14">
        <f>IF($A418="","",IF(INDEX('潜水記録'!$B$5:$B$3004,$AS418)="","",INDEX('潜水記録'!$B$5:$B$3004,$AS418)))</f>
        <v/>
      </c>
      <c r="D418" s="14">
        <f>IF($A418="","",IF(INDEX('潜水記録'!$C$5:$C$3004,$AS418)="","",INDEX('潜水記録'!$C$5:$C$3004,$AS418)))</f>
        <v/>
      </c>
      <c r="E418" s="14">
        <f>IF($A418="","",IF(INDEX('潜水記録'!$D$5:$D$3004,$AS418)="","",INDEX('潜水記録'!$D$5:$D$3004,$AS418)))</f>
        <v/>
      </c>
      <c r="F418" s="14">
        <f>IF($A418="","",IF(INDEX('潜水記録'!$E$5:$E$3004,$AS418)="","",INDEX('潜水記録'!$E$5:$E$3004,$AS418)))</f>
        <v/>
      </c>
      <c r="G418" s="14">
        <f>IF($A418="","",IF(INDEX('潜水記録'!$F$5:$F$3004,$AS418)="","",INDEX('潜水記録'!$F$5:$F$3004,$AS418)))</f>
        <v/>
      </c>
      <c r="H418" s="14">
        <f>IF($A418="","",IF(INDEX('潜水記録'!$G$5:$G$3004,$AS418)="","",INDEX('潜水記録'!$G$5:$G$3004,$AS418)))</f>
        <v/>
      </c>
      <c r="I418" s="14">
        <f>IF($A418="","",IF(INDEX('潜水記録'!$H$5:$H$3004,$AS418)="","",INDEX('潜水記録'!$H$5:$H$3004,$AS418)))</f>
        <v/>
      </c>
      <c r="J418" s="14">
        <f>IF($A418="","",IF(INDEX('潜水記録'!$I$5:$I$3004,$AS418)="","",INDEX('潜水記録'!$I$5:$I$3004,$AS418)))</f>
        <v/>
      </c>
      <c r="K418" s="14">
        <f>IF($A418="","",IF(INDEX('潜水記録'!$J$5:$J$3004,$AS418)="","",INDEX('潜水記録'!$J$5:$J$3004,$AS418)))</f>
        <v/>
      </c>
      <c r="L418" s="14">
        <f>IF($A418="","",IF(INDEX('潜水記録'!$K$5:$K$3004,$AS418)="","",INDEX('潜水記録'!$K$5:$K$3004,$AS418)))</f>
        <v/>
      </c>
      <c r="M418" s="14">
        <f>IF($A418="","",IF(INDEX('潜水記録'!$L$5:$L$3004,$AS418)="","",INDEX('潜水記録'!$L$5:$L$3004,$AS418)))</f>
        <v/>
      </c>
      <c r="N418" s="14">
        <f>IF($A418="","",IF(INDEX('潜水記録'!$M$5:$M$3004,$AS418)="","",INDEX('潜水記録'!$M$5:$M$3004,$AS418)))</f>
        <v/>
      </c>
      <c r="O418" s="14">
        <f>IF($A418="","",IF(INDEX('潜水記録'!$N$5:$N$3004,$AS418)="","",INDEX('潜水記録'!$N$5:$N$3004,$AS418)))</f>
        <v/>
      </c>
      <c r="P418" s="14">
        <f>IF($A418="","",IF(INDEX('潜水記録'!$O$5:$O$3004,$AS418)="","",INDEX('潜水記録'!$O$5:$O$3004,$AS418)))</f>
        <v/>
      </c>
      <c r="Q418" s="14">
        <f>IF($A418="","",IF(INDEX('潜水記録'!$P$5:$P$3004,$AS418)="","",INDEX('潜水記録'!$P$5:$P$3004,$AS418)))</f>
        <v/>
      </c>
      <c r="R418" s="14">
        <f>IF($A418="","",IF(INDEX('潜水記録'!$Q$5:$Q$3004,$AS418)="","",INDEX('潜水記録'!$Q$5:$Q$3004,$AS418)))</f>
        <v/>
      </c>
      <c r="S418" s="14">
        <f>IF($A418="","",IF(INDEX('潜水記録'!$R$5:$R$3004,$AS418)="","",INDEX('潜水記録'!$R$5:$R$3004,$AS418)))</f>
        <v/>
      </c>
      <c r="T418" s="14">
        <f>IF($A418="","",IF(INDEX('潜水記録'!$S$5:$S$3004,$AS418)="","",INDEX('潜水記録'!$S$5:$S$3004,$AS418)))</f>
        <v/>
      </c>
      <c r="U418" s="14">
        <f>IF($A418="","",IF(INDEX('潜水記録'!$T$5:$T$3004,$AS418)="","",INDEX('潜水記録'!$T$5:$T$3004,$AS418)))</f>
        <v/>
      </c>
      <c r="V418" s="46">
        <f>IF($A418="","",IF(INDEX('潜水記録'!$U$5:$U$3004,$AS418)="","",INDEX('潜水記録'!$U$5:$U$3004,$AS418)))</f>
        <v/>
      </c>
      <c r="W418" s="46">
        <f>IF($A418="","",IF(INDEX('潜水記録'!$V$5:$V$3004,$AS418)="","",INDEX('潜水記録'!$V$5:$V$3004,$AS418)))</f>
        <v/>
      </c>
      <c r="X418" s="14">
        <f>IF($A418="","",IF(INDEX('潜水記録'!$W$5:$W$3004,$AS418)="","",INDEX('潜水記録'!$W$5:$W$3004,$AS418)))</f>
        <v/>
      </c>
      <c r="Y418" s="14">
        <f>IF($A418="","",IF(INDEX('潜水記録'!$X$5:$X$3004,$AS418)="","",INDEX('潜水記録'!$X$5:$X$3004,$AS418)))</f>
        <v/>
      </c>
      <c r="Z418" s="14">
        <f>IF($A418="","",IF(INDEX('潜水記録'!$Y$5:$Y$3004,$AS418)="","",INDEX('潜水記録'!$Y$5:$Y$3004,$AS418)))</f>
        <v/>
      </c>
      <c r="AA418" s="14">
        <f>IF($A418="","",IF(INDEX('潜水記録'!$Z$5:$Z$3004,$AS418)="","",INDEX('潜水記録'!$Z$5:$Z$3004,$AS418)))</f>
        <v/>
      </c>
      <c r="AB418" s="14">
        <f>IF($A418="","",IF(INDEX('潜水記録'!$AA$5:$AA$3004,$AS418)="","",INDEX('潜水記録'!$AA$5:$AA$3004,$AS418)))</f>
        <v/>
      </c>
      <c r="AC418" s="14">
        <f>IF($A418="","",IF(INDEX('潜水記録'!$AB$5:$AB$3004,$AS418)="","",INDEX('潜水記録'!$AB$5:$AB$3004,$AS418)))</f>
        <v/>
      </c>
      <c r="AD418" s="14">
        <f>IF($A418="","",IF(INDEX('潜水記録'!$AC$5:$AC$3004,$AS418)="","",INDEX('潜水記録'!$AC$5:$AC$3004,$AS418)))</f>
        <v/>
      </c>
      <c r="AE418" s="14">
        <f>IF($A418="","",IF(INDEX('潜水記録'!$AD$5:$AD$3004,$AS418)="","",INDEX('潜水記録'!$AD$5:$AD$3004,$AS418)))</f>
        <v/>
      </c>
      <c r="AF418" s="14">
        <f>IF($A418="","",IF(INDEX('潜水記録'!$AE$5:$AE$3004,$AS418)="","",INDEX('潜水記録'!$AE$5:$AE$3004,$AS418)))</f>
        <v/>
      </c>
      <c r="AG418" s="14">
        <f>IF($A418="","",IF(INDEX('潜水記録'!$AL$5:$AL$3004,$AS418)="","",INDEX('潜水記録'!$AL$5:$AL$3004,$AS418)))</f>
        <v/>
      </c>
      <c r="AH418" s="14">
        <f>IF($A418="","",IF(INDEX('潜水記録'!$AM$5:$AM$3004,$AS418)="","",INDEX('潜水記録'!$AM$5:$AM$3004,$AS418)))</f>
        <v/>
      </c>
      <c r="AI418" s="46">
        <f>IF($A418="","",IF(INDEX('潜水記録'!$AN$5:$AN$3004,$AS418)="","",INDEX('潜水記録'!$AN$5:$AN$3004,$AS418)))</f>
        <v/>
      </c>
      <c r="AJ418" s="14">
        <f>IF($A418="","",IF(INDEX('潜水記録'!$AO$5:$AO$3004,$AS418)="","",INDEX('潜水記録'!$AO$5:$AO$3004,$AS418)))</f>
        <v/>
      </c>
      <c r="AK418" s="14">
        <f>IF($A418="","",IF(INDEX('潜水記録'!$AP$5:$AP$3004,$AS418)="","",INDEX('潜水記録'!$AP$5:$AP$3004,$AS418)))</f>
        <v/>
      </c>
      <c r="AL418" s="14">
        <f>IF($A418="","",IF(INDEX('潜水記録'!$AQ$5:$AQ$3004,$AS418)="","",INDEX('潜水記録'!$AQ$5:$AQ$3004,$AS418)))</f>
        <v/>
      </c>
      <c r="AM418" s="14">
        <f>IF($A418="","",IF(INDEX('潜水記録'!$AR$5:$AR$3004,$AS418)="","",INDEX('潜水記録'!$AR$5:$AR$3004,$AS418)))</f>
        <v/>
      </c>
      <c r="AN418" s="14">
        <f>IF($A418="","",IF(INDEX('潜水記録'!$AS$5:$AS$3004,$AS418)="","",INDEX('潜水記録'!$AS$5:$AS$3004,$AS418)))</f>
        <v/>
      </c>
      <c r="AO418" s="14">
        <f>IF($A418="","",IF(INDEX('潜水記録'!$AT$5:$AT$3004,$AS418)="","",INDEX('潜水記録'!$AT$5:$AT$3004,$AS418)))</f>
        <v/>
      </c>
      <c r="AP418" s="14">
        <f>IF($A418="","",IF(INDEX('潜水記録'!$AU$5:$AU$3004,$AS418)="","",INDEX('潜水記録'!$AU$5:$AU$3004,$AS418)))</f>
        <v/>
      </c>
      <c r="AQ418" s="14">
        <f>IF($A418="","",IF(INDEX('潜水記録'!$AV$5:$AV$3004,$AS418)="","",INDEX('潜水記録'!$AV$5:$AV$3004,$AS418)))</f>
        <v/>
      </c>
      <c r="AR418" s="14">
        <f>IF($A418="","",IF(INDEX('潜水記録'!$AW$5:$AW$3004,$AS418)="","",INDEX('潜水記録'!$AW$5:$AW$3004,$AS418)))</f>
        <v/>
      </c>
      <c r="AS418" s="20">
        <f>IF($A418="","",MATCH($A418,'潜水記録'!$AI$5:$AI$3004,0))</f>
        <v/>
      </c>
    </row>
    <row r="419">
      <c r="A419" s="14">
        <f>IF(409&lt;=$C$8,409,"")</f>
        <v/>
      </c>
      <c r="B419" s="16">
        <f>IF($A419="","",IF(INDEX('潜水記録'!$A$5:$A$3004,$AS419)="","",INDEX('潜水記録'!$A$5:$A$3004,$AS419)))</f>
        <v/>
      </c>
      <c r="C419" s="14">
        <f>IF($A419="","",IF(INDEX('潜水記録'!$B$5:$B$3004,$AS419)="","",INDEX('潜水記録'!$B$5:$B$3004,$AS419)))</f>
        <v/>
      </c>
      <c r="D419" s="14">
        <f>IF($A419="","",IF(INDEX('潜水記録'!$C$5:$C$3004,$AS419)="","",INDEX('潜水記録'!$C$5:$C$3004,$AS419)))</f>
        <v/>
      </c>
      <c r="E419" s="14">
        <f>IF($A419="","",IF(INDEX('潜水記録'!$D$5:$D$3004,$AS419)="","",INDEX('潜水記録'!$D$5:$D$3004,$AS419)))</f>
        <v/>
      </c>
      <c r="F419" s="14">
        <f>IF($A419="","",IF(INDEX('潜水記録'!$E$5:$E$3004,$AS419)="","",INDEX('潜水記録'!$E$5:$E$3004,$AS419)))</f>
        <v/>
      </c>
      <c r="G419" s="14">
        <f>IF($A419="","",IF(INDEX('潜水記録'!$F$5:$F$3004,$AS419)="","",INDEX('潜水記録'!$F$5:$F$3004,$AS419)))</f>
        <v/>
      </c>
      <c r="H419" s="14">
        <f>IF($A419="","",IF(INDEX('潜水記録'!$G$5:$G$3004,$AS419)="","",INDEX('潜水記録'!$G$5:$G$3004,$AS419)))</f>
        <v/>
      </c>
      <c r="I419" s="14">
        <f>IF($A419="","",IF(INDEX('潜水記録'!$H$5:$H$3004,$AS419)="","",INDEX('潜水記録'!$H$5:$H$3004,$AS419)))</f>
        <v/>
      </c>
      <c r="J419" s="14">
        <f>IF($A419="","",IF(INDEX('潜水記録'!$I$5:$I$3004,$AS419)="","",INDEX('潜水記録'!$I$5:$I$3004,$AS419)))</f>
        <v/>
      </c>
      <c r="K419" s="14">
        <f>IF($A419="","",IF(INDEX('潜水記録'!$J$5:$J$3004,$AS419)="","",INDEX('潜水記録'!$J$5:$J$3004,$AS419)))</f>
        <v/>
      </c>
      <c r="L419" s="14">
        <f>IF($A419="","",IF(INDEX('潜水記録'!$K$5:$K$3004,$AS419)="","",INDEX('潜水記録'!$K$5:$K$3004,$AS419)))</f>
        <v/>
      </c>
      <c r="M419" s="14">
        <f>IF($A419="","",IF(INDEX('潜水記録'!$L$5:$L$3004,$AS419)="","",INDEX('潜水記録'!$L$5:$L$3004,$AS419)))</f>
        <v/>
      </c>
      <c r="N419" s="14">
        <f>IF($A419="","",IF(INDEX('潜水記録'!$M$5:$M$3004,$AS419)="","",INDEX('潜水記録'!$M$5:$M$3004,$AS419)))</f>
        <v/>
      </c>
      <c r="O419" s="14">
        <f>IF($A419="","",IF(INDEX('潜水記録'!$N$5:$N$3004,$AS419)="","",INDEX('潜水記録'!$N$5:$N$3004,$AS419)))</f>
        <v/>
      </c>
      <c r="P419" s="14">
        <f>IF($A419="","",IF(INDEX('潜水記録'!$O$5:$O$3004,$AS419)="","",INDEX('潜水記録'!$O$5:$O$3004,$AS419)))</f>
        <v/>
      </c>
      <c r="Q419" s="14">
        <f>IF($A419="","",IF(INDEX('潜水記録'!$P$5:$P$3004,$AS419)="","",INDEX('潜水記録'!$P$5:$P$3004,$AS419)))</f>
        <v/>
      </c>
      <c r="R419" s="14">
        <f>IF($A419="","",IF(INDEX('潜水記録'!$Q$5:$Q$3004,$AS419)="","",INDEX('潜水記録'!$Q$5:$Q$3004,$AS419)))</f>
        <v/>
      </c>
      <c r="S419" s="14">
        <f>IF($A419="","",IF(INDEX('潜水記録'!$R$5:$R$3004,$AS419)="","",INDEX('潜水記録'!$R$5:$R$3004,$AS419)))</f>
        <v/>
      </c>
      <c r="T419" s="14">
        <f>IF($A419="","",IF(INDEX('潜水記録'!$S$5:$S$3004,$AS419)="","",INDEX('潜水記録'!$S$5:$S$3004,$AS419)))</f>
        <v/>
      </c>
      <c r="U419" s="14">
        <f>IF($A419="","",IF(INDEX('潜水記録'!$T$5:$T$3004,$AS419)="","",INDEX('潜水記録'!$T$5:$T$3004,$AS419)))</f>
        <v/>
      </c>
      <c r="V419" s="46">
        <f>IF($A419="","",IF(INDEX('潜水記録'!$U$5:$U$3004,$AS419)="","",INDEX('潜水記録'!$U$5:$U$3004,$AS419)))</f>
        <v/>
      </c>
      <c r="W419" s="46">
        <f>IF($A419="","",IF(INDEX('潜水記録'!$V$5:$V$3004,$AS419)="","",INDEX('潜水記録'!$V$5:$V$3004,$AS419)))</f>
        <v/>
      </c>
      <c r="X419" s="14">
        <f>IF($A419="","",IF(INDEX('潜水記録'!$W$5:$W$3004,$AS419)="","",INDEX('潜水記録'!$W$5:$W$3004,$AS419)))</f>
        <v/>
      </c>
      <c r="Y419" s="14">
        <f>IF($A419="","",IF(INDEX('潜水記録'!$X$5:$X$3004,$AS419)="","",INDEX('潜水記録'!$X$5:$X$3004,$AS419)))</f>
        <v/>
      </c>
      <c r="Z419" s="14">
        <f>IF($A419="","",IF(INDEX('潜水記録'!$Y$5:$Y$3004,$AS419)="","",INDEX('潜水記録'!$Y$5:$Y$3004,$AS419)))</f>
        <v/>
      </c>
      <c r="AA419" s="14">
        <f>IF($A419="","",IF(INDEX('潜水記録'!$Z$5:$Z$3004,$AS419)="","",INDEX('潜水記録'!$Z$5:$Z$3004,$AS419)))</f>
        <v/>
      </c>
      <c r="AB419" s="14">
        <f>IF($A419="","",IF(INDEX('潜水記録'!$AA$5:$AA$3004,$AS419)="","",INDEX('潜水記録'!$AA$5:$AA$3004,$AS419)))</f>
        <v/>
      </c>
      <c r="AC419" s="14">
        <f>IF($A419="","",IF(INDEX('潜水記録'!$AB$5:$AB$3004,$AS419)="","",INDEX('潜水記録'!$AB$5:$AB$3004,$AS419)))</f>
        <v/>
      </c>
      <c r="AD419" s="14">
        <f>IF($A419="","",IF(INDEX('潜水記録'!$AC$5:$AC$3004,$AS419)="","",INDEX('潜水記録'!$AC$5:$AC$3004,$AS419)))</f>
        <v/>
      </c>
      <c r="AE419" s="14">
        <f>IF($A419="","",IF(INDEX('潜水記録'!$AD$5:$AD$3004,$AS419)="","",INDEX('潜水記録'!$AD$5:$AD$3004,$AS419)))</f>
        <v/>
      </c>
      <c r="AF419" s="14">
        <f>IF($A419="","",IF(INDEX('潜水記録'!$AE$5:$AE$3004,$AS419)="","",INDEX('潜水記録'!$AE$5:$AE$3004,$AS419)))</f>
        <v/>
      </c>
      <c r="AG419" s="14">
        <f>IF($A419="","",IF(INDEX('潜水記録'!$AL$5:$AL$3004,$AS419)="","",INDEX('潜水記録'!$AL$5:$AL$3004,$AS419)))</f>
        <v/>
      </c>
      <c r="AH419" s="14">
        <f>IF($A419="","",IF(INDEX('潜水記録'!$AM$5:$AM$3004,$AS419)="","",INDEX('潜水記録'!$AM$5:$AM$3004,$AS419)))</f>
        <v/>
      </c>
      <c r="AI419" s="46">
        <f>IF($A419="","",IF(INDEX('潜水記録'!$AN$5:$AN$3004,$AS419)="","",INDEX('潜水記録'!$AN$5:$AN$3004,$AS419)))</f>
        <v/>
      </c>
      <c r="AJ419" s="14">
        <f>IF($A419="","",IF(INDEX('潜水記録'!$AO$5:$AO$3004,$AS419)="","",INDEX('潜水記録'!$AO$5:$AO$3004,$AS419)))</f>
        <v/>
      </c>
      <c r="AK419" s="14">
        <f>IF($A419="","",IF(INDEX('潜水記録'!$AP$5:$AP$3004,$AS419)="","",INDEX('潜水記録'!$AP$5:$AP$3004,$AS419)))</f>
        <v/>
      </c>
      <c r="AL419" s="14">
        <f>IF($A419="","",IF(INDEX('潜水記録'!$AQ$5:$AQ$3004,$AS419)="","",INDEX('潜水記録'!$AQ$5:$AQ$3004,$AS419)))</f>
        <v/>
      </c>
      <c r="AM419" s="14">
        <f>IF($A419="","",IF(INDEX('潜水記録'!$AR$5:$AR$3004,$AS419)="","",INDEX('潜水記録'!$AR$5:$AR$3004,$AS419)))</f>
        <v/>
      </c>
      <c r="AN419" s="14">
        <f>IF($A419="","",IF(INDEX('潜水記録'!$AS$5:$AS$3004,$AS419)="","",INDEX('潜水記録'!$AS$5:$AS$3004,$AS419)))</f>
        <v/>
      </c>
      <c r="AO419" s="14">
        <f>IF($A419="","",IF(INDEX('潜水記録'!$AT$5:$AT$3004,$AS419)="","",INDEX('潜水記録'!$AT$5:$AT$3004,$AS419)))</f>
        <v/>
      </c>
      <c r="AP419" s="14">
        <f>IF($A419="","",IF(INDEX('潜水記録'!$AU$5:$AU$3004,$AS419)="","",INDEX('潜水記録'!$AU$5:$AU$3004,$AS419)))</f>
        <v/>
      </c>
      <c r="AQ419" s="14">
        <f>IF($A419="","",IF(INDEX('潜水記録'!$AV$5:$AV$3004,$AS419)="","",INDEX('潜水記録'!$AV$5:$AV$3004,$AS419)))</f>
        <v/>
      </c>
      <c r="AR419" s="14">
        <f>IF($A419="","",IF(INDEX('潜水記録'!$AW$5:$AW$3004,$AS419)="","",INDEX('潜水記録'!$AW$5:$AW$3004,$AS419)))</f>
        <v/>
      </c>
      <c r="AS419" s="20">
        <f>IF($A419="","",MATCH($A419,'潜水記録'!$AI$5:$AI$3004,0))</f>
        <v/>
      </c>
    </row>
    <row r="420">
      <c r="A420" s="14">
        <f>IF(410&lt;=$C$8,410,"")</f>
        <v/>
      </c>
      <c r="B420" s="16">
        <f>IF($A420="","",IF(INDEX('潜水記録'!$A$5:$A$3004,$AS420)="","",INDEX('潜水記録'!$A$5:$A$3004,$AS420)))</f>
        <v/>
      </c>
      <c r="C420" s="14">
        <f>IF($A420="","",IF(INDEX('潜水記録'!$B$5:$B$3004,$AS420)="","",INDEX('潜水記録'!$B$5:$B$3004,$AS420)))</f>
        <v/>
      </c>
      <c r="D420" s="14">
        <f>IF($A420="","",IF(INDEX('潜水記録'!$C$5:$C$3004,$AS420)="","",INDEX('潜水記録'!$C$5:$C$3004,$AS420)))</f>
        <v/>
      </c>
      <c r="E420" s="14">
        <f>IF($A420="","",IF(INDEX('潜水記録'!$D$5:$D$3004,$AS420)="","",INDEX('潜水記録'!$D$5:$D$3004,$AS420)))</f>
        <v/>
      </c>
      <c r="F420" s="14">
        <f>IF($A420="","",IF(INDEX('潜水記録'!$E$5:$E$3004,$AS420)="","",INDEX('潜水記録'!$E$5:$E$3004,$AS420)))</f>
        <v/>
      </c>
      <c r="G420" s="14">
        <f>IF($A420="","",IF(INDEX('潜水記録'!$F$5:$F$3004,$AS420)="","",INDEX('潜水記録'!$F$5:$F$3004,$AS420)))</f>
        <v/>
      </c>
      <c r="H420" s="14">
        <f>IF($A420="","",IF(INDEX('潜水記録'!$G$5:$G$3004,$AS420)="","",INDEX('潜水記録'!$G$5:$G$3004,$AS420)))</f>
        <v/>
      </c>
      <c r="I420" s="14">
        <f>IF($A420="","",IF(INDEX('潜水記録'!$H$5:$H$3004,$AS420)="","",INDEX('潜水記録'!$H$5:$H$3004,$AS420)))</f>
        <v/>
      </c>
      <c r="J420" s="14">
        <f>IF($A420="","",IF(INDEX('潜水記録'!$I$5:$I$3004,$AS420)="","",INDEX('潜水記録'!$I$5:$I$3004,$AS420)))</f>
        <v/>
      </c>
      <c r="K420" s="14">
        <f>IF($A420="","",IF(INDEX('潜水記録'!$J$5:$J$3004,$AS420)="","",INDEX('潜水記録'!$J$5:$J$3004,$AS420)))</f>
        <v/>
      </c>
      <c r="L420" s="14">
        <f>IF($A420="","",IF(INDEX('潜水記録'!$K$5:$K$3004,$AS420)="","",INDEX('潜水記録'!$K$5:$K$3004,$AS420)))</f>
        <v/>
      </c>
      <c r="M420" s="14">
        <f>IF($A420="","",IF(INDEX('潜水記録'!$L$5:$L$3004,$AS420)="","",INDEX('潜水記録'!$L$5:$L$3004,$AS420)))</f>
        <v/>
      </c>
      <c r="N420" s="14">
        <f>IF($A420="","",IF(INDEX('潜水記録'!$M$5:$M$3004,$AS420)="","",INDEX('潜水記録'!$M$5:$M$3004,$AS420)))</f>
        <v/>
      </c>
      <c r="O420" s="14">
        <f>IF($A420="","",IF(INDEX('潜水記録'!$N$5:$N$3004,$AS420)="","",INDEX('潜水記録'!$N$5:$N$3004,$AS420)))</f>
        <v/>
      </c>
      <c r="P420" s="14">
        <f>IF($A420="","",IF(INDEX('潜水記録'!$O$5:$O$3004,$AS420)="","",INDEX('潜水記録'!$O$5:$O$3004,$AS420)))</f>
        <v/>
      </c>
      <c r="Q420" s="14">
        <f>IF($A420="","",IF(INDEX('潜水記録'!$P$5:$P$3004,$AS420)="","",INDEX('潜水記録'!$P$5:$P$3004,$AS420)))</f>
        <v/>
      </c>
      <c r="R420" s="14">
        <f>IF($A420="","",IF(INDEX('潜水記録'!$Q$5:$Q$3004,$AS420)="","",INDEX('潜水記録'!$Q$5:$Q$3004,$AS420)))</f>
        <v/>
      </c>
      <c r="S420" s="14">
        <f>IF($A420="","",IF(INDEX('潜水記録'!$R$5:$R$3004,$AS420)="","",INDEX('潜水記録'!$R$5:$R$3004,$AS420)))</f>
        <v/>
      </c>
      <c r="T420" s="14">
        <f>IF($A420="","",IF(INDEX('潜水記録'!$S$5:$S$3004,$AS420)="","",INDEX('潜水記録'!$S$5:$S$3004,$AS420)))</f>
        <v/>
      </c>
      <c r="U420" s="14">
        <f>IF($A420="","",IF(INDEX('潜水記録'!$T$5:$T$3004,$AS420)="","",INDEX('潜水記録'!$T$5:$T$3004,$AS420)))</f>
        <v/>
      </c>
      <c r="V420" s="46">
        <f>IF($A420="","",IF(INDEX('潜水記録'!$U$5:$U$3004,$AS420)="","",INDEX('潜水記録'!$U$5:$U$3004,$AS420)))</f>
        <v/>
      </c>
      <c r="W420" s="46">
        <f>IF($A420="","",IF(INDEX('潜水記録'!$V$5:$V$3004,$AS420)="","",INDEX('潜水記録'!$V$5:$V$3004,$AS420)))</f>
        <v/>
      </c>
      <c r="X420" s="14">
        <f>IF($A420="","",IF(INDEX('潜水記録'!$W$5:$W$3004,$AS420)="","",INDEX('潜水記録'!$W$5:$W$3004,$AS420)))</f>
        <v/>
      </c>
      <c r="Y420" s="14">
        <f>IF($A420="","",IF(INDEX('潜水記録'!$X$5:$X$3004,$AS420)="","",INDEX('潜水記録'!$X$5:$X$3004,$AS420)))</f>
        <v/>
      </c>
      <c r="Z420" s="14">
        <f>IF($A420="","",IF(INDEX('潜水記録'!$Y$5:$Y$3004,$AS420)="","",INDEX('潜水記録'!$Y$5:$Y$3004,$AS420)))</f>
        <v/>
      </c>
      <c r="AA420" s="14">
        <f>IF($A420="","",IF(INDEX('潜水記録'!$Z$5:$Z$3004,$AS420)="","",INDEX('潜水記録'!$Z$5:$Z$3004,$AS420)))</f>
        <v/>
      </c>
      <c r="AB420" s="14">
        <f>IF($A420="","",IF(INDEX('潜水記録'!$AA$5:$AA$3004,$AS420)="","",INDEX('潜水記録'!$AA$5:$AA$3004,$AS420)))</f>
        <v/>
      </c>
      <c r="AC420" s="14">
        <f>IF($A420="","",IF(INDEX('潜水記録'!$AB$5:$AB$3004,$AS420)="","",INDEX('潜水記録'!$AB$5:$AB$3004,$AS420)))</f>
        <v/>
      </c>
      <c r="AD420" s="14">
        <f>IF($A420="","",IF(INDEX('潜水記録'!$AC$5:$AC$3004,$AS420)="","",INDEX('潜水記録'!$AC$5:$AC$3004,$AS420)))</f>
        <v/>
      </c>
      <c r="AE420" s="14">
        <f>IF($A420="","",IF(INDEX('潜水記録'!$AD$5:$AD$3004,$AS420)="","",INDEX('潜水記録'!$AD$5:$AD$3004,$AS420)))</f>
        <v/>
      </c>
      <c r="AF420" s="14">
        <f>IF($A420="","",IF(INDEX('潜水記録'!$AE$5:$AE$3004,$AS420)="","",INDEX('潜水記録'!$AE$5:$AE$3004,$AS420)))</f>
        <v/>
      </c>
      <c r="AG420" s="14">
        <f>IF($A420="","",IF(INDEX('潜水記録'!$AL$5:$AL$3004,$AS420)="","",INDEX('潜水記録'!$AL$5:$AL$3004,$AS420)))</f>
        <v/>
      </c>
      <c r="AH420" s="14">
        <f>IF($A420="","",IF(INDEX('潜水記録'!$AM$5:$AM$3004,$AS420)="","",INDEX('潜水記録'!$AM$5:$AM$3004,$AS420)))</f>
        <v/>
      </c>
      <c r="AI420" s="46">
        <f>IF($A420="","",IF(INDEX('潜水記録'!$AN$5:$AN$3004,$AS420)="","",INDEX('潜水記録'!$AN$5:$AN$3004,$AS420)))</f>
        <v/>
      </c>
      <c r="AJ420" s="14">
        <f>IF($A420="","",IF(INDEX('潜水記録'!$AO$5:$AO$3004,$AS420)="","",INDEX('潜水記録'!$AO$5:$AO$3004,$AS420)))</f>
        <v/>
      </c>
      <c r="AK420" s="14">
        <f>IF($A420="","",IF(INDEX('潜水記録'!$AP$5:$AP$3004,$AS420)="","",INDEX('潜水記録'!$AP$5:$AP$3004,$AS420)))</f>
        <v/>
      </c>
      <c r="AL420" s="14">
        <f>IF($A420="","",IF(INDEX('潜水記録'!$AQ$5:$AQ$3004,$AS420)="","",INDEX('潜水記録'!$AQ$5:$AQ$3004,$AS420)))</f>
        <v/>
      </c>
      <c r="AM420" s="14">
        <f>IF($A420="","",IF(INDEX('潜水記録'!$AR$5:$AR$3004,$AS420)="","",INDEX('潜水記録'!$AR$5:$AR$3004,$AS420)))</f>
        <v/>
      </c>
      <c r="AN420" s="14">
        <f>IF($A420="","",IF(INDEX('潜水記録'!$AS$5:$AS$3004,$AS420)="","",INDEX('潜水記録'!$AS$5:$AS$3004,$AS420)))</f>
        <v/>
      </c>
      <c r="AO420" s="14">
        <f>IF($A420="","",IF(INDEX('潜水記録'!$AT$5:$AT$3004,$AS420)="","",INDEX('潜水記録'!$AT$5:$AT$3004,$AS420)))</f>
        <v/>
      </c>
      <c r="AP420" s="14">
        <f>IF($A420="","",IF(INDEX('潜水記録'!$AU$5:$AU$3004,$AS420)="","",INDEX('潜水記録'!$AU$5:$AU$3004,$AS420)))</f>
        <v/>
      </c>
      <c r="AQ420" s="14">
        <f>IF($A420="","",IF(INDEX('潜水記録'!$AV$5:$AV$3004,$AS420)="","",INDEX('潜水記録'!$AV$5:$AV$3004,$AS420)))</f>
        <v/>
      </c>
      <c r="AR420" s="14">
        <f>IF($A420="","",IF(INDEX('潜水記録'!$AW$5:$AW$3004,$AS420)="","",INDEX('潜水記録'!$AW$5:$AW$3004,$AS420)))</f>
        <v/>
      </c>
      <c r="AS420" s="20">
        <f>IF($A420="","",MATCH($A420,'潜水記録'!$AI$5:$AI$3004,0))</f>
        <v/>
      </c>
    </row>
    <row r="421">
      <c r="A421" s="14">
        <f>IF(411&lt;=$C$8,411,"")</f>
        <v/>
      </c>
      <c r="B421" s="16">
        <f>IF($A421="","",IF(INDEX('潜水記録'!$A$5:$A$3004,$AS421)="","",INDEX('潜水記録'!$A$5:$A$3004,$AS421)))</f>
        <v/>
      </c>
      <c r="C421" s="14">
        <f>IF($A421="","",IF(INDEX('潜水記録'!$B$5:$B$3004,$AS421)="","",INDEX('潜水記録'!$B$5:$B$3004,$AS421)))</f>
        <v/>
      </c>
      <c r="D421" s="14">
        <f>IF($A421="","",IF(INDEX('潜水記録'!$C$5:$C$3004,$AS421)="","",INDEX('潜水記録'!$C$5:$C$3004,$AS421)))</f>
        <v/>
      </c>
      <c r="E421" s="14">
        <f>IF($A421="","",IF(INDEX('潜水記録'!$D$5:$D$3004,$AS421)="","",INDEX('潜水記録'!$D$5:$D$3004,$AS421)))</f>
        <v/>
      </c>
      <c r="F421" s="14">
        <f>IF($A421="","",IF(INDEX('潜水記録'!$E$5:$E$3004,$AS421)="","",INDEX('潜水記録'!$E$5:$E$3004,$AS421)))</f>
        <v/>
      </c>
      <c r="G421" s="14">
        <f>IF($A421="","",IF(INDEX('潜水記録'!$F$5:$F$3004,$AS421)="","",INDEX('潜水記録'!$F$5:$F$3004,$AS421)))</f>
        <v/>
      </c>
      <c r="H421" s="14">
        <f>IF($A421="","",IF(INDEX('潜水記録'!$G$5:$G$3004,$AS421)="","",INDEX('潜水記録'!$G$5:$G$3004,$AS421)))</f>
        <v/>
      </c>
      <c r="I421" s="14">
        <f>IF($A421="","",IF(INDEX('潜水記録'!$H$5:$H$3004,$AS421)="","",INDEX('潜水記録'!$H$5:$H$3004,$AS421)))</f>
        <v/>
      </c>
      <c r="J421" s="14">
        <f>IF($A421="","",IF(INDEX('潜水記録'!$I$5:$I$3004,$AS421)="","",INDEX('潜水記録'!$I$5:$I$3004,$AS421)))</f>
        <v/>
      </c>
      <c r="K421" s="14">
        <f>IF($A421="","",IF(INDEX('潜水記録'!$J$5:$J$3004,$AS421)="","",INDEX('潜水記録'!$J$5:$J$3004,$AS421)))</f>
        <v/>
      </c>
      <c r="L421" s="14">
        <f>IF($A421="","",IF(INDEX('潜水記録'!$K$5:$K$3004,$AS421)="","",INDEX('潜水記録'!$K$5:$K$3004,$AS421)))</f>
        <v/>
      </c>
      <c r="M421" s="14">
        <f>IF($A421="","",IF(INDEX('潜水記録'!$L$5:$L$3004,$AS421)="","",INDEX('潜水記録'!$L$5:$L$3004,$AS421)))</f>
        <v/>
      </c>
      <c r="N421" s="14">
        <f>IF($A421="","",IF(INDEX('潜水記録'!$M$5:$M$3004,$AS421)="","",INDEX('潜水記録'!$M$5:$M$3004,$AS421)))</f>
        <v/>
      </c>
      <c r="O421" s="14">
        <f>IF($A421="","",IF(INDEX('潜水記録'!$N$5:$N$3004,$AS421)="","",INDEX('潜水記録'!$N$5:$N$3004,$AS421)))</f>
        <v/>
      </c>
      <c r="P421" s="14">
        <f>IF($A421="","",IF(INDEX('潜水記録'!$O$5:$O$3004,$AS421)="","",INDEX('潜水記録'!$O$5:$O$3004,$AS421)))</f>
        <v/>
      </c>
      <c r="Q421" s="14">
        <f>IF($A421="","",IF(INDEX('潜水記録'!$P$5:$P$3004,$AS421)="","",INDEX('潜水記録'!$P$5:$P$3004,$AS421)))</f>
        <v/>
      </c>
      <c r="R421" s="14">
        <f>IF($A421="","",IF(INDEX('潜水記録'!$Q$5:$Q$3004,$AS421)="","",INDEX('潜水記録'!$Q$5:$Q$3004,$AS421)))</f>
        <v/>
      </c>
      <c r="S421" s="14">
        <f>IF($A421="","",IF(INDEX('潜水記録'!$R$5:$R$3004,$AS421)="","",INDEX('潜水記録'!$R$5:$R$3004,$AS421)))</f>
        <v/>
      </c>
      <c r="T421" s="14">
        <f>IF($A421="","",IF(INDEX('潜水記録'!$S$5:$S$3004,$AS421)="","",INDEX('潜水記録'!$S$5:$S$3004,$AS421)))</f>
        <v/>
      </c>
      <c r="U421" s="14">
        <f>IF($A421="","",IF(INDEX('潜水記録'!$T$5:$T$3004,$AS421)="","",INDEX('潜水記録'!$T$5:$T$3004,$AS421)))</f>
        <v/>
      </c>
      <c r="V421" s="46">
        <f>IF($A421="","",IF(INDEX('潜水記録'!$U$5:$U$3004,$AS421)="","",INDEX('潜水記録'!$U$5:$U$3004,$AS421)))</f>
        <v/>
      </c>
      <c r="W421" s="46">
        <f>IF($A421="","",IF(INDEX('潜水記録'!$V$5:$V$3004,$AS421)="","",INDEX('潜水記録'!$V$5:$V$3004,$AS421)))</f>
        <v/>
      </c>
      <c r="X421" s="14">
        <f>IF($A421="","",IF(INDEX('潜水記録'!$W$5:$W$3004,$AS421)="","",INDEX('潜水記録'!$W$5:$W$3004,$AS421)))</f>
        <v/>
      </c>
      <c r="Y421" s="14">
        <f>IF($A421="","",IF(INDEX('潜水記録'!$X$5:$X$3004,$AS421)="","",INDEX('潜水記録'!$X$5:$X$3004,$AS421)))</f>
        <v/>
      </c>
      <c r="Z421" s="14">
        <f>IF($A421="","",IF(INDEX('潜水記録'!$Y$5:$Y$3004,$AS421)="","",INDEX('潜水記録'!$Y$5:$Y$3004,$AS421)))</f>
        <v/>
      </c>
      <c r="AA421" s="14">
        <f>IF($A421="","",IF(INDEX('潜水記録'!$Z$5:$Z$3004,$AS421)="","",INDEX('潜水記録'!$Z$5:$Z$3004,$AS421)))</f>
        <v/>
      </c>
      <c r="AB421" s="14">
        <f>IF($A421="","",IF(INDEX('潜水記録'!$AA$5:$AA$3004,$AS421)="","",INDEX('潜水記録'!$AA$5:$AA$3004,$AS421)))</f>
        <v/>
      </c>
      <c r="AC421" s="14">
        <f>IF($A421="","",IF(INDEX('潜水記録'!$AB$5:$AB$3004,$AS421)="","",INDEX('潜水記録'!$AB$5:$AB$3004,$AS421)))</f>
        <v/>
      </c>
      <c r="AD421" s="14">
        <f>IF($A421="","",IF(INDEX('潜水記録'!$AC$5:$AC$3004,$AS421)="","",INDEX('潜水記録'!$AC$5:$AC$3004,$AS421)))</f>
        <v/>
      </c>
      <c r="AE421" s="14">
        <f>IF($A421="","",IF(INDEX('潜水記録'!$AD$5:$AD$3004,$AS421)="","",INDEX('潜水記録'!$AD$5:$AD$3004,$AS421)))</f>
        <v/>
      </c>
      <c r="AF421" s="14">
        <f>IF($A421="","",IF(INDEX('潜水記録'!$AE$5:$AE$3004,$AS421)="","",INDEX('潜水記録'!$AE$5:$AE$3004,$AS421)))</f>
        <v/>
      </c>
      <c r="AG421" s="14">
        <f>IF($A421="","",IF(INDEX('潜水記録'!$AL$5:$AL$3004,$AS421)="","",INDEX('潜水記録'!$AL$5:$AL$3004,$AS421)))</f>
        <v/>
      </c>
      <c r="AH421" s="14">
        <f>IF($A421="","",IF(INDEX('潜水記録'!$AM$5:$AM$3004,$AS421)="","",INDEX('潜水記録'!$AM$5:$AM$3004,$AS421)))</f>
        <v/>
      </c>
      <c r="AI421" s="46">
        <f>IF($A421="","",IF(INDEX('潜水記録'!$AN$5:$AN$3004,$AS421)="","",INDEX('潜水記録'!$AN$5:$AN$3004,$AS421)))</f>
        <v/>
      </c>
      <c r="AJ421" s="14">
        <f>IF($A421="","",IF(INDEX('潜水記録'!$AO$5:$AO$3004,$AS421)="","",INDEX('潜水記録'!$AO$5:$AO$3004,$AS421)))</f>
        <v/>
      </c>
      <c r="AK421" s="14">
        <f>IF($A421="","",IF(INDEX('潜水記録'!$AP$5:$AP$3004,$AS421)="","",INDEX('潜水記録'!$AP$5:$AP$3004,$AS421)))</f>
        <v/>
      </c>
      <c r="AL421" s="14">
        <f>IF($A421="","",IF(INDEX('潜水記録'!$AQ$5:$AQ$3004,$AS421)="","",INDEX('潜水記録'!$AQ$5:$AQ$3004,$AS421)))</f>
        <v/>
      </c>
      <c r="AM421" s="14">
        <f>IF($A421="","",IF(INDEX('潜水記録'!$AR$5:$AR$3004,$AS421)="","",INDEX('潜水記録'!$AR$5:$AR$3004,$AS421)))</f>
        <v/>
      </c>
      <c r="AN421" s="14">
        <f>IF($A421="","",IF(INDEX('潜水記録'!$AS$5:$AS$3004,$AS421)="","",INDEX('潜水記録'!$AS$5:$AS$3004,$AS421)))</f>
        <v/>
      </c>
      <c r="AO421" s="14">
        <f>IF($A421="","",IF(INDEX('潜水記録'!$AT$5:$AT$3004,$AS421)="","",INDEX('潜水記録'!$AT$5:$AT$3004,$AS421)))</f>
        <v/>
      </c>
      <c r="AP421" s="14">
        <f>IF($A421="","",IF(INDEX('潜水記録'!$AU$5:$AU$3004,$AS421)="","",INDEX('潜水記録'!$AU$5:$AU$3004,$AS421)))</f>
        <v/>
      </c>
      <c r="AQ421" s="14">
        <f>IF($A421="","",IF(INDEX('潜水記録'!$AV$5:$AV$3004,$AS421)="","",INDEX('潜水記録'!$AV$5:$AV$3004,$AS421)))</f>
        <v/>
      </c>
      <c r="AR421" s="14">
        <f>IF($A421="","",IF(INDEX('潜水記録'!$AW$5:$AW$3004,$AS421)="","",INDEX('潜水記録'!$AW$5:$AW$3004,$AS421)))</f>
        <v/>
      </c>
      <c r="AS421" s="20">
        <f>IF($A421="","",MATCH($A421,'潜水記録'!$AI$5:$AI$3004,0))</f>
        <v/>
      </c>
    </row>
    <row r="422">
      <c r="A422" s="14">
        <f>IF(412&lt;=$C$8,412,"")</f>
        <v/>
      </c>
      <c r="B422" s="16">
        <f>IF($A422="","",IF(INDEX('潜水記録'!$A$5:$A$3004,$AS422)="","",INDEX('潜水記録'!$A$5:$A$3004,$AS422)))</f>
        <v/>
      </c>
      <c r="C422" s="14">
        <f>IF($A422="","",IF(INDEX('潜水記録'!$B$5:$B$3004,$AS422)="","",INDEX('潜水記録'!$B$5:$B$3004,$AS422)))</f>
        <v/>
      </c>
      <c r="D422" s="14">
        <f>IF($A422="","",IF(INDEX('潜水記録'!$C$5:$C$3004,$AS422)="","",INDEX('潜水記録'!$C$5:$C$3004,$AS422)))</f>
        <v/>
      </c>
      <c r="E422" s="14">
        <f>IF($A422="","",IF(INDEX('潜水記録'!$D$5:$D$3004,$AS422)="","",INDEX('潜水記録'!$D$5:$D$3004,$AS422)))</f>
        <v/>
      </c>
      <c r="F422" s="14">
        <f>IF($A422="","",IF(INDEX('潜水記録'!$E$5:$E$3004,$AS422)="","",INDEX('潜水記録'!$E$5:$E$3004,$AS422)))</f>
        <v/>
      </c>
      <c r="G422" s="14">
        <f>IF($A422="","",IF(INDEX('潜水記録'!$F$5:$F$3004,$AS422)="","",INDEX('潜水記録'!$F$5:$F$3004,$AS422)))</f>
        <v/>
      </c>
      <c r="H422" s="14">
        <f>IF($A422="","",IF(INDEX('潜水記録'!$G$5:$G$3004,$AS422)="","",INDEX('潜水記録'!$G$5:$G$3004,$AS422)))</f>
        <v/>
      </c>
      <c r="I422" s="14">
        <f>IF($A422="","",IF(INDEX('潜水記録'!$H$5:$H$3004,$AS422)="","",INDEX('潜水記録'!$H$5:$H$3004,$AS422)))</f>
        <v/>
      </c>
      <c r="J422" s="14">
        <f>IF($A422="","",IF(INDEX('潜水記録'!$I$5:$I$3004,$AS422)="","",INDEX('潜水記録'!$I$5:$I$3004,$AS422)))</f>
        <v/>
      </c>
      <c r="K422" s="14">
        <f>IF($A422="","",IF(INDEX('潜水記録'!$J$5:$J$3004,$AS422)="","",INDEX('潜水記録'!$J$5:$J$3004,$AS422)))</f>
        <v/>
      </c>
      <c r="L422" s="14">
        <f>IF($A422="","",IF(INDEX('潜水記録'!$K$5:$K$3004,$AS422)="","",INDEX('潜水記録'!$K$5:$K$3004,$AS422)))</f>
        <v/>
      </c>
      <c r="M422" s="14">
        <f>IF($A422="","",IF(INDEX('潜水記録'!$L$5:$L$3004,$AS422)="","",INDEX('潜水記録'!$L$5:$L$3004,$AS422)))</f>
        <v/>
      </c>
      <c r="N422" s="14">
        <f>IF($A422="","",IF(INDEX('潜水記録'!$M$5:$M$3004,$AS422)="","",INDEX('潜水記録'!$M$5:$M$3004,$AS422)))</f>
        <v/>
      </c>
      <c r="O422" s="14">
        <f>IF($A422="","",IF(INDEX('潜水記録'!$N$5:$N$3004,$AS422)="","",INDEX('潜水記録'!$N$5:$N$3004,$AS422)))</f>
        <v/>
      </c>
      <c r="P422" s="14">
        <f>IF($A422="","",IF(INDEX('潜水記録'!$O$5:$O$3004,$AS422)="","",INDEX('潜水記録'!$O$5:$O$3004,$AS422)))</f>
        <v/>
      </c>
      <c r="Q422" s="14">
        <f>IF($A422="","",IF(INDEX('潜水記録'!$P$5:$P$3004,$AS422)="","",INDEX('潜水記録'!$P$5:$P$3004,$AS422)))</f>
        <v/>
      </c>
      <c r="R422" s="14">
        <f>IF($A422="","",IF(INDEX('潜水記録'!$Q$5:$Q$3004,$AS422)="","",INDEX('潜水記録'!$Q$5:$Q$3004,$AS422)))</f>
        <v/>
      </c>
      <c r="S422" s="14">
        <f>IF($A422="","",IF(INDEX('潜水記録'!$R$5:$R$3004,$AS422)="","",INDEX('潜水記録'!$R$5:$R$3004,$AS422)))</f>
        <v/>
      </c>
      <c r="T422" s="14">
        <f>IF($A422="","",IF(INDEX('潜水記録'!$S$5:$S$3004,$AS422)="","",INDEX('潜水記録'!$S$5:$S$3004,$AS422)))</f>
        <v/>
      </c>
      <c r="U422" s="14">
        <f>IF($A422="","",IF(INDEX('潜水記録'!$T$5:$T$3004,$AS422)="","",INDEX('潜水記録'!$T$5:$T$3004,$AS422)))</f>
        <v/>
      </c>
      <c r="V422" s="46">
        <f>IF($A422="","",IF(INDEX('潜水記録'!$U$5:$U$3004,$AS422)="","",INDEX('潜水記録'!$U$5:$U$3004,$AS422)))</f>
        <v/>
      </c>
      <c r="W422" s="46">
        <f>IF($A422="","",IF(INDEX('潜水記録'!$V$5:$V$3004,$AS422)="","",INDEX('潜水記録'!$V$5:$V$3004,$AS422)))</f>
        <v/>
      </c>
      <c r="X422" s="14">
        <f>IF($A422="","",IF(INDEX('潜水記録'!$W$5:$W$3004,$AS422)="","",INDEX('潜水記録'!$W$5:$W$3004,$AS422)))</f>
        <v/>
      </c>
      <c r="Y422" s="14">
        <f>IF($A422="","",IF(INDEX('潜水記録'!$X$5:$X$3004,$AS422)="","",INDEX('潜水記録'!$X$5:$X$3004,$AS422)))</f>
        <v/>
      </c>
      <c r="Z422" s="14">
        <f>IF($A422="","",IF(INDEX('潜水記録'!$Y$5:$Y$3004,$AS422)="","",INDEX('潜水記録'!$Y$5:$Y$3004,$AS422)))</f>
        <v/>
      </c>
      <c r="AA422" s="14">
        <f>IF($A422="","",IF(INDEX('潜水記録'!$Z$5:$Z$3004,$AS422)="","",INDEX('潜水記録'!$Z$5:$Z$3004,$AS422)))</f>
        <v/>
      </c>
      <c r="AB422" s="14">
        <f>IF($A422="","",IF(INDEX('潜水記録'!$AA$5:$AA$3004,$AS422)="","",INDEX('潜水記録'!$AA$5:$AA$3004,$AS422)))</f>
        <v/>
      </c>
      <c r="AC422" s="14">
        <f>IF($A422="","",IF(INDEX('潜水記録'!$AB$5:$AB$3004,$AS422)="","",INDEX('潜水記録'!$AB$5:$AB$3004,$AS422)))</f>
        <v/>
      </c>
      <c r="AD422" s="14">
        <f>IF($A422="","",IF(INDEX('潜水記録'!$AC$5:$AC$3004,$AS422)="","",INDEX('潜水記録'!$AC$5:$AC$3004,$AS422)))</f>
        <v/>
      </c>
      <c r="AE422" s="14">
        <f>IF($A422="","",IF(INDEX('潜水記録'!$AD$5:$AD$3004,$AS422)="","",INDEX('潜水記録'!$AD$5:$AD$3004,$AS422)))</f>
        <v/>
      </c>
      <c r="AF422" s="14">
        <f>IF($A422="","",IF(INDEX('潜水記録'!$AE$5:$AE$3004,$AS422)="","",INDEX('潜水記録'!$AE$5:$AE$3004,$AS422)))</f>
        <v/>
      </c>
      <c r="AG422" s="14">
        <f>IF($A422="","",IF(INDEX('潜水記録'!$AL$5:$AL$3004,$AS422)="","",INDEX('潜水記録'!$AL$5:$AL$3004,$AS422)))</f>
        <v/>
      </c>
      <c r="AH422" s="14">
        <f>IF($A422="","",IF(INDEX('潜水記録'!$AM$5:$AM$3004,$AS422)="","",INDEX('潜水記録'!$AM$5:$AM$3004,$AS422)))</f>
        <v/>
      </c>
      <c r="AI422" s="46">
        <f>IF($A422="","",IF(INDEX('潜水記録'!$AN$5:$AN$3004,$AS422)="","",INDEX('潜水記録'!$AN$5:$AN$3004,$AS422)))</f>
        <v/>
      </c>
      <c r="AJ422" s="14">
        <f>IF($A422="","",IF(INDEX('潜水記録'!$AO$5:$AO$3004,$AS422)="","",INDEX('潜水記録'!$AO$5:$AO$3004,$AS422)))</f>
        <v/>
      </c>
      <c r="AK422" s="14">
        <f>IF($A422="","",IF(INDEX('潜水記録'!$AP$5:$AP$3004,$AS422)="","",INDEX('潜水記録'!$AP$5:$AP$3004,$AS422)))</f>
        <v/>
      </c>
      <c r="AL422" s="14">
        <f>IF($A422="","",IF(INDEX('潜水記録'!$AQ$5:$AQ$3004,$AS422)="","",INDEX('潜水記録'!$AQ$5:$AQ$3004,$AS422)))</f>
        <v/>
      </c>
      <c r="AM422" s="14">
        <f>IF($A422="","",IF(INDEX('潜水記録'!$AR$5:$AR$3004,$AS422)="","",INDEX('潜水記録'!$AR$5:$AR$3004,$AS422)))</f>
        <v/>
      </c>
      <c r="AN422" s="14">
        <f>IF($A422="","",IF(INDEX('潜水記録'!$AS$5:$AS$3004,$AS422)="","",INDEX('潜水記録'!$AS$5:$AS$3004,$AS422)))</f>
        <v/>
      </c>
      <c r="AO422" s="14">
        <f>IF($A422="","",IF(INDEX('潜水記録'!$AT$5:$AT$3004,$AS422)="","",INDEX('潜水記録'!$AT$5:$AT$3004,$AS422)))</f>
        <v/>
      </c>
      <c r="AP422" s="14">
        <f>IF($A422="","",IF(INDEX('潜水記録'!$AU$5:$AU$3004,$AS422)="","",INDEX('潜水記録'!$AU$5:$AU$3004,$AS422)))</f>
        <v/>
      </c>
      <c r="AQ422" s="14">
        <f>IF($A422="","",IF(INDEX('潜水記録'!$AV$5:$AV$3004,$AS422)="","",INDEX('潜水記録'!$AV$5:$AV$3004,$AS422)))</f>
        <v/>
      </c>
      <c r="AR422" s="14">
        <f>IF($A422="","",IF(INDEX('潜水記録'!$AW$5:$AW$3004,$AS422)="","",INDEX('潜水記録'!$AW$5:$AW$3004,$AS422)))</f>
        <v/>
      </c>
      <c r="AS422" s="20">
        <f>IF($A422="","",MATCH($A422,'潜水記録'!$AI$5:$AI$3004,0))</f>
        <v/>
      </c>
    </row>
    <row r="423">
      <c r="A423" s="14">
        <f>IF(413&lt;=$C$8,413,"")</f>
        <v/>
      </c>
      <c r="B423" s="16">
        <f>IF($A423="","",IF(INDEX('潜水記録'!$A$5:$A$3004,$AS423)="","",INDEX('潜水記録'!$A$5:$A$3004,$AS423)))</f>
        <v/>
      </c>
      <c r="C423" s="14">
        <f>IF($A423="","",IF(INDEX('潜水記録'!$B$5:$B$3004,$AS423)="","",INDEX('潜水記録'!$B$5:$B$3004,$AS423)))</f>
        <v/>
      </c>
      <c r="D423" s="14">
        <f>IF($A423="","",IF(INDEX('潜水記録'!$C$5:$C$3004,$AS423)="","",INDEX('潜水記録'!$C$5:$C$3004,$AS423)))</f>
        <v/>
      </c>
      <c r="E423" s="14">
        <f>IF($A423="","",IF(INDEX('潜水記録'!$D$5:$D$3004,$AS423)="","",INDEX('潜水記録'!$D$5:$D$3004,$AS423)))</f>
        <v/>
      </c>
      <c r="F423" s="14">
        <f>IF($A423="","",IF(INDEX('潜水記録'!$E$5:$E$3004,$AS423)="","",INDEX('潜水記録'!$E$5:$E$3004,$AS423)))</f>
        <v/>
      </c>
      <c r="G423" s="14">
        <f>IF($A423="","",IF(INDEX('潜水記録'!$F$5:$F$3004,$AS423)="","",INDEX('潜水記録'!$F$5:$F$3004,$AS423)))</f>
        <v/>
      </c>
      <c r="H423" s="14">
        <f>IF($A423="","",IF(INDEX('潜水記録'!$G$5:$G$3004,$AS423)="","",INDEX('潜水記録'!$G$5:$G$3004,$AS423)))</f>
        <v/>
      </c>
      <c r="I423" s="14">
        <f>IF($A423="","",IF(INDEX('潜水記録'!$H$5:$H$3004,$AS423)="","",INDEX('潜水記録'!$H$5:$H$3004,$AS423)))</f>
        <v/>
      </c>
      <c r="J423" s="14">
        <f>IF($A423="","",IF(INDEX('潜水記録'!$I$5:$I$3004,$AS423)="","",INDEX('潜水記録'!$I$5:$I$3004,$AS423)))</f>
        <v/>
      </c>
      <c r="K423" s="14">
        <f>IF($A423="","",IF(INDEX('潜水記録'!$J$5:$J$3004,$AS423)="","",INDEX('潜水記録'!$J$5:$J$3004,$AS423)))</f>
        <v/>
      </c>
      <c r="L423" s="14">
        <f>IF($A423="","",IF(INDEX('潜水記録'!$K$5:$K$3004,$AS423)="","",INDEX('潜水記録'!$K$5:$K$3004,$AS423)))</f>
        <v/>
      </c>
      <c r="M423" s="14">
        <f>IF($A423="","",IF(INDEX('潜水記録'!$L$5:$L$3004,$AS423)="","",INDEX('潜水記録'!$L$5:$L$3004,$AS423)))</f>
        <v/>
      </c>
      <c r="N423" s="14">
        <f>IF($A423="","",IF(INDEX('潜水記録'!$M$5:$M$3004,$AS423)="","",INDEX('潜水記録'!$M$5:$M$3004,$AS423)))</f>
        <v/>
      </c>
      <c r="O423" s="14">
        <f>IF($A423="","",IF(INDEX('潜水記録'!$N$5:$N$3004,$AS423)="","",INDEX('潜水記録'!$N$5:$N$3004,$AS423)))</f>
        <v/>
      </c>
      <c r="P423" s="14">
        <f>IF($A423="","",IF(INDEX('潜水記録'!$O$5:$O$3004,$AS423)="","",INDEX('潜水記録'!$O$5:$O$3004,$AS423)))</f>
        <v/>
      </c>
      <c r="Q423" s="14">
        <f>IF($A423="","",IF(INDEX('潜水記録'!$P$5:$P$3004,$AS423)="","",INDEX('潜水記録'!$P$5:$P$3004,$AS423)))</f>
        <v/>
      </c>
      <c r="R423" s="14">
        <f>IF($A423="","",IF(INDEX('潜水記録'!$Q$5:$Q$3004,$AS423)="","",INDEX('潜水記録'!$Q$5:$Q$3004,$AS423)))</f>
        <v/>
      </c>
      <c r="S423" s="14">
        <f>IF($A423="","",IF(INDEX('潜水記録'!$R$5:$R$3004,$AS423)="","",INDEX('潜水記録'!$R$5:$R$3004,$AS423)))</f>
        <v/>
      </c>
      <c r="T423" s="14">
        <f>IF($A423="","",IF(INDEX('潜水記録'!$S$5:$S$3004,$AS423)="","",INDEX('潜水記録'!$S$5:$S$3004,$AS423)))</f>
        <v/>
      </c>
      <c r="U423" s="14">
        <f>IF($A423="","",IF(INDEX('潜水記録'!$T$5:$T$3004,$AS423)="","",INDEX('潜水記録'!$T$5:$T$3004,$AS423)))</f>
        <v/>
      </c>
      <c r="V423" s="46">
        <f>IF($A423="","",IF(INDEX('潜水記録'!$U$5:$U$3004,$AS423)="","",INDEX('潜水記録'!$U$5:$U$3004,$AS423)))</f>
        <v/>
      </c>
      <c r="W423" s="46">
        <f>IF($A423="","",IF(INDEX('潜水記録'!$V$5:$V$3004,$AS423)="","",INDEX('潜水記録'!$V$5:$V$3004,$AS423)))</f>
        <v/>
      </c>
      <c r="X423" s="14">
        <f>IF($A423="","",IF(INDEX('潜水記録'!$W$5:$W$3004,$AS423)="","",INDEX('潜水記録'!$W$5:$W$3004,$AS423)))</f>
        <v/>
      </c>
      <c r="Y423" s="14">
        <f>IF($A423="","",IF(INDEX('潜水記録'!$X$5:$X$3004,$AS423)="","",INDEX('潜水記録'!$X$5:$X$3004,$AS423)))</f>
        <v/>
      </c>
      <c r="Z423" s="14">
        <f>IF($A423="","",IF(INDEX('潜水記録'!$Y$5:$Y$3004,$AS423)="","",INDEX('潜水記録'!$Y$5:$Y$3004,$AS423)))</f>
        <v/>
      </c>
      <c r="AA423" s="14">
        <f>IF($A423="","",IF(INDEX('潜水記録'!$Z$5:$Z$3004,$AS423)="","",INDEX('潜水記録'!$Z$5:$Z$3004,$AS423)))</f>
        <v/>
      </c>
      <c r="AB423" s="14">
        <f>IF($A423="","",IF(INDEX('潜水記録'!$AA$5:$AA$3004,$AS423)="","",INDEX('潜水記録'!$AA$5:$AA$3004,$AS423)))</f>
        <v/>
      </c>
      <c r="AC423" s="14">
        <f>IF($A423="","",IF(INDEX('潜水記録'!$AB$5:$AB$3004,$AS423)="","",INDEX('潜水記録'!$AB$5:$AB$3004,$AS423)))</f>
        <v/>
      </c>
      <c r="AD423" s="14">
        <f>IF($A423="","",IF(INDEX('潜水記録'!$AC$5:$AC$3004,$AS423)="","",INDEX('潜水記録'!$AC$5:$AC$3004,$AS423)))</f>
        <v/>
      </c>
      <c r="AE423" s="14">
        <f>IF($A423="","",IF(INDEX('潜水記録'!$AD$5:$AD$3004,$AS423)="","",INDEX('潜水記録'!$AD$5:$AD$3004,$AS423)))</f>
        <v/>
      </c>
      <c r="AF423" s="14">
        <f>IF($A423="","",IF(INDEX('潜水記録'!$AE$5:$AE$3004,$AS423)="","",INDEX('潜水記録'!$AE$5:$AE$3004,$AS423)))</f>
        <v/>
      </c>
      <c r="AG423" s="14">
        <f>IF($A423="","",IF(INDEX('潜水記録'!$AL$5:$AL$3004,$AS423)="","",INDEX('潜水記録'!$AL$5:$AL$3004,$AS423)))</f>
        <v/>
      </c>
      <c r="AH423" s="14">
        <f>IF($A423="","",IF(INDEX('潜水記録'!$AM$5:$AM$3004,$AS423)="","",INDEX('潜水記録'!$AM$5:$AM$3004,$AS423)))</f>
        <v/>
      </c>
      <c r="AI423" s="46">
        <f>IF($A423="","",IF(INDEX('潜水記録'!$AN$5:$AN$3004,$AS423)="","",INDEX('潜水記録'!$AN$5:$AN$3004,$AS423)))</f>
        <v/>
      </c>
      <c r="AJ423" s="14">
        <f>IF($A423="","",IF(INDEX('潜水記録'!$AO$5:$AO$3004,$AS423)="","",INDEX('潜水記録'!$AO$5:$AO$3004,$AS423)))</f>
        <v/>
      </c>
      <c r="AK423" s="14">
        <f>IF($A423="","",IF(INDEX('潜水記録'!$AP$5:$AP$3004,$AS423)="","",INDEX('潜水記録'!$AP$5:$AP$3004,$AS423)))</f>
        <v/>
      </c>
      <c r="AL423" s="14">
        <f>IF($A423="","",IF(INDEX('潜水記録'!$AQ$5:$AQ$3004,$AS423)="","",INDEX('潜水記録'!$AQ$5:$AQ$3004,$AS423)))</f>
        <v/>
      </c>
      <c r="AM423" s="14">
        <f>IF($A423="","",IF(INDEX('潜水記録'!$AR$5:$AR$3004,$AS423)="","",INDEX('潜水記録'!$AR$5:$AR$3004,$AS423)))</f>
        <v/>
      </c>
      <c r="AN423" s="14">
        <f>IF($A423="","",IF(INDEX('潜水記録'!$AS$5:$AS$3004,$AS423)="","",INDEX('潜水記録'!$AS$5:$AS$3004,$AS423)))</f>
        <v/>
      </c>
      <c r="AO423" s="14">
        <f>IF($A423="","",IF(INDEX('潜水記録'!$AT$5:$AT$3004,$AS423)="","",INDEX('潜水記録'!$AT$5:$AT$3004,$AS423)))</f>
        <v/>
      </c>
      <c r="AP423" s="14">
        <f>IF($A423="","",IF(INDEX('潜水記録'!$AU$5:$AU$3004,$AS423)="","",INDEX('潜水記録'!$AU$5:$AU$3004,$AS423)))</f>
        <v/>
      </c>
      <c r="AQ423" s="14">
        <f>IF($A423="","",IF(INDEX('潜水記録'!$AV$5:$AV$3004,$AS423)="","",INDEX('潜水記録'!$AV$5:$AV$3004,$AS423)))</f>
        <v/>
      </c>
      <c r="AR423" s="14">
        <f>IF($A423="","",IF(INDEX('潜水記録'!$AW$5:$AW$3004,$AS423)="","",INDEX('潜水記録'!$AW$5:$AW$3004,$AS423)))</f>
        <v/>
      </c>
      <c r="AS423" s="20">
        <f>IF($A423="","",MATCH($A423,'潜水記録'!$AI$5:$AI$3004,0))</f>
        <v/>
      </c>
    </row>
    <row r="424">
      <c r="A424" s="14">
        <f>IF(414&lt;=$C$8,414,"")</f>
        <v/>
      </c>
      <c r="B424" s="16">
        <f>IF($A424="","",IF(INDEX('潜水記録'!$A$5:$A$3004,$AS424)="","",INDEX('潜水記録'!$A$5:$A$3004,$AS424)))</f>
        <v/>
      </c>
      <c r="C424" s="14">
        <f>IF($A424="","",IF(INDEX('潜水記録'!$B$5:$B$3004,$AS424)="","",INDEX('潜水記録'!$B$5:$B$3004,$AS424)))</f>
        <v/>
      </c>
      <c r="D424" s="14">
        <f>IF($A424="","",IF(INDEX('潜水記録'!$C$5:$C$3004,$AS424)="","",INDEX('潜水記録'!$C$5:$C$3004,$AS424)))</f>
        <v/>
      </c>
      <c r="E424" s="14">
        <f>IF($A424="","",IF(INDEX('潜水記録'!$D$5:$D$3004,$AS424)="","",INDEX('潜水記録'!$D$5:$D$3004,$AS424)))</f>
        <v/>
      </c>
      <c r="F424" s="14">
        <f>IF($A424="","",IF(INDEX('潜水記録'!$E$5:$E$3004,$AS424)="","",INDEX('潜水記録'!$E$5:$E$3004,$AS424)))</f>
        <v/>
      </c>
      <c r="G424" s="14">
        <f>IF($A424="","",IF(INDEX('潜水記録'!$F$5:$F$3004,$AS424)="","",INDEX('潜水記録'!$F$5:$F$3004,$AS424)))</f>
        <v/>
      </c>
      <c r="H424" s="14">
        <f>IF($A424="","",IF(INDEX('潜水記録'!$G$5:$G$3004,$AS424)="","",INDEX('潜水記録'!$G$5:$G$3004,$AS424)))</f>
        <v/>
      </c>
      <c r="I424" s="14">
        <f>IF($A424="","",IF(INDEX('潜水記録'!$H$5:$H$3004,$AS424)="","",INDEX('潜水記録'!$H$5:$H$3004,$AS424)))</f>
        <v/>
      </c>
      <c r="J424" s="14">
        <f>IF($A424="","",IF(INDEX('潜水記録'!$I$5:$I$3004,$AS424)="","",INDEX('潜水記録'!$I$5:$I$3004,$AS424)))</f>
        <v/>
      </c>
      <c r="K424" s="14">
        <f>IF($A424="","",IF(INDEX('潜水記録'!$J$5:$J$3004,$AS424)="","",INDEX('潜水記録'!$J$5:$J$3004,$AS424)))</f>
        <v/>
      </c>
      <c r="L424" s="14">
        <f>IF($A424="","",IF(INDEX('潜水記録'!$K$5:$K$3004,$AS424)="","",INDEX('潜水記録'!$K$5:$K$3004,$AS424)))</f>
        <v/>
      </c>
      <c r="M424" s="14">
        <f>IF($A424="","",IF(INDEX('潜水記録'!$L$5:$L$3004,$AS424)="","",INDEX('潜水記録'!$L$5:$L$3004,$AS424)))</f>
        <v/>
      </c>
      <c r="N424" s="14">
        <f>IF($A424="","",IF(INDEX('潜水記録'!$M$5:$M$3004,$AS424)="","",INDEX('潜水記録'!$M$5:$M$3004,$AS424)))</f>
        <v/>
      </c>
      <c r="O424" s="14">
        <f>IF($A424="","",IF(INDEX('潜水記録'!$N$5:$N$3004,$AS424)="","",INDEX('潜水記録'!$N$5:$N$3004,$AS424)))</f>
        <v/>
      </c>
      <c r="P424" s="14">
        <f>IF($A424="","",IF(INDEX('潜水記録'!$O$5:$O$3004,$AS424)="","",INDEX('潜水記録'!$O$5:$O$3004,$AS424)))</f>
        <v/>
      </c>
      <c r="Q424" s="14">
        <f>IF($A424="","",IF(INDEX('潜水記録'!$P$5:$P$3004,$AS424)="","",INDEX('潜水記録'!$P$5:$P$3004,$AS424)))</f>
        <v/>
      </c>
      <c r="R424" s="14">
        <f>IF($A424="","",IF(INDEX('潜水記録'!$Q$5:$Q$3004,$AS424)="","",INDEX('潜水記録'!$Q$5:$Q$3004,$AS424)))</f>
        <v/>
      </c>
      <c r="S424" s="14">
        <f>IF($A424="","",IF(INDEX('潜水記録'!$R$5:$R$3004,$AS424)="","",INDEX('潜水記録'!$R$5:$R$3004,$AS424)))</f>
        <v/>
      </c>
      <c r="T424" s="14">
        <f>IF($A424="","",IF(INDEX('潜水記録'!$S$5:$S$3004,$AS424)="","",INDEX('潜水記録'!$S$5:$S$3004,$AS424)))</f>
        <v/>
      </c>
      <c r="U424" s="14">
        <f>IF($A424="","",IF(INDEX('潜水記録'!$T$5:$T$3004,$AS424)="","",INDEX('潜水記録'!$T$5:$T$3004,$AS424)))</f>
        <v/>
      </c>
      <c r="V424" s="46">
        <f>IF($A424="","",IF(INDEX('潜水記録'!$U$5:$U$3004,$AS424)="","",INDEX('潜水記録'!$U$5:$U$3004,$AS424)))</f>
        <v/>
      </c>
      <c r="W424" s="46">
        <f>IF($A424="","",IF(INDEX('潜水記録'!$V$5:$V$3004,$AS424)="","",INDEX('潜水記録'!$V$5:$V$3004,$AS424)))</f>
        <v/>
      </c>
      <c r="X424" s="14">
        <f>IF($A424="","",IF(INDEX('潜水記録'!$W$5:$W$3004,$AS424)="","",INDEX('潜水記録'!$W$5:$W$3004,$AS424)))</f>
        <v/>
      </c>
      <c r="Y424" s="14">
        <f>IF($A424="","",IF(INDEX('潜水記録'!$X$5:$X$3004,$AS424)="","",INDEX('潜水記録'!$X$5:$X$3004,$AS424)))</f>
        <v/>
      </c>
      <c r="Z424" s="14">
        <f>IF($A424="","",IF(INDEX('潜水記録'!$Y$5:$Y$3004,$AS424)="","",INDEX('潜水記録'!$Y$5:$Y$3004,$AS424)))</f>
        <v/>
      </c>
      <c r="AA424" s="14">
        <f>IF($A424="","",IF(INDEX('潜水記録'!$Z$5:$Z$3004,$AS424)="","",INDEX('潜水記録'!$Z$5:$Z$3004,$AS424)))</f>
        <v/>
      </c>
      <c r="AB424" s="14">
        <f>IF($A424="","",IF(INDEX('潜水記録'!$AA$5:$AA$3004,$AS424)="","",INDEX('潜水記録'!$AA$5:$AA$3004,$AS424)))</f>
        <v/>
      </c>
      <c r="AC424" s="14">
        <f>IF($A424="","",IF(INDEX('潜水記録'!$AB$5:$AB$3004,$AS424)="","",INDEX('潜水記録'!$AB$5:$AB$3004,$AS424)))</f>
        <v/>
      </c>
      <c r="AD424" s="14">
        <f>IF($A424="","",IF(INDEX('潜水記録'!$AC$5:$AC$3004,$AS424)="","",INDEX('潜水記録'!$AC$5:$AC$3004,$AS424)))</f>
        <v/>
      </c>
      <c r="AE424" s="14">
        <f>IF($A424="","",IF(INDEX('潜水記録'!$AD$5:$AD$3004,$AS424)="","",INDEX('潜水記録'!$AD$5:$AD$3004,$AS424)))</f>
        <v/>
      </c>
      <c r="AF424" s="14">
        <f>IF($A424="","",IF(INDEX('潜水記録'!$AE$5:$AE$3004,$AS424)="","",INDEX('潜水記録'!$AE$5:$AE$3004,$AS424)))</f>
        <v/>
      </c>
      <c r="AG424" s="14">
        <f>IF($A424="","",IF(INDEX('潜水記録'!$AL$5:$AL$3004,$AS424)="","",INDEX('潜水記録'!$AL$5:$AL$3004,$AS424)))</f>
        <v/>
      </c>
      <c r="AH424" s="14">
        <f>IF($A424="","",IF(INDEX('潜水記録'!$AM$5:$AM$3004,$AS424)="","",INDEX('潜水記録'!$AM$5:$AM$3004,$AS424)))</f>
        <v/>
      </c>
      <c r="AI424" s="46">
        <f>IF($A424="","",IF(INDEX('潜水記録'!$AN$5:$AN$3004,$AS424)="","",INDEX('潜水記録'!$AN$5:$AN$3004,$AS424)))</f>
        <v/>
      </c>
      <c r="AJ424" s="14">
        <f>IF($A424="","",IF(INDEX('潜水記録'!$AO$5:$AO$3004,$AS424)="","",INDEX('潜水記録'!$AO$5:$AO$3004,$AS424)))</f>
        <v/>
      </c>
      <c r="AK424" s="14">
        <f>IF($A424="","",IF(INDEX('潜水記録'!$AP$5:$AP$3004,$AS424)="","",INDEX('潜水記録'!$AP$5:$AP$3004,$AS424)))</f>
        <v/>
      </c>
      <c r="AL424" s="14">
        <f>IF($A424="","",IF(INDEX('潜水記録'!$AQ$5:$AQ$3004,$AS424)="","",INDEX('潜水記録'!$AQ$5:$AQ$3004,$AS424)))</f>
        <v/>
      </c>
      <c r="AM424" s="14">
        <f>IF($A424="","",IF(INDEX('潜水記録'!$AR$5:$AR$3004,$AS424)="","",INDEX('潜水記録'!$AR$5:$AR$3004,$AS424)))</f>
        <v/>
      </c>
      <c r="AN424" s="14">
        <f>IF($A424="","",IF(INDEX('潜水記録'!$AS$5:$AS$3004,$AS424)="","",INDEX('潜水記録'!$AS$5:$AS$3004,$AS424)))</f>
        <v/>
      </c>
      <c r="AO424" s="14">
        <f>IF($A424="","",IF(INDEX('潜水記録'!$AT$5:$AT$3004,$AS424)="","",INDEX('潜水記録'!$AT$5:$AT$3004,$AS424)))</f>
        <v/>
      </c>
      <c r="AP424" s="14">
        <f>IF($A424="","",IF(INDEX('潜水記録'!$AU$5:$AU$3004,$AS424)="","",INDEX('潜水記録'!$AU$5:$AU$3004,$AS424)))</f>
        <v/>
      </c>
      <c r="AQ424" s="14">
        <f>IF($A424="","",IF(INDEX('潜水記録'!$AV$5:$AV$3004,$AS424)="","",INDEX('潜水記録'!$AV$5:$AV$3004,$AS424)))</f>
        <v/>
      </c>
      <c r="AR424" s="14">
        <f>IF($A424="","",IF(INDEX('潜水記録'!$AW$5:$AW$3004,$AS424)="","",INDEX('潜水記録'!$AW$5:$AW$3004,$AS424)))</f>
        <v/>
      </c>
      <c r="AS424" s="20">
        <f>IF($A424="","",MATCH($A424,'潜水記録'!$AI$5:$AI$3004,0))</f>
        <v/>
      </c>
    </row>
    <row r="425">
      <c r="A425" s="14">
        <f>IF(415&lt;=$C$8,415,"")</f>
        <v/>
      </c>
      <c r="B425" s="16">
        <f>IF($A425="","",IF(INDEX('潜水記録'!$A$5:$A$3004,$AS425)="","",INDEX('潜水記録'!$A$5:$A$3004,$AS425)))</f>
        <v/>
      </c>
      <c r="C425" s="14">
        <f>IF($A425="","",IF(INDEX('潜水記録'!$B$5:$B$3004,$AS425)="","",INDEX('潜水記録'!$B$5:$B$3004,$AS425)))</f>
        <v/>
      </c>
      <c r="D425" s="14">
        <f>IF($A425="","",IF(INDEX('潜水記録'!$C$5:$C$3004,$AS425)="","",INDEX('潜水記録'!$C$5:$C$3004,$AS425)))</f>
        <v/>
      </c>
      <c r="E425" s="14">
        <f>IF($A425="","",IF(INDEX('潜水記録'!$D$5:$D$3004,$AS425)="","",INDEX('潜水記録'!$D$5:$D$3004,$AS425)))</f>
        <v/>
      </c>
      <c r="F425" s="14">
        <f>IF($A425="","",IF(INDEX('潜水記録'!$E$5:$E$3004,$AS425)="","",INDEX('潜水記録'!$E$5:$E$3004,$AS425)))</f>
        <v/>
      </c>
      <c r="G425" s="14">
        <f>IF($A425="","",IF(INDEX('潜水記録'!$F$5:$F$3004,$AS425)="","",INDEX('潜水記録'!$F$5:$F$3004,$AS425)))</f>
        <v/>
      </c>
      <c r="H425" s="14">
        <f>IF($A425="","",IF(INDEX('潜水記録'!$G$5:$G$3004,$AS425)="","",INDEX('潜水記録'!$G$5:$G$3004,$AS425)))</f>
        <v/>
      </c>
      <c r="I425" s="14">
        <f>IF($A425="","",IF(INDEX('潜水記録'!$H$5:$H$3004,$AS425)="","",INDEX('潜水記録'!$H$5:$H$3004,$AS425)))</f>
        <v/>
      </c>
      <c r="J425" s="14">
        <f>IF($A425="","",IF(INDEX('潜水記録'!$I$5:$I$3004,$AS425)="","",INDEX('潜水記録'!$I$5:$I$3004,$AS425)))</f>
        <v/>
      </c>
      <c r="K425" s="14">
        <f>IF($A425="","",IF(INDEX('潜水記録'!$J$5:$J$3004,$AS425)="","",INDEX('潜水記録'!$J$5:$J$3004,$AS425)))</f>
        <v/>
      </c>
      <c r="L425" s="14">
        <f>IF($A425="","",IF(INDEX('潜水記録'!$K$5:$K$3004,$AS425)="","",INDEX('潜水記録'!$K$5:$K$3004,$AS425)))</f>
        <v/>
      </c>
      <c r="M425" s="14">
        <f>IF($A425="","",IF(INDEX('潜水記録'!$L$5:$L$3004,$AS425)="","",INDEX('潜水記録'!$L$5:$L$3004,$AS425)))</f>
        <v/>
      </c>
      <c r="N425" s="14">
        <f>IF($A425="","",IF(INDEX('潜水記録'!$M$5:$M$3004,$AS425)="","",INDEX('潜水記録'!$M$5:$M$3004,$AS425)))</f>
        <v/>
      </c>
      <c r="O425" s="14">
        <f>IF($A425="","",IF(INDEX('潜水記録'!$N$5:$N$3004,$AS425)="","",INDEX('潜水記録'!$N$5:$N$3004,$AS425)))</f>
        <v/>
      </c>
      <c r="P425" s="14">
        <f>IF($A425="","",IF(INDEX('潜水記録'!$O$5:$O$3004,$AS425)="","",INDEX('潜水記録'!$O$5:$O$3004,$AS425)))</f>
        <v/>
      </c>
      <c r="Q425" s="14">
        <f>IF($A425="","",IF(INDEX('潜水記録'!$P$5:$P$3004,$AS425)="","",INDEX('潜水記録'!$P$5:$P$3004,$AS425)))</f>
        <v/>
      </c>
      <c r="R425" s="14">
        <f>IF($A425="","",IF(INDEX('潜水記録'!$Q$5:$Q$3004,$AS425)="","",INDEX('潜水記録'!$Q$5:$Q$3004,$AS425)))</f>
        <v/>
      </c>
      <c r="S425" s="14">
        <f>IF($A425="","",IF(INDEX('潜水記録'!$R$5:$R$3004,$AS425)="","",INDEX('潜水記録'!$R$5:$R$3004,$AS425)))</f>
        <v/>
      </c>
      <c r="T425" s="14">
        <f>IF($A425="","",IF(INDEX('潜水記録'!$S$5:$S$3004,$AS425)="","",INDEX('潜水記録'!$S$5:$S$3004,$AS425)))</f>
        <v/>
      </c>
      <c r="U425" s="14">
        <f>IF($A425="","",IF(INDEX('潜水記録'!$T$5:$T$3004,$AS425)="","",INDEX('潜水記録'!$T$5:$T$3004,$AS425)))</f>
        <v/>
      </c>
      <c r="V425" s="46">
        <f>IF($A425="","",IF(INDEX('潜水記録'!$U$5:$U$3004,$AS425)="","",INDEX('潜水記録'!$U$5:$U$3004,$AS425)))</f>
        <v/>
      </c>
      <c r="W425" s="46">
        <f>IF($A425="","",IF(INDEX('潜水記録'!$V$5:$V$3004,$AS425)="","",INDEX('潜水記録'!$V$5:$V$3004,$AS425)))</f>
        <v/>
      </c>
      <c r="X425" s="14">
        <f>IF($A425="","",IF(INDEX('潜水記録'!$W$5:$W$3004,$AS425)="","",INDEX('潜水記録'!$W$5:$W$3004,$AS425)))</f>
        <v/>
      </c>
      <c r="Y425" s="14">
        <f>IF($A425="","",IF(INDEX('潜水記録'!$X$5:$X$3004,$AS425)="","",INDEX('潜水記録'!$X$5:$X$3004,$AS425)))</f>
        <v/>
      </c>
      <c r="Z425" s="14">
        <f>IF($A425="","",IF(INDEX('潜水記録'!$Y$5:$Y$3004,$AS425)="","",INDEX('潜水記録'!$Y$5:$Y$3004,$AS425)))</f>
        <v/>
      </c>
      <c r="AA425" s="14">
        <f>IF($A425="","",IF(INDEX('潜水記録'!$Z$5:$Z$3004,$AS425)="","",INDEX('潜水記録'!$Z$5:$Z$3004,$AS425)))</f>
        <v/>
      </c>
      <c r="AB425" s="14">
        <f>IF($A425="","",IF(INDEX('潜水記録'!$AA$5:$AA$3004,$AS425)="","",INDEX('潜水記録'!$AA$5:$AA$3004,$AS425)))</f>
        <v/>
      </c>
      <c r="AC425" s="14">
        <f>IF($A425="","",IF(INDEX('潜水記録'!$AB$5:$AB$3004,$AS425)="","",INDEX('潜水記録'!$AB$5:$AB$3004,$AS425)))</f>
        <v/>
      </c>
      <c r="AD425" s="14">
        <f>IF($A425="","",IF(INDEX('潜水記録'!$AC$5:$AC$3004,$AS425)="","",INDEX('潜水記録'!$AC$5:$AC$3004,$AS425)))</f>
        <v/>
      </c>
      <c r="AE425" s="14">
        <f>IF($A425="","",IF(INDEX('潜水記録'!$AD$5:$AD$3004,$AS425)="","",INDEX('潜水記録'!$AD$5:$AD$3004,$AS425)))</f>
        <v/>
      </c>
      <c r="AF425" s="14">
        <f>IF($A425="","",IF(INDEX('潜水記録'!$AE$5:$AE$3004,$AS425)="","",INDEX('潜水記録'!$AE$5:$AE$3004,$AS425)))</f>
        <v/>
      </c>
      <c r="AG425" s="14">
        <f>IF($A425="","",IF(INDEX('潜水記録'!$AL$5:$AL$3004,$AS425)="","",INDEX('潜水記録'!$AL$5:$AL$3004,$AS425)))</f>
        <v/>
      </c>
      <c r="AH425" s="14">
        <f>IF($A425="","",IF(INDEX('潜水記録'!$AM$5:$AM$3004,$AS425)="","",INDEX('潜水記録'!$AM$5:$AM$3004,$AS425)))</f>
        <v/>
      </c>
      <c r="AI425" s="46">
        <f>IF($A425="","",IF(INDEX('潜水記録'!$AN$5:$AN$3004,$AS425)="","",INDEX('潜水記録'!$AN$5:$AN$3004,$AS425)))</f>
        <v/>
      </c>
      <c r="AJ425" s="14">
        <f>IF($A425="","",IF(INDEX('潜水記録'!$AO$5:$AO$3004,$AS425)="","",INDEX('潜水記録'!$AO$5:$AO$3004,$AS425)))</f>
        <v/>
      </c>
      <c r="AK425" s="14">
        <f>IF($A425="","",IF(INDEX('潜水記録'!$AP$5:$AP$3004,$AS425)="","",INDEX('潜水記録'!$AP$5:$AP$3004,$AS425)))</f>
        <v/>
      </c>
      <c r="AL425" s="14">
        <f>IF($A425="","",IF(INDEX('潜水記録'!$AQ$5:$AQ$3004,$AS425)="","",INDEX('潜水記録'!$AQ$5:$AQ$3004,$AS425)))</f>
        <v/>
      </c>
      <c r="AM425" s="14">
        <f>IF($A425="","",IF(INDEX('潜水記録'!$AR$5:$AR$3004,$AS425)="","",INDEX('潜水記録'!$AR$5:$AR$3004,$AS425)))</f>
        <v/>
      </c>
      <c r="AN425" s="14">
        <f>IF($A425="","",IF(INDEX('潜水記録'!$AS$5:$AS$3004,$AS425)="","",INDEX('潜水記録'!$AS$5:$AS$3004,$AS425)))</f>
        <v/>
      </c>
      <c r="AO425" s="14">
        <f>IF($A425="","",IF(INDEX('潜水記録'!$AT$5:$AT$3004,$AS425)="","",INDEX('潜水記録'!$AT$5:$AT$3004,$AS425)))</f>
        <v/>
      </c>
      <c r="AP425" s="14">
        <f>IF($A425="","",IF(INDEX('潜水記録'!$AU$5:$AU$3004,$AS425)="","",INDEX('潜水記録'!$AU$5:$AU$3004,$AS425)))</f>
        <v/>
      </c>
      <c r="AQ425" s="14">
        <f>IF($A425="","",IF(INDEX('潜水記録'!$AV$5:$AV$3004,$AS425)="","",INDEX('潜水記録'!$AV$5:$AV$3004,$AS425)))</f>
        <v/>
      </c>
      <c r="AR425" s="14">
        <f>IF($A425="","",IF(INDEX('潜水記録'!$AW$5:$AW$3004,$AS425)="","",INDEX('潜水記録'!$AW$5:$AW$3004,$AS425)))</f>
        <v/>
      </c>
      <c r="AS425" s="20">
        <f>IF($A425="","",MATCH($A425,'潜水記録'!$AI$5:$AI$3004,0))</f>
        <v/>
      </c>
    </row>
    <row r="426">
      <c r="A426" s="14">
        <f>IF(416&lt;=$C$8,416,"")</f>
        <v/>
      </c>
      <c r="B426" s="16">
        <f>IF($A426="","",IF(INDEX('潜水記録'!$A$5:$A$3004,$AS426)="","",INDEX('潜水記録'!$A$5:$A$3004,$AS426)))</f>
        <v/>
      </c>
      <c r="C426" s="14">
        <f>IF($A426="","",IF(INDEX('潜水記録'!$B$5:$B$3004,$AS426)="","",INDEX('潜水記録'!$B$5:$B$3004,$AS426)))</f>
        <v/>
      </c>
      <c r="D426" s="14">
        <f>IF($A426="","",IF(INDEX('潜水記録'!$C$5:$C$3004,$AS426)="","",INDEX('潜水記録'!$C$5:$C$3004,$AS426)))</f>
        <v/>
      </c>
      <c r="E426" s="14">
        <f>IF($A426="","",IF(INDEX('潜水記録'!$D$5:$D$3004,$AS426)="","",INDEX('潜水記録'!$D$5:$D$3004,$AS426)))</f>
        <v/>
      </c>
      <c r="F426" s="14">
        <f>IF($A426="","",IF(INDEX('潜水記録'!$E$5:$E$3004,$AS426)="","",INDEX('潜水記録'!$E$5:$E$3004,$AS426)))</f>
        <v/>
      </c>
      <c r="G426" s="14">
        <f>IF($A426="","",IF(INDEX('潜水記録'!$F$5:$F$3004,$AS426)="","",INDEX('潜水記録'!$F$5:$F$3004,$AS426)))</f>
        <v/>
      </c>
      <c r="H426" s="14">
        <f>IF($A426="","",IF(INDEX('潜水記録'!$G$5:$G$3004,$AS426)="","",INDEX('潜水記録'!$G$5:$G$3004,$AS426)))</f>
        <v/>
      </c>
      <c r="I426" s="14">
        <f>IF($A426="","",IF(INDEX('潜水記録'!$H$5:$H$3004,$AS426)="","",INDEX('潜水記録'!$H$5:$H$3004,$AS426)))</f>
        <v/>
      </c>
      <c r="J426" s="14">
        <f>IF($A426="","",IF(INDEX('潜水記録'!$I$5:$I$3004,$AS426)="","",INDEX('潜水記録'!$I$5:$I$3004,$AS426)))</f>
        <v/>
      </c>
      <c r="K426" s="14">
        <f>IF($A426="","",IF(INDEX('潜水記録'!$J$5:$J$3004,$AS426)="","",INDEX('潜水記録'!$J$5:$J$3004,$AS426)))</f>
        <v/>
      </c>
      <c r="L426" s="14">
        <f>IF($A426="","",IF(INDEX('潜水記録'!$K$5:$K$3004,$AS426)="","",INDEX('潜水記録'!$K$5:$K$3004,$AS426)))</f>
        <v/>
      </c>
      <c r="M426" s="14">
        <f>IF($A426="","",IF(INDEX('潜水記録'!$L$5:$L$3004,$AS426)="","",INDEX('潜水記録'!$L$5:$L$3004,$AS426)))</f>
        <v/>
      </c>
      <c r="N426" s="14">
        <f>IF($A426="","",IF(INDEX('潜水記録'!$M$5:$M$3004,$AS426)="","",INDEX('潜水記録'!$M$5:$M$3004,$AS426)))</f>
        <v/>
      </c>
      <c r="O426" s="14">
        <f>IF($A426="","",IF(INDEX('潜水記録'!$N$5:$N$3004,$AS426)="","",INDEX('潜水記録'!$N$5:$N$3004,$AS426)))</f>
        <v/>
      </c>
      <c r="P426" s="14">
        <f>IF($A426="","",IF(INDEX('潜水記録'!$O$5:$O$3004,$AS426)="","",INDEX('潜水記録'!$O$5:$O$3004,$AS426)))</f>
        <v/>
      </c>
      <c r="Q426" s="14">
        <f>IF($A426="","",IF(INDEX('潜水記録'!$P$5:$P$3004,$AS426)="","",INDEX('潜水記録'!$P$5:$P$3004,$AS426)))</f>
        <v/>
      </c>
      <c r="R426" s="14">
        <f>IF($A426="","",IF(INDEX('潜水記録'!$Q$5:$Q$3004,$AS426)="","",INDEX('潜水記録'!$Q$5:$Q$3004,$AS426)))</f>
        <v/>
      </c>
      <c r="S426" s="14">
        <f>IF($A426="","",IF(INDEX('潜水記録'!$R$5:$R$3004,$AS426)="","",INDEX('潜水記録'!$R$5:$R$3004,$AS426)))</f>
        <v/>
      </c>
      <c r="T426" s="14">
        <f>IF($A426="","",IF(INDEX('潜水記録'!$S$5:$S$3004,$AS426)="","",INDEX('潜水記録'!$S$5:$S$3004,$AS426)))</f>
        <v/>
      </c>
      <c r="U426" s="14">
        <f>IF($A426="","",IF(INDEX('潜水記録'!$T$5:$T$3004,$AS426)="","",INDEX('潜水記録'!$T$5:$T$3004,$AS426)))</f>
        <v/>
      </c>
      <c r="V426" s="46">
        <f>IF($A426="","",IF(INDEX('潜水記録'!$U$5:$U$3004,$AS426)="","",INDEX('潜水記録'!$U$5:$U$3004,$AS426)))</f>
        <v/>
      </c>
      <c r="W426" s="46">
        <f>IF($A426="","",IF(INDEX('潜水記録'!$V$5:$V$3004,$AS426)="","",INDEX('潜水記録'!$V$5:$V$3004,$AS426)))</f>
        <v/>
      </c>
      <c r="X426" s="14">
        <f>IF($A426="","",IF(INDEX('潜水記録'!$W$5:$W$3004,$AS426)="","",INDEX('潜水記録'!$W$5:$W$3004,$AS426)))</f>
        <v/>
      </c>
      <c r="Y426" s="14">
        <f>IF($A426="","",IF(INDEX('潜水記録'!$X$5:$X$3004,$AS426)="","",INDEX('潜水記録'!$X$5:$X$3004,$AS426)))</f>
        <v/>
      </c>
      <c r="Z426" s="14">
        <f>IF($A426="","",IF(INDEX('潜水記録'!$Y$5:$Y$3004,$AS426)="","",INDEX('潜水記録'!$Y$5:$Y$3004,$AS426)))</f>
        <v/>
      </c>
      <c r="AA426" s="14">
        <f>IF($A426="","",IF(INDEX('潜水記録'!$Z$5:$Z$3004,$AS426)="","",INDEX('潜水記録'!$Z$5:$Z$3004,$AS426)))</f>
        <v/>
      </c>
      <c r="AB426" s="14">
        <f>IF($A426="","",IF(INDEX('潜水記録'!$AA$5:$AA$3004,$AS426)="","",INDEX('潜水記録'!$AA$5:$AA$3004,$AS426)))</f>
        <v/>
      </c>
      <c r="AC426" s="14">
        <f>IF($A426="","",IF(INDEX('潜水記録'!$AB$5:$AB$3004,$AS426)="","",INDEX('潜水記録'!$AB$5:$AB$3004,$AS426)))</f>
        <v/>
      </c>
      <c r="AD426" s="14">
        <f>IF($A426="","",IF(INDEX('潜水記録'!$AC$5:$AC$3004,$AS426)="","",INDEX('潜水記録'!$AC$5:$AC$3004,$AS426)))</f>
        <v/>
      </c>
      <c r="AE426" s="14">
        <f>IF($A426="","",IF(INDEX('潜水記録'!$AD$5:$AD$3004,$AS426)="","",INDEX('潜水記録'!$AD$5:$AD$3004,$AS426)))</f>
        <v/>
      </c>
      <c r="AF426" s="14">
        <f>IF($A426="","",IF(INDEX('潜水記録'!$AE$5:$AE$3004,$AS426)="","",INDEX('潜水記録'!$AE$5:$AE$3004,$AS426)))</f>
        <v/>
      </c>
      <c r="AG426" s="14">
        <f>IF($A426="","",IF(INDEX('潜水記録'!$AL$5:$AL$3004,$AS426)="","",INDEX('潜水記録'!$AL$5:$AL$3004,$AS426)))</f>
        <v/>
      </c>
      <c r="AH426" s="14">
        <f>IF($A426="","",IF(INDEX('潜水記録'!$AM$5:$AM$3004,$AS426)="","",INDEX('潜水記録'!$AM$5:$AM$3004,$AS426)))</f>
        <v/>
      </c>
      <c r="AI426" s="46">
        <f>IF($A426="","",IF(INDEX('潜水記録'!$AN$5:$AN$3004,$AS426)="","",INDEX('潜水記録'!$AN$5:$AN$3004,$AS426)))</f>
        <v/>
      </c>
      <c r="AJ426" s="14">
        <f>IF($A426="","",IF(INDEX('潜水記録'!$AO$5:$AO$3004,$AS426)="","",INDEX('潜水記録'!$AO$5:$AO$3004,$AS426)))</f>
        <v/>
      </c>
      <c r="AK426" s="14">
        <f>IF($A426="","",IF(INDEX('潜水記録'!$AP$5:$AP$3004,$AS426)="","",INDEX('潜水記録'!$AP$5:$AP$3004,$AS426)))</f>
        <v/>
      </c>
      <c r="AL426" s="14">
        <f>IF($A426="","",IF(INDEX('潜水記録'!$AQ$5:$AQ$3004,$AS426)="","",INDEX('潜水記録'!$AQ$5:$AQ$3004,$AS426)))</f>
        <v/>
      </c>
      <c r="AM426" s="14">
        <f>IF($A426="","",IF(INDEX('潜水記録'!$AR$5:$AR$3004,$AS426)="","",INDEX('潜水記録'!$AR$5:$AR$3004,$AS426)))</f>
        <v/>
      </c>
      <c r="AN426" s="14">
        <f>IF($A426="","",IF(INDEX('潜水記録'!$AS$5:$AS$3004,$AS426)="","",INDEX('潜水記録'!$AS$5:$AS$3004,$AS426)))</f>
        <v/>
      </c>
      <c r="AO426" s="14">
        <f>IF($A426="","",IF(INDEX('潜水記録'!$AT$5:$AT$3004,$AS426)="","",INDEX('潜水記録'!$AT$5:$AT$3004,$AS426)))</f>
        <v/>
      </c>
      <c r="AP426" s="14">
        <f>IF($A426="","",IF(INDEX('潜水記録'!$AU$5:$AU$3004,$AS426)="","",INDEX('潜水記録'!$AU$5:$AU$3004,$AS426)))</f>
        <v/>
      </c>
      <c r="AQ426" s="14">
        <f>IF($A426="","",IF(INDEX('潜水記録'!$AV$5:$AV$3004,$AS426)="","",INDEX('潜水記録'!$AV$5:$AV$3004,$AS426)))</f>
        <v/>
      </c>
      <c r="AR426" s="14">
        <f>IF($A426="","",IF(INDEX('潜水記録'!$AW$5:$AW$3004,$AS426)="","",INDEX('潜水記録'!$AW$5:$AW$3004,$AS426)))</f>
        <v/>
      </c>
      <c r="AS426" s="20">
        <f>IF($A426="","",MATCH($A426,'潜水記録'!$AI$5:$AI$3004,0))</f>
        <v/>
      </c>
    </row>
    <row r="427">
      <c r="A427" s="14">
        <f>IF(417&lt;=$C$8,417,"")</f>
        <v/>
      </c>
      <c r="B427" s="16">
        <f>IF($A427="","",IF(INDEX('潜水記録'!$A$5:$A$3004,$AS427)="","",INDEX('潜水記録'!$A$5:$A$3004,$AS427)))</f>
        <v/>
      </c>
      <c r="C427" s="14">
        <f>IF($A427="","",IF(INDEX('潜水記録'!$B$5:$B$3004,$AS427)="","",INDEX('潜水記録'!$B$5:$B$3004,$AS427)))</f>
        <v/>
      </c>
      <c r="D427" s="14">
        <f>IF($A427="","",IF(INDEX('潜水記録'!$C$5:$C$3004,$AS427)="","",INDEX('潜水記録'!$C$5:$C$3004,$AS427)))</f>
        <v/>
      </c>
      <c r="E427" s="14">
        <f>IF($A427="","",IF(INDEX('潜水記録'!$D$5:$D$3004,$AS427)="","",INDEX('潜水記録'!$D$5:$D$3004,$AS427)))</f>
        <v/>
      </c>
      <c r="F427" s="14">
        <f>IF($A427="","",IF(INDEX('潜水記録'!$E$5:$E$3004,$AS427)="","",INDEX('潜水記録'!$E$5:$E$3004,$AS427)))</f>
        <v/>
      </c>
      <c r="G427" s="14">
        <f>IF($A427="","",IF(INDEX('潜水記録'!$F$5:$F$3004,$AS427)="","",INDEX('潜水記録'!$F$5:$F$3004,$AS427)))</f>
        <v/>
      </c>
      <c r="H427" s="14">
        <f>IF($A427="","",IF(INDEX('潜水記録'!$G$5:$G$3004,$AS427)="","",INDEX('潜水記録'!$G$5:$G$3004,$AS427)))</f>
        <v/>
      </c>
      <c r="I427" s="14">
        <f>IF($A427="","",IF(INDEX('潜水記録'!$H$5:$H$3004,$AS427)="","",INDEX('潜水記録'!$H$5:$H$3004,$AS427)))</f>
        <v/>
      </c>
      <c r="J427" s="14">
        <f>IF($A427="","",IF(INDEX('潜水記録'!$I$5:$I$3004,$AS427)="","",INDEX('潜水記録'!$I$5:$I$3004,$AS427)))</f>
        <v/>
      </c>
      <c r="K427" s="14">
        <f>IF($A427="","",IF(INDEX('潜水記録'!$J$5:$J$3004,$AS427)="","",INDEX('潜水記録'!$J$5:$J$3004,$AS427)))</f>
        <v/>
      </c>
      <c r="L427" s="14">
        <f>IF($A427="","",IF(INDEX('潜水記録'!$K$5:$K$3004,$AS427)="","",INDEX('潜水記録'!$K$5:$K$3004,$AS427)))</f>
        <v/>
      </c>
      <c r="M427" s="14">
        <f>IF($A427="","",IF(INDEX('潜水記録'!$L$5:$L$3004,$AS427)="","",INDEX('潜水記録'!$L$5:$L$3004,$AS427)))</f>
        <v/>
      </c>
      <c r="N427" s="14">
        <f>IF($A427="","",IF(INDEX('潜水記録'!$M$5:$M$3004,$AS427)="","",INDEX('潜水記録'!$M$5:$M$3004,$AS427)))</f>
        <v/>
      </c>
      <c r="O427" s="14">
        <f>IF($A427="","",IF(INDEX('潜水記録'!$N$5:$N$3004,$AS427)="","",INDEX('潜水記録'!$N$5:$N$3004,$AS427)))</f>
        <v/>
      </c>
      <c r="P427" s="14">
        <f>IF($A427="","",IF(INDEX('潜水記録'!$O$5:$O$3004,$AS427)="","",INDEX('潜水記録'!$O$5:$O$3004,$AS427)))</f>
        <v/>
      </c>
      <c r="Q427" s="14">
        <f>IF($A427="","",IF(INDEX('潜水記録'!$P$5:$P$3004,$AS427)="","",INDEX('潜水記録'!$P$5:$P$3004,$AS427)))</f>
        <v/>
      </c>
      <c r="R427" s="14">
        <f>IF($A427="","",IF(INDEX('潜水記録'!$Q$5:$Q$3004,$AS427)="","",INDEX('潜水記録'!$Q$5:$Q$3004,$AS427)))</f>
        <v/>
      </c>
      <c r="S427" s="14">
        <f>IF($A427="","",IF(INDEX('潜水記録'!$R$5:$R$3004,$AS427)="","",INDEX('潜水記録'!$R$5:$R$3004,$AS427)))</f>
        <v/>
      </c>
      <c r="T427" s="14">
        <f>IF($A427="","",IF(INDEX('潜水記録'!$S$5:$S$3004,$AS427)="","",INDEX('潜水記録'!$S$5:$S$3004,$AS427)))</f>
        <v/>
      </c>
      <c r="U427" s="14">
        <f>IF($A427="","",IF(INDEX('潜水記録'!$T$5:$T$3004,$AS427)="","",INDEX('潜水記録'!$T$5:$T$3004,$AS427)))</f>
        <v/>
      </c>
      <c r="V427" s="46">
        <f>IF($A427="","",IF(INDEX('潜水記録'!$U$5:$U$3004,$AS427)="","",INDEX('潜水記録'!$U$5:$U$3004,$AS427)))</f>
        <v/>
      </c>
      <c r="W427" s="46">
        <f>IF($A427="","",IF(INDEX('潜水記録'!$V$5:$V$3004,$AS427)="","",INDEX('潜水記録'!$V$5:$V$3004,$AS427)))</f>
        <v/>
      </c>
      <c r="X427" s="14">
        <f>IF($A427="","",IF(INDEX('潜水記録'!$W$5:$W$3004,$AS427)="","",INDEX('潜水記録'!$W$5:$W$3004,$AS427)))</f>
        <v/>
      </c>
      <c r="Y427" s="14">
        <f>IF($A427="","",IF(INDEX('潜水記録'!$X$5:$X$3004,$AS427)="","",INDEX('潜水記録'!$X$5:$X$3004,$AS427)))</f>
        <v/>
      </c>
      <c r="Z427" s="14">
        <f>IF($A427="","",IF(INDEX('潜水記録'!$Y$5:$Y$3004,$AS427)="","",INDEX('潜水記録'!$Y$5:$Y$3004,$AS427)))</f>
        <v/>
      </c>
      <c r="AA427" s="14">
        <f>IF($A427="","",IF(INDEX('潜水記録'!$Z$5:$Z$3004,$AS427)="","",INDEX('潜水記録'!$Z$5:$Z$3004,$AS427)))</f>
        <v/>
      </c>
      <c r="AB427" s="14">
        <f>IF($A427="","",IF(INDEX('潜水記録'!$AA$5:$AA$3004,$AS427)="","",INDEX('潜水記録'!$AA$5:$AA$3004,$AS427)))</f>
        <v/>
      </c>
      <c r="AC427" s="14">
        <f>IF($A427="","",IF(INDEX('潜水記録'!$AB$5:$AB$3004,$AS427)="","",INDEX('潜水記録'!$AB$5:$AB$3004,$AS427)))</f>
        <v/>
      </c>
      <c r="AD427" s="14">
        <f>IF($A427="","",IF(INDEX('潜水記録'!$AC$5:$AC$3004,$AS427)="","",INDEX('潜水記録'!$AC$5:$AC$3004,$AS427)))</f>
        <v/>
      </c>
      <c r="AE427" s="14">
        <f>IF($A427="","",IF(INDEX('潜水記録'!$AD$5:$AD$3004,$AS427)="","",INDEX('潜水記録'!$AD$5:$AD$3004,$AS427)))</f>
        <v/>
      </c>
      <c r="AF427" s="14">
        <f>IF($A427="","",IF(INDEX('潜水記録'!$AE$5:$AE$3004,$AS427)="","",INDEX('潜水記録'!$AE$5:$AE$3004,$AS427)))</f>
        <v/>
      </c>
      <c r="AG427" s="14">
        <f>IF($A427="","",IF(INDEX('潜水記録'!$AL$5:$AL$3004,$AS427)="","",INDEX('潜水記録'!$AL$5:$AL$3004,$AS427)))</f>
        <v/>
      </c>
      <c r="AH427" s="14">
        <f>IF($A427="","",IF(INDEX('潜水記録'!$AM$5:$AM$3004,$AS427)="","",INDEX('潜水記録'!$AM$5:$AM$3004,$AS427)))</f>
        <v/>
      </c>
      <c r="AI427" s="46">
        <f>IF($A427="","",IF(INDEX('潜水記録'!$AN$5:$AN$3004,$AS427)="","",INDEX('潜水記録'!$AN$5:$AN$3004,$AS427)))</f>
        <v/>
      </c>
      <c r="AJ427" s="14">
        <f>IF($A427="","",IF(INDEX('潜水記録'!$AO$5:$AO$3004,$AS427)="","",INDEX('潜水記録'!$AO$5:$AO$3004,$AS427)))</f>
        <v/>
      </c>
      <c r="AK427" s="14">
        <f>IF($A427="","",IF(INDEX('潜水記録'!$AP$5:$AP$3004,$AS427)="","",INDEX('潜水記録'!$AP$5:$AP$3004,$AS427)))</f>
        <v/>
      </c>
      <c r="AL427" s="14">
        <f>IF($A427="","",IF(INDEX('潜水記録'!$AQ$5:$AQ$3004,$AS427)="","",INDEX('潜水記録'!$AQ$5:$AQ$3004,$AS427)))</f>
        <v/>
      </c>
      <c r="AM427" s="14">
        <f>IF($A427="","",IF(INDEX('潜水記録'!$AR$5:$AR$3004,$AS427)="","",INDEX('潜水記録'!$AR$5:$AR$3004,$AS427)))</f>
        <v/>
      </c>
      <c r="AN427" s="14">
        <f>IF($A427="","",IF(INDEX('潜水記録'!$AS$5:$AS$3004,$AS427)="","",INDEX('潜水記録'!$AS$5:$AS$3004,$AS427)))</f>
        <v/>
      </c>
      <c r="AO427" s="14">
        <f>IF($A427="","",IF(INDEX('潜水記録'!$AT$5:$AT$3004,$AS427)="","",INDEX('潜水記録'!$AT$5:$AT$3004,$AS427)))</f>
        <v/>
      </c>
      <c r="AP427" s="14">
        <f>IF($A427="","",IF(INDEX('潜水記録'!$AU$5:$AU$3004,$AS427)="","",INDEX('潜水記録'!$AU$5:$AU$3004,$AS427)))</f>
        <v/>
      </c>
      <c r="AQ427" s="14">
        <f>IF($A427="","",IF(INDEX('潜水記録'!$AV$5:$AV$3004,$AS427)="","",INDEX('潜水記録'!$AV$5:$AV$3004,$AS427)))</f>
        <v/>
      </c>
      <c r="AR427" s="14">
        <f>IF($A427="","",IF(INDEX('潜水記録'!$AW$5:$AW$3004,$AS427)="","",INDEX('潜水記録'!$AW$5:$AW$3004,$AS427)))</f>
        <v/>
      </c>
      <c r="AS427" s="20">
        <f>IF($A427="","",MATCH($A427,'潜水記録'!$AI$5:$AI$3004,0))</f>
        <v/>
      </c>
    </row>
    <row r="428">
      <c r="A428" s="14">
        <f>IF(418&lt;=$C$8,418,"")</f>
        <v/>
      </c>
      <c r="B428" s="16">
        <f>IF($A428="","",IF(INDEX('潜水記録'!$A$5:$A$3004,$AS428)="","",INDEX('潜水記録'!$A$5:$A$3004,$AS428)))</f>
        <v/>
      </c>
      <c r="C428" s="14">
        <f>IF($A428="","",IF(INDEX('潜水記録'!$B$5:$B$3004,$AS428)="","",INDEX('潜水記録'!$B$5:$B$3004,$AS428)))</f>
        <v/>
      </c>
      <c r="D428" s="14">
        <f>IF($A428="","",IF(INDEX('潜水記録'!$C$5:$C$3004,$AS428)="","",INDEX('潜水記録'!$C$5:$C$3004,$AS428)))</f>
        <v/>
      </c>
      <c r="E428" s="14">
        <f>IF($A428="","",IF(INDEX('潜水記録'!$D$5:$D$3004,$AS428)="","",INDEX('潜水記録'!$D$5:$D$3004,$AS428)))</f>
        <v/>
      </c>
      <c r="F428" s="14">
        <f>IF($A428="","",IF(INDEX('潜水記録'!$E$5:$E$3004,$AS428)="","",INDEX('潜水記録'!$E$5:$E$3004,$AS428)))</f>
        <v/>
      </c>
      <c r="G428" s="14">
        <f>IF($A428="","",IF(INDEX('潜水記録'!$F$5:$F$3004,$AS428)="","",INDEX('潜水記録'!$F$5:$F$3004,$AS428)))</f>
        <v/>
      </c>
      <c r="H428" s="14">
        <f>IF($A428="","",IF(INDEX('潜水記録'!$G$5:$G$3004,$AS428)="","",INDEX('潜水記録'!$G$5:$G$3004,$AS428)))</f>
        <v/>
      </c>
      <c r="I428" s="14">
        <f>IF($A428="","",IF(INDEX('潜水記録'!$H$5:$H$3004,$AS428)="","",INDEX('潜水記録'!$H$5:$H$3004,$AS428)))</f>
        <v/>
      </c>
      <c r="J428" s="14">
        <f>IF($A428="","",IF(INDEX('潜水記録'!$I$5:$I$3004,$AS428)="","",INDEX('潜水記録'!$I$5:$I$3004,$AS428)))</f>
        <v/>
      </c>
      <c r="K428" s="14">
        <f>IF($A428="","",IF(INDEX('潜水記録'!$J$5:$J$3004,$AS428)="","",INDEX('潜水記録'!$J$5:$J$3004,$AS428)))</f>
        <v/>
      </c>
      <c r="L428" s="14">
        <f>IF($A428="","",IF(INDEX('潜水記録'!$K$5:$K$3004,$AS428)="","",INDEX('潜水記録'!$K$5:$K$3004,$AS428)))</f>
        <v/>
      </c>
      <c r="M428" s="14">
        <f>IF($A428="","",IF(INDEX('潜水記録'!$L$5:$L$3004,$AS428)="","",INDEX('潜水記録'!$L$5:$L$3004,$AS428)))</f>
        <v/>
      </c>
      <c r="N428" s="14">
        <f>IF($A428="","",IF(INDEX('潜水記録'!$M$5:$M$3004,$AS428)="","",INDEX('潜水記録'!$M$5:$M$3004,$AS428)))</f>
        <v/>
      </c>
      <c r="O428" s="14">
        <f>IF($A428="","",IF(INDEX('潜水記録'!$N$5:$N$3004,$AS428)="","",INDEX('潜水記録'!$N$5:$N$3004,$AS428)))</f>
        <v/>
      </c>
      <c r="P428" s="14">
        <f>IF($A428="","",IF(INDEX('潜水記録'!$O$5:$O$3004,$AS428)="","",INDEX('潜水記録'!$O$5:$O$3004,$AS428)))</f>
        <v/>
      </c>
      <c r="Q428" s="14">
        <f>IF($A428="","",IF(INDEX('潜水記録'!$P$5:$P$3004,$AS428)="","",INDEX('潜水記録'!$P$5:$P$3004,$AS428)))</f>
        <v/>
      </c>
      <c r="R428" s="14">
        <f>IF($A428="","",IF(INDEX('潜水記録'!$Q$5:$Q$3004,$AS428)="","",INDEX('潜水記録'!$Q$5:$Q$3004,$AS428)))</f>
        <v/>
      </c>
      <c r="S428" s="14">
        <f>IF($A428="","",IF(INDEX('潜水記録'!$R$5:$R$3004,$AS428)="","",INDEX('潜水記録'!$R$5:$R$3004,$AS428)))</f>
        <v/>
      </c>
      <c r="T428" s="14">
        <f>IF($A428="","",IF(INDEX('潜水記録'!$S$5:$S$3004,$AS428)="","",INDEX('潜水記録'!$S$5:$S$3004,$AS428)))</f>
        <v/>
      </c>
      <c r="U428" s="14">
        <f>IF($A428="","",IF(INDEX('潜水記録'!$T$5:$T$3004,$AS428)="","",INDEX('潜水記録'!$T$5:$T$3004,$AS428)))</f>
        <v/>
      </c>
      <c r="V428" s="46">
        <f>IF($A428="","",IF(INDEX('潜水記録'!$U$5:$U$3004,$AS428)="","",INDEX('潜水記録'!$U$5:$U$3004,$AS428)))</f>
        <v/>
      </c>
      <c r="W428" s="46">
        <f>IF($A428="","",IF(INDEX('潜水記録'!$V$5:$V$3004,$AS428)="","",INDEX('潜水記録'!$V$5:$V$3004,$AS428)))</f>
        <v/>
      </c>
      <c r="X428" s="14">
        <f>IF($A428="","",IF(INDEX('潜水記録'!$W$5:$W$3004,$AS428)="","",INDEX('潜水記録'!$W$5:$W$3004,$AS428)))</f>
        <v/>
      </c>
      <c r="Y428" s="14">
        <f>IF($A428="","",IF(INDEX('潜水記録'!$X$5:$X$3004,$AS428)="","",INDEX('潜水記録'!$X$5:$X$3004,$AS428)))</f>
        <v/>
      </c>
      <c r="Z428" s="14">
        <f>IF($A428="","",IF(INDEX('潜水記録'!$Y$5:$Y$3004,$AS428)="","",INDEX('潜水記録'!$Y$5:$Y$3004,$AS428)))</f>
        <v/>
      </c>
      <c r="AA428" s="14">
        <f>IF($A428="","",IF(INDEX('潜水記録'!$Z$5:$Z$3004,$AS428)="","",INDEX('潜水記録'!$Z$5:$Z$3004,$AS428)))</f>
        <v/>
      </c>
      <c r="AB428" s="14">
        <f>IF($A428="","",IF(INDEX('潜水記録'!$AA$5:$AA$3004,$AS428)="","",INDEX('潜水記録'!$AA$5:$AA$3004,$AS428)))</f>
        <v/>
      </c>
      <c r="AC428" s="14">
        <f>IF($A428="","",IF(INDEX('潜水記録'!$AB$5:$AB$3004,$AS428)="","",INDEX('潜水記録'!$AB$5:$AB$3004,$AS428)))</f>
        <v/>
      </c>
      <c r="AD428" s="14">
        <f>IF($A428="","",IF(INDEX('潜水記録'!$AC$5:$AC$3004,$AS428)="","",INDEX('潜水記録'!$AC$5:$AC$3004,$AS428)))</f>
        <v/>
      </c>
      <c r="AE428" s="14">
        <f>IF($A428="","",IF(INDEX('潜水記録'!$AD$5:$AD$3004,$AS428)="","",INDEX('潜水記録'!$AD$5:$AD$3004,$AS428)))</f>
        <v/>
      </c>
      <c r="AF428" s="14">
        <f>IF($A428="","",IF(INDEX('潜水記録'!$AE$5:$AE$3004,$AS428)="","",INDEX('潜水記録'!$AE$5:$AE$3004,$AS428)))</f>
        <v/>
      </c>
      <c r="AG428" s="14">
        <f>IF($A428="","",IF(INDEX('潜水記録'!$AL$5:$AL$3004,$AS428)="","",INDEX('潜水記録'!$AL$5:$AL$3004,$AS428)))</f>
        <v/>
      </c>
      <c r="AH428" s="14">
        <f>IF($A428="","",IF(INDEX('潜水記録'!$AM$5:$AM$3004,$AS428)="","",INDEX('潜水記録'!$AM$5:$AM$3004,$AS428)))</f>
        <v/>
      </c>
      <c r="AI428" s="46">
        <f>IF($A428="","",IF(INDEX('潜水記録'!$AN$5:$AN$3004,$AS428)="","",INDEX('潜水記録'!$AN$5:$AN$3004,$AS428)))</f>
        <v/>
      </c>
      <c r="AJ428" s="14">
        <f>IF($A428="","",IF(INDEX('潜水記録'!$AO$5:$AO$3004,$AS428)="","",INDEX('潜水記録'!$AO$5:$AO$3004,$AS428)))</f>
        <v/>
      </c>
      <c r="AK428" s="14">
        <f>IF($A428="","",IF(INDEX('潜水記録'!$AP$5:$AP$3004,$AS428)="","",INDEX('潜水記録'!$AP$5:$AP$3004,$AS428)))</f>
        <v/>
      </c>
      <c r="AL428" s="14">
        <f>IF($A428="","",IF(INDEX('潜水記録'!$AQ$5:$AQ$3004,$AS428)="","",INDEX('潜水記録'!$AQ$5:$AQ$3004,$AS428)))</f>
        <v/>
      </c>
      <c r="AM428" s="14">
        <f>IF($A428="","",IF(INDEX('潜水記録'!$AR$5:$AR$3004,$AS428)="","",INDEX('潜水記録'!$AR$5:$AR$3004,$AS428)))</f>
        <v/>
      </c>
      <c r="AN428" s="14">
        <f>IF($A428="","",IF(INDEX('潜水記録'!$AS$5:$AS$3004,$AS428)="","",INDEX('潜水記録'!$AS$5:$AS$3004,$AS428)))</f>
        <v/>
      </c>
      <c r="AO428" s="14">
        <f>IF($A428="","",IF(INDEX('潜水記録'!$AT$5:$AT$3004,$AS428)="","",INDEX('潜水記録'!$AT$5:$AT$3004,$AS428)))</f>
        <v/>
      </c>
      <c r="AP428" s="14">
        <f>IF($A428="","",IF(INDEX('潜水記録'!$AU$5:$AU$3004,$AS428)="","",INDEX('潜水記録'!$AU$5:$AU$3004,$AS428)))</f>
        <v/>
      </c>
      <c r="AQ428" s="14">
        <f>IF($A428="","",IF(INDEX('潜水記録'!$AV$5:$AV$3004,$AS428)="","",INDEX('潜水記録'!$AV$5:$AV$3004,$AS428)))</f>
        <v/>
      </c>
      <c r="AR428" s="14">
        <f>IF($A428="","",IF(INDEX('潜水記録'!$AW$5:$AW$3004,$AS428)="","",INDEX('潜水記録'!$AW$5:$AW$3004,$AS428)))</f>
        <v/>
      </c>
      <c r="AS428" s="20">
        <f>IF($A428="","",MATCH($A428,'潜水記録'!$AI$5:$AI$3004,0))</f>
        <v/>
      </c>
    </row>
    <row r="429">
      <c r="A429" s="14">
        <f>IF(419&lt;=$C$8,419,"")</f>
        <v/>
      </c>
      <c r="B429" s="16">
        <f>IF($A429="","",IF(INDEX('潜水記録'!$A$5:$A$3004,$AS429)="","",INDEX('潜水記録'!$A$5:$A$3004,$AS429)))</f>
        <v/>
      </c>
      <c r="C429" s="14">
        <f>IF($A429="","",IF(INDEX('潜水記録'!$B$5:$B$3004,$AS429)="","",INDEX('潜水記録'!$B$5:$B$3004,$AS429)))</f>
        <v/>
      </c>
      <c r="D429" s="14">
        <f>IF($A429="","",IF(INDEX('潜水記録'!$C$5:$C$3004,$AS429)="","",INDEX('潜水記録'!$C$5:$C$3004,$AS429)))</f>
        <v/>
      </c>
      <c r="E429" s="14">
        <f>IF($A429="","",IF(INDEX('潜水記録'!$D$5:$D$3004,$AS429)="","",INDEX('潜水記録'!$D$5:$D$3004,$AS429)))</f>
        <v/>
      </c>
      <c r="F429" s="14">
        <f>IF($A429="","",IF(INDEX('潜水記録'!$E$5:$E$3004,$AS429)="","",INDEX('潜水記録'!$E$5:$E$3004,$AS429)))</f>
        <v/>
      </c>
      <c r="G429" s="14">
        <f>IF($A429="","",IF(INDEX('潜水記録'!$F$5:$F$3004,$AS429)="","",INDEX('潜水記録'!$F$5:$F$3004,$AS429)))</f>
        <v/>
      </c>
      <c r="H429" s="14">
        <f>IF($A429="","",IF(INDEX('潜水記録'!$G$5:$G$3004,$AS429)="","",INDEX('潜水記録'!$G$5:$G$3004,$AS429)))</f>
        <v/>
      </c>
      <c r="I429" s="14">
        <f>IF($A429="","",IF(INDEX('潜水記録'!$H$5:$H$3004,$AS429)="","",INDEX('潜水記録'!$H$5:$H$3004,$AS429)))</f>
        <v/>
      </c>
      <c r="J429" s="14">
        <f>IF($A429="","",IF(INDEX('潜水記録'!$I$5:$I$3004,$AS429)="","",INDEX('潜水記録'!$I$5:$I$3004,$AS429)))</f>
        <v/>
      </c>
      <c r="K429" s="14">
        <f>IF($A429="","",IF(INDEX('潜水記録'!$J$5:$J$3004,$AS429)="","",INDEX('潜水記録'!$J$5:$J$3004,$AS429)))</f>
        <v/>
      </c>
      <c r="L429" s="14">
        <f>IF($A429="","",IF(INDEX('潜水記録'!$K$5:$K$3004,$AS429)="","",INDEX('潜水記録'!$K$5:$K$3004,$AS429)))</f>
        <v/>
      </c>
      <c r="M429" s="14">
        <f>IF($A429="","",IF(INDEX('潜水記録'!$L$5:$L$3004,$AS429)="","",INDEX('潜水記録'!$L$5:$L$3004,$AS429)))</f>
        <v/>
      </c>
      <c r="N429" s="14">
        <f>IF($A429="","",IF(INDEX('潜水記録'!$M$5:$M$3004,$AS429)="","",INDEX('潜水記録'!$M$5:$M$3004,$AS429)))</f>
        <v/>
      </c>
      <c r="O429" s="14">
        <f>IF($A429="","",IF(INDEX('潜水記録'!$N$5:$N$3004,$AS429)="","",INDEX('潜水記録'!$N$5:$N$3004,$AS429)))</f>
        <v/>
      </c>
      <c r="P429" s="14">
        <f>IF($A429="","",IF(INDEX('潜水記録'!$O$5:$O$3004,$AS429)="","",INDEX('潜水記録'!$O$5:$O$3004,$AS429)))</f>
        <v/>
      </c>
      <c r="Q429" s="14">
        <f>IF($A429="","",IF(INDEX('潜水記録'!$P$5:$P$3004,$AS429)="","",INDEX('潜水記録'!$P$5:$P$3004,$AS429)))</f>
        <v/>
      </c>
      <c r="R429" s="14">
        <f>IF($A429="","",IF(INDEX('潜水記録'!$Q$5:$Q$3004,$AS429)="","",INDEX('潜水記録'!$Q$5:$Q$3004,$AS429)))</f>
        <v/>
      </c>
      <c r="S429" s="14">
        <f>IF($A429="","",IF(INDEX('潜水記録'!$R$5:$R$3004,$AS429)="","",INDEX('潜水記録'!$R$5:$R$3004,$AS429)))</f>
        <v/>
      </c>
      <c r="T429" s="14">
        <f>IF($A429="","",IF(INDEX('潜水記録'!$S$5:$S$3004,$AS429)="","",INDEX('潜水記録'!$S$5:$S$3004,$AS429)))</f>
        <v/>
      </c>
      <c r="U429" s="14">
        <f>IF($A429="","",IF(INDEX('潜水記録'!$T$5:$T$3004,$AS429)="","",INDEX('潜水記録'!$T$5:$T$3004,$AS429)))</f>
        <v/>
      </c>
      <c r="V429" s="46">
        <f>IF($A429="","",IF(INDEX('潜水記録'!$U$5:$U$3004,$AS429)="","",INDEX('潜水記録'!$U$5:$U$3004,$AS429)))</f>
        <v/>
      </c>
      <c r="W429" s="46">
        <f>IF($A429="","",IF(INDEX('潜水記録'!$V$5:$V$3004,$AS429)="","",INDEX('潜水記録'!$V$5:$V$3004,$AS429)))</f>
        <v/>
      </c>
      <c r="X429" s="14">
        <f>IF($A429="","",IF(INDEX('潜水記録'!$W$5:$W$3004,$AS429)="","",INDEX('潜水記録'!$W$5:$W$3004,$AS429)))</f>
        <v/>
      </c>
      <c r="Y429" s="14">
        <f>IF($A429="","",IF(INDEX('潜水記録'!$X$5:$X$3004,$AS429)="","",INDEX('潜水記録'!$X$5:$X$3004,$AS429)))</f>
        <v/>
      </c>
      <c r="Z429" s="14">
        <f>IF($A429="","",IF(INDEX('潜水記録'!$Y$5:$Y$3004,$AS429)="","",INDEX('潜水記録'!$Y$5:$Y$3004,$AS429)))</f>
        <v/>
      </c>
      <c r="AA429" s="14">
        <f>IF($A429="","",IF(INDEX('潜水記録'!$Z$5:$Z$3004,$AS429)="","",INDEX('潜水記録'!$Z$5:$Z$3004,$AS429)))</f>
        <v/>
      </c>
      <c r="AB429" s="14">
        <f>IF($A429="","",IF(INDEX('潜水記録'!$AA$5:$AA$3004,$AS429)="","",INDEX('潜水記録'!$AA$5:$AA$3004,$AS429)))</f>
        <v/>
      </c>
      <c r="AC429" s="14">
        <f>IF($A429="","",IF(INDEX('潜水記録'!$AB$5:$AB$3004,$AS429)="","",INDEX('潜水記録'!$AB$5:$AB$3004,$AS429)))</f>
        <v/>
      </c>
      <c r="AD429" s="14">
        <f>IF($A429="","",IF(INDEX('潜水記録'!$AC$5:$AC$3004,$AS429)="","",INDEX('潜水記録'!$AC$5:$AC$3004,$AS429)))</f>
        <v/>
      </c>
      <c r="AE429" s="14">
        <f>IF($A429="","",IF(INDEX('潜水記録'!$AD$5:$AD$3004,$AS429)="","",INDEX('潜水記録'!$AD$5:$AD$3004,$AS429)))</f>
        <v/>
      </c>
      <c r="AF429" s="14">
        <f>IF($A429="","",IF(INDEX('潜水記録'!$AE$5:$AE$3004,$AS429)="","",INDEX('潜水記録'!$AE$5:$AE$3004,$AS429)))</f>
        <v/>
      </c>
      <c r="AG429" s="14">
        <f>IF($A429="","",IF(INDEX('潜水記録'!$AL$5:$AL$3004,$AS429)="","",INDEX('潜水記録'!$AL$5:$AL$3004,$AS429)))</f>
        <v/>
      </c>
      <c r="AH429" s="14">
        <f>IF($A429="","",IF(INDEX('潜水記録'!$AM$5:$AM$3004,$AS429)="","",INDEX('潜水記録'!$AM$5:$AM$3004,$AS429)))</f>
        <v/>
      </c>
      <c r="AI429" s="46">
        <f>IF($A429="","",IF(INDEX('潜水記録'!$AN$5:$AN$3004,$AS429)="","",INDEX('潜水記録'!$AN$5:$AN$3004,$AS429)))</f>
        <v/>
      </c>
      <c r="AJ429" s="14">
        <f>IF($A429="","",IF(INDEX('潜水記録'!$AO$5:$AO$3004,$AS429)="","",INDEX('潜水記録'!$AO$5:$AO$3004,$AS429)))</f>
        <v/>
      </c>
      <c r="AK429" s="14">
        <f>IF($A429="","",IF(INDEX('潜水記録'!$AP$5:$AP$3004,$AS429)="","",INDEX('潜水記録'!$AP$5:$AP$3004,$AS429)))</f>
        <v/>
      </c>
      <c r="AL429" s="14">
        <f>IF($A429="","",IF(INDEX('潜水記録'!$AQ$5:$AQ$3004,$AS429)="","",INDEX('潜水記録'!$AQ$5:$AQ$3004,$AS429)))</f>
        <v/>
      </c>
      <c r="AM429" s="14">
        <f>IF($A429="","",IF(INDEX('潜水記録'!$AR$5:$AR$3004,$AS429)="","",INDEX('潜水記録'!$AR$5:$AR$3004,$AS429)))</f>
        <v/>
      </c>
      <c r="AN429" s="14">
        <f>IF($A429="","",IF(INDEX('潜水記録'!$AS$5:$AS$3004,$AS429)="","",INDEX('潜水記録'!$AS$5:$AS$3004,$AS429)))</f>
        <v/>
      </c>
      <c r="AO429" s="14">
        <f>IF($A429="","",IF(INDEX('潜水記録'!$AT$5:$AT$3004,$AS429)="","",INDEX('潜水記録'!$AT$5:$AT$3004,$AS429)))</f>
        <v/>
      </c>
      <c r="AP429" s="14">
        <f>IF($A429="","",IF(INDEX('潜水記録'!$AU$5:$AU$3004,$AS429)="","",INDEX('潜水記録'!$AU$5:$AU$3004,$AS429)))</f>
        <v/>
      </c>
      <c r="AQ429" s="14">
        <f>IF($A429="","",IF(INDEX('潜水記録'!$AV$5:$AV$3004,$AS429)="","",INDEX('潜水記録'!$AV$5:$AV$3004,$AS429)))</f>
        <v/>
      </c>
      <c r="AR429" s="14">
        <f>IF($A429="","",IF(INDEX('潜水記録'!$AW$5:$AW$3004,$AS429)="","",INDEX('潜水記録'!$AW$5:$AW$3004,$AS429)))</f>
        <v/>
      </c>
      <c r="AS429" s="20">
        <f>IF($A429="","",MATCH($A429,'潜水記録'!$AI$5:$AI$3004,0))</f>
        <v/>
      </c>
    </row>
    <row r="430">
      <c r="A430" s="14">
        <f>IF(420&lt;=$C$8,420,"")</f>
        <v/>
      </c>
      <c r="B430" s="16">
        <f>IF($A430="","",IF(INDEX('潜水記録'!$A$5:$A$3004,$AS430)="","",INDEX('潜水記録'!$A$5:$A$3004,$AS430)))</f>
        <v/>
      </c>
      <c r="C430" s="14">
        <f>IF($A430="","",IF(INDEX('潜水記録'!$B$5:$B$3004,$AS430)="","",INDEX('潜水記録'!$B$5:$B$3004,$AS430)))</f>
        <v/>
      </c>
      <c r="D430" s="14">
        <f>IF($A430="","",IF(INDEX('潜水記録'!$C$5:$C$3004,$AS430)="","",INDEX('潜水記録'!$C$5:$C$3004,$AS430)))</f>
        <v/>
      </c>
      <c r="E430" s="14">
        <f>IF($A430="","",IF(INDEX('潜水記録'!$D$5:$D$3004,$AS430)="","",INDEX('潜水記録'!$D$5:$D$3004,$AS430)))</f>
        <v/>
      </c>
      <c r="F430" s="14">
        <f>IF($A430="","",IF(INDEX('潜水記録'!$E$5:$E$3004,$AS430)="","",INDEX('潜水記録'!$E$5:$E$3004,$AS430)))</f>
        <v/>
      </c>
      <c r="G430" s="14">
        <f>IF($A430="","",IF(INDEX('潜水記録'!$F$5:$F$3004,$AS430)="","",INDEX('潜水記録'!$F$5:$F$3004,$AS430)))</f>
        <v/>
      </c>
      <c r="H430" s="14">
        <f>IF($A430="","",IF(INDEX('潜水記録'!$G$5:$G$3004,$AS430)="","",INDEX('潜水記録'!$G$5:$G$3004,$AS430)))</f>
        <v/>
      </c>
      <c r="I430" s="14">
        <f>IF($A430="","",IF(INDEX('潜水記録'!$H$5:$H$3004,$AS430)="","",INDEX('潜水記録'!$H$5:$H$3004,$AS430)))</f>
        <v/>
      </c>
      <c r="J430" s="14">
        <f>IF($A430="","",IF(INDEX('潜水記録'!$I$5:$I$3004,$AS430)="","",INDEX('潜水記録'!$I$5:$I$3004,$AS430)))</f>
        <v/>
      </c>
      <c r="K430" s="14">
        <f>IF($A430="","",IF(INDEX('潜水記録'!$J$5:$J$3004,$AS430)="","",INDEX('潜水記録'!$J$5:$J$3004,$AS430)))</f>
        <v/>
      </c>
      <c r="L430" s="14">
        <f>IF($A430="","",IF(INDEX('潜水記録'!$K$5:$K$3004,$AS430)="","",INDEX('潜水記録'!$K$5:$K$3004,$AS430)))</f>
        <v/>
      </c>
      <c r="M430" s="14">
        <f>IF($A430="","",IF(INDEX('潜水記録'!$L$5:$L$3004,$AS430)="","",INDEX('潜水記録'!$L$5:$L$3004,$AS430)))</f>
        <v/>
      </c>
      <c r="N430" s="14">
        <f>IF($A430="","",IF(INDEX('潜水記録'!$M$5:$M$3004,$AS430)="","",INDEX('潜水記録'!$M$5:$M$3004,$AS430)))</f>
        <v/>
      </c>
      <c r="O430" s="14">
        <f>IF($A430="","",IF(INDEX('潜水記録'!$N$5:$N$3004,$AS430)="","",INDEX('潜水記録'!$N$5:$N$3004,$AS430)))</f>
        <v/>
      </c>
      <c r="P430" s="14">
        <f>IF($A430="","",IF(INDEX('潜水記録'!$O$5:$O$3004,$AS430)="","",INDEX('潜水記録'!$O$5:$O$3004,$AS430)))</f>
        <v/>
      </c>
      <c r="Q430" s="14">
        <f>IF($A430="","",IF(INDEX('潜水記録'!$P$5:$P$3004,$AS430)="","",INDEX('潜水記録'!$P$5:$P$3004,$AS430)))</f>
        <v/>
      </c>
      <c r="R430" s="14">
        <f>IF($A430="","",IF(INDEX('潜水記録'!$Q$5:$Q$3004,$AS430)="","",INDEX('潜水記録'!$Q$5:$Q$3004,$AS430)))</f>
        <v/>
      </c>
      <c r="S430" s="14">
        <f>IF($A430="","",IF(INDEX('潜水記録'!$R$5:$R$3004,$AS430)="","",INDEX('潜水記録'!$R$5:$R$3004,$AS430)))</f>
        <v/>
      </c>
      <c r="T430" s="14">
        <f>IF($A430="","",IF(INDEX('潜水記録'!$S$5:$S$3004,$AS430)="","",INDEX('潜水記録'!$S$5:$S$3004,$AS430)))</f>
        <v/>
      </c>
      <c r="U430" s="14">
        <f>IF($A430="","",IF(INDEX('潜水記録'!$T$5:$T$3004,$AS430)="","",INDEX('潜水記録'!$T$5:$T$3004,$AS430)))</f>
        <v/>
      </c>
      <c r="V430" s="46">
        <f>IF($A430="","",IF(INDEX('潜水記録'!$U$5:$U$3004,$AS430)="","",INDEX('潜水記録'!$U$5:$U$3004,$AS430)))</f>
        <v/>
      </c>
      <c r="W430" s="46">
        <f>IF($A430="","",IF(INDEX('潜水記録'!$V$5:$V$3004,$AS430)="","",INDEX('潜水記録'!$V$5:$V$3004,$AS430)))</f>
        <v/>
      </c>
      <c r="X430" s="14">
        <f>IF($A430="","",IF(INDEX('潜水記録'!$W$5:$W$3004,$AS430)="","",INDEX('潜水記録'!$W$5:$W$3004,$AS430)))</f>
        <v/>
      </c>
      <c r="Y430" s="14">
        <f>IF($A430="","",IF(INDEX('潜水記録'!$X$5:$X$3004,$AS430)="","",INDEX('潜水記録'!$X$5:$X$3004,$AS430)))</f>
        <v/>
      </c>
      <c r="Z430" s="14">
        <f>IF($A430="","",IF(INDEX('潜水記録'!$Y$5:$Y$3004,$AS430)="","",INDEX('潜水記録'!$Y$5:$Y$3004,$AS430)))</f>
        <v/>
      </c>
      <c r="AA430" s="14">
        <f>IF($A430="","",IF(INDEX('潜水記録'!$Z$5:$Z$3004,$AS430)="","",INDEX('潜水記録'!$Z$5:$Z$3004,$AS430)))</f>
        <v/>
      </c>
      <c r="AB430" s="14">
        <f>IF($A430="","",IF(INDEX('潜水記録'!$AA$5:$AA$3004,$AS430)="","",INDEX('潜水記録'!$AA$5:$AA$3004,$AS430)))</f>
        <v/>
      </c>
      <c r="AC430" s="14">
        <f>IF($A430="","",IF(INDEX('潜水記録'!$AB$5:$AB$3004,$AS430)="","",INDEX('潜水記録'!$AB$5:$AB$3004,$AS430)))</f>
        <v/>
      </c>
      <c r="AD430" s="14">
        <f>IF($A430="","",IF(INDEX('潜水記録'!$AC$5:$AC$3004,$AS430)="","",INDEX('潜水記録'!$AC$5:$AC$3004,$AS430)))</f>
        <v/>
      </c>
      <c r="AE430" s="14">
        <f>IF($A430="","",IF(INDEX('潜水記録'!$AD$5:$AD$3004,$AS430)="","",INDEX('潜水記録'!$AD$5:$AD$3004,$AS430)))</f>
        <v/>
      </c>
      <c r="AF430" s="14">
        <f>IF($A430="","",IF(INDEX('潜水記録'!$AE$5:$AE$3004,$AS430)="","",INDEX('潜水記録'!$AE$5:$AE$3004,$AS430)))</f>
        <v/>
      </c>
      <c r="AG430" s="14">
        <f>IF($A430="","",IF(INDEX('潜水記録'!$AL$5:$AL$3004,$AS430)="","",INDEX('潜水記録'!$AL$5:$AL$3004,$AS430)))</f>
        <v/>
      </c>
      <c r="AH430" s="14">
        <f>IF($A430="","",IF(INDEX('潜水記録'!$AM$5:$AM$3004,$AS430)="","",INDEX('潜水記録'!$AM$5:$AM$3004,$AS430)))</f>
        <v/>
      </c>
      <c r="AI430" s="46">
        <f>IF($A430="","",IF(INDEX('潜水記録'!$AN$5:$AN$3004,$AS430)="","",INDEX('潜水記録'!$AN$5:$AN$3004,$AS430)))</f>
        <v/>
      </c>
      <c r="AJ430" s="14">
        <f>IF($A430="","",IF(INDEX('潜水記録'!$AO$5:$AO$3004,$AS430)="","",INDEX('潜水記録'!$AO$5:$AO$3004,$AS430)))</f>
        <v/>
      </c>
      <c r="AK430" s="14">
        <f>IF($A430="","",IF(INDEX('潜水記録'!$AP$5:$AP$3004,$AS430)="","",INDEX('潜水記録'!$AP$5:$AP$3004,$AS430)))</f>
        <v/>
      </c>
      <c r="AL430" s="14">
        <f>IF($A430="","",IF(INDEX('潜水記録'!$AQ$5:$AQ$3004,$AS430)="","",INDEX('潜水記録'!$AQ$5:$AQ$3004,$AS430)))</f>
        <v/>
      </c>
      <c r="AM430" s="14">
        <f>IF($A430="","",IF(INDEX('潜水記録'!$AR$5:$AR$3004,$AS430)="","",INDEX('潜水記録'!$AR$5:$AR$3004,$AS430)))</f>
        <v/>
      </c>
      <c r="AN430" s="14">
        <f>IF($A430="","",IF(INDEX('潜水記録'!$AS$5:$AS$3004,$AS430)="","",INDEX('潜水記録'!$AS$5:$AS$3004,$AS430)))</f>
        <v/>
      </c>
      <c r="AO430" s="14">
        <f>IF($A430="","",IF(INDEX('潜水記録'!$AT$5:$AT$3004,$AS430)="","",INDEX('潜水記録'!$AT$5:$AT$3004,$AS430)))</f>
        <v/>
      </c>
      <c r="AP430" s="14">
        <f>IF($A430="","",IF(INDEX('潜水記録'!$AU$5:$AU$3004,$AS430)="","",INDEX('潜水記録'!$AU$5:$AU$3004,$AS430)))</f>
        <v/>
      </c>
      <c r="AQ430" s="14">
        <f>IF($A430="","",IF(INDEX('潜水記録'!$AV$5:$AV$3004,$AS430)="","",INDEX('潜水記録'!$AV$5:$AV$3004,$AS430)))</f>
        <v/>
      </c>
      <c r="AR430" s="14">
        <f>IF($A430="","",IF(INDEX('潜水記録'!$AW$5:$AW$3004,$AS430)="","",INDEX('潜水記録'!$AW$5:$AW$3004,$AS430)))</f>
        <v/>
      </c>
      <c r="AS430" s="20">
        <f>IF($A430="","",MATCH($A430,'潜水記録'!$AI$5:$AI$3004,0))</f>
        <v/>
      </c>
    </row>
    <row r="431">
      <c r="A431" s="14">
        <f>IF(421&lt;=$C$8,421,"")</f>
        <v/>
      </c>
      <c r="B431" s="16">
        <f>IF($A431="","",IF(INDEX('潜水記録'!$A$5:$A$3004,$AS431)="","",INDEX('潜水記録'!$A$5:$A$3004,$AS431)))</f>
        <v/>
      </c>
      <c r="C431" s="14">
        <f>IF($A431="","",IF(INDEX('潜水記録'!$B$5:$B$3004,$AS431)="","",INDEX('潜水記録'!$B$5:$B$3004,$AS431)))</f>
        <v/>
      </c>
      <c r="D431" s="14">
        <f>IF($A431="","",IF(INDEX('潜水記録'!$C$5:$C$3004,$AS431)="","",INDEX('潜水記録'!$C$5:$C$3004,$AS431)))</f>
        <v/>
      </c>
      <c r="E431" s="14">
        <f>IF($A431="","",IF(INDEX('潜水記録'!$D$5:$D$3004,$AS431)="","",INDEX('潜水記録'!$D$5:$D$3004,$AS431)))</f>
        <v/>
      </c>
      <c r="F431" s="14">
        <f>IF($A431="","",IF(INDEX('潜水記録'!$E$5:$E$3004,$AS431)="","",INDEX('潜水記録'!$E$5:$E$3004,$AS431)))</f>
        <v/>
      </c>
      <c r="G431" s="14">
        <f>IF($A431="","",IF(INDEX('潜水記録'!$F$5:$F$3004,$AS431)="","",INDEX('潜水記録'!$F$5:$F$3004,$AS431)))</f>
        <v/>
      </c>
      <c r="H431" s="14">
        <f>IF($A431="","",IF(INDEX('潜水記録'!$G$5:$G$3004,$AS431)="","",INDEX('潜水記録'!$G$5:$G$3004,$AS431)))</f>
        <v/>
      </c>
      <c r="I431" s="14">
        <f>IF($A431="","",IF(INDEX('潜水記録'!$H$5:$H$3004,$AS431)="","",INDEX('潜水記録'!$H$5:$H$3004,$AS431)))</f>
        <v/>
      </c>
      <c r="J431" s="14">
        <f>IF($A431="","",IF(INDEX('潜水記録'!$I$5:$I$3004,$AS431)="","",INDEX('潜水記録'!$I$5:$I$3004,$AS431)))</f>
        <v/>
      </c>
      <c r="K431" s="14">
        <f>IF($A431="","",IF(INDEX('潜水記録'!$J$5:$J$3004,$AS431)="","",INDEX('潜水記録'!$J$5:$J$3004,$AS431)))</f>
        <v/>
      </c>
      <c r="L431" s="14">
        <f>IF($A431="","",IF(INDEX('潜水記録'!$K$5:$K$3004,$AS431)="","",INDEX('潜水記録'!$K$5:$K$3004,$AS431)))</f>
        <v/>
      </c>
      <c r="M431" s="14">
        <f>IF($A431="","",IF(INDEX('潜水記録'!$L$5:$L$3004,$AS431)="","",INDEX('潜水記録'!$L$5:$L$3004,$AS431)))</f>
        <v/>
      </c>
      <c r="N431" s="14">
        <f>IF($A431="","",IF(INDEX('潜水記録'!$M$5:$M$3004,$AS431)="","",INDEX('潜水記録'!$M$5:$M$3004,$AS431)))</f>
        <v/>
      </c>
      <c r="O431" s="14">
        <f>IF($A431="","",IF(INDEX('潜水記録'!$N$5:$N$3004,$AS431)="","",INDEX('潜水記録'!$N$5:$N$3004,$AS431)))</f>
        <v/>
      </c>
      <c r="P431" s="14">
        <f>IF($A431="","",IF(INDEX('潜水記録'!$O$5:$O$3004,$AS431)="","",INDEX('潜水記録'!$O$5:$O$3004,$AS431)))</f>
        <v/>
      </c>
      <c r="Q431" s="14">
        <f>IF($A431="","",IF(INDEX('潜水記録'!$P$5:$P$3004,$AS431)="","",INDEX('潜水記録'!$P$5:$P$3004,$AS431)))</f>
        <v/>
      </c>
      <c r="R431" s="14">
        <f>IF($A431="","",IF(INDEX('潜水記録'!$Q$5:$Q$3004,$AS431)="","",INDEX('潜水記録'!$Q$5:$Q$3004,$AS431)))</f>
        <v/>
      </c>
      <c r="S431" s="14">
        <f>IF($A431="","",IF(INDEX('潜水記録'!$R$5:$R$3004,$AS431)="","",INDEX('潜水記録'!$R$5:$R$3004,$AS431)))</f>
        <v/>
      </c>
      <c r="T431" s="14">
        <f>IF($A431="","",IF(INDEX('潜水記録'!$S$5:$S$3004,$AS431)="","",INDEX('潜水記録'!$S$5:$S$3004,$AS431)))</f>
        <v/>
      </c>
      <c r="U431" s="14">
        <f>IF($A431="","",IF(INDEX('潜水記録'!$T$5:$T$3004,$AS431)="","",INDEX('潜水記録'!$T$5:$T$3004,$AS431)))</f>
        <v/>
      </c>
      <c r="V431" s="46">
        <f>IF($A431="","",IF(INDEX('潜水記録'!$U$5:$U$3004,$AS431)="","",INDEX('潜水記録'!$U$5:$U$3004,$AS431)))</f>
        <v/>
      </c>
      <c r="W431" s="46">
        <f>IF($A431="","",IF(INDEX('潜水記録'!$V$5:$V$3004,$AS431)="","",INDEX('潜水記録'!$V$5:$V$3004,$AS431)))</f>
        <v/>
      </c>
      <c r="X431" s="14">
        <f>IF($A431="","",IF(INDEX('潜水記録'!$W$5:$W$3004,$AS431)="","",INDEX('潜水記録'!$W$5:$W$3004,$AS431)))</f>
        <v/>
      </c>
      <c r="Y431" s="14">
        <f>IF($A431="","",IF(INDEX('潜水記録'!$X$5:$X$3004,$AS431)="","",INDEX('潜水記録'!$X$5:$X$3004,$AS431)))</f>
        <v/>
      </c>
      <c r="Z431" s="14">
        <f>IF($A431="","",IF(INDEX('潜水記録'!$Y$5:$Y$3004,$AS431)="","",INDEX('潜水記録'!$Y$5:$Y$3004,$AS431)))</f>
        <v/>
      </c>
      <c r="AA431" s="14">
        <f>IF($A431="","",IF(INDEX('潜水記録'!$Z$5:$Z$3004,$AS431)="","",INDEX('潜水記録'!$Z$5:$Z$3004,$AS431)))</f>
        <v/>
      </c>
      <c r="AB431" s="14">
        <f>IF($A431="","",IF(INDEX('潜水記録'!$AA$5:$AA$3004,$AS431)="","",INDEX('潜水記録'!$AA$5:$AA$3004,$AS431)))</f>
        <v/>
      </c>
      <c r="AC431" s="14">
        <f>IF($A431="","",IF(INDEX('潜水記録'!$AB$5:$AB$3004,$AS431)="","",INDEX('潜水記録'!$AB$5:$AB$3004,$AS431)))</f>
        <v/>
      </c>
      <c r="AD431" s="14">
        <f>IF($A431="","",IF(INDEX('潜水記録'!$AC$5:$AC$3004,$AS431)="","",INDEX('潜水記録'!$AC$5:$AC$3004,$AS431)))</f>
        <v/>
      </c>
      <c r="AE431" s="14">
        <f>IF($A431="","",IF(INDEX('潜水記録'!$AD$5:$AD$3004,$AS431)="","",INDEX('潜水記録'!$AD$5:$AD$3004,$AS431)))</f>
        <v/>
      </c>
      <c r="AF431" s="14">
        <f>IF($A431="","",IF(INDEX('潜水記録'!$AE$5:$AE$3004,$AS431)="","",INDEX('潜水記録'!$AE$5:$AE$3004,$AS431)))</f>
        <v/>
      </c>
      <c r="AG431" s="14">
        <f>IF($A431="","",IF(INDEX('潜水記録'!$AL$5:$AL$3004,$AS431)="","",INDEX('潜水記録'!$AL$5:$AL$3004,$AS431)))</f>
        <v/>
      </c>
      <c r="AH431" s="14">
        <f>IF($A431="","",IF(INDEX('潜水記録'!$AM$5:$AM$3004,$AS431)="","",INDEX('潜水記録'!$AM$5:$AM$3004,$AS431)))</f>
        <v/>
      </c>
      <c r="AI431" s="46">
        <f>IF($A431="","",IF(INDEX('潜水記録'!$AN$5:$AN$3004,$AS431)="","",INDEX('潜水記録'!$AN$5:$AN$3004,$AS431)))</f>
        <v/>
      </c>
      <c r="AJ431" s="14">
        <f>IF($A431="","",IF(INDEX('潜水記録'!$AO$5:$AO$3004,$AS431)="","",INDEX('潜水記録'!$AO$5:$AO$3004,$AS431)))</f>
        <v/>
      </c>
      <c r="AK431" s="14">
        <f>IF($A431="","",IF(INDEX('潜水記録'!$AP$5:$AP$3004,$AS431)="","",INDEX('潜水記録'!$AP$5:$AP$3004,$AS431)))</f>
        <v/>
      </c>
      <c r="AL431" s="14">
        <f>IF($A431="","",IF(INDEX('潜水記録'!$AQ$5:$AQ$3004,$AS431)="","",INDEX('潜水記録'!$AQ$5:$AQ$3004,$AS431)))</f>
        <v/>
      </c>
      <c r="AM431" s="14">
        <f>IF($A431="","",IF(INDEX('潜水記録'!$AR$5:$AR$3004,$AS431)="","",INDEX('潜水記録'!$AR$5:$AR$3004,$AS431)))</f>
        <v/>
      </c>
      <c r="AN431" s="14">
        <f>IF($A431="","",IF(INDEX('潜水記録'!$AS$5:$AS$3004,$AS431)="","",INDEX('潜水記録'!$AS$5:$AS$3004,$AS431)))</f>
        <v/>
      </c>
      <c r="AO431" s="14">
        <f>IF($A431="","",IF(INDEX('潜水記録'!$AT$5:$AT$3004,$AS431)="","",INDEX('潜水記録'!$AT$5:$AT$3004,$AS431)))</f>
        <v/>
      </c>
      <c r="AP431" s="14">
        <f>IF($A431="","",IF(INDEX('潜水記録'!$AU$5:$AU$3004,$AS431)="","",INDEX('潜水記録'!$AU$5:$AU$3004,$AS431)))</f>
        <v/>
      </c>
      <c r="AQ431" s="14">
        <f>IF($A431="","",IF(INDEX('潜水記録'!$AV$5:$AV$3004,$AS431)="","",INDEX('潜水記録'!$AV$5:$AV$3004,$AS431)))</f>
        <v/>
      </c>
      <c r="AR431" s="14">
        <f>IF($A431="","",IF(INDEX('潜水記録'!$AW$5:$AW$3004,$AS431)="","",INDEX('潜水記録'!$AW$5:$AW$3004,$AS431)))</f>
        <v/>
      </c>
      <c r="AS431" s="20">
        <f>IF($A431="","",MATCH($A431,'潜水記録'!$AI$5:$AI$3004,0))</f>
        <v/>
      </c>
    </row>
    <row r="432">
      <c r="A432" s="14">
        <f>IF(422&lt;=$C$8,422,"")</f>
        <v/>
      </c>
      <c r="B432" s="16">
        <f>IF($A432="","",IF(INDEX('潜水記録'!$A$5:$A$3004,$AS432)="","",INDEX('潜水記録'!$A$5:$A$3004,$AS432)))</f>
        <v/>
      </c>
      <c r="C432" s="14">
        <f>IF($A432="","",IF(INDEX('潜水記録'!$B$5:$B$3004,$AS432)="","",INDEX('潜水記録'!$B$5:$B$3004,$AS432)))</f>
        <v/>
      </c>
      <c r="D432" s="14">
        <f>IF($A432="","",IF(INDEX('潜水記録'!$C$5:$C$3004,$AS432)="","",INDEX('潜水記録'!$C$5:$C$3004,$AS432)))</f>
        <v/>
      </c>
      <c r="E432" s="14">
        <f>IF($A432="","",IF(INDEX('潜水記録'!$D$5:$D$3004,$AS432)="","",INDEX('潜水記録'!$D$5:$D$3004,$AS432)))</f>
        <v/>
      </c>
      <c r="F432" s="14">
        <f>IF($A432="","",IF(INDEX('潜水記録'!$E$5:$E$3004,$AS432)="","",INDEX('潜水記録'!$E$5:$E$3004,$AS432)))</f>
        <v/>
      </c>
      <c r="G432" s="14">
        <f>IF($A432="","",IF(INDEX('潜水記録'!$F$5:$F$3004,$AS432)="","",INDEX('潜水記録'!$F$5:$F$3004,$AS432)))</f>
        <v/>
      </c>
      <c r="H432" s="14">
        <f>IF($A432="","",IF(INDEX('潜水記録'!$G$5:$G$3004,$AS432)="","",INDEX('潜水記録'!$G$5:$G$3004,$AS432)))</f>
        <v/>
      </c>
      <c r="I432" s="14">
        <f>IF($A432="","",IF(INDEX('潜水記録'!$H$5:$H$3004,$AS432)="","",INDEX('潜水記録'!$H$5:$H$3004,$AS432)))</f>
        <v/>
      </c>
      <c r="J432" s="14">
        <f>IF($A432="","",IF(INDEX('潜水記録'!$I$5:$I$3004,$AS432)="","",INDEX('潜水記録'!$I$5:$I$3004,$AS432)))</f>
        <v/>
      </c>
      <c r="K432" s="14">
        <f>IF($A432="","",IF(INDEX('潜水記録'!$J$5:$J$3004,$AS432)="","",INDEX('潜水記録'!$J$5:$J$3004,$AS432)))</f>
        <v/>
      </c>
      <c r="L432" s="14">
        <f>IF($A432="","",IF(INDEX('潜水記録'!$K$5:$K$3004,$AS432)="","",INDEX('潜水記録'!$K$5:$K$3004,$AS432)))</f>
        <v/>
      </c>
      <c r="M432" s="14">
        <f>IF($A432="","",IF(INDEX('潜水記録'!$L$5:$L$3004,$AS432)="","",INDEX('潜水記録'!$L$5:$L$3004,$AS432)))</f>
        <v/>
      </c>
      <c r="N432" s="14">
        <f>IF($A432="","",IF(INDEX('潜水記録'!$M$5:$M$3004,$AS432)="","",INDEX('潜水記録'!$M$5:$M$3004,$AS432)))</f>
        <v/>
      </c>
      <c r="O432" s="14">
        <f>IF($A432="","",IF(INDEX('潜水記録'!$N$5:$N$3004,$AS432)="","",INDEX('潜水記録'!$N$5:$N$3004,$AS432)))</f>
        <v/>
      </c>
      <c r="P432" s="14">
        <f>IF($A432="","",IF(INDEX('潜水記録'!$O$5:$O$3004,$AS432)="","",INDEX('潜水記録'!$O$5:$O$3004,$AS432)))</f>
        <v/>
      </c>
      <c r="Q432" s="14">
        <f>IF($A432="","",IF(INDEX('潜水記録'!$P$5:$P$3004,$AS432)="","",INDEX('潜水記録'!$P$5:$P$3004,$AS432)))</f>
        <v/>
      </c>
      <c r="R432" s="14">
        <f>IF($A432="","",IF(INDEX('潜水記録'!$Q$5:$Q$3004,$AS432)="","",INDEX('潜水記録'!$Q$5:$Q$3004,$AS432)))</f>
        <v/>
      </c>
      <c r="S432" s="14">
        <f>IF($A432="","",IF(INDEX('潜水記録'!$R$5:$R$3004,$AS432)="","",INDEX('潜水記録'!$R$5:$R$3004,$AS432)))</f>
        <v/>
      </c>
      <c r="T432" s="14">
        <f>IF($A432="","",IF(INDEX('潜水記録'!$S$5:$S$3004,$AS432)="","",INDEX('潜水記録'!$S$5:$S$3004,$AS432)))</f>
        <v/>
      </c>
      <c r="U432" s="14">
        <f>IF($A432="","",IF(INDEX('潜水記録'!$T$5:$T$3004,$AS432)="","",INDEX('潜水記録'!$T$5:$T$3004,$AS432)))</f>
        <v/>
      </c>
      <c r="V432" s="46">
        <f>IF($A432="","",IF(INDEX('潜水記録'!$U$5:$U$3004,$AS432)="","",INDEX('潜水記録'!$U$5:$U$3004,$AS432)))</f>
        <v/>
      </c>
      <c r="W432" s="46">
        <f>IF($A432="","",IF(INDEX('潜水記録'!$V$5:$V$3004,$AS432)="","",INDEX('潜水記録'!$V$5:$V$3004,$AS432)))</f>
        <v/>
      </c>
      <c r="X432" s="14">
        <f>IF($A432="","",IF(INDEX('潜水記録'!$W$5:$W$3004,$AS432)="","",INDEX('潜水記録'!$W$5:$W$3004,$AS432)))</f>
        <v/>
      </c>
      <c r="Y432" s="14">
        <f>IF($A432="","",IF(INDEX('潜水記録'!$X$5:$X$3004,$AS432)="","",INDEX('潜水記録'!$X$5:$X$3004,$AS432)))</f>
        <v/>
      </c>
      <c r="Z432" s="14">
        <f>IF($A432="","",IF(INDEX('潜水記録'!$Y$5:$Y$3004,$AS432)="","",INDEX('潜水記録'!$Y$5:$Y$3004,$AS432)))</f>
        <v/>
      </c>
      <c r="AA432" s="14">
        <f>IF($A432="","",IF(INDEX('潜水記録'!$Z$5:$Z$3004,$AS432)="","",INDEX('潜水記録'!$Z$5:$Z$3004,$AS432)))</f>
        <v/>
      </c>
      <c r="AB432" s="14">
        <f>IF($A432="","",IF(INDEX('潜水記録'!$AA$5:$AA$3004,$AS432)="","",INDEX('潜水記録'!$AA$5:$AA$3004,$AS432)))</f>
        <v/>
      </c>
      <c r="AC432" s="14">
        <f>IF($A432="","",IF(INDEX('潜水記録'!$AB$5:$AB$3004,$AS432)="","",INDEX('潜水記録'!$AB$5:$AB$3004,$AS432)))</f>
        <v/>
      </c>
      <c r="AD432" s="14">
        <f>IF($A432="","",IF(INDEX('潜水記録'!$AC$5:$AC$3004,$AS432)="","",INDEX('潜水記録'!$AC$5:$AC$3004,$AS432)))</f>
        <v/>
      </c>
      <c r="AE432" s="14">
        <f>IF($A432="","",IF(INDEX('潜水記録'!$AD$5:$AD$3004,$AS432)="","",INDEX('潜水記録'!$AD$5:$AD$3004,$AS432)))</f>
        <v/>
      </c>
      <c r="AF432" s="14">
        <f>IF($A432="","",IF(INDEX('潜水記録'!$AE$5:$AE$3004,$AS432)="","",INDEX('潜水記録'!$AE$5:$AE$3004,$AS432)))</f>
        <v/>
      </c>
      <c r="AG432" s="14">
        <f>IF($A432="","",IF(INDEX('潜水記録'!$AL$5:$AL$3004,$AS432)="","",INDEX('潜水記録'!$AL$5:$AL$3004,$AS432)))</f>
        <v/>
      </c>
      <c r="AH432" s="14">
        <f>IF($A432="","",IF(INDEX('潜水記録'!$AM$5:$AM$3004,$AS432)="","",INDEX('潜水記録'!$AM$5:$AM$3004,$AS432)))</f>
        <v/>
      </c>
      <c r="AI432" s="46">
        <f>IF($A432="","",IF(INDEX('潜水記録'!$AN$5:$AN$3004,$AS432)="","",INDEX('潜水記録'!$AN$5:$AN$3004,$AS432)))</f>
        <v/>
      </c>
      <c r="AJ432" s="14">
        <f>IF($A432="","",IF(INDEX('潜水記録'!$AO$5:$AO$3004,$AS432)="","",INDEX('潜水記録'!$AO$5:$AO$3004,$AS432)))</f>
        <v/>
      </c>
      <c r="AK432" s="14">
        <f>IF($A432="","",IF(INDEX('潜水記録'!$AP$5:$AP$3004,$AS432)="","",INDEX('潜水記録'!$AP$5:$AP$3004,$AS432)))</f>
        <v/>
      </c>
      <c r="AL432" s="14">
        <f>IF($A432="","",IF(INDEX('潜水記録'!$AQ$5:$AQ$3004,$AS432)="","",INDEX('潜水記録'!$AQ$5:$AQ$3004,$AS432)))</f>
        <v/>
      </c>
      <c r="AM432" s="14">
        <f>IF($A432="","",IF(INDEX('潜水記録'!$AR$5:$AR$3004,$AS432)="","",INDEX('潜水記録'!$AR$5:$AR$3004,$AS432)))</f>
        <v/>
      </c>
      <c r="AN432" s="14">
        <f>IF($A432="","",IF(INDEX('潜水記録'!$AS$5:$AS$3004,$AS432)="","",INDEX('潜水記録'!$AS$5:$AS$3004,$AS432)))</f>
        <v/>
      </c>
      <c r="AO432" s="14">
        <f>IF($A432="","",IF(INDEX('潜水記録'!$AT$5:$AT$3004,$AS432)="","",INDEX('潜水記録'!$AT$5:$AT$3004,$AS432)))</f>
        <v/>
      </c>
      <c r="AP432" s="14">
        <f>IF($A432="","",IF(INDEX('潜水記録'!$AU$5:$AU$3004,$AS432)="","",INDEX('潜水記録'!$AU$5:$AU$3004,$AS432)))</f>
        <v/>
      </c>
      <c r="AQ432" s="14">
        <f>IF($A432="","",IF(INDEX('潜水記録'!$AV$5:$AV$3004,$AS432)="","",INDEX('潜水記録'!$AV$5:$AV$3004,$AS432)))</f>
        <v/>
      </c>
      <c r="AR432" s="14">
        <f>IF($A432="","",IF(INDEX('潜水記録'!$AW$5:$AW$3004,$AS432)="","",INDEX('潜水記録'!$AW$5:$AW$3004,$AS432)))</f>
        <v/>
      </c>
      <c r="AS432" s="20">
        <f>IF($A432="","",MATCH($A432,'潜水記録'!$AI$5:$AI$3004,0))</f>
        <v/>
      </c>
    </row>
    <row r="433">
      <c r="A433" s="14">
        <f>IF(423&lt;=$C$8,423,"")</f>
        <v/>
      </c>
      <c r="B433" s="16">
        <f>IF($A433="","",IF(INDEX('潜水記録'!$A$5:$A$3004,$AS433)="","",INDEX('潜水記録'!$A$5:$A$3004,$AS433)))</f>
        <v/>
      </c>
      <c r="C433" s="14">
        <f>IF($A433="","",IF(INDEX('潜水記録'!$B$5:$B$3004,$AS433)="","",INDEX('潜水記録'!$B$5:$B$3004,$AS433)))</f>
        <v/>
      </c>
      <c r="D433" s="14">
        <f>IF($A433="","",IF(INDEX('潜水記録'!$C$5:$C$3004,$AS433)="","",INDEX('潜水記録'!$C$5:$C$3004,$AS433)))</f>
        <v/>
      </c>
      <c r="E433" s="14">
        <f>IF($A433="","",IF(INDEX('潜水記録'!$D$5:$D$3004,$AS433)="","",INDEX('潜水記録'!$D$5:$D$3004,$AS433)))</f>
        <v/>
      </c>
      <c r="F433" s="14">
        <f>IF($A433="","",IF(INDEX('潜水記録'!$E$5:$E$3004,$AS433)="","",INDEX('潜水記録'!$E$5:$E$3004,$AS433)))</f>
        <v/>
      </c>
      <c r="G433" s="14">
        <f>IF($A433="","",IF(INDEX('潜水記録'!$F$5:$F$3004,$AS433)="","",INDEX('潜水記録'!$F$5:$F$3004,$AS433)))</f>
        <v/>
      </c>
      <c r="H433" s="14">
        <f>IF($A433="","",IF(INDEX('潜水記録'!$G$5:$G$3004,$AS433)="","",INDEX('潜水記録'!$G$5:$G$3004,$AS433)))</f>
        <v/>
      </c>
      <c r="I433" s="14">
        <f>IF($A433="","",IF(INDEX('潜水記録'!$H$5:$H$3004,$AS433)="","",INDEX('潜水記録'!$H$5:$H$3004,$AS433)))</f>
        <v/>
      </c>
      <c r="J433" s="14">
        <f>IF($A433="","",IF(INDEX('潜水記録'!$I$5:$I$3004,$AS433)="","",INDEX('潜水記録'!$I$5:$I$3004,$AS433)))</f>
        <v/>
      </c>
      <c r="K433" s="14">
        <f>IF($A433="","",IF(INDEX('潜水記録'!$J$5:$J$3004,$AS433)="","",INDEX('潜水記録'!$J$5:$J$3004,$AS433)))</f>
        <v/>
      </c>
      <c r="L433" s="14">
        <f>IF($A433="","",IF(INDEX('潜水記録'!$K$5:$K$3004,$AS433)="","",INDEX('潜水記録'!$K$5:$K$3004,$AS433)))</f>
        <v/>
      </c>
      <c r="M433" s="14">
        <f>IF($A433="","",IF(INDEX('潜水記録'!$L$5:$L$3004,$AS433)="","",INDEX('潜水記録'!$L$5:$L$3004,$AS433)))</f>
        <v/>
      </c>
      <c r="N433" s="14">
        <f>IF($A433="","",IF(INDEX('潜水記録'!$M$5:$M$3004,$AS433)="","",INDEX('潜水記録'!$M$5:$M$3004,$AS433)))</f>
        <v/>
      </c>
      <c r="O433" s="14">
        <f>IF($A433="","",IF(INDEX('潜水記録'!$N$5:$N$3004,$AS433)="","",INDEX('潜水記録'!$N$5:$N$3004,$AS433)))</f>
        <v/>
      </c>
      <c r="P433" s="14">
        <f>IF($A433="","",IF(INDEX('潜水記録'!$O$5:$O$3004,$AS433)="","",INDEX('潜水記録'!$O$5:$O$3004,$AS433)))</f>
        <v/>
      </c>
      <c r="Q433" s="14">
        <f>IF($A433="","",IF(INDEX('潜水記録'!$P$5:$P$3004,$AS433)="","",INDEX('潜水記録'!$P$5:$P$3004,$AS433)))</f>
        <v/>
      </c>
      <c r="R433" s="14">
        <f>IF($A433="","",IF(INDEX('潜水記録'!$Q$5:$Q$3004,$AS433)="","",INDEX('潜水記録'!$Q$5:$Q$3004,$AS433)))</f>
        <v/>
      </c>
      <c r="S433" s="14">
        <f>IF($A433="","",IF(INDEX('潜水記録'!$R$5:$R$3004,$AS433)="","",INDEX('潜水記録'!$R$5:$R$3004,$AS433)))</f>
        <v/>
      </c>
      <c r="T433" s="14">
        <f>IF($A433="","",IF(INDEX('潜水記録'!$S$5:$S$3004,$AS433)="","",INDEX('潜水記録'!$S$5:$S$3004,$AS433)))</f>
        <v/>
      </c>
      <c r="U433" s="14">
        <f>IF($A433="","",IF(INDEX('潜水記録'!$T$5:$T$3004,$AS433)="","",INDEX('潜水記録'!$T$5:$T$3004,$AS433)))</f>
        <v/>
      </c>
      <c r="V433" s="46">
        <f>IF($A433="","",IF(INDEX('潜水記録'!$U$5:$U$3004,$AS433)="","",INDEX('潜水記録'!$U$5:$U$3004,$AS433)))</f>
        <v/>
      </c>
      <c r="W433" s="46">
        <f>IF($A433="","",IF(INDEX('潜水記録'!$V$5:$V$3004,$AS433)="","",INDEX('潜水記録'!$V$5:$V$3004,$AS433)))</f>
        <v/>
      </c>
      <c r="X433" s="14">
        <f>IF($A433="","",IF(INDEX('潜水記録'!$W$5:$W$3004,$AS433)="","",INDEX('潜水記録'!$W$5:$W$3004,$AS433)))</f>
        <v/>
      </c>
      <c r="Y433" s="14">
        <f>IF($A433="","",IF(INDEX('潜水記録'!$X$5:$X$3004,$AS433)="","",INDEX('潜水記録'!$X$5:$X$3004,$AS433)))</f>
        <v/>
      </c>
      <c r="Z433" s="14">
        <f>IF($A433="","",IF(INDEX('潜水記録'!$Y$5:$Y$3004,$AS433)="","",INDEX('潜水記録'!$Y$5:$Y$3004,$AS433)))</f>
        <v/>
      </c>
      <c r="AA433" s="14">
        <f>IF($A433="","",IF(INDEX('潜水記録'!$Z$5:$Z$3004,$AS433)="","",INDEX('潜水記録'!$Z$5:$Z$3004,$AS433)))</f>
        <v/>
      </c>
      <c r="AB433" s="14">
        <f>IF($A433="","",IF(INDEX('潜水記録'!$AA$5:$AA$3004,$AS433)="","",INDEX('潜水記録'!$AA$5:$AA$3004,$AS433)))</f>
        <v/>
      </c>
      <c r="AC433" s="14">
        <f>IF($A433="","",IF(INDEX('潜水記録'!$AB$5:$AB$3004,$AS433)="","",INDEX('潜水記録'!$AB$5:$AB$3004,$AS433)))</f>
        <v/>
      </c>
      <c r="AD433" s="14">
        <f>IF($A433="","",IF(INDEX('潜水記録'!$AC$5:$AC$3004,$AS433)="","",INDEX('潜水記録'!$AC$5:$AC$3004,$AS433)))</f>
        <v/>
      </c>
      <c r="AE433" s="14">
        <f>IF($A433="","",IF(INDEX('潜水記録'!$AD$5:$AD$3004,$AS433)="","",INDEX('潜水記録'!$AD$5:$AD$3004,$AS433)))</f>
        <v/>
      </c>
      <c r="AF433" s="14">
        <f>IF($A433="","",IF(INDEX('潜水記録'!$AE$5:$AE$3004,$AS433)="","",INDEX('潜水記録'!$AE$5:$AE$3004,$AS433)))</f>
        <v/>
      </c>
      <c r="AG433" s="14">
        <f>IF($A433="","",IF(INDEX('潜水記録'!$AL$5:$AL$3004,$AS433)="","",INDEX('潜水記録'!$AL$5:$AL$3004,$AS433)))</f>
        <v/>
      </c>
      <c r="AH433" s="14">
        <f>IF($A433="","",IF(INDEX('潜水記録'!$AM$5:$AM$3004,$AS433)="","",INDEX('潜水記録'!$AM$5:$AM$3004,$AS433)))</f>
        <v/>
      </c>
      <c r="AI433" s="46">
        <f>IF($A433="","",IF(INDEX('潜水記録'!$AN$5:$AN$3004,$AS433)="","",INDEX('潜水記録'!$AN$5:$AN$3004,$AS433)))</f>
        <v/>
      </c>
      <c r="AJ433" s="14">
        <f>IF($A433="","",IF(INDEX('潜水記録'!$AO$5:$AO$3004,$AS433)="","",INDEX('潜水記録'!$AO$5:$AO$3004,$AS433)))</f>
        <v/>
      </c>
      <c r="AK433" s="14">
        <f>IF($A433="","",IF(INDEX('潜水記録'!$AP$5:$AP$3004,$AS433)="","",INDEX('潜水記録'!$AP$5:$AP$3004,$AS433)))</f>
        <v/>
      </c>
      <c r="AL433" s="14">
        <f>IF($A433="","",IF(INDEX('潜水記録'!$AQ$5:$AQ$3004,$AS433)="","",INDEX('潜水記録'!$AQ$5:$AQ$3004,$AS433)))</f>
        <v/>
      </c>
      <c r="AM433" s="14">
        <f>IF($A433="","",IF(INDEX('潜水記録'!$AR$5:$AR$3004,$AS433)="","",INDEX('潜水記録'!$AR$5:$AR$3004,$AS433)))</f>
        <v/>
      </c>
      <c r="AN433" s="14">
        <f>IF($A433="","",IF(INDEX('潜水記録'!$AS$5:$AS$3004,$AS433)="","",INDEX('潜水記録'!$AS$5:$AS$3004,$AS433)))</f>
        <v/>
      </c>
      <c r="AO433" s="14">
        <f>IF($A433="","",IF(INDEX('潜水記録'!$AT$5:$AT$3004,$AS433)="","",INDEX('潜水記録'!$AT$5:$AT$3004,$AS433)))</f>
        <v/>
      </c>
      <c r="AP433" s="14">
        <f>IF($A433="","",IF(INDEX('潜水記録'!$AU$5:$AU$3004,$AS433)="","",INDEX('潜水記録'!$AU$5:$AU$3004,$AS433)))</f>
        <v/>
      </c>
      <c r="AQ433" s="14">
        <f>IF($A433="","",IF(INDEX('潜水記録'!$AV$5:$AV$3004,$AS433)="","",INDEX('潜水記録'!$AV$5:$AV$3004,$AS433)))</f>
        <v/>
      </c>
      <c r="AR433" s="14">
        <f>IF($A433="","",IF(INDEX('潜水記録'!$AW$5:$AW$3004,$AS433)="","",INDEX('潜水記録'!$AW$5:$AW$3004,$AS433)))</f>
        <v/>
      </c>
      <c r="AS433" s="20">
        <f>IF($A433="","",MATCH($A433,'潜水記録'!$AI$5:$AI$3004,0))</f>
        <v/>
      </c>
    </row>
    <row r="434">
      <c r="A434" s="14">
        <f>IF(424&lt;=$C$8,424,"")</f>
        <v/>
      </c>
      <c r="B434" s="16">
        <f>IF($A434="","",IF(INDEX('潜水記録'!$A$5:$A$3004,$AS434)="","",INDEX('潜水記録'!$A$5:$A$3004,$AS434)))</f>
        <v/>
      </c>
      <c r="C434" s="14">
        <f>IF($A434="","",IF(INDEX('潜水記録'!$B$5:$B$3004,$AS434)="","",INDEX('潜水記録'!$B$5:$B$3004,$AS434)))</f>
        <v/>
      </c>
      <c r="D434" s="14">
        <f>IF($A434="","",IF(INDEX('潜水記録'!$C$5:$C$3004,$AS434)="","",INDEX('潜水記録'!$C$5:$C$3004,$AS434)))</f>
        <v/>
      </c>
      <c r="E434" s="14">
        <f>IF($A434="","",IF(INDEX('潜水記録'!$D$5:$D$3004,$AS434)="","",INDEX('潜水記録'!$D$5:$D$3004,$AS434)))</f>
        <v/>
      </c>
      <c r="F434" s="14">
        <f>IF($A434="","",IF(INDEX('潜水記録'!$E$5:$E$3004,$AS434)="","",INDEX('潜水記録'!$E$5:$E$3004,$AS434)))</f>
        <v/>
      </c>
      <c r="G434" s="14">
        <f>IF($A434="","",IF(INDEX('潜水記録'!$F$5:$F$3004,$AS434)="","",INDEX('潜水記録'!$F$5:$F$3004,$AS434)))</f>
        <v/>
      </c>
      <c r="H434" s="14">
        <f>IF($A434="","",IF(INDEX('潜水記録'!$G$5:$G$3004,$AS434)="","",INDEX('潜水記録'!$G$5:$G$3004,$AS434)))</f>
        <v/>
      </c>
      <c r="I434" s="14">
        <f>IF($A434="","",IF(INDEX('潜水記録'!$H$5:$H$3004,$AS434)="","",INDEX('潜水記録'!$H$5:$H$3004,$AS434)))</f>
        <v/>
      </c>
      <c r="J434" s="14">
        <f>IF($A434="","",IF(INDEX('潜水記録'!$I$5:$I$3004,$AS434)="","",INDEX('潜水記録'!$I$5:$I$3004,$AS434)))</f>
        <v/>
      </c>
      <c r="K434" s="14">
        <f>IF($A434="","",IF(INDEX('潜水記録'!$J$5:$J$3004,$AS434)="","",INDEX('潜水記録'!$J$5:$J$3004,$AS434)))</f>
        <v/>
      </c>
      <c r="L434" s="14">
        <f>IF($A434="","",IF(INDEX('潜水記録'!$K$5:$K$3004,$AS434)="","",INDEX('潜水記録'!$K$5:$K$3004,$AS434)))</f>
        <v/>
      </c>
      <c r="M434" s="14">
        <f>IF($A434="","",IF(INDEX('潜水記録'!$L$5:$L$3004,$AS434)="","",INDEX('潜水記録'!$L$5:$L$3004,$AS434)))</f>
        <v/>
      </c>
      <c r="N434" s="14">
        <f>IF($A434="","",IF(INDEX('潜水記録'!$M$5:$M$3004,$AS434)="","",INDEX('潜水記録'!$M$5:$M$3004,$AS434)))</f>
        <v/>
      </c>
      <c r="O434" s="14">
        <f>IF($A434="","",IF(INDEX('潜水記録'!$N$5:$N$3004,$AS434)="","",INDEX('潜水記録'!$N$5:$N$3004,$AS434)))</f>
        <v/>
      </c>
      <c r="P434" s="14">
        <f>IF($A434="","",IF(INDEX('潜水記録'!$O$5:$O$3004,$AS434)="","",INDEX('潜水記録'!$O$5:$O$3004,$AS434)))</f>
        <v/>
      </c>
      <c r="Q434" s="14">
        <f>IF($A434="","",IF(INDEX('潜水記録'!$P$5:$P$3004,$AS434)="","",INDEX('潜水記録'!$P$5:$P$3004,$AS434)))</f>
        <v/>
      </c>
      <c r="R434" s="14">
        <f>IF($A434="","",IF(INDEX('潜水記録'!$Q$5:$Q$3004,$AS434)="","",INDEX('潜水記録'!$Q$5:$Q$3004,$AS434)))</f>
        <v/>
      </c>
      <c r="S434" s="14">
        <f>IF($A434="","",IF(INDEX('潜水記録'!$R$5:$R$3004,$AS434)="","",INDEX('潜水記録'!$R$5:$R$3004,$AS434)))</f>
        <v/>
      </c>
      <c r="T434" s="14">
        <f>IF($A434="","",IF(INDEX('潜水記録'!$S$5:$S$3004,$AS434)="","",INDEX('潜水記録'!$S$5:$S$3004,$AS434)))</f>
        <v/>
      </c>
      <c r="U434" s="14">
        <f>IF($A434="","",IF(INDEX('潜水記録'!$T$5:$T$3004,$AS434)="","",INDEX('潜水記録'!$T$5:$T$3004,$AS434)))</f>
        <v/>
      </c>
      <c r="V434" s="46">
        <f>IF($A434="","",IF(INDEX('潜水記録'!$U$5:$U$3004,$AS434)="","",INDEX('潜水記録'!$U$5:$U$3004,$AS434)))</f>
        <v/>
      </c>
      <c r="W434" s="46">
        <f>IF($A434="","",IF(INDEX('潜水記録'!$V$5:$V$3004,$AS434)="","",INDEX('潜水記録'!$V$5:$V$3004,$AS434)))</f>
        <v/>
      </c>
      <c r="X434" s="14">
        <f>IF($A434="","",IF(INDEX('潜水記録'!$W$5:$W$3004,$AS434)="","",INDEX('潜水記録'!$W$5:$W$3004,$AS434)))</f>
        <v/>
      </c>
      <c r="Y434" s="14">
        <f>IF($A434="","",IF(INDEX('潜水記録'!$X$5:$X$3004,$AS434)="","",INDEX('潜水記録'!$X$5:$X$3004,$AS434)))</f>
        <v/>
      </c>
      <c r="Z434" s="14">
        <f>IF($A434="","",IF(INDEX('潜水記録'!$Y$5:$Y$3004,$AS434)="","",INDEX('潜水記録'!$Y$5:$Y$3004,$AS434)))</f>
        <v/>
      </c>
      <c r="AA434" s="14">
        <f>IF($A434="","",IF(INDEX('潜水記録'!$Z$5:$Z$3004,$AS434)="","",INDEX('潜水記録'!$Z$5:$Z$3004,$AS434)))</f>
        <v/>
      </c>
      <c r="AB434" s="14">
        <f>IF($A434="","",IF(INDEX('潜水記録'!$AA$5:$AA$3004,$AS434)="","",INDEX('潜水記録'!$AA$5:$AA$3004,$AS434)))</f>
        <v/>
      </c>
      <c r="AC434" s="14">
        <f>IF($A434="","",IF(INDEX('潜水記録'!$AB$5:$AB$3004,$AS434)="","",INDEX('潜水記録'!$AB$5:$AB$3004,$AS434)))</f>
        <v/>
      </c>
      <c r="AD434" s="14">
        <f>IF($A434="","",IF(INDEX('潜水記録'!$AC$5:$AC$3004,$AS434)="","",INDEX('潜水記録'!$AC$5:$AC$3004,$AS434)))</f>
        <v/>
      </c>
      <c r="AE434" s="14">
        <f>IF($A434="","",IF(INDEX('潜水記録'!$AD$5:$AD$3004,$AS434)="","",INDEX('潜水記録'!$AD$5:$AD$3004,$AS434)))</f>
        <v/>
      </c>
      <c r="AF434" s="14">
        <f>IF($A434="","",IF(INDEX('潜水記録'!$AE$5:$AE$3004,$AS434)="","",INDEX('潜水記録'!$AE$5:$AE$3004,$AS434)))</f>
        <v/>
      </c>
      <c r="AG434" s="14">
        <f>IF($A434="","",IF(INDEX('潜水記録'!$AL$5:$AL$3004,$AS434)="","",INDEX('潜水記録'!$AL$5:$AL$3004,$AS434)))</f>
        <v/>
      </c>
      <c r="AH434" s="14">
        <f>IF($A434="","",IF(INDEX('潜水記録'!$AM$5:$AM$3004,$AS434)="","",INDEX('潜水記録'!$AM$5:$AM$3004,$AS434)))</f>
        <v/>
      </c>
      <c r="AI434" s="46">
        <f>IF($A434="","",IF(INDEX('潜水記録'!$AN$5:$AN$3004,$AS434)="","",INDEX('潜水記録'!$AN$5:$AN$3004,$AS434)))</f>
        <v/>
      </c>
      <c r="AJ434" s="14">
        <f>IF($A434="","",IF(INDEX('潜水記録'!$AO$5:$AO$3004,$AS434)="","",INDEX('潜水記録'!$AO$5:$AO$3004,$AS434)))</f>
        <v/>
      </c>
      <c r="AK434" s="14">
        <f>IF($A434="","",IF(INDEX('潜水記録'!$AP$5:$AP$3004,$AS434)="","",INDEX('潜水記録'!$AP$5:$AP$3004,$AS434)))</f>
        <v/>
      </c>
      <c r="AL434" s="14">
        <f>IF($A434="","",IF(INDEX('潜水記録'!$AQ$5:$AQ$3004,$AS434)="","",INDEX('潜水記録'!$AQ$5:$AQ$3004,$AS434)))</f>
        <v/>
      </c>
      <c r="AM434" s="14">
        <f>IF($A434="","",IF(INDEX('潜水記録'!$AR$5:$AR$3004,$AS434)="","",INDEX('潜水記録'!$AR$5:$AR$3004,$AS434)))</f>
        <v/>
      </c>
      <c r="AN434" s="14">
        <f>IF($A434="","",IF(INDEX('潜水記録'!$AS$5:$AS$3004,$AS434)="","",INDEX('潜水記録'!$AS$5:$AS$3004,$AS434)))</f>
        <v/>
      </c>
      <c r="AO434" s="14">
        <f>IF($A434="","",IF(INDEX('潜水記録'!$AT$5:$AT$3004,$AS434)="","",INDEX('潜水記録'!$AT$5:$AT$3004,$AS434)))</f>
        <v/>
      </c>
      <c r="AP434" s="14">
        <f>IF($A434="","",IF(INDEX('潜水記録'!$AU$5:$AU$3004,$AS434)="","",INDEX('潜水記録'!$AU$5:$AU$3004,$AS434)))</f>
        <v/>
      </c>
      <c r="AQ434" s="14">
        <f>IF($A434="","",IF(INDEX('潜水記録'!$AV$5:$AV$3004,$AS434)="","",INDEX('潜水記録'!$AV$5:$AV$3004,$AS434)))</f>
        <v/>
      </c>
      <c r="AR434" s="14">
        <f>IF($A434="","",IF(INDEX('潜水記録'!$AW$5:$AW$3004,$AS434)="","",INDEX('潜水記録'!$AW$5:$AW$3004,$AS434)))</f>
        <v/>
      </c>
      <c r="AS434" s="20">
        <f>IF($A434="","",MATCH($A434,'潜水記録'!$AI$5:$AI$3004,0))</f>
        <v/>
      </c>
    </row>
    <row r="435">
      <c r="A435" s="14">
        <f>IF(425&lt;=$C$8,425,"")</f>
        <v/>
      </c>
      <c r="B435" s="16">
        <f>IF($A435="","",IF(INDEX('潜水記録'!$A$5:$A$3004,$AS435)="","",INDEX('潜水記録'!$A$5:$A$3004,$AS435)))</f>
        <v/>
      </c>
      <c r="C435" s="14">
        <f>IF($A435="","",IF(INDEX('潜水記録'!$B$5:$B$3004,$AS435)="","",INDEX('潜水記録'!$B$5:$B$3004,$AS435)))</f>
        <v/>
      </c>
      <c r="D435" s="14">
        <f>IF($A435="","",IF(INDEX('潜水記録'!$C$5:$C$3004,$AS435)="","",INDEX('潜水記録'!$C$5:$C$3004,$AS435)))</f>
        <v/>
      </c>
      <c r="E435" s="14">
        <f>IF($A435="","",IF(INDEX('潜水記録'!$D$5:$D$3004,$AS435)="","",INDEX('潜水記録'!$D$5:$D$3004,$AS435)))</f>
        <v/>
      </c>
      <c r="F435" s="14">
        <f>IF($A435="","",IF(INDEX('潜水記録'!$E$5:$E$3004,$AS435)="","",INDEX('潜水記録'!$E$5:$E$3004,$AS435)))</f>
        <v/>
      </c>
      <c r="G435" s="14">
        <f>IF($A435="","",IF(INDEX('潜水記録'!$F$5:$F$3004,$AS435)="","",INDEX('潜水記録'!$F$5:$F$3004,$AS435)))</f>
        <v/>
      </c>
      <c r="H435" s="14">
        <f>IF($A435="","",IF(INDEX('潜水記録'!$G$5:$G$3004,$AS435)="","",INDEX('潜水記録'!$G$5:$G$3004,$AS435)))</f>
        <v/>
      </c>
      <c r="I435" s="14">
        <f>IF($A435="","",IF(INDEX('潜水記録'!$H$5:$H$3004,$AS435)="","",INDEX('潜水記録'!$H$5:$H$3004,$AS435)))</f>
        <v/>
      </c>
      <c r="J435" s="14">
        <f>IF($A435="","",IF(INDEX('潜水記録'!$I$5:$I$3004,$AS435)="","",INDEX('潜水記録'!$I$5:$I$3004,$AS435)))</f>
        <v/>
      </c>
      <c r="K435" s="14">
        <f>IF($A435="","",IF(INDEX('潜水記録'!$J$5:$J$3004,$AS435)="","",INDEX('潜水記録'!$J$5:$J$3004,$AS435)))</f>
        <v/>
      </c>
      <c r="L435" s="14">
        <f>IF($A435="","",IF(INDEX('潜水記録'!$K$5:$K$3004,$AS435)="","",INDEX('潜水記録'!$K$5:$K$3004,$AS435)))</f>
        <v/>
      </c>
      <c r="M435" s="14">
        <f>IF($A435="","",IF(INDEX('潜水記録'!$L$5:$L$3004,$AS435)="","",INDEX('潜水記録'!$L$5:$L$3004,$AS435)))</f>
        <v/>
      </c>
      <c r="N435" s="14">
        <f>IF($A435="","",IF(INDEX('潜水記録'!$M$5:$M$3004,$AS435)="","",INDEX('潜水記録'!$M$5:$M$3004,$AS435)))</f>
        <v/>
      </c>
      <c r="O435" s="14">
        <f>IF($A435="","",IF(INDEX('潜水記録'!$N$5:$N$3004,$AS435)="","",INDEX('潜水記録'!$N$5:$N$3004,$AS435)))</f>
        <v/>
      </c>
      <c r="P435" s="14">
        <f>IF($A435="","",IF(INDEX('潜水記録'!$O$5:$O$3004,$AS435)="","",INDEX('潜水記録'!$O$5:$O$3004,$AS435)))</f>
        <v/>
      </c>
      <c r="Q435" s="14">
        <f>IF($A435="","",IF(INDEX('潜水記録'!$P$5:$P$3004,$AS435)="","",INDEX('潜水記録'!$P$5:$P$3004,$AS435)))</f>
        <v/>
      </c>
      <c r="R435" s="14">
        <f>IF($A435="","",IF(INDEX('潜水記録'!$Q$5:$Q$3004,$AS435)="","",INDEX('潜水記録'!$Q$5:$Q$3004,$AS435)))</f>
        <v/>
      </c>
      <c r="S435" s="14">
        <f>IF($A435="","",IF(INDEX('潜水記録'!$R$5:$R$3004,$AS435)="","",INDEX('潜水記録'!$R$5:$R$3004,$AS435)))</f>
        <v/>
      </c>
      <c r="T435" s="14">
        <f>IF($A435="","",IF(INDEX('潜水記録'!$S$5:$S$3004,$AS435)="","",INDEX('潜水記録'!$S$5:$S$3004,$AS435)))</f>
        <v/>
      </c>
      <c r="U435" s="14">
        <f>IF($A435="","",IF(INDEX('潜水記録'!$T$5:$T$3004,$AS435)="","",INDEX('潜水記録'!$T$5:$T$3004,$AS435)))</f>
        <v/>
      </c>
      <c r="V435" s="46">
        <f>IF($A435="","",IF(INDEX('潜水記録'!$U$5:$U$3004,$AS435)="","",INDEX('潜水記録'!$U$5:$U$3004,$AS435)))</f>
        <v/>
      </c>
      <c r="W435" s="46">
        <f>IF($A435="","",IF(INDEX('潜水記録'!$V$5:$V$3004,$AS435)="","",INDEX('潜水記録'!$V$5:$V$3004,$AS435)))</f>
        <v/>
      </c>
      <c r="X435" s="14">
        <f>IF($A435="","",IF(INDEX('潜水記録'!$W$5:$W$3004,$AS435)="","",INDEX('潜水記録'!$W$5:$W$3004,$AS435)))</f>
        <v/>
      </c>
      <c r="Y435" s="14">
        <f>IF($A435="","",IF(INDEX('潜水記録'!$X$5:$X$3004,$AS435)="","",INDEX('潜水記録'!$X$5:$X$3004,$AS435)))</f>
        <v/>
      </c>
      <c r="Z435" s="14">
        <f>IF($A435="","",IF(INDEX('潜水記録'!$Y$5:$Y$3004,$AS435)="","",INDEX('潜水記録'!$Y$5:$Y$3004,$AS435)))</f>
        <v/>
      </c>
      <c r="AA435" s="14">
        <f>IF($A435="","",IF(INDEX('潜水記録'!$Z$5:$Z$3004,$AS435)="","",INDEX('潜水記録'!$Z$5:$Z$3004,$AS435)))</f>
        <v/>
      </c>
      <c r="AB435" s="14">
        <f>IF($A435="","",IF(INDEX('潜水記録'!$AA$5:$AA$3004,$AS435)="","",INDEX('潜水記録'!$AA$5:$AA$3004,$AS435)))</f>
        <v/>
      </c>
      <c r="AC435" s="14">
        <f>IF($A435="","",IF(INDEX('潜水記録'!$AB$5:$AB$3004,$AS435)="","",INDEX('潜水記録'!$AB$5:$AB$3004,$AS435)))</f>
        <v/>
      </c>
      <c r="AD435" s="14">
        <f>IF($A435="","",IF(INDEX('潜水記録'!$AC$5:$AC$3004,$AS435)="","",INDEX('潜水記録'!$AC$5:$AC$3004,$AS435)))</f>
        <v/>
      </c>
      <c r="AE435" s="14">
        <f>IF($A435="","",IF(INDEX('潜水記録'!$AD$5:$AD$3004,$AS435)="","",INDEX('潜水記録'!$AD$5:$AD$3004,$AS435)))</f>
        <v/>
      </c>
      <c r="AF435" s="14">
        <f>IF($A435="","",IF(INDEX('潜水記録'!$AE$5:$AE$3004,$AS435)="","",INDEX('潜水記録'!$AE$5:$AE$3004,$AS435)))</f>
        <v/>
      </c>
      <c r="AG435" s="14">
        <f>IF($A435="","",IF(INDEX('潜水記録'!$AL$5:$AL$3004,$AS435)="","",INDEX('潜水記録'!$AL$5:$AL$3004,$AS435)))</f>
        <v/>
      </c>
      <c r="AH435" s="14">
        <f>IF($A435="","",IF(INDEX('潜水記録'!$AM$5:$AM$3004,$AS435)="","",INDEX('潜水記録'!$AM$5:$AM$3004,$AS435)))</f>
        <v/>
      </c>
      <c r="AI435" s="46">
        <f>IF($A435="","",IF(INDEX('潜水記録'!$AN$5:$AN$3004,$AS435)="","",INDEX('潜水記録'!$AN$5:$AN$3004,$AS435)))</f>
        <v/>
      </c>
      <c r="AJ435" s="14">
        <f>IF($A435="","",IF(INDEX('潜水記録'!$AO$5:$AO$3004,$AS435)="","",INDEX('潜水記録'!$AO$5:$AO$3004,$AS435)))</f>
        <v/>
      </c>
      <c r="AK435" s="14">
        <f>IF($A435="","",IF(INDEX('潜水記録'!$AP$5:$AP$3004,$AS435)="","",INDEX('潜水記録'!$AP$5:$AP$3004,$AS435)))</f>
        <v/>
      </c>
      <c r="AL435" s="14">
        <f>IF($A435="","",IF(INDEX('潜水記録'!$AQ$5:$AQ$3004,$AS435)="","",INDEX('潜水記録'!$AQ$5:$AQ$3004,$AS435)))</f>
        <v/>
      </c>
      <c r="AM435" s="14">
        <f>IF($A435="","",IF(INDEX('潜水記録'!$AR$5:$AR$3004,$AS435)="","",INDEX('潜水記録'!$AR$5:$AR$3004,$AS435)))</f>
        <v/>
      </c>
      <c r="AN435" s="14">
        <f>IF($A435="","",IF(INDEX('潜水記録'!$AS$5:$AS$3004,$AS435)="","",INDEX('潜水記録'!$AS$5:$AS$3004,$AS435)))</f>
        <v/>
      </c>
      <c r="AO435" s="14">
        <f>IF($A435="","",IF(INDEX('潜水記録'!$AT$5:$AT$3004,$AS435)="","",INDEX('潜水記録'!$AT$5:$AT$3004,$AS435)))</f>
        <v/>
      </c>
      <c r="AP435" s="14">
        <f>IF($A435="","",IF(INDEX('潜水記録'!$AU$5:$AU$3004,$AS435)="","",INDEX('潜水記録'!$AU$5:$AU$3004,$AS435)))</f>
        <v/>
      </c>
      <c r="AQ435" s="14">
        <f>IF($A435="","",IF(INDEX('潜水記録'!$AV$5:$AV$3004,$AS435)="","",INDEX('潜水記録'!$AV$5:$AV$3004,$AS435)))</f>
        <v/>
      </c>
      <c r="AR435" s="14">
        <f>IF($A435="","",IF(INDEX('潜水記録'!$AW$5:$AW$3004,$AS435)="","",INDEX('潜水記録'!$AW$5:$AW$3004,$AS435)))</f>
        <v/>
      </c>
      <c r="AS435" s="20">
        <f>IF($A435="","",MATCH($A435,'潜水記録'!$AI$5:$AI$3004,0))</f>
        <v/>
      </c>
    </row>
    <row r="436">
      <c r="A436" s="14">
        <f>IF(426&lt;=$C$8,426,"")</f>
        <v/>
      </c>
      <c r="B436" s="16">
        <f>IF($A436="","",IF(INDEX('潜水記録'!$A$5:$A$3004,$AS436)="","",INDEX('潜水記録'!$A$5:$A$3004,$AS436)))</f>
        <v/>
      </c>
      <c r="C436" s="14">
        <f>IF($A436="","",IF(INDEX('潜水記録'!$B$5:$B$3004,$AS436)="","",INDEX('潜水記録'!$B$5:$B$3004,$AS436)))</f>
        <v/>
      </c>
      <c r="D436" s="14">
        <f>IF($A436="","",IF(INDEX('潜水記録'!$C$5:$C$3004,$AS436)="","",INDEX('潜水記録'!$C$5:$C$3004,$AS436)))</f>
        <v/>
      </c>
      <c r="E436" s="14">
        <f>IF($A436="","",IF(INDEX('潜水記録'!$D$5:$D$3004,$AS436)="","",INDEX('潜水記録'!$D$5:$D$3004,$AS436)))</f>
        <v/>
      </c>
      <c r="F436" s="14">
        <f>IF($A436="","",IF(INDEX('潜水記録'!$E$5:$E$3004,$AS436)="","",INDEX('潜水記録'!$E$5:$E$3004,$AS436)))</f>
        <v/>
      </c>
      <c r="G436" s="14">
        <f>IF($A436="","",IF(INDEX('潜水記録'!$F$5:$F$3004,$AS436)="","",INDEX('潜水記録'!$F$5:$F$3004,$AS436)))</f>
        <v/>
      </c>
      <c r="H436" s="14">
        <f>IF($A436="","",IF(INDEX('潜水記録'!$G$5:$G$3004,$AS436)="","",INDEX('潜水記録'!$G$5:$G$3004,$AS436)))</f>
        <v/>
      </c>
      <c r="I436" s="14">
        <f>IF($A436="","",IF(INDEX('潜水記録'!$H$5:$H$3004,$AS436)="","",INDEX('潜水記録'!$H$5:$H$3004,$AS436)))</f>
        <v/>
      </c>
      <c r="J436" s="14">
        <f>IF($A436="","",IF(INDEX('潜水記録'!$I$5:$I$3004,$AS436)="","",INDEX('潜水記録'!$I$5:$I$3004,$AS436)))</f>
        <v/>
      </c>
      <c r="K436" s="14">
        <f>IF($A436="","",IF(INDEX('潜水記録'!$J$5:$J$3004,$AS436)="","",INDEX('潜水記録'!$J$5:$J$3004,$AS436)))</f>
        <v/>
      </c>
      <c r="L436" s="14">
        <f>IF($A436="","",IF(INDEX('潜水記録'!$K$5:$K$3004,$AS436)="","",INDEX('潜水記録'!$K$5:$K$3004,$AS436)))</f>
        <v/>
      </c>
      <c r="M436" s="14">
        <f>IF($A436="","",IF(INDEX('潜水記録'!$L$5:$L$3004,$AS436)="","",INDEX('潜水記録'!$L$5:$L$3004,$AS436)))</f>
        <v/>
      </c>
      <c r="N436" s="14">
        <f>IF($A436="","",IF(INDEX('潜水記録'!$M$5:$M$3004,$AS436)="","",INDEX('潜水記録'!$M$5:$M$3004,$AS436)))</f>
        <v/>
      </c>
      <c r="O436" s="14">
        <f>IF($A436="","",IF(INDEX('潜水記録'!$N$5:$N$3004,$AS436)="","",INDEX('潜水記録'!$N$5:$N$3004,$AS436)))</f>
        <v/>
      </c>
      <c r="P436" s="14">
        <f>IF($A436="","",IF(INDEX('潜水記録'!$O$5:$O$3004,$AS436)="","",INDEX('潜水記録'!$O$5:$O$3004,$AS436)))</f>
        <v/>
      </c>
      <c r="Q436" s="14">
        <f>IF($A436="","",IF(INDEX('潜水記録'!$P$5:$P$3004,$AS436)="","",INDEX('潜水記録'!$P$5:$P$3004,$AS436)))</f>
        <v/>
      </c>
      <c r="R436" s="14">
        <f>IF($A436="","",IF(INDEX('潜水記録'!$Q$5:$Q$3004,$AS436)="","",INDEX('潜水記録'!$Q$5:$Q$3004,$AS436)))</f>
        <v/>
      </c>
      <c r="S436" s="14">
        <f>IF($A436="","",IF(INDEX('潜水記録'!$R$5:$R$3004,$AS436)="","",INDEX('潜水記録'!$R$5:$R$3004,$AS436)))</f>
        <v/>
      </c>
      <c r="T436" s="14">
        <f>IF($A436="","",IF(INDEX('潜水記録'!$S$5:$S$3004,$AS436)="","",INDEX('潜水記録'!$S$5:$S$3004,$AS436)))</f>
        <v/>
      </c>
      <c r="U436" s="14">
        <f>IF($A436="","",IF(INDEX('潜水記録'!$T$5:$T$3004,$AS436)="","",INDEX('潜水記録'!$T$5:$T$3004,$AS436)))</f>
        <v/>
      </c>
      <c r="V436" s="46">
        <f>IF($A436="","",IF(INDEX('潜水記録'!$U$5:$U$3004,$AS436)="","",INDEX('潜水記録'!$U$5:$U$3004,$AS436)))</f>
        <v/>
      </c>
      <c r="W436" s="46">
        <f>IF($A436="","",IF(INDEX('潜水記録'!$V$5:$V$3004,$AS436)="","",INDEX('潜水記録'!$V$5:$V$3004,$AS436)))</f>
        <v/>
      </c>
      <c r="X436" s="14">
        <f>IF($A436="","",IF(INDEX('潜水記録'!$W$5:$W$3004,$AS436)="","",INDEX('潜水記録'!$W$5:$W$3004,$AS436)))</f>
        <v/>
      </c>
      <c r="Y436" s="14">
        <f>IF($A436="","",IF(INDEX('潜水記録'!$X$5:$X$3004,$AS436)="","",INDEX('潜水記録'!$X$5:$X$3004,$AS436)))</f>
        <v/>
      </c>
      <c r="Z436" s="14">
        <f>IF($A436="","",IF(INDEX('潜水記録'!$Y$5:$Y$3004,$AS436)="","",INDEX('潜水記録'!$Y$5:$Y$3004,$AS436)))</f>
        <v/>
      </c>
      <c r="AA436" s="14">
        <f>IF($A436="","",IF(INDEX('潜水記録'!$Z$5:$Z$3004,$AS436)="","",INDEX('潜水記録'!$Z$5:$Z$3004,$AS436)))</f>
        <v/>
      </c>
      <c r="AB436" s="14">
        <f>IF($A436="","",IF(INDEX('潜水記録'!$AA$5:$AA$3004,$AS436)="","",INDEX('潜水記録'!$AA$5:$AA$3004,$AS436)))</f>
        <v/>
      </c>
      <c r="AC436" s="14">
        <f>IF($A436="","",IF(INDEX('潜水記録'!$AB$5:$AB$3004,$AS436)="","",INDEX('潜水記録'!$AB$5:$AB$3004,$AS436)))</f>
        <v/>
      </c>
      <c r="AD436" s="14">
        <f>IF($A436="","",IF(INDEX('潜水記録'!$AC$5:$AC$3004,$AS436)="","",INDEX('潜水記録'!$AC$5:$AC$3004,$AS436)))</f>
        <v/>
      </c>
      <c r="AE436" s="14">
        <f>IF($A436="","",IF(INDEX('潜水記録'!$AD$5:$AD$3004,$AS436)="","",INDEX('潜水記録'!$AD$5:$AD$3004,$AS436)))</f>
        <v/>
      </c>
      <c r="AF436" s="14">
        <f>IF($A436="","",IF(INDEX('潜水記録'!$AE$5:$AE$3004,$AS436)="","",INDEX('潜水記録'!$AE$5:$AE$3004,$AS436)))</f>
        <v/>
      </c>
      <c r="AG436" s="14">
        <f>IF($A436="","",IF(INDEX('潜水記録'!$AL$5:$AL$3004,$AS436)="","",INDEX('潜水記録'!$AL$5:$AL$3004,$AS436)))</f>
        <v/>
      </c>
      <c r="AH436" s="14">
        <f>IF($A436="","",IF(INDEX('潜水記録'!$AM$5:$AM$3004,$AS436)="","",INDEX('潜水記録'!$AM$5:$AM$3004,$AS436)))</f>
        <v/>
      </c>
      <c r="AI436" s="46">
        <f>IF($A436="","",IF(INDEX('潜水記録'!$AN$5:$AN$3004,$AS436)="","",INDEX('潜水記録'!$AN$5:$AN$3004,$AS436)))</f>
        <v/>
      </c>
      <c r="AJ436" s="14">
        <f>IF($A436="","",IF(INDEX('潜水記録'!$AO$5:$AO$3004,$AS436)="","",INDEX('潜水記録'!$AO$5:$AO$3004,$AS436)))</f>
        <v/>
      </c>
      <c r="AK436" s="14">
        <f>IF($A436="","",IF(INDEX('潜水記録'!$AP$5:$AP$3004,$AS436)="","",INDEX('潜水記録'!$AP$5:$AP$3004,$AS436)))</f>
        <v/>
      </c>
      <c r="AL436" s="14">
        <f>IF($A436="","",IF(INDEX('潜水記録'!$AQ$5:$AQ$3004,$AS436)="","",INDEX('潜水記録'!$AQ$5:$AQ$3004,$AS436)))</f>
        <v/>
      </c>
      <c r="AM436" s="14">
        <f>IF($A436="","",IF(INDEX('潜水記録'!$AR$5:$AR$3004,$AS436)="","",INDEX('潜水記録'!$AR$5:$AR$3004,$AS436)))</f>
        <v/>
      </c>
      <c r="AN436" s="14">
        <f>IF($A436="","",IF(INDEX('潜水記録'!$AS$5:$AS$3004,$AS436)="","",INDEX('潜水記録'!$AS$5:$AS$3004,$AS436)))</f>
        <v/>
      </c>
      <c r="AO436" s="14">
        <f>IF($A436="","",IF(INDEX('潜水記録'!$AT$5:$AT$3004,$AS436)="","",INDEX('潜水記録'!$AT$5:$AT$3004,$AS436)))</f>
        <v/>
      </c>
      <c r="AP436" s="14">
        <f>IF($A436="","",IF(INDEX('潜水記録'!$AU$5:$AU$3004,$AS436)="","",INDEX('潜水記録'!$AU$5:$AU$3004,$AS436)))</f>
        <v/>
      </c>
      <c r="AQ436" s="14">
        <f>IF($A436="","",IF(INDEX('潜水記録'!$AV$5:$AV$3004,$AS436)="","",INDEX('潜水記録'!$AV$5:$AV$3004,$AS436)))</f>
        <v/>
      </c>
      <c r="AR436" s="14">
        <f>IF($A436="","",IF(INDEX('潜水記録'!$AW$5:$AW$3004,$AS436)="","",INDEX('潜水記録'!$AW$5:$AW$3004,$AS436)))</f>
        <v/>
      </c>
      <c r="AS436" s="20">
        <f>IF($A436="","",MATCH($A436,'潜水記録'!$AI$5:$AI$3004,0))</f>
        <v/>
      </c>
    </row>
    <row r="437">
      <c r="A437" s="14">
        <f>IF(427&lt;=$C$8,427,"")</f>
        <v/>
      </c>
      <c r="B437" s="16">
        <f>IF($A437="","",IF(INDEX('潜水記録'!$A$5:$A$3004,$AS437)="","",INDEX('潜水記録'!$A$5:$A$3004,$AS437)))</f>
        <v/>
      </c>
      <c r="C437" s="14">
        <f>IF($A437="","",IF(INDEX('潜水記録'!$B$5:$B$3004,$AS437)="","",INDEX('潜水記録'!$B$5:$B$3004,$AS437)))</f>
        <v/>
      </c>
      <c r="D437" s="14">
        <f>IF($A437="","",IF(INDEX('潜水記録'!$C$5:$C$3004,$AS437)="","",INDEX('潜水記録'!$C$5:$C$3004,$AS437)))</f>
        <v/>
      </c>
      <c r="E437" s="14">
        <f>IF($A437="","",IF(INDEX('潜水記録'!$D$5:$D$3004,$AS437)="","",INDEX('潜水記録'!$D$5:$D$3004,$AS437)))</f>
        <v/>
      </c>
      <c r="F437" s="14">
        <f>IF($A437="","",IF(INDEX('潜水記録'!$E$5:$E$3004,$AS437)="","",INDEX('潜水記録'!$E$5:$E$3004,$AS437)))</f>
        <v/>
      </c>
      <c r="G437" s="14">
        <f>IF($A437="","",IF(INDEX('潜水記録'!$F$5:$F$3004,$AS437)="","",INDEX('潜水記録'!$F$5:$F$3004,$AS437)))</f>
        <v/>
      </c>
      <c r="H437" s="14">
        <f>IF($A437="","",IF(INDEX('潜水記録'!$G$5:$G$3004,$AS437)="","",INDEX('潜水記録'!$G$5:$G$3004,$AS437)))</f>
        <v/>
      </c>
      <c r="I437" s="14">
        <f>IF($A437="","",IF(INDEX('潜水記録'!$H$5:$H$3004,$AS437)="","",INDEX('潜水記録'!$H$5:$H$3004,$AS437)))</f>
        <v/>
      </c>
      <c r="J437" s="14">
        <f>IF($A437="","",IF(INDEX('潜水記録'!$I$5:$I$3004,$AS437)="","",INDEX('潜水記録'!$I$5:$I$3004,$AS437)))</f>
        <v/>
      </c>
      <c r="K437" s="14">
        <f>IF($A437="","",IF(INDEX('潜水記録'!$J$5:$J$3004,$AS437)="","",INDEX('潜水記録'!$J$5:$J$3004,$AS437)))</f>
        <v/>
      </c>
      <c r="L437" s="14">
        <f>IF($A437="","",IF(INDEX('潜水記録'!$K$5:$K$3004,$AS437)="","",INDEX('潜水記録'!$K$5:$K$3004,$AS437)))</f>
        <v/>
      </c>
      <c r="M437" s="14">
        <f>IF($A437="","",IF(INDEX('潜水記録'!$L$5:$L$3004,$AS437)="","",INDEX('潜水記録'!$L$5:$L$3004,$AS437)))</f>
        <v/>
      </c>
      <c r="N437" s="14">
        <f>IF($A437="","",IF(INDEX('潜水記録'!$M$5:$M$3004,$AS437)="","",INDEX('潜水記録'!$M$5:$M$3004,$AS437)))</f>
        <v/>
      </c>
      <c r="O437" s="14">
        <f>IF($A437="","",IF(INDEX('潜水記録'!$N$5:$N$3004,$AS437)="","",INDEX('潜水記録'!$N$5:$N$3004,$AS437)))</f>
        <v/>
      </c>
      <c r="P437" s="14">
        <f>IF($A437="","",IF(INDEX('潜水記録'!$O$5:$O$3004,$AS437)="","",INDEX('潜水記録'!$O$5:$O$3004,$AS437)))</f>
        <v/>
      </c>
      <c r="Q437" s="14">
        <f>IF($A437="","",IF(INDEX('潜水記録'!$P$5:$P$3004,$AS437)="","",INDEX('潜水記録'!$P$5:$P$3004,$AS437)))</f>
        <v/>
      </c>
      <c r="R437" s="14">
        <f>IF($A437="","",IF(INDEX('潜水記録'!$Q$5:$Q$3004,$AS437)="","",INDEX('潜水記録'!$Q$5:$Q$3004,$AS437)))</f>
        <v/>
      </c>
      <c r="S437" s="14">
        <f>IF($A437="","",IF(INDEX('潜水記録'!$R$5:$R$3004,$AS437)="","",INDEX('潜水記録'!$R$5:$R$3004,$AS437)))</f>
        <v/>
      </c>
      <c r="T437" s="14">
        <f>IF($A437="","",IF(INDEX('潜水記録'!$S$5:$S$3004,$AS437)="","",INDEX('潜水記録'!$S$5:$S$3004,$AS437)))</f>
        <v/>
      </c>
      <c r="U437" s="14">
        <f>IF($A437="","",IF(INDEX('潜水記録'!$T$5:$T$3004,$AS437)="","",INDEX('潜水記録'!$T$5:$T$3004,$AS437)))</f>
        <v/>
      </c>
      <c r="V437" s="46">
        <f>IF($A437="","",IF(INDEX('潜水記録'!$U$5:$U$3004,$AS437)="","",INDEX('潜水記録'!$U$5:$U$3004,$AS437)))</f>
        <v/>
      </c>
      <c r="W437" s="46">
        <f>IF($A437="","",IF(INDEX('潜水記録'!$V$5:$V$3004,$AS437)="","",INDEX('潜水記録'!$V$5:$V$3004,$AS437)))</f>
        <v/>
      </c>
      <c r="X437" s="14">
        <f>IF($A437="","",IF(INDEX('潜水記録'!$W$5:$W$3004,$AS437)="","",INDEX('潜水記録'!$W$5:$W$3004,$AS437)))</f>
        <v/>
      </c>
      <c r="Y437" s="14">
        <f>IF($A437="","",IF(INDEX('潜水記録'!$X$5:$X$3004,$AS437)="","",INDEX('潜水記録'!$X$5:$X$3004,$AS437)))</f>
        <v/>
      </c>
      <c r="Z437" s="14">
        <f>IF($A437="","",IF(INDEX('潜水記録'!$Y$5:$Y$3004,$AS437)="","",INDEX('潜水記録'!$Y$5:$Y$3004,$AS437)))</f>
        <v/>
      </c>
      <c r="AA437" s="14">
        <f>IF($A437="","",IF(INDEX('潜水記録'!$Z$5:$Z$3004,$AS437)="","",INDEX('潜水記録'!$Z$5:$Z$3004,$AS437)))</f>
        <v/>
      </c>
      <c r="AB437" s="14">
        <f>IF($A437="","",IF(INDEX('潜水記録'!$AA$5:$AA$3004,$AS437)="","",INDEX('潜水記録'!$AA$5:$AA$3004,$AS437)))</f>
        <v/>
      </c>
      <c r="AC437" s="14">
        <f>IF($A437="","",IF(INDEX('潜水記録'!$AB$5:$AB$3004,$AS437)="","",INDEX('潜水記録'!$AB$5:$AB$3004,$AS437)))</f>
        <v/>
      </c>
      <c r="AD437" s="14">
        <f>IF($A437="","",IF(INDEX('潜水記録'!$AC$5:$AC$3004,$AS437)="","",INDEX('潜水記録'!$AC$5:$AC$3004,$AS437)))</f>
        <v/>
      </c>
      <c r="AE437" s="14">
        <f>IF($A437="","",IF(INDEX('潜水記録'!$AD$5:$AD$3004,$AS437)="","",INDEX('潜水記録'!$AD$5:$AD$3004,$AS437)))</f>
        <v/>
      </c>
      <c r="AF437" s="14">
        <f>IF($A437="","",IF(INDEX('潜水記録'!$AE$5:$AE$3004,$AS437)="","",INDEX('潜水記録'!$AE$5:$AE$3004,$AS437)))</f>
        <v/>
      </c>
      <c r="AG437" s="14">
        <f>IF($A437="","",IF(INDEX('潜水記録'!$AL$5:$AL$3004,$AS437)="","",INDEX('潜水記録'!$AL$5:$AL$3004,$AS437)))</f>
        <v/>
      </c>
      <c r="AH437" s="14">
        <f>IF($A437="","",IF(INDEX('潜水記録'!$AM$5:$AM$3004,$AS437)="","",INDEX('潜水記録'!$AM$5:$AM$3004,$AS437)))</f>
        <v/>
      </c>
      <c r="AI437" s="46">
        <f>IF($A437="","",IF(INDEX('潜水記録'!$AN$5:$AN$3004,$AS437)="","",INDEX('潜水記録'!$AN$5:$AN$3004,$AS437)))</f>
        <v/>
      </c>
      <c r="AJ437" s="14">
        <f>IF($A437="","",IF(INDEX('潜水記録'!$AO$5:$AO$3004,$AS437)="","",INDEX('潜水記録'!$AO$5:$AO$3004,$AS437)))</f>
        <v/>
      </c>
      <c r="AK437" s="14">
        <f>IF($A437="","",IF(INDEX('潜水記録'!$AP$5:$AP$3004,$AS437)="","",INDEX('潜水記録'!$AP$5:$AP$3004,$AS437)))</f>
        <v/>
      </c>
      <c r="AL437" s="14">
        <f>IF($A437="","",IF(INDEX('潜水記録'!$AQ$5:$AQ$3004,$AS437)="","",INDEX('潜水記録'!$AQ$5:$AQ$3004,$AS437)))</f>
        <v/>
      </c>
      <c r="AM437" s="14">
        <f>IF($A437="","",IF(INDEX('潜水記録'!$AR$5:$AR$3004,$AS437)="","",INDEX('潜水記録'!$AR$5:$AR$3004,$AS437)))</f>
        <v/>
      </c>
      <c r="AN437" s="14">
        <f>IF($A437="","",IF(INDEX('潜水記録'!$AS$5:$AS$3004,$AS437)="","",INDEX('潜水記録'!$AS$5:$AS$3004,$AS437)))</f>
        <v/>
      </c>
      <c r="AO437" s="14">
        <f>IF($A437="","",IF(INDEX('潜水記録'!$AT$5:$AT$3004,$AS437)="","",INDEX('潜水記録'!$AT$5:$AT$3004,$AS437)))</f>
        <v/>
      </c>
      <c r="AP437" s="14">
        <f>IF($A437="","",IF(INDEX('潜水記録'!$AU$5:$AU$3004,$AS437)="","",INDEX('潜水記録'!$AU$5:$AU$3004,$AS437)))</f>
        <v/>
      </c>
      <c r="AQ437" s="14">
        <f>IF($A437="","",IF(INDEX('潜水記録'!$AV$5:$AV$3004,$AS437)="","",INDEX('潜水記録'!$AV$5:$AV$3004,$AS437)))</f>
        <v/>
      </c>
      <c r="AR437" s="14">
        <f>IF($A437="","",IF(INDEX('潜水記録'!$AW$5:$AW$3004,$AS437)="","",INDEX('潜水記録'!$AW$5:$AW$3004,$AS437)))</f>
        <v/>
      </c>
      <c r="AS437" s="20">
        <f>IF($A437="","",MATCH($A437,'潜水記録'!$AI$5:$AI$3004,0))</f>
        <v/>
      </c>
    </row>
    <row r="438">
      <c r="A438" s="14">
        <f>IF(428&lt;=$C$8,428,"")</f>
        <v/>
      </c>
      <c r="B438" s="16">
        <f>IF($A438="","",IF(INDEX('潜水記録'!$A$5:$A$3004,$AS438)="","",INDEX('潜水記録'!$A$5:$A$3004,$AS438)))</f>
        <v/>
      </c>
      <c r="C438" s="14">
        <f>IF($A438="","",IF(INDEX('潜水記録'!$B$5:$B$3004,$AS438)="","",INDEX('潜水記録'!$B$5:$B$3004,$AS438)))</f>
        <v/>
      </c>
      <c r="D438" s="14">
        <f>IF($A438="","",IF(INDEX('潜水記録'!$C$5:$C$3004,$AS438)="","",INDEX('潜水記録'!$C$5:$C$3004,$AS438)))</f>
        <v/>
      </c>
      <c r="E438" s="14">
        <f>IF($A438="","",IF(INDEX('潜水記録'!$D$5:$D$3004,$AS438)="","",INDEX('潜水記録'!$D$5:$D$3004,$AS438)))</f>
        <v/>
      </c>
      <c r="F438" s="14">
        <f>IF($A438="","",IF(INDEX('潜水記録'!$E$5:$E$3004,$AS438)="","",INDEX('潜水記録'!$E$5:$E$3004,$AS438)))</f>
        <v/>
      </c>
      <c r="G438" s="14">
        <f>IF($A438="","",IF(INDEX('潜水記録'!$F$5:$F$3004,$AS438)="","",INDEX('潜水記録'!$F$5:$F$3004,$AS438)))</f>
        <v/>
      </c>
      <c r="H438" s="14">
        <f>IF($A438="","",IF(INDEX('潜水記録'!$G$5:$G$3004,$AS438)="","",INDEX('潜水記録'!$G$5:$G$3004,$AS438)))</f>
        <v/>
      </c>
      <c r="I438" s="14">
        <f>IF($A438="","",IF(INDEX('潜水記録'!$H$5:$H$3004,$AS438)="","",INDEX('潜水記録'!$H$5:$H$3004,$AS438)))</f>
        <v/>
      </c>
      <c r="J438" s="14">
        <f>IF($A438="","",IF(INDEX('潜水記録'!$I$5:$I$3004,$AS438)="","",INDEX('潜水記録'!$I$5:$I$3004,$AS438)))</f>
        <v/>
      </c>
      <c r="K438" s="14">
        <f>IF($A438="","",IF(INDEX('潜水記録'!$J$5:$J$3004,$AS438)="","",INDEX('潜水記録'!$J$5:$J$3004,$AS438)))</f>
        <v/>
      </c>
      <c r="L438" s="14">
        <f>IF($A438="","",IF(INDEX('潜水記録'!$K$5:$K$3004,$AS438)="","",INDEX('潜水記録'!$K$5:$K$3004,$AS438)))</f>
        <v/>
      </c>
      <c r="M438" s="14">
        <f>IF($A438="","",IF(INDEX('潜水記録'!$L$5:$L$3004,$AS438)="","",INDEX('潜水記録'!$L$5:$L$3004,$AS438)))</f>
        <v/>
      </c>
      <c r="N438" s="14">
        <f>IF($A438="","",IF(INDEX('潜水記録'!$M$5:$M$3004,$AS438)="","",INDEX('潜水記録'!$M$5:$M$3004,$AS438)))</f>
        <v/>
      </c>
      <c r="O438" s="14">
        <f>IF($A438="","",IF(INDEX('潜水記録'!$N$5:$N$3004,$AS438)="","",INDEX('潜水記録'!$N$5:$N$3004,$AS438)))</f>
        <v/>
      </c>
      <c r="P438" s="14">
        <f>IF($A438="","",IF(INDEX('潜水記録'!$O$5:$O$3004,$AS438)="","",INDEX('潜水記録'!$O$5:$O$3004,$AS438)))</f>
        <v/>
      </c>
      <c r="Q438" s="14">
        <f>IF($A438="","",IF(INDEX('潜水記録'!$P$5:$P$3004,$AS438)="","",INDEX('潜水記録'!$P$5:$P$3004,$AS438)))</f>
        <v/>
      </c>
      <c r="R438" s="14">
        <f>IF($A438="","",IF(INDEX('潜水記録'!$Q$5:$Q$3004,$AS438)="","",INDEX('潜水記録'!$Q$5:$Q$3004,$AS438)))</f>
        <v/>
      </c>
      <c r="S438" s="14">
        <f>IF($A438="","",IF(INDEX('潜水記録'!$R$5:$R$3004,$AS438)="","",INDEX('潜水記録'!$R$5:$R$3004,$AS438)))</f>
        <v/>
      </c>
      <c r="T438" s="14">
        <f>IF($A438="","",IF(INDEX('潜水記録'!$S$5:$S$3004,$AS438)="","",INDEX('潜水記録'!$S$5:$S$3004,$AS438)))</f>
        <v/>
      </c>
      <c r="U438" s="14">
        <f>IF($A438="","",IF(INDEX('潜水記録'!$T$5:$T$3004,$AS438)="","",INDEX('潜水記録'!$T$5:$T$3004,$AS438)))</f>
        <v/>
      </c>
      <c r="V438" s="46">
        <f>IF($A438="","",IF(INDEX('潜水記録'!$U$5:$U$3004,$AS438)="","",INDEX('潜水記録'!$U$5:$U$3004,$AS438)))</f>
        <v/>
      </c>
      <c r="W438" s="46">
        <f>IF($A438="","",IF(INDEX('潜水記録'!$V$5:$V$3004,$AS438)="","",INDEX('潜水記録'!$V$5:$V$3004,$AS438)))</f>
        <v/>
      </c>
      <c r="X438" s="14">
        <f>IF($A438="","",IF(INDEX('潜水記録'!$W$5:$W$3004,$AS438)="","",INDEX('潜水記録'!$W$5:$W$3004,$AS438)))</f>
        <v/>
      </c>
      <c r="Y438" s="14">
        <f>IF($A438="","",IF(INDEX('潜水記録'!$X$5:$X$3004,$AS438)="","",INDEX('潜水記録'!$X$5:$X$3004,$AS438)))</f>
        <v/>
      </c>
      <c r="Z438" s="14">
        <f>IF($A438="","",IF(INDEX('潜水記録'!$Y$5:$Y$3004,$AS438)="","",INDEX('潜水記録'!$Y$5:$Y$3004,$AS438)))</f>
        <v/>
      </c>
      <c r="AA438" s="14">
        <f>IF($A438="","",IF(INDEX('潜水記録'!$Z$5:$Z$3004,$AS438)="","",INDEX('潜水記録'!$Z$5:$Z$3004,$AS438)))</f>
        <v/>
      </c>
      <c r="AB438" s="14">
        <f>IF($A438="","",IF(INDEX('潜水記録'!$AA$5:$AA$3004,$AS438)="","",INDEX('潜水記録'!$AA$5:$AA$3004,$AS438)))</f>
        <v/>
      </c>
      <c r="AC438" s="14">
        <f>IF($A438="","",IF(INDEX('潜水記録'!$AB$5:$AB$3004,$AS438)="","",INDEX('潜水記録'!$AB$5:$AB$3004,$AS438)))</f>
        <v/>
      </c>
      <c r="AD438" s="14">
        <f>IF($A438="","",IF(INDEX('潜水記録'!$AC$5:$AC$3004,$AS438)="","",INDEX('潜水記録'!$AC$5:$AC$3004,$AS438)))</f>
        <v/>
      </c>
      <c r="AE438" s="14">
        <f>IF($A438="","",IF(INDEX('潜水記録'!$AD$5:$AD$3004,$AS438)="","",INDEX('潜水記録'!$AD$5:$AD$3004,$AS438)))</f>
        <v/>
      </c>
      <c r="AF438" s="14">
        <f>IF($A438="","",IF(INDEX('潜水記録'!$AE$5:$AE$3004,$AS438)="","",INDEX('潜水記録'!$AE$5:$AE$3004,$AS438)))</f>
        <v/>
      </c>
      <c r="AG438" s="14">
        <f>IF($A438="","",IF(INDEX('潜水記録'!$AL$5:$AL$3004,$AS438)="","",INDEX('潜水記録'!$AL$5:$AL$3004,$AS438)))</f>
        <v/>
      </c>
      <c r="AH438" s="14">
        <f>IF($A438="","",IF(INDEX('潜水記録'!$AM$5:$AM$3004,$AS438)="","",INDEX('潜水記録'!$AM$5:$AM$3004,$AS438)))</f>
        <v/>
      </c>
      <c r="AI438" s="46">
        <f>IF($A438="","",IF(INDEX('潜水記録'!$AN$5:$AN$3004,$AS438)="","",INDEX('潜水記録'!$AN$5:$AN$3004,$AS438)))</f>
        <v/>
      </c>
      <c r="AJ438" s="14">
        <f>IF($A438="","",IF(INDEX('潜水記録'!$AO$5:$AO$3004,$AS438)="","",INDEX('潜水記録'!$AO$5:$AO$3004,$AS438)))</f>
        <v/>
      </c>
      <c r="AK438" s="14">
        <f>IF($A438="","",IF(INDEX('潜水記録'!$AP$5:$AP$3004,$AS438)="","",INDEX('潜水記録'!$AP$5:$AP$3004,$AS438)))</f>
        <v/>
      </c>
      <c r="AL438" s="14">
        <f>IF($A438="","",IF(INDEX('潜水記録'!$AQ$5:$AQ$3004,$AS438)="","",INDEX('潜水記録'!$AQ$5:$AQ$3004,$AS438)))</f>
        <v/>
      </c>
      <c r="AM438" s="14">
        <f>IF($A438="","",IF(INDEX('潜水記録'!$AR$5:$AR$3004,$AS438)="","",INDEX('潜水記録'!$AR$5:$AR$3004,$AS438)))</f>
        <v/>
      </c>
      <c r="AN438" s="14">
        <f>IF($A438="","",IF(INDEX('潜水記録'!$AS$5:$AS$3004,$AS438)="","",INDEX('潜水記録'!$AS$5:$AS$3004,$AS438)))</f>
        <v/>
      </c>
      <c r="AO438" s="14">
        <f>IF($A438="","",IF(INDEX('潜水記録'!$AT$5:$AT$3004,$AS438)="","",INDEX('潜水記録'!$AT$5:$AT$3004,$AS438)))</f>
        <v/>
      </c>
      <c r="AP438" s="14">
        <f>IF($A438="","",IF(INDEX('潜水記録'!$AU$5:$AU$3004,$AS438)="","",INDEX('潜水記録'!$AU$5:$AU$3004,$AS438)))</f>
        <v/>
      </c>
      <c r="AQ438" s="14">
        <f>IF($A438="","",IF(INDEX('潜水記録'!$AV$5:$AV$3004,$AS438)="","",INDEX('潜水記録'!$AV$5:$AV$3004,$AS438)))</f>
        <v/>
      </c>
      <c r="AR438" s="14">
        <f>IF($A438="","",IF(INDEX('潜水記録'!$AW$5:$AW$3004,$AS438)="","",INDEX('潜水記録'!$AW$5:$AW$3004,$AS438)))</f>
        <v/>
      </c>
      <c r="AS438" s="20">
        <f>IF($A438="","",MATCH($A438,'潜水記録'!$AI$5:$AI$3004,0))</f>
        <v/>
      </c>
    </row>
    <row r="439">
      <c r="A439" s="14">
        <f>IF(429&lt;=$C$8,429,"")</f>
        <v/>
      </c>
      <c r="B439" s="16">
        <f>IF($A439="","",IF(INDEX('潜水記録'!$A$5:$A$3004,$AS439)="","",INDEX('潜水記録'!$A$5:$A$3004,$AS439)))</f>
        <v/>
      </c>
      <c r="C439" s="14">
        <f>IF($A439="","",IF(INDEX('潜水記録'!$B$5:$B$3004,$AS439)="","",INDEX('潜水記録'!$B$5:$B$3004,$AS439)))</f>
        <v/>
      </c>
      <c r="D439" s="14">
        <f>IF($A439="","",IF(INDEX('潜水記録'!$C$5:$C$3004,$AS439)="","",INDEX('潜水記録'!$C$5:$C$3004,$AS439)))</f>
        <v/>
      </c>
      <c r="E439" s="14">
        <f>IF($A439="","",IF(INDEX('潜水記録'!$D$5:$D$3004,$AS439)="","",INDEX('潜水記録'!$D$5:$D$3004,$AS439)))</f>
        <v/>
      </c>
      <c r="F439" s="14">
        <f>IF($A439="","",IF(INDEX('潜水記録'!$E$5:$E$3004,$AS439)="","",INDEX('潜水記録'!$E$5:$E$3004,$AS439)))</f>
        <v/>
      </c>
      <c r="G439" s="14">
        <f>IF($A439="","",IF(INDEX('潜水記録'!$F$5:$F$3004,$AS439)="","",INDEX('潜水記録'!$F$5:$F$3004,$AS439)))</f>
        <v/>
      </c>
      <c r="H439" s="14">
        <f>IF($A439="","",IF(INDEX('潜水記録'!$G$5:$G$3004,$AS439)="","",INDEX('潜水記録'!$G$5:$G$3004,$AS439)))</f>
        <v/>
      </c>
      <c r="I439" s="14">
        <f>IF($A439="","",IF(INDEX('潜水記録'!$H$5:$H$3004,$AS439)="","",INDEX('潜水記録'!$H$5:$H$3004,$AS439)))</f>
        <v/>
      </c>
      <c r="J439" s="14">
        <f>IF($A439="","",IF(INDEX('潜水記録'!$I$5:$I$3004,$AS439)="","",INDEX('潜水記録'!$I$5:$I$3004,$AS439)))</f>
        <v/>
      </c>
      <c r="K439" s="14">
        <f>IF($A439="","",IF(INDEX('潜水記録'!$J$5:$J$3004,$AS439)="","",INDEX('潜水記録'!$J$5:$J$3004,$AS439)))</f>
        <v/>
      </c>
      <c r="L439" s="14">
        <f>IF($A439="","",IF(INDEX('潜水記録'!$K$5:$K$3004,$AS439)="","",INDEX('潜水記録'!$K$5:$K$3004,$AS439)))</f>
        <v/>
      </c>
      <c r="M439" s="14">
        <f>IF($A439="","",IF(INDEX('潜水記録'!$L$5:$L$3004,$AS439)="","",INDEX('潜水記録'!$L$5:$L$3004,$AS439)))</f>
        <v/>
      </c>
      <c r="N439" s="14">
        <f>IF($A439="","",IF(INDEX('潜水記録'!$M$5:$M$3004,$AS439)="","",INDEX('潜水記録'!$M$5:$M$3004,$AS439)))</f>
        <v/>
      </c>
      <c r="O439" s="14">
        <f>IF($A439="","",IF(INDEX('潜水記録'!$N$5:$N$3004,$AS439)="","",INDEX('潜水記録'!$N$5:$N$3004,$AS439)))</f>
        <v/>
      </c>
      <c r="P439" s="14">
        <f>IF($A439="","",IF(INDEX('潜水記録'!$O$5:$O$3004,$AS439)="","",INDEX('潜水記録'!$O$5:$O$3004,$AS439)))</f>
        <v/>
      </c>
      <c r="Q439" s="14">
        <f>IF($A439="","",IF(INDEX('潜水記録'!$P$5:$P$3004,$AS439)="","",INDEX('潜水記録'!$P$5:$P$3004,$AS439)))</f>
        <v/>
      </c>
      <c r="R439" s="14">
        <f>IF($A439="","",IF(INDEX('潜水記録'!$Q$5:$Q$3004,$AS439)="","",INDEX('潜水記録'!$Q$5:$Q$3004,$AS439)))</f>
        <v/>
      </c>
      <c r="S439" s="14">
        <f>IF($A439="","",IF(INDEX('潜水記録'!$R$5:$R$3004,$AS439)="","",INDEX('潜水記録'!$R$5:$R$3004,$AS439)))</f>
        <v/>
      </c>
      <c r="T439" s="14">
        <f>IF($A439="","",IF(INDEX('潜水記録'!$S$5:$S$3004,$AS439)="","",INDEX('潜水記録'!$S$5:$S$3004,$AS439)))</f>
        <v/>
      </c>
      <c r="U439" s="14">
        <f>IF($A439="","",IF(INDEX('潜水記録'!$T$5:$T$3004,$AS439)="","",INDEX('潜水記録'!$T$5:$T$3004,$AS439)))</f>
        <v/>
      </c>
      <c r="V439" s="46">
        <f>IF($A439="","",IF(INDEX('潜水記録'!$U$5:$U$3004,$AS439)="","",INDEX('潜水記録'!$U$5:$U$3004,$AS439)))</f>
        <v/>
      </c>
      <c r="W439" s="46">
        <f>IF($A439="","",IF(INDEX('潜水記録'!$V$5:$V$3004,$AS439)="","",INDEX('潜水記録'!$V$5:$V$3004,$AS439)))</f>
        <v/>
      </c>
      <c r="X439" s="14">
        <f>IF($A439="","",IF(INDEX('潜水記録'!$W$5:$W$3004,$AS439)="","",INDEX('潜水記録'!$W$5:$W$3004,$AS439)))</f>
        <v/>
      </c>
      <c r="Y439" s="14">
        <f>IF($A439="","",IF(INDEX('潜水記録'!$X$5:$X$3004,$AS439)="","",INDEX('潜水記録'!$X$5:$X$3004,$AS439)))</f>
        <v/>
      </c>
      <c r="Z439" s="14">
        <f>IF($A439="","",IF(INDEX('潜水記録'!$Y$5:$Y$3004,$AS439)="","",INDEX('潜水記録'!$Y$5:$Y$3004,$AS439)))</f>
        <v/>
      </c>
      <c r="AA439" s="14">
        <f>IF($A439="","",IF(INDEX('潜水記録'!$Z$5:$Z$3004,$AS439)="","",INDEX('潜水記録'!$Z$5:$Z$3004,$AS439)))</f>
        <v/>
      </c>
      <c r="AB439" s="14">
        <f>IF($A439="","",IF(INDEX('潜水記録'!$AA$5:$AA$3004,$AS439)="","",INDEX('潜水記録'!$AA$5:$AA$3004,$AS439)))</f>
        <v/>
      </c>
      <c r="AC439" s="14">
        <f>IF($A439="","",IF(INDEX('潜水記録'!$AB$5:$AB$3004,$AS439)="","",INDEX('潜水記録'!$AB$5:$AB$3004,$AS439)))</f>
        <v/>
      </c>
      <c r="AD439" s="14">
        <f>IF($A439="","",IF(INDEX('潜水記録'!$AC$5:$AC$3004,$AS439)="","",INDEX('潜水記録'!$AC$5:$AC$3004,$AS439)))</f>
        <v/>
      </c>
      <c r="AE439" s="14">
        <f>IF($A439="","",IF(INDEX('潜水記録'!$AD$5:$AD$3004,$AS439)="","",INDEX('潜水記録'!$AD$5:$AD$3004,$AS439)))</f>
        <v/>
      </c>
      <c r="AF439" s="14">
        <f>IF($A439="","",IF(INDEX('潜水記録'!$AE$5:$AE$3004,$AS439)="","",INDEX('潜水記録'!$AE$5:$AE$3004,$AS439)))</f>
        <v/>
      </c>
      <c r="AG439" s="14">
        <f>IF($A439="","",IF(INDEX('潜水記録'!$AL$5:$AL$3004,$AS439)="","",INDEX('潜水記録'!$AL$5:$AL$3004,$AS439)))</f>
        <v/>
      </c>
      <c r="AH439" s="14">
        <f>IF($A439="","",IF(INDEX('潜水記録'!$AM$5:$AM$3004,$AS439)="","",INDEX('潜水記録'!$AM$5:$AM$3004,$AS439)))</f>
        <v/>
      </c>
      <c r="AI439" s="46">
        <f>IF($A439="","",IF(INDEX('潜水記録'!$AN$5:$AN$3004,$AS439)="","",INDEX('潜水記録'!$AN$5:$AN$3004,$AS439)))</f>
        <v/>
      </c>
      <c r="AJ439" s="14">
        <f>IF($A439="","",IF(INDEX('潜水記録'!$AO$5:$AO$3004,$AS439)="","",INDEX('潜水記録'!$AO$5:$AO$3004,$AS439)))</f>
        <v/>
      </c>
      <c r="AK439" s="14">
        <f>IF($A439="","",IF(INDEX('潜水記録'!$AP$5:$AP$3004,$AS439)="","",INDEX('潜水記録'!$AP$5:$AP$3004,$AS439)))</f>
        <v/>
      </c>
      <c r="AL439" s="14">
        <f>IF($A439="","",IF(INDEX('潜水記録'!$AQ$5:$AQ$3004,$AS439)="","",INDEX('潜水記録'!$AQ$5:$AQ$3004,$AS439)))</f>
        <v/>
      </c>
      <c r="AM439" s="14">
        <f>IF($A439="","",IF(INDEX('潜水記録'!$AR$5:$AR$3004,$AS439)="","",INDEX('潜水記録'!$AR$5:$AR$3004,$AS439)))</f>
        <v/>
      </c>
      <c r="AN439" s="14">
        <f>IF($A439="","",IF(INDEX('潜水記録'!$AS$5:$AS$3004,$AS439)="","",INDEX('潜水記録'!$AS$5:$AS$3004,$AS439)))</f>
        <v/>
      </c>
      <c r="AO439" s="14">
        <f>IF($A439="","",IF(INDEX('潜水記録'!$AT$5:$AT$3004,$AS439)="","",INDEX('潜水記録'!$AT$5:$AT$3004,$AS439)))</f>
        <v/>
      </c>
      <c r="AP439" s="14">
        <f>IF($A439="","",IF(INDEX('潜水記録'!$AU$5:$AU$3004,$AS439)="","",INDEX('潜水記録'!$AU$5:$AU$3004,$AS439)))</f>
        <v/>
      </c>
      <c r="AQ439" s="14">
        <f>IF($A439="","",IF(INDEX('潜水記録'!$AV$5:$AV$3004,$AS439)="","",INDEX('潜水記録'!$AV$5:$AV$3004,$AS439)))</f>
        <v/>
      </c>
      <c r="AR439" s="14">
        <f>IF($A439="","",IF(INDEX('潜水記録'!$AW$5:$AW$3004,$AS439)="","",INDEX('潜水記録'!$AW$5:$AW$3004,$AS439)))</f>
        <v/>
      </c>
      <c r="AS439" s="20">
        <f>IF($A439="","",MATCH($A439,'潜水記録'!$AI$5:$AI$3004,0))</f>
        <v/>
      </c>
    </row>
    <row r="440">
      <c r="A440" s="14">
        <f>IF(430&lt;=$C$8,430,"")</f>
        <v/>
      </c>
      <c r="B440" s="16">
        <f>IF($A440="","",IF(INDEX('潜水記録'!$A$5:$A$3004,$AS440)="","",INDEX('潜水記録'!$A$5:$A$3004,$AS440)))</f>
        <v/>
      </c>
      <c r="C440" s="14">
        <f>IF($A440="","",IF(INDEX('潜水記録'!$B$5:$B$3004,$AS440)="","",INDEX('潜水記録'!$B$5:$B$3004,$AS440)))</f>
        <v/>
      </c>
      <c r="D440" s="14">
        <f>IF($A440="","",IF(INDEX('潜水記録'!$C$5:$C$3004,$AS440)="","",INDEX('潜水記録'!$C$5:$C$3004,$AS440)))</f>
        <v/>
      </c>
      <c r="E440" s="14">
        <f>IF($A440="","",IF(INDEX('潜水記録'!$D$5:$D$3004,$AS440)="","",INDEX('潜水記録'!$D$5:$D$3004,$AS440)))</f>
        <v/>
      </c>
      <c r="F440" s="14">
        <f>IF($A440="","",IF(INDEX('潜水記録'!$E$5:$E$3004,$AS440)="","",INDEX('潜水記録'!$E$5:$E$3004,$AS440)))</f>
        <v/>
      </c>
      <c r="G440" s="14">
        <f>IF($A440="","",IF(INDEX('潜水記録'!$F$5:$F$3004,$AS440)="","",INDEX('潜水記録'!$F$5:$F$3004,$AS440)))</f>
        <v/>
      </c>
      <c r="H440" s="14">
        <f>IF($A440="","",IF(INDEX('潜水記録'!$G$5:$G$3004,$AS440)="","",INDEX('潜水記録'!$G$5:$G$3004,$AS440)))</f>
        <v/>
      </c>
      <c r="I440" s="14">
        <f>IF($A440="","",IF(INDEX('潜水記録'!$H$5:$H$3004,$AS440)="","",INDEX('潜水記録'!$H$5:$H$3004,$AS440)))</f>
        <v/>
      </c>
      <c r="J440" s="14">
        <f>IF($A440="","",IF(INDEX('潜水記録'!$I$5:$I$3004,$AS440)="","",INDEX('潜水記録'!$I$5:$I$3004,$AS440)))</f>
        <v/>
      </c>
      <c r="K440" s="14">
        <f>IF($A440="","",IF(INDEX('潜水記録'!$J$5:$J$3004,$AS440)="","",INDEX('潜水記録'!$J$5:$J$3004,$AS440)))</f>
        <v/>
      </c>
      <c r="L440" s="14">
        <f>IF($A440="","",IF(INDEX('潜水記録'!$K$5:$K$3004,$AS440)="","",INDEX('潜水記録'!$K$5:$K$3004,$AS440)))</f>
        <v/>
      </c>
      <c r="M440" s="14">
        <f>IF($A440="","",IF(INDEX('潜水記録'!$L$5:$L$3004,$AS440)="","",INDEX('潜水記録'!$L$5:$L$3004,$AS440)))</f>
        <v/>
      </c>
      <c r="N440" s="14">
        <f>IF($A440="","",IF(INDEX('潜水記録'!$M$5:$M$3004,$AS440)="","",INDEX('潜水記録'!$M$5:$M$3004,$AS440)))</f>
        <v/>
      </c>
      <c r="O440" s="14">
        <f>IF($A440="","",IF(INDEX('潜水記録'!$N$5:$N$3004,$AS440)="","",INDEX('潜水記録'!$N$5:$N$3004,$AS440)))</f>
        <v/>
      </c>
      <c r="P440" s="14">
        <f>IF($A440="","",IF(INDEX('潜水記録'!$O$5:$O$3004,$AS440)="","",INDEX('潜水記録'!$O$5:$O$3004,$AS440)))</f>
        <v/>
      </c>
      <c r="Q440" s="14">
        <f>IF($A440="","",IF(INDEX('潜水記録'!$P$5:$P$3004,$AS440)="","",INDEX('潜水記録'!$P$5:$P$3004,$AS440)))</f>
        <v/>
      </c>
      <c r="R440" s="14">
        <f>IF($A440="","",IF(INDEX('潜水記録'!$Q$5:$Q$3004,$AS440)="","",INDEX('潜水記録'!$Q$5:$Q$3004,$AS440)))</f>
        <v/>
      </c>
      <c r="S440" s="14">
        <f>IF($A440="","",IF(INDEX('潜水記録'!$R$5:$R$3004,$AS440)="","",INDEX('潜水記録'!$R$5:$R$3004,$AS440)))</f>
        <v/>
      </c>
      <c r="T440" s="14">
        <f>IF($A440="","",IF(INDEX('潜水記録'!$S$5:$S$3004,$AS440)="","",INDEX('潜水記録'!$S$5:$S$3004,$AS440)))</f>
        <v/>
      </c>
      <c r="U440" s="14">
        <f>IF($A440="","",IF(INDEX('潜水記録'!$T$5:$T$3004,$AS440)="","",INDEX('潜水記録'!$T$5:$T$3004,$AS440)))</f>
        <v/>
      </c>
      <c r="V440" s="46">
        <f>IF($A440="","",IF(INDEX('潜水記録'!$U$5:$U$3004,$AS440)="","",INDEX('潜水記録'!$U$5:$U$3004,$AS440)))</f>
        <v/>
      </c>
      <c r="W440" s="46">
        <f>IF($A440="","",IF(INDEX('潜水記録'!$V$5:$V$3004,$AS440)="","",INDEX('潜水記録'!$V$5:$V$3004,$AS440)))</f>
        <v/>
      </c>
      <c r="X440" s="14">
        <f>IF($A440="","",IF(INDEX('潜水記録'!$W$5:$W$3004,$AS440)="","",INDEX('潜水記録'!$W$5:$W$3004,$AS440)))</f>
        <v/>
      </c>
      <c r="Y440" s="14">
        <f>IF($A440="","",IF(INDEX('潜水記録'!$X$5:$X$3004,$AS440)="","",INDEX('潜水記録'!$X$5:$X$3004,$AS440)))</f>
        <v/>
      </c>
      <c r="Z440" s="14">
        <f>IF($A440="","",IF(INDEX('潜水記録'!$Y$5:$Y$3004,$AS440)="","",INDEX('潜水記録'!$Y$5:$Y$3004,$AS440)))</f>
        <v/>
      </c>
      <c r="AA440" s="14">
        <f>IF($A440="","",IF(INDEX('潜水記録'!$Z$5:$Z$3004,$AS440)="","",INDEX('潜水記録'!$Z$5:$Z$3004,$AS440)))</f>
        <v/>
      </c>
      <c r="AB440" s="14">
        <f>IF($A440="","",IF(INDEX('潜水記録'!$AA$5:$AA$3004,$AS440)="","",INDEX('潜水記録'!$AA$5:$AA$3004,$AS440)))</f>
        <v/>
      </c>
      <c r="AC440" s="14">
        <f>IF($A440="","",IF(INDEX('潜水記録'!$AB$5:$AB$3004,$AS440)="","",INDEX('潜水記録'!$AB$5:$AB$3004,$AS440)))</f>
        <v/>
      </c>
      <c r="AD440" s="14">
        <f>IF($A440="","",IF(INDEX('潜水記録'!$AC$5:$AC$3004,$AS440)="","",INDEX('潜水記録'!$AC$5:$AC$3004,$AS440)))</f>
        <v/>
      </c>
      <c r="AE440" s="14">
        <f>IF($A440="","",IF(INDEX('潜水記録'!$AD$5:$AD$3004,$AS440)="","",INDEX('潜水記録'!$AD$5:$AD$3004,$AS440)))</f>
        <v/>
      </c>
      <c r="AF440" s="14">
        <f>IF($A440="","",IF(INDEX('潜水記録'!$AE$5:$AE$3004,$AS440)="","",INDEX('潜水記録'!$AE$5:$AE$3004,$AS440)))</f>
        <v/>
      </c>
      <c r="AG440" s="14">
        <f>IF($A440="","",IF(INDEX('潜水記録'!$AL$5:$AL$3004,$AS440)="","",INDEX('潜水記録'!$AL$5:$AL$3004,$AS440)))</f>
        <v/>
      </c>
      <c r="AH440" s="14">
        <f>IF($A440="","",IF(INDEX('潜水記録'!$AM$5:$AM$3004,$AS440)="","",INDEX('潜水記録'!$AM$5:$AM$3004,$AS440)))</f>
        <v/>
      </c>
      <c r="AI440" s="46">
        <f>IF($A440="","",IF(INDEX('潜水記録'!$AN$5:$AN$3004,$AS440)="","",INDEX('潜水記録'!$AN$5:$AN$3004,$AS440)))</f>
        <v/>
      </c>
      <c r="AJ440" s="14">
        <f>IF($A440="","",IF(INDEX('潜水記録'!$AO$5:$AO$3004,$AS440)="","",INDEX('潜水記録'!$AO$5:$AO$3004,$AS440)))</f>
        <v/>
      </c>
      <c r="AK440" s="14">
        <f>IF($A440="","",IF(INDEX('潜水記録'!$AP$5:$AP$3004,$AS440)="","",INDEX('潜水記録'!$AP$5:$AP$3004,$AS440)))</f>
        <v/>
      </c>
      <c r="AL440" s="14">
        <f>IF($A440="","",IF(INDEX('潜水記録'!$AQ$5:$AQ$3004,$AS440)="","",INDEX('潜水記録'!$AQ$5:$AQ$3004,$AS440)))</f>
        <v/>
      </c>
      <c r="AM440" s="14">
        <f>IF($A440="","",IF(INDEX('潜水記録'!$AR$5:$AR$3004,$AS440)="","",INDEX('潜水記録'!$AR$5:$AR$3004,$AS440)))</f>
        <v/>
      </c>
      <c r="AN440" s="14">
        <f>IF($A440="","",IF(INDEX('潜水記録'!$AS$5:$AS$3004,$AS440)="","",INDEX('潜水記録'!$AS$5:$AS$3004,$AS440)))</f>
        <v/>
      </c>
      <c r="AO440" s="14">
        <f>IF($A440="","",IF(INDEX('潜水記録'!$AT$5:$AT$3004,$AS440)="","",INDEX('潜水記録'!$AT$5:$AT$3004,$AS440)))</f>
        <v/>
      </c>
      <c r="AP440" s="14">
        <f>IF($A440="","",IF(INDEX('潜水記録'!$AU$5:$AU$3004,$AS440)="","",INDEX('潜水記録'!$AU$5:$AU$3004,$AS440)))</f>
        <v/>
      </c>
      <c r="AQ440" s="14">
        <f>IF($A440="","",IF(INDEX('潜水記録'!$AV$5:$AV$3004,$AS440)="","",INDEX('潜水記録'!$AV$5:$AV$3004,$AS440)))</f>
        <v/>
      </c>
      <c r="AR440" s="14">
        <f>IF($A440="","",IF(INDEX('潜水記録'!$AW$5:$AW$3004,$AS440)="","",INDEX('潜水記録'!$AW$5:$AW$3004,$AS440)))</f>
        <v/>
      </c>
      <c r="AS440" s="20">
        <f>IF($A440="","",MATCH($A440,'潜水記録'!$AI$5:$AI$3004,0))</f>
        <v/>
      </c>
    </row>
    <row r="441">
      <c r="A441" s="14">
        <f>IF(431&lt;=$C$8,431,"")</f>
        <v/>
      </c>
      <c r="B441" s="16">
        <f>IF($A441="","",IF(INDEX('潜水記録'!$A$5:$A$3004,$AS441)="","",INDEX('潜水記録'!$A$5:$A$3004,$AS441)))</f>
        <v/>
      </c>
      <c r="C441" s="14">
        <f>IF($A441="","",IF(INDEX('潜水記録'!$B$5:$B$3004,$AS441)="","",INDEX('潜水記録'!$B$5:$B$3004,$AS441)))</f>
        <v/>
      </c>
      <c r="D441" s="14">
        <f>IF($A441="","",IF(INDEX('潜水記録'!$C$5:$C$3004,$AS441)="","",INDEX('潜水記録'!$C$5:$C$3004,$AS441)))</f>
        <v/>
      </c>
      <c r="E441" s="14">
        <f>IF($A441="","",IF(INDEX('潜水記録'!$D$5:$D$3004,$AS441)="","",INDEX('潜水記録'!$D$5:$D$3004,$AS441)))</f>
        <v/>
      </c>
      <c r="F441" s="14">
        <f>IF($A441="","",IF(INDEX('潜水記録'!$E$5:$E$3004,$AS441)="","",INDEX('潜水記録'!$E$5:$E$3004,$AS441)))</f>
        <v/>
      </c>
      <c r="G441" s="14">
        <f>IF($A441="","",IF(INDEX('潜水記録'!$F$5:$F$3004,$AS441)="","",INDEX('潜水記録'!$F$5:$F$3004,$AS441)))</f>
        <v/>
      </c>
      <c r="H441" s="14">
        <f>IF($A441="","",IF(INDEX('潜水記録'!$G$5:$G$3004,$AS441)="","",INDEX('潜水記録'!$G$5:$G$3004,$AS441)))</f>
        <v/>
      </c>
      <c r="I441" s="14">
        <f>IF($A441="","",IF(INDEX('潜水記録'!$H$5:$H$3004,$AS441)="","",INDEX('潜水記録'!$H$5:$H$3004,$AS441)))</f>
        <v/>
      </c>
      <c r="J441" s="14">
        <f>IF($A441="","",IF(INDEX('潜水記録'!$I$5:$I$3004,$AS441)="","",INDEX('潜水記録'!$I$5:$I$3004,$AS441)))</f>
        <v/>
      </c>
      <c r="K441" s="14">
        <f>IF($A441="","",IF(INDEX('潜水記録'!$J$5:$J$3004,$AS441)="","",INDEX('潜水記録'!$J$5:$J$3004,$AS441)))</f>
        <v/>
      </c>
      <c r="L441" s="14">
        <f>IF($A441="","",IF(INDEX('潜水記録'!$K$5:$K$3004,$AS441)="","",INDEX('潜水記録'!$K$5:$K$3004,$AS441)))</f>
        <v/>
      </c>
      <c r="M441" s="14">
        <f>IF($A441="","",IF(INDEX('潜水記録'!$L$5:$L$3004,$AS441)="","",INDEX('潜水記録'!$L$5:$L$3004,$AS441)))</f>
        <v/>
      </c>
      <c r="N441" s="14">
        <f>IF($A441="","",IF(INDEX('潜水記録'!$M$5:$M$3004,$AS441)="","",INDEX('潜水記録'!$M$5:$M$3004,$AS441)))</f>
        <v/>
      </c>
      <c r="O441" s="14">
        <f>IF($A441="","",IF(INDEX('潜水記録'!$N$5:$N$3004,$AS441)="","",INDEX('潜水記録'!$N$5:$N$3004,$AS441)))</f>
        <v/>
      </c>
      <c r="P441" s="14">
        <f>IF($A441="","",IF(INDEX('潜水記録'!$O$5:$O$3004,$AS441)="","",INDEX('潜水記録'!$O$5:$O$3004,$AS441)))</f>
        <v/>
      </c>
      <c r="Q441" s="14">
        <f>IF($A441="","",IF(INDEX('潜水記録'!$P$5:$P$3004,$AS441)="","",INDEX('潜水記録'!$P$5:$P$3004,$AS441)))</f>
        <v/>
      </c>
      <c r="R441" s="14">
        <f>IF($A441="","",IF(INDEX('潜水記録'!$Q$5:$Q$3004,$AS441)="","",INDEX('潜水記録'!$Q$5:$Q$3004,$AS441)))</f>
        <v/>
      </c>
      <c r="S441" s="14">
        <f>IF($A441="","",IF(INDEX('潜水記録'!$R$5:$R$3004,$AS441)="","",INDEX('潜水記録'!$R$5:$R$3004,$AS441)))</f>
        <v/>
      </c>
      <c r="T441" s="14">
        <f>IF($A441="","",IF(INDEX('潜水記録'!$S$5:$S$3004,$AS441)="","",INDEX('潜水記録'!$S$5:$S$3004,$AS441)))</f>
        <v/>
      </c>
      <c r="U441" s="14">
        <f>IF($A441="","",IF(INDEX('潜水記録'!$T$5:$T$3004,$AS441)="","",INDEX('潜水記録'!$T$5:$T$3004,$AS441)))</f>
        <v/>
      </c>
      <c r="V441" s="46">
        <f>IF($A441="","",IF(INDEX('潜水記録'!$U$5:$U$3004,$AS441)="","",INDEX('潜水記録'!$U$5:$U$3004,$AS441)))</f>
        <v/>
      </c>
      <c r="W441" s="46">
        <f>IF($A441="","",IF(INDEX('潜水記録'!$V$5:$V$3004,$AS441)="","",INDEX('潜水記録'!$V$5:$V$3004,$AS441)))</f>
        <v/>
      </c>
      <c r="X441" s="14">
        <f>IF($A441="","",IF(INDEX('潜水記録'!$W$5:$W$3004,$AS441)="","",INDEX('潜水記録'!$W$5:$W$3004,$AS441)))</f>
        <v/>
      </c>
      <c r="Y441" s="14">
        <f>IF($A441="","",IF(INDEX('潜水記録'!$X$5:$X$3004,$AS441)="","",INDEX('潜水記録'!$X$5:$X$3004,$AS441)))</f>
        <v/>
      </c>
      <c r="Z441" s="14">
        <f>IF($A441="","",IF(INDEX('潜水記録'!$Y$5:$Y$3004,$AS441)="","",INDEX('潜水記録'!$Y$5:$Y$3004,$AS441)))</f>
        <v/>
      </c>
      <c r="AA441" s="14">
        <f>IF($A441="","",IF(INDEX('潜水記録'!$Z$5:$Z$3004,$AS441)="","",INDEX('潜水記録'!$Z$5:$Z$3004,$AS441)))</f>
        <v/>
      </c>
      <c r="AB441" s="14">
        <f>IF($A441="","",IF(INDEX('潜水記録'!$AA$5:$AA$3004,$AS441)="","",INDEX('潜水記録'!$AA$5:$AA$3004,$AS441)))</f>
        <v/>
      </c>
      <c r="AC441" s="14">
        <f>IF($A441="","",IF(INDEX('潜水記録'!$AB$5:$AB$3004,$AS441)="","",INDEX('潜水記録'!$AB$5:$AB$3004,$AS441)))</f>
        <v/>
      </c>
      <c r="AD441" s="14">
        <f>IF($A441="","",IF(INDEX('潜水記録'!$AC$5:$AC$3004,$AS441)="","",INDEX('潜水記録'!$AC$5:$AC$3004,$AS441)))</f>
        <v/>
      </c>
      <c r="AE441" s="14">
        <f>IF($A441="","",IF(INDEX('潜水記録'!$AD$5:$AD$3004,$AS441)="","",INDEX('潜水記録'!$AD$5:$AD$3004,$AS441)))</f>
        <v/>
      </c>
      <c r="AF441" s="14">
        <f>IF($A441="","",IF(INDEX('潜水記録'!$AE$5:$AE$3004,$AS441)="","",INDEX('潜水記録'!$AE$5:$AE$3004,$AS441)))</f>
        <v/>
      </c>
      <c r="AG441" s="14">
        <f>IF($A441="","",IF(INDEX('潜水記録'!$AL$5:$AL$3004,$AS441)="","",INDEX('潜水記録'!$AL$5:$AL$3004,$AS441)))</f>
        <v/>
      </c>
      <c r="AH441" s="14">
        <f>IF($A441="","",IF(INDEX('潜水記録'!$AM$5:$AM$3004,$AS441)="","",INDEX('潜水記録'!$AM$5:$AM$3004,$AS441)))</f>
        <v/>
      </c>
      <c r="AI441" s="46">
        <f>IF($A441="","",IF(INDEX('潜水記録'!$AN$5:$AN$3004,$AS441)="","",INDEX('潜水記録'!$AN$5:$AN$3004,$AS441)))</f>
        <v/>
      </c>
      <c r="AJ441" s="14">
        <f>IF($A441="","",IF(INDEX('潜水記録'!$AO$5:$AO$3004,$AS441)="","",INDEX('潜水記録'!$AO$5:$AO$3004,$AS441)))</f>
        <v/>
      </c>
      <c r="AK441" s="14">
        <f>IF($A441="","",IF(INDEX('潜水記録'!$AP$5:$AP$3004,$AS441)="","",INDEX('潜水記録'!$AP$5:$AP$3004,$AS441)))</f>
        <v/>
      </c>
      <c r="AL441" s="14">
        <f>IF($A441="","",IF(INDEX('潜水記録'!$AQ$5:$AQ$3004,$AS441)="","",INDEX('潜水記録'!$AQ$5:$AQ$3004,$AS441)))</f>
        <v/>
      </c>
      <c r="AM441" s="14">
        <f>IF($A441="","",IF(INDEX('潜水記録'!$AR$5:$AR$3004,$AS441)="","",INDEX('潜水記録'!$AR$5:$AR$3004,$AS441)))</f>
        <v/>
      </c>
      <c r="AN441" s="14">
        <f>IF($A441="","",IF(INDEX('潜水記録'!$AS$5:$AS$3004,$AS441)="","",INDEX('潜水記録'!$AS$5:$AS$3004,$AS441)))</f>
        <v/>
      </c>
      <c r="AO441" s="14">
        <f>IF($A441="","",IF(INDEX('潜水記録'!$AT$5:$AT$3004,$AS441)="","",INDEX('潜水記録'!$AT$5:$AT$3004,$AS441)))</f>
        <v/>
      </c>
      <c r="AP441" s="14">
        <f>IF($A441="","",IF(INDEX('潜水記録'!$AU$5:$AU$3004,$AS441)="","",INDEX('潜水記録'!$AU$5:$AU$3004,$AS441)))</f>
        <v/>
      </c>
      <c r="AQ441" s="14">
        <f>IF($A441="","",IF(INDEX('潜水記録'!$AV$5:$AV$3004,$AS441)="","",INDEX('潜水記録'!$AV$5:$AV$3004,$AS441)))</f>
        <v/>
      </c>
      <c r="AR441" s="14">
        <f>IF($A441="","",IF(INDEX('潜水記録'!$AW$5:$AW$3004,$AS441)="","",INDEX('潜水記録'!$AW$5:$AW$3004,$AS441)))</f>
        <v/>
      </c>
      <c r="AS441" s="20">
        <f>IF($A441="","",MATCH($A441,'潜水記録'!$AI$5:$AI$3004,0))</f>
        <v/>
      </c>
    </row>
    <row r="442">
      <c r="A442" s="14">
        <f>IF(432&lt;=$C$8,432,"")</f>
        <v/>
      </c>
      <c r="B442" s="16">
        <f>IF($A442="","",IF(INDEX('潜水記録'!$A$5:$A$3004,$AS442)="","",INDEX('潜水記録'!$A$5:$A$3004,$AS442)))</f>
        <v/>
      </c>
      <c r="C442" s="14">
        <f>IF($A442="","",IF(INDEX('潜水記録'!$B$5:$B$3004,$AS442)="","",INDEX('潜水記録'!$B$5:$B$3004,$AS442)))</f>
        <v/>
      </c>
      <c r="D442" s="14">
        <f>IF($A442="","",IF(INDEX('潜水記録'!$C$5:$C$3004,$AS442)="","",INDEX('潜水記録'!$C$5:$C$3004,$AS442)))</f>
        <v/>
      </c>
      <c r="E442" s="14">
        <f>IF($A442="","",IF(INDEX('潜水記録'!$D$5:$D$3004,$AS442)="","",INDEX('潜水記録'!$D$5:$D$3004,$AS442)))</f>
        <v/>
      </c>
      <c r="F442" s="14">
        <f>IF($A442="","",IF(INDEX('潜水記録'!$E$5:$E$3004,$AS442)="","",INDEX('潜水記録'!$E$5:$E$3004,$AS442)))</f>
        <v/>
      </c>
      <c r="G442" s="14">
        <f>IF($A442="","",IF(INDEX('潜水記録'!$F$5:$F$3004,$AS442)="","",INDEX('潜水記録'!$F$5:$F$3004,$AS442)))</f>
        <v/>
      </c>
      <c r="H442" s="14">
        <f>IF($A442="","",IF(INDEX('潜水記録'!$G$5:$G$3004,$AS442)="","",INDEX('潜水記録'!$G$5:$G$3004,$AS442)))</f>
        <v/>
      </c>
      <c r="I442" s="14">
        <f>IF($A442="","",IF(INDEX('潜水記録'!$H$5:$H$3004,$AS442)="","",INDEX('潜水記録'!$H$5:$H$3004,$AS442)))</f>
        <v/>
      </c>
      <c r="J442" s="14">
        <f>IF($A442="","",IF(INDEX('潜水記録'!$I$5:$I$3004,$AS442)="","",INDEX('潜水記録'!$I$5:$I$3004,$AS442)))</f>
        <v/>
      </c>
      <c r="K442" s="14">
        <f>IF($A442="","",IF(INDEX('潜水記録'!$J$5:$J$3004,$AS442)="","",INDEX('潜水記録'!$J$5:$J$3004,$AS442)))</f>
        <v/>
      </c>
      <c r="L442" s="14">
        <f>IF($A442="","",IF(INDEX('潜水記録'!$K$5:$K$3004,$AS442)="","",INDEX('潜水記録'!$K$5:$K$3004,$AS442)))</f>
        <v/>
      </c>
      <c r="M442" s="14">
        <f>IF($A442="","",IF(INDEX('潜水記録'!$L$5:$L$3004,$AS442)="","",INDEX('潜水記録'!$L$5:$L$3004,$AS442)))</f>
        <v/>
      </c>
      <c r="N442" s="14">
        <f>IF($A442="","",IF(INDEX('潜水記録'!$M$5:$M$3004,$AS442)="","",INDEX('潜水記録'!$M$5:$M$3004,$AS442)))</f>
        <v/>
      </c>
      <c r="O442" s="14">
        <f>IF($A442="","",IF(INDEX('潜水記録'!$N$5:$N$3004,$AS442)="","",INDEX('潜水記録'!$N$5:$N$3004,$AS442)))</f>
        <v/>
      </c>
      <c r="P442" s="14">
        <f>IF($A442="","",IF(INDEX('潜水記録'!$O$5:$O$3004,$AS442)="","",INDEX('潜水記録'!$O$5:$O$3004,$AS442)))</f>
        <v/>
      </c>
      <c r="Q442" s="14">
        <f>IF($A442="","",IF(INDEX('潜水記録'!$P$5:$P$3004,$AS442)="","",INDEX('潜水記録'!$P$5:$P$3004,$AS442)))</f>
        <v/>
      </c>
      <c r="R442" s="14">
        <f>IF($A442="","",IF(INDEX('潜水記録'!$Q$5:$Q$3004,$AS442)="","",INDEX('潜水記録'!$Q$5:$Q$3004,$AS442)))</f>
        <v/>
      </c>
      <c r="S442" s="14">
        <f>IF($A442="","",IF(INDEX('潜水記録'!$R$5:$R$3004,$AS442)="","",INDEX('潜水記録'!$R$5:$R$3004,$AS442)))</f>
        <v/>
      </c>
      <c r="T442" s="14">
        <f>IF($A442="","",IF(INDEX('潜水記録'!$S$5:$S$3004,$AS442)="","",INDEX('潜水記録'!$S$5:$S$3004,$AS442)))</f>
        <v/>
      </c>
      <c r="U442" s="14">
        <f>IF($A442="","",IF(INDEX('潜水記録'!$T$5:$T$3004,$AS442)="","",INDEX('潜水記録'!$T$5:$T$3004,$AS442)))</f>
        <v/>
      </c>
      <c r="V442" s="46">
        <f>IF($A442="","",IF(INDEX('潜水記録'!$U$5:$U$3004,$AS442)="","",INDEX('潜水記録'!$U$5:$U$3004,$AS442)))</f>
        <v/>
      </c>
      <c r="W442" s="46">
        <f>IF($A442="","",IF(INDEX('潜水記録'!$V$5:$V$3004,$AS442)="","",INDEX('潜水記録'!$V$5:$V$3004,$AS442)))</f>
        <v/>
      </c>
      <c r="X442" s="14">
        <f>IF($A442="","",IF(INDEX('潜水記録'!$W$5:$W$3004,$AS442)="","",INDEX('潜水記録'!$W$5:$W$3004,$AS442)))</f>
        <v/>
      </c>
      <c r="Y442" s="14">
        <f>IF($A442="","",IF(INDEX('潜水記録'!$X$5:$X$3004,$AS442)="","",INDEX('潜水記録'!$X$5:$X$3004,$AS442)))</f>
        <v/>
      </c>
      <c r="Z442" s="14">
        <f>IF($A442="","",IF(INDEX('潜水記録'!$Y$5:$Y$3004,$AS442)="","",INDEX('潜水記録'!$Y$5:$Y$3004,$AS442)))</f>
        <v/>
      </c>
      <c r="AA442" s="14">
        <f>IF($A442="","",IF(INDEX('潜水記録'!$Z$5:$Z$3004,$AS442)="","",INDEX('潜水記録'!$Z$5:$Z$3004,$AS442)))</f>
        <v/>
      </c>
      <c r="AB442" s="14">
        <f>IF($A442="","",IF(INDEX('潜水記録'!$AA$5:$AA$3004,$AS442)="","",INDEX('潜水記録'!$AA$5:$AA$3004,$AS442)))</f>
        <v/>
      </c>
      <c r="AC442" s="14">
        <f>IF($A442="","",IF(INDEX('潜水記録'!$AB$5:$AB$3004,$AS442)="","",INDEX('潜水記録'!$AB$5:$AB$3004,$AS442)))</f>
        <v/>
      </c>
      <c r="AD442" s="14">
        <f>IF($A442="","",IF(INDEX('潜水記録'!$AC$5:$AC$3004,$AS442)="","",INDEX('潜水記録'!$AC$5:$AC$3004,$AS442)))</f>
        <v/>
      </c>
      <c r="AE442" s="14">
        <f>IF($A442="","",IF(INDEX('潜水記録'!$AD$5:$AD$3004,$AS442)="","",INDEX('潜水記録'!$AD$5:$AD$3004,$AS442)))</f>
        <v/>
      </c>
      <c r="AF442" s="14">
        <f>IF($A442="","",IF(INDEX('潜水記録'!$AE$5:$AE$3004,$AS442)="","",INDEX('潜水記録'!$AE$5:$AE$3004,$AS442)))</f>
        <v/>
      </c>
      <c r="AG442" s="14">
        <f>IF($A442="","",IF(INDEX('潜水記録'!$AL$5:$AL$3004,$AS442)="","",INDEX('潜水記録'!$AL$5:$AL$3004,$AS442)))</f>
        <v/>
      </c>
      <c r="AH442" s="14">
        <f>IF($A442="","",IF(INDEX('潜水記録'!$AM$5:$AM$3004,$AS442)="","",INDEX('潜水記録'!$AM$5:$AM$3004,$AS442)))</f>
        <v/>
      </c>
      <c r="AI442" s="46">
        <f>IF($A442="","",IF(INDEX('潜水記録'!$AN$5:$AN$3004,$AS442)="","",INDEX('潜水記録'!$AN$5:$AN$3004,$AS442)))</f>
        <v/>
      </c>
      <c r="AJ442" s="14">
        <f>IF($A442="","",IF(INDEX('潜水記録'!$AO$5:$AO$3004,$AS442)="","",INDEX('潜水記録'!$AO$5:$AO$3004,$AS442)))</f>
        <v/>
      </c>
      <c r="AK442" s="14">
        <f>IF($A442="","",IF(INDEX('潜水記録'!$AP$5:$AP$3004,$AS442)="","",INDEX('潜水記録'!$AP$5:$AP$3004,$AS442)))</f>
        <v/>
      </c>
      <c r="AL442" s="14">
        <f>IF($A442="","",IF(INDEX('潜水記録'!$AQ$5:$AQ$3004,$AS442)="","",INDEX('潜水記録'!$AQ$5:$AQ$3004,$AS442)))</f>
        <v/>
      </c>
      <c r="AM442" s="14">
        <f>IF($A442="","",IF(INDEX('潜水記録'!$AR$5:$AR$3004,$AS442)="","",INDEX('潜水記録'!$AR$5:$AR$3004,$AS442)))</f>
        <v/>
      </c>
      <c r="AN442" s="14">
        <f>IF($A442="","",IF(INDEX('潜水記録'!$AS$5:$AS$3004,$AS442)="","",INDEX('潜水記録'!$AS$5:$AS$3004,$AS442)))</f>
        <v/>
      </c>
      <c r="AO442" s="14">
        <f>IF($A442="","",IF(INDEX('潜水記録'!$AT$5:$AT$3004,$AS442)="","",INDEX('潜水記録'!$AT$5:$AT$3004,$AS442)))</f>
        <v/>
      </c>
      <c r="AP442" s="14">
        <f>IF($A442="","",IF(INDEX('潜水記録'!$AU$5:$AU$3004,$AS442)="","",INDEX('潜水記録'!$AU$5:$AU$3004,$AS442)))</f>
        <v/>
      </c>
      <c r="AQ442" s="14">
        <f>IF($A442="","",IF(INDEX('潜水記録'!$AV$5:$AV$3004,$AS442)="","",INDEX('潜水記録'!$AV$5:$AV$3004,$AS442)))</f>
        <v/>
      </c>
      <c r="AR442" s="14">
        <f>IF($A442="","",IF(INDEX('潜水記録'!$AW$5:$AW$3004,$AS442)="","",INDEX('潜水記録'!$AW$5:$AW$3004,$AS442)))</f>
        <v/>
      </c>
      <c r="AS442" s="20">
        <f>IF($A442="","",MATCH($A442,'潜水記録'!$AI$5:$AI$3004,0))</f>
        <v/>
      </c>
    </row>
    <row r="443">
      <c r="A443" s="14">
        <f>IF(433&lt;=$C$8,433,"")</f>
        <v/>
      </c>
      <c r="B443" s="16">
        <f>IF($A443="","",IF(INDEX('潜水記録'!$A$5:$A$3004,$AS443)="","",INDEX('潜水記録'!$A$5:$A$3004,$AS443)))</f>
        <v/>
      </c>
      <c r="C443" s="14">
        <f>IF($A443="","",IF(INDEX('潜水記録'!$B$5:$B$3004,$AS443)="","",INDEX('潜水記録'!$B$5:$B$3004,$AS443)))</f>
        <v/>
      </c>
      <c r="D443" s="14">
        <f>IF($A443="","",IF(INDEX('潜水記録'!$C$5:$C$3004,$AS443)="","",INDEX('潜水記録'!$C$5:$C$3004,$AS443)))</f>
        <v/>
      </c>
      <c r="E443" s="14">
        <f>IF($A443="","",IF(INDEX('潜水記録'!$D$5:$D$3004,$AS443)="","",INDEX('潜水記録'!$D$5:$D$3004,$AS443)))</f>
        <v/>
      </c>
      <c r="F443" s="14">
        <f>IF($A443="","",IF(INDEX('潜水記録'!$E$5:$E$3004,$AS443)="","",INDEX('潜水記録'!$E$5:$E$3004,$AS443)))</f>
        <v/>
      </c>
      <c r="G443" s="14">
        <f>IF($A443="","",IF(INDEX('潜水記録'!$F$5:$F$3004,$AS443)="","",INDEX('潜水記録'!$F$5:$F$3004,$AS443)))</f>
        <v/>
      </c>
      <c r="H443" s="14">
        <f>IF($A443="","",IF(INDEX('潜水記録'!$G$5:$G$3004,$AS443)="","",INDEX('潜水記録'!$G$5:$G$3004,$AS443)))</f>
        <v/>
      </c>
      <c r="I443" s="14">
        <f>IF($A443="","",IF(INDEX('潜水記録'!$H$5:$H$3004,$AS443)="","",INDEX('潜水記録'!$H$5:$H$3004,$AS443)))</f>
        <v/>
      </c>
      <c r="J443" s="14">
        <f>IF($A443="","",IF(INDEX('潜水記録'!$I$5:$I$3004,$AS443)="","",INDEX('潜水記録'!$I$5:$I$3004,$AS443)))</f>
        <v/>
      </c>
      <c r="K443" s="14">
        <f>IF($A443="","",IF(INDEX('潜水記録'!$J$5:$J$3004,$AS443)="","",INDEX('潜水記録'!$J$5:$J$3004,$AS443)))</f>
        <v/>
      </c>
      <c r="L443" s="14">
        <f>IF($A443="","",IF(INDEX('潜水記録'!$K$5:$K$3004,$AS443)="","",INDEX('潜水記録'!$K$5:$K$3004,$AS443)))</f>
        <v/>
      </c>
      <c r="M443" s="14">
        <f>IF($A443="","",IF(INDEX('潜水記録'!$L$5:$L$3004,$AS443)="","",INDEX('潜水記録'!$L$5:$L$3004,$AS443)))</f>
        <v/>
      </c>
      <c r="N443" s="14">
        <f>IF($A443="","",IF(INDEX('潜水記録'!$M$5:$M$3004,$AS443)="","",INDEX('潜水記録'!$M$5:$M$3004,$AS443)))</f>
        <v/>
      </c>
      <c r="O443" s="14">
        <f>IF($A443="","",IF(INDEX('潜水記録'!$N$5:$N$3004,$AS443)="","",INDEX('潜水記録'!$N$5:$N$3004,$AS443)))</f>
        <v/>
      </c>
      <c r="P443" s="14">
        <f>IF($A443="","",IF(INDEX('潜水記録'!$O$5:$O$3004,$AS443)="","",INDEX('潜水記録'!$O$5:$O$3004,$AS443)))</f>
        <v/>
      </c>
      <c r="Q443" s="14">
        <f>IF($A443="","",IF(INDEX('潜水記録'!$P$5:$P$3004,$AS443)="","",INDEX('潜水記録'!$P$5:$P$3004,$AS443)))</f>
        <v/>
      </c>
      <c r="R443" s="14">
        <f>IF($A443="","",IF(INDEX('潜水記録'!$Q$5:$Q$3004,$AS443)="","",INDEX('潜水記録'!$Q$5:$Q$3004,$AS443)))</f>
        <v/>
      </c>
      <c r="S443" s="14">
        <f>IF($A443="","",IF(INDEX('潜水記録'!$R$5:$R$3004,$AS443)="","",INDEX('潜水記録'!$R$5:$R$3004,$AS443)))</f>
        <v/>
      </c>
      <c r="T443" s="14">
        <f>IF($A443="","",IF(INDEX('潜水記録'!$S$5:$S$3004,$AS443)="","",INDEX('潜水記録'!$S$5:$S$3004,$AS443)))</f>
        <v/>
      </c>
      <c r="U443" s="14">
        <f>IF($A443="","",IF(INDEX('潜水記録'!$T$5:$T$3004,$AS443)="","",INDEX('潜水記録'!$T$5:$T$3004,$AS443)))</f>
        <v/>
      </c>
      <c r="V443" s="46">
        <f>IF($A443="","",IF(INDEX('潜水記録'!$U$5:$U$3004,$AS443)="","",INDEX('潜水記録'!$U$5:$U$3004,$AS443)))</f>
        <v/>
      </c>
      <c r="W443" s="46">
        <f>IF($A443="","",IF(INDEX('潜水記録'!$V$5:$V$3004,$AS443)="","",INDEX('潜水記録'!$V$5:$V$3004,$AS443)))</f>
        <v/>
      </c>
      <c r="X443" s="14">
        <f>IF($A443="","",IF(INDEX('潜水記録'!$W$5:$W$3004,$AS443)="","",INDEX('潜水記録'!$W$5:$W$3004,$AS443)))</f>
        <v/>
      </c>
      <c r="Y443" s="14">
        <f>IF($A443="","",IF(INDEX('潜水記録'!$X$5:$X$3004,$AS443)="","",INDEX('潜水記録'!$X$5:$X$3004,$AS443)))</f>
        <v/>
      </c>
      <c r="Z443" s="14">
        <f>IF($A443="","",IF(INDEX('潜水記録'!$Y$5:$Y$3004,$AS443)="","",INDEX('潜水記録'!$Y$5:$Y$3004,$AS443)))</f>
        <v/>
      </c>
      <c r="AA443" s="14">
        <f>IF($A443="","",IF(INDEX('潜水記録'!$Z$5:$Z$3004,$AS443)="","",INDEX('潜水記録'!$Z$5:$Z$3004,$AS443)))</f>
        <v/>
      </c>
      <c r="AB443" s="14">
        <f>IF($A443="","",IF(INDEX('潜水記録'!$AA$5:$AA$3004,$AS443)="","",INDEX('潜水記録'!$AA$5:$AA$3004,$AS443)))</f>
        <v/>
      </c>
      <c r="AC443" s="14">
        <f>IF($A443="","",IF(INDEX('潜水記録'!$AB$5:$AB$3004,$AS443)="","",INDEX('潜水記録'!$AB$5:$AB$3004,$AS443)))</f>
        <v/>
      </c>
      <c r="AD443" s="14">
        <f>IF($A443="","",IF(INDEX('潜水記録'!$AC$5:$AC$3004,$AS443)="","",INDEX('潜水記録'!$AC$5:$AC$3004,$AS443)))</f>
        <v/>
      </c>
      <c r="AE443" s="14">
        <f>IF($A443="","",IF(INDEX('潜水記録'!$AD$5:$AD$3004,$AS443)="","",INDEX('潜水記録'!$AD$5:$AD$3004,$AS443)))</f>
        <v/>
      </c>
      <c r="AF443" s="14">
        <f>IF($A443="","",IF(INDEX('潜水記録'!$AE$5:$AE$3004,$AS443)="","",INDEX('潜水記録'!$AE$5:$AE$3004,$AS443)))</f>
        <v/>
      </c>
      <c r="AG443" s="14">
        <f>IF($A443="","",IF(INDEX('潜水記録'!$AL$5:$AL$3004,$AS443)="","",INDEX('潜水記録'!$AL$5:$AL$3004,$AS443)))</f>
        <v/>
      </c>
      <c r="AH443" s="14">
        <f>IF($A443="","",IF(INDEX('潜水記録'!$AM$5:$AM$3004,$AS443)="","",INDEX('潜水記録'!$AM$5:$AM$3004,$AS443)))</f>
        <v/>
      </c>
      <c r="AI443" s="46">
        <f>IF($A443="","",IF(INDEX('潜水記録'!$AN$5:$AN$3004,$AS443)="","",INDEX('潜水記録'!$AN$5:$AN$3004,$AS443)))</f>
        <v/>
      </c>
      <c r="AJ443" s="14">
        <f>IF($A443="","",IF(INDEX('潜水記録'!$AO$5:$AO$3004,$AS443)="","",INDEX('潜水記録'!$AO$5:$AO$3004,$AS443)))</f>
        <v/>
      </c>
      <c r="AK443" s="14">
        <f>IF($A443="","",IF(INDEX('潜水記録'!$AP$5:$AP$3004,$AS443)="","",INDEX('潜水記録'!$AP$5:$AP$3004,$AS443)))</f>
        <v/>
      </c>
      <c r="AL443" s="14">
        <f>IF($A443="","",IF(INDEX('潜水記録'!$AQ$5:$AQ$3004,$AS443)="","",INDEX('潜水記録'!$AQ$5:$AQ$3004,$AS443)))</f>
        <v/>
      </c>
      <c r="AM443" s="14">
        <f>IF($A443="","",IF(INDEX('潜水記録'!$AR$5:$AR$3004,$AS443)="","",INDEX('潜水記録'!$AR$5:$AR$3004,$AS443)))</f>
        <v/>
      </c>
      <c r="AN443" s="14">
        <f>IF($A443="","",IF(INDEX('潜水記録'!$AS$5:$AS$3004,$AS443)="","",INDEX('潜水記録'!$AS$5:$AS$3004,$AS443)))</f>
        <v/>
      </c>
      <c r="AO443" s="14">
        <f>IF($A443="","",IF(INDEX('潜水記録'!$AT$5:$AT$3004,$AS443)="","",INDEX('潜水記録'!$AT$5:$AT$3004,$AS443)))</f>
        <v/>
      </c>
      <c r="AP443" s="14">
        <f>IF($A443="","",IF(INDEX('潜水記録'!$AU$5:$AU$3004,$AS443)="","",INDEX('潜水記録'!$AU$5:$AU$3004,$AS443)))</f>
        <v/>
      </c>
      <c r="AQ443" s="14">
        <f>IF($A443="","",IF(INDEX('潜水記録'!$AV$5:$AV$3004,$AS443)="","",INDEX('潜水記録'!$AV$5:$AV$3004,$AS443)))</f>
        <v/>
      </c>
      <c r="AR443" s="14">
        <f>IF($A443="","",IF(INDEX('潜水記録'!$AW$5:$AW$3004,$AS443)="","",INDEX('潜水記録'!$AW$5:$AW$3004,$AS443)))</f>
        <v/>
      </c>
      <c r="AS443" s="20">
        <f>IF($A443="","",MATCH($A443,'潜水記録'!$AI$5:$AI$3004,0))</f>
        <v/>
      </c>
    </row>
    <row r="444">
      <c r="A444" s="14">
        <f>IF(434&lt;=$C$8,434,"")</f>
        <v/>
      </c>
      <c r="B444" s="16">
        <f>IF($A444="","",IF(INDEX('潜水記録'!$A$5:$A$3004,$AS444)="","",INDEX('潜水記録'!$A$5:$A$3004,$AS444)))</f>
        <v/>
      </c>
      <c r="C444" s="14">
        <f>IF($A444="","",IF(INDEX('潜水記録'!$B$5:$B$3004,$AS444)="","",INDEX('潜水記録'!$B$5:$B$3004,$AS444)))</f>
        <v/>
      </c>
      <c r="D444" s="14">
        <f>IF($A444="","",IF(INDEX('潜水記録'!$C$5:$C$3004,$AS444)="","",INDEX('潜水記録'!$C$5:$C$3004,$AS444)))</f>
        <v/>
      </c>
      <c r="E444" s="14">
        <f>IF($A444="","",IF(INDEX('潜水記録'!$D$5:$D$3004,$AS444)="","",INDEX('潜水記録'!$D$5:$D$3004,$AS444)))</f>
        <v/>
      </c>
      <c r="F444" s="14">
        <f>IF($A444="","",IF(INDEX('潜水記録'!$E$5:$E$3004,$AS444)="","",INDEX('潜水記録'!$E$5:$E$3004,$AS444)))</f>
        <v/>
      </c>
      <c r="G444" s="14">
        <f>IF($A444="","",IF(INDEX('潜水記録'!$F$5:$F$3004,$AS444)="","",INDEX('潜水記録'!$F$5:$F$3004,$AS444)))</f>
        <v/>
      </c>
      <c r="H444" s="14">
        <f>IF($A444="","",IF(INDEX('潜水記録'!$G$5:$G$3004,$AS444)="","",INDEX('潜水記録'!$G$5:$G$3004,$AS444)))</f>
        <v/>
      </c>
      <c r="I444" s="14">
        <f>IF($A444="","",IF(INDEX('潜水記録'!$H$5:$H$3004,$AS444)="","",INDEX('潜水記録'!$H$5:$H$3004,$AS444)))</f>
        <v/>
      </c>
      <c r="J444" s="14">
        <f>IF($A444="","",IF(INDEX('潜水記録'!$I$5:$I$3004,$AS444)="","",INDEX('潜水記録'!$I$5:$I$3004,$AS444)))</f>
        <v/>
      </c>
      <c r="K444" s="14">
        <f>IF($A444="","",IF(INDEX('潜水記録'!$J$5:$J$3004,$AS444)="","",INDEX('潜水記録'!$J$5:$J$3004,$AS444)))</f>
        <v/>
      </c>
      <c r="L444" s="14">
        <f>IF($A444="","",IF(INDEX('潜水記録'!$K$5:$K$3004,$AS444)="","",INDEX('潜水記録'!$K$5:$K$3004,$AS444)))</f>
        <v/>
      </c>
      <c r="M444" s="14">
        <f>IF($A444="","",IF(INDEX('潜水記録'!$L$5:$L$3004,$AS444)="","",INDEX('潜水記録'!$L$5:$L$3004,$AS444)))</f>
        <v/>
      </c>
      <c r="N444" s="14">
        <f>IF($A444="","",IF(INDEX('潜水記録'!$M$5:$M$3004,$AS444)="","",INDEX('潜水記録'!$M$5:$M$3004,$AS444)))</f>
        <v/>
      </c>
      <c r="O444" s="14">
        <f>IF($A444="","",IF(INDEX('潜水記録'!$N$5:$N$3004,$AS444)="","",INDEX('潜水記録'!$N$5:$N$3004,$AS444)))</f>
        <v/>
      </c>
      <c r="P444" s="14">
        <f>IF($A444="","",IF(INDEX('潜水記録'!$O$5:$O$3004,$AS444)="","",INDEX('潜水記録'!$O$5:$O$3004,$AS444)))</f>
        <v/>
      </c>
      <c r="Q444" s="14">
        <f>IF($A444="","",IF(INDEX('潜水記録'!$P$5:$P$3004,$AS444)="","",INDEX('潜水記録'!$P$5:$P$3004,$AS444)))</f>
        <v/>
      </c>
      <c r="R444" s="14">
        <f>IF($A444="","",IF(INDEX('潜水記録'!$Q$5:$Q$3004,$AS444)="","",INDEX('潜水記録'!$Q$5:$Q$3004,$AS444)))</f>
        <v/>
      </c>
      <c r="S444" s="14">
        <f>IF($A444="","",IF(INDEX('潜水記録'!$R$5:$R$3004,$AS444)="","",INDEX('潜水記録'!$R$5:$R$3004,$AS444)))</f>
        <v/>
      </c>
      <c r="T444" s="14">
        <f>IF($A444="","",IF(INDEX('潜水記録'!$S$5:$S$3004,$AS444)="","",INDEX('潜水記録'!$S$5:$S$3004,$AS444)))</f>
        <v/>
      </c>
      <c r="U444" s="14">
        <f>IF($A444="","",IF(INDEX('潜水記録'!$T$5:$T$3004,$AS444)="","",INDEX('潜水記録'!$T$5:$T$3004,$AS444)))</f>
        <v/>
      </c>
      <c r="V444" s="46">
        <f>IF($A444="","",IF(INDEX('潜水記録'!$U$5:$U$3004,$AS444)="","",INDEX('潜水記録'!$U$5:$U$3004,$AS444)))</f>
        <v/>
      </c>
      <c r="W444" s="46">
        <f>IF($A444="","",IF(INDEX('潜水記録'!$V$5:$V$3004,$AS444)="","",INDEX('潜水記録'!$V$5:$V$3004,$AS444)))</f>
        <v/>
      </c>
      <c r="X444" s="14">
        <f>IF($A444="","",IF(INDEX('潜水記録'!$W$5:$W$3004,$AS444)="","",INDEX('潜水記録'!$W$5:$W$3004,$AS444)))</f>
        <v/>
      </c>
      <c r="Y444" s="14">
        <f>IF($A444="","",IF(INDEX('潜水記録'!$X$5:$X$3004,$AS444)="","",INDEX('潜水記録'!$X$5:$X$3004,$AS444)))</f>
        <v/>
      </c>
      <c r="Z444" s="14">
        <f>IF($A444="","",IF(INDEX('潜水記録'!$Y$5:$Y$3004,$AS444)="","",INDEX('潜水記録'!$Y$5:$Y$3004,$AS444)))</f>
        <v/>
      </c>
      <c r="AA444" s="14">
        <f>IF($A444="","",IF(INDEX('潜水記録'!$Z$5:$Z$3004,$AS444)="","",INDEX('潜水記録'!$Z$5:$Z$3004,$AS444)))</f>
        <v/>
      </c>
      <c r="AB444" s="14">
        <f>IF($A444="","",IF(INDEX('潜水記録'!$AA$5:$AA$3004,$AS444)="","",INDEX('潜水記録'!$AA$5:$AA$3004,$AS444)))</f>
        <v/>
      </c>
      <c r="AC444" s="14">
        <f>IF($A444="","",IF(INDEX('潜水記録'!$AB$5:$AB$3004,$AS444)="","",INDEX('潜水記録'!$AB$5:$AB$3004,$AS444)))</f>
        <v/>
      </c>
      <c r="AD444" s="14">
        <f>IF($A444="","",IF(INDEX('潜水記録'!$AC$5:$AC$3004,$AS444)="","",INDEX('潜水記録'!$AC$5:$AC$3004,$AS444)))</f>
        <v/>
      </c>
      <c r="AE444" s="14">
        <f>IF($A444="","",IF(INDEX('潜水記録'!$AD$5:$AD$3004,$AS444)="","",INDEX('潜水記録'!$AD$5:$AD$3004,$AS444)))</f>
        <v/>
      </c>
      <c r="AF444" s="14">
        <f>IF($A444="","",IF(INDEX('潜水記録'!$AE$5:$AE$3004,$AS444)="","",INDEX('潜水記録'!$AE$5:$AE$3004,$AS444)))</f>
        <v/>
      </c>
      <c r="AG444" s="14">
        <f>IF($A444="","",IF(INDEX('潜水記録'!$AL$5:$AL$3004,$AS444)="","",INDEX('潜水記録'!$AL$5:$AL$3004,$AS444)))</f>
        <v/>
      </c>
      <c r="AH444" s="14">
        <f>IF($A444="","",IF(INDEX('潜水記録'!$AM$5:$AM$3004,$AS444)="","",INDEX('潜水記録'!$AM$5:$AM$3004,$AS444)))</f>
        <v/>
      </c>
      <c r="AI444" s="46">
        <f>IF($A444="","",IF(INDEX('潜水記録'!$AN$5:$AN$3004,$AS444)="","",INDEX('潜水記録'!$AN$5:$AN$3004,$AS444)))</f>
        <v/>
      </c>
      <c r="AJ444" s="14">
        <f>IF($A444="","",IF(INDEX('潜水記録'!$AO$5:$AO$3004,$AS444)="","",INDEX('潜水記録'!$AO$5:$AO$3004,$AS444)))</f>
        <v/>
      </c>
      <c r="AK444" s="14">
        <f>IF($A444="","",IF(INDEX('潜水記録'!$AP$5:$AP$3004,$AS444)="","",INDEX('潜水記録'!$AP$5:$AP$3004,$AS444)))</f>
        <v/>
      </c>
      <c r="AL444" s="14">
        <f>IF($A444="","",IF(INDEX('潜水記録'!$AQ$5:$AQ$3004,$AS444)="","",INDEX('潜水記録'!$AQ$5:$AQ$3004,$AS444)))</f>
        <v/>
      </c>
      <c r="AM444" s="14">
        <f>IF($A444="","",IF(INDEX('潜水記録'!$AR$5:$AR$3004,$AS444)="","",INDEX('潜水記録'!$AR$5:$AR$3004,$AS444)))</f>
        <v/>
      </c>
      <c r="AN444" s="14">
        <f>IF($A444="","",IF(INDEX('潜水記録'!$AS$5:$AS$3004,$AS444)="","",INDEX('潜水記録'!$AS$5:$AS$3004,$AS444)))</f>
        <v/>
      </c>
      <c r="AO444" s="14">
        <f>IF($A444="","",IF(INDEX('潜水記録'!$AT$5:$AT$3004,$AS444)="","",INDEX('潜水記録'!$AT$5:$AT$3004,$AS444)))</f>
        <v/>
      </c>
      <c r="AP444" s="14">
        <f>IF($A444="","",IF(INDEX('潜水記録'!$AU$5:$AU$3004,$AS444)="","",INDEX('潜水記録'!$AU$5:$AU$3004,$AS444)))</f>
        <v/>
      </c>
      <c r="AQ444" s="14">
        <f>IF($A444="","",IF(INDEX('潜水記録'!$AV$5:$AV$3004,$AS444)="","",INDEX('潜水記録'!$AV$5:$AV$3004,$AS444)))</f>
        <v/>
      </c>
      <c r="AR444" s="14">
        <f>IF($A444="","",IF(INDEX('潜水記録'!$AW$5:$AW$3004,$AS444)="","",INDEX('潜水記録'!$AW$5:$AW$3004,$AS444)))</f>
        <v/>
      </c>
      <c r="AS444" s="20">
        <f>IF($A444="","",MATCH($A444,'潜水記録'!$AI$5:$AI$3004,0))</f>
        <v/>
      </c>
    </row>
    <row r="445">
      <c r="A445" s="14">
        <f>IF(435&lt;=$C$8,435,"")</f>
        <v/>
      </c>
      <c r="B445" s="16">
        <f>IF($A445="","",IF(INDEX('潜水記録'!$A$5:$A$3004,$AS445)="","",INDEX('潜水記録'!$A$5:$A$3004,$AS445)))</f>
        <v/>
      </c>
      <c r="C445" s="14">
        <f>IF($A445="","",IF(INDEX('潜水記録'!$B$5:$B$3004,$AS445)="","",INDEX('潜水記録'!$B$5:$B$3004,$AS445)))</f>
        <v/>
      </c>
      <c r="D445" s="14">
        <f>IF($A445="","",IF(INDEX('潜水記録'!$C$5:$C$3004,$AS445)="","",INDEX('潜水記録'!$C$5:$C$3004,$AS445)))</f>
        <v/>
      </c>
      <c r="E445" s="14">
        <f>IF($A445="","",IF(INDEX('潜水記録'!$D$5:$D$3004,$AS445)="","",INDEX('潜水記録'!$D$5:$D$3004,$AS445)))</f>
        <v/>
      </c>
      <c r="F445" s="14">
        <f>IF($A445="","",IF(INDEX('潜水記録'!$E$5:$E$3004,$AS445)="","",INDEX('潜水記録'!$E$5:$E$3004,$AS445)))</f>
        <v/>
      </c>
      <c r="G445" s="14">
        <f>IF($A445="","",IF(INDEX('潜水記録'!$F$5:$F$3004,$AS445)="","",INDEX('潜水記録'!$F$5:$F$3004,$AS445)))</f>
        <v/>
      </c>
      <c r="H445" s="14">
        <f>IF($A445="","",IF(INDEX('潜水記録'!$G$5:$G$3004,$AS445)="","",INDEX('潜水記録'!$G$5:$G$3004,$AS445)))</f>
        <v/>
      </c>
      <c r="I445" s="14">
        <f>IF($A445="","",IF(INDEX('潜水記録'!$H$5:$H$3004,$AS445)="","",INDEX('潜水記録'!$H$5:$H$3004,$AS445)))</f>
        <v/>
      </c>
      <c r="J445" s="14">
        <f>IF($A445="","",IF(INDEX('潜水記録'!$I$5:$I$3004,$AS445)="","",INDEX('潜水記録'!$I$5:$I$3004,$AS445)))</f>
        <v/>
      </c>
      <c r="K445" s="14">
        <f>IF($A445="","",IF(INDEX('潜水記録'!$J$5:$J$3004,$AS445)="","",INDEX('潜水記録'!$J$5:$J$3004,$AS445)))</f>
        <v/>
      </c>
      <c r="L445" s="14">
        <f>IF($A445="","",IF(INDEX('潜水記録'!$K$5:$K$3004,$AS445)="","",INDEX('潜水記録'!$K$5:$K$3004,$AS445)))</f>
        <v/>
      </c>
      <c r="M445" s="14">
        <f>IF($A445="","",IF(INDEX('潜水記録'!$L$5:$L$3004,$AS445)="","",INDEX('潜水記録'!$L$5:$L$3004,$AS445)))</f>
        <v/>
      </c>
      <c r="N445" s="14">
        <f>IF($A445="","",IF(INDEX('潜水記録'!$M$5:$M$3004,$AS445)="","",INDEX('潜水記録'!$M$5:$M$3004,$AS445)))</f>
        <v/>
      </c>
      <c r="O445" s="14">
        <f>IF($A445="","",IF(INDEX('潜水記録'!$N$5:$N$3004,$AS445)="","",INDEX('潜水記録'!$N$5:$N$3004,$AS445)))</f>
        <v/>
      </c>
      <c r="P445" s="14">
        <f>IF($A445="","",IF(INDEX('潜水記録'!$O$5:$O$3004,$AS445)="","",INDEX('潜水記録'!$O$5:$O$3004,$AS445)))</f>
        <v/>
      </c>
      <c r="Q445" s="14">
        <f>IF($A445="","",IF(INDEX('潜水記録'!$P$5:$P$3004,$AS445)="","",INDEX('潜水記録'!$P$5:$P$3004,$AS445)))</f>
        <v/>
      </c>
      <c r="R445" s="14">
        <f>IF($A445="","",IF(INDEX('潜水記録'!$Q$5:$Q$3004,$AS445)="","",INDEX('潜水記録'!$Q$5:$Q$3004,$AS445)))</f>
        <v/>
      </c>
      <c r="S445" s="14">
        <f>IF($A445="","",IF(INDEX('潜水記録'!$R$5:$R$3004,$AS445)="","",INDEX('潜水記録'!$R$5:$R$3004,$AS445)))</f>
        <v/>
      </c>
      <c r="T445" s="14">
        <f>IF($A445="","",IF(INDEX('潜水記録'!$S$5:$S$3004,$AS445)="","",INDEX('潜水記録'!$S$5:$S$3004,$AS445)))</f>
        <v/>
      </c>
      <c r="U445" s="14">
        <f>IF($A445="","",IF(INDEX('潜水記録'!$T$5:$T$3004,$AS445)="","",INDEX('潜水記録'!$T$5:$T$3004,$AS445)))</f>
        <v/>
      </c>
      <c r="V445" s="46">
        <f>IF($A445="","",IF(INDEX('潜水記録'!$U$5:$U$3004,$AS445)="","",INDEX('潜水記録'!$U$5:$U$3004,$AS445)))</f>
        <v/>
      </c>
      <c r="W445" s="46">
        <f>IF($A445="","",IF(INDEX('潜水記録'!$V$5:$V$3004,$AS445)="","",INDEX('潜水記録'!$V$5:$V$3004,$AS445)))</f>
        <v/>
      </c>
      <c r="X445" s="14">
        <f>IF($A445="","",IF(INDEX('潜水記録'!$W$5:$W$3004,$AS445)="","",INDEX('潜水記録'!$W$5:$W$3004,$AS445)))</f>
        <v/>
      </c>
      <c r="Y445" s="14">
        <f>IF($A445="","",IF(INDEX('潜水記録'!$X$5:$X$3004,$AS445)="","",INDEX('潜水記録'!$X$5:$X$3004,$AS445)))</f>
        <v/>
      </c>
      <c r="Z445" s="14">
        <f>IF($A445="","",IF(INDEX('潜水記録'!$Y$5:$Y$3004,$AS445)="","",INDEX('潜水記録'!$Y$5:$Y$3004,$AS445)))</f>
        <v/>
      </c>
      <c r="AA445" s="14">
        <f>IF($A445="","",IF(INDEX('潜水記録'!$Z$5:$Z$3004,$AS445)="","",INDEX('潜水記録'!$Z$5:$Z$3004,$AS445)))</f>
        <v/>
      </c>
      <c r="AB445" s="14">
        <f>IF($A445="","",IF(INDEX('潜水記録'!$AA$5:$AA$3004,$AS445)="","",INDEX('潜水記録'!$AA$5:$AA$3004,$AS445)))</f>
        <v/>
      </c>
      <c r="AC445" s="14">
        <f>IF($A445="","",IF(INDEX('潜水記録'!$AB$5:$AB$3004,$AS445)="","",INDEX('潜水記録'!$AB$5:$AB$3004,$AS445)))</f>
        <v/>
      </c>
      <c r="AD445" s="14">
        <f>IF($A445="","",IF(INDEX('潜水記録'!$AC$5:$AC$3004,$AS445)="","",INDEX('潜水記録'!$AC$5:$AC$3004,$AS445)))</f>
        <v/>
      </c>
      <c r="AE445" s="14">
        <f>IF($A445="","",IF(INDEX('潜水記録'!$AD$5:$AD$3004,$AS445)="","",INDEX('潜水記録'!$AD$5:$AD$3004,$AS445)))</f>
        <v/>
      </c>
      <c r="AF445" s="14">
        <f>IF($A445="","",IF(INDEX('潜水記録'!$AE$5:$AE$3004,$AS445)="","",INDEX('潜水記録'!$AE$5:$AE$3004,$AS445)))</f>
        <v/>
      </c>
      <c r="AG445" s="14">
        <f>IF($A445="","",IF(INDEX('潜水記録'!$AL$5:$AL$3004,$AS445)="","",INDEX('潜水記録'!$AL$5:$AL$3004,$AS445)))</f>
        <v/>
      </c>
      <c r="AH445" s="14">
        <f>IF($A445="","",IF(INDEX('潜水記録'!$AM$5:$AM$3004,$AS445)="","",INDEX('潜水記録'!$AM$5:$AM$3004,$AS445)))</f>
        <v/>
      </c>
      <c r="AI445" s="46">
        <f>IF($A445="","",IF(INDEX('潜水記録'!$AN$5:$AN$3004,$AS445)="","",INDEX('潜水記録'!$AN$5:$AN$3004,$AS445)))</f>
        <v/>
      </c>
      <c r="AJ445" s="14">
        <f>IF($A445="","",IF(INDEX('潜水記録'!$AO$5:$AO$3004,$AS445)="","",INDEX('潜水記録'!$AO$5:$AO$3004,$AS445)))</f>
        <v/>
      </c>
      <c r="AK445" s="14">
        <f>IF($A445="","",IF(INDEX('潜水記録'!$AP$5:$AP$3004,$AS445)="","",INDEX('潜水記録'!$AP$5:$AP$3004,$AS445)))</f>
        <v/>
      </c>
      <c r="AL445" s="14">
        <f>IF($A445="","",IF(INDEX('潜水記録'!$AQ$5:$AQ$3004,$AS445)="","",INDEX('潜水記録'!$AQ$5:$AQ$3004,$AS445)))</f>
        <v/>
      </c>
      <c r="AM445" s="14">
        <f>IF($A445="","",IF(INDEX('潜水記録'!$AR$5:$AR$3004,$AS445)="","",INDEX('潜水記録'!$AR$5:$AR$3004,$AS445)))</f>
        <v/>
      </c>
      <c r="AN445" s="14">
        <f>IF($A445="","",IF(INDEX('潜水記録'!$AS$5:$AS$3004,$AS445)="","",INDEX('潜水記録'!$AS$5:$AS$3004,$AS445)))</f>
        <v/>
      </c>
      <c r="AO445" s="14">
        <f>IF($A445="","",IF(INDEX('潜水記録'!$AT$5:$AT$3004,$AS445)="","",INDEX('潜水記録'!$AT$5:$AT$3004,$AS445)))</f>
        <v/>
      </c>
      <c r="AP445" s="14">
        <f>IF($A445="","",IF(INDEX('潜水記録'!$AU$5:$AU$3004,$AS445)="","",INDEX('潜水記録'!$AU$5:$AU$3004,$AS445)))</f>
        <v/>
      </c>
      <c r="AQ445" s="14">
        <f>IF($A445="","",IF(INDEX('潜水記録'!$AV$5:$AV$3004,$AS445)="","",INDEX('潜水記録'!$AV$5:$AV$3004,$AS445)))</f>
        <v/>
      </c>
      <c r="AR445" s="14">
        <f>IF($A445="","",IF(INDEX('潜水記録'!$AW$5:$AW$3004,$AS445)="","",INDEX('潜水記録'!$AW$5:$AW$3004,$AS445)))</f>
        <v/>
      </c>
      <c r="AS445" s="20">
        <f>IF($A445="","",MATCH($A445,'潜水記録'!$AI$5:$AI$3004,0))</f>
        <v/>
      </c>
    </row>
    <row r="446">
      <c r="A446" s="14">
        <f>IF(436&lt;=$C$8,436,"")</f>
        <v/>
      </c>
      <c r="B446" s="16">
        <f>IF($A446="","",IF(INDEX('潜水記録'!$A$5:$A$3004,$AS446)="","",INDEX('潜水記録'!$A$5:$A$3004,$AS446)))</f>
        <v/>
      </c>
      <c r="C446" s="14">
        <f>IF($A446="","",IF(INDEX('潜水記録'!$B$5:$B$3004,$AS446)="","",INDEX('潜水記録'!$B$5:$B$3004,$AS446)))</f>
        <v/>
      </c>
      <c r="D446" s="14">
        <f>IF($A446="","",IF(INDEX('潜水記録'!$C$5:$C$3004,$AS446)="","",INDEX('潜水記録'!$C$5:$C$3004,$AS446)))</f>
        <v/>
      </c>
      <c r="E446" s="14">
        <f>IF($A446="","",IF(INDEX('潜水記録'!$D$5:$D$3004,$AS446)="","",INDEX('潜水記録'!$D$5:$D$3004,$AS446)))</f>
        <v/>
      </c>
      <c r="F446" s="14">
        <f>IF($A446="","",IF(INDEX('潜水記録'!$E$5:$E$3004,$AS446)="","",INDEX('潜水記録'!$E$5:$E$3004,$AS446)))</f>
        <v/>
      </c>
      <c r="G446" s="14">
        <f>IF($A446="","",IF(INDEX('潜水記録'!$F$5:$F$3004,$AS446)="","",INDEX('潜水記録'!$F$5:$F$3004,$AS446)))</f>
        <v/>
      </c>
      <c r="H446" s="14">
        <f>IF($A446="","",IF(INDEX('潜水記録'!$G$5:$G$3004,$AS446)="","",INDEX('潜水記録'!$G$5:$G$3004,$AS446)))</f>
        <v/>
      </c>
      <c r="I446" s="14">
        <f>IF($A446="","",IF(INDEX('潜水記録'!$H$5:$H$3004,$AS446)="","",INDEX('潜水記録'!$H$5:$H$3004,$AS446)))</f>
        <v/>
      </c>
      <c r="J446" s="14">
        <f>IF($A446="","",IF(INDEX('潜水記録'!$I$5:$I$3004,$AS446)="","",INDEX('潜水記録'!$I$5:$I$3004,$AS446)))</f>
        <v/>
      </c>
      <c r="K446" s="14">
        <f>IF($A446="","",IF(INDEX('潜水記録'!$J$5:$J$3004,$AS446)="","",INDEX('潜水記録'!$J$5:$J$3004,$AS446)))</f>
        <v/>
      </c>
      <c r="L446" s="14">
        <f>IF($A446="","",IF(INDEX('潜水記録'!$K$5:$K$3004,$AS446)="","",INDEX('潜水記録'!$K$5:$K$3004,$AS446)))</f>
        <v/>
      </c>
      <c r="M446" s="14">
        <f>IF($A446="","",IF(INDEX('潜水記録'!$L$5:$L$3004,$AS446)="","",INDEX('潜水記録'!$L$5:$L$3004,$AS446)))</f>
        <v/>
      </c>
      <c r="N446" s="14">
        <f>IF($A446="","",IF(INDEX('潜水記録'!$M$5:$M$3004,$AS446)="","",INDEX('潜水記録'!$M$5:$M$3004,$AS446)))</f>
        <v/>
      </c>
      <c r="O446" s="14">
        <f>IF($A446="","",IF(INDEX('潜水記録'!$N$5:$N$3004,$AS446)="","",INDEX('潜水記録'!$N$5:$N$3004,$AS446)))</f>
        <v/>
      </c>
      <c r="P446" s="14">
        <f>IF($A446="","",IF(INDEX('潜水記録'!$O$5:$O$3004,$AS446)="","",INDEX('潜水記録'!$O$5:$O$3004,$AS446)))</f>
        <v/>
      </c>
      <c r="Q446" s="14">
        <f>IF($A446="","",IF(INDEX('潜水記録'!$P$5:$P$3004,$AS446)="","",INDEX('潜水記録'!$P$5:$P$3004,$AS446)))</f>
        <v/>
      </c>
      <c r="R446" s="14">
        <f>IF($A446="","",IF(INDEX('潜水記録'!$Q$5:$Q$3004,$AS446)="","",INDEX('潜水記録'!$Q$5:$Q$3004,$AS446)))</f>
        <v/>
      </c>
      <c r="S446" s="14">
        <f>IF($A446="","",IF(INDEX('潜水記録'!$R$5:$R$3004,$AS446)="","",INDEX('潜水記録'!$R$5:$R$3004,$AS446)))</f>
        <v/>
      </c>
      <c r="T446" s="14">
        <f>IF($A446="","",IF(INDEX('潜水記録'!$S$5:$S$3004,$AS446)="","",INDEX('潜水記録'!$S$5:$S$3004,$AS446)))</f>
        <v/>
      </c>
      <c r="U446" s="14">
        <f>IF($A446="","",IF(INDEX('潜水記録'!$T$5:$T$3004,$AS446)="","",INDEX('潜水記録'!$T$5:$T$3004,$AS446)))</f>
        <v/>
      </c>
      <c r="V446" s="46">
        <f>IF($A446="","",IF(INDEX('潜水記録'!$U$5:$U$3004,$AS446)="","",INDEX('潜水記録'!$U$5:$U$3004,$AS446)))</f>
        <v/>
      </c>
      <c r="W446" s="46">
        <f>IF($A446="","",IF(INDEX('潜水記録'!$V$5:$V$3004,$AS446)="","",INDEX('潜水記録'!$V$5:$V$3004,$AS446)))</f>
        <v/>
      </c>
      <c r="X446" s="14">
        <f>IF($A446="","",IF(INDEX('潜水記録'!$W$5:$W$3004,$AS446)="","",INDEX('潜水記録'!$W$5:$W$3004,$AS446)))</f>
        <v/>
      </c>
      <c r="Y446" s="14">
        <f>IF($A446="","",IF(INDEX('潜水記録'!$X$5:$X$3004,$AS446)="","",INDEX('潜水記録'!$X$5:$X$3004,$AS446)))</f>
        <v/>
      </c>
      <c r="Z446" s="14">
        <f>IF($A446="","",IF(INDEX('潜水記録'!$Y$5:$Y$3004,$AS446)="","",INDEX('潜水記録'!$Y$5:$Y$3004,$AS446)))</f>
        <v/>
      </c>
      <c r="AA446" s="14">
        <f>IF($A446="","",IF(INDEX('潜水記録'!$Z$5:$Z$3004,$AS446)="","",INDEX('潜水記録'!$Z$5:$Z$3004,$AS446)))</f>
        <v/>
      </c>
      <c r="AB446" s="14">
        <f>IF($A446="","",IF(INDEX('潜水記録'!$AA$5:$AA$3004,$AS446)="","",INDEX('潜水記録'!$AA$5:$AA$3004,$AS446)))</f>
        <v/>
      </c>
      <c r="AC446" s="14">
        <f>IF($A446="","",IF(INDEX('潜水記録'!$AB$5:$AB$3004,$AS446)="","",INDEX('潜水記録'!$AB$5:$AB$3004,$AS446)))</f>
        <v/>
      </c>
      <c r="AD446" s="14">
        <f>IF($A446="","",IF(INDEX('潜水記録'!$AC$5:$AC$3004,$AS446)="","",INDEX('潜水記録'!$AC$5:$AC$3004,$AS446)))</f>
        <v/>
      </c>
      <c r="AE446" s="14">
        <f>IF($A446="","",IF(INDEX('潜水記録'!$AD$5:$AD$3004,$AS446)="","",INDEX('潜水記録'!$AD$5:$AD$3004,$AS446)))</f>
        <v/>
      </c>
      <c r="AF446" s="14">
        <f>IF($A446="","",IF(INDEX('潜水記録'!$AE$5:$AE$3004,$AS446)="","",INDEX('潜水記録'!$AE$5:$AE$3004,$AS446)))</f>
        <v/>
      </c>
      <c r="AG446" s="14">
        <f>IF($A446="","",IF(INDEX('潜水記録'!$AL$5:$AL$3004,$AS446)="","",INDEX('潜水記録'!$AL$5:$AL$3004,$AS446)))</f>
        <v/>
      </c>
      <c r="AH446" s="14">
        <f>IF($A446="","",IF(INDEX('潜水記録'!$AM$5:$AM$3004,$AS446)="","",INDEX('潜水記録'!$AM$5:$AM$3004,$AS446)))</f>
        <v/>
      </c>
      <c r="AI446" s="46">
        <f>IF($A446="","",IF(INDEX('潜水記録'!$AN$5:$AN$3004,$AS446)="","",INDEX('潜水記録'!$AN$5:$AN$3004,$AS446)))</f>
        <v/>
      </c>
      <c r="AJ446" s="14">
        <f>IF($A446="","",IF(INDEX('潜水記録'!$AO$5:$AO$3004,$AS446)="","",INDEX('潜水記録'!$AO$5:$AO$3004,$AS446)))</f>
        <v/>
      </c>
      <c r="AK446" s="14">
        <f>IF($A446="","",IF(INDEX('潜水記録'!$AP$5:$AP$3004,$AS446)="","",INDEX('潜水記録'!$AP$5:$AP$3004,$AS446)))</f>
        <v/>
      </c>
      <c r="AL446" s="14">
        <f>IF($A446="","",IF(INDEX('潜水記録'!$AQ$5:$AQ$3004,$AS446)="","",INDEX('潜水記録'!$AQ$5:$AQ$3004,$AS446)))</f>
        <v/>
      </c>
      <c r="AM446" s="14">
        <f>IF($A446="","",IF(INDEX('潜水記録'!$AR$5:$AR$3004,$AS446)="","",INDEX('潜水記録'!$AR$5:$AR$3004,$AS446)))</f>
        <v/>
      </c>
      <c r="AN446" s="14">
        <f>IF($A446="","",IF(INDEX('潜水記録'!$AS$5:$AS$3004,$AS446)="","",INDEX('潜水記録'!$AS$5:$AS$3004,$AS446)))</f>
        <v/>
      </c>
      <c r="AO446" s="14">
        <f>IF($A446="","",IF(INDEX('潜水記録'!$AT$5:$AT$3004,$AS446)="","",INDEX('潜水記録'!$AT$5:$AT$3004,$AS446)))</f>
        <v/>
      </c>
      <c r="AP446" s="14">
        <f>IF($A446="","",IF(INDEX('潜水記録'!$AU$5:$AU$3004,$AS446)="","",INDEX('潜水記録'!$AU$5:$AU$3004,$AS446)))</f>
        <v/>
      </c>
      <c r="AQ446" s="14">
        <f>IF($A446="","",IF(INDEX('潜水記録'!$AV$5:$AV$3004,$AS446)="","",INDEX('潜水記録'!$AV$5:$AV$3004,$AS446)))</f>
        <v/>
      </c>
      <c r="AR446" s="14">
        <f>IF($A446="","",IF(INDEX('潜水記録'!$AW$5:$AW$3004,$AS446)="","",INDEX('潜水記録'!$AW$5:$AW$3004,$AS446)))</f>
        <v/>
      </c>
      <c r="AS446" s="20">
        <f>IF($A446="","",MATCH($A446,'潜水記録'!$AI$5:$AI$3004,0))</f>
        <v/>
      </c>
    </row>
    <row r="447">
      <c r="A447" s="14">
        <f>IF(437&lt;=$C$8,437,"")</f>
        <v/>
      </c>
      <c r="B447" s="16">
        <f>IF($A447="","",IF(INDEX('潜水記録'!$A$5:$A$3004,$AS447)="","",INDEX('潜水記録'!$A$5:$A$3004,$AS447)))</f>
        <v/>
      </c>
      <c r="C447" s="14">
        <f>IF($A447="","",IF(INDEX('潜水記録'!$B$5:$B$3004,$AS447)="","",INDEX('潜水記録'!$B$5:$B$3004,$AS447)))</f>
        <v/>
      </c>
      <c r="D447" s="14">
        <f>IF($A447="","",IF(INDEX('潜水記録'!$C$5:$C$3004,$AS447)="","",INDEX('潜水記録'!$C$5:$C$3004,$AS447)))</f>
        <v/>
      </c>
      <c r="E447" s="14">
        <f>IF($A447="","",IF(INDEX('潜水記録'!$D$5:$D$3004,$AS447)="","",INDEX('潜水記録'!$D$5:$D$3004,$AS447)))</f>
        <v/>
      </c>
      <c r="F447" s="14">
        <f>IF($A447="","",IF(INDEX('潜水記録'!$E$5:$E$3004,$AS447)="","",INDEX('潜水記録'!$E$5:$E$3004,$AS447)))</f>
        <v/>
      </c>
      <c r="G447" s="14">
        <f>IF($A447="","",IF(INDEX('潜水記録'!$F$5:$F$3004,$AS447)="","",INDEX('潜水記録'!$F$5:$F$3004,$AS447)))</f>
        <v/>
      </c>
      <c r="H447" s="14">
        <f>IF($A447="","",IF(INDEX('潜水記録'!$G$5:$G$3004,$AS447)="","",INDEX('潜水記録'!$G$5:$G$3004,$AS447)))</f>
        <v/>
      </c>
      <c r="I447" s="14">
        <f>IF($A447="","",IF(INDEX('潜水記録'!$H$5:$H$3004,$AS447)="","",INDEX('潜水記録'!$H$5:$H$3004,$AS447)))</f>
        <v/>
      </c>
      <c r="J447" s="14">
        <f>IF($A447="","",IF(INDEX('潜水記録'!$I$5:$I$3004,$AS447)="","",INDEX('潜水記録'!$I$5:$I$3004,$AS447)))</f>
        <v/>
      </c>
      <c r="K447" s="14">
        <f>IF($A447="","",IF(INDEX('潜水記録'!$J$5:$J$3004,$AS447)="","",INDEX('潜水記録'!$J$5:$J$3004,$AS447)))</f>
        <v/>
      </c>
      <c r="L447" s="14">
        <f>IF($A447="","",IF(INDEX('潜水記録'!$K$5:$K$3004,$AS447)="","",INDEX('潜水記録'!$K$5:$K$3004,$AS447)))</f>
        <v/>
      </c>
      <c r="M447" s="14">
        <f>IF($A447="","",IF(INDEX('潜水記録'!$L$5:$L$3004,$AS447)="","",INDEX('潜水記録'!$L$5:$L$3004,$AS447)))</f>
        <v/>
      </c>
      <c r="N447" s="14">
        <f>IF($A447="","",IF(INDEX('潜水記録'!$M$5:$M$3004,$AS447)="","",INDEX('潜水記録'!$M$5:$M$3004,$AS447)))</f>
        <v/>
      </c>
      <c r="O447" s="14">
        <f>IF($A447="","",IF(INDEX('潜水記録'!$N$5:$N$3004,$AS447)="","",INDEX('潜水記録'!$N$5:$N$3004,$AS447)))</f>
        <v/>
      </c>
      <c r="P447" s="14">
        <f>IF($A447="","",IF(INDEX('潜水記録'!$O$5:$O$3004,$AS447)="","",INDEX('潜水記録'!$O$5:$O$3004,$AS447)))</f>
        <v/>
      </c>
      <c r="Q447" s="14">
        <f>IF($A447="","",IF(INDEX('潜水記録'!$P$5:$P$3004,$AS447)="","",INDEX('潜水記録'!$P$5:$P$3004,$AS447)))</f>
        <v/>
      </c>
      <c r="R447" s="14">
        <f>IF($A447="","",IF(INDEX('潜水記録'!$Q$5:$Q$3004,$AS447)="","",INDEX('潜水記録'!$Q$5:$Q$3004,$AS447)))</f>
        <v/>
      </c>
      <c r="S447" s="14">
        <f>IF($A447="","",IF(INDEX('潜水記録'!$R$5:$R$3004,$AS447)="","",INDEX('潜水記録'!$R$5:$R$3004,$AS447)))</f>
        <v/>
      </c>
      <c r="T447" s="14">
        <f>IF($A447="","",IF(INDEX('潜水記録'!$S$5:$S$3004,$AS447)="","",INDEX('潜水記録'!$S$5:$S$3004,$AS447)))</f>
        <v/>
      </c>
      <c r="U447" s="14">
        <f>IF($A447="","",IF(INDEX('潜水記録'!$T$5:$T$3004,$AS447)="","",INDEX('潜水記録'!$T$5:$T$3004,$AS447)))</f>
        <v/>
      </c>
      <c r="V447" s="46">
        <f>IF($A447="","",IF(INDEX('潜水記録'!$U$5:$U$3004,$AS447)="","",INDEX('潜水記録'!$U$5:$U$3004,$AS447)))</f>
        <v/>
      </c>
      <c r="W447" s="46">
        <f>IF($A447="","",IF(INDEX('潜水記録'!$V$5:$V$3004,$AS447)="","",INDEX('潜水記録'!$V$5:$V$3004,$AS447)))</f>
        <v/>
      </c>
      <c r="X447" s="14">
        <f>IF($A447="","",IF(INDEX('潜水記録'!$W$5:$W$3004,$AS447)="","",INDEX('潜水記録'!$W$5:$W$3004,$AS447)))</f>
        <v/>
      </c>
      <c r="Y447" s="14">
        <f>IF($A447="","",IF(INDEX('潜水記録'!$X$5:$X$3004,$AS447)="","",INDEX('潜水記録'!$X$5:$X$3004,$AS447)))</f>
        <v/>
      </c>
      <c r="Z447" s="14">
        <f>IF($A447="","",IF(INDEX('潜水記録'!$Y$5:$Y$3004,$AS447)="","",INDEX('潜水記録'!$Y$5:$Y$3004,$AS447)))</f>
        <v/>
      </c>
      <c r="AA447" s="14">
        <f>IF($A447="","",IF(INDEX('潜水記録'!$Z$5:$Z$3004,$AS447)="","",INDEX('潜水記録'!$Z$5:$Z$3004,$AS447)))</f>
        <v/>
      </c>
      <c r="AB447" s="14">
        <f>IF($A447="","",IF(INDEX('潜水記録'!$AA$5:$AA$3004,$AS447)="","",INDEX('潜水記録'!$AA$5:$AA$3004,$AS447)))</f>
        <v/>
      </c>
      <c r="AC447" s="14">
        <f>IF($A447="","",IF(INDEX('潜水記録'!$AB$5:$AB$3004,$AS447)="","",INDEX('潜水記録'!$AB$5:$AB$3004,$AS447)))</f>
        <v/>
      </c>
      <c r="AD447" s="14">
        <f>IF($A447="","",IF(INDEX('潜水記録'!$AC$5:$AC$3004,$AS447)="","",INDEX('潜水記録'!$AC$5:$AC$3004,$AS447)))</f>
        <v/>
      </c>
      <c r="AE447" s="14">
        <f>IF($A447="","",IF(INDEX('潜水記録'!$AD$5:$AD$3004,$AS447)="","",INDEX('潜水記録'!$AD$5:$AD$3004,$AS447)))</f>
        <v/>
      </c>
      <c r="AF447" s="14">
        <f>IF($A447="","",IF(INDEX('潜水記録'!$AE$5:$AE$3004,$AS447)="","",INDEX('潜水記録'!$AE$5:$AE$3004,$AS447)))</f>
        <v/>
      </c>
      <c r="AG447" s="14">
        <f>IF($A447="","",IF(INDEX('潜水記録'!$AL$5:$AL$3004,$AS447)="","",INDEX('潜水記録'!$AL$5:$AL$3004,$AS447)))</f>
        <v/>
      </c>
      <c r="AH447" s="14">
        <f>IF($A447="","",IF(INDEX('潜水記録'!$AM$5:$AM$3004,$AS447)="","",INDEX('潜水記録'!$AM$5:$AM$3004,$AS447)))</f>
        <v/>
      </c>
      <c r="AI447" s="46">
        <f>IF($A447="","",IF(INDEX('潜水記録'!$AN$5:$AN$3004,$AS447)="","",INDEX('潜水記録'!$AN$5:$AN$3004,$AS447)))</f>
        <v/>
      </c>
      <c r="AJ447" s="14">
        <f>IF($A447="","",IF(INDEX('潜水記録'!$AO$5:$AO$3004,$AS447)="","",INDEX('潜水記録'!$AO$5:$AO$3004,$AS447)))</f>
        <v/>
      </c>
      <c r="AK447" s="14">
        <f>IF($A447="","",IF(INDEX('潜水記録'!$AP$5:$AP$3004,$AS447)="","",INDEX('潜水記録'!$AP$5:$AP$3004,$AS447)))</f>
        <v/>
      </c>
      <c r="AL447" s="14">
        <f>IF($A447="","",IF(INDEX('潜水記録'!$AQ$5:$AQ$3004,$AS447)="","",INDEX('潜水記録'!$AQ$5:$AQ$3004,$AS447)))</f>
        <v/>
      </c>
      <c r="AM447" s="14">
        <f>IF($A447="","",IF(INDEX('潜水記録'!$AR$5:$AR$3004,$AS447)="","",INDEX('潜水記録'!$AR$5:$AR$3004,$AS447)))</f>
        <v/>
      </c>
      <c r="AN447" s="14">
        <f>IF($A447="","",IF(INDEX('潜水記録'!$AS$5:$AS$3004,$AS447)="","",INDEX('潜水記録'!$AS$5:$AS$3004,$AS447)))</f>
        <v/>
      </c>
      <c r="AO447" s="14">
        <f>IF($A447="","",IF(INDEX('潜水記録'!$AT$5:$AT$3004,$AS447)="","",INDEX('潜水記録'!$AT$5:$AT$3004,$AS447)))</f>
        <v/>
      </c>
      <c r="AP447" s="14">
        <f>IF($A447="","",IF(INDEX('潜水記録'!$AU$5:$AU$3004,$AS447)="","",INDEX('潜水記録'!$AU$5:$AU$3004,$AS447)))</f>
        <v/>
      </c>
      <c r="AQ447" s="14">
        <f>IF($A447="","",IF(INDEX('潜水記録'!$AV$5:$AV$3004,$AS447)="","",INDEX('潜水記録'!$AV$5:$AV$3004,$AS447)))</f>
        <v/>
      </c>
      <c r="AR447" s="14">
        <f>IF($A447="","",IF(INDEX('潜水記録'!$AW$5:$AW$3004,$AS447)="","",INDEX('潜水記録'!$AW$5:$AW$3004,$AS447)))</f>
        <v/>
      </c>
      <c r="AS447" s="20">
        <f>IF($A447="","",MATCH($A447,'潜水記録'!$AI$5:$AI$3004,0))</f>
        <v/>
      </c>
    </row>
    <row r="448">
      <c r="A448" s="14">
        <f>IF(438&lt;=$C$8,438,"")</f>
        <v/>
      </c>
      <c r="B448" s="16">
        <f>IF($A448="","",IF(INDEX('潜水記録'!$A$5:$A$3004,$AS448)="","",INDEX('潜水記録'!$A$5:$A$3004,$AS448)))</f>
        <v/>
      </c>
      <c r="C448" s="14">
        <f>IF($A448="","",IF(INDEX('潜水記録'!$B$5:$B$3004,$AS448)="","",INDEX('潜水記録'!$B$5:$B$3004,$AS448)))</f>
        <v/>
      </c>
      <c r="D448" s="14">
        <f>IF($A448="","",IF(INDEX('潜水記録'!$C$5:$C$3004,$AS448)="","",INDEX('潜水記録'!$C$5:$C$3004,$AS448)))</f>
        <v/>
      </c>
      <c r="E448" s="14">
        <f>IF($A448="","",IF(INDEX('潜水記録'!$D$5:$D$3004,$AS448)="","",INDEX('潜水記録'!$D$5:$D$3004,$AS448)))</f>
        <v/>
      </c>
      <c r="F448" s="14">
        <f>IF($A448="","",IF(INDEX('潜水記録'!$E$5:$E$3004,$AS448)="","",INDEX('潜水記録'!$E$5:$E$3004,$AS448)))</f>
        <v/>
      </c>
      <c r="G448" s="14">
        <f>IF($A448="","",IF(INDEX('潜水記録'!$F$5:$F$3004,$AS448)="","",INDEX('潜水記録'!$F$5:$F$3004,$AS448)))</f>
        <v/>
      </c>
      <c r="H448" s="14">
        <f>IF($A448="","",IF(INDEX('潜水記録'!$G$5:$G$3004,$AS448)="","",INDEX('潜水記録'!$G$5:$G$3004,$AS448)))</f>
        <v/>
      </c>
      <c r="I448" s="14">
        <f>IF($A448="","",IF(INDEX('潜水記録'!$H$5:$H$3004,$AS448)="","",INDEX('潜水記録'!$H$5:$H$3004,$AS448)))</f>
        <v/>
      </c>
      <c r="J448" s="14">
        <f>IF($A448="","",IF(INDEX('潜水記録'!$I$5:$I$3004,$AS448)="","",INDEX('潜水記録'!$I$5:$I$3004,$AS448)))</f>
        <v/>
      </c>
      <c r="K448" s="14">
        <f>IF($A448="","",IF(INDEX('潜水記録'!$J$5:$J$3004,$AS448)="","",INDEX('潜水記録'!$J$5:$J$3004,$AS448)))</f>
        <v/>
      </c>
      <c r="L448" s="14">
        <f>IF($A448="","",IF(INDEX('潜水記録'!$K$5:$K$3004,$AS448)="","",INDEX('潜水記録'!$K$5:$K$3004,$AS448)))</f>
        <v/>
      </c>
      <c r="M448" s="14">
        <f>IF($A448="","",IF(INDEX('潜水記録'!$L$5:$L$3004,$AS448)="","",INDEX('潜水記録'!$L$5:$L$3004,$AS448)))</f>
        <v/>
      </c>
      <c r="N448" s="14">
        <f>IF($A448="","",IF(INDEX('潜水記録'!$M$5:$M$3004,$AS448)="","",INDEX('潜水記録'!$M$5:$M$3004,$AS448)))</f>
        <v/>
      </c>
      <c r="O448" s="14">
        <f>IF($A448="","",IF(INDEX('潜水記録'!$N$5:$N$3004,$AS448)="","",INDEX('潜水記録'!$N$5:$N$3004,$AS448)))</f>
        <v/>
      </c>
      <c r="P448" s="14">
        <f>IF($A448="","",IF(INDEX('潜水記録'!$O$5:$O$3004,$AS448)="","",INDEX('潜水記録'!$O$5:$O$3004,$AS448)))</f>
        <v/>
      </c>
      <c r="Q448" s="14">
        <f>IF($A448="","",IF(INDEX('潜水記録'!$P$5:$P$3004,$AS448)="","",INDEX('潜水記録'!$P$5:$P$3004,$AS448)))</f>
        <v/>
      </c>
      <c r="R448" s="14">
        <f>IF($A448="","",IF(INDEX('潜水記録'!$Q$5:$Q$3004,$AS448)="","",INDEX('潜水記録'!$Q$5:$Q$3004,$AS448)))</f>
        <v/>
      </c>
      <c r="S448" s="14">
        <f>IF($A448="","",IF(INDEX('潜水記録'!$R$5:$R$3004,$AS448)="","",INDEX('潜水記録'!$R$5:$R$3004,$AS448)))</f>
        <v/>
      </c>
      <c r="T448" s="14">
        <f>IF($A448="","",IF(INDEX('潜水記録'!$S$5:$S$3004,$AS448)="","",INDEX('潜水記録'!$S$5:$S$3004,$AS448)))</f>
        <v/>
      </c>
      <c r="U448" s="14">
        <f>IF($A448="","",IF(INDEX('潜水記録'!$T$5:$T$3004,$AS448)="","",INDEX('潜水記録'!$T$5:$T$3004,$AS448)))</f>
        <v/>
      </c>
      <c r="V448" s="46">
        <f>IF($A448="","",IF(INDEX('潜水記録'!$U$5:$U$3004,$AS448)="","",INDEX('潜水記録'!$U$5:$U$3004,$AS448)))</f>
        <v/>
      </c>
      <c r="W448" s="46">
        <f>IF($A448="","",IF(INDEX('潜水記録'!$V$5:$V$3004,$AS448)="","",INDEX('潜水記録'!$V$5:$V$3004,$AS448)))</f>
        <v/>
      </c>
      <c r="X448" s="14">
        <f>IF($A448="","",IF(INDEX('潜水記録'!$W$5:$W$3004,$AS448)="","",INDEX('潜水記録'!$W$5:$W$3004,$AS448)))</f>
        <v/>
      </c>
      <c r="Y448" s="14">
        <f>IF($A448="","",IF(INDEX('潜水記録'!$X$5:$X$3004,$AS448)="","",INDEX('潜水記録'!$X$5:$X$3004,$AS448)))</f>
        <v/>
      </c>
      <c r="Z448" s="14">
        <f>IF($A448="","",IF(INDEX('潜水記録'!$Y$5:$Y$3004,$AS448)="","",INDEX('潜水記録'!$Y$5:$Y$3004,$AS448)))</f>
        <v/>
      </c>
      <c r="AA448" s="14">
        <f>IF($A448="","",IF(INDEX('潜水記録'!$Z$5:$Z$3004,$AS448)="","",INDEX('潜水記録'!$Z$5:$Z$3004,$AS448)))</f>
        <v/>
      </c>
      <c r="AB448" s="14">
        <f>IF($A448="","",IF(INDEX('潜水記録'!$AA$5:$AA$3004,$AS448)="","",INDEX('潜水記録'!$AA$5:$AA$3004,$AS448)))</f>
        <v/>
      </c>
      <c r="AC448" s="14">
        <f>IF($A448="","",IF(INDEX('潜水記録'!$AB$5:$AB$3004,$AS448)="","",INDEX('潜水記録'!$AB$5:$AB$3004,$AS448)))</f>
        <v/>
      </c>
      <c r="AD448" s="14">
        <f>IF($A448="","",IF(INDEX('潜水記録'!$AC$5:$AC$3004,$AS448)="","",INDEX('潜水記録'!$AC$5:$AC$3004,$AS448)))</f>
        <v/>
      </c>
      <c r="AE448" s="14">
        <f>IF($A448="","",IF(INDEX('潜水記録'!$AD$5:$AD$3004,$AS448)="","",INDEX('潜水記録'!$AD$5:$AD$3004,$AS448)))</f>
        <v/>
      </c>
      <c r="AF448" s="14">
        <f>IF($A448="","",IF(INDEX('潜水記録'!$AE$5:$AE$3004,$AS448)="","",INDEX('潜水記録'!$AE$5:$AE$3004,$AS448)))</f>
        <v/>
      </c>
      <c r="AG448" s="14">
        <f>IF($A448="","",IF(INDEX('潜水記録'!$AL$5:$AL$3004,$AS448)="","",INDEX('潜水記録'!$AL$5:$AL$3004,$AS448)))</f>
        <v/>
      </c>
      <c r="AH448" s="14">
        <f>IF($A448="","",IF(INDEX('潜水記録'!$AM$5:$AM$3004,$AS448)="","",INDEX('潜水記録'!$AM$5:$AM$3004,$AS448)))</f>
        <v/>
      </c>
      <c r="AI448" s="46">
        <f>IF($A448="","",IF(INDEX('潜水記録'!$AN$5:$AN$3004,$AS448)="","",INDEX('潜水記録'!$AN$5:$AN$3004,$AS448)))</f>
        <v/>
      </c>
      <c r="AJ448" s="14">
        <f>IF($A448="","",IF(INDEX('潜水記録'!$AO$5:$AO$3004,$AS448)="","",INDEX('潜水記録'!$AO$5:$AO$3004,$AS448)))</f>
        <v/>
      </c>
      <c r="AK448" s="14">
        <f>IF($A448="","",IF(INDEX('潜水記録'!$AP$5:$AP$3004,$AS448)="","",INDEX('潜水記録'!$AP$5:$AP$3004,$AS448)))</f>
        <v/>
      </c>
      <c r="AL448" s="14">
        <f>IF($A448="","",IF(INDEX('潜水記録'!$AQ$5:$AQ$3004,$AS448)="","",INDEX('潜水記録'!$AQ$5:$AQ$3004,$AS448)))</f>
        <v/>
      </c>
      <c r="AM448" s="14">
        <f>IF($A448="","",IF(INDEX('潜水記録'!$AR$5:$AR$3004,$AS448)="","",INDEX('潜水記録'!$AR$5:$AR$3004,$AS448)))</f>
        <v/>
      </c>
      <c r="AN448" s="14">
        <f>IF($A448="","",IF(INDEX('潜水記録'!$AS$5:$AS$3004,$AS448)="","",INDEX('潜水記録'!$AS$5:$AS$3004,$AS448)))</f>
        <v/>
      </c>
      <c r="AO448" s="14">
        <f>IF($A448="","",IF(INDEX('潜水記録'!$AT$5:$AT$3004,$AS448)="","",INDEX('潜水記録'!$AT$5:$AT$3004,$AS448)))</f>
        <v/>
      </c>
      <c r="AP448" s="14">
        <f>IF($A448="","",IF(INDEX('潜水記録'!$AU$5:$AU$3004,$AS448)="","",INDEX('潜水記録'!$AU$5:$AU$3004,$AS448)))</f>
        <v/>
      </c>
      <c r="AQ448" s="14">
        <f>IF($A448="","",IF(INDEX('潜水記録'!$AV$5:$AV$3004,$AS448)="","",INDEX('潜水記録'!$AV$5:$AV$3004,$AS448)))</f>
        <v/>
      </c>
      <c r="AR448" s="14">
        <f>IF($A448="","",IF(INDEX('潜水記録'!$AW$5:$AW$3004,$AS448)="","",INDEX('潜水記録'!$AW$5:$AW$3004,$AS448)))</f>
        <v/>
      </c>
      <c r="AS448" s="20">
        <f>IF($A448="","",MATCH($A448,'潜水記録'!$AI$5:$AI$3004,0))</f>
        <v/>
      </c>
    </row>
    <row r="449">
      <c r="A449" s="14">
        <f>IF(439&lt;=$C$8,439,"")</f>
        <v/>
      </c>
      <c r="B449" s="16">
        <f>IF($A449="","",IF(INDEX('潜水記録'!$A$5:$A$3004,$AS449)="","",INDEX('潜水記録'!$A$5:$A$3004,$AS449)))</f>
        <v/>
      </c>
      <c r="C449" s="14">
        <f>IF($A449="","",IF(INDEX('潜水記録'!$B$5:$B$3004,$AS449)="","",INDEX('潜水記録'!$B$5:$B$3004,$AS449)))</f>
        <v/>
      </c>
      <c r="D449" s="14">
        <f>IF($A449="","",IF(INDEX('潜水記録'!$C$5:$C$3004,$AS449)="","",INDEX('潜水記録'!$C$5:$C$3004,$AS449)))</f>
        <v/>
      </c>
      <c r="E449" s="14">
        <f>IF($A449="","",IF(INDEX('潜水記録'!$D$5:$D$3004,$AS449)="","",INDEX('潜水記録'!$D$5:$D$3004,$AS449)))</f>
        <v/>
      </c>
      <c r="F449" s="14">
        <f>IF($A449="","",IF(INDEX('潜水記録'!$E$5:$E$3004,$AS449)="","",INDEX('潜水記録'!$E$5:$E$3004,$AS449)))</f>
        <v/>
      </c>
      <c r="G449" s="14">
        <f>IF($A449="","",IF(INDEX('潜水記録'!$F$5:$F$3004,$AS449)="","",INDEX('潜水記録'!$F$5:$F$3004,$AS449)))</f>
        <v/>
      </c>
      <c r="H449" s="14">
        <f>IF($A449="","",IF(INDEX('潜水記録'!$G$5:$G$3004,$AS449)="","",INDEX('潜水記録'!$G$5:$G$3004,$AS449)))</f>
        <v/>
      </c>
      <c r="I449" s="14">
        <f>IF($A449="","",IF(INDEX('潜水記録'!$H$5:$H$3004,$AS449)="","",INDEX('潜水記録'!$H$5:$H$3004,$AS449)))</f>
        <v/>
      </c>
      <c r="J449" s="14">
        <f>IF($A449="","",IF(INDEX('潜水記録'!$I$5:$I$3004,$AS449)="","",INDEX('潜水記録'!$I$5:$I$3004,$AS449)))</f>
        <v/>
      </c>
      <c r="K449" s="14">
        <f>IF($A449="","",IF(INDEX('潜水記録'!$J$5:$J$3004,$AS449)="","",INDEX('潜水記録'!$J$5:$J$3004,$AS449)))</f>
        <v/>
      </c>
      <c r="L449" s="14">
        <f>IF($A449="","",IF(INDEX('潜水記録'!$K$5:$K$3004,$AS449)="","",INDEX('潜水記録'!$K$5:$K$3004,$AS449)))</f>
        <v/>
      </c>
      <c r="M449" s="14">
        <f>IF($A449="","",IF(INDEX('潜水記録'!$L$5:$L$3004,$AS449)="","",INDEX('潜水記録'!$L$5:$L$3004,$AS449)))</f>
        <v/>
      </c>
      <c r="N449" s="14">
        <f>IF($A449="","",IF(INDEX('潜水記録'!$M$5:$M$3004,$AS449)="","",INDEX('潜水記録'!$M$5:$M$3004,$AS449)))</f>
        <v/>
      </c>
      <c r="O449" s="14">
        <f>IF($A449="","",IF(INDEX('潜水記録'!$N$5:$N$3004,$AS449)="","",INDEX('潜水記録'!$N$5:$N$3004,$AS449)))</f>
        <v/>
      </c>
      <c r="P449" s="14">
        <f>IF($A449="","",IF(INDEX('潜水記録'!$O$5:$O$3004,$AS449)="","",INDEX('潜水記録'!$O$5:$O$3004,$AS449)))</f>
        <v/>
      </c>
      <c r="Q449" s="14">
        <f>IF($A449="","",IF(INDEX('潜水記録'!$P$5:$P$3004,$AS449)="","",INDEX('潜水記録'!$P$5:$P$3004,$AS449)))</f>
        <v/>
      </c>
      <c r="R449" s="14">
        <f>IF($A449="","",IF(INDEX('潜水記録'!$Q$5:$Q$3004,$AS449)="","",INDEX('潜水記録'!$Q$5:$Q$3004,$AS449)))</f>
        <v/>
      </c>
      <c r="S449" s="14">
        <f>IF($A449="","",IF(INDEX('潜水記録'!$R$5:$R$3004,$AS449)="","",INDEX('潜水記録'!$R$5:$R$3004,$AS449)))</f>
        <v/>
      </c>
      <c r="T449" s="14">
        <f>IF($A449="","",IF(INDEX('潜水記録'!$S$5:$S$3004,$AS449)="","",INDEX('潜水記録'!$S$5:$S$3004,$AS449)))</f>
        <v/>
      </c>
      <c r="U449" s="14">
        <f>IF($A449="","",IF(INDEX('潜水記録'!$T$5:$T$3004,$AS449)="","",INDEX('潜水記録'!$T$5:$T$3004,$AS449)))</f>
        <v/>
      </c>
      <c r="V449" s="46">
        <f>IF($A449="","",IF(INDEX('潜水記録'!$U$5:$U$3004,$AS449)="","",INDEX('潜水記録'!$U$5:$U$3004,$AS449)))</f>
        <v/>
      </c>
      <c r="W449" s="46">
        <f>IF($A449="","",IF(INDEX('潜水記録'!$V$5:$V$3004,$AS449)="","",INDEX('潜水記録'!$V$5:$V$3004,$AS449)))</f>
        <v/>
      </c>
      <c r="X449" s="14">
        <f>IF($A449="","",IF(INDEX('潜水記録'!$W$5:$W$3004,$AS449)="","",INDEX('潜水記録'!$W$5:$W$3004,$AS449)))</f>
        <v/>
      </c>
      <c r="Y449" s="14">
        <f>IF($A449="","",IF(INDEX('潜水記録'!$X$5:$X$3004,$AS449)="","",INDEX('潜水記録'!$X$5:$X$3004,$AS449)))</f>
        <v/>
      </c>
      <c r="Z449" s="14">
        <f>IF($A449="","",IF(INDEX('潜水記録'!$Y$5:$Y$3004,$AS449)="","",INDEX('潜水記録'!$Y$5:$Y$3004,$AS449)))</f>
        <v/>
      </c>
      <c r="AA449" s="14">
        <f>IF($A449="","",IF(INDEX('潜水記録'!$Z$5:$Z$3004,$AS449)="","",INDEX('潜水記録'!$Z$5:$Z$3004,$AS449)))</f>
        <v/>
      </c>
      <c r="AB449" s="14">
        <f>IF($A449="","",IF(INDEX('潜水記録'!$AA$5:$AA$3004,$AS449)="","",INDEX('潜水記録'!$AA$5:$AA$3004,$AS449)))</f>
        <v/>
      </c>
      <c r="AC449" s="14">
        <f>IF($A449="","",IF(INDEX('潜水記録'!$AB$5:$AB$3004,$AS449)="","",INDEX('潜水記録'!$AB$5:$AB$3004,$AS449)))</f>
        <v/>
      </c>
      <c r="AD449" s="14">
        <f>IF($A449="","",IF(INDEX('潜水記録'!$AC$5:$AC$3004,$AS449)="","",INDEX('潜水記録'!$AC$5:$AC$3004,$AS449)))</f>
        <v/>
      </c>
      <c r="AE449" s="14">
        <f>IF($A449="","",IF(INDEX('潜水記録'!$AD$5:$AD$3004,$AS449)="","",INDEX('潜水記録'!$AD$5:$AD$3004,$AS449)))</f>
        <v/>
      </c>
      <c r="AF449" s="14">
        <f>IF($A449="","",IF(INDEX('潜水記録'!$AE$5:$AE$3004,$AS449)="","",INDEX('潜水記録'!$AE$5:$AE$3004,$AS449)))</f>
        <v/>
      </c>
      <c r="AG449" s="14">
        <f>IF($A449="","",IF(INDEX('潜水記録'!$AL$5:$AL$3004,$AS449)="","",INDEX('潜水記録'!$AL$5:$AL$3004,$AS449)))</f>
        <v/>
      </c>
      <c r="AH449" s="14">
        <f>IF($A449="","",IF(INDEX('潜水記録'!$AM$5:$AM$3004,$AS449)="","",INDEX('潜水記録'!$AM$5:$AM$3004,$AS449)))</f>
        <v/>
      </c>
      <c r="AI449" s="46">
        <f>IF($A449="","",IF(INDEX('潜水記録'!$AN$5:$AN$3004,$AS449)="","",INDEX('潜水記録'!$AN$5:$AN$3004,$AS449)))</f>
        <v/>
      </c>
      <c r="AJ449" s="14">
        <f>IF($A449="","",IF(INDEX('潜水記録'!$AO$5:$AO$3004,$AS449)="","",INDEX('潜水記録'!$AO$5:$AO$3004,$AS449)))</f>
        <v/>
      </c>
      <c r="AK449" s="14">
        <f>IF($A449="","",IF(INDEX('潜水記録'!$AP$5:$AP$3004,$AS449)="","",INDEX('潜水記録'!$AP$5:$AP$3004,$AS449)))</f>
        <v/>
      </c>
      <c r="AL449" s="14">
        <f>IF($A449="","",IF(INDEX('潜水記録'!$AQ$5:$AQ$3004,$AS449)="","",INDEX('潜水記録'!$AQ$5:$AQ$3004,$AS449)))</f>
        <v/>
      </c>
      <c r="AM449" s="14">
        <f>IF($A449="","",IF(INDEX('潜水記録'!$AR$5:$AR$3004,$AS449)="","",INDEX('潜水記録'!$AR$5:$AR$3004,$AS449)))</f>
        <v/>
      </c>
      <c r="AN449" s="14">
        <f>IF($A449="","",IF(INDEX('潜水記録'!$AS$5:$AS$3004,$AS449)="","",INDEX('潜水記録'!$AS$5:$AS$3004,$AS449)))</f>
        <v/>
      </c>
      <c r="AO449" s="14">
        <f>IF($A449="","",IF(INDEX('潜水記録'!$AT$5:$AT$3004,$AS449)="","",INDEX('潜水記録'!$AT$5:$AT$3004,$AS449)))</f>
        <v/>
      </c>
      <c r="AP449" s="14">
        <f>IF($A449="","",IF(INDEX('潜水記録'!$AU$5:$AU$3004,$AS449)="","",INDEX('潜水記録'!$AU$5:$AU$3004,$AS449)))</f>
        <v/>
      </c>
      <c r="AQ449" s="14">
        <f>IF($A449="","",IF(INDEX('潜水記録'!$AV$5:$AV$3004,$AS449)="","",INDEX('潜水記録'!$AV$5:$AV$3004,$AS449)))</f>
        <v/>
      </c>
      <c r="AR449" s="14">
        <f>IF($A449="","",IF(INDEX('潜水記録'!$AW$5:$AW$3004,$AS449)="","",INDEX('潜水記録'!$AW$5:$AW$3004,$AS449)))</f>
        <v/>
      </c>
      <c r="AS449" s="20">
        <f>IF($A449="","",MATCH($A449,'潜水記録'!$AI$5:$AI$3004,0))</f>
        <v/>
      </c>
    </row>
    <row r="450">
      <c r="A450" s="14">
        <f>IF(440&lt;=$C$8,440,"")</f>
        <v/>
      </c>
      <c r="B450" s="16">
        <f>IF($A450="","",IF(INDEX('潜水記録'!$A$5:$A$3004,$AS450)="","",INDEX('潜水記録'!$A$5:$A$3004,$AS450)))</f>
        <v/>
      </c>
      <c r="C450" s="14">
        <f>IF($A450="","",IF(INDEX('潜水記録'!$B$5:$B$3004,$AS450)="","",INDEX('潜水記録'!$B$5:$B$3004,$AS450)))</f>
        <v/>
      </c>
      <c r="D450" s="14">
        <f>IF($A450="","",IF(INDEX('潜水記録'!$C$5:$C$3004,$AS450)="","",INDEX('潜水記録'!$C$5:$C$3004,$AS450)))</f>
        <v/>
      </c>
      <c r="E450" s="14">
        <f>IF($A450="","",IF(INDEX('潜水記録'!$D$5:$D$3004,$AS450)="","",INDEX('潜水記録'!$D$5:$D$3004,$AS450)))</f>
        <v/>
      </c>
      <c r="F450" s="14">
        <f>IF($A450="","",IF(INDEX('潜水記録'!$E$5:$E$3004,$AS450)="","",INDEX('潜水記録'!$E$5:$E$3004,$AS450)))</f>
        <v/>
      </c>
      <c r="G450" s="14">
        <f>IF($A450="","",IF(INDEX('潜水記録'!$F$5:$F$3004,$AS450)="","",INDEX('潜水記録'!$F$5:$F$3004,$AS450)))</f>
        <v/>
      </c>
      <c r="H450" s="14">
        <f>IF($A450="","",IF(INDEX('潜水記録'!$G$5:$G$3004,$AS450)="","",INDEX('潜水記録'!$G$5:$G$3004,$AS450)))</f>
        <v/>
      </c>
      <c r="I450" s="14">
        <f>IF($A450="","",IF(INDEX('潜水記録'!$H$5:$H$3004,$AS450)="","",INDEX('潜水記録'!$H$5:$H$3004,$AS450)))</f>
        <v/>
      </c>
      <c r="J450" s="14">
        <f>IF($A450="","",IF(INDEX('潜水記録'!$I$5:$I$3004,$AS450)="","",INDEX('潜水記録'!$I$5:$I$3004,$AS450)))</f>
        <v/>
      </c>
      <c r="K450" s="14">
        <f>IF($A450="","",IF(INDEX('潜水記録'!$J$5:$J$3004,$AS450)="","",INDEX('潜水記録'!$J$5:$J$3004,$AS450)))</f>
        <v/>
      </c>
      <c r="L450" s="14">
        <f>IF($A450="","",IF(INDEX('潜水記録'!$K$5:$K$3004,$AS450)="","",INDEX('潜水記録'!$K$5:$K$3004,$AS450)))</f>
        <v/>
      </c>
      <c r="M450" s="14">
        <f>IF($A450="","",IF(INDEX('潜水記録'!$L$5:$L$3004,$AS450)="","",INDEX('潜水記録'!$L$5:$L$3004,$AS450)))</f>
        <v/>
      </c>
      <c r="N450" s="14">
        <f>IF($A450="","",IF(INDEX('潜水記録'!$M$5:$M$3004,$AS450)="","",INDEX('潜水記録'!$M$5:$M$3004,$AS450)))</f>
        <v/>
      </c>
      <c r="O450" s="14">
        <f>IF($A450="","",IF(INDEX('潜水記録'!$N$5:$N$3004,$AS450)="","",INDEX('潜水記録'!$N$5:$N$3004,$AS450)))</f>
        <v/>
      </c>
      <c r="P450" s="14">
        <f>IF($A450="","",IF(INDEX('潜水記録'!$O$5:$O$3004,$AS450)="","",INDEX('潜水記録'!$O$5:$O$3004,$AS450)))</f>
        <v/>
      </c>
      <c r="Q450" s="14">
        <f>IF($A450="","",IF(INDEX('潜水記録'!$P$5:$P$3004,$AS450)="","",INDEX('潜水記録'!$P$5:$P$3004,$AS450)))</f>
        <v/>
      </c>
      <c r="R450" s="14">
        <f>IF($A450="","",IF(INDEX('潜水記録'!$Q$5:$Q$3004,$AS450)="","",INDEX('潜水記録'!$Q$5:$Q$3004,$AS450)))</f>
        <v/>
      </c>
      <c r="S450" s="14">
        <f>IF($A450="","",IF(INDEX('潜水記録'!$R$5:$R$3004,$AS450)="","",INDEX('潜水記録'!$R$5:$R$3004,$AS450)))</f>
        <v/>
      </c>
      <c r="T450" s="14">
        <f>IF($A450="","",IF(INDEX('潜水記録'!$S$5:$S$3004,$AS450)="","",INDEX('潜水記録'!$S$5:$S$3004,$AS450)))</f>
        <v/>
      </c>
      <c r="U450" s="14">
        <f>IF($A450="","",IF(INDEX('潜水記録'!$T$5:$T$3004,$AS450)="","",INDEX('潜水記録'!$T$5:$T$3004,$AS450)))</f>
        <v/>
      </c>
      <c r="V450" s="46">
        <f>IF($A450="","",IF(INDEX('潜水記録'!$U$5:$U$3004,$AS450)="","",INDEX('潜水記録'!$U$5:$U$3004,$AS450)))</f>
        <v/>
      </c>
      <c r="W450" s="46">
        <f>IF($A450="","",IF(INDEX('潜水記録'!$V$5:$V$3004,$AS450)="","",INDEX('潜水記録'!$V$5:$V$3004,$AS450)))</f>
        <v/>
      </c>
      <c r="X450" s="14">
        <f>IF($A450="","",IF(INDEX('潜水記録'!$W$5:$W$3004,$AS450)="","",INDEX('潜水記録'!$W$5:$W$3004,$AS450)))</f>
        <v/>
      </c>
      <c r="Y450" s="14">
        <f>IF($A450="","",IF(INDEX('潜水記録'!$X$5:$X$3004,$AS450)="","",INDEX('潜水記録'!$X$5:$X$3004,$AS450)))</f>
        <v/>
      </c>
      <c r="Z450" s="14">
        <f>IF($A450="","",IF(INDEX('潜水記録'!$Y$5:$Y$3004,$AS450)="","",INDEX('潜水記録'!$Y$5:$Y$3004,$AS450)))</f>
        <v/>
      </c>
      <c r="AA450" s="14">
        <f>IF($A450="","",IF(INDEX('潜水記録'!$Z$5:$Z$3004,$AS450)="","",INDEX('潜水記録'!$Z$5:$Z$3004,$AS450)))</f>
        <v/>
      </c>
      <c r="AB450" s="14">
        <f>IF($A450="","",IF(INDEX('潜水記録'!$AA$5:$AA$3004,$AS450)="","",INDEX('潜水記録'!$AA$5:$AA$3004,$AS450)))</f>
        <v/>
      </c>
      <c r="AC450" s="14">
        <f>IF($A450="","",IF(INDEX('潜水記録'!$AB$5:$AB$3004,$AS450)="","",INDEX('潜水記録'!$AB$5:$AB$3004,$AS450)))</f>
        <v/>
      </c>
      <c r="AD450" s="14">
        <f>IF($A450="","",IF(INDEX('潜水記録'!$AC$5:$AC$3004,$AS450)="","",INDEX('潜水記録'!$AC$5:$AC$3004,$AS450)))</f>
        <v/>
      </c>
      <c r="AE450" s="14">
        <f>IF($A450="","",IF(INDEX('潜水記録'!$AD$5:$AD$3004,$AS450)="","",INDEX('潜水記録'!$AD$5:$AD$3004,$AS450)))</f>
        <v/>
      </c>
      <c r="AF450" s="14">
        <f>IF($A450="","",IF(INDEX('潜水記録'!$AE$5:$AE$3004,$AS450)="","",INDEX('潜水記録'!$AE$5:$AE$3004,$AS450)))</f>
        <v/>
      </c>
      <c r="AG450" s="14">
        <f>IF($A450="","",IF(INDEX('潜水記録'!$AL$5:$AL$3004,$AS450)="","",INDEX('潜水記録'!$AL$5:$AL$3004,$AS450)))</f>
        <v/>
      </c>
      <c r="AH450" s="14">
        <f>IF($A450="","",IF(INDEX('潜水記録'!$AM$5:$AM$3004,$AS450)="","",INDEX('潜水記録'!$AM$5:$AM$3004,$AS450)))</f>
        <v/>
      </c>
      <c r="AI450" s="46">
        <f>IF($A450="","",IF(INDEX('潜水記録'!$AN$5:$AN$3004,$AS450)="","",INDEX('潜水記録'!$AN$5:$AN$3004,$AS450)))</f>
        <v/>
      </c>
      <c r="AJ450" s="14">
        <f>IF($A450="","",IF(INDEX('潜水記録'!$AO$5:$AO$3004,$AS450)="","",INDEX('潜水記録'!$AO$5:$AO$3004,$AS450)))</f>
        <v/>
      </c>
      <c r="AK450" s="14">
        <f>IF($A450="","",IF(INDEX('潜水記録'!$AP$5:$AP$3004,$AS450)="","",INDEX('潜水記録'!$AP$5:$AP$3004,$AS450)))</f>
        <v/>
      </c>
      <c r="AL450" s="14">
        <f>IF($A450="","",IF(INDEX('潜水記録'!$AQ$5:$AQ$3004,$AS450)="","",INDEX('潜水記録'!$AQ$5:$AQ$3004,$AS450)))</f>
        <v/>
      </c>
      <c r="AM450" s="14">
        <f>IF($A450="","",IF(INDEX('潜水記録'!$AR$5:$AR$3004,$AS450)="","",INDEX('潜水記録'!$AR$5:$AR$3004,$AS450)))</f>
        <v/>
      </c>
      <c r="AN450" s="14">
        <f>IF($A450="","",IF(INDEX('潜水記録'!$AS$5:$AS$3004,$AS450)="","",INDEX('潜水記録'!$AS$5:$AS$3004,$AS450)))</f>
        <v/>
      </c>
      <c r="AO450" s="14">
        <f>IF($A450="","",IF(INDEX('潜水記録'!$AT$5:$AT$3004,$AS450)="","",INDEX('潜水記録'!$AT$5:$AT$3004,$AS450)))</f>
        <v/>
      </c>
      <c r="AP450" s="14">
        <f>IF($A450="","",IF(INDEX('潜水記録'!$AU$5:$AU$3004,$AS450)="","",INDEX('潜水記録'!$AU$5:$AU$3004,$AS450)))</f>
        <v/>
      </c>
      <c r="AQ450" s="14">
        <f>IF($A450="","",IF(INDEX('潜水記録'!$AV$5:$AV$3004,$AS450)="","",INDEX('潜水記録'!$AV$5:$AV$3004,$AS450)))</f>
        <v/>
      </c>
      <c r="AR450" s="14">
        <f>IF($A450="","",IF(INDEX('潜水記録'!$AW$5:$AW$3004,$AS450)="","",INDEX('潜水記録'!$AW$5:$AW$3004,$AS450)))</f>
        <v/>
      </c>
      <c r="AS450" s="20">
        <f>IF($A450="","",MATCH($A450,'潜水記録'!$AI$5:$AI$3004,0))</f>
        <v/>
      </c>
    </row>
    <row r="451">
      <c r="A451" s="14">
        <f>IF(441&lt;=$C$8,441,"")</f>
        <v/>
      </c>
      <c r="B451" s="16">
        <f>IF($A451="","",IF(INDEX('潜水記録'!$A$5:$A$3004,$AS451)="","",INDEX('潜水記録'!$A$5:$A$3004,$AS451)))</f>
        <v/>
      </c>
      <c r="C451" s="14">
        <f>IF($A451="","",IF(INDEX('潜水記録'!$B$5:$B$3004,$AS451)="","",INDEX('潜水記録'!$B$5:$B$3004,$AS451)))</f>
        <v/>
      </c>
      <c r="D451" s="14">
        <f>IF($A451="","",IF(INDEX('潜水記録'!$C$5:$C$3004,$AS451)="","",INDEX('潜水記録'!$C$5:$C$3004,$AS451)))</f>
        <v/>
      </c>
      <c r="E451" s="14">
        <f>IF($A451="","",IF(INDEX('潜水記録'!$D$5:$D$3004,$AS451)="","",INDEX('潜水記録'!$D$5:$D$3004,$AS451)))</f>
        <v/>
      </c>
      <c r="F451" s="14">
        <f>IF($A451="","",IF(INDEX('潜水記録'!$E$5:$E$3004,$AS451)="","",INDEX('潜水記録'!$E$5:$E$3004,$AS451)))</f>
        <v/>
      </c>
      <c r="G451" s="14">
        <f>IF($A451="","",IF(INDEX('潜水記録'!$F$5:$F$3004,$AS451)="","",INDEX('潜水記録'!$F$5:$F$3004,$AS451)))</f>
        <v/>
      </c>
      <c r="H451" s="14">
        <f>IF($A451="","",IF(INDEX('潜水記録'!$G$5:$G$3004,$AS451)="","",INDEX('潜水記録'!$G$5:$G$3004,$AS451)))</f>
        <v/>
      </c>
      <c r="I451" s="14">
        <f>IF($A451="","",IF(INDEX('潜水記録'!$H$5:$H$3004,$AS451)="","",INDEX('潜水記録'!$H$5:$H$3004,$AS451)))</f>
        <v/>
      </c>
      <c r="J451" s="14">
        <f>IF($A451="","",IF(INDEX('潜水記録'!$I$5:$I$3004,$AS451)="","",INDEX('潜水記録'!$I$5:$I$3004,$AS451)))</f>
        <v/>
      </c>
      <c r="K451" s="14">
        <f>IF($A451="","",IF(INDEX('潜水記録'!$J$5:$J$3004,$AS451)="","",INDEX('潜水記録'!$J$5:$J$3004,$AS451)))</f>
        <v/>
      </c>
      <c r="L451" s="14">
        <f>IF($A451="","",IF(INDEX('潜水記録'!$K$5:$K$3004,$AS451)="","",INDEX('潜水記録'!$K$5:$K$3004,$AS451)))</f>
        <v/>
      </c>
      <c r="M451" s="14">
        <f>IF($A451="","",IF(INDEX('潜水記録'!$L$5:$L$3004,$AS451)="","",INDEX('潜水記録'!$L$5:$L$3004,$AS451)))</f>
        <v/>
      </c>
      <c r="N451" s="14">
        <f>IF($A451="","",IF(INDEX('潜水記録'!$M$5:$M$3004,$AS451)="","",INDEX('潜水記録'!$M$5:$M$3004,$AS451)))</f>
        <v/>
      </c>
      <c r="O451" s="14">
        <f>IF($A451="","",IF(INDEX('潜水記録'!$N$5:$N$3004,$AS451)="","",INDEX('潜水記録'!$N$5:$N$3004,$AS451)))</f>
        <v/>
      </c>
      <c r="P451" s="14">
        <f>IF($A451="","",IF(INDEX('潜水記録'!$O$5:$O$3004,$AS451)="","",INDEX('潜水記録'!$O$5:$O$3004,$AS451)))</f>
        <v/>
      </c>
      <c r="Q451" s="14">
        <f>IF($A451="","",IF(INDEX('潜水記録'!$P$5:$P$3004,$AS451)="","",INDEX('潜水記録'!$P$5:$P$3004,$AS451)))</f>
        <v/>
      </c>
      <c r="R451" s="14">
        <f>IF($A451="","",IF(INDEX('潜水記録'!$Q$5:$Q$3004,$AS451)="","",INDEX('潜水記録'!$Q$5:$Q$3004,$AS451)))</f>
        <v/>
      </c>
      <c r="S451" s="14">
        <f>IF($A451="","",IF(INDEX('潜水記録'!$R$5:$R$3004,$AS451)="","",INDEX('潜水記録'!$R$5:$R$3004,$AS451)))</f>
        <v/>
      </c>
      <c r="T451" s="14">
        <f>IF($A451="","",IF(INDEX('潜水記録'!$S$5:$S$3004,$AS451)="","",INDEX('潜水記録'!$S$5:$S$3004,$AS451)))</f>
        <v/>
      </c>
      <c r="U451" s="14">
        <f>IF($A451="","",IF(INDEX('潜水記録'!$T$5:$T$3004,$AS451)="","",INDEX('潜水記録'!$T$5:$T$3004,$AS451)))</f>
        <v/>
      </c>
      <c r="V451" s="46">
        <f>IF($A451="","",IF(INDEX('潜水記録'!$U$5:$U$3004,$AS451)="","",INDEX('潜水記録'!$U$5:$U$3004,$AS451)))</f>
        <v/>
      </c>
      <c r="W451" s="46">
        <f>IF($A451="","",IF(INDEX('潜水記録'!$V$5:$V$3004,$AS451)="","",INDEX('潜水記録'!$V$5:$V$3004,$AS451)))</f>
        <v/>
      </c>
      <c r="X451" s="14">
        <f>IF($A451="","",IF(INDEX('潜水記録'!$W$5:$W$3004,$AS451)="","",INDEX('潜水記録'!$W$5:$W$3004,$AS451)))</f>
        <v/>
      </c>
      <c r="Y451" s="14">
        <f>IF($A451="","",IF(INDEX('潜水記録'!$X$5:$X$3004,$AS451)="","",INDEX('潜水記録'!$X$5:$X$3004,$AS451)))</f>
        <v/>
      </c>
      <c r="Z451" s="14">
        <f>IF($A451="","",IF(INDEX('潜水記録'!$Y$5:$Y$3004,$AS451)="","",INDEX('潜水記録'!$Y$5:$Y$3004,$AS451)))</f>
        <v/>
      </c>
      <c r="AA451" s="14">
        <f>IF($A451="","",IF(INDEX('潜水記録'!$Z$5:$Z$3004,$AS451)="","",INDEX('潜水記録'!$Z$5:$Z$3004,$AS451)))</f>
        <v/>
      </c>
      <c r="AB451" s="14">
        <f>IF($A451="","",IF(INDEX('潜水記録'!$AA$5:$AA$3004,$AS451)="","",INDEX('潜水記録'!$AA$5:$AA$3004,$AS451)))</f>
        <v/>
      </c>
      <c r="AC451" s="14">
        <f>IF($A451="","",IF(INDEX('潜水記録'!$AB$5:$AB$3004,$AS451)="","",INDEX('潜水記録'!$AB$5:$AB$3004,$AS451)))</f>
        <v/>
      </c>
      <c r="AD451" s="14">
        <f>IF($A451="","",IF(INDEX('潜水記録'!$AC$5:$AC$3004,$AS451)="","",INDEX('潜水記録'!$AC$5:$AC$3004,$AS451)))</f>
        <v/>
      </c>
      <c r="AE451" s="14">
        <f>IF($A451="","",IF(INDEX('潜水記録'!$AD$5:$AD$3004,$AS451)="","",INDEX('潜水記録'!$AD$5:$AD$3004,$AS451)))</f>
        <v/>
      </c>
      <c r="AF451" s="14">
        <f>IF($A451="","",IF(INDEX('潜水記録'!$AE$5:$AE$3004,$AS451)="","",INDEX('潜水記録'!$AE$5:$AE$3004,$AS451)))</f>
        <v/>
      </c>
      <c r="AG451" s="14">
        <f>IF($A451="","",IF(INDEX('潜水記録'!$AL$5:$AL$3004,$AS451)="","",INDEX('潜水記録'!$AL$5:$AL$3004,$AS451)))</f>
        <v/>
      </c>
      <c r="AH451" s="14">
        <f>IF($A451="","",IF(INDEX('潜水記録'!$AM$5:$AM$3004,$AS451)="","",INDEX('潜水記録'!$AM$5:$AM$3004,$AS451)))</f>
        <v/>
      </c>
      <c r="AI451" s="46">
        <f>IF($A451="","",IF(INDEX('潜水記録'!$AN$5:$AN$3004,$AS451)="","",INDEX('潜水記録'!$AN$5:$AN$3004,$AS451)))</f>
        <v/>
      </c>
      <c r="AJ451" s="14">
        <f>IF($A451="","",IF(INDEX('潜水記録'!$AO$5:$AO$3004,$AS451)="","",INDEX('潜水記録'!$AO$5:$AO$3004,$AS451)))</f>
        <v/>
      </c>
      <c r="AK451" s="14">
        <f>IF($A451="","",IF(INDEX('潜水記録'!$AP$5:$AP$3004,$AS451)="","",INDEX('潜水記録'!$AP$5:$AP$3004,$AS451)))</f>
        <v/>
      </c>
      <c r="AL451" s="14">
        <f>IF($A451="","",IF(INDEX('潜水記録'!$AQ$5:$AQ$3004,$AS451)="","",INDEX('潜水記録'!$AQ$5:$AQ$3004,$AS451)))</f>
        <v/>
      </c>
      <c r="AM451" s="14">
        <f>IF($A451="","",IF(INDEX('潜水記録'!$AR$5:$AR$3004,$AS451)="","",INDEX('潜水記録'!$AR$5:$AR$3004,$AS451)))</f>
        <v/>
      </c>
      <c r="AN451" s="14">
        <f>IF($A451="","",IF(INDEX('潜水記録'!$AS$5:$AS$3004,$AS451)="","",INDEX('潜水記録'!$AS$5:$AS$3004,$AS451)))</f>
        <v/>
      </c>
      <c r="AO451" s="14">
        <f>IF($A451="","",IF(INDEX('潜水記録'!$AT$5:$AT$3004,$AS451)="","",INDEX('潜水記録'!$AT$5:$AT$3004,$AS451)))</f>
        <v/>
      </c>
      <c r="AP451" s="14">
        <f>IF($A451="","",IF(INDEX('潜水記録'!$AU$5:$AU$3004,$AS451)="","",INDEX('潜水記録'!$AU$5:$AU$3004,$AS451)))</f>
        <v/>
      </c>
      <c r="AQ451" s="14">
        <f>IF($A451="","",IF(INDEX('潜水記録'!$AV$5:$AV$3004,$AS451)="","",INDEX('潜水記録'!$AV$5:$AV$3004,$AS451)))</f>
        <v/>
      </c>
      <c r="AR451" s="14">
        <f>IF($A451="","",IF(INDEX('潜水記録'!$AW$5:$AW$3004,$AS451)="","",INDEX('潜水記録'!$AW$5:$AW$3004,$AS451)))</f>
        <v/>
      </c>
      <c r="AS451" s="20">
        <f>IF($A451="","",MATCH($A451,'潜水記録'!$AI$5:$AI$3004,0))</f>
        <v/>
      </c>
    </row>
    <row r="452">
      <c r="A452" s="14">
        <f>IF(442&lt;=$C$8,442,"")</f>
        <v/>
      </c>
      <c r="B452" s="16">
        <f>IF($A452="","",IF(INDEX('潜水記録'!$A$5:$A$3004,$AS452)="","",INDEX('潜水記録'!$A$5:$A$3004,$AS452)))</f>
        <v/>
      </c>
      <c r="C452" s="14">
        <f>IF($A452="","",IF(INDEX('潜水記録'!$B$5:$B$3004,$AS452)="","",INDEX('潜水記録'!$B$5:$B$3004,$AS452)))</f>
        <v/>
      </c>
      <c r="D452" s="14">
        <f>IF($A452="","",IF(INDEX('潜水記録'!$C$5:$C$3004,$AS452)="","",INDEX('潜水記録'!$C$5:$C$3004,$AS452)))</f>
        <v/>
      </c>
      <c r="E452" s="14">
        <f>IF($A452="","",IF(INDEX('潜水記録'!$D$5:$D$3004,$AS452)="","",INDEX('潜水記録'!$D$5:$D$3004,$AS452)))</f>
        <v/>
      </c>
      <c r="F452" s="14">
        <f>IF($A452="","",IF(INDEX('潜水記録'!$E$5:$E$3004,$AS452)="","",INDEX('潜水記録'!$E$5:$E$3004,$AS452)))</f>
        <v/>
      </c>
      <c r="G452" s="14">
        <f>IF($A452="","",IF(INDEX('潜水記録'!$F$5:$F$3004,$AS452)="","",INDEX('潜水記録'!$F$5:$F$3004,$AS452)))</f>
        <v/>
      </c>
      <c r="H452" s="14">
        <f>IF($A452="","",IF(INDEX('潜水記録'!$G$5:$G$3004,$AS452)="","",INDEX('潜水記録'!$G$5:$G$3004,$AS452)))</f>
        <v/>
      </c>
      <c r="I452" s="14">
        <f>IF($A452="","",IF(INDEX('潜水記録'!$H$5:$H$3004,$AS452)="","",INDEX('潜水記録'!$H$5:$H$3004,$AS452)))</f>
        <v/>
      </c>
      <c r="J452" s="14">
        <f>IF($A452="","",IF(INDEX('潜水記録'!$I$5:$I$3004,$AS452)="","",INDEX('潜水記録'!$I$5:$I$3004,$AS452)))</f>
        <v/>
      </c>
      <c r="K452" s="14">
        <f>IF($A452="","",IF(INDEX('潜水記録'!$J$5:$J$3004,$AS452)="","",INDEX('潜水記録'!$J$5:$J$3004,$AS452)))</f>
        <v/>
      </c>
      <c r="L452" s="14">
        <f>IF($A452="","",IF(INDEX('潜水記録'!$K$5:$K$3004,$AS452)="","",INDEX('潜水記録'!$K$5:$K$3004,$AS452)))</f>
        <v/>
      </c>
      <c r="M452" s="14">
        <f>IF($A452="","",IF(INDEX('潜水記録'!$L$5:$L$3004,$AS452)="","",INDEX('潜水記録'!$L$5:$L$3004,$AS452)))</f>
        <v/>
      </c>
      <c r="N452" s="14">
        <f>IF($A452="","",IF(INDEX('潜水記録'!$M$5:$M$3004,$AS452)="","",INDEX('潜水記録'!$M$5:$M$3004,$AS452)))</f>
        <v/>
      </c>
      <c r="O452" s="14">
        <f>IF($A452="","",IF(INDEX('潜水記録'!$N$5:$N$3004,$AS452)="","",INDEX('潜水記録'!$N$5:$N$3004,$AS452)))</f>
        <v/>
      </c>
      <c r="P452" s="14">
        <f>IF($A452="","",IF(INDEX('潜水記録'!$O$5:$O$3004,$AS452)="","",INDEX('潜水記録'!$O$5:$O$3004,$AS452)))</f>
        <v/>
      </c>
      <c r="Q452" s="14">
        <f>IF($A452="","",IF(INDEX('潜水記録'!$P$5:$P$3004,$AS452)="","",INDEX('潜水記録'!$P$5:$P$3004,$AS452)))</f>
        <v/>
      </c>
      <c r="R452" s="14">
        <f>IF($A452="","",IF(INDEX('潜水記録'!$Q$5:$Q$3004,$AS452)="","",INDEX('潜水記録'!$Q$5:$Q$3004,$AS452)))</f>
        <v/>
      </c>
      <c r="S452" s="14">
        <f>IF($A452="","",IF(INDEX('潜水記録'!$R$5:$R$3004,$AS452)="","",INDEX('潜水記録'!$R$5:$R$3004,$AS452)))</f>
        <v/>
      </c>
      <c r="T452" s="14">
        <f>IF($A452="","",IF(INDEX('潜水記録'!$S$5:$S$3004,$AS452)="","",INDEX('潜水記録'!$S$5:$S$3004,$AS452)))</f>
        <v/>
      </c>
      <c r="U452" s="14">
        <f>IF($A452="","",IF(INDEX('潜水記録'!$T$5:$T$3004,$AS452)="","",INDEX('潜水記録'!$T$5:$T$3004,$AS452)))</f>
        <v/>
      </c>
      <c r="V452" s="46">
        <f>IF($A452="","",IF(INDEX('潜水記録'!$U$5:$U$3004,$AS452)="","",INDEX('潜水記録'!$U$5:$U$3004,$AS452)))</f>
        <v/>
      </c>
      <c r="W452" s="46">
        <f>IF($A452="","",IF(INDEX('潜水記録'!$V$5:$V$3004,$AS452)="","",INDEX('潜水記録'!$V$5:$V$3004,$AS452)))</f>
        <v/>
      </c>
      <c r="X452" s="14">
        <f>IF($A452="","",IF(INDEX('潜水記録'!$W$5:$W$3004,$AS452)="","",INDEX('潜水記録'!$W$5:$W$3004,$AS452)))</f>
        <v/>
      </c>
      <c r="Y452" s="14">
        <f>IF($A452="","",IF(INDEX('潜水記録'!$X$5:$X$3004,$AS452)="","",INDEX('潜水記録'!$X$5:$X$3004,$AS452)))</f>
        <v/>
      </c>
      <c r="Z452" s="14">
        <f>IF($A452="","",IF(INDEX('潜水記録'!$Y$5:$Y$3004,$AS452)="","",INDEX('潜水記録'!$Y$5:$Y$3004,$AS452)))</f>
        <v/>
      </c>
      <c r="AA452" s="14">
        <f>IF($A452="","",IF(INDEX('潜水記録'!$Z$5:$Z$3004,$AS452)="","",INDEX('潜水記録'!$Z$5:$Z$3004,$AS452)))</f>
        <v/>
      </c>
      <c r="AB452" s="14">
        <f>IF($A452="","",IF(INDEX('潜水記録'!$AA$5:$AA$3004,$AS452)="","",INDEX('潜水記録'!$AA$5:$AA$3004,$AS452)))</f>
        <v/>
      </c>
      <c r="AC452" s="14">
        <f>IF($A452="","",IF(INDEX('潜水記録'!$AB$5:$AB$3004,$AS452)="","",INDEX('潜水記録'!$AB$5:$AB$3004,$AS452)))</f>
        <v/>
      </c>
      <c r="AD452" s="14">
        <f>IF($A452="","",IF(INDEX('潜水記録'!$AC$5:$AC$3004,$AS452)="","",INDEX('潜水記録'!$AC$5:$AC$3004,$AS452)))</f>
        <v/>
      </c>
      <c r="AE452" s="14">
        <f>IF($A452="","",IF(INDEX('潜水記録'!$AD$5:$AD$3004,$AS452)="","",INDEX('潜水記録'!$AD$5:$AD$3004,$AS452)))</f>
        <v/>
      </c>
      <c r="AF452" s="14">
        <f>IF($A452="","",IF(INDEX('潜水記録'!$AE$5:$AE$3004,$AS452)="","",INDEX('潜水記録'!$AE$5:$AE$3004,$AS452)))</f>
        <v/>
      </c>
      <c r="AG452" s="14">
        <f>IF($A452="","",IF(INDEX('潜水記録'!$AL$5:$AL$3004,$AS452)="","",INDEX('潜水記録'!$AL$5:$AL$3004,$AS452)))</f>
        <v/>
      </c>
      <c r="AH452" s="14">
        <f>IF($A452="","",IF(INDEX('潜水記録'!$AM$5:$AM$3004,$AS452)="","",INDEX('潜水記録'!$AM$5:$AM$3004,$AS452)))</f>
        <v/>
      </c>
      <c r="AI452" s="46">
        <f>IF($A452="","",IF(INDEX('潜水記録'!$AN$5:$AN$3004,$AS452)="","",INDEX('潜水記録'!$AN$5:$AN$3004,$AS452)))</f>
        <v/>
      </c>
      <c r="AJ452" s="14">
        <f>IF($A452="","",IF(INDEX('潜水記録'!$AO$5:$AO$3004,$AS452)="","",INDEX('潜水記録'!$AO$5:$AO$3004,$AS452)))</f>
        <v/>
      </c>
      <c r="AK452" s="14">
        <f>IF($A452="","",IF(INDEX('潜水記録'!$AP$5:$AP$3004,$AS452)="","",INDEX('潜水記録'!$AP$5:$AP$3004,$AS452)))</f>
        <v/>
      </c>
      <c r="AL452" s="14">
        <f>IF($A452="","",IF(INDEX('潜水記録'!$AQ$5:$AQ$3004,$AS452)="","",INDEX('潜水記録'!$AQ$5:$AQ$3004,$AS452)))</f>
        <v/>
      </c>
      <c r="AM452" s="14">
        <f>IF($A452="","",IF(INDEX('潜水記録'!$AR$5:$AR$3004,$AS452)="","",INDEX('潜水記録'!$AR$5:$AR$3004,$AS452)))</f>
        <v/>
      </c>
      <c r="AN452" s="14">
        <f>IF($A452="","",IF(INDEX('潜水記録'!$AS$5:$AS$3004,$AS452)="","",INDEX('潜水記録'!$AS$5:$AS$3004,$AS452)))</f>
        <v/>
      </c>
      <c r="AO452" s="14">
        <f>IF($A452="","",IF(INDEX('潜水記録'!$AT$5:$AT$3004,$AS452)="","",INDEX('潜水記録'!$AT$5:$AT$3004,$AS452)))</f>
        <v/>
      </c>
      <c r="AP452" s="14">
        <f>IF($A452="","",IF(INDEX('潜水記録'!$AU$5:$AU$3004,$AS452)="","",INDEX('潜水記録'!$AU$5:$AU$3004,$AS452)))</f>
        <v/>
      </c>
      <c r="AQ452" s="14">
        <f>IF($A452="","",IF(INDEX('潜水記録'!$AV$5:$AV$3004,$AS452)="","",INDEX('潜水記録'!$AV$5:$AV$3004,$AS452)))</f>
        <v/>
      </c>
      <c r="AR452" s="14">
        <f>IF($A452="","",IF(INDEX('潜水記録'!$AW$5:$AW$3004,$AS452)="","",INDEX('潜水記録'!$AW$5:$AW$3004,$AS452)))</f>
        <v/>
      </c>
      <c r="AS452" s="20">
        <f>IF($A452="","",MATCH($A452,'潜水記録'!$AI$5:$AI$3004,0))</f>
        <v/>
      </c>
    </row>
    <row r="453">
      <c r="A453" s="14">
        <f>IF(443&lt;=$C$8,443,"")</f>
        <v/>
      </c>
      <c r="B453" s="16">
        <f>IF($A453="","",IF(INDEX('潜水記録'!$A$5:$A$3004,$AS453)="","",INDEX('潜水記録'!$A$5:$A$3004,$AS453)))</f>
        <v/>
      </c>
      <c r="C453" s="14">
        <f>IF($A453="","",IF(INDEX('潜水記録'!$B$5:$B$3004,$AS453)="","",INDEX('潜水記録'!$B$5:$B$3004,$AS453)))</f>
        <v/>
      </c>
      <c r="D453" s="14">
        <f>IF($A453="","",IF(INDEX('潜水記録'!$C$5:$C$3004,$AS453)="","",INDEX('潜水記録'!$C$5:$C$3004,$AS453)))</f>
        <v/>
      </c>
      <c r="E453" s="14">
        <f>IF($A453="","",IF(INDEX('潜水記録'!$D$5:$D$3004,$AS453)="","",INDEX('潜水記録'!$D$5:$D$3004,$AS453)))</f>
        <v/>
      </c>
      <c r="F453" s="14">
        <f>IF($A453="","",IF(INDEX('潜水記録'!$E$5:$E$3004,$AS453)="","",INDEX('潜水記録'!$E$5:$E$3004,$AS453)))</f>
        <v/>
      </c>
      <c r="G453" s="14">
        <f>IF($A453="","",IF(INDEX('潜水記録'!$F$5:$F$3004,$AS453)="","",INDEX('潜水記録'!$F$5:$F$3004,$AS453)))</f>
        <v/>
      </c>
      <c r="H453" s="14">
        <f>IF($A453="","",IF(INDEX('潜水記録'!$G$5:$G$3004,$AS453)="","",INDEX('潜水記録'!$G$5:$G$3004,$AS453)))</f>
        <v/>
      </c>
      <c r="I453" s="14">
        <f>IF($A453="","",IF(INDEX('潜水記録'!$H$5:$H$3004,$AS453)="","",INDEX('潜水記録'!$H$5:$H$3004,$AS453)))</f>
        <v/>
      </c>
      <c r="J453" s="14">
        <f>IF($A453="","",IF(INDEX('潜水記録'!$I$5:$I$3004,$AS453)="","",INDEX('潜水記録'!$I$5:$I$3004,$AS453)))</f>
        <v/>
      </c>
      <c r="K453" s="14">
        <f>IF($A453="","",IF(INDEX('潜水記録'!$J$5:$J$3004,$AS453)="","",INDEX('潜水記録'!$J$5:$J$3004,$AS453)))</f>
        <v/>
      </c>
      <c r="L453" s="14">
        <f>IF($A453="","",IF(INDEX('潜水記録'!$K$5:$K$3004,$AS453)="","",INDEX('潜水記録'!$K$5:$K$3004,$AS453)))</f>
        <v/>
      </c>
      <c r="M453" s="14">
        <f>IF($A453="","",IF(INDEX('潜水記録'!$L$5:$L$3004,$AS453)="","",INDEX('潜水記録'!$L$5:$L$3004,$AS453)))</f>
        <v/>
      </c>
      <c r="N453" s="14">
        <f>IF($A453="","",IF(INDEX('潜水記録'!$M$5:$M$3004,$AS453)="","",INDEX('潜水記録'!$M$5:$M$3004,$AS453)))</f>
        <v/>
      </c>
      <c r="O453" s="14">
        <f>IF($A453="","",IF(INDEX('潜水記録'!$N$5:$N$3004,$AS453)="","",INDEX('潜水記録'!$N$5:$N$3004,$AS453)))</f>
        <v/>
      </c>
      <c r="P453" s="14">
        <f>IF($A453="","",IF(INDEX('潜水記録'!$O$5:$O$3004,$AS453)="","",INDEX('潜水記録'!$O$5:$O$3004,$AS453)))</f>
        <v/>
      </c>
      <c r="Q453" s="14">
        <f>IF($A453="","",IF(INDEX('潜水記録'!$P$5:$P$3004,$AS453)="","",INDEX('潜水記録'!$P$5:$P$3004,$AS453)))</f>
        <v/>
      </c>
      <c r="R453" s="14">
        <f>IF($A453="","",IF(INDEX('潜水記録'!$Q$5:$Q$3004,$AS453)="","",INDEX('潜水記録'!$Q$5:$Q$3004,$AS453)))</f>
        <v/>
      </c>
      <c r="S453" s="14">
        <f>IF($A453="","",IF(INDEX('潜水記録'!$R$5:$R$3004,$AS453)="","",INDEX('潜水記録'!$R$5:$R$3004,$AS453)))</f>
        <v/>
      </c>
      <c r="T453" s="14">
        <f>IF($A453="","",IF(INDEX('潜水記録'!$S$5:$S$3004,$AS453)="","",INDEX('潜水記録'!$S$5:$S$3004,$AS453)))</f>
        <v/>
      </c>
      <c r="U453" s="14">
        <f>IF($A453="","",IF(INDEX('潜水記録'!$T$5:$T$3004,$AS453)="","",INDEX('潜水記録'!$T$5:$T$3004,$AS453)))</f>
        <v/>
      </c>
      <c r="V453" s="46">
        <f>IF($A453="","",IF(INDEX('潜水記録'!$U$5:$U$3004,$AS453)="","",INDEX('潜水記録'!$U$5:$U$3004,$AS453)))</f>
        <v/>
      </c>
      <c r="W453" s="46">
        <f>IF($A453="","",IF(INDEX('潜水記録'!$V$5:$V$3004,$AS453)="","",INDEX('潜水記録'!$V$5:$V$3004,$AS453)))</f>
        <v/>
      </c>
      <c r="X453" s="14">
        <f>IF($A453="","",IF(INDEX('潜水記録'!$W$5:$W$3004,$AS453)="","",INDEX('潜水記録'!$W$5:$W$3004,$AS453)))</f>
        <v/>
      </c>
      <c r="Y453" s="14">
        <f>IF($A453="","",IF(INDEX('潜水記録'!$X$5:$X$3004,$AS453)="","",INDEX('潜水記録'!$X$5:$X$3004,$AS453)))</f>
        <v/>
      </c>
      <c r="Z453" s="14">
        <f>IF($A453="","",IF(INDEX('潜水記録'!$Y$5:$Y$3004,$AS453)="","",INDEX('潜水記録'!$Y$5:$Y$3004,$AS453)))</f>
        <v/>
      </c>
      <c r="AA453" s="14">
        <f>IF($A453="","",IF(INDEX('潜水記録'!$Z$5:$Z$3004,$AS453)="","",INDEX('潜水記録'!$Z$5:$Z$3004,$AS453)))</f>
        <v/>
      </c>
      <c r="AB453" s="14">
        <f>IF($A453="","",IF(INDEX('潜水記録'!$AA$5:$AA$3004,$AS453)="","",INDEX('潜水記録'!$AA$5:$AA$3004,$AS453)))</f>
        <v/>
      </c>
      <c r="AC453" s="14">
        <f>IF($A453="","",IF(INDEX('潜水記録'!$AB$5:$AB$3004,$AS453)="","",INDEX('潜水記録'!$AB$5:$AB$3004,$AS453)))</f>
        <v/>
      </c>
      <c r="AD453" s="14">
        <f>IF($A453="","",IF(INDEX('潜水記録'!$AC$5:$AC$3004,$AS453)="","",INDEX('潜水記録'!$AC$5:$AC$3004,$AS453)))</f>
        <v/>
      </c>
      <c r="AE453" s="14">
        <f>IF($A453="","",IF(INDEX('潜水記録'!$AD$5:$AD$3004,$AS453)="","",INDEX('潜水記録'!$AD$5:$AD$3004,$AS453)))</f>
        <v/>
      </c>
      <c r="AF453" s="14">
        <f>IF($A453="","",IF(INDEX('潜水記録'!$AE$5:$AE$3004,$AS453)="","",INDEX('潜水記録'!$AE$5:$AE$3004,$AS453)))</f>
        <v/>
      </c>
      <c r="AG453" s="14">
        <f>IF($A453="","",IF(INDEX('潜水記録'!$AL$5:$AL$3004,$AS453)="","",INDEX('潜水記録'!$AL$5:$AL$3004,$AS453)))</f>
        <v/>
      </c>
      <c r="AH453" s="14">
        <f>IF($A453="","",IF(INDEX('潜水記録'!$AM$5:$AM$3004,$AS453)="","",INDEX('潜水記録'!$AM$5:$AM$3004,$AS453)))</f>
        <v/>
      </c>
      <c r="AI453" s="46">
        <f>IF($A453="","",IF(INDEX('潜水記録'!$AN$5:$AN$3004,$AS453)="","",INDEX('潜水記録'!$AN$5:$AN$3004,$AS453)))</f>
        <v/>
      </c>
      <c r="AJ453" s="14">
        <f>IF($A453="","",IF(INDEX('潜水記録'!$AO$5:$AO$3004,$AS453)="","",INDEX('潜水記録'!$AO$5:$AO$3004,$AS453)))</f>
        <v/>
      </c>
      <c r="AK453" s="14">
        <f>IF($A453="","",IF(INDEX('潜水記録'!$AP$5:$AP$3004,$AS453)="","",INDEX('潜水記録'!$AP$5:$AP$3004,$AS453)))</f>
        <v/>
      </c>
      <c r="AL453" s="14">
        <f>IF($A453="","",IF(INDEX('潜水記録'!$AQ$5:$AQ$3004,$AS453)="","",INDEX('潜水記録'!$AQ$5:$AQ$3004,$AS453)))</f>
        <v/>
      </c>
      <c r="AM453" s="14">
        <f>IF($A453="","",IF(INDEX('潜水記録'!$AR$5:$AR$3004,$AS453)="","",INDEX('潜水記録'!$AR$5:$AR$3004,$AS453)))</f>
        <v/>
      </c>
      <c r="AN453" s="14">
        <f>IF($A453="","",IF(INDEX('潜水記録'!$AS$5:$AS$3004,$AS453)="","",INDEX('潜水記録'!$AS$5:$AS$3004,$AS453)))</f>
        <v/>
      </c>
      <c r="AO453" s="14">
        <f>IF($A453="","",IF(INDEX('潜水記録'!$AT$5:$AT$3004,$AS453)="","",INDEX('潜水記録'!$AT$5:$AT$3004,$AS453)))</f>
        <v/>
      </c>
      <c r="AP453" s="14">
        <f>IF($A453="","",IF(INDEX('潜水記録'!$AU$5:$AU$3004,$AS453)="","",INDEX('潜水記録'!$AU$5:$AU$3004,$AS453)))</f>
        <v/>
      </c>
      <c r="AQ453" s="14">
        <f>IF($A453="","",IF(INDEX('潜水記録'!$AV$5:$AV$3004,$AS453)="","",INDEX('潜水記録'!$AV$5:$AV$3004,$AS453)))</f>
        <v/>
      </c>
      <c r="AR453" s="14">
        <f>IF($A453="","",IF(INDEX('潜水記録'!$AW$5:$AW$3004,$AS453)="","",INDEX('潜水記録'!$AW$5:$AW$3004,$AS453)))</f>
        <v/>
      </c>
      <c r="AS453" s="20">
        <f>IF($A453="","",MATCH($A453,'潜水記録'!$AI$5:$AI$3004,0))</f>
        <v/>
      </c>
    </row>
    <row r="454">
      <c r="A454" s="14">
        <f>IF(444&lt;=$C$8,444,"")</f>
        <v/>
      </c>
      <c r="B454" s="16">
        <f>IF($A454="","",IF(INDEX('潜水記録'!$A$5:$A$3004,$AS454)="","",INDEX('潜水記録'!$A$5:$A$3004,$AS454)))</f>
        <v/>
      </c>
      <c r="C454" s="14">
        <f>IF($A454="","",IF(INDEX('潜水記録'!$B$5:$B$3004,$AS454)="","",INDEX('潜水記録'!$B$5:$B$3004,$AS454)))</f>
        <v/>
      </c>
      <c r="D454" s="14">
        <f>IF($A454="","",IF(INDEX('潜水記録'!$C$5:$C$3004,$AS454)="","",INDEX('潜水記録'!$C$5:$C$3004,$AS454)))</f>
        <v/>
      </c>
      <c r="E454" s="14">
        <f>IF($A454="","",IF(INDEX('潜水記録'!$D$5:$D$3004,$AS454)="","",INDEX('潜水記録'!$D$5:$D$3004,$AS454)))</f>
        <v/>
      </c>
      <c r="F454" s="14">
        <f>IF($A454="","",IF(INDEX('潜水記録'!$E$5:$E$3004,$AS454)="","",INDEX('潜水記録'!$E$5:$E$3004,$AS454)))</f>
        <v/>
      </c>
      <c r="G454" s="14">
        <f>IF($A454="","",IF(INDEX('潜水記録'!$F$5:$F$3004,$AS454)="","",INDEX('潜水記録'!$F$5:$F$3004,$AS454)))</f>
        <v/>
      </c>
      <c r="H454" s="14">
        <f>IF($A454="","",IF(INDEX('潜水記録'!$G$5:$G$3004,$AS454)="","",INDEX('潜水記録'!$G$5:$G$3004,$AS454)))</f>
        <v/>
      </c>
      <c r="I454" s="14">
        <f>IF($A454="","",IF(INDEX('潜水記録'!$H$5:$H$3004,$AS454)="","",INDEX('潜水記録'!$H$5:$H$3004,$AS454)))</f>
        <v/>
      </c>
      <c r="J454" s="14">
        <f>IF($A454="","",IF(INDEX('潜水記録'!$I$5:$I$3004,$AS454)="","",INDEX('潜水記録'!$I$5:$I$3004,$AS454)))</f>
        <v/>
      </c>
      <c r="K454" s="14">
        <f>IF($A454="","",IF(INDEX('潜水記録'!$J$5:$J$3004,$AS454)="","",INDEX('潜水記録'!$J$5:$J$3004,$AS454)))</f>
        <v/>
      </c>
      <c r="L454" s="14">
        <f>IF($A454="","",IF(INDEX('潜水記録'!$K$5:$K$3004,$AS454)="","",INDEX('潜水記録'!$K$5:$K$3004,$AS454)))</f>
        <v/>
      </c>
      <c r="M454" s="14">
        <f>IF($A454="","",IF(INDEX('潜水記録'!$L$5:$L$3004,$AS454)="","",INDEX('潜水記録'!$L$5:$L$3004,$AS454)))</f>
        <v/>
      </c>
      <c r="N454" s="14">
        <f>IF($A454="","",IF(INDEX('潜水記録'!$M$5:$M$3004,$AS454)="","",INDEX('潜水記録'!$M$5:$M$3004,$AS454)))</f>
        <v/>
      </c>
      <c r="O454" s="14">
        <f>IF($A454="","",IF(INDEX('潜水記録'!$N$5:$N$3004,$AS454)="","",INDEX('潜水記録'!$N$5:$N$3004,$AS454)))</f>
        <v/>
      </c>
      <c r="P454" s="14">
        <f>IF($A454="","",IF(INDEX('潜水記録'!$O$5:$O$3004,$AS454)="","",INDEX('潜水記録'!$O$5:$O$3004,$AS454)))</f>
        <v/>
      </c>
      <c r="Q454" s="14">
        <f>IF($A454="","",IF(INDEX('潜水記録'!$P$5:$P$3004,$AS454)="","",INDEX('潜水記録'!$P$5:$P$3004,$AS454)))</f>
        <v/>
      </c>
      <c r="R454" s="14">
        <f>IF($A454="","",IF(INDEX('潜水記録'!$Q$5:$Q$3004,$AS454)="","",INDEX('潜水記録'!$Q$5:$Q$3004,$AS454)))</f>
        <v/>
      </c>
      <c r="S454" s="14">
        <f>IF($A454="","",IF(INDEX('潜水記録'!$R$5:$R$3004,$AS454)="","",INDEX('潜水記録'!$R$5:$R$3004,$AS454)))</f>
        <v/>
      </c>
      <c r="T454" s="14">
        <f>IF($A454="","",IF(INDEX('潜水記録'!$S$5:$S$3004,$AS454)="","",INDEX('潜水記録'!$S$5:$S$3004,$AS454)))</f>
        <v/>
      </c>
      <c r="U454" s="14">
        <f>IF($A454="","",IF(INDEX('潜水記録'!$T$5:$T$3004,$AS454)="","",INDEX('潜水記録'!$T$5:$T$3004,$AS454)))</f>
        <v/>
      </c>
      <c r="V454" s="46">
        <f>IF($A454="","",IF(INDEX('潜水記録'!$U$5:$U$3004,$AS454)="","",INDEX('潜水記録'!$U$5:$U$3004,$AS454)))</f>
        <v/>
      </c>
      <c r="W454" s="46">
        <f>IF($A454="","",IF(INDEX('潜水記録'!$V$5:$V$3004,$AS454)="","",INDEX('潜水記録'!$V$5:$V$3004,$AS454)))</f>
        <v/>
      </c>
      <c r="X454" s="14">
        <f>IF($A454="","",IF(INDEX('潜水記録'!$W$5:$W$3004,$AS454)="","",INDEX('潜水記録'!$W$5:$W$3004,$AS454)))</f>
        <v/>
      </c>
      <c r="Y454" s="14">
        <f>IF($A454="","",IF(INDEX('潜水記録'!$X$5:$X$3004,$AS454)="","",INDEX('潜水記録'!$X$5:$X$3004,$AS454)))</f>
        <v/>
      </c>
      <c r="Z454" s="14">
        <f>IF($A454="","",IF(INDEX('潜水記録'!$Y$5:$Y$3004,$AS454)="","",INDEX('潜水記録'!$Y$5:$Y$3004,$AS454)))</f>
        <v/>
      </c>
      <c r="AA454" s="14">
        <f>IF($A454="","",IF(INDEX('潜水記録'!$Z$5:$Z$3004,$AS454)="","",INDEX('潜水記録'!$Z$5:$Z$3004,$AS454)))</f>
        <v/>
      </c>
      <c r="AB454" s="14">
        <f>IF($A454="","",IF(INDEX('潜水記録'!$AA$5:$AA$3004,$AS454)="","",INDEX('潜水記録'!$AA$5:$AA$3004,$AS454)))</f>
        <v/>
      </c>
      <c r="AC454" s="14">
        <f>IF($A454="","",IF(INDEX('潜水記録'!$AB$5:$AB$3004,$AS454)="","",INDEX('潜水記録'!$AB$5:$AB$3004,$AS454)))</f>
        <v/>
      </c>
      <c r="AD454" s="14">
        <f>IF($A454="","",IF(INDEX('潜水記録'!$AC$5:$AC$3004,$AS454)="","",INDEX('潜水記録'!$AC$5:$AC$3004,$AS454)))</f>
        <v/>
      </c>
      <c r="AE454" s="14">
        <f>IF($A454="","",IF(INDEX('潜水記録'!$AD$5:$AD$3004,$AS454)="","",INDEX('潜水記録'!$AD$5:$AD$3004,$AS454)))</f>
        <v/>
      </c>
      <c r="AF454" s="14">
        <f>IF($A454="","",IF(INDEX('潜水記録'!$AE$5:$AE$3004,$AS454)="","",INDEX('潜水記録'!$AE$5:$AE$3004,$AS454)))</f>
        <v/>
      </c>
      <c r="AG454" s="14">
        <f>IF($A454="","",IF(INDEX('潜水記録'!$AL$5:$AL$3004,$AS454)="","",INDEX('潜水記録'!$AL$5:$AL$3004,$AS454)))</f>
        <v/>
      </c>
      <c r="AH454" s="14">
        <f>IF($A454="","",IF(INDEX('潜水記録'!$AM$5:$AM$3004,$AS454)="","",INDEX('潜水記録'!$AM$5:$AM$3004,$AS454)))</f>
        <v/>
      </c>
      <c r="AI454" s="46">
        <f>IF($A454="","",IF(INDEX('潜水記録'!$AN$5:$AN$3004,$AS454)="","",INDEX('潜水記録'!$AN$5:$AN$3004,$AS454)))</f>
        <v/>
      </c>
      <c r="AJ454" s="14">
        <f>IF($A454="","",IF(INDEX('潜水記録'!$AO$5:$AO$3004,$AS454)="","",INDEX('潜水記録'!$AO$5:$AO$3004,$AS454)))</f>
        <v/>
      </c>
      <c r="AK454" s="14">
        <f>IF($A454="","",IF(INDEX('潜水記録'!$AP$5:$AP$3004,$AS454)="","",INDEX('潜水記録'!$AP$5:$AP$3004,$AS454)))</f>
        <v/>
      </c>
      <c r="AL454" s="14">
        <f>IF($A454="","",IF(INDEX('潜水記録'!$AQ$5:$AQ$3004,$AS454)="","",INDEX('潜水記録'!$AQ$5:$AQ$3004,$AS454)))</f>
        <v/>
      </c>
      <c r="AM454" s="14">
        <f>IF($A454="","",IF(INDEX('潜水記録'!$AR$5:$AR$3004,$AS454)="","",INDEX('潜水記録'!$AR$5:$AR$3004,$AS454)))</f>
        <v/>
      </c>
      <c r="AN454" s="14">
        <f>IF($A454="","",IF(INDEX('潜水記録'!$AS$5:$AS$3004,$AS454)="","",INDEX('潜水記録'!$AS$5:$AS$3004,$AS454)))</f>
        <v/>
      </c>
      <c r="AO454" s="14">
        <f>IF($A454="","",IF(INDEX('潜水記録'!$AT$5:$AT$3004,$AS454)="","",INDEX('潜水記録'!$AT$5:$AT$3004,$AS454)))</f>
        <v/>
      </c>
      <c r="AP454" s="14">
        <f>IF($A454="","",IF(INDEX('潜水記録'!$AU$5:$AU$3004,$AS454)="","",INDEX('潜水記録'!$AU$5:$AU$3004,$AS454)))</f>
        <v/>
      </c>
      <c r="AQ454" s="14">
        <f>IF($A454="","",IF(INDEX('潜水記録'!$AV$5:$AV$3004,$AS454)="","",INDEX('潜水記録'!$AV$5:$AV$3004,$AS454)))</f>
        <v/>
      </c>
      <c r="AR454" s="14">
        <f>IF($A454="","",IF(INDEX('潜水記録'!$AW$5:$AW$3004,$AS454)="","",INDEX('潜水記録'!$AW$5:$AW$3004,$AS454)))</f>
        <v/>
      </c>
      <c r="AS454" s="20">
        <f>IF($A454="","",MATCH($A454,'潜水記録'!$AI$5:$AI$3004,0))</f>
        <v/>
      </c>
    </row>
    <row r="455">
      <c r="A455" s="14">
        <f>IF(445&lt;=$C$8,445,"")</f>
        <v/>
      </c>
      <c r="B455" s="16">
        <f>IF($A455="","",IF(INDEX('潜水記録'!$A$5:$A$3004,$AS455)="","",INDEX('潜水記録'!$A$5:$A$3004,$AS455)))</f>
        <v/>
      </c>
      <c r="C455" s="14">
        <f>IF($A455="","",IF(INDEX('潜水記録'!$B$5:$B$3004,$AS455)="","",INDEX('潜水記録'!$B$5:$B$3004,$AS455)))</f>
        <v/>
      </c>
      <c r="D455" s="14">
        <f>IF($A455="","",IF(INDEX('潜水記録'!$C$5:$C$3004,$AS455)="","",INDEX('潜水記録'!$C$5:$C$3004,$AS455)))</f>
        <v/>
      </c>
      <c r="E455" s="14">
        <f>IF($A455="","",IF(INDEX('潜水記録'!$D$5:$D$3004,$AS455)="","",INDEX('潜水記録'!$D$5:$D$3004,$AS455)))</f>
        <v/>
      </c>
      <c r="F455" s="14">
        <f>IF($A455="","",IF(INDEX('潜水記録'!$E$5:$E$3004,$AS455)="","",INDEX('潜水記録'!$E$5:$E$3004,$AS455)))</f>
        <v/>
      </c>
      <c r="G455" s="14">
        <f>IF($A455="","",IF(INDEX('潜水記録'!$F$5:$F$3004,$AS455)="","",INDEX('潜水記録'!$F$5:$F$3004,$AS455)))</f>
        <v/>
      </c>
      <c r="H455" s="14">
        <f>IF($A455="","",IF(INDEX('潜水記録'!$G$5:$G$3004,$AS455)="","",INDEX('潜水記録'!$G$5:$G$3004,$AS455)))</f>
        <v/>
      </c>
      <c r="I455" s="14">
        <f>IF($A455="","",IF(INDEX('潜水記録'!$H$5:$H$3004,$AS455)="","",INDEX('潜水記録'!$H$5:$H$3004,$AS455)))</f>
        <v/>
      </c>
      <c r="J455" s="14">
        <f>IF($A455="","",IF(INDEX('潜水記録'!$I$5:$I$3004,$AS455)="","",INDEX('潜水記録'!$I$5:$I$3004,$AS455)))</f>
        <v/>
      </c>
      <c r="K455" s="14">
        <f>IF($A455="","",IF(INDEX('潜水記録'!$J$5:$J$3004,$AS455)="","",INDEX('潜水記録'!$J$5:$J$3004,$AS455)))</f>
        <v/>
      </c>
      <c r="L455" s="14">
        <f>IF($A455="","",IF(INDEX('潜水記録'!$K$5:$K$3004,$AS455)="","",INDEX('潜水記録'!$K$5:$K$3004,$AS455)))</f>
        <v/>
      </c>
      <c r="M455" s="14">
        <f>IF($A455="","",IF(INDEX('潜水記録'!$L$5:$L$3004,$AS455)="","",INDEX('潜水記録'!$L$5:$L$3004,$AS455)))</f>
        <v/>
      </c>
      <c r="N455" s="14">
        <f>IF($A455="","",IF(INDEX('潜水記録'!$M$5:$M$3004,$AS455)="","",INDEX('潜水記録'!$M$5:$M$3004,$AS455)))</f>
        <v/>
      </c>
      <c r="O455" s="14">
        <f>IF($A455="","",IF(INDEX('潜水記録'!$N$5:$N$3004,$AS455)="","",INDEX('潜水記録'!$N$5:$N$3004,$AS455)))</f>
        <v/>
      </c>
      <c r="P455" s="14">
        <f>IF($A455="","",IF(INDEX('潜水記録'!$O$5:$O$3004,$AS455)="","",INDEX('潜水記録'!$O$5:$O$3004,$AS455)))</f>
        <v/>
      </c>
      <c r="Q455" s="14">
        <f>IF($A455="","",IF(INDEX('潜水記録'!$P$5:$P$3004,$AS455)="","",INDEX('潜水記録'!$P$5:$P$3004,$AS455)))</f>
        <v/>
      </c>
      <c r="R455" s="14">
        <f>IF($A455="","",IF(INDEX('潜水記録'!$Q$5:$Q$3004,$AS455)="","",INDEX('潜水記録'!$Q$5:$Q$3004,$AS455)))</f>
        <v/>
      </c>
      <c r="S455" s="14">
        <f>IF($A455="","",IF(INDEX('潜水記録'!$R$5:$R$3004,$AS455)="","",INDEX('潜水記録'!$R$5:$R$3004,$AS455)))</f>
        <v/>
      </c>
      <c r="T455" s="14">
        <f>IF($A455="","",IF(INDEX('潜水記録'!$S$5:$S$3004,$AS455)="","",INDEX('潜水記録'!$S$5:$S$3004,$AS455)))</f>
        <v/>
      </c>
      <c r="U455" s="14">
        <f>IF($A455="","",IF(INDEX('潜水記録'!$T$5:$T$3004,$AS455)="","",INDEX('潜水記録'!$T$5:$T$3004,$AS455)))</f>
        <v/>
      </c>
      <c r="V455" s="46">
        <f>IF($A455="","",IF(INDEX('潜水記録'!$U$5:$U$3004,$AS455)="","",INDEX('潜水記録'!$U$5:$U$3004,$AS455)))</f>
        <v/>
      </c>
      <c r="W455" s="46">
        <f>IF($A455="","",IF(INDEX('潜水記録'!$V$5:$V$3004,$AS455)="","",INDEX('潜水記録'!$V$5:$V$3004,$AS455)))</f>
        <v/>
      </c>
      <c r="X455" s="14">
        <f>IF($A455="","",IF(INDEX('潜水記録'!$W$5:$W$3004,$AS455)="","",INDEX('潜水記録'!$W$5:$W$3004,$AS455)))</f>
        <v/>
      </c>
      <c r="Y455" s="14">
        <f>IF($A455="","",IF(INDEX('潜水記録'!$X$5:$X$3004,$AS455)="","",INDEX('潜水記録'!$X$5:$X$3004,$AS455)))</f>
        <v/>
      </c>
      <c r="Z455" s="14">
        <f>IF($A455="","",IF(INDEX('潜水記録'!$Y$5:$Y$3004,$AS455)="","",INDEX('潜水記録'!$Y$5:$Y$3004,$AS455)))</f>
        <v/>
      </c>
      <c r="AA455" s="14">
        <f>IF($A455="","",IF(INDEX('潜水記録'!$Z$5:$Z$3004,$AS455)="","",INDEX('潜水記録'!$Z$5:$Z$3004,$AS455)))</f>
        <v/>
      </c>
      <c r="AB455" s="14">
        <f>IF($A455="","",IF(INDEX('潜水記録'!$AA$5:$AA$3004,$AS455)="","",INDEX('潜水記録'!$AA$5:$AA$3004,$AS455)))</f>
        <v/>
      </c>
      <c r="AC455" s="14">
        <f>IF($A455="","",IF(INDEX('潜水記録'!$AB$5:$AB$3004,$AS455)="","",INDEX('潜水記録'!$AB$5:$AB$3004,$AS455)))</f>
        <v/>
      </c>
      <c r="AD455" s="14">
        <f>IF($A455="","",IF(INDEX('潜水記録'!$AC$5:$AC$3004,$AS455)="","",INDEX('潜水記録'!$AC$5:$AC$3004,$AS455)))</f>
        <v/>
      </c>
      <c r="AE455" s="14">
        <f>IF($A455="","",IF(INDEX('潜水記録'!$AD$5:$AD$3004,$AS455)="","",INDEX('潜水記録'!$AD$5:$AD$3004,$AS455)))</f>
        <v/>
      </c>
      <c r="AF455" s="14">
        <f>IF($A455="","",IF(INDEX('潜水記録'!$AE$5:$AE$3004,$AS455)="","",INDEX('潜水記録'!$AE$5:$AE$3004,$AS455)))</f>
        <v/>
      </c>
      <c r="AG455" s="14">
        <f>IF($A455="","",IF(INDEX('潜水記録'!$AL$5:$AL$3004,$AS455)="","",INDEX('潜水記録'!$AL$5:$AL$3004,$AS455)))</f>
        <v/>
      </c>
      <c r="AH455" s="14">
        <f>IF($A455="","",IF(INDEX('潜水記録'!$AM$5:$AM$3004,$AS455)="","",INDEX('潜水記録'!$AM$5:$AM$3004,$AS455)))</f>
        <v/>
      </c>
      <c r="AI455" s="46">
        <f>IF($A455="","",IF(INDEX('潜水記録'!$AN$5:$AN$3004,$AS455)="","",INDEX('潜水記録'!$AN$5:$AN$3004,$AS455)))</f>
        <v/>
      </c>
      <c r="AJ455" s="14">
        <f>IF($A455="","",IF(INDEX('潜水記録'!$AO$5:$AO$3004,$AS455)="","",INDEX('潜水記録'!$AO$5:$AO$3004,$AS455)))</f>
        <v/>
      </c>
      <c r="AK455" s="14">
        <f>IF($A455="","",IF(INDEX('潜水記録'!$AP$5:$AP$3004,$AS455)="","",INDEX('潜水記録'!$AP$5:$AP$3004,$AS455)))</f>
        <v/>
      </c>
      <c r="AL455" s="14">
        <f>IF($A455="","",IF(INDEX('潜水記録'!$AQ$5:$AQ$3004,$AS455)="","",INDEX('潜水記録'!$AQ$5:$AQ$3004,$AS455)))</f>
        <v/>
      </c>
      <c r="AM455" s="14">
        <f>IF($A455="","",IF(INDEX('潜水記録'!$AR$5:$AR$3004,$AS455)="","",INDEX('潜水記録'!$AR$5:$AR$3004,$AS455)))</f>
        <v/>
      </c>
      <c r="AN455" s="14">
        <f>IF($A455="","",IF(INDEX('潜水記録'!$AS$5:$AS$3004,$AS455)="","",INDEX('潜水記録'!$AS$5:$AS$3004,$AS455)))</f>
        <v/>
      </c>
      <c r="AO455" s="14">
        <f>IF($A455="","",IF(INDEX('潜水記録'!$AT$5:$AT$3004,$AS455)="","",INDEX('潜水記録'!$AT$5:$AT$3004,$AS455)))</f>
        <v/>
      </c>
      <c r="AP455" s="14">
        <f>IF($A455="","",IF(INDEX('潜水記録'!$AU$5:$AU$3004,$AS455)="","",INDEX('潜水記録'!$AU$5:$AU$3004,$AS455)))</f>
        <v/>
      </c>
      <c r="AQ455" s="14">
        <f>IF($A455="","",IF(INDEX('潜水記録'!$AV$5:$AV$3004,$AS455)="","",INDEX('潜水記録'!$AV$5:$AV$3004,$AS455)))</f>
        <v/>
      </c>
      <c r="AR455" s="14">
        <f>IF($A455="","",IF(INDEX('潜水記録'!$AW$5:$AW$3004,$AS455)="","",INDEX('潜水記録'!$AW$5:$AW$3004,$AS455)))</f>
        <v/>
      </c>
      <c r="AS455" s="20">
        <f>IF($A455="","",MATCH($A455,'潜水記録'!$AI$5:$AI$3004,0))</f>
        <v/>
      </c>
    </row>
    <row r="456">
      <c r="A456" s="14">
        <f>IF(446&lt;=$C$8,446,"")</f>
        <v/>
      </c>
      <c r="B456" s="16">
        <f>IF($A456="","",IF(INDEX('潜水記録'!$A$5:$A$3004,$AS456)="","",INDEX('潜水記録'!$A$5:$A$3004,$AS456)))</f>
        <v/>
      </c>
      <c r="C456" s="14">
        <f>IF($A456="","",IF(INDEX('潜水記録'!$B$5:$B$3004,$AS456)="","",INDEX('潜水記録'!$B$5:$B$3004,$AS456)))</f>
        <v/>
      </c>
      <c r="D456" s="14">
        <f>IF($A456="","",IF(INDEX('潜水記録'!$C$5:$C$3004,$AS456)="","",INDEX('潜水記録'!$C$5:$C$3004,$AS456)))</f>
        <v/>
      </c>
      <c r="E456" s="14">
        <f>IF($A456="","",IF(INDEX('潜水記録'!$D$5:$D$3004,$AS456)="","",INDEX('潜水記録'!$D$5:$D$3004,$AS456)))</f>
        <v/>
      </c>
      <c r="F456" s="14">
        <f>IF($A456="","",IF(INDEX('潜水記録'!$E$5:$E$3004,$AS456)="","",INDEX('潜水記録'!$E$5:$E$3004,$AS456)))</f>
        <v/>
      </c>
      <c r="G456" s="14">
        <f>IF($A456="","",IF(INDEX('潜水記録'!$F$5:$F$3004,$AS456)="","",INDEX('潜水記録'!$F$5:$F$3004,$AS456)))</f>
        <v/>
      </c>
      <c r="H456" s="14">
        <f>IF($A456="","",IF(INDEX('潜水記録'!$G$5:$G$3004,$AS456)="","",INDEX('潜水記録'!$G$5:$G$3004,$AS456)))</f>
        <v/>
      </c>
      <c r="I456" s="14">
        <f>IF($A456="","",IF(INDEX('潜水記録'!$H$5:$H$3004,$AS456)="","",INDEX('潜水記録'!$H$5:$H$3004,$AS456)))</f>
        <v/>
      </c>
      <c r="J456" s="14">
        <f>IF($A456="","",IF(INDEX('潜水記録'!$I$5:$I$3004,$AS456)="","",INDEX('潜水記録'!$I$5:$I$3004,$AS456)))</f>
        <v/>
      </c>
      <c r="K456" s="14">
        <f>IF($A456="","",IF(INDEX('潜水記録'!$J$5:$J$3004,$AS456)="","",INDEX('潜水記録'!$J$5:$J$3004,$AS456)))</f>
        <v/>
      </c>
      <c r="L456" s="14">
        <f>IF($A456="","",IF(INDEX('潜水記録'!$K$5:$K$3004,$AS456)="","",INDEX('潜水記録'!$K$5:$K$3004,$AS456)))</f>
        <v/>
      </c>
      <c r="M456" s="14">
        <f>IF($A456="","",IF(INDEX('潜水記録'!$L$5:$L$3004,$AS456)="","",INDEX('潜水記録'!$L$5:$L$3004,$AS456)))</f>
        <v/>
      </c>
      <c r="N456" s="14">
        <f>IF($A456="","",IF(INDEX('潜水記録'!$M$5:$M$3004,$AS456)="","",INDEX('潜水記録'!$M$5:$M$3004,$AS456)))</f>
        <v/>
      </c>
      <c r="O456" s="14">
        <f>IF($A456="","",IF(INDEX('潜水記録'!$N$5:$N$3004,$AS456)="","",INDEX('潜水記録'!$N$5:$N$3004,$AS456)))</f>
        <v/>
      </c>
      <c r="P456" s="14">
        <f>IF($A456="","",IF(INDEX('潜水記録'!$O$5:$O$3004,$AS456)="","",INDEX('潜水記録'!$O$5:$O$3004,$AS456)))</f>
        <v/>
      </c>
      <c r="Q456" s="14">
        <f>IF($A456="","",IF(INDEX('潜水記録'!$P$5:$P$3004,$AS456)="","",INDEX('潜水記録'!$P$5:$P$3004,$AS456)))</f>
        <v/>
      </c>
      <c r="R456" s="14">
        <f>IF($A456="","",IF(INDEX('潜水記録'!$Q$5:$Q$3004,$AS456)="","",INDEX('潜水記録'!$Q$5:$Q$3004,$AS456)))</f>
        <v/>
      </c>
      <c r="S456" s="14">
        <f>IF($A456="","",IF(INDEX('潜水記録'!$R$5:$R$3004,$AS456)="","",INDEX('潜水記録'!$R$5:$R$3004,$AS456)))</f>
        <v/>
      </c>
      <c r="T456" s="14">
        <f>IF($A456="","",IF(INDEX('潜水記録'!$S$5:$S$3004,$AS456)="","",INDEX('潜水記録'!$S$5:$S$3004,$AS456)))</f>
        <v/>
      </c>
      <c r="U456" s="14">
        <f>IF($A456="","",IF(INDEX('潜水記録'!$T$5:$T$3004,$AS456)="","",INDEX('潜水記録'!$T$5:$T$3004,$AS456)))</f>
        <v/>
      </c>
      <c r="V456" s="46">
        <f>IF($A456="","",IF(INDEX('潜水記録'!$U$5:$U$3004,$AS456)="","",INDEX('潜水記録'!$U$5:$U$3004,$AS456)))</f>
        <v/>
      </c>
      <c r="W456" s="46">
        <f>IF($A456="","",IF(INDEX('潜水記録'!$V$5:$V$3004,$AS456)="","",INDEX('潜水記録'!$V$5:$V$3004,$AS456)))</f>
        <v/>
      </c>
      <c r="X456" s="14">
        <f>IF($A456="","",IF(INDEX('潜水記録'!$W$5:$W$3004,$AS456)="","",INDEX('潜水記録'!$W$5:$W$3004,$AS456)))</f>
        <v/>
      </c>
      <c r="Y456" s="14">
        <f>IF($A456="","",IF(INDEX('潜水記録'!$X$5:$X$3004,$AS456)="","",INDEX('潜水記録'!$X$5:$X$3004,$AS456)))</f>
        <v/>
      </c>
      <c r="Z456" s="14">
        <f>IF($A456="","",IF(INDEX('潜水記録'!$Y$5:$Y$3004,$AS456)="","",INDEX('潜水記録'!$Y$5:$Y$3004,$AS456)))</f>
        <v/>
      </c>
      <c r="AA456" s="14">
        <f>IF($A456="","",IF(INDEX('潜水記録'!$Z$5:$Z$3004,$AS456)="","",INDEX('潜水記録'!$Z$5:$Z$3004,$AS456)))</f>
        <v/>
      </c>
      <c r="AB456" s="14">
        <f>IF($A456="","",IF(INDEX('潜水記録'!$AA$5:$AA$3004,$AS456)="","",INDEX('潜水記録'!$AA$5:$AA$3004,$AS456)))</f>
        <v/>
      </c>
      <c r="AC456" s="14">
        <f>IF($A456="","",IF(INDEX('潜水記録'!$AB$5:$AB$3004,$AS456)="","",INDEX('潜水記録'!$AB$5:$AB$3004,$AS456)))</f>
        <v/>
      </c>
      <c r="AD456" s="14">
        <f>IF($A456="","",IF(INDEX('潜水記録'!$AC$5:$AC$3004,$AS456)="","",INDEX('潜水記録'!$AC$5:$AC$3004,$AS456)))</f>
        <v/>
      </c>
      <c r="AE456" s="14">
        <f>IF($A456="","",IF(INDEX('潜水記録'!$AD$5:$AD$3004,$AS456)="","",INDEX('潜水記録'!$AD$5:$AD$3004,$AS456)))</f>
        <v/>
      </c>
      <c r="AF456" s="14">
        <f>IF($A456="","",IF(INDEX('潜水記録'!$AE$5:$AE$3004,$AS456)="","",INDEX('潜水記録'!$AE$5:$AE$3004,$AS456)))</f>
        <v/>
      </c>
      <c r="AG456" s="14">
        <f>IF($A456="","",IF(INDEX('潜水記録'!$AL$5:$AL$3004,$AS456)="","",INDEX('潜水記録'!$AL$5:$AL$3004,$AS456)))</f>
        <v/>
      </c>
      <c r="AH456" s="14">
        <f>IF($A456="","",IF(INDEX('潜水記録'!$AM$5:$AM$3004,$AS456)="","",INDEX('潜水記録'!$AM$5:$AM$3004,$AS456)))</f>
        <v/>
      </c>
      <c r="AI456" s="46">
        <f>IF($A456="","",IF(INDEX('潜水記録'!$AN$5:$AN$3004,$AS456)="","",INDEX('潜水記録'!$AN$5:$AN$3004,$AS456)))</f>
        <v/>
      </c>
      <c r="AJ456" s="14">
        <f>IF($A456="","",IF(INDEX('潜水記録'!$AO$5:$AO$3004,$AS456)="","",INDEX('潜水記録'!$AO$5:$AO$3004,$AS456)))</f>
        <v/>
      </c>
      <c r="AK456" s="14">
        <f>IF($A456="","",IF(INDEX('潜水記録'!$AP$5:$AP$3004,$AS456)="","",INDEX('潜水記録'!$AP$5:$AP$3004,$AS456)))</f>
        <v/>
      </c>
      <c r="AL456" s="14">
        <f>IF($A456="","",IF(INDEX('潜水記録'!$AQ$5:$AQ$3004,$AS456)="","",INDEX('潜水記録'!$AQ$5:$AQ$3004,$AS456)))</f>
        <v/>
      </c>
      <c r="AM456" s="14">
        <f>IF($A456="","",IF(INDEX('潜水記録'!$AR$5:$AR$3004,$AS456)="","",INDEX('潜水記録'!$AR$5:$AR$3004,$AS456)))</f>
        <v/>
      </c>
      <c r="AN456" s="14">
        <f>IF($A456="","",IF(INDEX('潜水記録'!$AS$5:$AS$3004,$AS456)="","",INDEX('潜水記録'!$AS$5:$AS$3004,$AS456)))</f>
        <v/>
      </c>
      <c r="AO456" s="14">
        <f>IF($A456="","",IF(INDEX('潜水記録'!$AT$5:$AT$3004,$AS456)="","",INDEX('潜水記録'!$AT$5:$AT$3004,$AS456)))</f>
        <v/>
      </c>
      <c r="AP456" s="14">
        <f>IF($A456="","",IF(INDEX('潜水記録'!$AU$5:$AU$3004,$AS456)="","",INDEX('潜水記録'!$AU$5:$AU$3004,$AS456)))</f>
        <v/>
      </c>
      <c r="AQ456" s="14">
        <f>IF($A456="","",IF(INDEX('潜水記録'!$AV$5:$AV$3004,$AS456)="","",INDEX('潜水記録'!$AV$5:$AV$3004,$AS456)))</f>
        <v/>
      </c>
      <c r="AR456" s="14">
        <f>IF($A456="","",IF(INDEX('潜水記録'!$AW$5:$AW$3004,$AS456)="","",INDEX('潜水記録'!$AW$5:$AW$3004,$AS456)))</f>
        <v/>
      </c>
      <c r="AS456" s="20">
        <f>IF($A456="","",MATCH($A456,'潜水記録'!$AI$5:$AI$3004,0))</f>
        <v/>
      </c>
    </row>
    <row r="457">
      <c r="A457" s="14">
        <f>IF(447&lt;=$C$8,447,"")</f>
        <v/>
      </c>
      <c r="B457" s="16">
        <f>IF($A457="","",IF(INDEX('潜水記録'!$A$5:$A$3004,$AS457)="","",INDEX('潜水記録'!$A$5:$A$3004,$AS457)))</f>
        <v/>
      </c>
      <c r="C457" s="14">
        <f>IF($A457="","",IF(INDEX('潜水記録'!$B$5:$B$3004,$AS457)="","",INDEX('潜水記録'!$B$5:$B$3004,$AS457)))</f>
        <v/>
      </c>
      <c r="D457" s="14">
        <f>IF($A457="","",IF(INDEX('潜水記録'!$C$5:$C$3004,$AS457)="","",INDEX('潜水記録'!$C$5:$C$3004,$AS457)))</f>
        <v/>
      </c>
      <c r="E457" s="14">
        <f>IF($A457="","",IF(INDEX('潜水記録'!$D$5:$D$3004,$AS457)="","",INDEX('潜水記録'!$D$5:$D$3004,$AS457)))</f>
        <v/>
      </c>
      <c r="F457" s="14">
        <f>IF($A457="","",IF(INDEX('潜水記録'!$E$5:$E$3004,$AS457)="","",INDEX('潜水記録'!$E$5:$E$3004,$AS457)))</f>
        <v/>
      </c>
      <c r="G457" s="14">
        <f>IF($A457="","",IF(INDEX('潜水記録'!$F$5:$F$3004,$AS457)="","",INDEX('潜水記録'!$F$5:$F$3004,$AS457)))</f>
        <v/>
      </c>
      <c r="H457" s="14">
        <f>IF($A457="","",IF(INDEX('潜水記録'!$G$5:$G$3004,$AS457)="","",INDEX('潜水記録'!$G$5:$G$3004,$AS457)))</f>
        <v/>
      </c>
      <c r="I457" s="14">
        <f>IF($A457="","",IF(INDEX('潜水記録'!$H$5:$H$3004,$AS457)="","",INDEX('潜水記録'!$H$5:$H$3004,$AS457)))</f>
        <v/>
      </c>
      <c r="J457" s="14">
        <f>IF($A457="","",IF(INDEX('潜水記録'!$I$5:$I$3004,$AS457)="","",INDEX('潜水記録'!$I$5:$I$3004,$AS457)))</f>
        <v/>
      </c>
      <c r="K457" s="14">
        <f>IF($A457="","",IF(INDEX('潜水記録'!$J$5:$J$3004,$AS457)="","",INDEX('潜水記録'!$J$5:$J$3004,$AS457)))</f>
        <v/>
      </c>
      <c r="L457" s="14">
        <f>IF($A457="","",IF(INDEX('潜水記録'!$K$5:$K$3004,$AS457)="","",INDEX('潜水記録'!$K$5:$K$3004,$AS457)))</f>
        <v/>
      </c>
      <c r="M457" s="14">
        <f>IF($A457="","",IF(INDEX('潜水記録'!$L$5:$L$3004,$AS457)="","",INDEX('潜水記録'!$L$5:$L$3004,$AS457)))</f>
        <v/>
      </c>
      <c r="N457" s="14">
        <f>IF($A457="","",IF(INDEX('潜水記録'!$M$5:$M$3004,$AS457)="","",INDEX('潜水記録'!$M$5:$M$3004,$AS457)))</f>
        <v/>
      </c>
      <c r="O457" s="14">
        <f>IF($A457="","",IF(INDEX('潜水記録'!$N$5:$N$3004,$AS457)="","",INDEX('潜水記録'!$N$5:$N$3004,$AS457)))</f>
        <v/>
      </c>
      <c r="P457" s="14">
        <f>IF($A457="","",IF(INDEX('潜水記録'!$O$5:$O$3004,$AS457)="","",INDEX('潜水記録'!$O$5:$O$3004,$AS457)))</f>
        <v/>
      </c>
      <c r="Q457" s="14">
        <f>IF($A457="","",IF(INDEX('潜水記録'!$P$5:$P$3004,$AS457)="","",INDEX('潜水記録'!$P$5:$P$3004,$AS457)))</f>
        <v/>
      </c>
      <c r="R457" s="14">
        <f>IF($A457="","",IF(INDEX('潜水記録'!$Q$5:$Q$3004,$AS457)="","",INDEX('潜水記録'!$Q$5:$Q$3004,$AS457)))</f>
        <v/>
      </c>
      <c r="S457" s="14">
        <f>IF($A457="","",IF(INDEX('潜水記録'!$R$5:$R$3004,$AS457)="","",INDEX('潜水記録'!$R$5:$R$3004,$AS457)))</f>
        <v/>
      </c>
      <c r="T457" s="14">
        <f>IF($A457="","",IF(INDEX('潜水記録'!$S$5:$S$3004,$AS457)="","",INDEX('潜水記録'!$S$5:$S$3004,$AS457)))</f>
        <v/>
      </c>
      <c r="U457" s="14">
        <f>IF($A457="","",IF(INDEX('潜水記録'!$T$5:$T$3004,$AS457)="","",INDEX('潜水記録'!$T$5:$T$3004,$AS457)))</f>
        <v/>
      </c>
      <c r="V457" s="46">
        <f>IF($A457="","",IF(INDEX('潜水記録'!$U$5:$U$3004,$AS457)="","",INDEX('潜水記録'!$U$5:$U$3004,$AS457)))</f>
        <v/>
      </c>
      <c r="W457" s="46">
        <f>IF($A457="","",IF(INDEX('潜水記録'!$V$5:$V$3004,$AS457)="","",INDEX('潜水記録'!$V$5:$V$3004,$AS457)))</f>
        <v/>
      </c>
      <c r="X457" s="14">
        <f>IF($A457="","",IF(INDEX('潜水記録'!$W$5:$W$3004,$AS457)="","",INDEX('潜水記録'!$W$5:$W$3004,$AS457)))</f>
        <v/>
      </c>
      <c r="Y457" s="14">
        <f>IF($A457="","",IF(INDEX('潜水記録'!$X$5:$X$3004,$AS457)="","",INDEX('潜水記録'!$X$5:$X$3004,$AS457)))</f>
        <v/>
      </c>
      <c r="Z457" s="14">
        <f>IF($A457="","",IF(INDEX('潜水記録'!$Y$5:$Y$3004,$AS457)="","",INDEX('潜水記録'!$Y$5:$Y$3004,$AS457)))</f>
        <v/>
      </c>
      <c r="AA457" s="14">
        <f>IF($A457="","",IF(INDEX('潜水記録'!$Z$5:$Z$3004,$AS457)="","",INDEX('潜水記録'!$Z$5:$Z$3004,$AS457)))</f>
        <v/>
      </c>
      <c r="AB457" s="14">
        <f>IF($A457="","",IF(INDEX('潜水記録'!$AA$5:$AA$3004,$AS457)="","",INDEX('潜水記録'!$AA$5:$AA$3004,$AS457)))</f>
        <v/>
      </c>
      <c r="AC457" s="14">
        <f>IF($A457="","",IF(INDEX('潜水記録'!$AB$5:$AB$3004,$AS457)="","",INDEX('潜水記録'!$AB$5:$AB$3004,$AS457)))</f>
        <v/>
      </c>
      <c r="AD457" s="14">
        <f>IF($A457="","",IF(INDEX('潜水記録'!$AC$5:$AC$3004,$AS457)="","",INDEX('潜水記録'!$AC$5:$AC$3004,$AS457)))</f>
        <v/>
      </c>
      <c r="AE457" s="14">
        <f>IF($A457="","",IF(INDEX('潜水記録'!$AD$5:$AD$3004,$AS457)="","",INDEX('潜水記録'!$AD$5:$AD$3004,$AS457)))</f>
        <v/>
      </c>
      <c r="AF457" s="14">
        <f>IF($A457="","",IF(INDEX('潜水記録'!$AE$5:$AE$3004,$AS457)="","",INDEX('潜水記録'!$AE$5:$AE$3004,$AS457)))</f>
        <v/>
      </c>
      <c r="AG457" s="14">
        <f>IF($A457="","",IF(INDEX('潜水記録'!$AL$5:$AL$3004,$AS457)="","",INDEX('潜水記録'!$AL$5:$AL$3004,$AS457)))</f>
        <v/>
      </c>
      <c r="AH457" s="14">
        <f>IF($A457="","",IF(INDEX('潜水記録'!$AM$5:$AM$3004,$AS457)="","",INDEX('潜水記録'!$AM$5:$AM$3004,$AS457)))</f>
        <v/>
      </c>
      <c r="AI457" s="46">
        <f>IF($A457="","",IF(INDEX('潜水記録'!$AN$5:$AN$3004,$AS457)="","",INDEX('潜水記録'!$AN$5:$AN$3004,$AS457)))</f>
        <v/>
      </c>
      <c r="AJ457" s="14">
        <f>IF($A457="","",IF(INDEX('潜水記録'!$AO$5:$AO$3004,$AS457)="","",INDEX('潜水記録'!$AO$5:$AO$3004,$AS457)))</f>
        <v/>
      </c>
      <c r="AK457" s="14">
        <f>IF($A457="","",IF(INDEX('潜水記録'!$AP$5:$AP$3004,$AS457)="","",INDEX('潜水記録'!$AP$5:$AP$3004,$AS457)))</f>
        <v/>
      </c>
      <c r="AL457" s="14">
        <f>IF($A457="","",IF(INDEX('潜水記録'!$AQ$5:$AQ$3004,$AS457)="","",INDEX('潜水記録'!$AQ$5:$AQ$3004,$AS457)))</f>
        <v/>
      </c>
      <c r="AM457" s="14">
        <f>IF($A457="","",IF(INDEX('潜水記録'!$AR$5:$AR$3004,$AS457)="","",INDEX('潜水記録'!$AR$5:$AR$3004,$AS457)))</f>
        <v/>
      </c>
      <c r="AN457" s="14">
        <f>IF($A457="","",IF(INDEX('潜水記録'!$AS$5:$AS$3004,$AS457)="","",INDEX('潜水記録'!$AS$5:$AS$3004,$AS457)))</f>
        <v/>
      </c>
      <c r="AO457" s="14">
        <f>IF($A457="","",IF(INDEX('潜水記録'!$AT$5:$AT$3004,$AS457)="","",INDEX('潜水記録'!$AT$5:$AT$3004,$AS457)))</f>
        <v/>
      </c>
      <c r="AP457" s="14">
        <f>IF($A457="","",IF(INDEX('潜水記録'!$AU$5:$AU$3004,$AS457)="","",INDEX('潜水記録'!$AU$5:$AU$3004,$AS457)))</f>
        <v/>
      </c>
      <c r="AQ457" s="14">
        <f>IF($A457="","",IF(INDEX('潜水記録'!$AV$5:$AV$3004,$AS457)="","",INDEX('潜水記録'!$AV$5:$AV$3004,$AS457)))</f>
        <v/>
      </c>
      <c r="AR457" s="14">
        <f>IF($A457="","",IF(INDEX('潜水記録'!$AW$5:$AW$3004,$AS457)="","",INDEX('潜水記録'!$AW$5:$AW$3004,$AS457)))</f>
        <v/>
      </c>
      <c r="AS457" s="20">
        <f>IF($A457="","",MATCH($A457,'潜水記録'!$AI$5:$AI$3004,0))</f>
        <v/>
      </c>
    </row>
    <row r="458">
      <c r="A458" s="14">
        <f>IF(448&lt;=$C$8,448,"")</f>
        <v/>
      </c>
      <c r="B458" s="16">
        <f>IF($A458="","",IF(INDEX('潜水記録'!$A$5:$A$3004,$AS458)="","",INDEX('潜水記録'!$A$5:$A$3004,$AS458)))</f>
        <v/>
      </c>
      <c r="C458" s="14">
        <f>IF($A458="","",IF(INDEX('潜水記録'!$B$5:$B$3004,$AS458)="","",INDEX('潜水記録'!$B$5:$B$3004,$AS458)))</f>
        <v/>
      </c>
      <c r="D458" s="14">
        <f>IF($A458="","",IF(INDEX('潜水記録'!$C$5:$C$3004,$AS458)="","",INDEX('潜水記録'!$C$5:$C$3004,$AS458)))</f>
        <v/>
      </c>
      <c r="E458" s="14">
        <f>IF($A458="","",IF(INDEX('潜水記録'!$D$5:$D$3004,$AS458)="","",INDEX('潜水記録'!$D$5:$D$3004,$AS458)))</f>
        <v/>
      </c>
      <c r="F458" s="14">
        <f>IF($A458="","",IF(INDEX('潜水記録'!$E$5:$E$3004,$AS458)="","",INDEX('潜水記録'!$E$5:$E$3004,$AS458)))</f>
        <v/>
      </c>
      <c r="G458" s="14">
        <f>IF($A458="","",IF(INDEX('潜水記録'!$F$5:$F$3004,$AS458)="","",INDEX('潜水記録'!$F$5:$F$3004,$AS458)))</f>
        <v/>
      </c>
      <c r="H458" s="14">
        <f>IF($A458="","",IF(INDEX('潜水記録'!$G$5:$G$3004,$AS458)="","",INDEX('潜水記録'!$G$5:$G$3004,$AS458)))</f>
        <v/>
      </c>
      <c r="I458" s="14">
        <f>IF($A458="","",IF(INDEX('潜水記録'!$H$5:$H$3004,$AS458)="","",INDEX('潜水記録'!$H$5:$H$3004,$AS458)))</f>
        <v/>
      </c>
      <c r="J458" s="14">
        <f>IF($A458="","",IF(INDEX('潜水記録'!$I$5:$I$3004,$AS458)="","",INDEX('潜水記録'!$I$5:$I$3004,$AS458)))</f>
        <v/>
      </c>
      <c r="K458" s="14">
        <f>IF($A458="","",IF(INDEX('潜水記録'!$J$5:$J$3004,$AS458)="","",INDEX('潜水記録'!$J$5:$J$3004,$AS458)))</f>
        <v/>
      </c>
      <c r="L458" s="14">
        <f>IF($A458="","",IF(INDEX('潜水記録'!$K$5:$K$3004,$AS458)="","",INDEX('潜水記録'!$K$5:$K$3004,$AS458)))</f>
        <v/>
      </c>
      <c r="M458" s="14">
        <f>IF($A458="","",IF(INDEX('潜水記録'!$L$5:$L$3004,$AS458)="","",INDEX('潜水記録'!$L$5:$L$3004,$AS458)))</f>
        <v/>
      </c>
      <c r="N458" s="14">
        <f>IF($A458="","",IF(INDEX('潜水記録'!$M$5:$M$3004,$AS458)="","",INDEX('潜水記録'!$M$5:$M$3004,$AS458)))</f>
        <v/>
      </c>
      <c r="O458" s="14">
        <f>IF($A458="","",IF(INDEX('潜水記録'!$N$5:$N$3004,$AS458)="","",INDEX('潜水記録'!$N$5:$N$3004,$AS458)))</f>
        <v/>
      </c>
      <c r="P458" s="14">
        <f>IF($A458="","",IF(INDEX('潜水記録'!$O$5:$O$3004,$AS458)="","",INDEX('潜水記録'!$O$5:$O$3004,$AS458)))</f>
        <v/>
      </c>
      <c r="Q458" s="14">
        <f>IF($A458="","",IF(INDEX('潜水記録'!$P$5:$P$3004,$AS458)="","",INDEX('潜水記録'!$P$5:$P$3004,$AS458)))</f>
        <v/>
      </c>
      <c r="R458" s="14">
        <f>IF($A458="","",IF(INDEX('潜水記録'!$Q$5:$Q$3004,$AS458)="","",INDEX('潜水記録'!$Q$5:$Q$3004,$AS458)))</f>
        <v/>
      </c>
      <c r="S458" s="14">
        <f>IF($A458="","",IF(INDEX('潜水記録'!$R$5:$R$3004,$AS458)="","",INDEX('潜水記録'!$R$5:$R$3004,$AS458)))</f>
        <v/>
      </c>
      <c r="T458" s="14">
        <f>IF($A458="","",IF(INDEX('潜水記録'!$S$5:$S$3004,$AS458)="","",INDEX('潜水記録'!$S$5:$S$3004,$AS458)))</f>
        <v/>
      </c>
      <c r="U458" s="14">
        <f>IF($A458="","",IF(INDEX('潜水記録'!$T$5:$T$3004,$AS458)="","",INDEX('潜水記録'!$T$5:$T$3004,$AS458)))</f>
        <v/>
      </c>
      <c r="V458" s="46">
        <f>IF($A458="","",IF(INDEX('潜水記録'!$U$5:$U$3004,$AS458)="","",INDEX('潜水記録'!$U$5:$U$3004,$AS458)))</f>
        <v/>
      </c>
      <c r="W458" s="46">
        <f>IF($A458="","",IF(INDEX('潜水記録'!$V$5:$V$3004,$AS458)="","",INDEX('潜水記録'!$V$5:$V$3004,$AS458)))</f>
        <v/>
      </c>
      <c r="X458" s="14">
        <f>IF($A458="","",IF(INDEX('潜水記録'!$W$5:$W$3004,$AS458)="","",INDEX('潜水記録'!$W$5:$W$3004,$AS458)))</f>
        <v/>
      </c>
      <c r="Y458" s="14">
        <f>IF($A458="","",IF(INDEX('潜水記録'!$X$5:$X$3004,$AS458)="","",INDEX('潜水記録'!$X$5:$X$3004,$AS458)))</f>
        <v/>
      </c>
      <c r="Z458" s="14">
        <f>IF($A458="","",IF(INDEX('潜水記録'!$Y$5:$Y$3004,$AS458)="","",INDEX('潜水記録'!$Y$5:$Y$3004,$AS458)))</f>
        <v/>
      </c>
      <c r="AA458" s="14">
        <f>IF($A458="","",IF(INDEX('潜水記録'!$Z$5:$Z$3004,$AS458)="","",INDEX('潜水記録'!$Z$5:$Z$3004,$AS458)))</f>
        <v/>
      </c>
      <c r="AB458" s="14">
        <f>IF($A458="","",IF(INDEX('潜水記録'!$AA$5:$AA$3004,$AS458)="","",INDEX('潜水記録'!$AA$5:$AA$3004,$AS458)))</f>
        <v/>
      </c>
      <c r="AC458" s="14">
        <f>IF($A458="","",IF(INDEX('潜水記録'!$AB$5:$AB$3004,$AS458)="","",INDEX('潜水記録'!$AB$5:$AB$3004,$AS458)))</f>
        <v/>
      </c>
      <c r="AD458" s="14">
        <f>IF($A458="","",IF(INDEX('潜水記録'!$AC$5:$AC$3004,$AS458)="","",INDEX('潜水記録'!$AC$5:$AC$3004,$AS458)))</f>
        <v/>
      </c>
      <c r="AE458" s="14">
        <f>IF($A458="","",IF(INDEX('潜水記録'!$AD$5:$AD$3004,$AS458)="","",INDEX('潜水記録'!$AD$5:$AD$3004,$AS458)))</f>
        <v/>
      </c>
      <c r="AF458" s="14">
        <f>IF($A458="","",IF(INDEX('潜水記録'!$AE$5:$AE$3004,$AS458)="","",INDEX('潜水記録'!$AE$5:$AE$3004,$AS458)))</f>
        <v/>
      </c>
      <c r="AG458" s="14">
        <f>IF($A458="","",IF(INDEX('潜水記録'!$AL$5:$AL$3004,$AS458)="","",INDEX('潜水記録'!$AL$5:$AL$3004,$AS458)))</f>
        <v/>
      </c>
      <c r="AH458" s="14">
        <f>IF($A458="","",IF(INDEX('潜水記録'!$AM$5:$AM$3004,$AS458)="","",INDEX('潜水記録'!$AM$5:$AM$3004,$AS458)))</f>
        <v/>
      </c>
      <c r="AI458" s="46">
        <f>IF($A458="","",IF(INDEX('潜水記録'!$AN$5:$AN$3004,$AS458)="","",INDEX('潜水記録'!$AN$5:$AN$3004,$AS458)))</f>
        <v/>
      </c>
      <c r="AJ458" s="14">
        <f>IF($A458="","",IF(INDEX('潜水記録'!$AO$5:$AO$3004,$AS458)="","",INDEX('潜水記録'!$AO$5:$AO$3004,$AS458)))</f>
        <v/>
      </c>
      <c r="AK458" s="14">
        <f>IF($A458="","",IF(INDEX('潜水記録'!$AP$5:$AP$3004,$AS458)="","",INDEX('潜水記録'!$AP$5:$AP$3004,$AS458)))</f>
        <v/>
      </c>
      <c r="AL458" s="14">
        <f>IF($A458="","",IF(INDEX('潜水記録'!$AQ$5:$AQ$3004,$AS458)="","",INDEX('潜水記録'!$AQ$5:$AQ$3004,$AS458)))</f>
        <v/>
      </c>
      <c r="AM458" s="14">
        <f>IF($A458="","",IF(INDEX('潜水記録'!$AR$5:$AR$3004,$AS458)="","",INDEX('潜水記録'!$AR$5:$AR$3004,$AS458)))</f>
        <v/>
      </c>
      <c r="AN458" s="14">
        <f>IF($A458="","",IF(INDEX('潜水記録'!$AS$5:$AS$3004,$AS458)="","",INDEX('潜水記録'!$AS$5:$AS$3004,$AS458)))</f>
        <v/>
      </c>
      <c r="AO458" s="14">
        <f>IF($A458="","",IF(INDEX('潜水記録'!$AT$5:$AT$3004,$AS458)="","",INDEX('潜水記録'!$AT$5:$AT$3004,$AS458)))</f>
        <v/>
      </c>
      <c r="AP458" s="14">
        <f>IF($A458="","",IF(INDEX('潜水記録'!$AU$5:$AU$3004,$AS458)="","",INDEX('潜水記録'!$AU$5:$AU$3004,$AS458)))</f>
        <v/>
      </c>
      <c r="AQ458" s="14">
        <f>IF($A458="","",IF(INDEX('潜水記録'!$AV$5:$AV$3004,$AS458)="","",INDEX('潜水記録'!$AV$5:$AV$3004,$AS458)))</f>
        <v/>
      </c>
      <c r="AR458" s="14">
        <f>IF($A458="","",IF(INDEX('潜水記録'!$AW$5:$AW$3004,$AS458)="","",INDEX('潜水記録'!$AW$5:$AW$3004,$AS458)))</f>
        <v/>
      </c>
      <c r="AS458" s="20">
        <f>IF($A458="","",MATCH($A458,'潜水記録'!$AI$5:$AI$3004,0))</f>
        <v/>
      </c>
    </row>
    <row r="459">
      <c r="A459" s="14">
        <f>IF(449&lt;=$C$8,449,"")</f>
        <v/>
      </c>
      <c r="B459" s="16">
        <f>IF($A459="","",IF(INDEX('潜水記録'!$A$5:$A$3004,$AS459)="","",INDEX('潜水記録'!$A$5:$A$3004,$AS459)))</f>
        <v/>
      </c>
      <c r="C459" s="14">
        <f>IF($A459="","",IF(INDEX('潜水記録'!$B$5:$B$3004,$AS459)="","",INDEX('潜水記録'!$B$5:$B$3004,$AS459)))</f>
        <v/>
      </c>
      <c r="D459" s="14">
        <f>IF($A459="","",IF(INDEX('潜水記録'!$C$5:$C$3004,$AS459)="","",INDEX('潜水記録'!$C$5:$C$3004,$AS459)))</f>
        <v/>
      </c>
      <c r="E459" s="14">
        <f>IF($A459="","",IF(INDEX('潜水記録'!$D$5:$D$3004,$AS459)="","",INDEX('潜水記録'!$D$5:$D$3004,$AS459)))</f>
        <v/>
      </c>
      <c r="F459" s="14">
        <f>IF($A459="","",IF(INDEX('潜水記録'!$E$5:$E$3004,$AS459)="","",INDEX('潜水記録'!$E$5:$E$3004,$AS459)))</f>
        <v/>
      </c>
      <c r="G459" s="14">
        <f>IF($A459="","",IF(INDEX('潜水記録'!$F$5:$F$3004,$AS459)="","",INDEX('潜水記録'!$F$5:$F$3004,$AS459)))</f>
        <v/>
      </c>
      <c r="H459" s="14">
        <f>IF($A459="","",IF(INDEX('潜水記録'!$G$5:$G$3004,$AS459)="","",INDEX('潜水記録'!$G$5:$G$3004,$AS459)))</f>
        <v/>
      </c>
      <c r="I459" s="14">
        <f>IF($A459="","",IF(INDEX('潜水記録'!$H$5:$H$3004,$AS459)="","",INDEX('潜水記録'!$H$5:$H$3004,$AS459)))</f>
        <v/>
      </c>
      <c r="J459" s="14">
        <f>IF($A459="","",IF(INDEX('潜水記録'!$I$5:$I$3004,$AS459)="","",INDEX('潜水記録'!$I$5:$I$3004,$AS459)))</f>
        <v/>
      </c>
      <c r="K459" s="14">
        <f>IF($A459="","",IF(INDEX('潜水記録'!$J$5:$J$3004,$AS459)="","",INDEX('潜水記録'!$J$5:$J$3004,$AS459)))</f>
        <v/>
      </c>
      <c r="L459" s="14">
        <f>IF($A459="","",IF(INDEX('潜水記録'!$K$5:$K$3004,$AS459)="","",INDEX('潜水記録'!$K$5:$K$3004,$AS459)))</f>
        <v/>
      </c>
      <c r="M459" s="14">
        <f>IF($A459="","",IF(INDEX('潜水記録'!$L$5:$L$3004,$AS459)="","",INDEX('潜水記録'!$L$5:$L$3004,$AS459)))</f>
        <v/>
      </c>
      <c r="N459" s="14">
        <f>IF($A459="","",IF(INDEX('潜水記録'!$M$5:$M$3004,$AS459)="","",INDEX('潜水記録'!$M$5:$M$3004,$AS459)))</f>
        <v/>
      </c>
      <c r="O459" s="14">
        <f>IF($A459="","",IF(INDEX('潜水記録'!$N$5:$N$3004,$AS459)="","",INDEX('潜水記録'!$N$5:$N$3004,$AS459)))</f>
        <v/>
      </c>
      <c r="P459" s="14">
        <f>IF($A459="","",IF(INDEX('潜水記録'!$O$5:$O$3004,$AS459)="","",INDEX('潜水記録'!$O$5:$O$3004,$AS459)))</f>
        <v/>
      </c>
      <c r="Q459" s="14">
        <f>IF($A459="","",IF(INDEX('潜水記録'!$P$5:$P$3004,$AS459)="","",INDEX('潜水記録'!$P$5:$P$3004,$AS459)))</f>
        <v/>
      </c>
      <c r="R459" s="14">
        <f>IF($A459="","",IF(INDEX('潜水記録'!$Q$5:$Q$3004,$AS459)="","",INDEX('潜水記録'!$Q$5:$Q$3004,$AS459)))</f>
        <v/>
      </c>
      <c r="S459" s="14">
        <f>IF($A459="","",IF(INDEX('潜水記録'!$R$5:$R$3004,$AS459)="","",INDEX('潜水記録'!$R$5:$R$3004,$AS459)))</f>
        <v/>
      </c>
      <c r="T459" s="14">
        <f>IF($A459="","",IF(INDEX('潜水記録'!$S$5:$S$3004,$AS459)="","",INDEX('潜水記録'!$S$5:$S$3004,$AS459)))</f>
        <v/>
      </c>
      <c r="U459" s="14">
        <f>IF($A459="","",IF(INDEX('潜水記録'!$T$5:$T$3004,$AS459)="","",INDEX('潜水記録'!$T$5:$T$3004,$AS459)))</f>
        <v/>
      </c>
      <c r="V459" s="46">
        <f>IF($A459="","",IF(INDEX('潜水記録'!$U$5:$U$3004,$AS459)="","",INDEX('潜水記録'!$U$5:$U$3004,$AS459)))</f>
        <v/>
      </c>
      <c r="W459" s="46">
        <f>IF($A459="","",IF(INDEX('潜水記録'!$V$5:$V$3004,$AS459)="","",INDEX('潜水記録'!$V$5:$V$3004,$AS459)))</f>
        <v/>
      </c>
      <c r="X459" s="14">
        <f>IF($A459="","",IF(INDEX('潜水記録'!$W$5:$W$3004,$AS459)="","",INDEX('潜水記録'!$W$5:$W$3004,$AS459)))</f>
        <v/>
      </c>
      <c r="Y459" s="14">
        <f>IF($A459="","",IF(INDEX('潜水記録'!$X$5:$X$3004,$AS459)="","",INDEX('潜水記録'!$X$5:$X$3004,$AS459)))</f>
        <v/>
      </c>
      <c r="Z459" s="14">
        <f>IF($A459="","",IF(INDEX('潜水記録'!$Y$5:$Y$3004,$AS459)="","",INDEX('潜水記録'!$Y$5:$Y$3004,$AS459)))</f>
        <v/>
      </c>
      <c r="AA459" s="14">
        <f>IF($A459="","",IF(INDEX('潜水記録'!$Z$5:$Z$3004,$AS459)="","",INDEX('潜水記録'!$Z$5:$Z$3004,$AS459)))</f>
        <v/>
      </c>
      <c r="AB459" s="14">
        <f>IF($A459="","",IF(INDEX('潜水記録'!$AA$5:$AA$3004,$AS459)="","",INDEX('潜水記録'!$AA$5:$AA$3004,$AS459)))</f>
        <v/>
      </c>
      <c r="AC459" s="14">
        <f>IF($A459="","",IF(INDEX('潜水記録'!$AB$5:$AB$3004,$AS459)="","",INDEX('潜水記録'!$AB$5:$AB$3004,$AS459)))</f>
        <v/>
      </c>
      <c r="AD459" s="14">
        <f>IF($A459="","",IF(INDEX('潜水記録'!$AC$5:$AC$3004,$AS459)="","",INDEX('潜水記録'!$AC$5:$AC$3004,$AS459)))</f>
        <v/>
      </c>
      <c r="AE459" s="14">
        <f>IF($A459="","",IF(INDEX('潜水記録'!$AD$5:$AD$3004,$AS459)="","",INDEX('潜水記録'!$AD$5:$AD$3004,$AS459)))</f>
        <v/>
      </c>
      <c r="AF459" s="14">
        <f>IF($A459="","",IF(INDEX('潜水記録'!$AE$5:$AE$3004,$AS459)="","",INDEX('潜水記録'!$AE$5:$AE$3004,$AS459)))</f>
        <v/>
      </c>
      <c r="AG459" s="14">
        <f>IF($A459="","",IF(INDEX('潜水記録'!$AL$5:$AL$3004,$AS459)="","",INDEX('潜水記録'!$AL$5:$AL$3004,$AS459)))</f>
        <v/>
      </c>
      <c r="AH459" s="14">
        <f>IF($A459="","",IF(INDEX('潜水記録'!$AM$5:$AM$3004,$AS459)="","",INDEX('潜水記録'!$AM$5:$AM$3004,$AS459)))</f>
        <v/>
      </c>
      <c r="AI459" s="46">
        <f>IF($A459="","",IF(INDEX('潜水記録'!$AN$5:$AN$3004,$AS459)="","",INDEX('潜水記録'!$AN$5:$AN$3004,$AS459)))</f>
        <v/>
      </c>
      <c r="AJ459" s="14">
        <f>IF($A459="","",IF(INDEX('潜水記録'!$AO$5:$AO$3004,$AS459)="","",INDEX('潜水記録'!$AO$5:$AO$3004,$AS459)))</f>
        <v/>
      </c>
      <c r="AK459" s="14">
        <f>IF($A459="","",IF(INDEX('潜水記録'!$AP$5:$AP$3004,$AS459)="","",INDEX('潜水記録'!$AP$5:$AP$3004,$AS459)))</f>
        <v/>
      </c>
      <c r="AL459" s="14">
        <f>IF($A459="","",IF(INDEX('潜水記録'!$AQ$5:$AQ$3004,$AS459)="","",INDEX('潜水記録'!$AQ$5:$AQ$3004,$AS459)))</f>
        <v/>
      </c>
      <c r="AM459" s="14">
        <f>IF($A459="","",IF(INDEX('潜水記録'!$AR$5:$AR$3004,$AS459)="","",INDEX('潜水記録'!$AR$5:$AR$3004,$AS459)))</f>
        <v/>
      </c>
      <c r="AN459" s="14">
        <f>IF($A459="","",IF(INDEX('潜水記録'!$AS$5:$AS$3004,$AS459)="","",INDEX('潜水記録'!$AS$5:$AS$3004,$AS459)))</f>
        <v/>
      </c>
      <c r="AO459" s="14">
        <f>IF($A459="","",IF(INDEX('潜水記録'!$AT$5:$AT$3004,$AS459)="","",INDEX('潜水記録'!$AT$5:$AT$3004,$AS459)))</f>
        <v/>
      </c>
      <c r="AP459" s="14">
        <f>IF($A459="","",IF(INDEX('潜水記録'!$AU$5:$AU$3004,$AS459)="","",INDEX('潜水記録'!$AU$5:$AU$3004,$AS459)))</f>
        <v/>
      </c>
      <c r="AQ459" s="14">
        <f>IF($A459="","",IF(INDEX('潜水記録'!$AV$5:$AV$3004,$AS459)="","",INDEX('潜水記録'!$AV$5:$AV$3004,$AS459)))</f>
        <v/>
      </c>
      <c r="AR459" s="14">
        <f>IF($A459="","",IF(INDEX('潜水記録'!$AW$5:$AW$3004,$AS459)="","",INDEX('潜水記録'!$AW$5:$AW$3004,$AS459)))</f>
        <v/>
      </c>
      <c r="AS459" s="20">
        <f>IF($A459="","",MATCH($A459,'潜水記録'!$AI$5:$AI$3004,0))</f>
        <v/>
      </c>
    </row>
    <row r="460">
      <c r="A460" s="14">
        <f>IF(450&lt;=$C$8,450,"")</f>
        <v/>
      </c>
      <c r="B460" s="16">
        <f>IF($A460="","",IF(INDEX('潜水記録'!$A$5:$A$3004,$AS460)="","",INDEX('潜水記録'!$A$5:$A$3004,$AS460)))</f>
        <v/>
      </c>
      <c r="C460" s="14">
        <f>IF($A460="","",IF(INDEX('潜水記録'!$B$5:$B$3004,$AS460)="","",INDEX('潜水記録'!$B$5:$B$3004,$AS460)))</f>
        <v/>
      </c>
      <c r="D460" s="14">
        <f>IF($A460="","",IF(INDEX('潜水記録'!$C$5:$C$3004,$AS460)="","",INDEX('潜水記録'!$C$5:$C$3004,$AS460)))</f>
        <v/>
      </c>
      <c r="E460" s="14">
        <f>IF($A460="","",IF(INDEX('潜水記録'!$D$5:$D$3004,$AS460)="","",INDEX('潜水記録'!$D$5:$D$3004,$AS460)))</f>
        <v/>
      </c>
      <c r="F460" s="14">
        <f>IF($A460="","",IF(INDEX('潜水記録'!$E$5:$E$3004,$AS460)="","",INDEX('潜水記録'!$E$5:$E$3004,$AS460)))</f>
        <v/>
      </c>
      <c r="G460" s="14">
        <f>IF($A460="","",IF(INDEX('潜水記録'!$F$5:$F$3004,$AS460)="","",INDEX('潜水記録'!$F$5:$F$3004,$AS460)))</f>
        <v/>
      </c>
      <c r="H460" s="14">
        <f>IF($A460="","",IF(INDEX('潜水記録'!$G$5:$G$3004,$AS460)="","",INDEX('潜水記録'!$G$5:$G$3004,$AS460)))</f>
        <v/>
      </c>
      <c r="I460" s="14">
        <f>IF($A460="","",IF(INDEX('潜水記録'!$H$5:$H$3004,$AS460)="","",INDEX('潜水記録'!$H$5:$H$3004,$AS460)))</f>
        <v/>
      </c>
      <c r="J460" s="14">
        <f>IF($A460="","",IF(INDEX('潜水記録'!$I$5:$I$3004,$AS460)="","",INDEX('潜水記録'!$I$5:$I$3004,$AS460)))</f>
        <v/>
      </c>
      <c r="K460" s="14">
        <f>IF($A460="","",IF(INDEX('潜水記録'!$J$5:$J$3004,$AS460)="","",INDEX('潜水記録'!$J$5:$J$3004,$AS460)))</f>
        <v/>
      </c>
      <c r="L460" s="14">
        <f>IF($A460="","",IF(INDEX('潜水記録'!$K$5:$K$3004,$AS460)="","",INDEX('潜水記録'!$K$5:$K$3004,$AS460)))</f>
        <v/>
      </c>
      <c r="M460" s="14">
        <f>IF($A460="","",IF(INDEX('潜水記録'!$L$5:$L$3004,$AS460)="","",INDEX('潜水記録'!$L$5:$L$3004,$AS460)))</f>
        <v/>
      </c>
      <c r="N460" s="14">
        <f>IF($A460="","",IF(INDEX('潜水記録'!$M$5:$M$3004,$AS460)="","",INDEX('潜水記録'!$M$5:$M$3004,$AS460)))</f>
        <v/>
      </c>
      <c r="O460" s="14">
        <f>IF($A460="","",IF(INDEX('潜水記録'!$N$5:$N$3004,$AS460)="","",INDEX('潜水記録'!$N$5:$N$3004,$AS460)))</f>
        <v/>
      </c>
      <c r="P460" s="14">
        <f>IF($A460="","",IF(INDEX('潜水記録'!$O$5:$O$3004,$AS460)="","",INDEX('潜水記録'!$O$5:$O$3004,$AS460)))</f>
        <v/>
      </c>
      <c r="Q460" s="14">
        <f>IF($A460="","",IF(INDEX('潜水記録'!$P$5:$P$3004,$AS460)="","",INDEX('潜水記録'!$P$5:$P$3004,$AS460)))</f>
        <v/>
      </c>
      <c r="R460" s="14">
        <f>IF($A460="","",IF(INDEX('潜水記録'!$Q$5:$Q$3004,$AS460)="","",INDEX('潜水記録'!$Q$5:$Q$3004,$AS460)))</f>
        <v/>
      </c>
      <c r="S460" s="14">
        <f>IF($A460="","",IF(INDEX('潜水記録'!$R$5:$R$3004,$AS460)="","",INDEX('潜水記録'!$R$5:$R$3004,$AS460)))</f>
        <v/>
      </c>
      <c r="T460" s="14">
        <f>IF($A460="","",IF(INDEX('潜水記録'!$S$5:$S$3004,$AS460)="","",INDEX('潜水記録'!$S$5:$S$3004,$AS460)))</f>
        <v/>
      </c>
      <c r="U460" s="14">
        <f>IF($A460="","",IF(INDEX('潜水記録'!$T$5:$T$3004,$AS460)="","",INDEX('潜水記録'!$T$5:$T$3004,$AS460)))</f>
        <v/>
      </c>
      <c r="V460" s="46">
        <f>IF($A460="","",IF(INDEX('潜水記録'!$U$5:$U$3004,$AS460)="","",INDEX('潜水記録'!$U$5:$U$3004,$AS460)))</f>
        <v/>
      </c>
      <c r="W460" s="46">
        <f>IF($A460="","",IF(INDEX('潜水記録'!$V$5:$V$3004,$AS460)="","",INDEX('潜水記録'!$V$5:$V$3004,$AS460)))</f>
        <v/>
      </c>
      <c r="X460" s="14">
        <f>IF($A460="","",IF(INDEX('潜水記録'!$W$5:$W$3004,$AS460)="","",INDEX('潜水記録'!$W$5:$W$3004,$AS460)))</f>
        <v/>
      </c>
      <c r="Y460" s="14">
        <f>IF($A460="","",IF(INDEX('潜水記録'!$X$5:$X$3004,$AS460)="","",INDEX('潜水記録'!$X$5:$X$3004,$AS460)))</f>
        <v/>
      </c>
      <c r="Z460" s="14">
        <f>IF($A460="","",IF(INDEX('潜水記録'!$Y$5:$Y$3004,$AS460)="","",INDEX('潜水記録'!$Y$5:$Y$3004,$AS460)))</f>
        <v/>
      </c>
      <c r="AA460" s="14">
        <f>IF($A460="","",IF(INDEX('潜水記録'!$Z$5:$Z$3004,$AS460)="","",INDEX('潜水記録'!$Z$5:$Z$3004,$AS460)))</f>
        <v/>
      </c>
      <c r="AB460" s="14">
        <f>IF($A460="","",IF(INDEX('潜水記録'!$AA$5:$AA$3004,$AS460)="","",INDEX('潜水記録'!$AA$5:$AA$3004,$AS460)))</f>
        <v/>
      </c>
      <c r="AC460" s="14">
        <f>IF($A460="","",IF(INDEX('潜水記録'!$AB$5:$AB$3004,$AS460)="","",INDEX('潜水記録'!$AB$5:$AB$3004,$AS460)))</f>
        <v/>
      </c>
      <c r="AD460" s="14">
        <f>IF($A460="","",IF(INDEX('潜水記録'!$AC$5:$AC$3004,$AS460)="","",INDEX('潜水記録'!$AC$5:$AC$3004,$AS460)))</f>
        <v/>
      </c>
      <c r="AE460" s="14">
        <f>IF($A460="","",IF(INDEX('潜水記録'!$AD$5:$AD$3004,$AS460)="","",INDEX('潜水記録'!$AD$5:$AD$3004,$AS460)))</f>
        <v/>
      </c>
      <c r="AF460" s="14">
        <f>IF($A460="","",IF(INDEX('潜水記録'!$AE$5:$AE$3004,$AS460)="","",INDEX('潜水記録'!$AE$5:$AE$3004,$AS460)))</f>
        <v/>
      </c>
      <c r="AG460" s="14">
        <f>IF($A460="","",IF(INDEX('潜水記録'!$AL$5:$AL$3004,$AS460)="","",INDEX('潜水記録'!$AL$5:$AL$3004,$AS460)))</f>
        <v/>
      </c>
      <c r="AH460" s="14">
        <f>IF($A460="","",IF(INDEX('潜水記録'!$AM$5:$AM$3004,$AS460)="","",INDEX('潜水記録'!$AM$5:$AM$3004,$AS460)))</f>
        <v/>
      </c>
      <c r="AI460" s="46">
        <f>IF($A460="","",IF(INDEX('潜水記録'!$AN$5:$AN$3004,$AS460)="","",INDEX('潜水記録'!$AN$5:$AN$3004,$AS460)))</f>
        <v/>
      </c>
      <c r="AJ460" s="14">
        <f>IF($A460="","",IF(INDEX('潜水記録'!$AO$5:$AO$3004,$AS460)="","",INDEX('潜水記録'!$AO$5:$AO$3004,$AS460)))</f>
        <v/>
      </c>
      <c r="AK460" s="14">
        <f>IF($A460="","",IF(INDEX('潜水記録'!$AP$5:$AP$3004,$AS460)="","",INDEX('潜水記録'!$AP$5:$AP$3004,$AS460)))</f>
        <v/>
      </c>
      <c r="AL460" s="14">
        <f>IF($A460="","",IF(INDEX('潜水記録'!$AQ$5:$AQ$3004,$AS460)="","",INDEX('潜水記録'!$AQ$5:$AQ$3004,$AS460)))</f>
        <v/>
      </c>
      <c r="AM460" s="14">
        <f>IF($A460="","",IF(INDEX('潜水記録'!$AR$5:$AR$3004,$AS460)="","",INDEX('潜水記録'!$AR$5:$AR$3004,$AS460)))</f>
        <v/>
      </c>
      <c r="AN460" s="14">
        <f>IF($A460="","",IF(INDEX('潜水記録'!$AS$5:$AS$3004,$AS460)="","",INDEX('潜水記録'!$AS$5:$AS$3004,$AS460)))</f>
        <v/>
      </c>
      <c r="AO460" s="14">
        <f>IF($A460="","",IF(INDEX('潜水記録'!$AT$5:$AT$3004,$AS460)="","",INDEX('潜水記録'!$AT$5:$AT$3004,$AS460)))</f>
        <v/>
      </c>
      <c r="AP460" s="14">
        <f>IF($A460="","",IF(INDEX('潜水記録'!$AU$5:$AU$3004,$AS460)="","",INDEX('潜水記録'!$AU$5:$AU$3004,$AS460)))</f>
        <v/>
      </c>
      <c r="AQ460" s="14">
        <f>IF($A460="","",IF(INDEX('潜水記録'!$AV$5:$AV$3004,$AS460)="","",INDEX('潜水記録'!$AV$5:$AV$3004,$AS460)))</f>
        <v/>
      </c>
      <c r="AR460" s="14">
        <f>IF($A460="","",IF(INDEX('潜水記録'!$AW$5:$AW$3004,$AS460)="","",INDEX('潜水記録'!$AW$5:$AW$3004,$AS460)))</f>
        <v/>
      </c>
      <c r="AS460" s="20">
        <f>IF($A460="","",MATCH($A460,'潜水記録'!$AI$5:$AI$3004,0))</f>
        <v/>
      </c>
    </row>
    <row r="461">
      <c r="A461" s="14">
        <f>IF(451&lt;=$C$8,451,"")</f>
        <v/>
      </c>
      <c r="B461" s="16">
        <f>IF($A461="","",IF(INDEX('潜水記録'!$A$5:$A$3004,$AS461)="","",INDEX('潜水記録'!$A$5:$A$3004,$AS461)))</f>
        <v/>
      </c>
      <c r="C461" s="14">
        <f>IF($A461="","",IF(INDEX('潜水記録'!$B$5:$B$3004,$AS461)="","",INDEX('潜水記録'!$B$5:$B$3004,$AS461)))</f>
        <v/>
      </c>
      <c r="D461" s="14">
        <f>IF($A461="","",IF(INDEX('潜水記録'!$C$5:$C$3004,$AS461)="","",INDEX('潜水記録'!$C$5:$C$3004,$AS461)))</f>
        <v/>
      </c>
      <c r="E461" s="14">
        <f>IF($A461="","",IF(INDEX('潜水記録'!$D$5:$D$3004,$AS461)="","",INDEX('潜水記録'!$D$5:$D$3004,$AS461)))</f>
        <v/>
      </c>
      <c r="F461" s="14">
        <f>IF($A461="","",IF(INDEX('潜水記録'!$E$5:$E$3004,$AS461)="","",INDEX('潜水記録'!$E$5:$E$3004,$AS461)))</f>
        <v/>
      </c>
      <c r="G461" s="14">
        <f>IF($A461="","",IF(INDEX('潜水記録'!$F$5:$F$3004,$AS461)="","",INDEX('潜水記録'!$F$5:$F$3004,$AS461)))</f>
        <v/>
      </c>
      <c r="H461" s="14">
        <f>IF($A461="","",IF(INDEX('潜水記録'!$G$5:$G$3004,$AS461)="","",INDEX('潜水記録'!$G$5:$G$3004,$AS461)))</f>
        <v/>
      </c>
      <c r="I461" s="14">
        <f>IF($A461="","",IF(INDEX('潜水記録'!$H$5:$H$3004,$AS461)="","",INDEX('潜水記録'!$H$5:$H$3004,$AS461)))</f>
        <v/>
      </c>
      <c r="J461" s="14">
        <f>IF($A461="","",IF(INDEX('潜水記録'!$I$5:$I$3004,$AS461)="","",INDEX('潜水記録'!$I$5:$I$3004,$AS461)))</f>
        <v/>
      </c>
      <c r="K461" s="14">
        <f>IF($A461="","",IF(INDEX('潜水記録'!$J$5:$J$3004,$AS461)="","",INDEX('潜水記録'!$J$5:$J$3004,$AS461)))</f>
        <v/>
      </c>
      <c r="L461" s="14">
        <f>IF($A461="","",IF(INDEX('潜水記録'!$K$5:$K$3004,$AS461)="","",INDEX('潜水記録'!$K$5:$K$3004,$AS461)))</f>
        <v/>
      </c>
      <c r="M461" s="14">
        <f>IF($A461="","",IF(INDEX('潜水記録'!$L$5:$L$3004,$AS461)="","",INDEX('潜水記録'!$L$5:$L$3004,$AS461)))</f>
        <v/>
      </c>
      <c r="N461" s="14">
        <f>IF($A461="","",IF(INDEX('潜水記録'!$M$5:$M$3004,$AS461)="","",INDEX('潜水記録'!$M$5:$M$3004,$AS461)))</f>
        <v/>
      </c>
      <c r="O461" s="14">
        <f>IF($A461="","",IF(INDEX('潜水記録'!$N$5:$N$3004,$AS461)="","",INDEX('潜水記録'!$N$5:$N$3004,$AS461)))</f>
        <v/>
      </c>
      <c r="P461" s="14">
        <f>IF($A461="","",IF(INDEX('潜水記録'!$O$5:$O$3004,$AS461)="","",INDEX('潜水記録'!$O$5:$O$3004,$AS461)))</f>
        <v/>
      </c>
      <c r="Q461" s="14">
        <f>IF($A461="","",IF(INDEX('潜水記録'!$P$5:$P$3004,$AS461)="","",INDEX('潜水記録'!$P$5:$P$3004,$AS461)))</f>
        <v/>
      </c>
      <c r="R461" s="14">
        <f>IF($A461="","",IF(INDEX('潜水記録'!$Q$5:$Q$3004,$AS461)="","",INDEX('潜水記録'!$Q$5:$Q$3004,$AS461)))</f>
        <v/>
      </c>
      <c r="S461" s="14">
        <f>IF($A461="","",IF(INDEX('潜水記録'!$R$5:$R$3004,$AS461)="","",INDEX('潜水記録'!$R$5:$R$3004,$AS461)))</f>
        <v/>
      </c>
      <c r="T461" s="14">
        <f>IF($A461="","",IF(INDEX('潜水記録'!$S$5:$S$3004,$AS461)="","",INDEX('潜水記録'!$S$5:$S$3004,$AS461)))</f>
        <v/>
      </c>
      <c r="U461" s="14">
        <f>IF($A461="","",IF(INDEX('潜水記録'!$T$5:$T$3004,$AS461)="","",INDEX('潜水記録'!$T$5:$T$3004,$AS461)))</f>
        <v/>
      </c>
      <c r="V461" s="46">
        <f>IF($A461="","",IF(INDEX('潜水記録'!$U$5:$U$3004,$AS461)="","",INDEX('潜水記録'!$U$5:$U$3004,$AS461)))</f>
        <v/>
      </c>
      <c r="W461" s="46">
        <f>IF($A461="","",IF(INDEX('潜水記録'!$V$5:$V$3004,$AS461)="","",INDEX('潜水記録'!$V$5:$V$3004,$AS461)))</f>
        <v/>
      </c>
      <c r="X461" s="14">
        <f>IF($A461="","",IF(INDEX('潜水記録'!$W$5:$W$3004,$AS461)="","",INDEX('潜水記録'!$W$5:$W$3004,$AS461)))</f>
        <v/>
      </c>
      <c r="Y461" s="14">
        <f>IF($A461="","",IF(INDEX('潜水記録'!$X$5:$X$3004,$AS461)="","",INDEX('潜水記録'!$X$5:$X$3004,$AS461)))</f>
        <v/>
      </c>
      <c r="Z461" s="14">
        <f>IF($A461="","",IF(INDEX('潜水記録'!$Y$5:$Y$3004,$AS461)="","",INDEX('潜水記録'!$Y$5:$Y$3004,$AS461)))</f>
        <v/>
      </c>
      <c r="AA461" s="14">
        <f>IF($A461="","",IF(INDEX('潜水記録'!$Z$5:$Z$3004,$AS461)="","",INDEX('潜水記録'!$Z$5:$Z$3004,$AS461)))</f>
        <v/>
      </c>
      <c r="AB461" s="14">
        <f>IF($A461="","",IF(INDEX('潜水記録'!$AA$5:$AA$3004,$AS461)="","",INDEX('潜水記録'!$AA$5:$AA$3004,$AS461)))</f>
        <v/>
      </c>
      <c r="AC461" s="14">
        <f>IF($A461="","",IF(INDEX('潜水記録'!$AB$5:$AB$3004,$AS461)="","",INDEX('潜水記録'!$AB$5:$AB$3004,$AS461)))</f>
        <v/>
      </c>
      <c r="AD461" s="14">
        <f>IF($A461="","",IF(INDEX('潜水記録'!$AC$5:$AC$3004,$AS461)="","",INDEX('潜水記録'!$AC$5:$AC$3004,$AS461)))</f>
        <v/>
      </c>
      <c r="AE461" s="14">
        <f>IF($A461="","",IF(INDEX('潜水記録'!$AD$5:$AD$3004,$AS461)="","",INDEX('潜水記録'!$AD$5:$AD$3004,$AS461)))</f>
        <v/>
      </c>
      <c r="AF461" s="14">
        <f>IF($A461="","",IF(INDEX('潜水記録'!$AE$5:$AE$3004,$AS461)="","",INDEX('潜水記録'!$AE$5:$AE$3004,$AS461)))</f>
        <v/>
      </c>
      <c r="AG461" s="14">
        <f>IF($A461="","",IF(INDEX('潜水記録'!$AL$5:$AL$3004,$AS461)="","",INDEX('潜水記録'!$AL$5:$AL$3004,$AS461)))</f>
        <v/>
      </c>
      <c r="AH461" s="14">
        <f>IF($A461="","",IF(INDEX('潜水記録'!$AM$5:$AM$3004,$AS461)="","",INDEX('潜水記録'!$AM$5:$AM$3004,$AS461)))</f>
        <v/>
      </c>
      <c r="AI461" s="46">
        <f>IF($A461="","",IF(INDEX('潜水記録'!$AN$5:$AN$3004,$AS461)="","",INDEX('潜水記録'!$AN$5:$AN$3004,$AS461)))</f>
        <v/>
      </c>
      <c r="AJ461" s="14">
        <f>IF($A461="","",IF(INDEX('潜水記録'!$AO$5:$AO$3004,$AS461)="","",INDEX('潜水記録'!$AO$5:$AO$3004,$AS461)))</f>
        <v/>
      </c>
      <c r="AK461" s="14">
        <f>IF($A461="","",IF(INDEX('潜水記録'!$AP$5:$AP$3004,$AS461)="","",INDEX('潜水記録'!$AP$5:$AP$3004,$AS461)))</f>
        <v/>
      </c>
      <c r="AL461" s="14">
        <f>IF($A461="","",IF(INDEX('潜水記録'!$AQ$5:$AQ$3004,$AS461)="","",INDEX('潜水記録'!$AQ$5:$AQ$3004,$AS461)))</f>
        <v/>
      </c>
      <c r="AM461" s="14">
        <f>IF($A461="","",IF(INDEX('潜水記録'!$AR$5:$AR$3004,$AS461)="","",INDEX('潜水記録'!$AR$5:$AR$3004,$AS461)))</f>
        <v/>
      </c>
      <c r="AN461" s="14">
        <f>IF($A461="","",IF(INDEX('潜水記録'!$AS$5:$AS$3004,$AS461)="","",INDEX('潜水記録'!$AS$5:$AS$3004,$AS461)))</f>
        <v/>
      </c>
      <c r="AO461" s="14">
        <f>IF($A461="","",IF(INDEX('潜水記録'!$AT$5:$AT$3004,$AS461)="","",INDEX('潜水記録'!$AT$5:$AT$3004,$AS461)))</f>
        <v/>
      </c>
      <c r="AP461" s="14">
        <f>IF($A461="","",IF(INDEX('潜水記録'!$AU$5:$AU$3004,$AS461)="","",INDEX('潜水記録'!$AU$5:$AU$3004,$AS461)))</f>
        <v/>
      </c>
      <c r="AQ461" s="14">
        <f>IF($A461="","",IF(INDEX('潜水記録'!$AV$5:$AV$3004,$AS461)="","",INDEX('潜水記録'!$AV$5:$AV$3004,$AS461)))</f>
        <v/>
      </c>
      <c r="AR461" s="14">
        <f>IF($A461="","",IF(INDEX('潜水記録'!$AW$5:$AW$3004,$AS461)="","",INDEX('潜水記録'!$AW$5:$AW$3004,$AS461)))</f>
        <v/>
      </c>
      <c r="AS461" s="20">
        <f>IF($A461="","",MATCH($A461,'潜水記録'!$AI$5:$AI$3004,0))</f>
        <v/>
      </c>
    </row>
    <row r="462">
      <c r="A462" s="14">
        <f>IF(452&lt;=$C$8,452,"")</f>
        <v/>
      </c>
      <c r="B462" s="16">
        <f>IF($A462="","",IF(INDEX('潜水記録'!$A$5:$A$3004,$AS462)="","",INDEX('潜水記録'!$A$5:$A$3004,$AS462)))</f>
        <v/>
      </c>
      <c r="C462" s="14">
        <f>IF($A462="","",IF(INDEX('潜水記録'!$B$5:$B$3004,$AS462)="","",INDEX('潜水記録'!$B$5:$B$3004,$AS462)))</f>
        <v/>
      </c>
      <c r="D462" s="14">
        <f>IF($A462="","",IF(INDEX('潜水記録'!$C$5:$C$3004,$AS462)="","",INDEX('潜水記録'!$C$5:$C$3004,$AS462)))</f>
        <v/>
      </c>
      <c r="E462" s="14">
        <f>IF($A462="","",IF(INDEX('潜水記録'!$D$5:$D$3004,$AS462)="","",INDEX('潜水記録'!$D$5:$D$3004,$AS462)))</f>
        <v/>
      </c>
      <c r="F462" s="14">
        <f>IF($A462="","",IF(INDEX('潜水記録'!$E$5:$E$3004,$AS462)="","",INDEX('潜水記録'!$E$5:$E$3004,$AS462)))</f>
        <v/>
      </c>
      <c r="G462" s="14">
        <f>IF($A462="","",IF(INDEX('潜水記録'!$F$5:$F$3004,$AS462)="","",INDEX('潜水記録'!$F$5:$F$3004,$AS462)))</f>
        <v/>
      </c>
      <c r="H462" s="14">
        <f>IF($A462="","",IF(INDEX('潜水記録'!$G$5:$G$3004,$AS462)="","",INDEX('潜水記録'!$G$5:$G$3004,$AS462)))</f>
        <v/>
      </c>
      <c r="I462" s="14">
        <f>IF($A462="","",IF(INDEX('潜水記録'!$H$5:$H$3004,$AS462)="","",INDEX('潜水記録'!$H$5:$H$3004,$AS462)))</f>
        <v/>
      </c>
      <c r="J462" s="14">
        <f>IF($A462="","",IF(INDEX('潜水記録'!$I$5:$I$3004,$AS462)="","",INDEX('潜水記録'!$I$5:$I$3004,$AS462)))</f>
        <v/>
      </c>
      <c r="K462" s="14">
        <f>IF($A462="","",IF(INDEX('潜水記録'!$J$5:$J$3004,$AS462)="","",INDEX('潜水記録'!$J$5:$J$3004,$AS462)))</f>
        <v/>
      </c>
      <c r="L462" s="14">
        <f>IF($A462="","",IF(INDEX('潜水記録'!$K$5:$K$3004,$AS462)="","",INDEX('潜水記録'!$K$5:$K$3004,$AS462)))</f>
        <v/>
      </c>
      <c r="M462" s="14">
        <f>IF($A462="","",IF(INDEX('潜水記録'!$L$5:$L$3004,$AS462)="","",INDEX('潜水記録'!$L$5:$L$3004,$AS462)))</f>
        <v/>
      </c>
      <c r="N462" s="14">
        <f>IF($A462="","",IF(INDEX('潜水記録'!$M$5:$M$3004,$AS462)="","",INDEX('潜水記録'!$M$5:$M$3004,$AS462)))</f>
        <v/>
      </c>
      <c r="O462" s="14">
        <f>IF($A462="","",IF(INDEX('潜水記録'!$N$5:$N$3004,$AS462)="","",INDEX('潜水記録'!$N$5:$N$3004,$AS462)))</f>
        <v/>
      </c>
      <c r="P462" s="14">
        <f>IF($A462="","",IF(INDEX('潜水記録'!$O$5:$O$3004,$AS462)="","",INDEX('潜水記録'!$O$5:$O$3004,$AS462)))</f>
        <v/>
      </c>
      <c r="Q462" s="14">
        <f>IF($A462="","",IF(INDEX('潜水記録'!$P$5:$P$3004,$AS462)="","",INDEX('潜水記録'!$P$5:$P$3004,$AS462)))</f>
        <v/>
      </c>
      <c r="R462" s="14">
        <f>IF($A462="","",IF(INDEX('潜水記録'!$Q$5:$Q$3004,$AS462)="","",INDEX('潜水記録'!$Q$5:$Q$3004,$AS462)))</f>
        <v/>
      </c>
      <c r="S462" s="14">
        <f>IF($A462="","",IF(INDEX('潜水記録'!$R$5:$R$3004,$AS462)="","",INDEX('潜水記録'!$R$5:$R$3004,$AS462)))</f>
        <v/>
      </c>
      <c r="T462" s="14">
        <f>IF($A462="","",IF(INDEX('潜水記録'!$S$5:$S$3004,$AS462)="","",INDEX('潜水記録'!$S$5:$S$3004,$AS462)))</f>
        <v/>
      </c>
      <c r="U462" s="14">
        <f>IF($A462="","",IF(INDEX('潜水記録'!$T$5:$T$3004,$AS462)="","",INDEX('潜水記録'!$T$5:$T$3004,$AS462)))</f>
        <v/>
      </c>
      <c r="V462" s="46">
        <f>IF($A462="","",IF(INDEX('潜水記録'!$U$5:$U$3004,$AS462)="","",INDEX('潜水記録'!$U$5:$U$3004,$AS462)))</f>
        <v/>
      </c>
      <c r="W462" s="46">
        <f>IF($A462="","",IF(INDEX('潜水記録'!$V$5:$V$3004,$AS462)="","",INDEX('潜水記録'!$V$5:$V$3004,$AS462)))</f>
        <v/>
      </c>
      <c r="X462" s="14">
        <f>IF($A462="","",IF(INDEX('潜水記録'!$W$5:$W$3004,$AS462)="","",INDEX('潜水記録'!$W$5:$W$3004,$AS462)))</f>
        <v/>
      </c>
      <c r="Y462" s="14">
        <f>IF($A462="","",IF(INDEX('潜水記録'!$X$5:$X$3004,$AS462)="","",INDEX('潜水記録'!$X$5:$X$3004,$AS462)))</f>
        <v/>
      </c>
      <c r="Z462" s="14">
        <f>IF($A462="","",IF(INDEX('潜水記録'!$Y$5:$Y$3004,$AS462)="","",INDEX('潜水記録'!$Y$5:$Y$3004,$AS462)))</f>
        <v/>
      </c>
      <c r="AA462" s="14">
        <f>IF($A462="","",IF(INDEX('潜水記録'!$Z$5:$Z$3004,$AS462)="","",INDEX('潜水記録'!$Z$5:$Z$3004,$AS462)))</f>
        <v/>
      </c>
      <c r="AB462" s="14">
        <f>IF($A462="","",IF(INDEX('潜水記録'!$AA$5:$AA$3004,$AS462)="","",INDEX('潜水記録'!$AA$5:$AA$3004,$AS462)))</f>
        <v/>
      </c>
      <c r="AC462" s="14">
        <f>IF($A462="","",IF(INDEX('潜水記録'!$AB$5:$AB$3004,$AS462)="","",INDEX('潜水記録'!$AB$5:$AB$3004,$AS462)))</f>
        <v/>
      </c>
      <c r="AD462" s="14">
        <f>IF($A462="","",IF(INDEX('潜水記録'!$AC$5:$AC$3004,$AS462)="","",INDEX('潜水記録'!$AC$5:$AC$3004,$AS462)))</f>
        <v/>
      </c>
      <c r="AE462" s="14">
        <f>IF($A462="","",IF(INDEX('潜水記録'!$AD$5:$AD$3004,$AS462)="","",INDEX('潜水記録'!$AD$5:$AD$3004,$AS462)))</f>
        <v/>
      </c>
      <c r="AF462" s="14">
        <f>IF($A462="","",IF(INDEX('潜水記録'!$AE$5:$AE$3004,$AS462)="","",INDEX('潜水記録'!$AE$5:$AE$3004,$AS462)))</f>
        <v/>
      </c>
      <c r="AG462" s="14">
        <f>IF($A462="","",IF(INDEX('潜水記録'!$AL$5:$AL$3004,$AS462)="","",INDEX('潜水記録'!$AL$5:$AL$3004,$AS462)))</f>
        <v/>
      </c>
      <c r="AH462" s="14">
        <f>IF($A462="","",IF(INDEX('潜水記録'!$AM$5:$AM$3004,$AS462)="","",INDEX('潜水記録'!$AM$5:$AM$3004,$AS462)))</f>
        <v/>
      </c>
      <c r="AI462" s="46">
        <f>IF($A462="","",IF(INDEX('潜水記録'!$AN$5:$AN$3004,$AS462)="","",INDEX('潜水記録'!$AN$5:$AN$3004,$AS462)))</f>
        <v/>
      </c>
      <c r="AJ462" s="14">
        <f>IF($A462="","",IF(INDEX('潜水記録'!$AO$5:$AO$3004,$AS462)="","",INDEX('潜水記録'!$AO$5:$AO$3004,$AS462)))</f>
        <v/>
      </c>
      <c r="AK462" s="14">
        <f>IF($A462="","",IF(INDEX('潜水記録'!$AP$5:$AP$3004,$AS462)="","",INDEX('潜水記録'!$AP$5:$AP$3004,$AS462)))</f>
        <v/>
      </c>
      <c r="AL462" s="14">
        <f>IF($A462="","",IF(INDEX('潜水記録'!$AQ$5:$AQ$3004,$AS462)="","",INDEX('潜水記録'!$AQ$5:$AQ$3004,$AS462)))</f>
        <v/>
      </c>
      <c r="AM462" s="14">
        <f>IF($A462="","",IF(INDEX('潜水記録'!$AR$5:$AR$3004,$AS462)="","",INDEX('潜水記録'!$AR$5:$AR$3004,$AS462)))</f>
        <v/>
      </c>
      <c r="AN462" s="14">
        <f>IF($A462="","",IF(INDEX('潜水記録'!$AS$5:$AS$3004,$AS462)="","",INDEX('潜水記録'!$AS$5:$AS$3004,$AS462)))</f>
        <v/>
      </c>
      <c r="AO462" s="14">
        <f>IF($A462="","",IF(INDEX('潜水記録'!$AT$5:$AT$3004,$AS462)="","",INDEX('潜水記録'!$AT$5:$AT$3004,$AS462)))</f>
        <v/>
      </c>
      <c r="AP462" s="14">
        <f>IF($A462="","",IF(INDEX('潜水記録'!$AU$5:$AU$3004,$AS462)="","",INDEX('潜水記録'!$AU$5:$AU$3004,$AS462)))</f>
        <v/>
      </c>
      <c r="AQ462" s="14">
        <f>IF($A462="","",IF(INDEX('潜水記録'!$AV$5:$AV$3004,$AS462)="","",INDEX('潜水記録'!$AV$5:$AV$3004,$AS462)))</f>
        <v/>
      </c>
      <c r="AR462" s="14">
        <f>IF($A462="","",IF(INDEX('潜水記録'!$AW$5:$AW$3004,$AS462)="","",INDEX('潜水記録'!$AW$5:$AW$3004,$AS462)))</f>
        <v/>
      </c>
      <c r="AS462" s="20">
        <f>IF($A462="","",MATCH($A462,'潜水記録'!$AI$5:$AI$3004,0))</f>
        <v/>
      </c>
    </row>
    <row r="463">
      <c r="A463" s="14">
        <f>IF(453&lt;=$C$8,453,"")</f>
        <v/>
      </c>
      <c r="B463" s="16">
        <f>IF($A463="","",IF(INDEX('潜水記録'!$A$5:$A$3004,$AS463)="","",INDEX('潜水記録'!$A$5:$A$3004,$AS463)))</f>
        <v/>
      </c>
      <c r="C463" s="14">
        <f>IF($A463="","",IF(INDEX('潜水記録'!$B$5:$B$3004,$AS463)="","",INDEX('潜水記録'!$B$5:$B$3004,$AS463)))</f>
        <v/>
      </c>
      <c r="D463" s="14">
        <f>IF($A463="","",IF(INDEX('潜水記録'!$C$5:$C$3004,$AS463)="","",INDEX('潜水記録'!$C$5:$C$3004,$AS463)))</f>
        <v/>
      </c>
      <c r="E463" s="14">
        <f>IF($A463="","",IF(INDEX('潜水記録'!$D$5:$D$3004,$AS463)="","",INDEX('潜水記録'!$D$5:$D$3004,$AS463)))</f>
        <v/>
      </c>
      <c r="F463" s="14">
        <f>IF($A463="","",IF(INDEX('潜水記録'!$E$5:$E$3004,$AS463)="","",INDEX('潜水記録'!$E$5:$E$3004,$AS463)))</f>
        <v/>
      </c>
      <c r="G463" s="14">
        <f>IF($A463="","",IF(INDEX('潜水記録'!$F$5:$F$3004,$AS463)="","",INDEX('潜水記録'!$F$5:$F$3004,$AS463)))</f>
        <v/>
      </c>
      <c r="H463" s="14">
        <f>IF($A463="","",IF(INDEX('潜水記録'!$G$5:$G$3004,$AS463)="","",INDEX('潜水記録'!$G$5:$G$3004,$AS463)))</f>
        <v/>
      </c>
      <c r="I463" s="14">
        <f>IF($A463="","",IF(INDEX('潜水記録'!$H$5:$H$3004,$AS463)="","",INDEX('潜水記録'!$H$5:$H$3004,$AS463)))</f>
        <v/>
      </c>
      <c r="J463" s="14">
        <f>IF($A463="","",IF(INDEX('潜水記録'!$I$5:$I$3004,$AS463)="","",INDEX('潜水記録'!$I$5:$I$3004,$AS463)))</f>
        <v/>
      </c>
      <c r="K463" s="14">
        <f>IF($A463="","",IF(INDEX('潜水記録'!$J$5:$J$3004,$AS463)="","",INDEX('潜水記録'!$J$5:$J$3004,$AS463)))</f>
        <v/>
      </c>
      <c r="L463" s="14">
        <f>IF($A463="","",IF(INDEX('潜水記録'!$K$5:$K$3004,$AS463)="","",INDEX('潜水記録'!$K$5:$K$3004,$AS463)))</f>
        <v/>
      </c>
      <c r="M463" s="14">
        <f>IF($A463="","",IF(INDEX('潜水記録'!$L$5:$L$3004,$AS463)="","",INDEX('潜水記録'!$L$5:$L$3004,$AS463)))</f>
        <v/>
      </c>
      <c r="N463" s="14">
        <f>IF($A463="","",IF(INDEX('潜水記録'!$M$5:$M$3004,$AS463)="","",INDEX('潜水記録'!$M$5:$M$3004,$AS463)))</f>
        <v/>
      </c>
      <c r="O463" s="14">
        <f>IF($A463="","",IF(INDEX('潜水記録'!$N$5:$N$3004,$AS463)="","",INDEX('潜水記録'!$N$5:$N$3004,$AS463)))</f>
        <v/>
      </c>
      <c r="P463" s="14">
        <f>IF($A463="","",IF(INDEX('潜水記録'!$O$5:$O$3004,$AS463)="","",INDEX('潜水記録'!$O$5:$O$3004,$AS463)))</f>
        <v/>
      </c>
      <c r="Q463" s="14">
        <f>IF($A463="","",IF(INDEX('潜水記録'!$P$5:$P$3004,$AS463)="","",INDEX('潜水記録'!$P$5:$P$3004,$AS463)))</f>
        <v/>
      </c>
      <c r="R463" s="14">
        <f>IF($A463="","",IF(INDEX('潜水記録'!$Q$5:$Q$3004,$AS463)="","",INDEX('潜水記録'!$Q$5:$Q$3004,$AS463)))</f>
        <v/>
      </c>
      <c r="S463" s="14">
        <f>IF($A463="","",IF(INDEX('潜水記録'!$R$5:$R$3004,$AS463)="","",INDEX('潜水記録'!$R$5:$R$3004,$AS463)))</f>
        <v/>
      </c>
      <c r="T463" s="14">
        <f>IF($A463="","",IF(INDEX('潜水記録'!$S$5:$S$3004,$AS463)="","",INDEX('潜水記録'!$S$5:$S$3004,$AS463)))</f>
        <v/>
      </c>
      <c r="U463" s="14">
        <f>IF($A463="","",IF(INDEX('潜水記録'!$T$5:$T$3004,$AS463)="","",INDEX('潜水記録'!$T$5:$T$3004,$AS463)))</f>
        <v/>
      </c>
      <c r="V463" s="46">
        <f>IF($A463="","",IF(INDEX('潜水記録'!$U$5:$U$3004,$AS463)="","",INDEX('潜水記録'!$U$5:$U$3004,$AS463)))</f>
        <v/>
      </c>
      <c r="W463" s="46">
        <f>IF($A463="","",IF(INDEX('潜水記録'!$V$5:$V$3004,$AS463)="","",INDEX('潜水記録'!$V$5:$V$3004,$AS463)))</f>
        <v/>
      </c>
      <c r="X463" s="14">
        <f>IF($A463="","",IF(INDEX('潜水記録'!$W$5:$W$3004,$AS463)="","",INDEX('潜水記録'!$W$5:$W$3004,$AS463)))</f>
        <v/>
      </c>
      <c r="Y463" s="14">
        <f>IF($A463="","",IF(INDEX('潜水記録'!$X$5:$X$3004,$AS463)="","",INDEX('潜水記録'!$X$5:$X$3004,$AS463)))</f>
        <v/>
      </c>
      <c r="Z463" s="14">
        <f>IF($A463="","",IF(INDEX('潜水記録'!$Y$5:$Y$3004,$AS463)="","",INDEX('潜水記録'!$Y$5:$Y$3004,$AS463)))</f>
        <v/>
      </c>
      <c r="AA463" s="14">
        <f>IF($A463="","",IF(INDEX('潜水記録'!$Z$5:$Z$3004,$AS463)="","",INDEX('潜水記録'!$Z$5:$Z$3004,$AS463)))</f>
        <v/>
      </c>
      <c r="AB463" s="14">
        <f>IF($A463="","",IF(INDEX('潜水記録'!$AA$5:$AA$3004,$AS463)="","",INDEX('潜水記録'!$AA$5:$AA$3004,$AS463)))</f>
        <v/>
      </c>
      <c r="AC463" s="14">
        <f>IF($A463="","",IF(INDEX('潜水記録'!$AB$5:$AB$3004,$AS463)="","",INDEX('潜水記録'!$AB$5:$AB$3004,$AS463)))</f>
        <v/>
      </c>
      <c r="AD463" s="14">
        <f>IF($A463="","",IF(INDEX('潜水記録'!$AC$5:$AC$3004,$AS463)="","",INDEX('潜水記録'!$AC$5:$AC$3004,$AS463)))</f>
        <v/>
      </c>
      <c r="AE463" s="14">
        <f>IF($A463="","",IF(INDEX('潜水記録'!$AD$5:$AD$3004,$AS463)="","",INDEX('潜水記録'!$AD$5:$AD$3004,$AS463)))</f>
        <v/>
      </c>
      <c r="AF463" s="14">
        <f>IF($A463="","",IF(INDEX('潜水記録'!$AE$5:$AE$3004,$AS463)="","",INDEX('潜水記録'!$AE$5:$AE$3004,$AS463)))</f>
        <v/>
      </c>
      <c r="AG463" s="14">
        <f>IF($A463="","",IF(INDEX('潜水記録'!$AL$5:$AL$3004,$AS463)="","",INDEX('潜水記録'!$AL$5:$AL$3004,$AS463)))</f>
        <v/>
      </c>
      <c r="AH463" s="14">
        <f>IF($A463="","",IF(INDEX('潜水記録'!$AM$5:$AM$3004,$AS463)="","",INDEX('潜水記録'!$AM$5:$AM$3004,$AS463)))</f>
        <v/>
      </c>
      <c r="AI463" s="46">
        <f>IF($A463="","",IF(INDEX('潜水記録'!$AN$5:$AN$3004,$AS463)="","",INDEX('潜水記録'!$AN$5:$AN$3004,$AS463)))</f>
        <v/>
      </c>
      <c r="AJ463" s="14">
        <f>IF($A463="","",IF(INDEX('潜水記録'!$AO$5:$AO$3004,$AS463)="","",INDEX('潜水記録'!$AO$5:$AO$3004,$AS463)))</f>
        <v/>
      </c>
      <c r="AK463" s="14">
        <f>IF($A463="","",IF(INDEX('潜水記録'!$AP$5:$AP$3004,$AS463)="","",INDEX('潜水記録'!$AP$5:$AP$3004,$AS463)))</f>
        <v/>
      </c>
      <c r="AL463" s="14">
        <f>IF($A463="","",IF(INDEX('潜水記録'!$AQ$5:$AQ$3004,$AS463)="","",INDEX('潜水記録'!$AQ$5:$AQ$3004,$AS463)))</f>
        <v/>
      </c>
      <c r="AM463" s="14">
        <f>IF($A463="","",IF(INDEX('潜水記録'!$AR$5:$AR$3004,$AS463)="","",INDEX('潜水記録'!$AR$5:$AR$3004,$AS463)))</f>
        <v/>
      </c>
      <c r="AN463" s="14">
        <f>IF($A463="","",IF(INDEX('潜水記録'!$AS$5:$AS$3004,$AS463)="","",INDEX('潜水記録'!$AS$5:$AS$3004,$AS463)))</f>
        <v/>
      </c>
      <c r="AO463" s="14">
        <f>IF($A463="","",IF(INDEX('潜水記録'!$AT$5:$AT$3004,$AS463)="","",INDEX('潜水記録'!$AT$5:$AT$3004,$AS463)))</f>
        <v/>
      </c>
      <c r="AP463" s="14">
        <f>IF($A463="","",IF(INDEX('潜水記録'!$AU$5:$AU$3004,$AS463)="","",INDEX('潜水記録'!$AU$5:$AU$3004,$AS463)))</f>
        <v/>
      </c>
      <c r="AQ463" s="14">
        <f>IF($A463="","",IF(INDEX('潜水記録'!$AV$5:$AV$3004,$AS463)="","",INDEX('潜水記録'!$AV$5:$AV$3004,$AS463)))</f>
        <v/>
      </c>
      <c r="AR463" s="14">
        <f>IF($A463="","",IF(INDEX('潜水記録'!$AW$5:$AW$3004,$AS463)="","",INDEX('潜水記録'!$AW$5:$AW$3004,$AS463)))</f>
        <v/>
      </c>
      <c r="AS463" s="20">
        <f>IF($A463="","",MATCH($A463,'潜水記録'!$AI$5:$AI$3004,0))</f>
        <v/>
      </c>
    </row>
    <row r="464">
      <c r="A464" s="14">
        <f>IF(454&lt;=$C$8,454,"")</f>
        <v/>
      </c>
      <c r="B464" s="16">
        <f>IF($A464="","",IF(INDEX('潜水記録'!$A$5:$A$3004,$AS464)="","",INDEX('潜水記録'!$A$5:$A$3004,$AS464)))</f>
        <v/>
      </c>
      <c r="C464" s="14">
        <f>IF($A464="","",IF(INDEX('潜水記録'!$B$5:$B$3004,$AS464)="","",INDEX('潜水記録'!$B$5:$B$3004,$AS464)))</f>
        <v/>
      </c>
      <c r="D464" s="14">
        <f>IF($A464="","",IF(INDEX('潜水記録'!$C$5:$C$3004,$AS464)="","",INDEX('潜水記録'!$C$5:$C$3004,$AS464)))</f>
        <v/>
      </c>
      <c r="E464" s="14">
        <f>IF($A464="","",IF(INDEX('潜水記録'!$D$5:$D$3004,$AS464)="","",INDEX('潜水記録'!$D$5:$D$3004,$AS464)))</f>
        <v/>
      </c>
      <c r="F464" s="14">
        <f>IF($A464="","",IF(INDEX('潜水記録'!$E$5:$E$3004,$AS464)="","",INDEX('潜水記録'!$E$5:$E$3004,$AS464)))</f>
        <v/>
      </c>
      <c r="G464" s="14">
        <f>IF($A464="","",IF(INDEX('潜水記録'!$F$5:$F$3004,$AS464)="","",INDEX('潜水記録'!$F$5:$F$3004,$AS464)))</f>
        <v/>
      </c>
      <c r="H464" s="14">
        <f>IF($A464="","",IF(INDEX('潜水記録'!$G$5:$G$3004,$AS464)="","",INDEX('潜水記録'!$G$5:$G$3004,$AS464)))</f>
        <v/>
      </c>
      <c r="I464" s="14">
        <f>IF($A464="","",IF(INDEX('潜水記録'!$H$5:$H$3004,$AS464)="","",INDEX('潜水記録'!$H$5:$H$3004,$AS464)))</f>
        <v/>
      </c>
      <c r="J464" s="14">
        <f>IF($A464="","",IF(INDEX('潜水記録'!$I$5:$I$3004,$AS464)="","",INDEX('潜水記録'!$I$5:$I$3004,$AS464)))</f>
        <v/>
      </c>
      <c r="K464" s="14">
        <f>IF($A464="","",IF(INDEX('潜水記録'!$J$5:$J$3004,$AS464)="","",INDEX('潜水記録'!$J$5:$J$3004,$AS464)))</f>
        <v/>
      </c>
      <c r="L464" s="14">
        <f>IF($A464="","",IF(INDEX('潜水記録'!$K$5:$K$3004,$AS464)="","",INDEX('潜水記録'!$K$5:$K$3004,$AS464)))</f>
        <v/>
      </c>
      <c r="M464" s="14">
        <f>IF($A464="","",IF(INDEX('潜水記録'!$L$5:$L$3004,$AS464)="","",INDEX('潜水記録'!$L$5:$L$3004,$AS464)))</f>
        <v/>
      </c>
      <c r="N464" s="14">
        <f>IF($A464="","",IF(INDEX('潜水記録'!$M$5:$M$3004,$AS464)="","",INDEX('潜水記録'!$M$5:$M$3004,$AS464)))</f>
        <v/>
      </c>
      <c r="O464" s="14">
        <f>IF($A464="","",IF(INDEX('潜水記録'!$N$5:$N$3004,$AS464)="","",INDEX('潜水記録'!$N$5:$N$3004,$AS464)))</f>
        <v/>
      </c>
      <c r="P464" s="14">
        <f>IF($A464="","",IF(INDEX('潜水記録'!$O$5:$O$3004,$AS464)="","",INDEX('潜水記録'!$O$5:$O$3004,$AS464)))</f>
        <v/>
      </c>
      <c r="Q464" s="14">
        <f>IF($A464="","",IF(INDEX('潜水記録'!$P$5:$P$3004,$AS464)="","",INDEX('潜水記録'!$P$5:$P$3004,$AS464)))</f>
        <v/>
      </c>
      <c r="R464" s="14">
        <f>IF($A464="","",IF(INDEX('潜水記録'!$Q$5:$Q$3004,$AS464)="","",INDEX('潜水記録'!$Q$5:$Q$3004,$AS464)))</f>
        <v/>
      </c>
      <c r="S464" s="14">
        <f>IF($A464="","",IF(INDEX('潜水記録'!$R$5:$R$3004,$AS464)="","",INDEX('潜水記録'!$R$5:$R$3004,$AS464)))</f>
        <v/>
      </c>
      <c r="T464" s="14">
        <f>IF($A464="","",IF(INDEX('潜水記録'!$S$5:$S$3004,$AS464)="","",INDEX('潜水記録'!$S$5:$S$3004,$AS464)))</f>
        <v/>
      </c>
      <c r="U464" s="14">
        <f>IF($A464="","",IF(INDEX('潜水記録'!$T$5:$T$3004,$AS464)="","",INDEX('潜水記録'!$T$5:$T$3004,$AS464)))</f>
        <v/>
      </c>
      <c r="V464" s="46">
        <f>IF($A464="","",IF(INDEX('潜水記録'!$U$5:$U$3004,$AS464)="","",INDEX('潜水記録'!$U$5:$U$3004,$AS464)))</f>
        <v/>
      </c>
      <c r="W464" s="46">
        <f>IF($A464="","",IF(INDEX('潜水記録'!$V$5:$V$3004,$AS464)="","",INDEX('潜水記録'!$V$5:$V$3004,$AS464)))</f>
        <v/>
      </c>
      <c r="X464" s="14">
        <f>IF($A464="","",IF(INDEX('潜水記録'!$W$5:$W$3004,$AS464)="","",INDEX('潜水記録'!$W$5:$W$3004,$AS464)))</f>
        <v/>
      </c>
      <c r="Y464" s="14">
        <f>IF($A464="","",IF(INDEX('潜水記録'!$X$5:$X$3004,$AS464)="","",INDEX('潜水記録'!$X$5:$X$3004,$AS464)))</f>
        <v/>
      </c>
      <c r="Z464" s="14">
        <f>IF($A464="","",IF(INDEX('潜水記録'!$Y$5:$Y$3004,$AS464)="","",INDEX('潜水記録'!$Y$5:$Y$3004,$AS464)))</f>
        <v/>
      </c>
      <c r="AA464" s="14">
        <f>IF($A464="","",IF(INDEX('潜水記録'!$Z$5:$Z$3004,$AS464)="","",INDEX('潜水記録'!$Z$5:$Z$3004,$AS464)))</f>
        <v/>
      </c>
      <c r="AB464" s="14">
        <f>IF($A464="","",IF(INDEX('潜水記録'!$AA$5:$AA$3004,$AS464)="","",INDEX('潜水記録'!$AA$5:$AA$3004,$AS464)))</f>
        <v/>
      </c>
      <c r="AC464" s="14">
        <f>IF($A464="","",IF(INDEX('潜水記録'!$AB$5:$AB$3004,$AS464)="","",INDEX('潜水記録'!$AB$5:$AB$3004,$AS464)))</f>
        <v/>
      </c>
      <c r="AD464" s="14">
        <f>IF($A464="","",IF(INDEX('潜水記録'!$AC$5:$AC$3004,$AS464)="","",INDEX('潜水記録'!$AC$5:$AC$3004,$AS464)))</f>
        <v/>
      </c>
      <c r="AE464" s="14">
        <f>IF($A464="","",IF(INDEX('潜水記録'!$AD$5:$AD$3004,$AS464)="","",INDEX('潜水記録'!$AD$5:$AD$3004,$AS464)))</f>
        <v/>
      </c>
      <c r="AF464" s="14">
        <f>IF($A464="","",IF(INDEX('潜水記録'!$AE$5:$AE$3004,$AS464)="","",INDEX('潜水記録'!$AE$5:$AE$3004,$AS464)))</f>
        <v/>
      </c>
      <c r="AG464" s="14">
        <f>IF($A464="","",IF(INDEX('潜水記録'!$AL$5:$AL$3004,$AS464)="","",INDEX('潜水記録'!$AL$5:$AL$3004,$AS464)))</f>
        <v/>
      </c>
      <c r="AH464" s="14">
        <f>IF($A464="","",IF(INDEX('潜水記録'!$AM$5:$AM$3004,$AS464)="","",INDEX('潜水記録'!$AM$5:$AM$3004,$AS464)))</f>
        <v/>
      </c>
      <c r="AI464" s="46">
        <f>IF($A464="","",IF(INDEX('潜水記録'!$AN$5:$AN$3004,$AS464)="","",INDEX('潜水記録'!$AN$5:$AN$3004,$AS464)))</f>
        <v/>
      </c>
      <c r="AJ464" s="14">
        <f>IF($A464="","",IF(INDEX('潜水記録'!$AO$5:$AO$3004,$AS464)="","",INDEX('潜水記録'!$AO$5:$AO$3004,$AS464)))</f>
        <v/>
      </c>
      <c r="AK464" s="14">
        <f>IF($A464="","",IF(INDEX('潜水記録'!$AP$5:$AP$3004,$AS464)="","",INDEX('潜水記録'!$AP$5:$AP$3004,$AS464)))</f>
        <v/>
      </c>
      <c r="AL464" s="14">
        <f>IF($A464="","",IF(INDEX('潜水記録'!$AQ$5:$AQ$3004,$AS464)="","",INDEX('潜水記録'!$AQ$5:$AQ$3004,$AS464)))</f>
        <v/>
      </c>
      <c r="AM464" s="14">
        <f>IF($A464="","",IF(INDEX('潜水記録'!$AR$5:$AR$3004,$AS464)="","",INDEX('潜水記録'!$AR$5:$AR$3004,$AS464)))</f>
        <v/>
      </c>
      <c r="AN464" s="14">
        <f>IF($A464="","",IF(INDEX('潜水記録'!$AS$5:$AS$3004,$AS464)="","",INDEX('潜水記録'!$AS$5:$AS$3004,$AS464)))</f>
        <v/>
      </c>
      <c r="AO464" s="14">
        <f>IF($A464="","",IF(INDEX('潜水記録'!$AT$5:$AT$3004,$AS464)="","",INDEX('潜水記録'!$AT$5:$AT$3004,$AS464)))</f>
        <v/>
      </c>
      <c r="AP464" s="14">
        <f>IF($A464="","",IF(INDEX('潜水記録'!$AU$5:$AU$3004,$AS464)="","",INDEX('潜水記録'!$AU$5:$AU$3004,$AS464)))</f>
        <v/>
      </c>
      <c r="AQ464" s="14">
        <f>IF($A464="","",IF(INDEX('潜水記録'!$AV$5:$AV$3004,$AS464)="","",INDEX('潜水記録'!$AV$5:$AV$3004,$AS464)))</f>
        <v/>
      </c>
      <c r="AR464" s="14">
        <f>IF($A464="","",IF(INDEX('潜水記録'!$AW$5:$AW$3004,$AS464)="","",INDEX('潜水記録'!$AW$5:$AW$3004,$AS464)))</f>
        <v/>
      </c>
      <c r="AS464" s="20">
        <f>IF($A464="","",MATCH($A464,'潜水記録'!$AI$5:$AI$3004,0))</f>
        <v/>
      </c>
    </row>
    <row r="465">
      <c r="A465" s="14">
        <f>IF(455&lt;=$C$8,455,"")</f>
        <v/>
      </c>
      <c r="B465" s="16">
        <f>IF($A465="","",IF(INDEX('潜水記録'!$A$5:$A$3004,$AS465)="","",INDEX('潜水記録'!$A$5:$A$3004,$AS465)))</f>
        <v/>
      </c>
      <c r="C465" s="14">
        <f>IF($A465="","",IF(INDEX('潜水記録'!$B$5:$B$3004,$AS465)="","",INDEX('潜水記録'!$B$5:$B$3004,$AS465)))</f>
        <v/>
      </c>
      <c r="D465" s="14">
        <f>IF($A465="","",IF(INDEX('潜水記録'!$C$5:$C$3004,$AS465)="","",INDEX('潜水記録'!$C$5:$C$3004,$AS465)))</f>
        <v/>
      </c>
      <c r="E465" s="14">
        <f>IF($A465="","",IF(INDEX('潜水記録'!$D$5:$D$3004,$AS465)="","",INDEX('潜水記録'!$D$5:$D$3004,$AS465)))</f>
        <v/>
      </c>
      <c r="F465" s="14">
        <f>IF($A465="","",IF(INDEX('潜水記録'!$E$5:$E$3004,$AS465)="","",INDEX('潜水記録'!$E$5:$E$3004,$AS465)))</f>
        <v/>
      </c>
      <c r="G465" s="14">
        <f>IF($A465="","",IF(INDEX('潜水記録'!$F$5:$F$3004,$AS465)="","",INDEX('潜水記録'!$F$5:$F$3004,$AS465)))</f>
        <v/>
      </c>
      <c r="H465" s="14">
        <f>IF($A465="","",IF(INDEX('潜水記録'!$G$5:$G$3004,$AS465)="","",INDEX('潜水記録'!$G$5:$G$3004,$AS465)))</f>
        <v/>
      </c>
      <c r="I465" s="14">
        <f>IF($A465="","",IF(INDEX('潜水記録'!$H$5:$H$3004,$AS465)="","",INDEX('潜水記録'!$H$5:$H$3004,$AS465)))</f>
        <v/>
      </c>
      <c r="J465" s="14">
        <f>IF($A465="","",IF(INDEX('潜水記録'!$I$5:$I$3004,$AS465)="","",INDEX('潜水記録'!$I$5:$I$3004,$AS465)))</f>
        <v/>
      </c>
      <c r="K465" s="14">
        <f>IF($A465="","",IF(INDEX('潜水記録'!$J$5:$J$3004,$AS465)="","",INDEX('潜水記録'!$J$5:$J$3004,$AS465)))</f>
        <v/>
      </c>
      <c r="L465" s="14">
        <f>IF($A465="","",IF(INDEX('潜水記録'!$K$5:$K$3004,$AS465)="","",INDEX('潜水記録'!$K$5:$K$3004,$AS465)))</f>
        <v/>
      </c>
      <c r="M465" s="14">
        <f>IF($A465="","",IF(INDEX('潜水記録'!$L$5:$L$3004,$AS465)="","",INDEX('潜水記録'!$L$5:$L$3004,$AS465)))</f>
        <v/>
      </c>
      <c r="N465" s="14">
        <f>IF($A465="","",IF(INDEX('潜水記録'!$M$5:$M$3004,$AS465)="","",INDEX('潜水記録'!$M$5:$M$3004,$AS465)))</f>
        <v/>
      </c>
      <c r="O465" s="14">
        <f>IF($A465="","",IF(INDEX('潜水記録'!$N$5:$N$3004,$AS465)="","",INDEX('潜水記録'!$N$5:$N$3004,$AS465)))</f>
        <v/>
      </c>
      <c r="P465" s="14">
        <f>IF($A465="","",IF(INDEX('潜水記録'!$O$5:$O$3004,$AS465)="","",INDEX('潜水記録'!$O$5:$O$3004,$AS465)))</f>
        <v/>
      </c>
      <c r="Q465" s="14">
        <f>IF($A465="","",IF(INDEX('潜水記録'!$P$5:$P$3004,$AS465)="","",INDEX('潜水記録'!$P$5:$P$3004,$AS465)))</f>
        <v/>
      </c>
      <c r="R465" s="14">
        <f>IF($A465="","",IF(INDEX('潜水記録'!$Q$5:$Q$3004,$AS465)="","",INDEX('潜水記録'!$Q$5:$Q$3004,$AS465)))</f>
        <v/>
      </c>
      <c r="S465" s="14">
        <f>IF($A465="","",IF(INDEX('潜水記録'!$R$5:$R$3004,$AS465)="","",INDEX('潜水記録'!$R$5:$R$3004,$AS465)))</f>
        <v/>
      </c>
      <c r="T465" s="14">
        <f>IF($A465="","",IF(INDEX('潜水記録'!$S$5:$S$3004,$AS465)="","",INDEX('潜水記録'!$S$5:$S$3004,$AS465)))</f>
        <v/>
      </c>
      <c r="U465" s="14">
        <f>IF($A465="","",IF(INDEX('潜水記録'!$T$5:$T$3004,$AS465)="","",INDEX('潜水記録'!$T$5:$T$3004,$AS465)))</f>
        <v/>
      </c>
      <c r="V465" s="46">
        <f>IF($A465="","",IF(INDEX('潜水記録'!$U$5:$U$3004,$AS465)="","",INDEX('潜水記録'!$U$5:$U$3004,$AS465)))</f>
        <v/>
      </c>
      <c r="W465" s="46">
        <f>IF($A465="","",IF(INDEX('潜水記録'!$V$5:$V$3004,$AS465)="","",INDEX('潜水記録'!$V$5:$V$3004,$AS465)))</f>
        <v/>
      </c>
      <c r="X465" s="14">
        <f>IF($A465="","",IF(INDEX('潜水記録'!$W$5:$W$3004,$AS465)="","",INDEX('潜水記録'!$W$5:$W$3004,$AS465)))</f>
        <v/>
      </c>
      <c r="Y465" s="14">
        <f>IF($A465="","",IF(INDEX('潜水記録'!$X$5:$X$3004,$AS465)="","",INDEX('潜水記録'!$X$5:$X$3004,$AS465)))</f>
        <v/>
      </c>
      <c r="Z465" s="14">
        <f>IF($A465="","",IF(INDEX('潜水記録'!$Y$5:$Y$3004,$AS465)="","",INDEX('潜水記録'!$Y$5:$Y$3004,$AS465)))</f>
        <v/>
      </c>
      <c r="AA465" s="14">
        <f>IF($A465="","",IF(INDEX('潜水記録'!$Z$5:$Z$3004,$AS465)="","",INDEX('潜水記録'!$Z$5:$Z$3004,$AS465)))</f>
        <v/>
      </c>
      <c r="AB465" s="14">
        <f>IF($A465="","",IF(INDEX('潜水記録'!$AA$5:$AA$3004,$AS465)="","",INDEX('潜水記録'!$AA$5:$AA$3004,$AS465)))</f>
        <v/>
      </c>
      <c r="AC465" s="14">
        <f>IF($A465="","",IF(INDEX('潜水記録'!$AB$5:$AB$3004,$AS465)="","",INDEX('潜水記録'!$AB$5:$AB$3004,$AS465)))</f>
        <v/>
      </c>
      <c r="AD465" s="14">
        <f>IF($A465="","",IF(INDEX('潜水記録'!$AC$5:$AC$3004,$AS465)="","",INDEX('潜水記録'!$AC$5:$AC$3004,$AS465)))</f>
        <v/>
      </c>
      <c r="AE465" s="14">
        <f>IF($A465="","",IF(INDEX('潜水記録'!$AD$5:$AD$3004,$AS465)="","",INDEX('潜水記録'!$AD$5:$AD$3004,$AS465)))</f>
        <v/>
      </c>
      <c r="AF465" s="14">
        <f>IF($A465="","",IF(INDEX('潜水記録'!$AE$5:$AE$3004,$AS465)="","",INDEX('潜水記録'!$AE$5:$AE$3004,$AS465)))</f>
        <v/>
      </c>
      <c r="AG465" s="14">
        <f>IF($A465="","",IF(INDEX('潜水記録'!$AL$5:$AL$3004,$AS465)="","",INDEX('潜水記録'!$AL$5:$AL$3004,$AS465)))</f>
        <v/>
      </c>
      <c r="AH465" s="14">
        <f>IF($A465="","",IF(INDEX('潜水記録'!$AM$5:$AM$3004,$AS465)="","",INDEX('潜水記録'!$AM$5:$AM$3004,$AS465)))</f>
        <v/>
      </c>
      <c r="AI465" s="46">
        <f>IF($A465="","",IF(INDEX('潜水記録'!$AN$5:$AN$3004,$AS465)="","",INDEX('潜水記録'!$AN$5:$AN$3004,$AS465)))</f>
        <v/>
      </c>
      <c r="AJ465" s="14">
        <f>IF($A465="","",IF(INDEX('潜水記録'!$AO$5:$AO$3004,$AS465)="","",INDEX('潜水記録'!$AO$5:$AO$3004,$AS465)))</f>
        <v/>
      </c>
      <c r="AK465" s="14">
        <f>IF($A465="","",IF(INDEX('潜水記録'!$AP$5:$AP$3004,$AS465)="","",INDEX('潜水記録'!$AP$5:$AP$3004,$AS465)))</f>
        <v/>
      </c>
      <c r="AL465" s="14">
        <f>IF($A465="","",IF(INDEX('潜水記録'!$AQ$5:$AQ$3004,$AS465)="","",INDEX('潜水記録'!$AQ$5:$AQ$3004,$AS465)))</f>
        <v/>
      </c>
      <c r="AM465" s="14">
        <f>IF($A465="","",IF(INDEX('潜水記録'!$AR$5:$AR$3004,$AS465)="","",INDEX('潜水記録'!$AR$5:$AR$3004,$AS465)))</f>
        <v/>
      </c>
      <c r="AN465" s="14">
        <f>IF($A465="","",IF(INDEX('潜水記録'!$AS$5:$AS$3004,$AS465)="","",INDEX('潜水記録'!$AS$5:$AS$3004,$AS465)))</f>
        <v/>
      </c>
      <c r="AO465" s="14">
        <f>IF($A465="","",IF(INDEX('潜水記録'!$AT$5:$AT$3004,$AS465)="","",INDEX('潜水記録'!$AT$5:$AT$3004,$AS465)))</f>
        <v/>
      </c>
      <c r="AP465" s="14">
        <f>IF($A465="","",IF(INDEX('潜水記録'!$AU$5:$AU$3004,$AS465)="","",INDEX('潜水記録'!$AU$5:$AU$3004,$AS465)))</f>
        <v/>
      </c>
      <c r="AQ465" s="14">
        <f>IF($A465="","",IF(INDEX('潜水記録'!$AV$5:$AV$3004,$AS465)="","",INDEX('潜水記録'!$AV$5:$AV$3004,$AS465)))</f>
        <v/>
      </c>
      <c r="AR465" s="14">
        <f>IF($A465="","",IF(INDEX('潜水記録'!$AW$5:$AW$3004,$AS465)="","",INDEX('潜水記録'!$AW$5:$AW$3004,$AS465)))</f>
        <v/>
      </c>
      <c r="AS465" s="20">
        <f>IF($A465="","",MATCH($A465,'潜水記録'!$AI$5:$AI$3004,0))</f>
        <v/>
      </c>
    </row>
    <row r="466">
      <c r="A466" s="14">
        <f>IF(456&lt;=$C$8,456,"")</f>
        <v/>
      </c>
      <c r="B466" s="16">
        <f>IF($A466="","",IF(INDEX('潜水記録'!$A$5:$A$3004,$AS466)="","",INDEX('潜水記録'!$A$5:$A$3004,$AS466)))</f>
        <v/>
      </c>
      <c r="C466" s="14">
        <f>IF($A466="","",IF(INDEX('潜水記録'!$B$5:$B$3004,$AS466)="","",INDEX('潜水記録'!$B$5:$B$3004,$AS466)))</f>
        <v/>
      </c>
      <c r="D466" s="14">
        <f>IF($A466="","",IF(INDEX('潜水記録'!$C$5:$C$3004,$AS466)="","",INDEX('潜水記録'!$C$5:$C$3004,$AS466)))</f>
        <v/>
      </c>
      <c r="E466" s="14">
        <f>IF($A466="","",IF(INDEX('潜水記録'!$D$5:$D$3004,$AS466)="","",INDEX('潜水記録'!$D$5:$D$3004,$AS466)))</f>
        <v/>
      </c>
      <c r="F466" s="14">
        <f>IF($A466="","",IF(INDEX('潜水記録'!$E$5:$E$3004,$AS466)="","",INDEX('潜水記録'!$E$5:$E$3004,$AS466)))</f>
        <v/>
      </c>
      <c r="G466" s="14">
        <f>IF($A466="","",IF(INDEX('潜水記録'!$F$5:$F$3004,$AS466)="","",INDEX('潜水記録'!$F$5:$F$3004,$AS466)))</f>
        <v/>
      </c>
      <c r="H466" s="14">
        <f>IF($A466="","",IF(INDEX('潜水記録'!$G$5:$G$3004,$AS466)="","",INDEX('潜水記録'!$G$5:$G$3004,$AS466)))</f>
        <v/>
      </c>
      <c r="I466" s="14">
        <f>IF($A466="","",IF(INDEX('潜水記録'!$H$5:$H$3004,$AS466)="","",INDEX('潜水記録'!$H$5:$H$3004,$AS466)))</f>
        <v/>
      </c>
      <c r="J466" s="14">
        <f>IF($A466="","",IF(INDEX('潜水記録'!$I$5:$I$3004,$AS466)="","",INDEX('潜水記録'!$I$5:$I$3004,$AS466)))</f>
        <v/>
      </c>
      <c r="K466" s="14">
        <f>IF($A466="","",IF(INDEX('潜水記録'!$J$5:$J$3004,$AS466)="","",INDEX('潜水記録'!$J$5:$J$3004,$AS466)))</f>
        <v/>
      </c>
      <c r="L466" s="14">
        <f>IF($A466="","",IF(INDEX('潜水記録'!$K$5:$K$3004,$AS466)="","",INDEX('潜水記録'!$K$5:$K$3004,$AS466)))</f>
        <v/>
      </c>
      <c r="M466" s="14">
        <f>IF($A466="","",IF(INDEX('潜水記録'!$L$5:$L$3004,$AS466)="","",INDEX('潜水記録'!$L$5:$L$3004,$AS466)))</f>
        <v/>
      </c>
      <c r="N466" s="14">
        <f>IF($A466="","",IF(INDEX('潜水記録'!$M$5:$M$3004,$AS466)="","",INDEX('潜水記録'!$M$5:$M$3004,$AS466)))</f>
        <v/>
      </c>
      <c r="O466" s="14">
        <f>IF($A466="","",IF(INDEX('潜水記録'!$N$5:$N$3004,$AS466)="","",INDEX('潜水記録'!$N$5:$N$3004,$AS466)))</f>
        <v/>
      </c>
      <c r="P466" s="14">
        <f>IF($A466="","",IF(INDEX('潜水記録'!$O$5:$O$3004,$AS466)="","",INDEX('潜水記録'!$O$5:$O$3004,$AS466)))</f>
        <v/>
      </c>
      <c r="Q466" s="14">
        <f>IF($A466="","",IF(INDEX('潜水記録'!$P$5:$P$3004,$AS466)="","",INDEX('潜水記録'!$P$5:$P$3004,$AS466)))</f>
        <v/>
      </c>
      <c r="R466" s="14">
        <f>IF($A466="","",IF(INDEX('潜水記録'!$Q$5:$Q$3004,$AS466)="","",INDEX('潜水記録'!$Q$5:$Q$3004,$AS466)))</f>
        <v/>
      </c>
      <c r="S466" s="14">
        <f>IF($A466="","",IF(INDEX('潜水記録'!$R$5:$R$3004,$AS466)="","",INDEX('潜水記録'!$R$5:$R$3004,$AS466)))</f>
        <v/>
      </c>
      <c r="T466" s="14">
        <f>IF($A466="","",IF(INDEX('潜水記録'!$S$5:$S$3004,$AS466)="","",INDEX('潜水記録'!$S$5:$S$3004,$AS466)))</f>
        <v/>
      </c>
      <c r="U466" s="14">
        <f>IF($A466="","",IF(INDEX('潜水記録'!$T$5:$T$3004,$AS466)="","",INDEX('潜水記録'!$T$5:$T$3004,$AS466)))</f>
        <v/>
      </c>
      <c r="V466" s="46">
        <f>IF($A466="","",IF(INDEX('潜水記録'!$U$5:$U$3004,$AS466)="","",INDEX('潜水記録'!$U$5:$U$3004,$AS466)))</f>
        <v/>
      </c>
      <c r="W466" s="46">
        <f>IF($A466="","",IF(INDEX('潜水記録'!$V$5:$V$3004,$AS466)="","",INDEX('潜水記録'!$V$5:$V$3004,$AS466)))</f>
        <v/>
      </c>
      <c r="X466" s="14">
        <f>IF($A466="","",IF(INDEX('潜水記録'!$W$5:$W$3004,$AS466)="","",INDEX('潜水記録'!$W$5:$W$3004,$AS466)))</f>
        <v/>
      </c>
      <c r="Y466" s="14">
        <f>IF($A466="","",IF(INDEX('潜水記録'!$X$5:$X$3004,$AS466)="","",INDEX('潜水記録'!$X$5:$X$3004,$AS466)))</f>
        <v/>
      </c>
      <c r="Z466" s="14">
        <f>IF($A466="","",IF(INDEX('潜水記録'!$Y$5:$Y$3004,$AS466)="","",INDEX('潜水記録'!$Y$5:$Y$3004,$AS466)))</f>
        <v/>
      </c>
      <c r="AA466" s="14">
        <f>IF($A466="","",IF(INDEX('潜水記録'!$Z$5:$Z$3004,$AS466)="","",INDEX('潜水記録'!$Z$5:$Z$3004,$AS466)))</f>
        <v/>
      </c>
      <c r="AB466" s="14">
        <f>IF($A466="","",IF(INDEX('潜水記録'!$AA$5:$AA$3004,$AS466)="","",INDEX('潜水記録'!$AA$5:$AA$3004,$AS466)))</f>
        <v/>
      </c>
      <c r="AC466" s="14">
        <f>IF($A466="","",IF(INDEX('潜水記録'!$AB$5:$AB$3004,$AS466)="","",INDEX('潜水記録'!$AB$5:$AB$3004,$AS466)))</f>
        <v/>
      </c>
      <c r="AD466" s="14">
        <f>IF($A466="","",IF(INDEX('潜水記録'!$AC$5:$AC$3004,$AS466)="","",INDEX('潜水記録'!$AC$5:$AC$3004,$AS466)))</f>
        <v/>
      </c>
      <c r="AE466" s="14">
        <f>IF($A466="","",IF(INDEX('潜水記録'!$AD$5:$AD$3004,$AS466)="","",INDEX('潜水記録'!$AD$5:$AD$3004,$AS466)))</f>
        <v/>
      </c>
      <c r="AF466" s="14">
        <f>IF($A466="","",IF(INDEX('潜水記録'!$AE$5:$AE$3004,$AS466)="","",INDEX('潜水記録'!$AE$5:$AE$3004,$AS466)))</f>
        <v/>
      </c>
      <c r="AG466" s="14">
        <f>IF($A466="","",IF(INDEX('潜水記録'!$AL$5:$AL$3004,$AS466)="","",INDEX('潜水記録'!$AL$5:$AL$3004,$AS466)))</f>
        <v/>
      </c>
      <c r="AH466" s="14">
        <f>IF($A466="","",IF(INDEX('潜水記録'!$AM$5:$AM$3004,$AS466)="","",INDEX('潜水記録'!$AM$5:$AM$3004,$AS466)))</f>
        <v/>
      </c>
      <c r="AI466" s="46">
        <f>IF($A466="","",IF(INDEX('潜水記録'!$AN$5:$AN$3004,$AS466)="","",INDEX('潜水記録'!$AN$5:$AN$3004,$AS466)))</f>
        <v/>
      </c>
      <c r="AJ466" s="14">
        <f>IF($A466="","",IF(INDEX('潜水記録'!$AO$5:$AO$3004,$AS466)="","",INDEX('潜水記録'!$AO$5:$AO$3004,$AS466)))</f>
        <v/>
      </c>
      <c r="AK466" s="14">
        <f>IF($A466="","",IF(INDEX('潜水記録'!$AP$5:$AP$3004,$AS466)="","",INDEX('潜水記録'!$AP$5:$AP$3004,$AS466)))</f>
        <v/>
      </c>
      <c r="AL466" s="14">
        <f>IF($A466="","",IF(INDEX('潜水記録'!$AQ$5:$AQ$3004,$AS466)="","",INDEX('潜水記録'!$AQ$5:$AQ$3004,$AS466)))</f>
        <v/>
      </c>
      <c r="AM466" s="14">
        <f>IF($A466="","",IF(INDEX('潜水記録'!$AR$5:$AR$3004,$AS466)="","",INDEX('潜水記録'!$AR$5:$AR$3004,$AS466)))</f>
        <v/>
      </c>
      <c r="AN466" s="14">
        <f>IF($A466="","",IF(INDEX('潜水記録'!$AS$5:$AS$3004,$AS466)="","",INDEX('潜水記録'!$AS$5:$AS$3004,$AS466)))</f>
        <v/>
      </c>
      <c r="AO466" s="14">
        <f>IF($A466="","",IF(INDEX('潜水記録'!$AT$5:$AT$3004,$AS466)="","",INDEX('潜水記録'!$AT$5:$AT$3004,$AS466)))</f>
        <v/>
      </c>
      <c r="AP466" s="14">
        <f>IF($A466="","",IF(INDEX('潜水記録'!$AU$5:$AU$3004,$AS466)="","",INDEX('潜水記録'!$AU$5:$AU$3004,$AS466)))</f>
        <v/>
      </c>
      <c r="AQ466" s="14">
        <f>IF($A466="","",IF(INDEX('潜水記録'!$AV$5:$AV$3004,$AS466)="","",INDEX('潜水記録'!$AV$5:$AV$3004,$AS466)))</f>
        <v/>
      </c>
      <c r="AR466" s="14">
        <f>IF($A466="","",IF(INDEX('潜水記録'!$AW$5:$AW$3004,$AS466)="","",INDEX('潜水記録'!$AW$5:$AW$3004,$AS466)))</f>
        <v/>
      </c>
      <c r="AS466" s="20">
        <f>IF($A466="","",MATCH($A466,'潜水記録'!$AI$5:$AI$3004,0))</f>
        <v/>
      </c>
    </row>
    <row r="467">
      <c r="A467" s="14">
        <f>IF(457&lt;=$C$8,457,"")</f>
        <v/>
      </c>
      <c r="B467" s="16">
        <f>IF($A467="","",IF(INDEX('潜水記録'!$A$5:$A$3004,$AS467)="","",INDEX('潜水記録'!$A$5:$A$3004,$AS467)))</f>
        <v/>
      </c>
      <c r="C467" s="14">
        <f>IF($A467="","",IF(INDEX('潜水記録'!$B$5:$B$3004,$AS467)="","",INDEX('潜水記録'!$B$5:$B$3004,$AS467)))</f>
        <v/>
      </c>
      <c r="D467" s="14">
        <f>IF($A467="","",IF(INDEX('潜水記録'!$C$5:$C$3004,$AS467)="","",INDEX('潜水記録'!$C$5:$C$3004,$AS467)))</f>
        <v/>
      </c>
      <c r="E467" s="14">
        <f>IF($A467="","",IF(INDEX('潜水記録'!$D$5:$D$3004,$AS467)="","",INDEX('潜水記録'!$D$5:$D$3004,$AS467)))</f>
        <v/>
      </c>
      <c r="F467" s="14">
        <f>IF($A467="","",IF(INDEX('潜水記録'!$E$5:$E$3004,$AS467)="","",INDEX('潜水記録'!$E$5:$E$3004,$AS467)))</f>
        <v/>
      </c>
      <c r="G467" s="14">
        <f>IF($A467="","",IF(INDEX('潜水記録'!$F$5:$F$3004,$AS467)="","",INDEX('潜水記録'!$F$5:$F$3004,$AS467)))</f>
        <v/>
      </c>
      <c r="H467" s="14">
        <f>IF($A467="","",IF(INDEX('潜水記録'!$G$5:$G$3004,$AS467)="","",INDEX('潜水記録'!$G$5:$G$3004,$AS467)))</f>
        <v/>
      </c>
      <c r="I467" s="14">
        <f>IF($A467="","",IF(INDEX('潜水記録'!$H$5:$H$3004,$AS467)="","",INDEX('潜水記録'!$H$5:$H$3004,$AS467)))</f>
        <v/>
      </c>
      <c r="J467" s="14">
        <f>IF($A467="","",IF(INDEX('潜水記録'!$I$5:$I$3004,$AS467)="","",INDEX('潜水記録'!$I$5:$I$3004,$AS467)))</f>
        <v/>
      </c>
      <c r="K467" s="14">
        <f>IF($A467="","",IF(INDEX('潜水記録'!$J$5:$J$3004,$AS467)="","",INDEX('潜水記録'!$J$5:$J$3004,$AS467)))</f>
        <v/>
      </c>
      <c r="L467" s="14">
        <f>IF($A467="","",IF(INDEX('潜水記録'!$K$5:$K$3004,$AS467)="","",INDEX('潜水記録'!$K$5:$K$3004,$AS467)))</f>
        <v/>
      </c>
      <c r="M467" s="14">
        <f>IF($A467="","",IF(INDEX('潜水記録'!$L$5:$L$3004,$AS467)="","",INDEX('潜水記録'!$L$5:$L$3004,$AS467)))</f>
        <v/>
      </c>
      <c r="N467" s="14">
        <f>IF($A467="","",IF(INDEX('潜水記録'!$M$5:$M$3004,$AS467)="","",INDEX('潜水記録'!$M$5:$M$3004,$AS467)))</f>
        <v/>
      </c>
      <c r="O467" s="14">
        <f>IF($A467="","",IF(INDEX('潜水記録'!$N$5:$N$3004,$AS467)="","",INDEX('潜水記録'!$N$5:$N$3004,$AS467)))</f>
        <v/>
      </c>
      <c r="P467" s="14">
        <f>IF($A467="","",IF(INDEX('潜水記録'!$O$5:$O$3004,$AS467)="","",INDEX('潜水記録'!$O$5:$O$3004,$AS467)))</f>
        <v/>
      </c>
      <c r="Q467" s="14">
        <f>IF($A467="","",IF(INDEX('潜水記録'!$P$5:$P$3004,$AS467)="","",INDEX('潜水記録'!$P$5:$P$3004,$AS467)))</f>
        <v/>
      </c>
      <c r="R467" s="14">
        <f>IF($A467="","",IF(INDEX('潜水記録'!$Q$5:$Q$3004,$AS467)="","",INDEX('潜水記録'!$Q$5:$Q$3004,$AS467)))</f>
        <v/>
      </c>
      <c r="S467" s="14">
        <f>IF($A467="","",IF(INDEX('潜水記録'!$R$5:$R$3004,$AS467)="","",INDEX('潜水記録'!$R$5:$R$3004,$AS467)))</f>
        <v/>
      </c>
      <c r="T467" s="14">
        <f>IF($A467="","",IF(INDEX('潜水記録'!$S$5:$S$3004,$AS467)="","",INDEX('潜水記録'!$S$5:$S$3004,$AS467)))</f>
        <v/>
      </c>
      <c r="U467" s="14">
        <f>IF($A467="","",IF(INDEX('潜水記録'!$T$5:$T$3004,$AS467)="","",INDEX('潜水記録'!$T$5:$T$3004,$AS467)))</f>
        <v/>
      </c>
      <c r="V467" s="46">
        <f>IF($A467="","",IF(INDEX('潜水記録'!$U$5:$U$3004,$AS467)="","",INDEX('潜水記録'!$U$5:$U$3004,$AS467)))</f>
        <v/>
      </c>
      <c r="W467" s="46">
        <f>IF($A467="","",IF(INDEX('潜水記録'!$V$5:$V$3004,$AS467)="","",INDEX('潜水記録'!$V$5:$V$3004,$AS467)))</f>
        <v/>
      </c>
      <c r="X467" s="14">
        <f>IF($A467="","",IF(INDEX('潜水記録'!$W$5:$W$3004,$AS467)="","",INDEX('潜水記録'!$W$5:$W$3004,$AS467)))</f>
        <v/>
      </c>
      <c r="Y467" s="14">
        <f>IF($A467="","",IF(INDEX('潜水記録'!$X$5:$X$3004,$AS467)="","",INDEX('潜水記録'!$X$5:$X$3004,$AS467)))</f>
        <v/>
      </c>
      <c r="Z467" s="14">
        <f>IF($A467="","",IF(INDEX('潜水記録'!$Y$5:$Y$3004,$AS467)="","",INDEX('潜水記録'!$Y$5:$Y$3004,$AS467)))</f>
        <v/>
      </c>
      <c r="AA467" s="14">
        <f>IF($A467="","",IF(INDEX('潜水記録'!$Z$5:$Z$3004,$AS467)="","",INDEX('潜水記録'!$Z$5:$Z$3004,$AS467)))</f>
        <v/>
      </c>
      <c r="AB467" s="14">
        <f>IF($A467="","",IF(INDEX('潜水記録'!$AA$5:$AA$3004,$AS467)="","",INDEX('潜水記録'!$AA$5:$AA$3004,$AS467)))</f>
        <v/>
      </c>
      <c r="AC467" s="14">
        <f>IF($A467="","",IF(INDEX('潜水記録'!$AB$5:$AB$3004,$AS467)="","",INDEX('潜水記録'!$AB$5:$AB$3004,$AS467)))</f>
        <v/>
      </c>
      <c r="AD467" s="14">
        <f>IF($A467="","",IF(INDEX('潜水記録'!$AC$5:$AC$3004,$AS467)="","",INDEX('潜水記録'!$AC$5:$AC$3004,$AS467)))</f>
        <v/>
      </c>
      <c r="AE467" s="14">
        <f>IF($A467="","",IF(INDEX('潜水記録'!$AD$5:$AD$3004,$AS467)="","",INDEX('潜水記録'!$AD$5:$AD$3004,$AS467)))</f>
        <v/>
      </c>
      <c r="AF467" s="14">
        <f>IF($A467="","",IF(INDEX('潜水記録'!$AE$5:$AE$3004,$AS467)="","",INDEX('潜水記録'!$AE$5:$AE$3004,$AS467)))</f>
        <v/>
      </c>
      <c r="AG467" s="14">
        <f>IF($A467="","",IF(INDEX('潜水記録'!$AL$5:$AL$3004,$AS467)="","",INDEX('潜水記録'!$AL$5:$AL$3004,$AS467)))</f>
        <v/>
      </c>
      <c r="AH467" s="14">
        <f>IF($A467="","",IF(INDEX('潜水記録'!$AM$5:$AM$3004,$AS467)="","",INDEX('潜水記録'!$AM$5:$AM$3004,$AS467)))</f>
        <v/>
      </c>
      <c r="AI467" s="46">
        <f>IF($A467="","",IF(INDEX('潜水記録'!$AN$5:$AN$3004,$AS467)="","",INDEX('潜水記録'!$AN$5:$AN$3004,$AS467)))</f>
        <v/>
      </c>
      <c r="AJ467" s="14">
        <f>IF($A467="","",IF(INDEX('潜水記録'!$AO$5:$AO$3004,$AS467)="","",INDEX('潜水記録'!$AO$5:$AO$3004,$AS467)))</f>
        <v/>
      </c>
      <c r="AK467" s="14">
        <f>IF($A467="","",IF(INDEX('潜水記録'!$AP$5:$AP$3004,$AS467)="","",INDEX('潜水記録'!$AP$5:$AP$3004,$AS467)))</f>
        <v/>
      </c>
      <c r="AL467" s="14">
        <f>IF($A467="","",IF(INDEX('潜水記録'!$AQ$5:$AQ$3004,$AS467)="","",INDEX('潜水記録'!$AQ$5:$AQ$3004,$AS467)))</f>
        <v/>
      </c>
      <c r="AM467" s="14">
        <f>IF($A467="","",IF(INDEX('潜水記録'!$AR$5:$AR$3004,$AS467)="","",INDEX('潜水記録'!$AR$5:$AR$3004,$AS467)))</f>
        <v/>
      </c>
      <c r="AN467" s="14">
        <f>IF($A467="","",IF(INDEX('潜水記録'!$AS$5:$AS$3004,$AS467)="","",INDEX('潜水記録'!$AS$5:$AS$3004,$AS467)))</f>
        <v/>
      </c>
      <c r="AO467" s="14">
        <f>IF($A467="","",IF(INDEX('潜水記録'!$AT$5:$AT$3004,$AS467)="","",INDEX('潜水記録'!$AT$5:$AT$3004,$AS467)))</f>
        <v/>
      </c>
      <c r="AP467" s="14">
        <f>IF($A467="","",IF(INDEX('潜水記録'!$AU$5:$AU$3004,$AS467)="","",INDEX('潜水記録'!$AU$5:$AU$3004,$AS467)))</f>
        <v/>
      </c>
      <c r="AQ467" s="14">
        <f>IF($A467="","",IF(INDEX('潜水記録'!$AV$5:$AV$3004,$AS467)="","",INDEX('潜水記録'!$AV$5:$AV$3004,$AS467)))</f>
        <v/>
      </c>
      <c r="AR467" s="14">
        <f>IF($A467="","",IF(INDEX('潜水記録'!$AW$5:$AW$3004,$AS467)="","",INDEX('潜水記録'!$AW$5:$AW$3004,$AS467)))</f>
        <v/>
      </c>
      <c r="AS467" s="20">
        <f>IF($A467="","",MATCH($A467,'潜水記録'!$AI$5:$AI$3004,0))</f>
        <v/>
      </c>
    </row>
    <row r="468">
      <c r="A468" s="14">
        <f>IF(458&lt;=$C$8,458,"")</f>
        <v/>
      </c>
      <c r="B468" s="16">
        <f>IF($A468="","",IF(INDEX('潜水記録'!$A$5:$A$3004,$AS468)="","",INDEX('潜水記録'!$A$5:$A$3004,$AS468)))</f>
        <v/>
      </c>
      <c r="C468" s="14">
        <f>IF($A468="","",IF(INDEX('潜水記録'!$B$5:$B$3004,$AS468)="","",INDEX('潜水記録'!$B$5:$B$3004,$AS468)))</f>
        <v/>
      </c>
      <c r="D468" s="14">
        <f>IF($A468="","",IF(INDEX('潜水記録'!$C$5:$C$3004,$AS468)="","",INDEX('潜水記録'!$C$5:$C$3004,$AS468)))</f>
        <v/>
      </c>
      <c r="E468" s="14">
        <f>IF($A468="","",IF(INDEX('潜水記録'!$D$5:$D$3004,$AS468)="","",INDEX('潜水記録'!$D$5:$D$3004,$AS468)))</f>
        <v/>
      </c>
      <c r="F468" s="14">
        <f>IF($A468="","",IF(INDEX('潜水記録'!$E$5:$E$3004,$AS468)="","",INDEX('潜水記録'!$E$5:$E$3004,$AS468)))</f>
        <v/>
      </c>
      <c r="G468" s="14">
        <f>IF($A468="","",IF(INDEX('潜水記録'!$F$5:$F$3004,$AS468)="","",INDEX('潜水記録'!$F$5:$F$3004,$AS468)))</f>
        <v/>
      </c>
      <c r="H468" s="14">
        <f>IF($A468="","",IF(INDEX('潜水記録'!$G$5:$G$3004,$AS468)="","",INDEX('潜水記録'!$G$5:$G$3004,$AS468)))</f>
        <v/>
      </c>
      <c r="I468" s="14">
        <f>IF($A468="","",IF(INDEX('潜水記録'!$H$5:$H$3004,$AS468)="","",INDEX('潜水記録'!$H$5:$H$3004,$AS468)))</f>
        <v/>
      </c>
      <c r="J468" s="14">
        <f>IF($A468="","",IF(INDEX('潜水記録'!$I$5:$I$3004,$AS468)="","",INDEX('潜水記録'!$I$5:$I$3004,$AS468)))</f>
        <v/>
      </c>
      <c r="K468" s="14">
        <f>IF($A468="","",IF(INDEX('潜水記録'!$J$5:$J$3004,$AS468)="","",INDEX('潜水記録'!$J$5:$J$3004,$AS468)))</f>
        <v/>
      </c>
      <c r="L468" s="14">
        <f>IF($A468="","",IF(INDEX('潜水記録'!$K$5:$K$3004,$AS468)="","",INDEX('潜水記録'!$K$5:$K$3004,$AS468)))</f>
        <v/>
      </c>
      <c r="M468" s="14">
        <f>IF($A468="","",IF(INDEX('潜水記録'!$L$5:$L$3004,$AS468)="","",INDEX('潜水記録'!$L$5:$L$3004,$AS468)))</f>
        <v/>
      </c>
      <c r="N468" s="14">
        <f>IF($A468="","",IF(INDEX('潜水記録'!$M$5:$M$3004,$AS468)="","",INDEX('潜水記録'!$M$5:$M$3004,$AS468)))</f>
        <v/>
      </c>
      <c r="O468" s="14">
        <f>IF($A468="","",IF(INDEX('潜水記録'!$N$5:$N$3004,$AS468)="","",INDEX('潜水記録'!$N$5:$N$3004,$AS468)))</f>
        <v/>
      </c>
      <c r="P468" s="14">
        <f>IF($A468="","",IF(INDEX('潜水記録'!$O$5:$O$3004,$AS468)="","",INDEX('潜水記録'!$O$5:$O$3004,$AS468)))</f>
        <v/>
      </c>
      <c r="Q468" s="14">
        <f>IF($A468="","",IF(INDEX('潜水記録'!$P$5:$P$3004,$AS468)="","",INDEX('潜水記録'!$P$5:$P$3004,$AS468)))</f>
        <v/>
      </c>
      <c r="R468" s="14">
        <f>IF($A468="","",IF(INDEX('潜水記録'!$Q$5:$Q$3004,$AS468)="","",INDEX('潜水記録'!$Q$5:$Q$3004,$AS468)))</f>
        <v/>
      </c>
      <c r="S468" s="14">
        <f>IF($A468="","",IF(INDEX('潜水記録'!$R$5:$R$3004,$AS468)="","",INDEX('潜水記録'!$R$5:$R$3004,$AS468)))</f>
        <v/>
      </c>
      <c r="T468" s="14">
        <f>IF($A468="","",IF(INDEX('潜水記録'!$S$5:$S$3004,$AS468)="","",INDEX('潜水記録'!$S$5:$S$3004,$AS468)))</f>
        <v/>
      </c>
      <c r="U468" s="14">
        <f>IF($A468="","",IF(INDEX('潜水記録'!$T$5:$T$3004,$AS468)="","",INDEX('潜水記録'!$T$5:$T$3004,$AS468)))</f>
        <v/>
      </c>
      <c r="V468" s="46">
        <f>IF($A468="","",IF(INDEX('潜水記録'!$U$5:$U$3004,$AS468)="","",INDEX('潜水記録'!$U$5:$U$3004,$AS468)))</f>
        <v/>
      </c>
      <c r="W468" s="46">
        <f>IF($A468="","",IF(INDEX('潜水記録'!$V$5:$V$3004,$AS468)="","",INDEX('潜水記録'!$V$5:$V$3004,$AS468)))</f>
        <v/>
      </c>
      <c r="X468" s="14">
        <f>IF($A468="","",IF(INDEX('潜水記録'!$W$5:$W$3004,$AS468)="","",INDEX('潜水記録'!$W$5:$W$3004,$AS468)))</f>
        <v/>
      </c>
      <c r="Y468" s="14">
        <f>IF($A468="","",IF(INDEX('潜水記録'!$X$5:$X$3004,$AS468)="","",INDEX('潜水記録'!$X$5:$X$3004,$AS468)))</f>
        <v/>
      </c>
      <c r="Z468" s="14">
        <f>IF($A468="","",IF(INDEX('潜水記録'!$Y$5:$Y$3004,$AS468)="","",INDEX('潜水記録'!$Y$5:$Y$3004,$AS468)))</f>
        <v/>
      </c>
      <c r="AA468" s="14">
        <f>IF($A468="","",IF(INDEX('潜水記録'!$Z$5:$Z$3004,$AS468)="","",INDEX('潜水記録'!$Z$5:$Z$3004,$AS468)))</f>
        <v/>
      </c>
      <c r="AB468" s="14">
        <f>IF($A468="","",IF(INDEX('潜水記録'!$AA$5:$AA$3004,$AS468)="","",INDEX('潜水記録'!$AA$5:$AA$3004,$AS468)))</f>
        <v/>
      </c>
      <c r="AC468" s="14">
        <f>IF($A468="","",IF(INDEX('潜水記録'!$AB$5:$AB$3004,$AS468)="","",INDEX('潜水記録'!$AB$5:$AB$3004,$AS468)))</f>
        <v/>
      </c>
      <c r="AD468" s="14">
        <f>IF($A468="","",IF(INDEX('潜水記録'!$AC$5:$AC$3004,$AS468)="","",INDEX('潜水記録'!$AC$5:$AC$3004,$AS468)))</f>
        <v/>
      </c>
      <c r="AE468" s="14">
        <f>IF($A468="","",IF(INDEX('潜水記録'!$AD$5:$AD$3004,$AS468)="","",INDEX('潜水記録'!$AD$5:$AD$3004,$AS468)))</f>
        <v/>
      </c>
      <c r="AF468" s="14">
        <f>IF($A468="","",IF(INDEX('潜水記録'!$AE$5:$AE$3004,$AS468)="","",INDEX('潜水記録'!$AE$5:$AE$3004,$AS468)))</f>
        <v/>
      </c>
      <c r="AG468" s="14">
        <f>IF($A468="","",IF(INDEX('潜水記録'!$AL$5:$AL$3004,$AS468)="","",INDEX('潜水記録'!$AL$5:$AL$3004,$AS468)))</f>
        <v/>
      </c>
      <c r="AH468" s="14">
        <f>IF($A468="","",IF(INDEX('潜水記録'!$AM$5:$AM$3004,$AS468)="","",INDEX('潜水記録'!$AM$5:$AM$3004,$AS468)))</f>
        <v/>
      </c>
      <c r="AI468" s="46">
        <f>IF($A468="","",IF(INDEX('潜水記録'!$AN$5:$AN$3004,$AS468)="","",INDEX('潜水記録'!$AN$5:$AN$3004,$AS468)))</f>
        <v/>
      </c>
      <c r="AJ468" s="14">
        <f>IF($A468="","",IF(INDEX('潜水記録'!$AO$5:$AO$3004,$AS468)="","",INDEX('潜水記録'!$AO$5:$AO$3004,$AS468)))</f>
        <v/>
      </c>
      <c r="AK468" s="14">
        <f>IF($A468="","",IF(INDEX('潜水記録'!$AP$5:$AP$3004,$AS468)="","",INDEX('潜水記録'!$AP$5:$AP$3004,$AS468)))</f>
        <v/>
      </c>
      <c r="AL468" s="14">
        <f>IF($A468="","",IF(INDEX('潜水記録'!$AQ$5:$AQ$3004,$AS468)="","",INDEX('潜水記録'!$AQ$5:$AQ$3004,$AS468)))</f>
        <v/>
      </c>
      <c r="AM468" s="14">
        <f>IF($A468="","",IF(INDEX('潜水記録'!$AR$5:$AR$3004,$AS468)="","",INDEX('潜水記録'!$AR$5:$AR$3004,$AS468)))</f>
        <v/>
      </c>
      <c r="AN468" s="14">
        <f>IF($A468="","",IF(INDEX('潜水記録'!$AS$5:$AS$3004,$AS468)="","",INDEX('潜水記録'!$AS$5:$AS$3004,$AS468)))</f>
        <v/>
      </c>
      <c r="AO468" s="14">
        <f>IF($A468="","",IF(INDEX('潜水記録'!$AT$5:$AT$3004,$AS468)="","",INDEX('潜水記録'!$AT$5:$AT$3004,$AS468)))</f>
        <v/>
      </c>
      <c r="AP468" s="14">
        <f>IF($A468="","",IF(INDEX('潜水記録'!$AU$5:$AU$3004,$AS468)="","",INDEX('潜水記録'!$AU$5:$AU$3004,$AS468)))</f>
        <v/>
      </c>
      <c r="AQ468" s="14">
        <f>IF($A468="","",IF(INDEX('潜水記録'!$AV$5:$AV$3004,$AS468)="","",INDEX('潜水記録'!$AV$5:$AV$3004,$AS468)))</f>
        <v/>
      </c>
      <c r="AR468" s="14">
        <f>IF($A468="","",IF(INDEX('潜水記録'!$AW$5:$AW$3004,$AS468)="","",INDEX('潜水記録'!$AW$5:$AW$3004,$AS468)))</f>
        <v/>
      </c>
      <c r="AS468" s="20">
        <f>IF($A468="","",MATCH($A468,'潜水記録'!$AI$5:$AI$3004,0))</f>
        <v/>
      </c>
    </row>
    <row r="469">
      <c r="A469" s="14">
        <f>IF(459&lt;=$C$8,459,"")</f>
        <v/>
      </c>
      <c r="B469" s="16">
        <f>IF($A469="","",IF(INDEX('潜水記録'!$A$5:$A$3004,$AS469)="","",INDEX('潜水記録'!$A$5:$A$3004,$AS469)))</f>
        <v/>
      </c>
      <c r="C469" s="14">
        <f>IF($A469="","",IF(INDEX('潜水記録'!$B$5:$B$3004,$AS469)="","",INDEX('潜水記録'!$B$5:$B$3004,$AS469)))</f>
        <v/>
      </c>
      <c r="D469" s="14">
        <f>IF($A469="","",IF(INDEX('潜水記録'!$C$5:$C$3004,$AS469)="","",INDEX('潜水記録'!$C$5:$C$3004,$AS469)))</f>
        <v/>
      </c>
      <c r="E469" s="14">
        <f>IF($A469="","",IF(INDEX('潜水記録'!$D$5:$D$3004,$AS469)="","",INDEX('潜水記録'!$D$5:$D$3004,$AS469)))</f>
        <v/>
      </c>
      <c r="F469" s="14">
        <f>IF($A469="","",IF(INDEX('潜水記録'!$E$5:$E$3004,$AS469)="","",INDEX('潜水記録'!$E$5:$E$3004,$AS469)))</f>
        <v/>
      </c>
      <c r="G469" s="14">
        <f>IF($A469="","",IF(INDEX('潜水記録'!$F$5:$F$3004,$AS469)="","",INDEX('潜水記録'!$F$5:$F$3004,$AS469)))</f>
        <v/>
      </c>
      <c r="H469" s="14">
        <f>IF($A469="","",IF(INDEX('潜水記録'!$G$5:$G$3004,$AS469)="","",INDEX('潜水記録'!$G$5:$G$3004,$AS469)))</f>
        <v/>
      </c>
      <c r="I469" s="14">
        <f>IF($A469="","",IF(INDEX('潜水記録'!$H$5:$H$3004,$AS469)="","",INDEX('潜水記録'!$H$5:$H$3004,$AS469)))</f>
        <v/>
      </c>
      <c r="J469" s="14">
        <f>IF($A469="","",IF(INDEX('潜水記録'!$I$5:$I$3004,$AS469)="","",INDEX('潜水記録'!$I$5:$I$3004,$AS469)))</f>
        <v/>
      </c>
      <c r="K469" s="14">
        <f>IF($A469="","",IF(INDEX('潜水記録'!$J$5:$J$3004,$AS469)="","",INDEX('潜水記録'!$J$5:$J$3004,$AS469)))</f>
        <v/>
      </c>
      <c r="L469" s="14">
        <f>IF($A469="","",IF(INDEX('潜水記録'!$K$5:$K$3004,$AS469)="","",INDEX('潜水記録'!$K$5:$K$3004,$AS469)))</f>
        <v/>
      </c>
      <c r="M469" s="14">
        <f>IF($A469="","",IF(INDEX('潜水記録'!$L$5:$L$3004,$AS469)="","",INDEX('潜水記録'!$L$5:$L$3004,$AS469)))</f>
        <v/>
      </c>
      <c r="N469" s="14">
        <f>IF($A469="","",IF(INDEX('潜水記録'!$M$5:$M$3004,$AS469)="","",INDEX('潜水記録'!$M$5:$M$3004,$AS469)))</f>
        <v/>
      </c>
      <c r="O469" s="14">
        <f>IF($A469="","",IF(INDEX('潜水記録'!$N$5:$N$3004,$AS469)="","",INDEX('潜水記録'!$N$5:$N$3004,$AS469)))</f>
        <v/>
      </c>
      <c r="P469" s="14">
        <f>IF($A469="","",IF(INDEX('潜水記録'!$O$5:$O$3004,$AS469)="","",INDEX('潜水記録'!$O$5:$O$3004,$AS469)))</f>
        <v/>
      </c>
      <c r="Q469" s="14">
        <f>IF($A469="","",IF(INDEX('潜水記録'!$P$5:$P$3004,$AS469)="","",INDEX('潜水記録'!$P$5:$P$3004,$AS469)))</f>
        <v/>
      </c>
      <c r="R469" s="14">
        <f>IF($A469="","",IF(INDEX('潜水記録'!$Q$5:$Q$3004,$AS469)="","",INDEX('潜水記録'!$Q$5:$Q$3004,$AS469)))</f>
        <v/>
      </c>
      <c r="S469" s="14">
        <f>IF($A469="","",IF(INDEX('潜水記録'!$R$5:$R$3004,$AS469)="","",INDEX('潜水記録'!$R$5:$R$3004,$AS469)))</f>
        <v/>
      </c>
      <c r="T469" s="14">
        <f>IF($A469="","",IF(INDEX('潜水記録'!$S$5:$S$3004,$AS469)="","",INDEX('潜水記録'!$S$5:$S$3004,$AS469)))</f>
        <v/>
      </c>
      <c r="U469" s="14">
        <f>IF($A469="","",IF(INDEX('潜水記録'!$T$5:$T$3004,$AS469)="","",INDEX('潜水記録'!$T$5:$T$3004,$AS469)))</f>
        <v/>
      </c>
      <c r="V469" s="46">
        <f>IF($A469="","",IF(INDEX('潜水記録'!$U$5:$U$3004,$AS469)="","",INDEX('潜水記録'!$U$5:$U$3004,$AS469)))</f>
        <v/>
      </c>
      <c r="W469" s="46">
        <f>IF($A469="","",IF(INDEX('潜水記録'!$V$5:$V$3004,$AS469)="","",INDEX('潜水記録'!$V$5:$V$3004,$AS469)))</f>
        <v/>
      </c>
      <c r="X469" s="14">
        <f>IF($A469="","",IF(INDEX('潜水記録'!$W$5:$W$3004,$AS469)="","",INDEX('潜水記録'!$W$5:$W$3004,$AS469)))</f>
        <v/>
      </c>
      <c r="Y469" s="14">
        <f>IF($A469="","",IF(INDEX('潜水記録'!$X$5:$X$3004,$AS469)="","",INDEX('潜水記録'!$X$5:$X$3004,$AS469)))</f>
        <v/>
      </c>
      <c r="Z469" s="14">
        <f>IF($A469="","",IF(INDEX('潜水記録'!$Y$5:$Y$3004,$AS469)="","",INDEX('潜水記録'!$Y$5:$Y$3004,$AS469)))</f>
        <v/>
      </c>
      <c r="AA469" s="14">
        <f>IF($A469="","",IF(INDEX('潜水記録'!$Z$5:$Z$3004,$AS469)="","",INDEX('潜水記録'!$Z$5:$Z$3004,$AS469)))</f>
        <v/>
      </c>
      <c r="AB469" s="14">
        <f>IF($A469="","",IF(INDEX('潜水記録'!$AA$5:$AA$3004,$AS469)="","",INDEX('潜水記録'!$AA$5:$AA$3004,$AS469)))</f>
        <v/>
      </c>
      <c r="AC469" s="14">
        <f>IF($A469="","",IF(INDEX('潜水記録'!$AB$5:$AB$3004,$AS469)="","",INDEX('潜水記録'!$AB$5:$AB$3004,$AS469)))</f>
        <v/>
      </c>
      <c r="AD469" s="14">
        <f>IF($A469="","",IF(INDEX('潜水記録'!$AC$5:$AC$3004,$AS469)="","",INDEX('潜水記録'!$AC$5:$AC$3004,$AS469)))</f>
        <v/>
      </c>
      <c r="AE469" s="14">
        <f>IF($A469="","",IF(INDEX('潜水記録'!$AD$5:$AD$3004,$AS469)="","",INDEX('潜水記録'!$AD$5:$AD$3004,$AS469)))</f>
        <v/>
      </c>
      <c r="AF469" s="14">
        <f>IF($A469="","",IF(INDEX('潜水記録'!$AE$5:$AE$3004,$AS469)="","",INDEX('潜水記録'!$AE$5:$AE$3004,$AS469)))</f>
        <v/>
      </c>
      <c r="AG469" s="14">
        <f>IF($A469="","",IF(INDEX('潜水記録'!$AL$5:$AL$3004,$AS469)="","",INDEX('潜水記録'!$AL$5:$AL$3004,$AS469)))</f>
        <v/>
      </c>
      <c r="AH469" s="14">
        <f>IF($A469="","",IF(INDEX('潜水記録'!$AM$5:$AM$3004,$AS469)="","",INDEX('潜水記録'!$AM$5:$AM$3004,$AS469)))</f>
        <v/>
      </c>
      <c r="AI469" s="46">
        <f>IF($A469="","",IF(INDEX('潜水記録'!$AN$5:$AN$3004,$AS469)="","",INDEX('潜水記録'!$AN$5:$AN$3004,$AS469)))</f>
        <v/>
      </c>
      <c r="AJ469" s="14">
        <f>IF($A469="","",IF(INDEX('潜水記録'!$AO$5:$AO$3004,$AS469)="","",INDEX('潜水記録'!$AO$5:$AO$3004,$AS469)))</f>
        <v/>
      </c>
      <c r="AK469" s="14">
        <f>IF($A469="","",IF(INDEX('潜水記録'!$AP$5:$AP$3004,$AS469)="","",INDEX('潜水記録'!$AP$5:$AP$3004,$AS469)))</f>
        <v/>
      </c>
      <c r="AL469" s="14">
        <f>IF($A469="","",IF(INDEX('潜水記録'!$AQ$5:$AQ$3004,$AS469)="","",INDEX('潜水記録'!$AQ$5:$AQ$3004,$AS469)))</f>
        <v/>
      </c>
      <c r="AM469" s="14">
        <f>IF($A469="","",IF(INDEX('潜水記録'!$AR$5:$AR$3004,$AS469)="","",INDEX('潜水記録'!$AR$5:$AR$3004,$AS469)))</f>
        <v/>
      </c>
      <c r="AN469" s="14">
        <f>IF($A469="","",IF(INDEX('潜水記録'!$AS$5:$AS$3004,$AS469)="","",INDEX('潜水記録'!$AS$5:$AS$3004,$AS469)))</f>
        <v/>
      </c>
      <c r="AO469" s="14">
        <f>IF($A469="","",IF(INDEX('潜水記録'!$AT$5:$AT$3004,$AS469)="","",INDEX('潜水記録'!$AT$5:$AT$3004,$AS469)))</f>
        <v/>
      </c>
      <c r="AP469" s="14">
        <f>IF($A469="","",IF(INDEX('潜水記録'!$AU$5:$AU$3004,$AS469)="","",INDEX('潜水記録'!$AU$5:$AU$3004,$AS469)))</f>
        <v/>
      </c>
      <c r="AQ469" s="14">
        <f>IF($A469="","",IF(INDEX('潜水記録'!$AV$5:$AV$3004,$AS469)="","",INDEX('潜水記録'!$AV$5:$AV$3004,$AS469)))</f>
        <v/>
      </c>
      <c r="AR469" s="14">
        <f>IF($A469="","",IF(INDEX('潜水記録'!$AW$5:$AW$3004,$AS469)="","",INDEX('潜水記録'!$AW$5:$AW$3004,$AS469)))</f>
        <v/>
      </c>
      <c r="AS469" s="20">
        <f>IF($A469="","",MATCH($A469,'潜水記録'!$AI$5:$AI$3004,0))</f>
        <v/>
      </c>
    </row>
    <row r="470">
      <c r="A470" s="14">
        <f>IF(460&lt;=$C$8,460,"")</f>
        <v/>
      </c>
      <c r="B470" s="16">
        <f>IF($A470="","",IF(INDEX('潜水記録'!$A$5:$A$3004,$AS470)="","",INDEX('潜水記録'!$A$5:$A$3004,$AS470)))</f>
        <v/>
      </c>
      <c r="C470" s="14">
        <f>IF($A470="","",IF(INDEX('潜水記録'!$B$5:$B$3004,$AS470)="","",INDEX('潜水記録'!$B$5:$B$3004,$AS470)))</f>
        <v/>
      </c>
      <c r="D470" s="14">
        <f>IF($A470="","",IF(INDEX('潜水記録'!$C$5:$C$3004,$AS470)="","",INDEX('潜水記録'!$C$5:$C$3004,$AS470)))</f>
        <v/>
      </c>
      <c r="E470" s="14">
        <f>IF($A470="","",IF(INDEX('潜水記録'!$D$5:$D$3004,$AS470)="","",INDEX('潜水記録'!$D$5:$D$3004,$AS470)))</f>
        <v/>
      </c>
      <c r="F470" s="14">
        <f>IF($A470="","",IF(INDEX('潜水記録'!$E$5:$E$3004,$AS470)="","",INDEX('潜水記録'!$E$5:$E$3004,$AS470)))</f>
        <v/>
      </c>
      <c r="G470" s="14">
        <f>IF($A470="","",IF(INDEX('潜水記録'!$F$5:$F$3004,$AS470)="","",INDEX('潜水記録'!$F$5:$F$3004,$AS470)))</f>
        <v/>
      </c>
      <c r="H470" s="14">
        <f>IF($A470="","",IF(INDEX('潜水記録'!$G$5:$G$3004,$AS470)="","",INDEX('潜水記録'!$G$5:$G$3004,$AS470)))</f>
        <v/>
      </c>
      <c r="I470" s="14">
        <f>IF($A470="","",IF(INDEX('潜水記録'!$H$5:$H$3004,$AS470)="","",INDEX('潜水記録'!$H$5:$H$3004,$AS470)))</f>
        <v/>
      </c>
      <c r="J470" s="14">
        <f>IF($A470="","",IF(INDEX('潜水記録'!$I$5:$I$3004,$AS470)="","",INDEX('潜水記録'!$I$5:$I$3004,$AS470)))</f>
        <v/>
      </c>
      <c r="K470" s="14">
        <f>IF($A470="","",IF(INDEX('潜水記録'!$J$5:$J$3004,$AS470)="","",INDEX('潜水記録'!$J$5:$J$3004,$AS470)))</f>
        <v/>
      </c>
      <c r="L470" s="14">
        <f>IF($A470="","",IF(INDEX('潜水記録'!$K$5:$K$3004,$AS470)="","",INDEX('潜水記録'!$K$5:$K$3004,$AS470)))</f>
        <v/>
      </c>
      <c r="M470" s="14">
        <f>IF($A470="","",IF(INDEX('潜水記録'!$L$5:$L$3004,$AS470)="","",INDEX('潜水記録'!$L$5:$L$3004,$AS470)))</f>
        <v/>
      </c>
      <c r="N470" s="14">
        <f>IF($A470="","",IF(INDEX('潜水記録'!$M$5:$M$3004,$AS470)="","",INDEX('潜水記録'!$M$5:$M$3004,$AS470)))</f>
        <v/>
      </c>
      <c r="O470" s="14">
        <f>IF($A470="","",IF(INDEX('潜水記録'!$N$5:$N$3004,$AS470)="","",INDEX('潜水記録'!$N$5:$N$3004,$AS470)))</f>
        <v/>
      </c>
      <c r="P470" s="14">
        <f>IF($A470="","",IF(INDEX('潜水記録'!$O$5:$O$3004,$AS470)="","",INDEX('潜水記録'!$O$5:$O$3004,$AS470)))</f>
        <v/>
      </c>
      <c r="Q470" s="14">
        <f>IF($A470="","",IF(INDEX('潜水記録'!$P$5:$P$3004,$AS470)="","",INDEX('潜水記録'!$P$5:$P$3004,$AS470)))</f>
        <v/>
      </c>
      <c r="R470" s="14">
        <f>IF($A470="","",IF(INDEX('潜水記録'!$Q$5:$Q$3004,$AS470)="","",INDEX('潜水記録'!$Q$5:$Q$3004,$AS470)))</f>
        <v/>
      </c>
      <c r="S470" s="14">
        <f>IF($A470="","",IF(INDEX('潜水記録'!$R$5:$R$3004,$AS470)="","",INDEX('潜水記録'!$R$5:$R$3004,$AS470)))</f>
        <v/>
      </c>
      <c r="T470" s="14">
        <f>IF($A470="","",IF(INDEX('潜水記録'!$S$5:$S$3004,$AS470)="","",INDEX('潜水記録'!$S$5:$S$3004,$AS470)))</f>
        <v/>
      </c>
      <c r="U470" s="14">
        <f>IF($A470="","",IF(INDEX('潜水記録'!$T$5:$T$3004,$AS470)="","",INDEX('潜水記録'!$T$5:$T$3004,$AS470)))</f>
        <v/>
      </c>
      <c r="V470" s="46">
        <f>IF($A470="","",IF(INDEX('潜水記録'!$U$5:$U$3004,$AS470)="","",INDEX('潜水記録'!$U$5:$U$3004,$AS470)))</f>
        <v/>
      </c>
      <c r="W470" s="46">
        <f>IF($A470="","",IF(INDEX('潜水記録'!$V$5:$V$3004,$AS470)="","",INDEX('潜水記録'!$V$5:$V$3004,$AS470)))</f>
        <v/>
      </c>
      <c r="X470" s="14">
        <f>IF($A470="","",IF(INDEX('潜水記録'!$W$5:$W$3004,$AS470)="","",INDEX('潜水記録'!$W$5:$W$3004,$AS470)))</f>
        <v/>
      </c>
      <c r="Y470" s="14">
        <f>IF($A470="","",IF(INDEX('潜水記録'!$X$5:$X$3004,$AS470)="","",INDEX('潜水記録'!$X$5:$X$3004,$AS470)))</f>
        <v/>
      </c>
      <c r="Z470" s="14">
        <f>IF($A470="","",IF(INDEX('潜水記録'!$Y$5:$Y$3004,$AS470)="","",INDEX('潜水記録'!$Y$5:$Y$3004,$AS470)))</f>
        <v/>
      </c>
      <c r="AA470" s="14">
        <f>IF($A470="","",IF(INDEX('潜水記録'!$Z$5:$Z$3004,$AS470)="","",INDEX('潜水記録'!$Z$5:$Z$3004,$AS470)))</f>
        <v/>
      </c>
      <c r="AB470" s="14">
        <f>IF($A470="","",IF(INDEX('潜水記録'!$AA$5:$AA$3004,$AS470)="","",INDEX('潜水記録'!$AA$5:$AA$3004,$AS470)))</f>
        <v/>
      </c>
      <c r="AC470" s="14">
        <f>IF($A470="","",IF(INDEX('潜水記録'!$AB$5:$AB$3004,$AS470)="","",INDEX('潜水記録'!$AB$5:$AB$3004,$AS470)))</f>
        <v/>
      </c>
      <c r="AD470" s="14">
        <f>IF($A470="","",IF(INDEX('潜水記録'!$AC$5:$AC$3004,$AS470)="","",INDEX('潜水記録'!$AC$5:$AC$3004,$AS470)))</f>
        <v/>
      </c>
      <c r="AE470" s="14">
        <f>IF($A470="","",IF(INDEX('潜水記録'!$AD$5:$AD$3004,$AS470)="","",INDEX('潜水記録'!$AD$5:$AD$3004,$AS470)))</f>
        <v/>
      </c>
      <c r="AF470" s="14">
        <f>IF($A470="","",IF(INDEX('潜水記録'!$AE$5:$AE$3004,$AS470)="","",INDEX('潜水記録'!$AE$5:$AE$3004,$AS470)))</f>
        <v/>
      </c>
      <c r="AG470" s="14">
        <f>IF($A470="","",IF(INDEX('潜水記録'!$AL$5:$AL$3004,$AS470)="","",INDEX('潜水記録'!$AL$5:$AL$3004,$AS470)))</f>
        <v/>
      </c>
      <c r="AH470" s="14">
        <f>IF($A470="","",IF(INDEX('潜水記録'!$AM$5:$AM$3004,$AS470)="","",INDEX('潜水記録'!$AM$5:$AM$3004,$AS470)))</f>
        <v/>
      </c>
      <c r="AI470" s="46">
        <f>IF($A470="","",IF(INDEX('潜水記録'!$AN$5:$AN$3004,$AS470)="","",INDEX('潜水記録'!$AN$5:$AN$3004,$AS470)))</f>
        <v/>
      </c>
      <c r="AJ470" s="14">
        <f>IF($A470="","",IF(INDEX('潜水記録'!$AO$5:$AO$3004,$AS470)="","",INDEX('潜水記録'!$AO$5:$AO$3004,$AS470)))</f>
        <v/>
      </c>
      <c r="AK470" s="14">
        <f>IF($A470="","",IF(INDEX('潜水記録'!$AP$5:$AP$3004,$AS470)="","",INDEX('潜水記録'!$AP$5:$AP$3004,$AS470)))</f>
        <v/>
      </c>
      <c r="AL470" s="14">
        <f>IF($A470="","",IF(INDEX('潜水記録'!$AQ$5:$AQ$3004,$AS470)="","",INDEX('潜水記録'!$AQ$5:$AQ$3004,$AS470)))</f>
        <v/>
      </c>
      <c r="AM470" s="14">
        <f>IF($A470="","",IF(INDEX('潜水記録'!$AR$5:$AR$3004,$AS470)="","",INDEX('潜水記録'!$AR$5:$AR$3004,$AS470)))</f>
        <v/>
      </c>
      <c r="AN470" s="14">
        <f>IF($A470="","",IF(INDEX('潜水記録'!$AS$5:$AS$3004,$AS470)="","",INDEX('潜水記録'!$AS$5:$AS$3004,$AS470)))</f>
        <v/>
      </c>
      <c r="AO470" s="14">
        <f>IF($A470="","",IF(INDEX('潜水記録'!$AT$5:$AT$3004,$AS470)="","",INDEX('潜水記録'!$AT$5:$AT$3004,$AS470)))</f>
        <v/>
      </c>
      <c r="AP470" s="14">
        <f>IF($A470="","",IF(INDEX('潜水記録'!$AU$5:$AU$3004,$AS470)="","",INDEX('潜水記録'!$AU$5:$AU$3004,$AS470)))</f>
        <v/>
      </c>
      <c r="AQ470" s="14">
        <f>IF($A470="","",IF(INDEX('潜水記録'!$AV$5:$AV$3004,$AS470)="","",INDEX('潜水記録'!$AV$5:$AV$3004,$AS470)))</f>
        <v/>
      </c>
      <c r="AR470" s="14">
        <f>IF($A470="","",IF(INDEX('潜水記録'!$AW$5:$AW$3004,$AS470)="","",INDEX('潜水記録'!$AW$5:$AW$3004,$AS470)))</f>
        <v/>
      </c>
      <c r="AS470" s="20">
        <f>IF($A470="","",MATCH($A470,'潜水記録'!$AI$5:$AI$3004,0))</f>
        <v/>
      </c>
    </row>
    <row r="471">
      <c r="A471" s="14">
        <f>IF(461&lt;=$C$8,461,"")</f>
        <v/>
      </c>
      <c r="B471" s="16">
        <f>IF($A471="","",IF(INDEX('潜水記録'!$A$5:$A$3004,$AS471)="","",INDEX('潜水記録'!$A$5:$A$3004,$AS471)))</f>
        <v/>
      </c>
      <c r="C471" s="14">
        <f>IF($A471="","",IF(INDEX('潜水記録'!$B$5:$B$3004,$AS471)="","",INDEX('潜水記録'!$B$5:$B$3004,$AS471)))</f>
        <v/>
      </c>
      <c r="D471" s="14">
        <f>IF($A471="","",IF(INDEX('潜水記録'!$C$5:$C$3004,$AS471)="","",INDEX('潜水記録'!$C$5:$C$3004,$AS471)))</f>
        <v/>
      </c>
      <c r="E471" s="14">
        <f>IF($A471="","",IF(INDEX('潜水記録'!$D$5:$D$3004,$AS471)="","",INDEX('潜水記録'!$D$5:$D$3004,$AS471)))</f>
        <v/>
      </c>
      <c r="F471" s="14">
        <f>IF($A471="","",IF(INDEX('潜水記録'!$E$5:$E$3004,$AS471)="","",INDEX('潜水記録'!$E$5:$E$3004,$AS471)))</f>
        <v/>
      </c>
      <c r="G471" s="14">
        <f>IF($A471="","",IF(INDEX('潜水記録'!$F$5:$F$3004,$AS471)="","",INDEX('潜水記録'!$F$5:$F$3004,$AS471)))</f>
        <v/>
      </c>
      <c r="H471" s="14">
        <f>IF($A471="","",IF(INDEX('潜水記録'!$G$5:$G$3004,$AS471)="","",INDEX('潜水記録'!$G$5:$G$3004,$AS471)))</f>
        <v/>
      </c>
      <c r="I471" s="14">
        <f>IF($A471="","",IF(INDEX('潜水記録'!$H$5:$H$3004,$AS471)="","",INDEX('潜水記録'!$H$5:$H$3004,$AS471)))</f>
        <v/>
      </c>
      <c r="J471" s="14">
        <f>IF($A471="","",IF(INDEX('潜水記録'!$I$5:$I$3004,$AS471)="","",INDEX('潜水記録'!$I$5:$I$3004,$AS471)))</f>
        <v/>
      </c>
      <c r="K471" s="14">
        <f>IF($A471="","",IF(INDEX('潜水記録'!$J$5:$J$3004,$AS471)="","",INDEX('潜水記録'!$J$5:$J$3004,$AS471)))</f>
        <v/>
      </c>
      <c r="L471" s="14">
        <f>IF($A471="","",IF(INDEX('潜水記録'!$K$5:$K$3004,$AS471)="","",INDEX('潜水記録'!$K$5:$K$3004,$AS471)))</f>
        <v/>
      </c>
      <c r="M471" s="14">
        <f>IF($A471="","",IF(INDEX('潜水記録'!$L$5:$L$3004,$AS471)="","",INDEX('潜水記録'!$L$5:$L$3004,$AS471)))</f>
        <v/>
      </c>
      <c r="N471" s="14">
        <f>IF($A471="","",IF(INDEX('潜水記録'!$M$5:$M$3004,$AS471)="","",INDEX('潜水記録'!$M$5:$M$3004,$AS471)))</f>
        <v/>
      </c>
      <c r="O471" s="14">
        <f>IF($A471="","",IF(INDEX('潜水記録'!$N$5:$N$3004,$AS471)="","",INDEX('潜水記録'!$N$5:$N$3004,$AS471)))</f>
        <v/>
      </c>
      <c r="P471" s="14">
        <f>IF($A471="","",IF(INDEX('潜水記録'!$O$5:$O$3004,$AS471)="","",INDEX('潜水記録'!$O$5:$O$3004,$AS471)))</f>
        <v/>
      </c>
      <c r="Q471" s="14">
        <f>IF($A471="","",IF(INDEX('潜水記録'!$P$5:$P$3004,$AS471)="","",INDEX('潜水記録'!$P$5:$P$3004,$AS471)))</f>
        <v/>
      </c>
      <c r="R471" s="14">
        <f>IF($A471="","",IF(INDEX('潜水記録'!$Q$5:$Q$3004,$AS471)="","",INDEX('潜水記録'!$Q$5:$Q$3004,$AS471)))</f>
        <v/>
      </c>
      <c r="S471" s="14">
        <f>IF($A471="","",IF(INDEX('潜水記録'!$R$5:$R$3004,$AS471)="","",INDEX('潜水記録'!$R$5:$R$3004,$AS471)))</f>
        <v/>
      </c>
      <c r="T471" s="14">
        <f>IF($A471="","",IF(INDEX('潜水記録'!$S$5:$S$3004,$AS471)="","",INDEX('潜水記録'!$S$5:$S$3004,$AS471)))</f>
        <v/>
      </c>
      <c r="U471" s="14">
        <f>IF($A471="","",IF(INDEX('潜水記録'!$T$5:$T$3004,$AS471)="","",INDEX('潜水記録'!$T$5:$T$3004,$AS471)))</f>
        <v/>
      </c>
      <c r="V471" s="46">
        <f>IF($A471="","",IF(INDEX('潜水記録'!$U$5:$U$3004,$AS471)="","",INDEX('潜水記録'!$U$5:$U$3004,$AS471)))</f>
        <v/>
      </c>
      <c r="W471" s="46">
        <f>IF($A471="","",IF(INDEX('潜水記録'!$V$5:$V$3004,$AS471)="","",INDEX('潜水記録'!$V$5:$V$3004,$AS471)))</f>
        <v/>
      </c>
      <c r="X471" s="14">
        <f>IF($A471="","",IF(INDEX('潜水記録'!$W$5:$W$3004,$AS471)="","",INDEX('潜水記録'!$W$5:$W$3004,$AS471)))</f>
        <v/>
      </c>
      <c r="Y471" s="14">
        <f>IF($A471="","",IF(INDEX('潜水記録'!$X$5:$X$3004,$AS471)="","",INDEX('潜水記録'!$X$5:$X$3004,$AS471)))</f>
        <v/>
      </c>
      <c r="Z471" s="14">
        <f>IF($A471="","",IF(INDEX('潜水記録'!$Y$5:$Y$3004,$AS471)="","",INDEX('潜水記録'!$Y$5:$Y$3004,$AS471)))</f>
        <v/>
      </c>
      <c r="AA471" s="14">
        <f>IF($A471="","",IF(INDEX('潜水記録'!$Z$5:$Z$3004,$AS471)="","",INDEX('潜水記録'!$Z$5:$Z$3004,$AS471)))</f>
        <v/>
      </c>
      <c r="AB471" s="14">
        <f>IF($A471="","",IF(INDEX('潜水記録'!$AA$5:$AA$3004,$AS471)="","",INDEX('潜水記録'!$AA$5:$AA$3004,$AS471)))</f>
        <v/>
      </c>
      <c r="AC471" s="14">
        <f>IF($A471="","",IF(INDEX('潜水記録'!$AB$5:$AB$3004,$AS471)="","",INDEX('潜水記録'!$AB$5:$AB$3004,$AS471)))</f>
        <v/>
      </c>
      <c r="AD471" s="14">
        <f>IF($A471="","",IF(INDEX('潜水記録'!$AC$5:$AC$3004,$AS471)="","",INDEX('潜水記録'!$AC$5:$AC$3004,$AS471)))</f>
        <v/>
      </c>
      <c r="AE471" s="14">
        <f>IF($A471="","",IF(INDEX('潜水記録'!$AD$5:$AD$3004,$AS471)="","",INDEX('潜水記録'!$AD$5:$AD$3004,$AS471)))</f>
        <v/>
      </c>
      <c r="AF471" s="14">
        <f>IF($A471="","",IF(INDEX('潜水記録'!$AE$5:$AE$3004,$AS471)="","",INDEX('潜水記録'!$AE$5:$AE$3004,$AS471)))</f>
        <v/>
      </c>
      <c r="AG471" s="14">
        <f>IF($A471="","",IF(INDEX('潜水記録'!$AL$5:$AL$3004,$AS471)="","",INDEX('潜水記録'!$AL$5:$AL$3004,$AS471)))</f>
        <v/>
      </c>
      <c r="AH471" s="14">
        <f>IF($A471="","",IF(INDEX('潜水記録'!$AM$5:$AM$3004,$AS471)="","",INDEX('潜水記録'!$AM$5:$AM$3004,$AS471)))</f>
        <v/>
      </c>
      <c r="AI471" s="46">
        <f>IF($A471="","",IF(INDEX('潜水記録'!$AN$5:$AN$3004,$AS471)="","",INDEX('潜水記録'!$AN$5:$AN$3004,$AS471)))</f>
        <v/>
      </c>
      <c r="AJ471" s="14">
        <f>IF($A471="","",IF(INDEX('潜水記録'!$AO$5:$AO$3004,$AS471)="","",INDEX('潜水記録'!$AO$5:$AO$3004,$AS471)))</f>
        <v/>
      </c>
      <c r="AK471" s="14">
        <f>IF($A471="","",IF(INDEX('潜水記録'!$AP$5:$AP$3004,$AS471)="","",INDEX('潜水記録'!$AP$5:$AP$3004,$AS471)))</f>
        <v/>
      </c>
      <c r="AL471" s="14">
        <f>IF($A471="","",IF(INDEX('潜水記録'!$AQ$5:$AQ$3004,$AS471)="","",INDEX('潜水記録'!$AQ$5:$AQ$3004,$AS471)))</f>
        <v/>
      </c>
      <c r="AM471" s="14">
        <f>IF($A471="","",IF(INDEX('潜水記録'!$AR$5:$AR$3004,$AS471)="","",INDEX('潜水記録'!$AR$5:$AR$3004,$AS471)))</f>
        <v/>
      </c>
      <c r="AN471" s="14">
        <f>IF($A471="","",IF(INDEX('潜水記録'!$AS$5:$AS$3004,$AS471)="","",INDEX('潜水記録'!$AS$5:$AS$3004,$AS471)))</f>
        <v/>
      </c>
      <c r="AO471" s="14">
        <f>IF($A471="","",IF(INDEX('潜水記録'!$AT$5:$AT$3004,$AS471)="","",INDEX('潜水記録'!$AT$5:$AT$3004,$AS471)))</f>
        <v/>
      </c>
      <c r="AP471" s="14">
        <f>IF($A471="","",IF(INDEX('潜水記録'!$AU$5:$AU$3004,$AS471)="","",INDEX('潜水記録'!$AU$5:$AU$3004,$AS471)))</f>
        <v/>
      </c>
      <c r="AQ471" s="14">
        <f>IF($A471="","",IF(INDEX('潜水記録'!$AV$5:$AV$3004,$AS471)="","",INDEX('潜水記録'!$AV$5:$AV$3004,$AS471)))</f>
        <v/>
      </c>
      <c r="AR471" s="14">
        <f>IF($A471="","",IF(INDEX('潜水記録'!$AW$5:$AW$3004,$AS471)="","",INDEX('潜水記録'!$AW$5:$AW$3004,$AS471)))</f>
        <v/>
      </c>
      <c r="AS471" s="20">
        <f>IF($A471="","",MATCH($A471,'潜水記録'!$AI$5:$AI$3004,0))</f>
        <v/>
      </c>
    </row>
    <row r="472">
      <c r="A472" s="14">
        <f>IF(462&lt;=$C$8,462,"")</f>
        <v/>
      </c>
      <c r="B472" s="16">
        <f>IF($A472="","",IF(INDEX('潜水記録'!$A$5:$A$3004,$AS472)="","",INDEX('潜水記録'!$A$5:$A$3004,$AS472)))</f>
        <v/>
      </c>
      <c r="C472" s="14">
        <f>IF($A472="","",IF(INDEX('潜水記録'!$B$5:$B$3004,$AS472)="","",INDEX('潜水記録'!$B$5:$B$3004,$AS472)))</f>
        <v/>
      </c>
      <c r="D472" s="14">
        <f>IF($A472="","",IF(INDEX('潜水記録'!$C$5:$C$3004,$AS472)="","",INDEX('潜水記録'!$C$5:$C$3004,$AS472)))</f>
        <v/>
      </c>
      <c r="E472" s="14">
        <f>IF($A472="","",IF(INDEX('潜水記録'!$D$5:$D$3004,$AS472)="","",INDEX('潜水記録'!$D$5:$D$3004,$AS472)))</f>
        <v/>
      </c>
      <c r="F472" s="14">
        <f>IF($A472="","",IF(INDEX('潜水記録'!$E$5:$E$3004,$AS472)="","",INDEX('潜水記録'!$E$5:$E$3004,$AS472)))</f>
        <v/>
      </c>
      <c r="G472" s="14">
        <f>IF($A472="","",IF(INDEX('潜水記録'!$F$5:$F$3004,$AS472)="","",INDEX('潜水記録'!$F$5:$F$3004,$AS472)))</f>
        <v/>
      </c>
      <c r="H472" s="14">
        <f>IF($A472="","",IF(INDEX('潜水記録'!$G$5:$G$3004,$AS472)="","",INDEX('潜水記録'!$G$5:$G$3004,$AS472)))</f>
        <v/>
      </c>
      <c r="I472" s="14">
        <f>IF($A472="","",IF(INDEX('潜水記録'!$H$5:$H$3004,$AS472)="","",INDEX('潜水記録'!$H$5:$H$3004,$AS472)))</f>
        <v/>
      </c>
      <c r="J472" s="14">
        <f>IF($A472="","",IF(INDEX('潜水記録'!$I$5:$I$3004,$AS472)="","",INDEX('潜水記録'!$I$5:$I$3004,$AS472)))</f>
        <v/>
      </c>
      <c r="K472" s="14">
        <f>IF($A472="","",IF(INDEX('潜水記録'!$J$5:$J$3004,$AS472)="","",INDEX('潜水記録'!$J$5:$J$3004,$AS472)))</f>
        <v/>
      </c>
      <c r="L472" s="14">
        <f>IF($A472="","",IF(INDEX('潜水記録'!$K$5:$K$3004,$AS472)="","",INDEX('潜水記録'!$K$5:$K$3004,$AS472)))</f>
        <v/>
      </c>
      <c r="M472" s="14">
        <f>IF($A472="","",IF(INDEX('潜水記録'!$L$5:$L$3004,$AS472)="","",INDEX('潜水記録'!$L$5:$L$3004,$AS472)))</f>
        <v/>
      </c>
      <c r="N472" s="14">
        <f>IF($A472="","",IF(INDEX('潜水記録'!$M$5:$M$3004,$AS472)="","",INDEX('潜水記録'!$M$5:$M$3004,$AS472)))</f>
        <v/>
      </c>
      <c r="O472" s="14">
        <f>IF($A472="","",IF(INDEX('潜水記録'!$N$5:$N$3004,$AS472)="","",INDEX('潜水記録'!$N$5:$N$3004,$AS472)))</f>
        <v/>
      </c>
      <c r="P472" s="14">
        <f>IF($A472="","",IF(INDEX('潜水記録'!$O$5:$O$3004,$AS472)="","",INDEX('潜水記録'!$O$5:$O$3004,$AS472)))</f>
        <v/>
      </c>
      <c r="Q472" s="14">
        <f>IF($A472="","",IF(INDEX('潜水記録'!$P$5:$P$3004,$AS472)="","",INDEX('潜水記録'!$P$5:$P$3004,$AS472)))</f>
        <v/>
      </c>
      <c r="R472" s="14">
        <f>IF($A472="","",IF(INDEX('潜水記録'!$Q$5:$Q$3004,$AS472)="","",INDEX('潜水記録'!$Q$5:$Q$3004,$AS472)))</f>
        <v/>
      </c>
      <c r="S472" s="14">
        <f>IF($A472="","",IF(INDEX('潜水記録'!$R$5:$R$3004,$AS472)="","",INDEX('潜水記録'!$R$5:$R$3004,$AS472)))</f>
        <v/>
      </c>
      <c r="T472" s="14">
        <f>IF($A472="","",IF(INDEX('潜水記録'!$S$5:$S$3004,$AS472)="","",INDEX('潜水記録'!$S$5:$S$3004,$AS472)))</f>
        <v/>
      </c>
      <c r="U472" s="14">
        <f>IF($A472="","",IF(INDEX('潜水記録'!$T$5:$T$3004,$AS472)="","",INDEX('潜水記録'!$T$5:$T$3004,$AS472)))</f>
        <v/>
      </c>
      <c r="V472" s="46">
        <f>IF($A472="","",IF(INDEX('潜水記録'!$U$5:$U$3004,$AS472)="","",INDEX('潜水記録'!$U$5:$U$3004,$AS472)))</f>
        <v/>
      </c>
      <c r="W472" s="46">
        <f>IF($A472="","",IF(INDEX('潜水記録'!$V$5:$V$3004,$AS472)="","",INDEX('潜水記録'!$V$5:$V$3004,$AS472)))</f>
        <v/>
      </c>
      <c r="X472" s="14">
        <f>IF($A472="","",IF(INDEX('潜水記録'!$W$5:$W$3004,$AS472)="","",INDEX('潜水記録'!$W$5:$W$3004,$AS472)))</f>
        <v/>
      </c>
      <c r="Y472" s="14">
        <f>IF($A472="","",IF(INDEX('潜水記録'!$X$5:$X$3004,$AS472)="","",INDEX('潜水記録'!$X$5:$X$3004,$AS472)))</f>
        <v/>
      </c>
      <c r="Z472" s="14">
        <f>IF($A472="","",IF(INDEX('潜水記録'!$Y$5:$Y$3004,$AS472)="","",INDEX('潜水記録'!$Y$5:$Y$3004,$AS472)))</f>
        <v/>
      </c>
      <c r="AA472" s="14">
        <f>IF($A472="","",IF(INDEX('潜水記録'!$Z$5:$Z$3004,$AS472)="","",INDEX('潜水記録'!$Z$5:$Z$3004,$AS472)))</f>
        <v/>
      </c>
      <c r="AB472" s="14">
        <f>IF($A472="","",IF(INDEX('潜水記録'!$AA$5:$AA$3004,$AS472)="","",INDEX('潜水記録'!$AA$5:$AA$3004,$AS472)))</f>
        <v/>
      </c>
      <c r="AC472" s="14">
        <f>IF($A472="","",IF(INDEX('潜水記録'!$AB$5:$AB$3004,$AS472)="","",INDEX('潜水記録'!$AB$5:$AB$3004,$AS472)))</f>
        <v/>
      </c>
      <c r="AD472" s="14">
        <f>IF($A472="","",IF(INDEX('潜水記録'!$AC$5:$AC$3004,$AS472)="","",INDEX('潜水記録'!$AC$5:$AC$3004,$AS472)))</f>
        <v/>
      </c>
      <c r="AE472" s="14">
        <f>IF($A472="","",IF(INDEX('潜水記録'!$AD$5:$AD$3004,$AS472)="","",INDEX('潜水記録'!$AD$5:$AD$3004,$AS472)))</f>
        <v/>
      </c>
      <c r="AF472" s="14">
        <f>IF($A472="","",IF(INDEX('潜水記録'!$AE$5:$AE$3004,$AS472)="","",INDEX('潜水記録'!$AE$5:$AE$3004,$AS472)))</f>
        <v/>
      </c>
      <c r="AG472" s="14">
        <f>IF($A472="","",IF(INDEX('潜水記録'!$AL$5:$AL$3004,$AS472)="","",INDEX('潜水記録'!$AL$5:$AL$3004,$AS472)))</f>
        <v/>
      </c>
      <c r="AH472" s="14">
        <f>IF($A472="","",IF(INDEX('潜水記録'!$AM$5:$AM$3004,$AS472)="","",INDEX('潜水記録'!$AM$5:$AM$3004,$AS472)))</f>
        <v/>
      </c>
      <c r="AI472" s="46">
        <f>IF($A472="","",IF(INDEX('潜水記録'!$AN$5:$AN$3004,$AS472)="","",INDEX('潜水記録'!$AN$5:$AN$3004,$AS472)))</f>
        <v/>
      </c>
      <c r="AJ472" s="14">
        <f>IF($A472="","",IF(INDEX('潜水記録'!$AO$5:$AO$3004,$AS472)="","",INDEX('潜水記録'!$AO$5:$AO$3004,$AS472)))</f>
        <v/>
      </c>
      <c r="AK472" s="14">
        <f>IF($A472="","",IF(INDEX('潜水記録'!$AP$5:$AP$3004,$AS472)="","",INDEX('潜水記録'!$AP$5:$AP$3004,$AS472)))</f>
        <v/>
      </c>
      <c r="AL472" s="14">
        <f>IF($A472="","",IF(INDEX('潜水記録'!$AQ$5:$AQ$3004,$AS472)="","",INDEX('潜水記録'!$AQ$5:$AQ$3004,$AS472)))</f>
        <v/>
      </c>
      <c r="AM472" s="14">
        <f>IF($A472="","",IF(INDEX('潜水記録'!$AR$5:$AR$3004,$AS472)="","",INDEX('潜水記録'!$AR$5:$AR$3004,$AS472)))</f>
        <v/>
      </c>
      <c r="AN472" s="14">
        <f>IF($A472="","",IF(INDEX('潜水記録'!$AS$5:$AS$3004,$AS472)="","",INDEX('潜水記録'!$AS$5:$AS$3004,$AS472)))</f>
        <v/>
      </c>
      <c r="AO472" s="14">
        <f>IF($A472="","",IF(INDEX('潜水記録'!$AT$5:$AT$3004,$AS472)="","",INDEX('潜水記録'!$AT$5:$AT$3004,$AS472)))</f>
        <v/>
      </c>
      <c r="AP472" s="14">
        <f>IF($A472="","",IF(INDEX('潜水記録'!$AU$5:$AU$3004,$AS472)="","",INDEX('潜水記録'!$AU$5:$AU$3004,$AS472)))</f>
        <v/>
      </c>
      <c r="AQ472" s="14">
        <f>IF($A472="","",IF(INDEX('潜水記録'!$AV$5:$AV$3004,$AS472)="","",INDEX('潜水記録'!$AV$5:$AV$3004,$AS472)))</f>
        <v/>
      </c>
      <c r="AR472" s="14">
        <f>IF($A472="","",IF(INDEX('潜水記録'!$AW$5:$AW$3004,$AS472)="","",INDEX('潜水記録'!$AW$5:$AW$3004,$AS472)))</f>
        <v/>
      </c>
      <c r="AS472" s="20">
        <f>IF($A472="","",MATCH($A472,'潜水記録'!$AI$5:$AI$3004,0))</f>
        <v/>
      </c>
    </row>
    <row r="473">
      <c r="A473" s="14">
        <f>IF(463&lt;=$C$8,463,"")</f>
        <v/>
      </c>
      <c r="B473" s="16">
        <f>IF($A473="","",IF(INDEX('潜水記録'!$A$5:$A$3004,$AS473)="","",INDEX('潜水記録'!$A$5:$A$3004,$AS473)))</f>
        <v/>
      </c>
      <c r="C473" s="14">
        <f>IF($A473="","",IF(INDEX('潜水記録'!$B$5:$B$3004,$AS473)="","",INDEX('潜水記録'!$B$5:$B$3004,$AS473)))</f>
        <v/>
      </c>
      <c r="D473" s="14">
        <f>IF($A473="","",IF(INDEX('潜水記録'!$C$5:$C$3004,$AS473)="","",INDEX('潜水記録'!$C$5:$C$3004,$AS473)))</f>
        <v/>
      </c>
      <c r="E473" s="14">
        <f>IF($A473="","",IF(INDEX('潜水記録'!$D$5:$D$3004,$AS473)="","",INDEX('潜水記録'!$D$5:$D$3004,$AS473)))</f>
        <v/>
      </c>
      <c r="F473" s="14">
        <f>IF($A473="","",IF(INDEX('潜水記録'!$E$5:$E$3004,$AS473)="","",INDEX('潜水記録'!$E$5:$E$3004,$AS473)))</f>
        <v/>
      </c>
      <c r="G473" s="14">
        <f>IF($A473="","",IF(INDEX('潜水記録'!$F$5:$F$3004,$AS473)="","",INDEX('潜水記録'!$F$5:$F$3004,$AS473)))</f>
        <v/>
      </c>
      <c r="H473" s="14">
        <f>IF($A473="","",IF(INDEX('潜水記録'!$G$5:$G$3004,$AS473)="","",INDEX('潜水記録'!$G$5:$G$3004,$AS473)))</f>
        <v/>
      </c>
      <c r="I473" s="14">
        <f>IF($A473="","",IF(INDEX('潜水記録'!$H$5:$H$3004,$AS473)="","",INDEX('潜水記録'!$H$5:$H$3004,$AS473)))</f>
        <v/>
      </c>
      <c r="J473" s="14">
        <f>IF($A473="","",IF(INDEX('潜水記録'!$I$5:$I$3004,$AS473)="","",INDEX('潜水記録'!$I$5:$I$3004,$AS473)))</f>
        <v/>
      </c>
      <c r="K473" s="14">
        <f>IF($A473="","",IF(INDEX('潜水記録'!$J$5:$J$3004,$AS473)="","",INDEX('潜水記録'!$J$5:$J$3004,$AS473)))</f>
        <v/>
      </c>
      <c r="L473" s="14">
        <f>IF($A473="","",IF(INDEX('潜水記録'!$K$5:$K$3004,$AS473)="","",INDEX('潜水記録'!$K$5:$K$3004,$AS473)))</f>
        <v/>
      </c>
      <c r="M473" s="14">
        <f>IF($A473="","",IF(INDEX('潜水記録'!$L$5:$L$3004,$AS473)="","",INDEX('潜水記録'!$L$5:$L$3004,$AS473)))</f>
        <v/>
      </c>
      <c r="N473" s="14">
        <f>IF($A473="","",IF(INDEX('潜水記録'!$M$5:$M$3004,$AS473)="","",INDEX('潜水記録'!$M$5:$M$3004,$AS473)))</f>
        <v/>
      </c>
      <c r="O473" s="14">
        <f>IF($A473="","",IF(INDEX('潜水記録'!$N$5:$N$3004,$AS473)="","",INDEX('潜水記録'!$N$5:$N$3004,$AS473)))</f>
        <v/>
      </c>
      <c r="P473" s="14">
        <f>IF($A473="","",IF(INDEX('潜水記録'!$O$5:$O$3004,$AS473)="","",INDEX('潜水記録'!$O$5:$O$3004,$AS473)))</f>
        <v/>
      </c>
      <c r="Q473" s="14">
        <f>IF($A473="","",IF(INDEX('潜水記録'!$P$5:$P$3004,$AS473)="","",INDEX('潜水記録'!$P$5:$P$3004,$AS473)))</f>
        <v/>
      </c>
      <c r="R473" s="14">
        <f>IF($A473="","",IF(INDEX('潜水記録'!$Q$5:$Q$3004,$AS473)="","",INDEX('潜水記録'!$Q$5:$Q$3004,$AS473)))</f>
        <v/>
      </c>
      <c r="S473" s="14">
        <f>IF($A473="","",IF(INDEX('潜水記録'!$R$5:$R$3004,$AS473)="","",INDEX('潜水記録'!$R$5:$R$3004,$AS473)))</f>
        <v/>
      </c>
      <c r="T473" s="14">
        <f>IF($A473="","",IF(INDEX('潜水記録'!$S$5:$S$3004,$AS473)="","",INDEX('潜水記録'!$S$5:$S$3004,$AS473)))</f>
        <v/>
      </c>
      <c r="U473" s="14">
        <f>IF($A473="","",IF(INDEX('潜水記録'!$T$5:$T$3004,$AS473)="","",INDEX('潜水記録'!$T$5:$T$3004,$AS473)))</f>
        <v/>
      </c>
      <c r="V473" s="46">
        <f>IF($A473="","",IF(INDEX('潜水記録'!$U$5:$U$3004,$AS473)="","",INDEX('潜水記録'!$U$5:$U$3004,$AS473)))</f>
        <v/>
      </c>
      <c r="W473" s="46">
        <f>IF($A473="","",IF(INDEX('潜水記録'!$V$5:$V$3004,$AS473)="","",INDEX('潜水記録'!$V$5:$V$3004,$AS473)))</f>
        <v/>
      </c>
      <c r="X473" s="14">
        <f>IF($A473="","",IF(INDEX('潜水記録'!$W$5:$W$3004,$AS473)="","",INDEX('潜水記録'!$W$5:$W$3004,$AS473)))</f>
        <v/>
      </c>
      <c r="Y473" s="14">
        <f>IF($A473="","",IF(INDEX('潜水記録'!$X$5:$X$3004,$AS473)="","",INDEX('潜水記録'!$X$5:$X$3004,$AS473)))</f>
        <v/>
      </c>
      <c r="Z473" s="14">
        <f>IF($A473="","",IF(INDEX('潜水記録'!$Y$5:$Y$3004,$AS473)="","",INDEX('潜水記録'!$Y$5:$Y$3004,$AS473)))</f>
        <v/>
      </c>
      <c r="AA473" s="14">
        <f>IF($A473="","",IF(INDEX('潜水記録'!$Z$5:$Z$3004,$AS473)="","",INDEX('潜水記録'!$Z$5:$Z$3004,$AS473)))</f>
        <v/>
      </c>
      <c r="AB473" s="14">
        <f>IF($A473="","",IF(INDEX('潜水記録'!$AA$5:$AA$3004,$AS473)="","",INDEX('潜水記録'!$AA$5:$AA$3004,$AS473)))</f>
        <v/>
      </c>
      <c r="AC473" s="14">
        <f>IF($A473="","",IF(INDEX('潜水記録'!$AB$5:$AB$3004,$AS473)="","",INDEX('潜水記録'!$AB$5:$AB$3004,$AS473)))</f>
        <v/>
      </c>
      <c r="AD473" s="14">
        <f>IF($A473="","",IF(INDEX('潜水記録'!$AC$5:$AC$3004,$AS473)="","",INDEX('潜水記録'!$AC$5:$AC$3004,$AS473)))</f>
        <v/>
      </c>
      <c r="AE473" s="14">
        <f>IF($A473="","",IF(INDEX('潜水記録'!$AD$5:$AD$3004,$AS473)="","",INDEX('潜水記録'!$AD$5:$AD$3004,$AS473)))</f>
        <v/>
      </c>
      <c r="AF473" s="14">
        <f>IF($A473="","",IF(INDEX('潜水記録'!$AE$5:$AE$3004,$AS473)="","",INDEX('潜水記録'!$AE$5:$AE$3004,$AS473)))</f>
        <v/>
      </c>
      <c r="AG473" s="14">
        <f>IF($A473="","",IF(INDEX('潜水記録'!$AL$5:$AL$3004,$AS473)="","",INDEX('潜水記録'!$AL$5:$AL$3004,$AS473)))</f>
        <v/>
      </c>
      <c r="AH473" s="14">
        <f>IF($A473="","",IF(INDEX('潜水記録'!$AM$5:$AM$3004,$AS473)="","",INDEX('潜水記録'!$AM$5:$AM$3004,$AS473)))</f>
        <v/>
      </c>
      <c r="AI473" s="46">
        <f>IF($A473="","",IF(INDEX('潜水記録'!$AN$5:$AN$3004,$AS473)="","",INDEX('潜水記録'!$AN$5:$AN$3004,$AS473)))</f>
        <v/>
      </c>
      <c r="AJ473" s="14">
        <f>IF($A473="","",IF(INDEX('潜水記録'!$AO$5:$AO$3004,$AS473)="","",INDEX('潜水記録'!$AO$5:$AO$3004,$AS473)))</f>
        <v/>
      </c>
      <c r="AK473" s="14">
        <f>IF($A473="","",IF(INDEX('潜水記録'!$AP$5:$AP$3004,$AS473)="","",INDEX('潜水記録'!$AP$5:$AP$3004,$AS473)))</f>
        <v/>
      </c>
      <c r="AL473" s="14">
        <f>IF($A473="","",IF(INDEX('潜水記録'!$AQ$5:$AQ$3004,$AS473)="","",INDEX('潜水記録'!$AQ$5:$AQ$3004,$AS473)))</f>
        <v/>
      </c>
      <c r="AM473" s="14">
        <f>IF($A473="","",IF(INDEX('潜水記録'!$AR$5:$AR$3004,$AS473)="","",INDEX('潜水記録'!$AR$5:$AR$3004,$AS473)))</f>
        <v/>
      </c>
      <c r="AN473" s="14">
        <f>IF($A473="","",IF(INDEX('潜水記録'!$AS$5:$AS$3004,$AS473)="","",INDEX('潜水記録'!$AS$5:$AS$3004,$AS473)))</f>
        <v/>
      </c>
      <c r="AO473" s="14">
        <f>IF($A473="","",IF(INDEX('潜水記録'!$AT$5:$AT$3004,$AS473)="","",INDEX('潜水記録'!$AT$5:$AT$3004,$AS473)))</f>
        <v/>
      </c>
      <c r="AP473" s="14">
        <f>IF($A473="","",IF(INDEX('潜水記録'!$AU$5:$AU$3004,$AS473)="","",INDEX('潜水記録'!$AU$5:$AU$3004,$AS473)))</f>
        <v/>
      </c>
      <c r="AQ473" s="14">
        <f>IF($A473="","",IF(INDEX('潜水記録'!$AV$5:$AV$3004,$AS473)="","",INDEX('潜水記録'!$AV$5:$AV$3004,$AS473)))</f>
        <v/>
      </c>
      <c r="AR473" s="14">
        <f>IF($A473="","",IF(INDEX('潜水記録'!$AW$5:$AW$3004,$AS473)="","",INDEX('潜水記録'!$AW$5:$AW$3004,$AS473)))</f>
        <v/>
      </c>
      <c r="AS473" s="20">
        <f>IF($A473="","",MATCH($A473,'潜水記録'!$AI$5:$AI$3004,0))</f>
        <v/>
      </c>
    </row>
    <row r="474">
      <c r="A474" s="14">
        <f>IF(464&lt;=$C$8,464,"")</f>
        <v/>
      </c>
      <c r="B474" s="16">
        <f>IF($A474="","",IF(INDEX('潜水記録'!$A$5:$A$3004,$AS474)="","",INDEX('潜水記録'!$A$5:$A$3004,$AS474)))</f>
        <v/>
      </c>
      <c r="C474" s="14">
        <f>IF($A474="","",IF(INDEX('潜水記録'!$B$5:$B$3004,$AS474)="","",INDEX('潜水記録'!$B$5:$B$3004,$AS474)))</f>
        <v/>
      </c>
      <c r="D474" s="14">
        <f>IF($A474="","",IF(INDEX('潜水記録'!$C$5:$C$3004,$AS474)="","",INDEX('潜水記録'!$C$5:$C$3004,$AS474)))</f>
        <v/>
      </c>
      <c r="E474" s="14">
        <f>IF($A474="","",IF(INDEX('潜水記録'!$D$5:$D$3004,$AS474)="","",INDEX('潜水記録'!$D$5:$D$3004,$AS474)))</f>
        <v/>
      </c>
      <c r="F474" s="14">
        <f>IF($A474="","",IF(INDEX('潜水記録'!$E$5:$E$3004,$AS474)="","",INDEX('潜水記録'!$E$5:$E$3004,$AS474)))</f>
        <v/>
      </c>
      <c r="G474" s="14">
        <f>IF($A474="","",IF(INDEX('潜水記録'!$F$5:$F$3004,$AS474)="","",INDEX('潜水記録'!$F$5:$F$3004,$AS474)))</f>
        <v/>
      </c>
      <c r="H474" s="14">
        <f>IF($A474="","",IF(INDEX('潜水記録'!$G$5:$G$3004,$AS474)="","",INDEX('潜水記録'!$G$5:$G$3004,$AS474)))</f>
        <v/>
      </c>
      <c r="I474" s="14">
        <f>IF($A474="","",IF(INDEX('潜水記録'!$H$5:$H$3004,$AS474)="","",INDEX('潜水記録'!$H$5:$H$3004,$AS474)))</f>
        <v/>
      </c>
      <c r="J474" s="14">
        <f>IF($A474="","",IF(INDEX('潜水記録'!$I$5:$I$3004,$AS474)="","",INDEX('潜水記録'!$I$5:$I$3004,$AS474)))</f>
        <v/>
      </c>
      <c r="K474" s="14">
        <f>IF($A474="","",IF(INDEX('潜水記録'!$J$5:$J$3004,$AS474)="","",INDEX('潜水記録'!$J$5:$J$3004,$AS474)))</f>
        <v/>
      </c>
      <c r="L474" s="14">
        <f>IF($A474="","",IF(INDEX('潜水記録'!$K$5:$K$3004,$AS474)="","",INDEX('潜水記録'!$K$5:$K$3004,$AS474)))</f>
        <v/>
      </c>
      <c r="M474" s="14">
        <f>IF($A474="","",IF(INDEX('潜水記録'!$L$5:$L$3004,$AS474)="","",INDEX('潜水記録'!$L$5:$L$3004,$AS474)))</f>
        <v/>
      </c>
      <c r="N474" s="14">
        <f>IF($A474="","",IF(INDEX('潜水記録'!$M$5:$M$3004,$AS474)="","",INDEX('潜水記録'!$M$5:$M$3004,$AS474)))</f>
        <v/>
      </c>
      <c r="O474" s="14">
        <f>IF($A474="","",IF(INDEX('潜水記録'!$N$5:$N$3004,$AS474)="","",INDEX('潜水記録'!$N$5:$N$3004,$AS474)))</f>
        <v/>
      </c>
      <c r="P474" s="14">
        <f>IF($A474="","",IF(INDEX('潜水記録'!$O$5:$O$3004,$AS474)="","",INDEX('潜水記録'!$O$5:$O$3004,$AS474)))</f>
        <v/>
      </c>
      <c r="Q474" s="14">
        <f>IF($A474="","",IF(INDEX('潜水記録'!$P$5:$P$3004,$AS474)="","",INDEX('潜水記録'!$P$5:$P$3004,$AS474)))</f>
        <v/>
      </c>
      <c r="R474" s="14">
        <f>IF($A474="","",IF(INDEX('潜水記録'!$Q$5:$Q$3004,$AS474)="","",INDEX('潜水記録'!$Q$5:$Q$3004,$AS474)))</f>
        <v/>
      </c>
      <c r="S474" s="14">
        <f>IF($A474="","",IF(INDEX('潜水記録'!$R$5:$R$3004,$AS474)="","",INDEX('潜水記録'!$R$5:$R$3004,$AS474)))</f>
        <v/>
      </c>
      <c r="T474" s="14">
        <f>IF($A474="","",IF(INDEX('潜水記録'!$S$5:$S$3004,$AS474)="","",INDEX('潜水記録'!$S$5:$S$3004,$AS474)))</f>
        <v/>
      </c>
      <c r="U474" s="14">
        <f>IF($A474="","",IF(INDEX('潜水記録'!$T$5:$T$3004,$AS474)="","",INDEX('潜水記録'!$T$5:$T$3004,$AS474)))</f>
        <v/>
      </c>
      <c r="V474" s="46">
        <f>IF($A474="","",IF(INDEX('潜水記録'!$U$5:$U$3004,$AS474)="","",INDEX('潜水記録'!$U$5:$U$3004,$AS474)))</f>
        <v/>
      </c>
      <c r="W474" s="46">
        <f>IF($A474="","",IF(INDEX('潜水記録'!$V$5:$V$3004,$AS474)="","",INDEX('潜水記録'!$V$5:$V$3004,$AS474)))</f>
        <v/>
      </c>
      <c r="X474" s="14">
        <f>IF($A474="","",IF(INDEX('潜水記録'!$W$5:$W$3004,$AS474)="","",INDEX('潜水記録'!$W$5:$W$3004,$AS474)))</f>
        <v/>
      </c>
      <c r="Y474" s="14">
        <f>IF($A474="","",IF(INDEX('潜水記録'!$X$5:$X$3004,$AS474)="","",INDEX('潜水記録'!$X$5:$X$3004,$AS474)))</f>
        <v/>
      </c>
      <c r="Z474" s="14">
        <f>IF($A474="","",IF(INDEX('潜水記録'!$Y$5:$Y$3004,$AS474)="","",INDEX('潜水記録'!$Y$5:$Y$3004,$AS474)))</f>
        <v/>
      </c>
      <c r="AA474" s="14">
        <f>IF($A474="","",IF(INDEX('潜水記録'!$Z$5:$Z$3004,$AS474)="","",INDEX('潜水記録'!$Z$5:$Z$3004,$AS474)))</f>
        <v/>
      </c>
      <c r="AB474" s="14">
        <f>IF($A474="","",IF(INDEX('潜水記録'!$AA$5:$AA$3004,$AS474)="","",INDEX('潜水記録'!$AA$5:$AA$3004,$AS474)))</f>
        <v/>
      </c>
      <c r="AC474" s="14">
        <f>IF($A474="","",IF(INDEX('潜水記録'!$AB$5:$AB$3004,$AS474)="","",INDEX('潜水記録'!$AB$5:$AB$3004,$AS474)))</f>
        <v/>
      </c>
      <c r="AD474" s="14">
        <f>IF($A474="","",IF(INDEX('潜水記録'!$AC$5:$AC$3004,$AS474)="","",INDEX('潜水記録'!$AC$5:$AC$3004,$AS474)))</f>
        <v/>
      </c>
      <c r="AE474" s="14">
        <f>IF($A474="","",IF(INDEX('潜水記録'!$AD$5:$AD$3004,$AS474)="","",INDEX('潜水記録'!$AD$5:$AD$3004,$AS474)))</f>
        <v/>
      </c>
      <c r="AF474" s="14">
        <f>IF($A474="","",IF(INDEX('潜水記録'!$AE$5:$AE$3004,$AS474)="","",INDEX('潜水記録'!$AE$5:$AE$3004,$AS474)))</f>
        <v/>
      </c>
      <c r="AG474" s="14">
        <f>IF($A474="","",IF(INDEX('潜水記録'!$AL$5:$AL$3004,$AS474)="","",INDEX('潜水記録'!$AL$5:$AL$3004,$AS474)))</f>
        <v/>
      </c>
      <c r="AH474" s="14">
        <f>IF($A474="","",IF(INDEX('潜水記録'!$AM$5:$AM$3004,$AS474)="","",INDEX('潜水記録'!$AM$5:$AM$3004,$AS474)))</f>
        <v/>
      </c>
      <c r="AI474" s="46">
        <f>IF($A474="","",IF(INDEX('潜水記録'!$AN$5:$AN$3004,$AS474)="","",INDEX('潜水記録'!$AN$5:$AN$3004,$AS474)))</f>
        <v/>
      </c>
      <c r="AJ474" s="14">
        <f>IF($A474="","",IF(INDEX('潜水記録'!$AO$5:$AO$3004,$AS474)="","",INDEX('潜水記録'!$AO$5:$AO$3004,$AS474)))</f>
        <v/>
      </c>
      <c r="AK474" s="14">
        <f>IF($A474="","",IF(INDEX('潜水記録'!$AP$5:$AP$3004,$AS474)="","",INDEX('潜水記録'!$AP$5:$AP$3004,$AS474)))</f>
        <v/>
      </c>
      <c r="AL474" s="14">
        <f>IF($A474="","",IF(INDEX('潜水記録'!$AQ$5:$AQ$3004,$AS474)="","",INDEX('潜水記録'!$AQ$5:$AQ$3004,$AS474)))</f>
        <v/>
      </c>
      <c r="AM474" s="14">
        <f>IF($A474="","",IF(INDEX('潜水記録'!$AR$5:$AR$3004,$AS474)="","",INDEX('潜水記録'!$AR$5:$AR$3004,$AS474)))</f>
        <v/>
      </c>
      <c r="AN474" s="14">
        <f>IF($A474="","",IF(INDEX('潜水記録'!$AS$5:$AS$3004,$AS474)="","",INDEX('潜水記録'!$AS$5:$AS$3004,$AS474)))</f>
        <v/>
      </c>
      <c r="AO474" s="14">
        <f>IF($A474="","",IF(INDEX('潜水記録'!$AT$5:$AT$3004,$AS474)="","",INDEX('潜水記録'!$AT$5:$AT$3004,$AS474)))</f>
        <v/>
      </c>
      <c r="AP474" s="14">
        <f>IF($A474="","",IF(INDEX('潜水記録'!$AU$5:$AU$3004,$AS474)="","",INDEX('潜水記録'!$AU$5:$AU$3004,$AS474)))</f>
        <v/>
      </c>
      <c r="AQ474" s="14">
        <f>IF($A474="","",IF(INDEX('潜水記録'!$AV$5:$AV$3004,$AS474)="","",INDEX('潜水記録'!$AV$5:$AV$3004,$AS474)))</f>
        <v/>
      </c>
      <c r="AR474" s="14">
        <f>IF($A474="","",IF(INDEX('潜水記録'!$AW$5:$AW$3004,$AS474)="","",INDEX('潜水記録'!$AW$5:$AW$3004,$AS474)))</f>
        <v/>
      </c>
      <c r="AS474" s="20">
        <f>IF($A474="","",MATCH($A474,'潜水記録'!$AI$5:$AI$3004,0))</f>
        <v/>
      </c>
    </row>
    <row r="475">
      <c r="A475" s="14">
        <f>IF(465&lt;=$C$8,465,"")</f>
        <v/>
      </c>
      <c r="B475" s="16">
        <f>IF($A475="","",IF(INDEX('潜水記録'!$A$5:$A$3004,$AS475)="","",INDEX('潜水記録'!$A$5:$A$3004,$AS475)))</f>
        <v/>
      </c>
      <c r="C475" s="14">
        <f>IF($A475="","",IF(INDEX('潜水記録'!$B$5:$B$3004,$AS475)="","",INDEX('潜水記録'!$B$5:$B$3004,$AS475)))</f>
        <v/>
      </c>
      <c r="D475" s="14">
        <f>IF($A475="","",IF(INDEX('潜水記録'!$C$5:$C$3004,$AS475)="","",INDEX('潜水記録'!$C$5:$C$3004,$AS475)))</f>
        <v/>
      </c>
      <c r="E475" s="14">
        <f>IF($A475="","",IF(INDEX('潜水記録'!$D$5:$D$3004,$AS475)="","",INDEX('潜水記録'!$D$5:$D$3004,$AS475)))</f>
        <v/>
      </c>
      <c r="F475" s="14">
        <f>IF($A475="","",IF(INDEX('潜水記録'!$E$5:$E$3004,$AS475)="","",INDEX('潜水記録'!$E$5:$E$3004,$AS475)))</f>
        <v/>
      </c>
      <c r="G475" s="14">
        <f>IF($A475="","",IF(INDEX('潜水記録'!$F$5:$F$3004,$AS475)="","",INDEX('潜水記録'!$F$5:$F$3004,$AS475)))</f>
        <v/>
      </c>
      <c r="H475" s="14">
        <f>IF($A475="","",IF(INDEX('潜水記録'!$G$5:$G$3004,$AS475)="","",INDEX('潜水記録'!$G$5:$G$3004,$AS475)))</f>
        <v/>
      </c>
      <c r="I475" s="14">
        <f>IF($A475="","",IF(INDEX('潜水記録'!$H$5:$H$3004,$AS475)="","",INDEX('潜水記録'!$H$5:$H$3004,$AS475)))</f>
        <v/>
      </c>
      <c r="J475" s="14">
        <f>IF($A475="","",IF(INDEX('潜水記録'!$I$5:$I$3004,$AS475)="","",INDEX('潜水記録'!$I$5:$I$3004,$AS475)))</f>
        <v/>
      </c>
      <c r="K475" s="14">
        <f>IF($A475="","",IF(INDEX('潜水記録'!$J$5:$J$3004,$AS475)="","",INDEX('潜水記録'!$J$5:$J$3004,$AS475)))</f>
        <v/>
      </c>
      <c r="L475" s="14">
        <f>IF($A475="","",IF(INDEX('潜水記録'!$K$5:$K$3004,$AS475)="","",INDEX('潜水記録'!$K$5:$K$3004,$AS475)))</f>
        <v/>
      </c>
      <c r="M475" s="14">
        <f>IF($A475="","",IF(INDEX('潜水記録'!$L$5:$L$3004,$AS475)="","",INDEX('潜水記録'!$L$5:$L$3004,$AS475)))</f>
        <v/>
      </c>
      <c r="N475" s="14">
        <f>IF($A475="","",IF(INDEX('潜水記録'!$M$5:$M$3004,$AS475)="","",INDEX('潜水記録'!$M$5:$M$3004,$AS475)))</f>
        <v/>
      </c>
      <c r="O475" s="14">
        <f>IF($A475="","",IF(INDEX('潜水記録'!$N$5:$N$3004,$AS475)="","",INDEX('潜水記録'!$N$5:$N$3004,$AS475)))</f>
        <v/>
      </c>
      <c r="P475" s="14">
        <f>IF($A475="","",IF(INDEX('潜水記録'!$O$5:$O$3004,$AS475)="","",INDEX('潜水記録'!$O$5:$O$3004,$AS475)))</f>
        <v/>
      </c>
      <c r="Q475" s="14">
        <f>IF($A475="","",IF(INDEX('潜水記録'!$P$5:$P$3004,$AS475)="","",INDEX('潜水記録'!$P$5:$P$3004,$AS475)))</f>
        <v/>
      </c>
      <c r="R475" s="14">
        <f>IF($A475="","",IF(INDEX('潜水記録'!$Q$5:$Q$3004,$AS475)="","",INDEX('潜水記録'!$Q$5:$Q$3004,$AS475)))</f>
        <v/>
      </c>
      <c r="S475" s="14">
        <f>IF($A475="","",IF(INDEX('潜水記録'!$R$5:$R$3004,$AS475)="","",INDEX('潜水記録'!$R$5:$R$3004,$AS475)))</f>
        <v/>
      </c>
      <c r="T475" s="14">
        <f>IF($A475="","",IF(INDEX('潜水記録'!$S$5:$S$3004,$AS475)="","",INDEX('潜水記録'!$S$5:$S$3004,$AS475)))</f>
        <v/>
      </c>
      <c r="U475" s="14">
        <f>IF($A475="","",IF(INDEX('潜水記録'!$T$5:$T$3004,$AS475)="","",INDEX('潜水記録'!$T$5:$T$3004,$AS475)))</f>
        <v/>
      </c>
      <c r="V475" s="46">
        <f>IF($A475="","",IF(INDEX('潜水記録'!$U$5:$U$3004,$AS475)="","",INDEX('潜水記録'!$U$5:$U$3004,$AS475)))</f>
        <v/>
      </c>
      <c r="W475" s="46">
        <f>IF($A475="","",IF(INDEX('潜水記録'!$V$5:$V$3004,$AS475)="","",INDEX('潜水記録'!$V$5:$V$3004,$AS475)))</f>
        <v/>
      </c>
      <c r="X475" s="14">
        <f>IF($A475="","",IF(INDEX('潜水記録'!$W$5:$W$3004,$AS475)="","",INDEX('潜水記録'!$W$5:$W$3004,$AS475)))</f>
        <v/>
      </c>
      <c r="Y475" s="14">
        <f>IF($A475="","",IF(INDEX('潜水記録'!$X$5:$X$3004,$AS475)="","",INDEX('潜水記録'!$X$5:$X$3004,$AS475)))</f>
        <v/>
      </c>
      <c r="Z475" s="14">
        <f>IF($A475="","",IF(INDEX('潜水記録'!$Y$5:$Y$3004,$AS475)="","",INDEX('潜水記録'!$Y$5:$Y$3004,$AS475)))</f>
        <v/>
      </c>
      <c r="AA475" s="14">
        <f>IF($A475="","",IF(INDEX('潜水記録'!$Z$5:$Z$3004,$AS475)="","",INDEX('潜水記録'!$Z$5:$Z$3004,$AS475)))</f>
        <v/>
      </c>
      <c r="AB475" s="14">
        <f>IF($A475="","",IF(INDEX('潜水記録'!$AA$5:$AA$3004,$AS475)="","",INDEX('潜水記録'!$AA$5:$AA$3004,$AS475)))</f>
        <v/>
      </c>
      <c r="AC475" s="14">
        <f>IF($A475="","",IF(INDEX('潜水記録'!$AB$5:$AB$3004,$AS475)="","",INDEX('潜水記録'!$AB$5:$AB$3004,$AS475)))</f>
        <v/>
      </c>
      <c r="AD475" s="14">
        <f>IF($A475="","",IF(INDEX('潜水記録'!$AC$5:$AC$3004,$AS475)="","",INDEX('潜水記録'!$AC$5:$AC$3004,$AS475)))</f>
        <v/>
      </c>
      <c r="AE475" s="14">
        <f>IF($A475="","",IF(INDEX('潜水記録'!$AD$5:$AD$3004,$AS475)="","",INDEX('潜水記録'!$AD$5:$AD$3004,$AS475)))</f>
        <v/>
      </c>
      <c r="AF475" s="14">
        <f>IF($A475="","",IF(INDEX('潜水記録'!$AE$5:$AE$3004,$AS475)="","",INDEX('潜水記録'!$AE$5:$AE$3004,$AS475)))</f>
        <v/>
      </c>
      <c r="AG475" s="14">
        <f>IF($A475="","",IF(INDEX('潜水記録'!$AL$5:$AL$3004,$AS475)="","",INDEX('潜水記録'!$AL$5:$AL$3004,$AS475)))</f>
        <v/>
      </c>
      <c r="AH475" s="14">
        <f>IF($A475="","",IF(INDEX('潜水記録'!$AM$5:$AM$3004,$AS475)="","",INDEX('潜水記録'!$AM$5:$AM$3004,$AS475)))</f>
        <v/>
      </c>
      <c r="AI475" s="46">
        <f>IF($A475="","",IF(INDEX('潜水記録'!$AN$5:$AN$3004,$AS475)="","",INDEX('潜水記録'!$AN$5:$AN$3004,$AS475)))</f>
        <v/>
      </c>
      <c r="AJ475" s="14">
        <f>IF($A475="","",IF(INDEX('潜水記録'!$AO$5:$AO$3004,$AS475)="","",INDEX('潜水記録'!$AO$5:$AO$3004,$AS475)))</f>
        <v/>
      </c>
      <c r="AK475" s="14">
        <f>IF($A475="","",IF(INDEX('潜水記録'!$AP$5:$AP$3004,$AS475)="","",INDEX('潜水記録'!$AP$5:$AP$3004,$AS475)))</f>
        <v/>
      </c>
      <c r="AL475" s="14">
        <f>IF($A475="","",IF(INDEX('潜水記録'!$AQ$5:$AQ$3004,$AS475)="","",INDEX('潜水記録'!$AQ$5:$AQ$3004,$AS475)))</f>
        <v/>
      </c>
      <c r="AM475" s="14">
        <f>IF($A475="","",IF(INDEX('潜水記録'!$AR$5:$AR$3004,$AS475)="","",INDEX('潜水記録'!$AR$5:$AR$3004,$AS475)))</f>
        <v/>
      </c>
      <c r="AN475" s="14">
        <f>IF($A475="","",IF(INDEX('潜水記録'!$AS$5:$AS$3004,$AS475)="","",INDEX('潜水記録'!$AS$5:$AS$3004,$AS475)))</f>
        <v/>
      </c>
      <c r="AO475" s="14">
        <f>IF($A475="","",IF(INDEX('潜水記録'!$AT$5:$AT$3004,$AS475)="","",INDEX('潜水記録'!$AT$5:$AT$3004,$AS475)))</f>
        <v/>
      </c>
      <c r="AP475" s="14">
        <f>IF($A475="","",IF(INDEX('潜水記録'!$AU$5:$AU$3004,$AS475)="","",INDEX('潜水記録'!$AU$5:$AU$3004,$AS475)))</f>
        <v/>
      </c>
      <c r="AQ475" s="14">
        <f>IF($A475="","",IF(INDEX('潜水記録'!$AV$5:$AV$3004,$AS475)="","",INDEX('潜水記録'!$AV$5:$AV$3004,$AS475)))</f>
        <v/>
      </c>
      <c r="AR475" s="14">
        <f>IF($A475="","",IF(INDEX('潜水記録'!$AW$5:$AW$3004,$AS475)="","",INDEX('潜水記録'!$AW$5:$AW$3004,$AS475)))</f>
        <v/>
      </c>
      <c r="AS475" s="20">
        <f>IF($A475="","",MATCH($A475,'潜水記録'!$AI$5:$AI$3004,0))</f>
        <v/>
      </c>
    </row>
    <row r="476">
      <c r="A476" s="14">
        <f>IF(466&lt;=$C$8,466,"")</f>
        <v/>
      </c>
      <c r="B476" s="16">
        <f>IF($A476="","",IF(INDEX('潜水記録'!$A$5:$A$3004,$AS476)="","",INDEX('潜水記録'!$A$5:$A$3004,$AS476)))</f>
        <v/>
      </c>
      <c r="C476" s="14">
        <f>IF($A476="","",IF(INDEX('潜水記録'!$B$5:$B$3004,$AS476)="","",INDEX('潜水記録'!$B$5:$B$3004,$AS476)))</f>
        <v/>
      </c>
      <c r="D476" s="14">
        <f>IF($A476="","",IF(INDEX('潜水記録'!$C$5:$C$3004,$AS476)="","",INDEX('潜水記録'!$C$5:$C$3004,$AS476)))</f>
        <v/>
      </c>
      <c r="E476" s="14">
        <f>IF($A476="","",IF(INDEX('潜水記録'!$D$5:$D$3004,$AS476)="","",INDEX('潜水記録'!$D$5:$D$3004,$AS476)))</f>
        <v/>
      </c>
      <c r="F476" s="14">
        <f>IF($A476="","",IF(INDEX('潜水記録'!$E$5:$E$3004,$AS476)="","",INDEX('潜水記録'!$E$5:$E$3004,$AS476)))</f>
        <v/>
      </c>
      <c r="G476" s="14">
        <f>IF($A476="","",IF(INDEX('潜水記録'!$F$5:$F$3004,$AS476)="","",INDEX('潜水記録'!$F$5:$F$3004,$AS476)))</f>
        <v/>
      </c>
      <c r="H476" s="14">
        <f>IF($A476="","",IF(INDEX('潜水記録'!$G$5:$G$3004,$AS476)="","",INDEX('潜水記録'!$G$5:$G$3004,$AS476)))</f>
        <v/>
      </c>
      <c r="I476" s="14">
        <f>IF($A476="","",IF(INDEX('潜水記録'!$H$5:$H$3004,$AS476)="","",INDEX('潜水記録'!$H$5:$H$3004,$AS476)))</f>
        <v/>
      </c>
      <c r="J476" s="14">
        <f>IF($A476="","",IF(INDEX('潜水記録'!$I$5:$I$3004,$AS476)="","",INDEX('潜水記録'!$I$5:$I$3004,$AS476)))</f>
        <v/>
      </c>
      <c r="K476" s="14">
        <f>IF($A476="","",IF(INDEX('潜水記録'!$J$5:$J$3004,$AS476)="","",INDEX('潜水記録'!$J$5:$J$3004,$AS476)))</f>
        <v/>
      </c>
      <c r="L476" s="14">
        <f>IF($A476="","",IF(INDEX('潜水記録'!$K$5:$K$3004,$AS476)="","",INDEX('潜水記録'!$K$5:$K$3004,$AS476)))</f>
        <v/>
      </c>
      <c r="M476" s="14">
        <f>IF($A476="","",IF(INDEX('潜水記録'!$L$5:$L$3004,$AS476)="","",INDEX('潜水記録'!$L$5:$L$3004,$AS476)))</f>
        <v/>
      </c>
      <c r="N476" s="14">
        <f>IF($A476="","",IF(INDEX('潜水記録'!$M$5:$M$3004,$AS476)="","",INDEX('潜水記録'!$M$5:$M$3004,$AS476)))</f>
        <v/>
      </c>
      <c r="O476" s="14">
        <f>IF($A476="","",IF(INDEX('潜水記録'!$N$5:$N$3004,$AS476)="","",INDEX('潜水記録'!$N$5:$N$3004,$AS476)))</f>
        <v/>
      </c>
      <c r="P476" s="14">
        <f>IF($A476="","",IF(INDEX('潜水記録'!$O$5:$O$3004,$AS476)="","",INDEX('潜水記録'!$O$5:$O$3004,$AS476)))</f>
        <v/>
      </c>
      <c r="Q476" s="14">
        <f>IF($A476="","",IF(INDEX('潜水記録'!$P$5:$P$3004,$AS476)="","",INDEX('潜水記録'!$P$5:$P$3004,$AS476)))</f>
        <v/>
      </c>
      <c r="R476" s="14">
        <f>IF($A476="","",IF(INDEX('潜水記録'!$Q$5:$Q$3004,$AS476)="","",INDEX('潜水記録'!$Q$5:$Q$3004,$AS476)))</f>
        <v/>
      </c>
      <c r="S476" s="14">
        <f>IF($A476="","",IF(INDEX('潜水記録'!$R$5:$R$3004,$AS476)="","",INDEX('潜水記録'!$R$5:$R$3004,$AS476)))</f>
        <v/>
      </c>
      <c r="T476" s="14">
        <f>IF($A476="","",IF(INDEX('潜水記録'!$S$5:$S$3004,$AS476)="","",INDEX('潜水記録'!$S$5:$S$3004,$AS476)))</f>
        <v/>
      </c>
      <c r="U476" s="14">
        <f>IF($A476="","",IF(INDEX('潜水記録'!$T$5:$T$3004,$AS476)="","",INDEX('潜水記録'!$T$5:$T$3004,$AS476)))</f>
        <v/>
      </c>
      <c r="V476" s="46">
        <f>IF($A476="","",IF(INDEX('潜水記録'!$U$5:$U$3004,$AS476)="","",INDEX('潜水記録'!$U$5:$U$3004,$AS476)))</f>
        <v/>
      </c>
      <c r="W476" s="46">
        <f>IF($A476="","",IF(INDEX('潜水記録'!$V$5:$V$3004,$AS476)="","",INDEX('潜水記録'!$V$5:$V$3004,$AS476)))</f>
        <v/>
      </c>
      <c r="X476" s="14">
        <f>IF($A476="","",IF(INDEX('潜水記録'!$W$5:$W$3004,$AS476)="","",INDEX('潜水記録'!$W$5:$W$3004,$AS476)))</f>
        <v/>
      </c>
      <c r="Y476" s="14">
        <f>IF($A476="","",IF(INDEX('潜水記録'!$X$5:$X$3004,$AS476)="","",INDEX('潜水記録'!$X$5:$X$3004,$AS476)))</f>
        <v/>
      </c>
      <c r="Z476" s="14">
        <f>IF($A476="","",IF(INDEX('潜水記録'!$Y$5:$Y$3004,$AS476)="","",INDEX('潜水記録'!$Y$5:$Y$3004,$AS476)))</f>
        <v/>
      </c>
      <c r="AA476" s="14">
        <f>IF($A476="","",IF(INDEX('潜水記録'!$Z$5:$Z$3004,$AS476)="","",INDEX('潜水記録'!$Z$5:$Z$3004,$AS476)))</f>
        <v/>
      </c>
      <c r="AB476" s="14">
        <f>IF($A476="","",IF(INDEX('潜水記録'!$AA$5:$AA$3004,$AS476)="","",INDEX('潜水記録'!$AA$5:$AA$3004,$AS476)))</f>
        <v/>
      </c>
      <c r="AC476" s="14">
        <f>IF($A476="","",IF(INDEX('潜水記録'!$AB$5:$AB$3004,$AS476)="","",INDEX('潜水記録'!$AB$5:$AB$3004,$AS476)))</f>
        <v/>
      </c>
      <c r="AD476" s="14">
        <f>IF($A476="","",IF(INDEX('潜水記録'!$AC$5:$AC$3004,$AS476)="","",INDEX('潜水記録'!$AC$5:$AC$3004,$AS476)))</f>
        <v/>
      </c>
      <c r="AE476" s="14">
        <f>IF($A476="","",IF(INDEX('潜水記録'!$AD$5:$AD$3004,$AS476)="","",INDEX('潜水記録'!$AD$5:$AD$3004,$AS476)))</f>
        <v/>
      </c>
      <c r="AF476" s="14">
        <f>IF($A476="","",IF(INDEX('潜水記録'!$AE$5:$AE$3004,$AS476)="","",INDEX('潜水記録'!$AE$5:$AE$3004,$AS476)))</f>
        <v/>
      </c>
      <c r="AG476" s="14">
        <f>IF($A476="","",IF(INDEX('潜水記録'!$AL$5:$AL$3004,$AS476)="","",INDEX('潜水記録'!$AL$5:$AL$3004,$AS476)))</f>
        <v/>
      </c>
      <c r="AH476" s="14">
        <f>IF($A476="","",IF(INDEX('潜水記録'!$AM$5:$AM$3004,$AS476)="","",INDEX('潜水記録'!$AM$5:$AM$3004,$AS476)))</f>
        <v/>
      </c>
      <c r="AI476" s="46">
        <f>IF($A476="","",IF(INDEX('潜水記録'!$AN$5:$AN$3004,$AS476)="","",INDEX('潜水記録'!$AN$5:$AN$3004,$AS476)))</f>
        <v/>
      </c>
      <c r="AJ476" s="14">
        <f>IF($A476="","",IF(INDEX('潜水記録'!$AO$5:$AO$3004,$AS476)="","",INDEX('潜水記録'!$AO$5:$AO$3004,$AS476)))</f>
        <v/>
      </c>
      <c r="AK476" s="14">
        <f>IF($A476="","",IF(INDEX('潜水記録'!$AP$5:$AP$3004,$AS476)="","",INDEX('潜水記録'!$AP$5:$AP$3004,$AS476)))</f>
        <v/>
      </c>
      <c r="AL476" s="14">
        <f>IF($A476="","",IF(INDEX('潜水記録'!$AQ$5:$AQ$3004,$AS476)="","",INDEX('潜水記録'!$AQ$5:$AQ$3004,$AS476)))</f>
        <v/>
      </c>
      <c r="AM476" s="14">
        <f>IF($A476="","",IF(INDEX('潜水記録'!$AR$5:$AR$3004,$AS476)="","",INDEX('潜水記録'!$AR$5:$AR$3004,$AS476)))</f>
        <v/>
      </c>
      <c r="AN476" s="14">
        <f>IF($A476="","",IF(INDEX('潜水記録'!$AS$5:$AS$3004,$AS476)="","",INDEX('潜水記録'!$AS$5:$AS$3004,$AS476)))</f>
        <v/>
      </c>
      <c r="AO476" s="14">
        <f>IF($A476="","",IF(INDEX('潜水記録'!$AT$5:$AT$3004,$AS476)="","",INDEX('潜水記録'!$AT$5:$AT$3004,$AS476)))</f>
        <v/>
      </c>
      <c r="AP476" s="14">
        <f>IF($A476="","",IF(INDEX('潜水記録'!$AU$5:$AU$3004,$AS476)="","",INDEX('潜水記録'!$AU$5:$AU$3004,$AS476)))</f>
        <v/>
      </c>
      <c r="AQ476" s="14">
        <f>IF($A476="","",IF(INDEX('潜水記録'!$AV$5:$AV$3004,$AS476)="","",INDEX('潜水記録'!$AV$5:$AV$3004,$AS476)))</f>
        <v/>
      </c>
      <c r="AR476" s="14">
        <f>IF($A476="","",IF(INDEX('潜水記録'!$AW$5:$AW$3004,$AS476)="","",INDEX('潜水記録'!$AW$5:$AW$3004,$AS476)))</f>
        <v/>
      </c>
      <c r="AS476" s="20">
        <f>IF($A476="","",MATCH($A476,'潜水記録'!$AI$5:$AI$3004,0))</f>
        <v/>
      </c>
    </row>
    <row r="477">
      <c r="A477" s="14">
        <f>IF(467&lt;=$C$8,467,"")</f>
        <v/>
      </c>
      <c r="B477" s="16">
        <f>IF($A477="","",IF(INDEX('潜水記録'!$A$5:$A$3004,$AS477)="","",INDEX('潜水記録'!$A$5:$A$3004,$AS477)))</f>
        <v/>
      </c>
      <c r="C477" s="14">
        <f>IF($A477="","",IF(INDEX('潜水記録'!$B$5:$B$3004,$AS477)="","",INDEX('潜水記録'!$B$5:$B$3004,$AS477)))</f>
        <v/>
      </c>
      <c r="D477" s="14">
        <f>IF($A477="","",IF(INDEX('潜水記録'!$C$5:$C$3004,$AS477)="","",INDEX('潜水記録'!$C$5:$C$3004,$AS477)))</f>
        <v/>
      </c>
      <c r="E477" s="14">
        <f>IF($A477="","",IF(INDEX('潜水記録'!$D$5:$D$3004,$AS477)="","",INDEX('潜水記録'!$D$5:$D$3004,$AS477)))</f>
        <v/>
      </c>
      <c r="F477" s="14">
        <f>IF($A477="","",IF(INDEX('潜水記録'!$E$5:$E$3004,$AS477)="","",INDEX('潜水記録'!$E$5:$E$3004,$AS477)))</f>
        <v/>
      </c>
      <c r="G477" s="14">
        <f>IF($A477="","",IF(INDEX('潜水記録'!$F$5:$F$3004,$AS477)="","",INDEX('潜水記録'!$F$5:$F$3004,$AS477)))</f>
        <v/>
      </c>
      <c r="H477" s="14">
        <f>IF($A477="","",IF(INDEX('潜水記録'!$G$5:$G$3004,$AS477)="","",INDEX('潜水記録'!$G$5:$G$3004,$AS477)))</f>
        <v/>
      </c>
      <c r="I477" s="14">
        <f>IF($A477="","",IF(INDEX('潜水記録'!$H$5:$H$3004,$AS477)="","",INDEX('潜水記録'!$H$5:$H$3004,$AS477)))</f>
        <v/>
      </c>
      <c r="J477" s="14">
        <f>IF($A477="","",IF(INDEX('潜水記録'!$I$5:$I$3004,$AS477)="","",INDEX('潜水記録'!$I$5:$I$3004,$AS477)))</f>
        <v/>
      </c>
      <c r="K477" s="14">
        <f>IF($A477="","",IF(INDEX('潜水記録'!$J$5:$J$3004,$AS477)="","",INDEX('潜水記録'!$J$5:$J$3004,$AS477)))</f>
        <v/>
      </c>
      <c r="L477" s="14">
        <f>IF($A477="","",IF(INDEX('潜水記録'!$K$5:$K$3004,$AS477)="","",INDEX('潜水記録'!$K$5:$K$3004,$AS477)))</f>
        <v/>
      </c>
      <c r="M477" s="14">
        <f>IF($A477="","",IF(INDEX('潜水記録'!$L$5:$L$3004,$AS477)="","",INDEX('潜水記録'!$L$5:$L$3004,$AS477)))</f>
        <v/>
      </c>
      <c r="N477" s="14">
        <f>IF($A477="","",IF(INDEX('潜水記録'!$M$5:$M$3004,$AS477)="","",INDEX('潜水記録'!$M$5:$M$3004,$AS477)))</f>
        <v/>
      </c>
      <c r="O477" s="14">
        <f>IF($A477="","",IF(INDEX('潜水記録'!$N$5:$N$3004,$AS477)="","",INDEX('潜水記録'!$N$5:$N$3004,$AS477)))</f>
        <v/>
      </c>
      <c r="P477" s="14">
        <f>IF($A477="","",IF(INDEX('潜水記録'!$O$5:$O$3004,$AS477)="","",INDEX('潜水記録'!$O$5:$O$3004,$AS477)))</f>
        <v/>
      </c>
      <c r="Q477" s="14">
        <f>IF($A477="","",IF(INDEX('潜水記録'!$P$5:$P$3004,$AS477)="","",INDEX('潜水記録'!$P$5:$P$3004,$AS477)))</f>
        <v/>
      </c>
      <c r="R477" s="14">
        <f>IF($A477="","",IF(INDEX('潜水記録'!$Q$5:$Q$3004,$AS477)="","",INDEX('潜水記録'!$Q$5:$Q$3004,$AS477)))</f>
        <v/>
      </c>
      <c r="S477" s="14">
        <f>IF($A477="","",IF(INDEX('潜水記録'!$R$5:$R$3004,$AS477)="","",INDEX('潜水記録'!$R$5:$R$3004,$AS477)))</f>
        <v/>
      </c>
      <c r="T477" s="14">
        <f>IF($A477="","",IF(INDEX('潜水記録'!$S$5:$S$3004,$AS477)="","",INDEX('潜水記録'!$S$5:$S$3004,$AS477)))</f>
        <v/>
      </c>
      <c r="U477" s="14">
        <f>IF($A477="","",IF(INDEX('潜水記録'!$T$5:$T$3004,$AS477)="","",INDEX('潜水記録'!$T$5:$T$3004,$AS477)))</f>
        <v/>
      </c>
      <c r="V477" s="46">
        <f>IF($A477="","",IF(INDEX('潜水記録'!$U$5:$U$3004,$AS477)="","",INDEX('潜水記録'!$U$5:$U$3004,$AS477)))</f>
        <v/>
      </c>
      <c r="W477" s="46">
        <f>IF($A477="","",IF(INDEX('潜水記録'!$V$5:$V$3004,$AS477)="","",INDEX('潜水記録'!$V$5:$V$3004,$AS477)))</f>
        <v/>
      </c>
      <c r="X477" s="14">
        <f>IF($A477="","",IF(INDEX('潜水記録'!$W$5:$W$3004,$AS477)="","",INDEX('潜水記録'!$W$5:$W$3004,$AS477)))</f>
        <v/>
      </c>
      <c r="Y477" s="14">
        <f>IF($A477="","",IF(INDEX('潜水記録'!$X$5:$X$3004,$AS477)="","",INDEX('潜水記録'!$X$5:$X$3004,$AS477)))</f>
        <v/>
      </c>
      <c r="Z477" s="14">
        <f>IF($A477="","",IF(INDEX('潜水記録'!$Y$5:$Y$3004,$AS477)="","",INDEX('潜水記録'!$Y$5:$Y$3004,$AS477)))</f>
        <v/>
      </c>
      <c r="AA477" s="14">
        <f>IF($A477="","",IF(INDEX('潜水記録'!$Z$5:$Z$3004,$AS477)="","",INDEX('潜水記録'!$Z$5:$Z$3004,$AS477)))</f>
        <v/>
      </c>
      <c r="AB477" s="14">
        <f>IF($A477="","",IF(INDEX('潜水記録'!$AA$5:$AA$3004,$AS477)="","",INDEX('潜水記録'!$AA$5:$AA$3004,$AS477)))</f>
        <v/>
      </c>
      <c r="AC477" s="14">
        <f>IF($A477="","",IF(INDEX('潜水記録'!$AB$5:$AB$3004,$AS477)="","",INDEX('潜水記録'!$AB$5:$AB$3004,$AS477)))</f>
        <v/>
      </c>
      <c r="AD477" s="14">
        <f>IF($A477="","",IF(INDEX('潜水記録'!$AC$5:$AC$3004,$AS477)="","",INDEX('潜水記録'!$AC$5:$AC$3004,$AS477)))</f>
        <v/>
      </c>
      <c r="AE477" s="14">
        <f>IF($A477="","",IF(INDEX('潜水記録'!$AD$5:$AD$3004,$AS477)="","",INDEX('潜水記録'!$AD$5:$AD$3004,$AS477)))</f>
        <v/>
      </c>
      <c r="AF477" s="14">
        <f>IF($A477="","",IF(INDEX('潜水記録'!$AE$5:$AE$3004,$AS477)="","",INDEX('潜水記録'!$AE$5:$AE$3004,$AS477)))</f>
        <v/>
      </c>
      <c r="AG477" s="14">
        <f>IF($A477="","",IF(INDEX('潜水記録'!$AL$5:$AL$3004,$AS477)="","",INDEX('潜水記録'!$AL$5:$AL$3004,$AS477)))</f>
        <v/>
      </c>
      <c r="AH477" s="14">
        <f>IF($A477="","",IF(INDEX('潜水記録'!$AM$5:$AM$3004,$AS477)="","",INDEX('潜水記録'!$AM$5:$AM$3004,$AS477)))</f>
        <v/>
      </c>
      <c r="AI477" s="46">
        <f>IF($A477="","",IF(INDEX('潜水記録'!$AN$5:$AN$3004,$AS477)="","",INDEX('潜水記録'!$AN$5:$AN$3004,$AS477)))</f>
        <v/>
      </c>
      <c r="AJ477" s="14">
        <f>IF($A477="","",IF(INDEX('潜水記録'!$AO$5:$AO$3004,$AS477)="","",INDEX('潜水記録'!$AO$5:$AO$3004,$AS477)))</f>
        <v/>
      </c>
      <c r="AK477" s="14">
        <f>IF($A477="","",IF(INDEX('潜水記録'!$AP$5:$AP$3004,$AS477)="","",INDEX('潜水記録'!$AP$5:$AP$3004,$AS477)))</f>
        <v/>
      </c>
      <c r="AL477" s="14">
        <f>IF($A477="","",IF(INDEX('潜水記録'!$AQ$5:$AQ$3004,$AS477)="","",INDEX('潜水記録'!$AQ$5:$AQ$3004,$AS477)))</f>
        <v/>
      </c>
      <c r="AM477" s="14">
        <f>IF($A477="","",IF(INDEX('潜水記録'!$AR$5:$AR$3004,$AS477)="","",INDEX('潜水記録'!$AR$5:$AR$3004,$AS477)))</f>
        <v/>
      </c>
      <c r="AN477" s="14">
        <f>IF($A477="","",IF(INDEX('潜水記録'!$AS$5:$AS$3004,$AS477)="","",INDEX('潜水記録'!$AS$5:$AS$3004,$AS477)))</f>
        <v/>
      </c>
      <c r="AO477" s="14">
        <f>IF($A477="","",IF(INDEX('潜水記録'!$AT$5:$AT$3004,$AS477)="","",INDEX('潜水記録'!$AT$5:$AT$3004,$AS477)))</f>
        <v/>
      </c>
      <c r="AP477" s="14">
        <f>IF($A477="","",IF(INDEX('潜水記録'!$AU$5:$AU$3004,$AS477)="","",INDEX('潜水記録'!$AU$5:$AU$3004,$AS477)))</f>
        <v/>
      </c>
      <c r="AQ477" s="14">
        <f>IF($A477="","",IF(INDEX('潜水記録'!$AV$5:$AV$3004,$AS477)="","",INDEX('潜水記録'!$AV$5:$AV$3004,$AS477)))</f>
        <v/>
      </c>
      <c r="AR477" s="14">
        <f>IF($A477="","",IF(INDEX('潜水記録'!$AW$5:$AW$3004,$AS477)="","",INDEX('潜水記録'!$AW$5:$AW$3004,$AS477)))</f>
        <v/>
      </c>
      <c r="AS477" s="20">
        <f>IF($A477="","",MATCH($A477,'潜水記録'!$AI$5:$AI$3004,0))</f>
        <v/>
      </c>
    </row>
    <row r="478">
      <c r="A478" s="14">
        <f>IF(468&lt;=$C$8,468,"")</f>
        <v/>
      </c>
      <c r="B478" s="16">
        <f>IF($A478="","",IF(INDEX('潜水記録'!$A$5:$A$3004,$AS478)="","",INDEX('潜水記録'!$A$5:$A$3004,$AS478)))</f>
        <v/>
      </c>
      <c r="C478" s="14">
        <f>IF($A478="","",IF(INDEX('潜水記録'!$B$5:$B$3004,$AS478)="","",INDEX('潜水記録'!$B$5:$B$3004,$AS478)))</f>
        <v/>
      </c>
      <c r="D478" s="14">
        <f>IF($A478="","",IF(INDEX('潜水記録'!$C$5:$C$3004,$AS478)="","",INDEX('潜水記録'!$C$5:$C$3004,$AS478)))</f>
        <v/>
      </c>
      <c r="E478" s="14">
        <f>IF($A478="","",IF(INDEX('潜水記録'!$D$5:$D$3004,$AS478)="","",INDEX('潜水記録'!$D$5:$D$3004,$AS478)))</f>
        <v/>
      </c>
      <c r="F478" s="14">
        <f>IF($A478="","",IF(INDEX('潜水記録'!$E$5:$E$3004,$AS478)="","",INDEX('潜水記録'!$E$5:$E$3004,$AS478)))</f>
        <v/>
      </c>
      <c r="G478" s="14">
        <f>IF($A478="","",IF(INDEX('潜水記録'!$F$5:$F$3004,$AS478)="","",INDEX('潜水記録'!$F$5:$F$3004,$AS478)))</f>
        <v/>
      </c>
      <c r="H478" s="14">
        <f>IF($A478="","",IF(INDEX('潜水記録'!$G$5:$G$3004,$AS478)="","",INDEX('潜水記録'!$G$5:$G$3004,$AS478)))</f>
        <v/>
      </c>
      <c r="I478" s="14">
        <f>IF($A478="","",IF(INDEX('潜水記録'!$H$5:$H$3004,$AS478)="","",INDEX('潜水記録'!$H$5:$H$3004,$AS478)))</f>
        <v/>
      </c>
      <c r="J478" s="14">
        <f>IF($A478="","",IF(INDEX('潜水記録'!$I$5:$I$3004,$AS478)="","",INDEX('潜水記録'!$I$5:$I$3004,$AS478)))</f>
        <v/>
      </c>
      <c r="K478" s="14">
        <f>IF($A478="","",IF(INDEX('潜水記録'!$J$5:$J$3004,$AS478)="","",INDEX('潜水記録'!$J$5:$J$3004,$AS478)))</f>
        <v/>
      </c>
      <c r="L478" s="14">
        <f>IF($A478="","",IF(INDEX('潜水記録'!$K$5:$K$3004,$AS478)="","",INDEX('潜水記録'!$K$5:$K$3004,$AS478)))</f>
        <v/>
      </c>
      <c r="M478" s="14">
        <f>IF($A478="","",IF(INDEX('潜水記録'!$L$5:$L$3004,$AS478)="","",INDEX('潜水記録'!$L$5:$L$3004,$AS478)))</f>
        <v/>
      </c>
      <c r="N478" s="14">
        <f>IF($A478="","",IF(INDEX('潜水記録'!$M$5:$M$3004,$AS478)="","",INDEX('潜水記録'!$M$5:$M$3004,$AS478)))</f>
        <v/>
      </c>
      <c r="O478" s="14">
        <f>IF($A478="","",IF(INDEX('潜水記録'!$N$5:$N$3004,$AS478)="","",INDEX('潜水記録'!$N$5:$N$3004,$AS478)))</f>
        <v/>
      </c>
      <c r="P478" s="14">
        <f>IF($A478="","",IF(INDEX('潜水記録'!$O$5:$O$3004,$AS478)="","",INDEX('潜水記録'!$O$5:$O$3004,$AS478)))</f>
        <v/>
      </c>
      <c r="Q478" s="14">
        <f>IF($A478="","",IF(INDEX('潜水記録'!$P$5:$P$3004,$AS478)="","",INDEX('潜水記録'!$P$5:$P$3004,$AS478)))</f>
        <v/>
      </c>
      <c r="R478" s="14">
        <f>IF($A478="","",IF(INDEX('潜水記録'!$Q$5:$Q$3004,$AS478)="","",INDEX('潜水記録'!$Q$5:$Q$3004,$AS478)))</f>
        <v/>
      </c>
      <c r="S478" s="14">
        <f>IF($A478="","",IF(INDEX('潜水記録'!$R$5:$R$3004,$AS478)="","",INDEX('潜水記録'!$R$5:$R$3004,$AS478)))</f>
        <v/>
      </c>
      <c r="T478" s="14">
        <f>IF($A478="","",IF(INDEX('潜水記録'!$S$5:$S$3004,$AS478)="","",INDEX('潜水記録'!$S$5:$S$3004,$AS478)))</f>
        <v/>
      </c>
      <c r="U478" s="14">
        <f>IF($A478="","",IF(INDEX('潜水記録'!$T$5:$T$3004,$AS478)="","",INDEX('潜水記録'!$T$5:$T$3004,$AS478)))</f>
        <v/>
      </c>
      <c r="V478" s="46">
        <f>IF($A478="","",IF(INDEX('潜水記録'!$U$5:$U$3004,$AS478)="","",INDEX('潜水記録'!$U$5:$U$3004,$AS478)))</f>
        <v/>
      </c>
      <c r="W478" s="46">
        <f>IF($A478="","",IF(INDEX('潜水記録'!$V$5:$V$3004,$AS478)="","",INDEX('潜水記録'!$V$5:$V$3004,$AS478)))</f>
        <v/>
      </c>
      <c r="X478" s="14">
        <f>IF($A478="","",IF(INDEX('潜水記録'!$W$5:$W$3004,$AS478)="","",INDEX('潜水記録'!$W$5:$W$3004,$AS478)))</f>
        <v/>
      </c>
      <c r="Y478" s="14">
        <f>IF($A478="","",IF(INDEX('潜水記録'!$X$5:$X$3004,$AS478)="","",INDEX('潜水記録'!$X$5:$X$3004,$AS478)))</f>
        <v/>
      </c>
      <c r="Z478" s="14">
        <f>IF($A478="","",IF(INDEX('潜水記録'!$Y$5:$Y$3004,$AS478)="","",INDEX('潜水記録'!$Y$5:$Y$3004,$AS478)))</f>
        <v/>
      </c>
      <c r="AA478" s="14">
        <f>IF($A478="","",IF(INDEX('潜水記録'!$Z$5:$Z$3004,$AS478)="","",INDEX('潜水記録'!$Z$5:$Z$3004,$AS478)))</f>
        <v/>
      </c>
      <c r="AB478" s="14">
        <f>IF($A478="","",IF(INDEX('潜水記録'!$AA$5:$AA$3004,$AS478)="","",INDEX('潜水記録'!$AA$5:$AA$3004,$AS478)))</f>
        <v/>
      </c>
      <c r="AC478" s="14">
        <f>IF($A478="","",IF(INDEX('潜水記録'!$AB$5:$AB$3004,$AS478)="","",INDEX('潜水記録'!$AB$5:$AB$3004,$AS478)))</f>
        <v/>
      </c>
      <c r="AD478" s="14">
        <f>IF($A478="","",IF(INDEX('潜水記録'!$AC$5:$AC$3004,$AS478)="","",INDEX('潜水記録'!$AC$5:$AC$3004,$AS478)))</f>
        <v/>
      </c>
      <c r="AE478" s="14">
        <f>IF($A478="","",IF(INDEX('潜水記録'!$AD$5:$AD$3004,$AS478)="","",INDEX('潜水記録'!$AD$5:$AD$3004,$AS478)))</f>
        <v/>
      </c>
      <c r="AF478" s="14">
        <f>IF($A478="","",IF(INDEX('潜水記録'!$AE$5:$AE$3004,$AS478)="","",INDEX('潜水記録'!$AE$5:$AE$3004,$AS478)))</f>
        <v/>
      </c>
      <c r="AG478" s="14">
        <f>IF($A478="","",IF(INDEX('潜水記録'!$AL$5:$AL$3004,$AS478)="","",INDEX('潜水記録'!$AL$5:$AL$3004,$AS478)))</f>
        <v/>
      </c>
      <c r="AH478" s="14">
        <f>IF($A478="","",IF(INDEX('潜水記録'!$AM$5:$AM$3004,$AS478)="","",INDEX('潜水記録'!$AM$5:$AM$3004,$AS478)))</f>
        <v/>
      </c>
      <c r="AI478" s="46">
        <f>IF($A478="","",IF(INDEX('潜水記録'!$AN$5:$AN$3004,$AS478)="","",INDEX('潜水記録'!$AN$5:$AN$3004,$AS478)))</f>
        <v/>
      </c>
      <c r="AJ478" s="14">
        <f>IF($A478="","",IF(INDEX('潜水記録'!$AO$5:$AO$3004,$AS478)="","",INDEX('潜水記録'!$AO$5:$AO$3004,$AS478)))</f>
        <v/>
      </c>
      <c r="AK478" s="14">
        <f>IF($A478="","",IF(INDEX('潜水記録'!$AP$5:$AP$3004,$AS478)="","",INDEX('潜水記録'!$AP$5:$AP$3004,$AS478)))</f>
        <v/>
      </c>
      <c r="AL478" s="14">
        <f>IF($A478="","",IF(INDEX('潜水記録'!$AQ$5:$AQ$3004,$AS478)="","",INDEX('潜水記録'!$AQ$5:$AQ$3004,$AS478)))</f>
        <v/>
      </c>
      <c r="AM478" s="14">
        <f>IF($A478="","",IF(INDEX('潜水記録'!$AR$5:$AR$3004,$AS478)="","",INDEX('潜水記録'!$AR$5:$AR$3004,$AS478)))</f>
        <v/>
      </c>
      <c r="AN478" s="14">
        <f>IF($A478="","",IF(INDEX('潜水記録'!$AS$5:$AS$3004,$AS478)="","",INDEX('潜水記録'!$AS$5:$AS$3004,$AS478)))</f>
        <v/>
      </c>
      <c r="AO478" s="14">
        <f>IF($A478="","",IF(INDEX('潜水記録'!$AT$5:$AT$3004,$AS478)="","",INDEX('潜水記録'!$AT$5:$AT$3004,$AS478)))</f>
        <v/>
      </c>
      <c r="AP478" s="14">
        <f>IF($A478="","",IF(INDEX('潜水記録'!$AU$5:$AU$3004,$AS478)="","",INDEX('潜水記録'!$AU$5:$AU$3004,$AS478)))</f>
        <v/>
      </c>
      <c r="AQ478" s="14">
        <f>IF($A478="","",IF(INDEX('潜水記録'!$AV$5:$AV$3004,$AS478)="","",INDEX('潜水記録'!$AV$5:$AV$3004,$AS478)))</f>
        <v/>
      </c>
      <c r="AR478" s="14">
        <f>IF($A478="","",IF(INDEX('潜水記録'!$AW$5:$AW$3004,$AS478)="","",INDEX('潜水記録'!$AW$5:$AW$3004,$AS478)))</f>
        <v/>
      </c>
      <c r="AS478" s="20">
        <f>IF($A478="","",MATCH($A478,'潜水記録'!$AI$5:$AI$3004,0))</f>
        <v/>
      </c>
    </row>
    <row r="479">
      <c r="A479" s="14">
        <f>IF(469&lt;=$C$8,469,"")</f>
        <v/>
      </c>
      <c r="B479" s="16">
        <f>IF($A479="","",IF(INDEX('潜水記録'!$A$5:$A$3004,$AS479)="","",INDEX('潜水記録'!$A$5:$A$3004,$AS479)))</f>
        <v/>
      </c>
      <c r="C479" s="14">
        <f>IF($A479="","",IF(INDEX('潜水記録'!$B$5:$B$3004,$AS479)="","",INDEX('潜水記録'!$B$5:$B$3004,$AS479)))</f>
        <v/>
      </c>
      <c r="D479" s="14">
        <f>IF($A479="","",IF(INDEX('潜水記録'!$C$5:$C$3004,$AS479)="","",INDEX('潜水記録'!$C$5:$C$3004,$AS479)))</f>
        <v/>
      </c>
      <c r="E479" s="14">
        <f>IF($A479="","",IF(INDEX('潜水記録'!$D$5:$D$3004,$AS479)="","",INDEX('潜水記録'!$D$5:$D$3004,$AS479)))</f>
        <v/>
      </c>
      <c r="F479" s="14">
        <f>IF($A479="","",IF(INDEX('潜水記録'!$E$5:$E$3004,$AS479)="","",INDEX('潜水記録'!$E$5:$E$3004,$AS479)))</f>
        <v/>
      </c>
      <c r="G479" s="14">
        <f>IF($A479="","",IF(INDEX('潜水記録'!$F$5:$F$3004,$AS479)="","",INDEX('潜水記録'!$F$5:$F$3004,$AS479)))</f>
        <v/>
      </c>
      <c r="H479" s="14">
        <f>IF($A479="","",IF(INDEX('潜水記録'!$G$5:$G$3004,$AS479)="","",INDEX('潜水記録'!$G$5:$G$3004,$AS479)))</f>
        <v/>
      </c>
      <c r="I479" s="14">
        <f>IF($A479="","",IF(INDEX('潜水記録'!$H$5:$H$3004,$AS479)="","",INDEX('潜水記録'!$H$5:$H$3004,$AS479)))</f>
        <v/>
      </c>
      <c r="J479" s="14">
        <f>IF($A479="","",IF(INDEX('潜水記録'!$I$5:$I$3004,$AS479)="","",INDEX('潜水記録'!$I$5:$I$3004,$AS479)))</f>
        <v/>
      </c>
      <c r="K479" s="14">
        <f>IF($A479="","",IF(INDEX('潜水記録'!$J$5:$J$3004,$AS479)="","",INDEX('潜水記録'!$J$5:$J$3004,$AS479)))</f>
        <v/>
      </c>
      <c r="L479" s="14">
        <f>IF($A479="","",IF(INDEX('潜水記録'!$K$5:$K$3004,$AS479)="","",INDEX('潜水記録'!$K$5:$K$3004,$AS479)))</f>
        <v/>
      </c>
      <c r="M479" s="14">
        <f>IF($A479="","",IF(INDEX('潜水記録'!$L$5:$L$3004,$AS479)="","",INDEX('潜水記録'!$L$5:$L$3004,$AS479)))</f>
        <v/>
      </c>
      <c r="N479" s="14">
        <f>IF($A479="","",IF(INDEX('潜水記録'!$M$5:$M$3004,$AS479)="","",INDEX('潜水記録'!$M$5:$M$3004,$AS479)))</f>
        <v/>
      </c>
      <c r="O479" s="14">
        <f>IF($A479="","",IF(INDEX('潜水記録'!$N$5:$N$3004,$AS479)="","",INDEX('潜水記録'!$N$5:$N$3004,$AS479)))</f>
        <v/>
      </c>
      <c r="P479" s="14">
        <f>IF($A479="","",IF(INDEX('潜水記録'!$O$5:$O$3004,$AS479)="","",INDEX('潜水記録'!$O$5:$O$3004,$AS479)))</f>
        <v/>
      </c>
      <c r="Q479" s="14">
        <f>IF($A479="","",IF(INDEX('潜水記録'!$P$5:$P$3004,$AS479)="","",INDEX('潜水記録'!$P$5:$P$3004,$AS479)))</f>
        <v/>
      </c>
      <c r="R479" s="14">
        <f>IF($A479="","",IF(INDEX('潜水記録'!$Q$5:$Q$3004,$AS479)="","",INDEX('潜水記録'!$Q$5:$Q$3004,$AS479)))</f>
        <v/>
      </c>
      <c r="S479" s="14">
        <f>IF($A479="","",IF(INDEX('潜水記録'!$R$5:$R$3004,$AS479)="","",INDEX('潜水記録'!$R$5:$R$3004,$AS479)))</f>
        <v/>
      </c>
      <c r="T479" s="14">
        <f>IF($A479="","",IF(INDEX('潜水記録'!$S$5:$S$3004,$AS479)="","",INDEX('潜水記録'!$S$5:$S$3004,$AS479)))</f>
        <v/>
      </c>
      <c r="U479" s="14">
        <f>IF($A479="","",IF(INDEX('潜水記録'!$T$5:$T$3004,$AS479)="","",INDEX('潜水記録'!$T$5:$T$3004,$AS479)))</f>
        <v/>
      </c>
      <c r="V479" s="46">
        <f>IF($A479="","",IF(INDEX('潜水記録'!$U$5:$U$3004,$AS479)="","",INDEX('潜水記録'!$U$5:$U$3004,$AS479)))</f>
        <v/>
      </c>
      <c r="W479" s="46">
        <f>IF($A479="","",IF(INDEX('潜水記録'!$V$5:$V$3004,$AS479)="","",INDEX('潜水記録'!$V$5:$V$3004,$AS479)))</f>
        <v/>
      </c>
      <c r="X479" s="14">
        <f>IF($A479="","",IF(INDEX('潜水記録'!$W$5:$W$3004,$AS479)="","",INDEX('潜水記録'!$W$5:$W$3004,$AS479)))</f>
        <v/>
      </c>
      <c r="Y479" s="14">
        <f>IF($A479="","",IF(INDEX('潜水記録'!$X$5:$X$3004,$AS479)="","",INDEX('潜水記録'!$X$5:$X$3004,$AS479)))</f>
        <v/>
      </c>
      <c r="Z479" s="14">
        <f>IF($A479="","",IF(INDEX('潜水記録'!$Y$5:$Y$3004,$AS479)="","",INDEX('潜水記録'!$Y$5:$Y$3004,$AS479)))</f>
        <v/>
      </c>
      <c r="AA479" s="14">
        <f>IF($A479="","",IF(INDEX('潜水記録'!$Z$5:$Z$3004,$AS479)="","",INDEX('潜水記録'!$Z$5:$Z$3004,$AS479)))</f>
        <v/>
      </c>
      <c r="AB479" s="14">
        <f>IF($A479="","",IF(INDEX('潜水記録'!$AA$5:$AA$3004,$AS479)="","",INDEX('潜水記録'!$AA$5:$AA$3004,$AS479)))</f>
        <v/>
      </c>
      <c r="AC479" s="14">
        <f>IF($A479="","",IF(INDEX('潜水記録'!$AB$5:$AB$3004,$AS479)="","",INDEX('潜水記録'!$AB$5:$AB$3004,$AS479)))</f>
        <v/>
      </c>
      <c r="AD479" s="14">
        <f>IF($A479="","",IF(INDEX('潜水記録'!$AC$5:$AC$3004,$AS479)="","",INDEX('潜水記録'!$AC$5:$AC$3004,$AS479)))</f>
        <v/>
      </c>
      <c r="AE479" s="14">
        <f>IF($A479="","",IF(INDEX('潜水記録'!$AD$5:$AD$3004,$AS479)="","",INDEX('潜水記録'!$AD$5:$AD$3004,$AS479)))</f>
        <v/>
      </c>
      <c r="AF479" s="14">
        <f>IF($A479="","",IF(INDEX('潜水記録'!$AE$5:$AE$3004,$AS479)="","",INDEX('潜水記録'!$AE$5:$AE$3004,$AS479)))</f>
        <v/>
      </c>
      <c r="AG479" s="14">
        <f>IF($A479="","",IF(INDEX('潜水記録'!$AL$5:$AL$3004,$AS479)="","",INDEX('潜水記録'!$AL$5:$AL$3004,$AS479)))</f>
        <v/>
      </c>
      <c r="AH479" s="14">
        <f>IF($A479="","",IF(INDEX('潜水記録'!$AM$5:$AM$3004,$AS479)="","",INDEX('潜水記録'!$AM$5:$AM$3004,$AS479)))</f>
        <v/>
      </c>
      <c r="AI479" s="46">
        <f>IF($A479="","",IF(INDEX('潜水記録'!$AN$5:$AN$3004,$AS479)="","",INDEX('潜水記録'!$AN$5:$AN$3004,$AS479)))</f>
        <v/>
      </c>
      <c r="AJ479" s="14">
        <f>IF($A479="","",IF(INDEX('潜水記録'!$AO$5:$AO$3004,$AS479)="","",INDEX('潜水記録'!$AO$5:$AO$3004,$AS479)))</f>
        <v/>
      </c>
      <c r="AK479" s="14">
        <f>IF($A479="","",IF(INDEX('潜水記録'!$AP$5:$AP$3004,$AS479)="","",INDEX('潜水記録'!$AP$5:$AP$3004,$AS479)))</f>
        <v/>
      </c>
      <c r="AL479" s="14">
        <f>IF($A479="","",IF(INDEX('潜水記録'!$AQ$5:$AQ$3004,$AS479)="","",INDEX('潜水記録'!$AQ$5:$AQ$3004,$AS479)))</f>
        <v/>
      </c>
      <c r="AM479" s="14">
        <f>IF($A479="","",IF(INDEX('潜水記録'!$AR$5:$AR$3004,$AS479)="","",INDEX('潜水記録'!$AR$5:$AR$3004,$AS479)))</f>
        <v/>
      </c>
      <c r="AN479" s="14">
        <f>IF($A479="","",IF(INDEX('潜水記録'!$AS$5:$AS$3004,$AS479)="","",INDEX('潜水記録'!$AS$5:$AS$3004,$AS479)))</f>
        <v/>
      </c>
      <c r="AO479" s="14">
        <f>IF($A479="","",IF(INDEX('潜水記録'!$AT$5:$AT$3004,$AS479)="","",INDEX('潜水記録'!$AT$5:$AT$3004,$AS479)))</f>
        <v/>
      </c>
      <c r="AP479" s="14">
        <f>IF($A479="","",IF(INDEX('潜水記録'!$AU$5:$AU$3004,$AS479)="","",INDEX('潜水記録'!$AU$5:$AU$3004,$AS479)))</f>
        <v/>
      </c>
      <c r="AQ479" s="14">
        <f>IF($A479="","",IF(INDEX('潜水記録'!$AV$5:$AV$3004,$AS479)="","",INDEX('潜水記録'!$AV$5:$AV$3004,$AS479)))</f>
        <v/>
      </c>
      <c r="AR479" s="14">
        <f>IF($A479="","",IF(INDEX('潜水記録'!$AW$5:$AW$3004,$AS479)="","",INDEX('潜水記録'!$AW$5:$AW$3004,$AS479)))</f>
        <v/>
      </c>
      <c r="AS479" s="20">
        <f>IF($A479="","",MATCH($A479,'潜水記録'!$AI$5:$AI$3004,0))</f>
        <v/>
      </c>
    </row>
    <row r="480">
      <c r="A480" s="14">
        <f>IF(470&lt;=$C$8,470,"")</f>
        <v/>
      </c>
      <c r="B480" s="16">
        <f>IF($A480="","",IF(INDEX('潜水記録'!$A$5:$A$3004,$AS480)="","",INDEX('潜水記録'!$A$5:$A$3004,$AS480)))</f>
        <v/>
      </c>
      <c r="C480" s="14">
        <f>IF($A480="","",IF(INDEX('潜水記録'!$B$5:$B$3004,$AS480)="","",INDEX('潜水記録'!$B$5:$B$3004,$AS480)))</f>
        <v/>
      </c>
      <c r="D480" s="14">
        <f>IF($A480="","",IF(INDEX('潜水記録'!$C$5:$C$3004,$AS480)="","",INDEX('潜水記録'!$C$5:$C$3004,$AS480)))</f>
        <v/>
      </c>
      <c r="E480" s="14">
        <f>IF($A480="","",IF(INDEX('潜水記録'!$D$5:$D$3004,$AS480)="","",INDEX('潜水記録'!$D$5:$D$3004,$AS480)))</f>
        <v/>
      </c>
      <c r="F480" s="14">
        <f>IF($A480="","",IF(INDEX('潜水記録'!$E$5:$E$3004,$AS480)="","",INDEX('潜水記録'!$E$5:$E$3004,$AS480)))</f>
        <v/>
      </c>
      <c r="G480" s="14">
        <f>IF($A480="","",IF(INDEX('潜水記録'!$F$5:$F$3004,$AS480)="","",INDEX('潜水記録'!$F$5:$F$3004,$AS480)))</f>
        <v/>
      </c>
      <c r="H480" s="14">
        <f>IF($A480="","",IF(INDEX('潜水記録'!$G$5:$G$3004,$AS480)="","",INDEX('潜水記録'!$G$5:$G$3004,$AS480)))</f>
        <v/>
      </c>
      <c r="I480" s="14">
        <f>IF($A480="","",IF(INDEX('潜水記録'!$H$5:$H$3004,$AS480)="","",INDEX('潜水記録'!$H$5:$H$3004,$AS480)))</f>
        <v/>
      </c>
      <c r="J480" s="14">
        <f>IF($A480="","",IF(INDEX('潜水記録'!$I$5:$I$3004,$AS480)="","",INDEX('潜水記録'!$I$5:$I$3004,$AS480)))</f>
        <v/>
      </c>
      <c r="K480" s="14">
        <f>IF($A480="","",IF(INDEX('潜水記録'!$J$5:$J$3004,$AS480)="","",INDEX('潜水記録'!$J$5:$J$3004,$AS480)))</f>
        <v/>
      </c>
      <c r="L480" s="14">
        <f>IF($A480="","",IF(INDEX('潜水記録'!$K$5:$K$3004,$AS480)="","",INDEX('潜水記録'!$K$5:$K$3004,$AS480)))</f>
        <v/>
      </c>
      <c r="M480" s="14">
        <f>IF($A480="","",IF(INDEX('潜水記録'!$L$5:$L$3004,$AS480)="","",INDEX('潜水記録'!$L$5:$L$3004,$AS480)))</f>
        <v/>
      </c>
      <c r="N480" s="14">
        <f>IF($A480="","",IF(INDEX('潜水記録'!$M$5:$M$3004,$AS480)="","",INDEX('潜水記録'!$M$5:$M$3004,$AS480)))</f>
        <v/>
      </c>
      <c r="O480" s="14">
        <f>IF($A480="","",IF(INDEX('潜水記録'!$N$5:$N$3004,$AS480)="","",INDEX('潜水記録'!$N$5:$N$3004,$AS480)))</f>
        <v/>
      </c>
      <c r="P480" s="14">
        <f>IF($A480="","",IF(INDEX('潜水記録'!$O$5:$O$3004,$AS480)="","",INDEX('潜水記録'!$O$5:$O$3004,$AS480)))</f>
        <v/>
      </c>
      <c r="Q480" s="14">
        <f>IF($A480="","",IF(INDEX('潜水記録'!$P$5:$P$3004,$AS480)="","",INDEX('潜水記録'!$P$5:$P$3004,$AS480)))</f>
        <v/>
      </c>
      <c r="R480" s="14">
        <f>IF($A480="","",IF(INDEX('潜水記録'!$Q$5:$Q$3004,$AS480)="","",INDEX('潜水記録'!$Q$5:$Q$3004,$AS480)))</f>
        <v/>
      </c>
      <c r="S480" s="14">
        <f>IF($A480="","",IF(INDEX('潜水記録'!$R$5:$R$3004,$AS480)="","",INDEX('潜水記録'!$R$5:$R$3004,$AS480)))</f>
        <v/>
      </c>
      <c r="T480" s="14">
        <f>IF($A480="","",IF(INDEX('潜水記録'!$S$5:$S$3004,$AS480)="","",INDEX('潜水記録'!$S$5:$S$3004,$AS480)))</f>
        <v/>
      </c>
      <c r="U480" s="14">
        <f>IF($A480="","",IF(INDEX('潜水記録'!$T$5:$T$3004,$AS480)="","",INDEX('潜水記録'!$T$5:$T$3004,$AS480)))</f>
        <v/>
      </c>
      <c r="V480" s="46">
        <f>IF($A480="","",IF(INDEX('潜水記録'!$U$5:$U$3004,$AS480)="","",INDEX('潜水記録'!$U$5:$U$3004,$AS480)))</f>
        <v/>
      </c>
      <c r="W480" s="46">
        <f>IF($A480="","",IF(INDEX('潜水記録'!$V$5:$V$3004,$AS480)="","",INDEX('潜水記録'!$V$5:$V$3004,$AS480)))</f>
        <v/>
      </c>
      <c r="X480" s="14">
        <f>IF($A480="","",IF(INDEX('潜水記録'!$W$5:$W$3004,$AS480)="","",INDEX('潜水記録'!$W$5:$W$3004,$AS480)))</f>
        <v/>
      </c>
      <c r="Y480" s="14">
        <f>IF($A480="","",IF(INDEX('潜水記録'!$X$5:$X$3004,$AS480)="","",INDEX('潜水記録'!$X$5:$X$3004,$AS480)))</f>
        <v/>
      </c>
      <c r="Z480" s="14">
        <f>IF($A480="","",IF(INDEX('潜水記録'!$Y$5:$Y$3004,$AS480)="","",INDEX('潜水記録'!$Y$5:$Y$3004,$AS480)))</f>
        <v/>
      </c>
      <c r="AA480" s="14">
        <f>IF($A480="","",IF(INDEX('潜水記録'!$Z$5:$Z$3004,$AS480)="","",INDEX('潜水記録'!$Z$5:$Z$3004,$AS480)))</f>
        <v/>
      </c>
      <c r="AB480" s="14">
        <f>IF($A480="","",IF(INDEX('潜水記録'!$AA$5:$AA$3004,$AS480)="","",INDEX('潜水記録'!$AA$5:$AA$3004,$AS480)))</f>
        <v/>
      </c>
      <c r="AC480" s="14">
        <f>IF($A480="","",IF(INDEX('潜水記録'!$AB$5:$AB$3004,$AS480)="","",INDEX('潜水記録'!$AB$5:$AB$3004,$AS480)))</f>
        <v/>
      </c>
      <c r="AD480" s="14">
        <f>IF($A480="","",IF(INDEX('潜水記録'!$AC$5:$AC$3004,$AS480)="","",INDEX('潜水記録'!$AC$5:$AC$3004,$AS480)))</f>
        <v/>
      </c>
      <c r="AE480" s="14">
        <f>IF($A480="","",IF(INDEX('潜水記録'!$AD$5:$AD$3004,$AS480)="","",INDEX('潜水記録'!$AD$5:$AD$3004,$AS480)))</f>
        <v/>
      </c>
      <c r="AF480" s="14">
        <f>IF($A480="","",IF(INDEX('潜水記録'!$AE$5:$AE$3004,$AS480)="","",INDEX('潜水記録'!$AE$5:$AE$3004,$AS480)))</f>
        <v/>
      </c>
      <c r="AG480" s="14">
        <f>IF($A480="","",IF(INDEX('潜水記録'!$AL$5:$AL$3004,$AS480)="","",INDEX('潜水記録'!$AL$5:$AL$3004,$AS480)))</f>
        <v/>
      </c>
      <c r="AH480" s="14">
        <f>IF($A480="","",IF(INDEX('潜水記録'!$AM$5:$AM$3004,$AS480)="","",INDEX('潜水記録'!$AM$5:$AM$3004,$AS480)))</f>
        <v/>
      </c>
      <c r="AI480" s="46">
        <f>IF($A480="","",IF(INDEX('潜水記録'!$AN$5:$AN$3004,$AS480)="","",INDEX('潜水記録'!$AN$5:$AN$3004,$AS480)))</f>
        <v/>
      </c>
      <c r="AJ480" s="14">
        <f>IF($A480="","",IF(INDEX('潜水記録'!$AO$5:$AO$3004,$AS480)="","",INDEX('潜水記録'!$AO$5:$AO$3004,$AS480)))</f>
        <v/>
      </c>
      <c r="AK480" s="14">
        <f>IF($A480="","",IF(INDEX('潜水記録'!$AP$5:$AP$3004,$AS480)="","",INDEX('潜水記録'!$AP$5:$AP$3004,$AS480)))</f>
        <v/>
      </c>
      <c r="AL480" s="14">
        <f>IF($A480="","",IF(INDEX('潜水記録'!$AQ$5:$AQ$3004,$AS480)="","",INDEX('潜水記録'!$AQ$5:$AQ$3004,$AS480)))</f>
        <v/>
      </c>
      <c r="AM480" s="14">
        <f>IF($A480="","",IF(INDEX('潜水記録'!$AR$5:$AR$3004,$AS480)="","",INDEX('潜水記録'!$AR$5:$AR$3004,$AS480)))</f>
        <v/>
      </c>
      <c r="AN480" s="14">
        <f>IF($A480="","",IF(INDEX('潜水記録'!$AS$5:$AS$3004,$AS480)="","",INDEX('潜水記録'!$AS$5:$AS$3004,$AS480)))</f>
        <v/>
      </c>
      <c r="AO480" s="14">
        <f>IF($A480="","",IF(INDEX('潜水記録'!$AT$5:$AT$3004,$AS480)="","",INDEX('潜水記録'!$AT$5:$AT$3004,$AS480)))</f>
        <v/>
      </c>
      <c r="AP480" s="14">
        <f>IF($A480="","",IF(INDEX('潜水記録'!$AU$5:$AU$3004,$AS480)="","",INDEX('潜水記録'!$AU$5:$AU$3004,$AS480)))</f>
        <v/>
      </c>
      <c r="AQ480" s="14">
        <f>IF($A480="","",IF(INDEX('潜水記録'!$AV$5:$AV$3004,$AS480)="","",INDEX('潜水記録'!$AV$5:$AV$3004,$AS480)))</f>
        <v/>
      </c>
      <c r="AR480" s="14">
        <f>IF($A480="","",IF(INDEX('潜水記録'!$AW$5:$AW$3004,$AS480)="","",INDEX('潜水記録'!$AW$5:$AW$3004,$AS480)))</f>
        <v/>
      </c>
      <c r="AS480" s="20">
        <f>IF($A480="","",MATCH($A480,'潜水記録'!$AI$5:$AI$3004,0))</f>
        <v/>
      </c>
    </row>
    <row r="481">
      <c r="A481" s="14">
        <f>IF(471&lt;=$C$8,471,"")</f>
        <v/>
      </c>
      <c r="B481" s="16">
        <f>IF($A481="","",IF(INDEX('潜水記録'!$A$5:$A$3004,$AS481)="","",INDEX('潜水記録'!$A$5:$A$3004,$AS481)))</f>
        <v/>
      </c>
      <c r="C481" s="14">
        <f>IF($A481="","",IF(INDEX('潜水記録'!$B$5:$B$3004,$AS481)="","",INDEX('潜水記録'!$B$5:$B$3004,$AS481)))</f>
        <v/>
      </c>
      <c r="D481" s="14">
        <f>IF($A481="","",IF(INDEX('潜水記録'!$C$5:$C$3004,$AS481)="","",INDEX('潜水記録'!$C$5:$C$3004,$AS481)))</f>
        <v/>
      </c>
      <c r="E481" s="14">
        <f>IF($A481="","",IF(INDEX('潜水記録'!$D$5:$D$3004,$AS481)="","",INDEX('潜水記録'!$D$5:$D$3004,$AS481)))</f>
        <v/>
      </c>
      <c r="F481" s="14">
        <f>IF($A481="","",IF(INDEX('潜水記録'!$E$5:$E$3004,$AS481)="","",INDEX('潜水記録'!$E$5:$E$3004,$AS481)))</f>
        <v/>
      </c>
      <c r="G481" s="14">
        <f>IF($A481="","",IF(INDEX('潜水記録'!$F$5:$F$3004,$AS481)="","",INDEX('潜水記録'!$F$5:$F$3004,$AS481)))</f>
        <v/>
      </c>
      <c r="H481" s="14">
        <f>IF($A481="","",IF(INDEX('潜水記録'!$G$5:$G$3004,$AS481)="","",INDEX('潜水記録'!$G$5:$G$3004,$AS481)))</f>
        <v/>
      </c>
      <c r="I481" s="14">
        <f>IF($A481="","",IF(INDEX('潜水記録'!$H$5:$H$3004,$AS481)="","",INDEX('潜水記録'!$H$5:$H$3004,$AS481)))</f>
        <v/>
      </c>
      <c r="J481" s="14">
        <f>IF($A481="","",IF(INDEX('潜水記録'!$I$5:$I$3004,$AS481)="","",INDEX('潜水記録'!$I$5:$I$3004,$AS481)))</f>
        <v/>
      </c>
      <c r="K481" s="14">
        <f>IF($A481="","",IF(INDEX('潜水記録'!$J$5:$J$3004,$AS481)="","",INDEX('潜水記録'!$J$5:$J$3004,$AS481)))</f>
        <v/>
      </c>
      <c r="L481" s="14">
        <f>IF($A481="","",IF(INDEX('潜水記録'!$K$5:$K$3004,$AS481)="","",INDEX('潜水記録'!$K$5:$K$3004,$AS481)))</f>
        <v/>
      </c>
      <c r="M481" s="14">
        <f>IF($A481="","",IF(INDEX('潜水記録'!$L$5:$L$3004,$AS481)="","",INDEX('潜水記録'!$L$5:$L$3004,$AS481)))</f>
        <v/>
      </c>
      <c r="N481" s="14">
        <f>IF($A481="","",IF(INDEX('潜水記録'!$M$5:$M$3004,$AS481)="","",INDEX('潜水記録'!$M$5:$M$3004,$AS481)))</f>
        <v/>
      </c>
      <c r="O481" s="14">
        <f>IF($A481="","",IF(INDEX('潜水記録'!$N$5:$N$3004,$AS481)="","",INDEX('潜水記録'!$N$5:$N$3004,$AS481)))</f>
        <v/>
      </c>
      <c r="P481" s="14">
        <f>IF($A481="","",IF(INDEX('潜水記録'!$O$5:$O$3004,$AS481)="","",INDEX('潜水記録'!$O$5:$O$3004,$AS481)))</f>
        <v/>
      </c>
      <c r="Q481" s="14">
        <f>IF($A481="","",IF(INDEX('潜水記録'!$P$5:$P$3004,$AS481)="","",INDEX('潜水記録'!$P$5:$P$3004,$AS481)))</f>
        <v/>
      </c>
      <c r="R481" s="14">
        <f>IF($A481="","",IF(INDEX('潜水記録'!$Q$5:$Q$3004,$AS481)="","",INDEX('潜水記録'!$Q$5:$Q$3004,$AS481)))</f>
        <v/>
      </c>
      <c r="S481" s="14">
        <f>IF($A481="","",IF(INDEX('潜水記録'!$R$5:$R$3004,$AS481)="","",INDEX('潜水記録'!$R$5:$R$3004,$AS481)))</f>
        <v/>
      </c>
      <c r="T481" s="14">
        <f>IF($A481="","",IF(INDEX('潜水記録'!$S$5:$S$3004,$AS481)="","",INDEX('潜水記録'!$S$5:$S$3004,$AS481)))</f>
        <v/>
      </c>
      <c r="U481" s="14">
        <f>IF($A481="","",IF(INDEX('潜水記録'!$T$5:$T$3004,$AS481)="","",INDEX('潜水記録'!$T$5:$T$3004,$AS481)))</f>
        <v/>
      </c>
      <c r="V481" s="46">
        <f>IF($A481="","",IF(INDEX('潜水記録'!$U$5:$U$3004,$AS481)="","",INDEX('潜水記録'!$U$5:$U$3004,$AS481)))</f>
        <v/>
      </c>
      <c r="W481" s="46">
        <f>IF($A481="","",IF(INDEX('潜水記録'!$V$5:$V$3004,$AS481)="","",INDEX('潜水記録'!$V$5:$V$3004,$AS481)))</f>
        <v/>
      </c>
      <c r="X481" s="14">
        <f>IF($A481="","",IF(INDEX('潜水記録'!$W$5:$W$3004,$AS481)="","",INDEX('潜水記録'!$W$5:$W$3004,$AS481)))</f>
        <v/>
      </c>
      <c r="Y481" s="14">
        <f>IF($A481="","",IF(INDEX('潜水記録'!$X$5:$X$3004,$AS481)="","",INDEX('潜水記録'!$X$5:$X$3004,$AS481)))</f>
        <v/>
      </c>
      <c r="Z481" s="14">
        <f>IF($A481="","",IF(INDEX('潜水記録'!$Y$5:$Y$3004,$AS481)="","",INDEX('潜水記録'!$Y$5:$Y$3004,$AS481)))</f>
        <v/>
      </c>
      <c r="AA481" s="14">
        <f>IF($A481="","",IF(INDEX('潜水記録'!$Z$5:$Z$3004,$AS481)="","",INDEX('潜水記録'!$Z$5:$Z$3004,$AS481)))</f>
        <v/>
      </c>
      <c r="AB481" s="14">
        <f>IF($A481="","",IF(INDEX('潜水記録'!$AA$5:$AA$3004,$AS481)="","",INDEX('潜水記録'!$AA$5:$AA$3004,$AS481)))</f>
        <v/>
      </c>
      <c r="AC481" s="14">
        <f>IF($A481="","",IF(INDEX('潜水記録'!$AB$5:$AB$3004,$AS481)="","",INDEX('潜水記録'!$AB$5:$AB$3004,$AS481)))</f>
        <v/>
      </c>
      <c r="AD481" s="14">
        <f>IF($A481="","",IF(INDEX('潜水記録'!$AC$5:$AC$3004,$AS481)="","",INDEX('潜水記録'!$AC$5:$AC$3004,$AS481)))</f>
        <v/>
      </c>
      <c r="AE481" s="14">
        <f>IF($A481="","",IF(INDEX('潜水記録'!$AD$5:$AD$3004,$AS481)="","",INDEX('潜水記録'!$AD$5:$AD$3004,$AS481)))</f>
        <v/>
      </c>
      <c r="AF481" s="14">
        <f>IF($A481="","",IF(INDEX('潜水記録'!$AE$5:$AE$3004,$AS481)="","",INDEX('潜水記録'!$AE$5:$AE$3004,$AS481)))</f>
        <v/>
      </c>
      <c r="AG481" s="14">
        <f>IF($A481="","",IF(INDEX('潜水記録'!$AL$5:$AL$3004,$AS481)="","",INDEX('潜水記録'!$AL$5:$AL$3004,$AS481)))</f>
        <v/>
      </c>
      <c r="AH481" s="14">
        <f>IF($A481="","",IF(INDEX('潜水記録'!$AM$5:$AM$3004,$AS481)="","",INDEX('潜水記録'!$AM$5:$AM$3004,$AS481)))</f>
        <v/>
      </c>
      <c r="AI481" s="46">
        <f>IF($A481="","",IF(INDEX('潜水記録'!$AN$5:$AN$3004,$AS481)="","",INDEX('潜水記録'!$AN$5:$AN$3004,$AS481)))</f>
        <v/>
      </c>
      <c r="AJ481" s="14">
        <f>IF($A481="","",IF(INDEX('潜水記録'!$AO$5:$AO$3004,$AS481)="","",INDEX('潜水記録'!$AO$5:$AO$3004,$AS481)))</f>
        <v/>
      </c>
      <c r="AK481" s="14">
        <f>IF($A481="","",IF(INDEX('潜水記録'!$AP$5:$AP$3004,$AS481)="","",INDEX('潜水記録'!$AP$5:$AP$3004,$AS481)))</f>
        <v/>
      </c>
      <c r="AL481" s="14">
        <f>IF($A481="","",IF(INDEX('潜水記録'!$AQ$5:$AQ$3004,$AS481)="","",INDEX('潜水記録'!$AQ$5:$AQ$3004,$AS481)))</f>
        <v/>
      </c>
      <c r="AM481" s="14">
        <f>IF($A481="","",IF(INDEX('潜水記録'!$AR$5:$AR$3004,$AS481)="","",INDEX('潜水記録'!$AR$5:$AR$3004,$AS481)))</f>
        <v/>
      </c>
      <c r="AN481" s="14">
        <f>IF($A481="","",IF(INDEX('潜水記録'!$AS$5:$AS$3004,$AS481)="","",INDEX('潜水記録'!$AS$5:$AS$3004,$AS481)))</f>
        <v/>
      </c>
      <c r="AO481" s="14">
        <f>IF($A481="","",IF(INDEX('潜水記録'!$AT$5:$AT$3004,$AS481)="","",INDEX('潜水記録'!$AT$5:$AT$3004,$AS481)))</f>
        <v/>
      </c>
      <c r="AP481" s="14">
        <f>IF($A481="","",IF(INDEX('潜水記録'!$AU$5:$AU$3004,$AS481)="","",INDEX('潜水記録'!$AU$5:$AU$3004,$AS481)))</f>
        <v/>
      </c>
      <c r="AQ481" s="14">
        <f>IF($A481="","",IF(INDEX('潜水記録'!$AV$5:$AV$3004,$AS481)="","",INDEX('潜水記録'!$AV$5:$AV$3004,$AS481)))</f>
        <v/>
      </c>
      <c r="AR481" s="14">
        <f>IF($A481="","",IF(INDEX('潜水記録'!$AW$5:$AW$3004,$AS481)="","",INDEX('潜水記録'!$AW$5:$AW$3004,$AS481)))</f>
        <v/>
      </c>
      <c r="AS481" s="20">
        <f>IF($A481="","",MATCH($A481,'潜水記録'!$AI$5:$AI$3004,0))</f>
        <v/>
      </c>
    </row>
    <row r="482">
      <c r="A482" s="14">
        <f>IF(472&lt;=$C$8,472,"")</f>
        <v/>
      </c>
      <c r="B482" s="16">
        <f>IF($A482="","",IF(INDEX('潜水記録'!$A$5:$A$3004,$AS482)="","",INDEX('潜水記録'!$A$5:$A$3004,$AS482)))</f>
        <v/>
      </c>
      <c r="C482" s="14">
        <f>IF($A482="","",IF(INDEX('潜水記録'!$B$5:$B$3004,$AS482)="","",INDEX('潜水記録'!$B$5:$B$3004,$AS482)))</f>
        <v/>
      </c>
      <c r="D482" s="14">
        <f>IF($A482="","",IF(INDEX('潜水記録'!$C$5:$C$3004,$AS482)="","",INDEX('潜水記録'!$C$5:$C$3004,$AS482)))</f>
        <v/>
      </c>
      <c r="E482" s="14">
        <f>IF($A482="","",IF(INDEX('潜水記録'!$D$5:$D$3004,$AS482)="","",INDEX('潜水記録'!$D$5:$D$3004,$AS482)))</f>
        <v/>
      </c>
      <c r="F482" s="14">
        <f>IF($A482="","",IF(INDEX('潜水記録'!$E$5:$E$3004,$AS482)="","",INDEX('潜水記録'!$E$5:$E$3004,$AS482)))</f>
        <v/>
      </c>
      <c r="G482" s="14">
        <f>IF($A482="","",IF(INDEX('潜水記録'!$F$5:$F$3004,$AS482)="","",INDEX('潜水記録'!$F$5:$F$3004,$AS482)))</f>
        <v/>
      </c>
      <c r="H482" s="14">
        <f>IF($A482="","",IF(INDEX('潜水記録'!$G$5:$G$3004,$AS482)="","",INDEX('潜水記録'!$G$5:$G$3004,$AS482)))</f>
        <v/>
      </c>
      <c r="I482" s="14">
        <f>IF($A482="","",IF(INDEX('潜水記録'!$H$5:$H$3004,$AS482)="","",INDEX('潜水記録'!$H$5:$H$3004,$AS482)))</f>
        <v/>
      </c>
      <c r="J482" s="14">
        <f>IF($A482="","",IF(INDEX('潜水記録'!$I$5:$I$3004,$AS482)="","",INDEX('潜水記録'!$I$5:$I$3004,$AS482)))</f>
        <v/>
      </c>
      <c r="K482" s="14">
        <f>IF($A482="","",IF(INDEX('潜水記録'!$J$5:$J$3004,$AS482)="","",INDEX('潜水記録'!$J$5:$J$3004,$AS482)))</f>
        <v/>
      </c>
      <c r="L482" s="14">
        <f>IF($A482="","",IF(INDEX('潜水記録'!$K$5:$K$3004,$AS482)="","",INDEX('潜水記録'!$K$5:$K$3004,$AS482)))</f>
        <v/>
      </c>
      <c r="M482" s="14">
        <f>IF($A482="","",IF(INDEX('潜水記録'!$L$5:$L$3004,$AS482)="","",INDEX('潜水記録'!$L$5:$L$3004,$AS482)))</f>
        <v/>
      </c>
      <c r="N482" s="14">
        <f>IF($A482="","",IF(INDEX('潜水記録'!$M$5:$M$3004,$AS482)="","",INDEX('潜水記録'!$M$5:$M$3004,$AS482)))</f>
        <v/>
      </c>
      <c r="O482" s="14">
        <f>IF($A482="","",IF(INDEX('潜水記録'!$N$5:$N$3004,$AS482)="","",INDEX('潜水記録'!$N$5:$N$3004,$AS482)))</f>
        <v/>
      </c>
      <c r="P482" s="14">
        <f>IF($A482="","",IF(INDEX('潜水記録'!$O$5:$O$3004,$AS482)="","",INDEX('潜水記録'!$O$5:$O$3004,$AS482)))</f>
        <v/>
      </c>
      <c r="Q482" s="14">
        <f>IF($A482="","",IF(INDEX('潜水記録'!$P$5:$P$3004,$AS482)="","",INDEX('潜水記録'!$P$5:$P$3004,$AS482)))</f>
        <v/>
      </c>
      <c r="R482" s="14">
        <f>IF($A482="","",IF(INDEX('潜水記録'!$Q$5:$Q$3004,$AS482)="","",INDEX('潜水記録'!$Q$5:$Q$3004,$AS482)))</f>
        <v/>
      </c>
      <c r="S482" s="14">
        <f>IF($A482="","",IF(INDEX('潜水記録'!$R$5:$R$3004,$AS482)="","",INDEX('潜水記録'!$R$5:$R$3004,$AS482)))</f>
        <v/>
      </c>
      <c r="T482" s="14">
        <f>IF($A482="","",IF(INDEX('潜水記録'!$S$5:$S$3004,$AS482)="","",INDEX('潜水記録'!$S$5:$S$3004,$AS482)))</f>
        <v/>
      </c>
      <c r="U482" s="14">
        <f>IF($A482="","",IF(INDEX('潜水記録'!$T$5:$T$3004,$AS482)="","",INDEX('潜水記録'!$T$5:$T$3004,$AS482)))</f>
        <v/>
      </c>
      <c r="V482" s="46">
        <f>IF($A482="","",IF(INDEX('潜水記録'!$U$5:$U$3004,$AS482)="","",INDEX('潜水記録'!$U$5:$U$3004,$AS482)))</f>
        <v/>
      </c>
      <c r="W482" s="46">
        <f>IF($A482="","",IF(INDEX('潜水記録'!$V$5:$V$3004,$AS482)="","",INDEX('潜水記録'!$V$5:$V$3004,$AS482)))</f>
        <v/>
      </c>
      <c r="X482" s="14">
        <f>IF($A482="","",IF(INDEX('潜水記録'!$W$5:$W$3004,$AS482)="","",INDEX('潜水記録'!$W$5:$W$3004,$AS482)))</f>
        <v/>
      </c>
      <c r="Y482" s="14">
        <f>IF($A482="","",IF(INDEX('潜水記録'!$X$5:$X$3004,$AS482)="","",INDEX('潜水記録'!$X$5:$X$3004,$AS482)))</f>
        <v/>
      </c>
      <c r="Z482" s="14">
        <f>IF($A482="","",IF(INDEX('潜水記録'!$Y$5:$Y$3004,$AS482)="","",INDEX('潜水記録'!$Y$5:$Y$3004,$AS482)))</f>
        <v/>
      </c>
      <c r="AA482" s="14">
        <f>IF($A482="","",IF(INDEX('潜水記録'!$Z$5:$Z$3004,$AS482)="","",INDEX('潜水記録'!$Z$5:$Z$3004,$AS482)))</f>
        <v/>
      </c>
      <c r="AB482" s="14">
        <f>IF($A482="","",IF(INDEX('潜水記録'!$AA$5:$AA$3004,$AS482)="","",INDEX('潜水記録'!$AA$5:$AA$3004,$AS482)))</f>
        <v/>
      </c>
      <c r="AC482" s="14">
        <f>IF($A482="","",IF(INDEX('潜水記録'!$AB$5:$AB$3004,$AS482)="","",INDEX('潜水記録'!$AB$5:$AB$3004,$AS482)))</f>
        <v/>
      </c>
      <c r="AD482" s="14">
        <f>IF($A482="","",IF(INDEX('潜水記録'!$AC$5:$AC$3004,$AS482)="","",INDEX('潜水記録'!$AC$5:$AC$3004,$AS482)))</f>
        <v/>
      </c>
      <c r="AE482" s="14">
        <f>IF($A482="","",IF(INDEX('潜水記録'!$AD$5:$AD$3004,$AS482)="","",INDEX('潜水記録'!$AD$5:$AD$3004,$AS482)))</f>
        <v/>
      </c>
      <c r="AF482" s="14">
        <f>IF($A482="","",IF(INDEX('潜水記録'!$AE$5:$AE$3004,$AS482)="","",INDEX('潜水記録'!$AE$5:$AE$3004,$AS482)))</f>
        <v/>
      </c>
      <c r="AG482" s="14">
        <f>IF($A482="","",IF(INDEX('潜水記録'!$AL$5:$AL$3004,$AS482)="","",INDEX('潜水記録'!$AL$5:$AL$3004,$AS482)))</f>
        <v/>
      </c>
      <c r="AH482" s="14">
        <f>IF($A482="","",IF(INDEX('潜水記録'!$AM$5:$AM$3004,$AS482)="","",INDEX('潜水記録'!$AM$5:$AM$3004,$AS482)))</f>
        <v/>
      </c>
      <c r="AI482" s="46">
        <f>IF($A482="","",IF(INDEX('潜水記録'!$AN$5:$AN$3004,$AS482)="","",INDEX('潜水記録'!$AN$5:$AN$3004,$AS482)))</f>
        <v/>
      </c>
      <c r="AJ482" s="14">
        <f>IF($A482="","",IF(INDEX('潜水記録'!$AO$5:$AO$3004,$AS482)="","",INDEX('潜水記録'!$AO$5:$AO$3004,$AS482)))</f>
        <v/>
      </c>
      <c r="AK482" s="14">
        <f>IF($A482="","",IF(INDEX('潜水記録'!$AP$5:$AP$3004,$AS482)="","",INDEX('潜水記録'!$AP$5:$AP$3004,$AS482)))</f>
        <v/>
      </c>
      <c r="AL482" s="14">
        <f>IF($A482="","",IF(INDEX('潜水記録'!$AQ$5:$AQ$3004,$AS482)="","",INDEX('潜水記録'!$AQ$5:$AQ$3004,$AS482)))</f>
        <v/>
      </c>
      <c r="AM482" s="14">
        <f>IF($A482="","",IF(INDEX('潜水記録'!$AR$5:$AR$3004,$AS482)="","",INDEX('潜水記録'!$AR$5:$AR$3004,$AS482)))</f>
        <v/>
      </c>
      <c r="AN482" s="14">
        <f>IF($A482="","",IF(INDEX('潜水記録'!$AS$5:$AS$3004,$AS482)="","",INDEX('潜水記録'!$AS$5:$AS$3004,$AS482)))</f>
        <v/>
      </c>
      <c r="AO482" s="14">
        <f>IF($A482="","",IF(INDEX('潜水記録'!$AT$5:$AT$3004,$AS482)="","",INDEX('潜水記録'!$AT$5:$AT$3004,$AS482)))</f>
        <v/>
      </c>
      <c r="AP482" s="14">
        <f>IF($A482="","",IF(INDEX('潜水記録'!$AU$5:$AU$3004,$AS482)="","",INDEX('潜水記録'!$AU$5:$AU$3004,$AS482)))</f>
        <v/>
      </c>
      <c r="AQ482" s="14">
        <f>IF($A482="","",IF(INDEX('潜水記録'!$AV$5:$AV$3004,$AS482)="","",INDEX('潜水記録'!$AV$5:$AV$3004,$AS482)))</f>
        <v/>
      </c>
      <c r="AR482" s="14">
        <f>IF($A482="","",IF(INDEX('潜水記録'!$AW$5:$AW$3004,$AS482)="","",INDEX('潜水記録'!$AW$5:$AW$3004,$AS482)))</f>
        <v/>
      </c>
      <c r="AS482" s="20">
        <f>IF($A482="","",MATCH($A482,'潜水記録'!$AI$5:$AI$3004,0))</f>
        <v/>
      </c>
    </row>
    <row r="483">
      <c r="A483" s="14">
        <f>IF(473&lt;=$C$8,473,"")</f>
        <v/>
      </c>
      <c r="B483" s="16">
        <f>IF($A483="","",IF(INDEX('潜水記録'!$A$5:$A$3004,$AS483)="","",INDEX('潜水記録'!$A$5:$A$3004,$AS483)))</f>
        <v/>
      </c>
      <c r="C483" s="14">
        <f>IF($A483="","",IF(INDEX('潜水記録'!$B$5:$B$3004,$AS483)="","",INDEX('潜水記録'!$B$5:$B$3004,$AS483)))</f>
        <v/>
      </c>
      <c r="D483" s="14">
        <f>IF($A483="","",IF(INDEX('潜水記録'!$C$5:$C$3004,$AS483)="","",INDEX('潜水記録'!$C$5:$C$3004,$AS483)))</f>
        <v/>
      </c>
      <c r="E483" s="14">
        <f>IF($A483="","",IF(INDEX('潜水記録'!$D$5:$D$3004,$AS483)="","",INDEX('潜水記録'!$D$5:$D$3004,$AS483)))</f>
        <v/>
      </c>
      <c r="F483" s="14">
        <f>IF($A483="","",IF(INDEX('潜水記録'!$E$5:$E$3004,$AS483)="","",INDEX('潜水記録'!$E$5:$E$3004,$AS483)))</f>
        <v/>
      </c>
      <c r="G483" s="14">
        <f>IF($A483="","",IF(INDEX('潜水記録'!$F$5:$F$3004,$AS483)="","",INDEX('潜水記録'!$F$5:$F$3004,$AS483)))</f>
        <v/>
      </c>
      <c r="H483" s="14">
        <f>IF($A483="","",IF(INDEX('潜水記録'!$G$5:$G$3004,$AS483)="","",INDEX('潜水記録'!$G$5:$G$3004,$AS483)))</f>
        <v/>
      </c>
      <c r="I483" s="14">
        <f>IF($A483="","",IF(INDEX('潜水記録'!$H$5:$H$3004,$AS483)="","",INDEX('潜水記録'!$H$5:$H$3004,$AS483)))</f>
        <v/>
      </c>
      <c r="J483" s="14">
        <f>IF($A483="","",IF(INDEX('潜水記録'!$I$5:$I$3004,$AS483)="","",INDEX('潜水記録'!$I$5:$I$3004,$AS483)))</f>
        <v/>
      </c>
      <c r="K483" s="14">
        <f>IF($A483="","",IF(INDEX('潜水記録'!$J$5:$J$3004,$AS483)="","",INDEX('潜水記録'!$J$5:$J$3004,$AS483)))</f>
        <v/>
      </c>
      <c r="L483" s="14">
        <f>IF($A483="","",IF(INDEX('潜水記録'!$K$5:$K$3004,$AS483)="","",INDEX('潜水記録'!$K$5:$K$3004,$AS483)))</f>
        <v/>
      </c>
      <c r="M483" s="14">
        <f>IF($A483="","",IF(INDEX('潜水記録'!$L$5:$L$3004,$AS483)="","",INDEX('潜水記録'!$L$5:$L$3004,$AS483)))</f>
        <v/>
      </c>
      <c r="N483" s="14">
        <f>IF($A483="","",IF(INDEX('潜水記録'!$M$5:$M$3004,$AS483)="","",INDEX('潜水記録'!$M$5:$M$3004,$AS483)))</f>
        <v/>
      </c>
      <c r="O483" s="14">
        <f>IF($A483="","",IF(INDEX('潜水記録'!$N$5:$N$3004,$AS483)="","",INDEX('潜水記録'!$N$5:$N$3004,$AS483)))</f>
        <v/>
      </c>
      <c r="P483" s="14">
        <f>IF($A483="","",IF(INDEX('潜水記録'!$O$5:$O$3004,$AS483)="","",INDEX('潜水記録'!$O$5:$O$3004,$AS483)))</f>
        <v/>
      </c>
      <c r="Q483" s="14">
        <f>IF($A483="","",IF(INDEX('潜水記録'!$P$5:$P$3004,$AS483)="","",INDEX('潜水記録'!$P$5:$P$3004,$AS483)))</f>
        <v/>
      </c>
      <c r="R483" s="14">
        <f>IF($A483="","",IF(INDEX('潜水記録'!$Q$5:$Q$3004,$AS483)="","",INDEX('潜水記録'!$Q$5:$Q$3004,$AS483)))</f>
        <v/>
      </c>
      <c r="S483" s="14">
        <f>IF($A483="","",IF(INDEX('潜水記録'!$R$5:$R$3004,$AS483)="","",INDEX('潜水記録'!$R$5:$R$3004,$AS483)))</f>
        <v/>
      </c>
      <c r="T483" s="14">
        <f>IF($A483="","",IF(INDEX('潜水記録'!$S$5:$S$3004,$AS483)="","",INDEX('潜水記録'!$S$5:$S$3004,$AS483)))</f>
        <v/>
      </c>
      <c r="U483" s="14">
        <f>IF($A483="","",IF(INDEX('潜水記録'!$T$5:$T$3004,$AS483)="","",INDEX('潜水記録'!$T$5:$T$3004,$AS483)))</f>
        <v/>
      </c>
      <c r="V483" s="46">
        <f>IF($A483="","",IF(INDEX('潜水記録'!$U$5:$U$3004,$AS483)="","",INDEX('潜水記録'!$U$5:$U$3004,$AS483)))</f>
        <v/>
      </c>
      <c r="W483" s="46">
        <f>IF($A483="","",IF(INDEX('潜水記録'!$V$5:$V$3004,$AS483)="","",INDEX('潜水記録'!$V$5:$V$3004,$AS483)))</f>
        <v/>
      </c>
      <c r="X483" s="14">
        <f>IF($A483="","",IF(INDEX('潜水記録'!$W$5:$W$3004,$AS483)="","",INDEX('潜水記録'!$W$5:$W$3004,$AS483)))</f>
        <v/>
      </c>
      <c r="Y483" s="14">
        <f>IF($A483="","",IF(INDEX('潜水記録'!$X$5:$X$3004,$AS483)="","",INDEX('潜水記録'!$X$5:$X$3004,$AS483)))</f>
        <v/>
      </c>
      <c r="Z483" s="14">
        <f>IF($A483="","",IF(INDEX('潜水記録'!$Y$5:$Y$3004,$AS483)="","",INDEX('潜水記録'!$Y$5:$Y$3004,$AS483)))</f>
        <v/>
      </c>
      <c r="AA483" s="14">
        <f>IF($A483="","",IF(INDEX('潜水記録'!$Z$5:$Z$3004,$AS483)="","",INDEX('潜水記録'!$Z$5:$Z$3004,$AS483)))</f>
        <v/>
      </c>
      <c r="AB483" s="14">
        <f>IF($A483="","",IF(INDEX('潜水記録'!$AA$5:$AA$3004,$AS483)="","",INDEX('潜水記録'!$AA$5:$AA$3004,$AS483)))</f>
        <v/>
      </c>
      <c r="AC483" s="14">
        <f>IF($A483="","",IF(INDEX('潜水記録'!$AB$5:$AB$3004,$AS483)="","",INDEX('潜水記録'!$AB$5:$AB$3004,$AS483)))</f>
        <v/>
      </c>
      <c r="AD483" s="14">
        <f>IF($A483="","",IF(INDEX('潜水記録'!$AC$5:$AC$3004,$AS483)="","",INDEX('潜水記録'!$AC$5:$AC$3004,$AS483)))</f>
        <v/>
      </c>
      <c r="AE483" s="14">
        <f>IF($A483="","",IF(INDEX('潜水記録'!$AD$5:$AD$3004,$AS483)="","",INDEX('潜水記録'!$AD$5:$AD$3004,$AS483)))</f>
        <v/>
      </c>
      <c r="AF483" s="14">
        <f>IF($A483="","",IF(INDEX('潜水記録'!$AE$5:$AE$3004,$AS483)="","",INDEX('潜水記録'!$AE$5:$AE$3004,$AS483)))</f>
        <v/>
      </c>
      <c r="AG483" s="14">
        <f>IF($A483="","",IF(INDEX('潜水記録'!$AL$5:$AL$3004,$AS483)="","",INDEX('潜水記録'!$AL$5:$AL$3004,$AS483)))</f>
        <v/>
      </c>
      <c r="AH483" s="14">
        <f>IF($A483="","",IF(INDEX('潜水記録'!$AM$5:$AM$3004,$AS483)="","",INDEX('潜水記録'!$AM$5:$AM$3004,$AS483)))</f>
        <v/>
      </c>
      <c r="AI483" s="46">
        <f>IF($A483="","",IF(INDEX('潜水記録'!$AN$5:$AN$3004,$AS483)="","",INDEX('潜水記録'!$AN$5:$AN$3004,$AS483)))</f>
        <v/>
      </c>
      <c r="AJ483" s="14">
        <f>IF($A483="","",IF(INDEX('潜水記録'!$AO$5:$AO$3004,$AS483)="","",INDEX('潜水記録'!$AO$5:$AO$3004,$AS483)))</f>
        <v/>
      </c>
      <c r="AK483" s="14">
        <f>IF($A483="","",IF(INDEX('潜水記録'!$AP$5:$AP$3004,$AS483)="","",INDEX('潜水記録'!$AP$5:$AP$3004,$AS483)))</f>
        <v/>
      </c>
      <c r="AL483" s="14">
        <f>IF($A483="","",IF(INDEX('潜水記録'!$AQ$5:$AQ$3004,$AS483)="","",INDEX('潜水記録'!$AQ$5:$AQ$3004,$AS483)))</f>
        <v/>
      </c>
      <c r="AM483" s="14">
        <f>IF($A483="","",IF(INDEX('潜水記録'!$AR$5:$AR$3004,$AS483)="","",INDEX('潜水記録'!$AR$5:$AR$3004,$AS483)))</f>
        <v/>
      </c>
      <c r="AN483" s="14">
        <f>IF($A483="","",IF(INDEX('潜水記録'!$AS$5:$AS$3004,$AS483)="","",INDEX('潜水記録'!$AS$5:$AS$3004,$AS483)))</f>
        <v/>
      </c>
      <c r="AO483" s="14">
        <f>IF($A483="","",IF(INDEX('潜水記録'!$AT$5:$AT$3004,$AS483)="","",INDEX('潜水記録'!$AT$5:$AT$3004,$AS483)))</f>
        <v/>
      </c>
      <c r="AP483" s="14">
        <f>IF($A483="","",IF(INDEX('潜水記録'!$AU$5:$AU$3004,$AS483)="","",INDEX('潜水記録'!$AU$5:$AU$3004,$AS483)))</f>
        <v/>
      </c>
      <c r="AQ483" s="14">
        <f>IF($A483="","",IF(INDEX('潜水記録'!$AV$5:$AV$3004,$AS483)="","",INDEX('潜水記録'!$AV$5:$AV$3004,$AS483)))</f>
        <v/>
      </c>
      <c r="AR483" s="14">
        <f>IF($A483="","",IF(INDEX('潜水記録'!$AW$5:$AW$3004,$AS483)="","",INDEX('潜水記録'!$AW$5:$AW$3004,$AS483)))</f>
        <v/>
      </c>
      <c r="AS483" s="20">
        <f>IF($A483="","",MATCH($A483,'潜水記録'!$AI$5:$AI$3004,0))</f>
        <v/>
      </c>
    </row>
    <row r="484">
      <c r="A484" s="14">
        <f>IF(474&lt;=$C$8,474,"")</f>
        <v/>
      </c>
      <c r="B484" s="16">
        <f>IF($A484="","",IF(INDEX('潜水記録'!$A$5:$A$3004,$AS484)="","",INDEX('潜水記録'!$A$5:$A$3004,$AS484)))</f>
        <v/>
      </c>
      <c r="C484" s="14">
        <f>IF($A484="","",IF(INDEX('潜水記録'!$B$5:$B$3004,$AS484)="","",INDEX('潜水記録'!$B$5:$B$3004,$AS484)))</f>
        <v/>
      </c>
      <c r="D484" s="14">
        <f>IF($A484="","",IF(INDEX('潜水記録'!$C$5:$C$3004,$AS484)="","",INDEX('潜水記録'!$C$5:$C$3004,$AS484)))</f>
        <v/>
      </c>
      <c r="E484" s="14">
        <f>IF($A484="","",IF(INDEX('潜水記録'!$D$5:$D$3004,$AS484)="","",INDEX('潜水記録'!$D$5:$D$3004,$AS484)))</f>
        <v/>
      </c>
      <c r="F484" s="14">
        <f>IF($A484="","",IF(INDEX('潜水記録'!$E$5:$E$3004,$AS484)="","",INDEX('潜水記録'!$E$5:$E$3004,$AS484)))</f>
        <v/>
      </c>
      <c r="G484" s="14">
        <f>IF($A484="","",IF(INDEX('潜水記録'!$F$5:$F$3004,$AS484)="","",INDEX('潜水記録'!$F$5:$F$3004,$AS484)))</f>
        <v/>
      </c>
      <c r="H484" s="14">
        <f>IF($A484="","",IF(INDEX('潜水記録'!$G$5:$G$3004,$AS484)="","",INDEX('潜水記録'!$G$5:$G$3004,$AS484)))</f>
        <v/>
      </c>
      <c r="I484" s="14">
        <f>IF($A484="","",IF(INDEX('潜水記録'!$H$5:$H$3004,$AS484)="","",INDEX('潜水記録'!$H$5:$H$3004,$AS484)))</f>
        <v/>
      </c>
      <c r="J484" s="14">
        <f>IF($A484="","",IF(INDEX('潜水記録'!$I$5:$I$3004,$AS484)="","",INDEX('潜水記録'!$I$5:$I$3004,$AS484)))</f>
        <v/>
      </c>
      <c r="K484" s="14">
        <f>IF($A484="","",IF(INDEX('潜水記録'!$J$5:$J$3004,$AS484)="","",INDEX('潜水記録'!$J$5:$J$3004,$AS484)))</f>
        <v/>
      </c>
      <c r="L484" s="14">
        <f>IF($A484="","",IF(INDEX('潜水記録'!$K$5:$K$3004,$AS484)="","",INDEX('潜水記録'!$K$5:$K$3004,$AS484)))</f>
        <v/>
      </c>
      <c r="M484" s="14">
        <f>IF($A484="","",IF(INDEX('潜水記録'!$L$5:$L$3004,$AS484)="","",INDEX('潜水記録'!$L$5:$L$3004,$AS484)))</f>
        <v/>
      </c>
      <c r="N484" s="14">
        <f>IF($A484="","",IF(INDEX('潜水記録'!$M$5:$M$3004,$AS484)="","",INDEX('潜水記録'!$M$5:$M$3004,$AS484)))</f>
        <v/>
      </c>
      <c r="O484" s="14">
        <f>IF($A484="","",IF(INDEX('潜水記録'!$N$5:$N$3004,$AS484)="","",INDEX('潜水記録'!$N$5:$N$3004,$AS484)))</f>
        <v/>
      </c>
      <c r="P484" s="14">
        <f>IF($A484="","",IF(INDEX('潜水記録'!$O$5:$O$3004,$AS484)="","",INDEX('潜水記録'!$O$5:$O$3004,$AS484)))</f>
        <v/>
      </c>
      <c r="Q484" s="14">
        <f>IF($A484="","",IF(INDEX('潜水記録'!$P$5:$P$3004,$AS484)="","",INDEX('潜水記録'!$P$5:$P$3004,$AS484)))</f>
        <v/>
      </c>
      <c r="R484" s="14">
        <f>IF($A484="","",IF(INDEX('潜水記録'!$Q$5:$Q$3004,$AS484)="","",INDEX('潜水記録'!$Q$5:$Q$3004,$AS484)))</f>
        <v/>
      </c>
      <c r="S484" s="14">
        <f>IF($A484="","",IF(INDEX('潜水記録'!$R$5:$R$3004,$AS484)="","",INDEX('潜水記録'!$R$5:$R$3004,$AS484)))</f>
        <v/>
      </c>
      <c r="T484" s="14">
        <f>IF($A484="","",IF(INDEX('潜水記録'!$S$5:$S$3004,$AS484)="","",INDEX('潜水記録'!$S$5:$S$3004,$AS484)))</f>
        <v/>
      </c>
      <c r="U484" s="14">
        <f>IF($A484="","",IF(INDEX('潜水記録'!$T$5:$T$3004,$AS484)="","",INDEX('潜水記録'!$T$5:$T$3004,$AS484)))</f>
        <v/>
      </c>
      <c r="V484" s="46">
        <f>IF($A484="","",IF(INDEX('潜水記録'!$U$5:$U$3004,$AS484)="","",INDEX('潜水記録'!$U$5:$U$3004,$AS484)))</f>
        <v/>
      </c>
      <c r="W484" s="46">
        <f>IF($A484="","",IF(INDEX('潜水記録'!$V$5:$V$3004,$AS484)="","",INDEX('潜水記録'!$V$5:$V$3004,$AS484)))</f>
        <v/>
      </c>
      <c r="X484" s="14">
        <f>IF($A484="","",IF(INDEX('潜水記録'!$W$5:$W$3004,$AS484)="","",INDEX('潜水記録'!$W$5:$W$3004,$AS484)))</f>
        <v/>
      </c>
      <c r="Y484" s="14">
        <f>IF($A484="","",IF(INDEX('潜水記録'!$X$5:$X$3004,$AS484)="","",INDEX('潜水記録'!$X$5:$X$3004,$AS484)))</f>
        <v/>
      </c>
      <c r="Z484" s="14">
        <f>IF($A484="","",IF(INDEX('潜水記録'!$Y$5:$Y$3004,$AS484)="","",INDEX('潜水記録'!$Y$5:$Y$3004,$AS484)))</f>
        <v/>
      </c>
      <c r="AA484" s="14">
        <f>IF($A484="","",IF(INDEX('潜水記録'!$Z$5:$Z$3004,$AS484)="","",INDEX('潜水記録'!$Z$5:$Z$3004,$AS484)))</f>
        <v/>
      </c>
      <c r="AB484" s="14">
        <f>IF($A484="","",IF(INDEX('潜水記録'!$AA$5:$AA$3004,$AS484)="","",INDEX('潜水記録'!$AA$5:$AA$3004,$AS484)))</f>
        <v/>
      </c>
      <c r="AC484" s="14">
        <f>IF($A484="","",IF(INDEX('潜水記録'!$AB$5:$AB$3004,$AS484)="","",INDEX('潜水記録'!$AB$5:$AB$3004,$AS484)))</f>
        <v/>
      </c>
      <c r="AD484" s="14">
        <f>IF($A484="","",IF(INDEX('潜水記録'!$AC$5:$AC$3004,$AS484)="","",INDEX('潜水記録'!$AC$5:$AC$3004,$AS484)))</f>
        <v/>
      </c>
      <c r="AE484" s="14">
        <f>IF($A484="","",IF(INDEX('潜水記録'!$AD$5:$AD$3004,$AS484)="","",INDEX('潜水記録'!$AD$5:$AD$3004,$AS484)))</f>
        <v/>
      </c>
      <c r="AF484" s="14">
        <f>IF($A484="","",IF(INDEX('潜水記録'!$AE$5:$AE$3004,$AS484)="","",INDEX('潜水記録'!$AE$5:$AE$3004,$AS484)))</f>
        <v/>
      </c>
      <c r="AG484" s="14">
        <f>IF($A484="","",IF(INDEX('潜水記録'!$AL$5:$AL$3004,$AS484)="","",INDEX('潜水記録'!$AL$5:$AL$3004,$AS484)))</f>
        <v/>
      </c>
      <c r="AH484" s="14">
        <f>IF($A484="","",IF(INDEX('潜水記録'!$AM$5:$AM$3004,$AS484)="","",INDEX('潜水記録'!$AM$5:$AM$3004,$AS484)))</f>
        <v/>
      </c>
      <c r="AI484" s="46">
        <f>IF($A484="","",IF(INDEX('潜水記録'!$AN$5:$AN$3004,$AS484)="","",INDEX('潜水記録'!$AN$5:$AN$3004,$AS484)))</f>
        <v/>
      </c>
      <c r="AJ484" s="14">
        <f>IF($A484="","",IF(INDEX('潜水記録'!$AO$5:$AO$3004,$AS484)="","",INDEX('潜水記録'!$AO$5:$AO$3004,$AS484)))</f>
        <v/>
      </c>
      <c r="AK484" s="14">
        <f>IF($A484="","",IF(INDEX('潜水記録'!$AP$5:$AP$3004,$AS484)="","",INDEX('潜水記録'!$AP$5:$AP$3004,$AS484)))</f>
        <v/>
      </c>
      <c r="AL484" s="14">
        <f>IF($A484="","",IF(INDEX('潜水記録'!$AQ$5:$AQ$3004,$AS484)="","",INDEX('潜水記録'!$AQ$5:$AQ$3004,$AS484)))</f>
        <v/>
      </c>
      <c r="AM484" s="14">
        <f>IF($A484="","",IF(INDEX('潜水記録'!$AR$5:$AR$3004,$AS484)="","",INDEX('潜水記録'!$AR$5:$AR$3004,$AS484)))</f>
        <v/>
      </c>
      <c r="AN484" s="14">
        <f>IF($A484="","",IF(INDEX('潜水記録'!$AS$5:$AS$3004,$AS484)="","",INDEX('潜水記録'!$AS$5:$AS$3004,$AS484)))</f>
        <v/>
      </c>
      <c r="AO484" s="14">
        <f>IF($A484="","",IF(INDEX('潜水記録'!$AT$5:$AT$3004,$AS484)="","",INDEX('潜水記録'!$AT$5:$AT$3004,$AS484)))</f>
        <v/>
      </c>
      <c r="AP484" s="14">
        <f>IF($A484="","",IF(INDEX('潜水記録'!$AU$5:$AU$3004,$AS484)="","",INDEX('潜水記録'!$AU$5:$AU$3004,$AS484)))</f>
        <v/>
      </c>
      <c r="AQ484" s="14">
        <f>IF($A484="","",IF(INDEX('潜水記録'!$AV$5:$AV$3004,$AS484)="","",INDEX('潜水記録'!$AV$5:$AV$3004,$AS484)))</f>
        <v/>
      </c>
      <c r="AR484" s="14">
        <f>IF($A484="","",IF(INDEX('潜水記録'!$AW$5:$AW$3004,$AS484)="","",INDEX('潜水記録'!$AW$5:$AW$3004,$AS484)))</f>
        <v/>
      </c>
      <c r="AS484" s="20">
        <f>IF($A484="","",MATCH($A484,'潜水記録'!$AI$5:$AI$3004,0))</f>
        <v/>
      </c>
    </row>
    <row r="485">
      <c r="A485" s="14">
        <f>IF(475&lt;=$C$8,475,"")</f>
        <v/>
      </c>
      <c r="B485" s="16">
        <f>IF($A485="","",IF(INDEX('潜水記録'!$A$5:$A$3004,$AS485)="","",INDEX('潜水記録'!$A$5:$A$3004,$AS485)))</f>
        <v/>
      </c>
      <c r="C485" s="14">
        <f>IF($A485="","",IF(INDEX('潜水記録'!$B$5:$B$3004,$AS485)="","",INDEX('潜水記録'!$B$5:$B$3004,$AS485)))</f>
        <v/>
      </c>
      <c r="D485" s="14">
        <f>IF($A485="","",IF(INDEX('潜水記録'!$C$5:$C$3004,$AS485)="","",INDEX('潜水記録'!$C$5:$C$3004,$AS485)))</f>
        <v/>
      </c>
      <c r="E485" s="14">
        <f>IF($A485="","",IF(INDEX('潜水記録'!$D$5:$D$3004,$AS485)="","",INDEX('潜水記録'!$D$5:$D$3004,$AS485)))</f>
        <v/>
      </c>
      <c r="F485" s="14">
        <f>IF($A485="","",IF(INDEX('潜水記録'!$E$5:$E$3004,$AS485)="","",INDEX('潜水記録'!$E$5:$E$3004,$AS485)))</f>
        <v/>
      </c>
      <c r="G485" s="14">
        <f>IF($A485="","",IF(INDEX('潜水記録'!$F$5:$F$3004,$AS485)="","",INDEX('潜水記録'!$F$5:$F$3004,$AS485)))</f>
        <v/>
      </c>
      <c r="H485" s="14">
        <f>IF($A485="","",IF(INDEX('潜水記録'!$G$5:$G$3004,$AS485)="","",INDEX('潜水記録'!$G$5:$G$3004,$AS485)))</f>
        <v/>
      </c>
      <c r="I485" s="14">
        <f>IF($A485="","",IF(INDEX('潜水記録'!$H$5:$H$3004,$AS485)="","",INDEX('潜水記録'!$H$5:$H$3004,$AS485)))</f>
        <v/>
      </c>
      <c r="J485" s="14">
        <f>IF($A485="","",IF(INDEX('潜水記録'!$I$5:$I$3004,$AS485)="","",INDEX('潜水記録'!$I$5:$I$3004,$AS485)))</f>
        <v/>
      </c>
      <c r="K485" s="14">
        <f>IF($A485="","",IF(INDEX('潜水記録'!$J$5:$J$3004,$AS485)="","",INDEX('潜水記録'!$J$5:$J$3004,$AS485)))</f>
        <v/>
      </c>
      <c r="L485" s="14">
        <f>IF($A485="","",IF(INDEX('潜水記録'!$K$5:$K$3004,$AS485)="","",INDEX('潜水記録'!$K$5:$K$3004,$AS485)))</f>
        <v/>
      </c>
      <c r="M485" s="14">
        <f>IF($A485="","",IF(INDEX('潜水記録'!$L$5:$L$3004,$AS485)="","",INDEX('潜水記録'!$L$5:$L$3004,$AS485)))</f>
        <v/>
      </c>
      <c r="N485" s="14">
        <f>IF($A485="","",IF(INDEX('潜水記録'!$M$5:$M$3004,$AS485)="","",INDEX('潜水記録'!$M$5:$M$3004,$AS485)))</f>
        <v/>
      </c>
      <c r="O485" s="14">
        <f>IF($A485="","",IF(INDEX('潜水記録'!$N$5:$N$3004,$AS485)="","",INDEX('潜水記録'!$N$5:$N$3004,$AS485)))</f>
        <v/>
      </c>
      <c r="P485" s="14">
        <f>IF($A485="","",IF(INDEX('潜水記録'!$O$5:$O$3004,$AS485)="","",INDEX('潜水記録'!$O$5:$O$3004,$AS485)))</f>
        <v/>
      </c>
      <c r="Q485" s="14">
        <f>IF($A485="","",IF(INDEX('潜水記録'!$P$5:$P$3004,$AS485)="","",INDEX('潜水記録'!$P$5:$P$3004,$AS485)))</f>
        <v/>
      </c>
      <c r="R485" s="14">
        <f>IF($A485="","",IF(INDEX('潜水記録'!$Q$5:$Q$3004,$AS485)="","",INDEX('潜水記録'!$Q$5:$Q$3004,$AS485)))</f>
        <v/>
      </c>
      <c r="S485" s="14">
        <f>IF($A485="","",IF(INDEX('潜水記録'!$R$5:$R$3004,$AS485)="","",INDEX('潜水記録'!$R$5:$R$3004,$AS485)))</f>
        <v/>
      </c>
      <c r="T485" s="14">
        <f>IF($A485="","",IF(INDEX('潜水記録'!$S$5:$S$3004,$AS485)="","",INDEX('潜水記録'!$S$5:$S$3004,$AS485)))</f>
        <v/>
      </c>
      <c r="U485" s="14">
        <f>IF($A485="","",IF(INDEX('潜水記録'!$T$5:$T$3004,$AS485)="","",INDEX('潜水記録'!$T$5:$T$3004,$AS485)))</f>
        <v/>
      </c>
      <c r="V485" s="46">
        <f>IF($A485="","",IF(INDEX('潜水記録'!$U$5:$U$3004,$AS485)="","",INDEX('潜水記録'!$U$5:$U$3004,$AS485)))</f>
        <v/>
      </c>
      <c r="W485" s="46">
        <f>IF($A485="","",IF(INDEX('潜水記録'!$V$5:$V$3004,$AS485)="","",INDEX('潜水記録'!$V$5:$V$3004,$AS485)))</f>
        <v/>
      </c>
      <c r="X485" s="14">
        <f>IF($A485="","",IF(INDEX('潜水記録'!$W$5:$W$3004,$AS485)="","",INDEX('潜水記録'!$W$5:$W$3004,$AS485)))</f>
        <v/>
      </c>
      <c r="Y485" s="14">
        <f>IF($A485="","",IF(INDEX('潜水記録'!$X$5:$X$3004,$AS485)="","",INDEX('潜水記録'!$X$5:$X$3004,$AS485)))</f>
        <v/>
      </c>
      <c r="Z485" s="14">
        <f>IF($A485="","",IF(INDEX('潜水記録'!$Y$5:$Y$3004,$AS485)="","",INDEX('潜水記録'!$Y$5:$Y$3004,$AS485)))</f>
        <v/>
      </c>
      <c r="AA485" s="14">
        <f>IF($A485="","",IF(INDEX('潜水記録'!$Z$5:$Z$3004,$AS485)="","",INDEX('潜水記録'!$Z$5:$Z$3004,$AS485)))</f>
        <v/>
      </c>
      <c r="AB485" s="14">
        <f>IF($A485="","",IF(INDEX('潜水記録'!$AA$5:$AA$3004,$AS485)="","",INDEX('潜水記録'!$AA$5:$AA$3004,$AS485)))</f>
        <v/>
      </c>
      <c r="AC485" s="14">
        <f>IF($A485="","",IF(INDEX('潜水記録'!$AB$5:$AB$3004,$AS485)="","",INDEX('潜水記録'!$AB$5:$AB$3004,$AS485)))</f>
        <v/>
      </c>
      <c r="AD485" s="14">
        <f>IF($A485="","",IF(INDEX('潜水記録'!$AC$5:$AC$3004,$AS485)="","",INDEX('潜水記録'!$AC$5:$AC$3004,$AS485)))</f>
        <v/>
      </c>
      <c r="AE485" s="14">
        <f>IF($A485="","",IF(INDEX('潜水記録'!$AD$5:$AD$3004,$AS485)="","",INDEX('潜水記録'!$AD$5:$AD$3004,$AS485)))</f>
        <v/>
      </c>
      <c r="AF485" s="14">
        <f>IF($A485="","",IF(INDEX('潜水記録'!$AE$5:$AE$3004,$AS485)="","",INDEX('潜水記録'!$AE$5:$AE$3004,$AS485)))</f>
        <v/>
      </c>
      <c r="AG485" s="14">
        <f>IF($A485="","",IF(INDEX('潜水記録'!$AL$5:$AL$3004,$AS485)="","",INDEX('潜水記録'!$AL$5:$AL$3004,$AS485)))</f>
        <v/>
      </c>
      <c r="AH485" s="14">
        <f>IF($A485="","",IF(INDEX('潜水記録'!$AM$5:$AM$3004,$AS485)="","",INDEX('潜水記録'!$AM$5:$AM$3004,$AS485)))</f>
        <v/>
      </c>
      <c r="AI485" s="46">
        <f>IF($A485="","",IF(INDEX('潜水記録'!$AN$5:$AN$3004,$AS485)="","",INDEX('潜水記録'!$AN$5:$AN$3004,$AS485)))</f>
        <v/>
      </c>
      <c r="AJ485" s="14">
        <f>IF($A485="","",IF(INDEX('潜水記録'!$AO$5:$AO$3004,$AS485)="","",INDEX('潜水記録'!$AO$5:$AO$3004,$AS485)))</f>
        <v/>
      </c>
      <c r="AK485" s="14">
        <f>IF($A485="","",IF(INDEX('潜水記録'!$AP$5:$AP$3004,$AS485)="","",INDEX('潜水記録'!$AP$5:$AP$3004,$AS485)))</f>
        <v/>
      </c>
      <c r="AL485" s="14">
        <f>IF($A485="","",IF(INDEX('潜水記録'!$AQ$5:$AQ$3004,$AS485)="","",INDEX('潜水記録'!$AQ$5:$AQ$3004,$AS485)))</f>
        <v/>
      </c>
      <c r="AM485" s="14">
        <f>IF($A485="","",IF(INDEX('潜水記録'!$AR$5:$AR$3004,$AS485)="","",INDEX('潜水記録'!$AR$5:$AR$3004,$AS485)))</f>
        <v/>
      </c>
      <c r="AN485" s="14">
        <f>IF($A485="","",IF(INDEX('潜水記録'!$AS$5:$AS$3004,$AS485)="","",INDEX('潜水記録'!$AS$5:$AS$3004,$AS485)))</f>
        <v/>
      </c>
      <c r="AO485" s="14">
        <f>IF($A485="","",IF(INDEX('潜水記録'!$AT$5:$AT$3004,$AS485)="","",INDEX('潜水記録'!$AT$5:$AT$3004,$AS485)))</f>
        <v/>
      </c>
      <c r="AP485" s="14">
        <f>IF($A485="","",IF(INDEX('潜水記録'!$AU$5:$AU$3004,$AS485)="","",INDEX('潜水記録'!$AU$5:$AU$3004,$AS485)))</f>
        <v/>
      </c>
      <c r="AQ485" s="14">
        <f>IF($A485="","",IF(INDEX('潜水記録'!$AV$5:$AV$3004,$AS485)="","",INDEX('潜水記録'!$AV$5:$AV$3004,$AS485)))</f>
        <v/>
      </c>
      <c r="AR485" s="14">
        <f>IF($A485="","",IF(INDEX('潜水記録'!$AW$5:$AW$3004,$AS485)="","",INDEX('潜水記録'!$AW$5:$AW$3004,$AS485)))</f>
        <v/>
      </c>
      <c r="AS485" s="20">
        <f>IF($A485="","",MATCH($A485,'潜水記録'!$AI$5:$AI$3004,0))</f>
        <v/>
      </c>
    </row>
    <row r="486">
      <c r="A486" s="14">
        <f>IF(476&lt;=$C$8,476,"")</f>
        <v/>
      </c>
      <c r="B486" s="16">
        <f>IF($A486="","",IF(INDEX('潜水記録'!$A$5:$A$3004,$AS486)="","",INDEX('潜水記録'!$A$5:$A$3004,$AS486)))</f>
        <v/>
      </c>
      <c r="C486" s="14">
        <f>IF($A486="","",IF(INDEX('潜水記録'!$B$5:$B$3004,$AS486)="","",INDEX('潜水記録'!$B$5:$B$3004,$AS486)))</f>
        <v/>
      </c>
      <c r="D486" s="14">
        <f>IF($A486="","",IF(INDEX('潜水記録'!$C$5:$C$3004,$AS486)="","",INDEX('潜水記録'!$C$5:$C$3004,$AS486)))</f>
        <v/>
      </c>
      <c r="E486" s="14">
        <f>IF($A486="","",IF(INDEX('潜水記録'!$D$5:$D$3004,$AS486)="","",INDEX('潜水記録'!$D$5:$D$3004,$AS486)))</f>
        <v/>
      </c>
      <c r="F486" s="14">
        <f>IF($A486="","",IF(INDEX('潜水記録'!$E$5:$E$3004,$AS486)="","",INDEX('潜水記録'!$E$5:$E$3004,$AS486)))</f>
        <v/>
      </c>
      <c r="G486" s="14">
        <f>IF($A486="","",IF(INDEX('潜水記録'!$F$5:$F$3004,$AS486)="","",INDEX('潜水記録'!$F$5:$F$3004,$AS486)))</f>
        <v/>
      </c>
      <c r="H486" s="14">
        <f>IF($A486="","",IF(INDEX('潜水記録'!$G$5:$G$3004,$AS486)="","",INDEX('潜水記録'!$G$5:$G$3004,$AS486)))</f>
        <v/>
      </c>
      <c r="I486" s="14">
        <f>IF($A486="","",IF(INDEX('潜水記録'!$H$5:$H$3004,$AS486)="","",INDEX('潜水記録'!$H$5:$H$3004,$AS486)))</f>
        <v/>
      </c>
      <c r="J486" s="14">
        <f>IF($A486="","",IF(INDEX('潜水記録'!$I$5:$I$3004,$AS486)="","",INDEX('潜水記録'!$I$5:$I$3004,$AS486)))</f>
        <v/>
      </c>
      <c r="K486" s="14">
        <f>IF($A486="","",IF(INDEX('潜水記録'!$J$5:$J$3004,$AS486)="","",INDEX('潜水記録'!$J$5:$J$3004,$AS486)))</f>
        <v/>
      </c>
      <c r="L486" s="14">
        <f>IF($A486="","",IF(INDEX('潜水記録'!$K$5:$K$3004,$AS486)="","",INDEX('潜水記録'!$K$5:$K$3004,$AS486)))</f>
        <v/>
      </c>
      <c r="M486" s="14">
        <f>IF($A486="","",IF(INDEX('潜水記録'!$L$5:$L$3004,$AS486)="","",INDEX('潜水記録'!$L$5:$L$3004,$AS486)))</f>
        <v/>
      </c>
      <c r="N486" s="14">
        <f>IF($A486="","",IF(INDEX('潜水記録'!$M$5:$M$3004,$AS486)="","",INDEX('潜水記録'!$M$5:$M$3004,$AS486)))</f>
        <v/>
      </c>
      <c r="O486" s="14">
        <f>IF($A486="","",IF(INDEX('潜水記録'!$N$5:$N$3004,$AS486)="","",INDEX('潜水記録'!$N$5:$N$3004,$AS486)))</f>
        <v/>
      </c>
      <c r="P486" s="14">
        <f>IF($A486="","",IF(INDEX('潜水記録'!$O$5:$O$3004,$AS486)="","",INDEX('潜水記録'!$O$5:$O$3004,$AS486)))</f>
        <v/>
      </c>
      <c r="Q486" s="14">
        <f>IF($A486="","",IF(INDEX('潜水記録'!$P$5:$P$3004,$AS486)="","",INDEX('潜水記録'!$P$5:$P$3004,$AS486)))</f>
        <v/>
      </c>
      <c r="R486" s="14">
        <f>IF($A486="","",IF(INDEX('潜水記録'!$Q$5:$Q$3004,$AS486)="","",INDEX('潜水記録'!$Q$5:$Q$3004,$AS486)))</f>
        <v/>
      </c>
      <c r="S486" s="14">
        <f>IF($A486="","",IF(INDEX('潜水記録'!$R$5:$R$3004,$AS486)="","",INDEX('潜水記録'!$R$5:$R$3004,$AS486)))</f>
        <v/>
      </c>
      <c r="T486" s="14">
        <f>IF($A486="","",IF(INDEX('潜水記録'!$S$5:$S$3004,$AS486)="","",INDEX('潜水記録'!$S$5:$S$3004,$AS486)))</f>
        <v/>
      </c>
      <c r="U486" s="14">
        <f>IF($A486="","",IF(INDEX('潜水記録'!$T$5:$T$3004,$AS486)="","",INDEX('潜水記録'!$T$5:$T$3004,$AS486)))</f>
        <v/>
      </c>
      <c r="V486" s="46">
        <f>IF($A486="","",IF(INDEX('潜水記録'!$U$5:$U$3004,$AS486)="","",INDEX('潜水記録'!$U$5:$U$3004,$AS486)))</f>
        <v/>
      </c>
      <c r="W486" s="46">
        <f>IF($A486="","",IF(INDEX('潜水記録'!$V$5:$V$3004,$AS486)="","",INDEX('潜水記録'!$V$5:$V$3004,$AS486)))</f>
        <v/>
      </c>
      <c r="X486" s="14">
        <f>IF($A486="","",IF(INDEX('潜水記録'!$W$5:$W$3004,$AS486)="","",INDEX('潜水記録'!$W$5:$W$3004,$AS486)))</f>
        <v/>
      </c>
      <c r="Y486" s="14">
        <f>IF($A486="","",IF(INDEX('潜水記録'!$X$5:$X$3004,$AS486)="","",INDEX('潜水記録'!$X$5:$X$3004,$AS486)))</f>
        <v/>
      </c>
      <c r="Z486" s="14">
        <f>IF($A486="","",IF(INDEX('潜水記録'!$Y$5:$Y$3004,$AS486)="","",INDEX('潜水記録'!$Y$5:$Y$3004,$AS486)))</f>
        <v/>
      </c>
      <c r="AA486" s="14">
        <f>IF($A486="","",IF(INDEX('潜水記録'!$Z$5:$Z$3004,$AS486)="","",INDEX('潜水記録'!$Z$5:$Z$3004,$AS486)))</f>
        <v/>
      </c>
      <c r="AB486" s="14">
        <f>IF($A486="","",IF(INDEX('潜水記録'!$AA$5:$AA$3004,$AS486)="","",INDEX('潜水記録'!$AA$5:$AA$3004,$AS486)))</f>
        <v/>
      </c>
      <c r="AC486" s="14">
        <f>IF($A486="","",IF(INDEX('潜水記録'!$AB$5:$AB$3004,$AS486)="","",INDEX('潜水記録'!$AB$5:$AB$3004,$AS486)))</f>
        <v/>
      </c>
      <c r="AD486" s="14">
        <f>IF($A486="","",IF(INDEX('潜水記録'!$AC$5:$AC$3004,$AS486)="","",INDEX('潜水記録'!$AC$5:$AC$3004,$AS486)))</f>
        <v/>
      </c>
      <c r="AE486" s="14">
        <f>IF($A486="","",IF(INDEX('潜水記録'!$AD$5:$AD$3004,$AS486)="","",INDEX('潜水記録'!$AD$5:$AD$3004,$AS486)))</f>
        <v/>
      </c>
      <c r="AF486" s="14">
        <f>IF($A486="","",IF(INDEX('潜水記録'!$AE$5:$AE$3004,$AS486)="","",INDEX('潜水記録'!$AE$5:$AE$3004,$AS486)))</f>
        <v/>
      </c>
      <c r="AG486" s="14">
        <f>IF($A486="","",IF(INDEX('潜水記録'!$AL$5:$AL$3004,$AS486)="","",INDEX('潜水記録'!$AL$5:$AL$3004,$AS486)))</f>
        <v/>
      </c>
      <c r="AH486" s="14">
        <f>IF($A486="","",IF(INDEX('潜水記録'!$AM$5:$AM$3004,$AS486)="","",INDEX('潜水記録'!$AM$5:$AM$3004,$AS486)))</f>
        <v/>
      </c>
      <c r="AI486" s="46">
        <f>IF($A486="","",IF(INDEX('潜水記録'!$AN$5:$AN$3004,$AS486)="","",INDEX('潜水記録'!$AN$5:$AN$3004,$AS486)))</f>
        <v/>
      </c>
      <c r="AJ486" s="14">
        <f>IF($A486="","",IF(INDEX('潜水記録'!$AO$5:$AO$3004,$AS486)="","",INDEX('潜水記録'!$AO$5:$AO$3004,$AS486)))</f>
        <v/>
      </c>
      <c r="AK486" s="14">
        <f>IF($A486="","",IF(INDEX('潜水記録'!$AP$5:$AP$3004,$AS486)="","",INDEX('潜水記録'!$AP$5:$AP$3004,$AS486)))</f>
        <v/>
      </c>
      <c r="AL486" s="14">
        <f>IF($A486="","",IF(INDEX('潜水記録'!$AQ$5:$AQ$3004,$AS486)="","",INDEX('潜水記録'!$AQ$5:$AQ$3004,$AS486)))</f>
        <v/>
      </c>
      <c r="AM486" s="14">
        <f>IF($A486="","",IF(INDEX('潜水記録'!$AR$5:$AR$3004,$AS486)="","",INDEX('潜水記録'!$AR$5:$AR$3004,$AS486)))</f>
        <v/>
      </c>
      <c r="AN486" s="14">
        <f>IF($A486="","",IF(INDEX('潜水記録'!$AS$5:$AS$3004,$AS486)="","",INDEX('潜水記録'!$AS$5:$AS$3004,$AS486)))</f>
        <v/>
      </c>
      <c r="AO486" s="14">
        <f>IF($A486="","",IF(INDEX('潜水記録'!$AT$5:$AT$3004,$AS486)="","",INDEX('潜水記録'!$AT$5:$AT$3004,$AS486)))</f>
        <v/>
      </c>
      <c r="AP486" s="14">
        <f>IF($A486="","",IF(INDEX('潜水記録'!$AU$5:$AU$3004,$AS486)="","",INDEX('潜水記録'!$AU$5:$AU$3004,$AS486)))</f>
        <v/>
      </c>
      <c r="AQ486" s="14">
        <f>IF($A486="","",IF(INDEX('潜水記録'!$AV$5:$AV$3004,$AS486)="","",INDEX('潜水記録'!$AV$5:$AV$3004,$AS486)))</f>
        <v/>
      </c>
      <c r="AR486" s="14">
        <f>IF($A486="","",IF(INDEX('潜水記録'!$AW$5:$AW$3004,$AS486)="","",INDEX('潜水記録'!$AW$5:$AW$3004,$AS486)))</f>
        <v/>
      </c>
      <c r="AS486" s="20">
        <f>IF($A486="","",MATCH($A486,'潜水記録'!$AI$5:$AI$3004,0))</f>
        <v/>
      </c>
    </row>
    <row r="487">
      <c r="A487" s="14">
        <f>IF(477&lt;=$C$8,477,"")</f>
        <v/>
      </c>
      <c r="B487" s="16">
        <f>IF($A487="","",IF(INDEX('潜水記録'!$A$5:$A$3004,$AS487)="","",INDEX('潜水記録'!$A$5:$A$3004,$AS487)))</f>
        <v/>
      </c>
      <c r="C487" s="14">
        <f>IF($A487="","",IF(INDEX('潜水記録'!$B$5:$B$3004,$AS487)="","",INDEX('潜水記録'!$B$5:$B$3004,$AS487)))</f>
        <v/>
      </c>
      <c r="D487" s="14">
        <f>IF($A487="","",IF(INDEX('潜水記録'!$C$5:$C$3004,$AS487)="","",INDEX('潜水記録'!$C$5:$C$3004,$AS487)))</f>
        <v/>
      </c>
      <c r="E487" s="14">
        <f>IF($A487="","",IF(INDEX('潜水記録'!$D$5:$D$3004,$AS487)="","",INDEX('潜水記録'!$D$5:$D$3004,$AS487)))</f>
        <v/>
      </c>
      <c r="F487" s="14">
        <f>IF($A487="","",IF(INDEX('潜水記録'!$E$5:$E$3004,$AS487)="","",INDEX('潜水記録'!$E$5:$E$3004,$AS487)))</f>
        <v/>
      </c>
      <c r="G487" s="14">
        <f>IF($A487="","",IF(INDEX('潜水記録'!$F$5:$F$3004,$AS487)="","",INDEX('潜水記録'!$F$5:$F$3004,$AS487)))</f>
        <v/>
      </c>
      <c r="H487" s="14">
        <f>IF($A487="","",IF(INDEX('潜水記録'!$G$5:$G$3004,$AS487)="","",INDEX('潜水記録'!$G$5:$G$3004,$AS487)))</f>
        <v/>
      </c>
      <c r="I487" s="14">
        <f>IF($A487="","",IF(INDEX('潜水記録'!$H$5:$H$3004,$AS487)="","",INDEX('潜水記録'!$H$5:$H$3004,$AS487)))</f>
        <v/>
      </c>
      <c r="J487" s="14">
        <f>IF($A487="","",IF(INDEX('潜水記録'!$I$5:$I$3004,$AS487)="","",INDEX('潜水記録'!$I$5:$I$3004,$AS487)))</f>
        <v/>
      </c>
      <c r="K487" s="14">
        <f>IF($A487="","",IF(INDEX('潜水記録'!$J$5:$J$3004,$AS487)="","",INDEX('潜水記録'!$J$5:$J$3004,$AS487)))</f>
        <v/>
      </c>
      <c r="L487" s="14">
        <f>IF($A487="","",IF(INDEX('潜水記録'!$K$5:$K$3004,$AS487)="","",INDEX('潜水記録'!$K$5:$K$3004,$AS487)))</f>
        <v/>
      </c>
      <c r="M487" s="14">
        <f>IF($A487="","",IF(INDEX('潜水記録'!$L$5:$L$3004,$AS487)="","",INDEX('潜水記録'!$L$5:$L$3004,$AS487)))</f>
        <v/>
      </c>
      <c r="N487" s="14">
        <f>IF($A487="","",IF(INDEX('潜水記録'!$M$5:$M$3004,$AS487)="","",INDEX('潜水記録'!$M$5:$M$3004,$AS487)))</f>
        <v/>
      </c>
      <c r="O487" s="14">
        <f>IF($A487="","",IF(INDEX('潜水記録'!$N$5:$N$3004,$AS487)="","",INDEX('潜水記録'!$N$5:$N$3004,$AS487)))</f>
        <v/>
      </c>
      <c r="P487" s="14">
        <f>IF($A487="","",IF(INDEX('潜水記録'!$O$5:$O$3004,$AS487)="","",INDEX('潜水記録'!$O$5:$O$3004,$AS487)))</f>
        <v/>
      </c>
      <c r="Q487" s="14">
        <f>IF($A487="","",IF(INDEX('潜水記録'!$P$5:$P$3004,$AS487)="","",INDEX('潜水記録'!$P$5:$P$3004,$AS487)))</f>
        <v/>
      </c>
      <c r="R487" s="14">
        <f>IF($A487="","",IF(INDEX('潜水記録'!$Q$5:$Q$3004,$AS487)="","",INDEX('潜水記録'!$Q$5:$Q$3004,$AS487)))</f>
        <v/>
      </c>
      <c r="S487" s="14">
        <f>IF($A487="","",IF(INDEX('潜水記録'!$R$5:$R$3004,$AS487)="","",INDEX('潜水記録'!$R$5:$R$3004,$AS487)))</f>
        <v/>
      </c>
      <c r="T487" s="14">
        <f>IF($A487="","",IF(INDEX('潜水記録'!$S$5:$S$3004,$AS487)="","",INDEX('潜水記録'!$S$5:$S$3004,$AS487)))</f>
        <v/>
      </c>
      <c r="U487" s="14">
        <f>IF($A487="","",IF(INDEX('潜水記録'!$T$5:$T$3004,$AS487)="","",INDEX('潜水記録'!$T$5:$T$3004,$AS487)))</f>
        <v/>
      </c>
      <c r="V487" s="46">
        <f>IF($A487="","",IF(INDEX('潜水記録'!$U$5:$U$3004,$AS487)="","",INDEX('潜水記録'!$U$5:$U$3004,$AS487)))</f>
        <v/>
      </c>
      <c r="W487" s="46">
        <f>IF($A487="","",IF(INDEX('潜水記録'!$V$5:$V$3004,$AS487)="","",INDEX('潜水記録'!$V$5:$V$3004,$AS487)))</f>
        <v/>
      </c>
      <c r="X487" s="14">
        <f>IF($A487="","",IF(INDEX('潜水記録'!$W$5:$W$3004,$AS487)="","",INDEX('潜水記録'!$W$5:$W$3004,$AS487)))</f>
        <v/>
      </c>
      <c r="Y487" s="14">
        <f>IF($A487="","",IF(INDEX('潜水記録'!$X$5:$X$3004,$AS487)="","",INDEX('潜水記録'!$X$5:$X$3004,$AS487)))</f>
        <v/>
      </c>
      <c r="Z487" s="14">
        <f>IF($A487="","",IF(INDEX('潜水記録'!$Y$5:$Y$3004,$AS487)="","",INDEX('潜水記録'!$Y$5:$Y$3004,$AS487)))</f>
        <v/>
      </c>
      <c r="AA487" s="14">
        <f>IF($A487="","",IF(INDEX('潜水記録'!$Z$5:$Z$3004,$AS487)="","",INDEX('潜水記録'!$Z$5:$Z$3004,$AS487)))</f>
        <v/>
      </c>
      <c r="AB487" s="14">
        <f>IF($A487="","",IF(INDEX('潜水記録'!$AA$5:$AA$3004,$AS487)="","",INDEX('潜水記録'!$AA$5:$AA$3004,$AS487)))</f>
        <v/>
      </c>
      <c r="AC487" s="14">
        <f>IF($A487="","",IF(INDEX('潜水記録'!$AB$5:$AB$3004,$AS487)="","",INDEX('潜水記録'!$AB$5:$AB$3004,$AS487)))</f>
        <v/>
      </c>
      <c r="AD487" s="14">
        <f>IF($A487="","",IF(INDEX('潜水記録'!$AC$5:$AC$3004,$AS487)="","",INDEX('潜水記録'!$AC$5:$AC$3004,$AS487)))</f>
        <v/>
      </c>
      <c r="AE487" s="14">
        <f>IF($A487="","",IF(INDEX('潜水記録'!$AD$5:$AD$3004,$AS487)="","",INDEX('潜水記録'!$AD$5:$AD$3004,$AS487)))</f>
        <v/>
      </c>
      <c r="AF487" s="14">
        <f>IF($A487="","",IF(INDEX('潜水記録'!$AE$5:$AE$3004,$AS487)="","",INDEX('潜水記録'!$AE$5:$AE$3004,$AS487)))</f>
        <v/>
      </c>
      <c r="AG487" s="14">
        <f>IF($A487="","",IF(INDEX('潜水記録'!$AL$5:$AL$3004,$AS487)="","",INDEX('潜水記録'!$AL$5:$AL$3004,$AS487)))</f>
        <v/>
      </c>
      <c r="AH487" s="14">
        <f>IF($A487="","",IF(INDEX('潜水記録'!$AM$5:$AM$3004,$AS487)="","",INDEX('潜水記録'!$AM$5:$AM$3004,$AS487)))</f>
        <v/>
      </c>
      <c r="AI487" s="46">
        <f>IF($A487="","",IF(INDEX('潜水記録'!$AN$5:$AN$3004,$AS487)="","",INDEX('潜水記録'!$AN$5:$AN$3004,$AS487)))</f>
        <v/>
      </c>
      <c r="AJ487" s="14">
        <f>IF($A487="","",IF(INDEX('潜水記録'!$AO$5:$AO$3004,$AS487)="","",INDEX('潜水記録'!$AO$5:$AO$3004,$AS487)))</f>
        <v/>
      </c>
      <c r="AK487" s="14">
        <f>IF($A487="","",IF(INDEX('潜水記録'!$AP$5:$AP$3004,$AS487)="","",INDEX('潜水記録'!$AP$5:$AP$3004,$AS487)))</f>
        <v/>
      </c>
      <c r="AL487" s="14">
        <f>IF($A487="","",IF(INDEX('潜水記録'!$AQ$5:$AQ$3004,$AS487)="","",INDEX('潜水記録'!$AQ$5:$AQ$3004,$AS487)))</f>
        <v/>
      </c>
      <c r="AM487" s="14">
        <f>IF($A487="","",IF(INDEX('潜水記録'!$AR$5:$AR$3004,$AS487)="","",INDEX('潜水記録'!$AR$5:$AR$3004,$AS487)))</f>
        <v/>
      </c>
      <c r="AN487" s="14">
        <f>IF($A487="","",IF(INDEX('潜水記録'!$AS$5:$AS$3004,$AS487)="","",INDEX('潜水記録'!$AS$5:$AS$3004,$AS487)))</f>
        <v/>
      </c>
      <c r="AO487" s="14">
        <f>IF($A487="","",IF(INDEX('潜水記録'!$AT$5:$AT$3004,$AS487)="","",INDEX('潜水記録'!$AT$5:$AT$3004,$AS487)))</f>
        <v/>
      </c>
      <c r="AP487" s="14">
        <f>IF($A487="","",IF(INDEX('潜水記録'!$AU$5:$AU$3004,$AS487)="","",INDEX('潜水記録'!$AU$5:$AU$3004,$AS487)))</f>
        <v/>
      </c>
      <c r="AQ487" s="14">
        <f>IF($A487="","",IF(INDEX('潜水記録'!$AV$5:$AV$3004,$AS487)="","",INDEX('潜水記録'!$AV$5:$AV$3004,$AS487)))</f>
        <v/>
      </c>
      <c r="AR487" s="14">
        <f>IF($A487="","",IF(INDEX('潜水記録'!$AW$5:$AW$3004,$AS487)="","",INDEX('潜水記録'!$AW$5:$AW$3004,$AS487)))</f>
        <v/>
      </c>
      <c r="AS487" s="20">
        <f>IF($A487="","",MATCH($A487,'潜水記録'!$AI$5:$AI$3004,0))</f>
        <v/>
      </c>
    </row>
    <row r="488">
      <c r="A488" s="14">
        <f>IF(478&lt;=$C$8,478,"")</f>
        <v/>
      </c>
      <c r="B488" s="16">
        <f>IF($A488="","",IF(INDEX('潜水記録'!$A$5:$A$3004,$AS488)="","",INDEX('潜水記録'!$A$5:$A$3004,$AS488)))</f>
        <v/>
      </c>
      <c r="C488" s="14">
        <f>IF($A488="","",IF(INDEX('潜水記録'!$B$5:$B$3004,$AS488)="","",INDEX('潜水記録'!$B$5:$B$3004,$AS488)))</f>
        <v/>
      </c>
      <c r="D488" s="14">
        <f>IF($A488="","",IF(INDEX('潜水記録'!$C$5:$C$3004,$AS488)="","",INDEX('潜水記録'!$C$5:$C$3004,$AS488)))</f>
        <v/>
      </c>
      <c r="E488" s="14">
        <f>IF($A488="","",IF(INDEX('潜水記録'!$D$5:$D$3004,$AS488)="","",INDEX('潜水記録'!$D$5:$D$3004,$AS488)))</f>
        <v/>
      </c>
      <c r="F488" s="14">
        <f>IF($A488="","",IF(INDEX('潜水記録'!$E$5:$E$3004,$AS488)="","",INDEX('潜水記録'!$E$5:$E$3004,$AS488)))</f>
        <v/>
      </c>
      <c r="G488" s="14">
        <f>IF($A488="","",IF(INDEX('潜水記録'!$F$5:$F$3004,$AS488)="","",INDEX('潜水記録'!$F$5:$F$3004,$AS488)))</f>
        <v/>
      </c>
      <c r="H488" s="14">
        <f>IF($A488="","",IF(INDEX('潜水記録'!$G$5:$G$3004,$AS488)="","",INDEX('潜水記録'!$G$5:$G$3004,$AS488)))</f>
        <v/>
      </c>
      <c r="I488" s="14">
        <f>IF($A488="","",IF(INDEX('潜水記録'!$H$5:$H$3004,$AS488)="","",INDEX('潜水記録'!$H$5:$H$3004,$AS488)))</f>
        <v/>
      </c>
      <c r="J488" s="14">
        <f>IF($A488="","",IF(INDEX('潜水記録'!$I$5:$I$3004,$AS488)="","",INDEX('潜水記録'!$I$5:$I$3004,$AS488)))</f>
        <v/>
      </c>
      <c r="K488" s="14">
        <f>IF($A488="","",IF(INDEX('潜水記録'!$J$5:$J$3004,$AS488)="","",INDEX('潜水記録'!$J$5:$J$3004,$AS488)))</f>
        <v/>
      </c>
      <c r="L488" s="14">
        <f>IF($A488="","",IF(INDEX('潜水記録'!$K$5:$K$3004,$AS488)="","",INDEX('潜水記録'!$K$5:$K$3004,$AS488)))</f>
        <v/>
      </c>
      <c r="M488" s="14">
        <f>IF($A488="","",IF(INDEX('潜水記録'!$L$5:$L$3004,$AS488)="","",INDEX('潜水記録'!$L$5:$L$3004,$AS488)))</f>
        <v/>
      </c>
      <c r="N488" s="14">
        <f>IF($A488="","",IF(INDEX('潜水記録'!$M$5:$M$3004,$AS488)="","",INDEX('潜水記録'!$M$5:$M$3004,$AS488)))</f>
        <v/>
      </c>
      <c r="O488" s="14">
        <f>IF($A488="","",IF(INDEX('潜水記録'!$N$5:$N$3004,$AS488)="","",INDEX('潜水記録'!$N$5:$N$3004,$AS488)))</f>
        <v/>
      </c>
      <c r="P488" s="14">
        <f>IF($A488="","",IF(INDEX('潜水記録'!$O$5:$O$3004,$AS488)="","",INDEX('潜水記録'!$O$5:$O$3004,$AS488)))</f>
        <v/>
      </c>
      <c r="Q488" s="14">
        <f>IF($A488="","",IF(INDEX('潜水記録'!$P$5:$P$3004,$AS488)="","",INDEX('潜水記録'!$P$5:$P$3004,$AS488)))</f>
        <v/>
      </c>
      <c r="R488" s="14">
        <f>IF($A488="","",IF(INDEX('潜水記録'!$Q$5:$Q$3004,$AS488)="","",INDEX('潜水記録'!$Q$5:$Q$3004,$AS488)))</f>
        <v/>
      </c>
      <c r="S488" s="14">
        <f>IF($A488="","",IF(INDEX('潜水記録'!$R$5:$R$3004,$AS488)="","",INDEX('潜水記録'!$R$5:$R$3004,$AS488)))</f>
        <v/>
      </c>
      <c r="T488" s="14">
        <f>IF($A488="","",IF(INDEX('潜水記録'!$S$5:$S$3004,$AS488)="","",INDEX('潜水記録'!$S$5:$S$3004,$AS488)))</f>
        <v/>
      </c>
      <c r="U488" s="14">
        <f>IF($A488="","",IF(INDEX('潜水記録'!$T$5:$T$3004,$AS488)="","",INDEX('潜水記録'!$T$5:$T$3004,$AS488)))</f>
        <v/>
      </c>
      <c r="V488" s="46">
        <f>IF($A488="","",IF(INDEX('潜水記録'!$U$5:$U$3004,$AS488)="","",INDEX('潜水記録'!$U$5:$U$3004,$AS488)))</f>
        <v/>
      </c>
      <c r="W488" s="46">
        <f>IF($A488="","",IF(INDEX('潜水記録'!$V$5:$V$3004,$AS488)="","",INDEX('潜水記録'!$V$5:$V$3004,$AS488)))</f>
        <v/>
      </c>
      <c r="X488" s="14">
        <f>IF($A488="","",IF(INDEX('潜水記録'!$W$5:$W$3004,$AS488)="","",INDEX('潜水記録'!$W$5:$W$3004,$AS488)))</f>
        <v/>
      </c>
      <c r="Y488" s="14">
        <f>IF($A488="","",IF(INDEX('潜水記録'!$X$5:$X$3004,$AS488)="","",INDEX('潜水記録'!$X$5:$X$3004,$AS488)))</f>
        <v/>
      </c>
      <c r="Z488" s="14">
        <f>IF($A488="","",IF(INDEX('潜水記録'!$Y$5:$Y$3004,$AS488)="","",INDEX('潜水記録'!$Y$5:$Y$3004,$AS488)))</f>
        <v/>
      </c>
      <c r="AA488" s="14">
        <f>IF($A488="","",IF(INDEX('潜水記録'!$Z$5:$Z$3004,$AS488)="","",INDEX('潜水記録'!$Z$5:$Z$3004,$AS488)))</f>
        <v/>
      </c>
      <c r="AB488" s="14">
        <f>IF($A488="","",IF(INDEX('潜水記録'!$AA$5:$AA$3004,$AS488)="","",INDEX('潜水記録'!$AA$5:$AA$3004,$AS488)))</f>
        <v/>
      </c>
      <c r="AC488" s="14">
        <f>IF($A488="","",IF(INDEX('潜水記録'!$AB$5:$AB$3004,$AS488)="","",INDEX('潜水記録'!$AB$5:$AB$3004,$AS488)))</f>
        <v/>
      </c>
      <c r="AD488" s="14">
        <f>IF($A488="","",IF(INDEX('潜水記録'!$AC$5:$AC$3004,$AS488)="","",INDEX('潜水記録'!$AC$5:$AC$3004,$AS488)))</f>
        <v/>
      </c>
      <c r="AE488" s="14">
        <f>IF($A488="","",IF(INDEX('潜水記録'!$AD$5:$AD$3004,$AS488)="","",INDEX('潜水記録'!$AD$5:$AD$3004,$AS488)))</f>
        <v/>
      </c>
      <c r="AF488" s="14">
        <f>IF($A488="","",IF(INDEX('潜水記録'!$AE$5:$AE$3004,$AS488)="","",INDEX('潜水記録'!$AE$5:$AE$3004,$AS488)))</f>
        <v/>
      </c>
      <c r="AG488" s="14">
        <f>IF($A488="","",IF(INDEX('潜水記録'!$AL$5:$AL$3004,$AS488)="","",INDEX('潜水記録'!$AL$5:$AL$3004,$AS488)))</f>
        <v/>
      </c>
      <c r="AH488" s="14">
        <f>IF($A488="","",IF(INDEX('潜水記録'!$AM$5:$AM$3004,$AS488)="","",INDEX('潜水記録'!$AM$5:$AM$3004,$AS488)))</f>
        <v/>
      </c>
      <c r="AI488" s="46">
        <f>IF($A488="","",IF(INDEX('潜水記録'!$AN$5:$AN$3004,$AS488)="","",INDEX('潜水記録'!$AN$5:$AN$3004,$AS488)))</f>
        <v/>
      </c>
      <c r="AJ488" s="14">
        <f>IF($A488="","",IF(INDEX('潜水記録'!$AO$5:$AO$3004,$AS488)="","",INDEX('潜水記録'!$AO$5:$AO$3004,$AS488)))</f>
        <v/>
      </c>
      <c r="AK488" s="14">
        <f>IF($A488="","",IF(INDEX('潜水記録'!$AP$5:$AP$3004,$AS488)="","",INDEX('潜水記録'!$AP$5:$AP$3004,$AS488)))</f>
        <v/>
      </c>
      <c r="AL488" s="14">
        <f>IF($A488="","",IF(INDEX('潜水記録'!$AQ$5:$AQ$3004,$AS488)="","",INDEX('潜水記録'!$AQ$5:$AQ$3004,$AS488)))</f>
        <v/>
      </c>
      <c r="AM488" s="14">
        <f>IF($A488="","",IF(INDEX('潜水記録'!$AR$5:$AR$3004,$AS488)="","",INDEX('潜水記録'!$AR$5:$AR$3004,$AS488)))</f>
        <v/>
      </c>
      <c r="AN488" s="14">
        <f>IF($A488="","",IF(INDEX('潜水記録'!$AS$5:$AS$3004,$AS488)="","",INDEX('潜水記録'!$AS$5:$AS$3004,$AS488)))</f>
        <v/>
      </c>
      <c r="AO488" s="14">
        <f>IF($A488="","",IF(INDEX('潜水記録'!$AT$5:$AT$3004,$AS488)="","",INDEX('潜水記録'!$AT$5:$AT$3004,$AS488)))</f>
        <v/>
      </c>
      <c r="AP488" s="14">
        <f>IF($A488="","",IF(INDEX('潜水記録'!$AU$5:$AU$3004,$AS488)="","",INDEX('潜水記録'!$AU$5:$AU$3004,$AS488)))</f>
        <v/>
      </c>
      <c r="AQ488" s="14">
        <f>IF($A488="","",IF(INDEX('潜水記録'!$AV$5:$AV$3004,$AS488)="","",INDEX('潜水記録'!$AV$5:$AV$3004,$AS488)))</f>
        <v/>
      </c>
      <c r="AR488" s="14">
        <f>IF($A488="","",IF(INDEX('潜水記録'!$AW$5:$AW$3004,$AS488)="","",INDEX('潜水記録'!$AW$5:$AW$3004,$AS488)))</f>
        <v/>
      </c>
      <c r="AS488" s="20">
        <f>IF($A488="","",MATCH($A488,'潜水記録'!$AI$5:$AI$3004,0))</f>
        <v/>
      </c>
    </row>
    <row r="489">
      <c r="A489" s="14">
        <f>IF(479&lt;=$C$8,479,"")</f>
        <v/>
      </c>
      <c r="B489" s="16">
        <f>IF($A489="","",IF(INDEX('潜水記録'!$A$5:$A$3004,$AS489)="","",INDEX('潜水記録'!$A$5:$A$3004,$AS489)))</f>
        <v/>
      </c>
      <c r="C489" s="14">
        <f>IF($A489="","",IF(INDEX('潜水記録'!$B$5:$B$3004,$AS489)="","",INDEX('潜水記録'!$B$5:$B$3004,$AS489)))</f>
        <v/>
      </c>
      <c r="D489" s="14">
        <f>IF($A489="","",IF(INDEX('潜水記録'!$C$5:$C$3004,$AS489)="","",INDEX('潜水記録'!$C$5:$C$3004,$AS489)))</f>
        <v/>
      </c>
      <c r="E489" s="14">
        <f>IF($A489="","",IF(INDEX('潜水記録'!$D$5:$D$3004,$AS489)="","",INDEX('潜水記録'!$D$5:$D$3004,$AS489)))</f>
        <v/>
      </c>
      <c r="F489" s="14">
        <f>IF($A489="","",IF(INDEX('潜水記録'!$E$5:$E$3004,$AS489)="","",INDEX('潜水記録'!$E$5:$E$3004,$AS489)))</f>
        <v/>
      </c>
      <c r="G489" s="14">
        <f>IF($A489="","",IF(INDEX('潜水記録'!$F$5:$F$3004,$AS489)="","",INDEX('潜水記録'!$F$5:$F$3004,$AS489)))</f>
        <v/>
      </c>
      <c r="H489" s="14">
        <f>IF($A489="","",IF(INDEX('潜水記録'!$G$5:$G$3004,$AS489)="","",INDEX('潜水記録'!$G$5:$G$3004,$AS489)))</f>
        <v/>
      </c>
      <c r="I489" s="14">
        <f>IF($A489="","",IF(INDEX('潜水記録'!$H$5:$H$3004,$AS489)="","",INDEX('潜水記録'!$H$5:$H$3004,$AS489)))</f>
        <v/>
      </c>
      <c r="J489" s="14">
        <f>IF($A489="","",IF(INDEX('潜水記録'!$I$5:$I$3004,$AS489)="","",INDEX('潜水記録'!$I$5:$I$3004,$AS489)))</f>
        <v/>
      </c>
      <c r="K489" s="14">
        <f>IF($A489="","",IF(INDEX('潜水記録'!$J$5:$J$3004,$AS489)="","",INDEX('潜水記録'!$J$5:$J$3004,$AS489)))</f>
        <v/>
      </c>
      <c r="L489" s="14">
        <f>IF($A489="","",IF(INDEX('潜水記録'!$K$5:$K$3004,$AS489)="","",INDEX('潜水記録'!$K$5:$K$3004,$AS489)))</f>
        <v/>
      </c>
      <c r="M489" s="14">
        <f>IF($A489="","",IF(INDEX('潜水記録'!$L$5:$L$3004,$AS489)="","",INDEX('潜水記録'!$L$5:$L$3004,$AS489)))</f>
        <v/>
      </c>
      <c r="N489" s="14">
        <f>IF($A489="","",IF(INDEX('潜水記録'!$M$5:$M$3004,$AS489)="","",INDEX('潜水記録'!$M$5:$M$3004,$AS489)))</f>
        <v/>
      </c>
      <c r="O489" s="14">
        <f>IF($A489="","",IF(INDEX('潜水記録'!$N$5:$N$3004,$AS489)="","",INDEX('潜水記録'!$N$5:$N$3004,$AS489)))</f>
        <v/>
      </c>
      <c r="P489" s="14">
        <f>IF($A489="","",IF(INDEX('潜水記録'!$O$5:$O$3004,$AS489)="","",INDEX('潜水記録'!$O$5:$O$3004,$AS489)))</f>
        <v/>
      </c>
      <c r="Q489" s="14">
        <f>IF($A489="","",IF(INDEX('潜水記録'!$P$5:$P$3004,$AS489)="","",INDEX('潜水記録'!$P$5:$P$3004,$AS489)))</f>
        <v/>
      </c>
      <c r="R489" s="14">
        <f>IF($A489="","",IF(INDEX('潜水記録'!$Q$5:$Q$3004,$AS489)="","",INDEX('潜水記録'!$Q$5:$Q$3004,$AS489)))</f>
        <v/>
      </c>
      <c r="S489" s="14">
        <f>IF($A489="","",IF(INDEX('潜水記録'!$R$5:$R$3004,$AS489)="","",INDEX('潜水記録'!$R$5:$R$3004,$AS489)))</f>
        <v/>
      </c>
      <c r="T489" s="14">
        <f>IF($A489="","",IF(INDEX('潜水記録'!$S$5:$S$3004,$AS489)="","",INDEX('潜水記録'!$S$5:$S$3004,$AS489)))</f>
        <v/>
      </c>
      <c r="U489" s="14">
        <f>IF($A489="","",IF(INDEX('潜水記録'!$T$5:$T$3004,$AS489)="","",INDEX('潜水記録'!$T$5:$T$3004,$AS489)))</f>
        <v/>
      </c>
      <c r="V489" s="46">
        <f>IF($A489="","",IF(INDEX('潜水記録'!$U$5:$U$3004,$AS489)="","",INDEX('潜水記録'!$U$5:$U$3004,$AS489)))</f>
        <v/>
      </c>
      <c r="W489" s="46">
        <f>IF($A489="","",IF(INDEX('潜水記録'!$V$5:$V$3004,$AS489)="","",INDEX('潜水記録'!$V$5:$V$3004,$AS489)))</f>
        <v/>
      </c>
      <c r="X489" s="14">
        <f>IF($A489="","",IF(INDEX('潜水記録'!$W$5:$W$3004,$AS489)="","",INDEX('潜水記録'!$W$5:$W$3004,$AS489)))</f>
        <v/>
      </c>
      <c r="Y489" s="14">
        <f>IF($A489="","",IF(INDEX('潜水記録'!$X$5:$X$3004,$AS489)="","",INDEX('潜水記録'!$X$5:$X$3004,$AS489)))</f>
        <v/>
      </c>
      <c r="Z489" s="14">
        <f>IF($A489="","",IF(INDEX('潜水記録'!$Y$5:$Y$3004,$AS489)="","",INDEX('潜水記録'!$Y$5:$Y$3004,$AS489)))</f>
        <v/>
      </c>
      <c r="AA489" s="14">
        <f>IF($A489="","",IF(INDEX('潜水記録'!$Z$5:$Z$3004,$AS489)="","",INDEX('潜水記録'!$Z$5:$Z$3004,$AS489)))</f>
        <v/>
      </c>
      <c r="AB489" s="14">
        <f>IF($A489="","",IF(INDEX('潜水記録'!$AA$5:$AA$3004,$AS489)="","",INDEX('潜水記録'!$AA$5:$AA$3004,$AS489)))</f>
        <v/>
      </c>
      <c r="AC489" s="14">
        <f>IF($A489="","",IF(INDEX('潜水記録'!$AB$5:$AB$3004,$AS489)="","",INDEX('潜水記録'!$AB$5:$AB$3004,$AS489)))</f>
        <v/>
      </c>
      <c r="AD489" s="14">
        <f>IF($A489="","",IF(INDEX('潜水記録'!$AC$5:$AC$3004,$AS489)="","",INDEX('潜水記録'!$AC$5:$AC$3004,$AS489)))</f>
        <v/>
      </c>
      <c r="AE489" s="14">
        <f>IF($A489="","",IF(INDEX('潜水記録'!$AD$5:$AD$3004,$AS489)="","",INDEX('潜水記録'!$AD$5:$AD$3004,$AS489)))</f>
        <v/>
      </c>
      <c r="AF489" s="14">
        <f>IF($A489="","",IF(INDEX('潜水記録'!$AE$5:$AE$3004,$AS489)="","",INDEX('潜水記録'!$AE$5:$AE$3004,$AS489)))</f>
        <v/>
      </c>
      <c r="AG489" s="14">
        <f>IF($A489="","",IF(INDEX('潜水記録'!$AL$5:$AL$3004,$AS489)="","",INDEX('潜水記録'!$AL$5:$AL$3004,$AS489)))</f>
        <v/>
      </c>
      <c r="AH489" s="14">
        <f>IF($A489="","",IF(INDEX('潜水記録'!$AM$5:$AM$3004,$AS489)="","",INDEX('潜水記録'!$AM$5:$AM$3004,$AS489)))</f>
        <v/>
      </c>
      <c r="AI489" s="46">
        <f>IF($A489="","",IF(INDEX('潜水記録'!$AN$5:$AN$3004,$AS489)="","",INDEX('潜水記録'!$AN$5:$AN$3004,$AS489)))</f>
        <v/>
      </c>
      <c r="AJ489" s="14">
        <f>IF($A489="","",IF(INDEX('潜水記録'!$AO$5:$AO$3004,$AS489)="","",INDEX('潜水記録'!$AO$5:$AO$3004,$AS489)))</f>
        <v/>
      </c>
      <c r="AK489" s="14">
        <f>IF($A489="","",IF(INDEX('潜水記録'!$AP$5:$AP$3004,$AS489)="","",INDEX('潜水記録'!$AP$5:$AP$3004,$AS489)))</f>
        <v/>
      </c>
      <c r="AL489" s="14">
        <f>IF($A489="","",IF(INDEX('潜水記録'!$AQ$5:$AQ$3004,$AS489)="","",INDEX('潜水記録'!$AQ$5:$AQ$3004,$AS489)))</f>
        <v/>
      </c>
      <c r="AM489" s="14">
        <f>IF($A489="","",IF(INDEX('潜水記録'!$AR$5:$AR$3004,$AS489)="","",INDEX('潜水記録'!$AR$5:$AR$3004,$AS489)))</f>
        <v/>
      </c>
      <c r="AN489" s="14">
        <f>IF($A489="","",IF(INDEX('潜水記録'!$AS$5:$AS$3004,$AS489)="","",INDEX('潜水記録'!$AS$5:$AS$3004,$AS489)))</f>
        <v/>
      </c>
      <c r="AO489" s="14">
        <f>IF($A489="","",IF(INDEX('潜水記録'!$AT$5:$AT$3004,$AS489)="","",INDEX('潜水記録'!$AT$5:$AT$3004,$AS489)))</f>
        <v/>
      </c>
      <c r="AP489" s="14">
        <f>IF($A489="","",IF(INDEX('潜水記録'!$AU$5:$AU$3004,$AS489)="","",INDEX('潜水記録'!$AU$5:$AU$3004,$AS489)))</f>
        <v/>
      </c>
      <c r="AQ489" s="14">
        <f>IF($A489="","",IF(INDEX('潜水記録'!$AV$5:$AV$3004,$AS489)="","",INDEX('潜水記録'!$AV$5:$AV$3004,$AS489)))</f>
        <v/>
      </c>
      <c r="AR489" s="14">
        <f>IF($A489="","",IF(INDEX('潜水記録'!$AW$5:$AW$3004,$AS489)="","",INDEX('潜水記録'!$AW$5:$AW$3004,$AS489)))</f>
        <v/>
      </c>
      <c r="AS489" s="20">
        <f>IF($A489="","",MATCH($A489,'潜水記録'!$AI$5:$AI$3004,0))</f>
        <v/>
      </c>
    </row>
    <row r="490">
      <c r="A490" s="14">
        <f>IF(480&lt;=$C$8,480,"")</f>
        <v/>
      </c>
      <c r="B490" s="16">
        <f>IF($A490="","",IF(INDEX('潜水記録'!$A$5:$A$3004,$AS490)="","",INDEX('潜水記録'!$A$5:$A$3004,$AS490)))</f>
        <v/>
      </c>
      <c r="C490" s="14">
        <f>IF($A490="","",IF(INDEX('潜水記録'!$B$5:$B$3004,$AS490)="","",INDEX('潜水記録'!$B$5:$B$3004,$AS490)))</f>
        <v/>
      </c>
      <c r="D490" s="14">
        <f>IF($A490="","",IF(INDEX('潜水記録'!$C$5:$C$3004,$AS490)="","",INDEX('潜水記録'!$C$5:$C$3004,$AS490)))</f>
        <v/>
      </c>
      <c r="E490" s="14">
        <f>IF($A490="","",IF(INDEX('潜水記録'!$D$5:$D$3004,$AS490)="","",INDEX('潜水記録'!$D$5:$D$3004,$AS490)))</f>
        <v/>
      </c>
      <c r="F490" s="14">
        <f>IF($A490="","",IF(INDEX('潜水記録'!$E$5:$E$3004,$AS490)="","",INDEX('潜水記録'!$E$5:$E$3004,$AS490)))</f>
        <v/>
      </c>
      <c r="G490" s="14">
        <f>IF($A490="","",IF(INDEX('潜水記録'!$F$5:$F$3004,$AS490)="","",INDEX('潜水記録'!$F$5:$F$3004,$AS490)))</f>
        <v/>
      </c>
      <c r="H490" s="14">
        <f>IF($A490="","",IF(INDEX('潜水記録'!$G$5:$G$3004,$AS490)="","",INDEX('潜水記録'!$G$5:$G$3004,$AS490)))</f>
        <v/>
      </c>
      <c r="I490" s="14">
        <f>IF($A490="","",IF(INDEX('潜水記録'!$H$5:$H$3004,$AS490)="","",INDEX('潜水記録'!$H$5:$H$3004,$AS490)))</f>
        <v/>
      </c>
      <c r="J490" s="14">
        <f>IF($A490="","",IF(INDEX('潜水記録'!$I$5:$I$3004,$AS490)="","",INDEX('潜水記録'!$I$5:$I$3004,$AS490)))</f>
        <v/>
      </c>
      <c r="K490" s="14">
        <f>IF($A490="","",IF(INDEX('潜水記録'!$J$5:$J$3004,$AS490)="","",INDEX('潜水記録'!$J$5:$J$3004,$AS490)))</f>
        <v/>
      </c>
      <c r="L490" s="14">
        <f>IF($A490="","",IF(INDEX('潜水記録'!$K$5:$K$3004,$AS490)="","",INDEX('潜水記録'!$K$5:$K$3004,$AS490)))</f>
        <v/>
      </c>
      <c r="M490" s="14">
        <f>IF($A490="","",IF(INDEX('潜水記録'!$L$5:$L$3004,$AS490)="","",INDEX('潜水記録'!$L$5:$L$3004,$AS490)))</f>
        <v/>
      </c>
      <c r="N490" s="14">
        <f>IF($A490="","",IF(INDEX('潜水記録'!$M$5:$M$3004,$AS490)="","",INDEX('潜水記録'!$M$5:$M$3004,$AS490)))</f>
        <v/>
      </c>
      <c r="O490" s="14">
        <f>IF($A490="","",IF(INDEX('潜水記録'!$N$5:$N$3004,$AS490)="","",INDEX('潜水記録'!$N$5:$N$3004,$AS490)))</f>
        <v/>
      </c>
      <c r="P490" s="14">
        <f>IF($A490="","",IF(INDEX('潜水記録'!$O$5:$O$3004,$AS490)="","",INDEX('潜水記録'!$O$5:$O$3004,$AS490)))</f>
        <v/>
      </c>
      <c r="Q490" s="14">
        <f>IF($A490="","",IF(INDEX('潜水記録'!$P$5:$P$3004,$AS490)="","",INDEX('潜水記録'!$P$5:$P$3004,$AS490)))</f>
        <v/>
      </c>
      <c r="R490" s="14">
        <f>IF($A490="","",IF(INDEX('潜水記録'!$Q$5:$Q$3004,$AS490)="","",INDEX('潜水記録'!$Q$5:$Q$3004,$AS490)))</f>
        <v/>
      </c>
      <c r="S490" s="14">
        <f>IF($A490="","",IF(INDEX('潜水記録'!$R$5:$R$3004,$AS490)="","",INDEX('潜水記録'!$R$5:$R$3004,$AS490)))</f>
        <v/>
      </c>
      <c r="T490" s="14">
        <f>IF($A490="","",IF(INDEX('潜水記録'!$S$5:$S$3004,$AS490)="","",INDEX('潜水記録'!$S$5:$S$3004,$AS490)))</f>
        <v/>
      </c>
      <c r="U490" s="14">
        <f>IF($A490="","",IF(INDEX('潜水記録'!$T$5:$T$3004,$AS490)="","",INDEX('潜水記録'!$T$5:$T$3004,$AS490)))</f>
        <v/>
      </c>
      <c r="V490" s="46">
        <f>IF($A490="","",IF(INDEX('潜水記録'!$U$5:$U$3004,$AS490)="","",INDEX('潜水記録'!$U$5:$U$3004,$AS490)))</f>
        <v/>
      </c>
      <c r="W490" s="46">
        <f>IF($A490="","",IF(INDEX('潜水記録'!$V$5:$V$3004,$AS490)="","",INDEX('潜水記録'!$V$5:$V$3004,$AS490)))</f>
        <v/>
      </c>
      <c r="X490" s="14">
        <f>IF($A490="","",IF(INDEX('潜水記録'!$W$5:$W$3004,$AS490)="","",INDEX('潜水記録'!$W$5:$W$3004,$AS490)))</f>
        <v/>
      </c>
      <c r="Y490" s="14">
        <f>IF($A490="","",IF(INDEX('潜水記録'!$X$5:$X$3004,$AS490)="","",INDEX('潜水記録'!$X$5:$X$3004,$AS490)))</f>
        <v/>
      </c>
      <c r="Z490" s="14">
        <f>IF($A490="","",IF(INDEX('潜水記録'!$Y$5:$Y$3004,$AS490)="","",INDEX('潜水記録'!$Y$5:$Y$3004,$AS490)))</f>
        <v/>
      </c>
      <c r="AA490" s="14">
        <f>IF($A490="","",IF(INDEX('潜水記録'!$Z$5:$Z$3004,$AS490)="","",INDEX('潜水記録'!$Z$5:$Z$3004,$AS490)))</f>
        <v/>
      </c>
      <c r="AB490" s="14">
        <f>IF($A490="","",IF(INDEX('潜水記録'!$AA$5:$AA$3004,$AS490)="","",INDEX('潜水記録'!$AA$5:$AA$3004,$AS490)))</f>
        <v/>
      </c>
      <c r="AC490" s="14">
        <f>IF($A490="","",IF(INDEX('潜水記録'!$AB$5:$AB$3004,$AS490)="","",INDEX('潜水記録'!$AB$5:$AB$3004,$AS490)))</f>
        <v/>
      </c>
      <c r="AD490" s="14">
        <f>IF($A490="","",IF(INDEX('潜水記録'!$AC$5:$AC$3004,$AS490)="","",INDEX('潜水記録'!$AC$5:$AC$3004,$AS490)))</f>
        <v/>
      </c>
      <c r="AE490" s="14">
        <f>IF($A490="","",IF(INDEX('潜水記録'!$AD$5:$AD$3004,$AS490)="","",INDEX('潜水記録'!$AD$5:$AD$3004,$AS490)))</f>
        <v/>
      </c>
      <c r="AF490" s="14">
        <f>IF($A490="","",IF(INDEX('潜水記録'!$AE$5:$AE$3004,$AS490)="","",INDEX('潜水記録'!$AE$5:$AE$3004,$AS490)))</f>
        <v/>
      </c>
      <c r="AG490" s="14">
        <f>IF($A490="","",IF(INDEX('潜水記録'!$AL$5:$AL$3004,$AS490)="","",INDEX('潜水記録'!$AL$5:$AL$3004,$AS490)))</f>
        <v/>
      </c>
      <c r="AH490" s="14">
        <f>IF($A490="","",IF(INDEX('潜水記録'!$AM$5:$AM$3004,$AS490)="","",INDEX('潜水記録'!$AM$5:$AM$3004,$AS490)))</f>
        <v/>
      </c>
      <c r="AI490" s="46">
        <f>IF($A490="","",IF(INDEX('潜水記録'!$AN$5:$AN$3004,$AS490)="","",INDEX('潜水記録'!$AN$5:$AN$3004,$AS490)))</f>
        <v/>
      </c>
      <c r="AJ490" s="14">
        <f>IF($A490="","",IF(INDEX('潜水記録'!$AO$5:$AO$3004,$AS490)="","",INDEX('潜水記録'!$AO$5:$AO$3004,$AS490)))</f>
        <v/>
      </c>
      <c r="AK490" s="14">
        <f>IF($A490="","",IF(INDEX('潜水記録'!$AP$5:$AP$3004,$AS490)="","",INDEX('潜水記録'!$AP$5:$AP$3004,$AS490)))</f>
        <v/>
      </c>
      <c r="AL490" s="14">
        <f>IF($A490="","",IF(INDEX('潜水記録'!$AQ$5:$AQ$3004,$AS490)="","",INDEX('潜水記録'!$AQ$5:$AQ$3004,$AS490)))</f>
        <v/>
      </c>
      <c r="AM490" s="14">
        <f>IF($A490="","",IF(INDEX('潜水記録'!$AR$5:$AR$3004,$AS490)="","",INDEX('潜水記録'!$AR$5:$AR$3004,$AS490)))</f>
        <v/>
      </c>
      <c r="AN490" s="14">
        <f>IF($A490="","",IF(INDEX('潜水記録'!$AS$5:$AS$3004,$AS490)="","",INDEX('潜水記録'!$AS$5:$AS$3004,$AS490)))</f>
        <v/>
      </c>
      <c r="AO490" s="14">
        <f>IF($A490="","",IF(INDEX('潜水記録'!$AT$5:$AT$3004,$AS490)="","",INDEX('潜水記録'!$AT$5:$AT$3004,$AS490)))</f>
        <v/>
      </c>
      <c r="AP490" s="14">
        <f>IF($A490="","",IF(INDEX('潜水記録'!$AU$5:$AU$3004,$AS490)="","",INDEX('潜水記録'!$AU$5:$AU$3004,$AS490)))</f>
        <v/>
      </c>
      <c r="AQ490" s="14">
        <f>IF($A490="","",IF(INDEX('潜水記録'!$AV$5:$AV$3004,$AS490)="","",INDEX('潜水記録'!$AV$5:$AV$3004,$AS490)))</f>
        <v/>
      </c>
      <c r="AR490" s="14">
        <f>IF($A490="","",IF(INDEX('潜水記録'!$AW$5:$AW$3004,$AS490)="","",INDEX('潜水記録'!$AW$5:$AW$3004,$AS490)))</f>
        <v/>
      </c>
      <c r="AS490" s="20">
        <f>IF($A490="","",MATCH($A490,'潜水記録'!$AI$5:$AI$3004,0))</f>
        <v/>
      </c>
    </row>
    <row r="491">
      <c r="A491" s="14">
        <f>IF(481&lt;=$C$8,481,"")</f>
        <v/>
      </c>
      <c r="B491" s="16">
        <f>IF($A491="","",IF(INDEX('潜水記録'!$A$5:$A$3004,$AS491)="","",INDEX('潜水記録'!$A$5:$A$3004,$AS491)))</f>
        <v/>
      </c>
      <c r="C491" s="14">
        <f>IF($A491="","",IF(INDEX('潜水記録'!$B$5:$B$3004,$AS491)="","",INDEX('潜水記録'!$B$5:$B$3004,$AS491)))</f>
        <v/>
      </c>
      <c r="D491" s="14">
        <f>IF($A491="","",IF(INDEX('潜水記録'!$C$5:$C$3004,$AS491)="","",INDEX('潜水記録'!$C$5:$C$3004,$AS491)))</f>
        <v/>
      </c>
      <c r="E491" s="14">
        <f>IF($A491="","",IF(INDEX('潜水記録'!$D$5:$D$3004,$AS491)="","",INDEX('潜水記録'!$D$5:$D$3004,$AS491)))</f>
        <v/>
      </c>
      <c r="F491" s="14">
        <f>IF($A491="","",IF(INDEX('潜水記録'!$E$5:$E$3004,$AS491)="","",INDEX('潜水記録'!$E$5:$E$3004,$AS491)))</f>
        <v/>
      </c>
      <c r="G491" s="14">
        <f>IF($A491="","",IF(INDEX('潜水記録'!$F$5:$F$3004,$AS491)="","",INDEX('潜水記録'!$F$5:$F$3004,$AS491)))</f>
        <v/>
      </c>
      <c r="H491" s="14">
        <f>IF($A491="","",IF(INDEX('潜水記録'!$G$5:$G$3004,$AS491)="","",INDEX('潜水記録'!$G$5:$G$3004,$AS491)))</f>
        <v/>
      </c>
      <c r="I491" s="14">
        <f>IF($A491="","",IF(INDEX('潜水記録'!$H$5:$H$3004,$AS491)="","",INDEX('潜水記録'!$H$5:$H$3004,$AS491)))</f>
        <v/>
      </c>
      <c r="J491" s="14">
        <f>IF($A491="","",IF(INDEX('潜水記録'!$I$5:$I$3004,$AS491)="","",INDEX('潜水記録'!$I$5:$I$3004,$AS491)))</f>
        <v/>
      </c>
      <c r="K491" s="14">
        <f>IF($A491="","",IF(INDEX('潜水記録'!$J$5:$J$3004,$AS491)="","",INDEX('潜水記録'!$J$5:$J$3004,$AS491)))</f>
        <v/>
      </c>
      <c r="L491" s="14">
        <f>IF($A491="","",IF(INDEX('潜水記録'!$K$5:$K$3004,$AS491)="","",INDEX('潜水記録'!$K$5:$K$3004,$AS491)))</f>
        <v/>
      </c>
      <c r="M491" s="14">
        <f>IF($A491="","",IF(INDEX('潜水記録'!$L$5:$L$3004,$AS491)="","",INDEX('潜水記録'!$L$5:$L$3004,$AS491)))</f>
        <v/>
      </c>
      <c r="N491" s="14">
        <f>IF($A491="","",IF(INDEX('潜水記録'!$M$5:$M$3004,$AS491)="","",INDEX('潜水記録'!$M$5:$M$3004,$AS491)))</f>
        <v/>
      </c>
      <c r="O491" s="14">
        <f>IF($A491="","",IF(INDEX('潜水記録'!$N$5:$N$3004,$AS491)="","",INDEX('潜水記録'!$N$5:$N$3004,$AS491)))</f>
        <v/>
      </c>
      <c r="P491" s="14">
        <f>IF($A491="","",IF(INDEX('潜水記録'!$O$5:$O$3004,$AS491)="","",INDEX('潜水記録'!$O$5:$O$3004,$AS491)))</f>
        <v/>
      </c>
      <c r="Q491" s="14">
        <f>IF($A491="","",IF(INDEX('潜水記録'!$P$5:$P$3004,$AS491)="","",INDEX('潜水記録'!$P$5:$P$3004,$AS491)))</f>
        <v/>
      </c>
      <c r="R491" s="14">
        <f>IF($A491="","",IF(INDEX('潜水記録'!$Q$5:$Q$3004,$AS491)="","",INDEX('潜水記録'!$Q$5:$Q$3004,$AS491)))</f>
        <v/>
      </c>
      <c r="S491" s="14">
        <f>IF($A491="","",IF(INDEX('潜水記録'!$R$5:$R$3004,$AS491)="","",INDEX('潜水記録'!$R$5:$R$3004,$AS491)))</f>
        <v/>
      </c>
      <c r="T491" s="14">
        <f>IF($A491="","",IF(INDEX('潜水記録'!$S$5:$S$3004,$AS491)="","",INDEX('潜水記録'!$S$5:$S$3004,$AS491)))</f>
        <v/>
      </c>
      <c r="U491" s="14">
        <f>IF($A491="","",IF(INDEX('潜水記録'!$T$5:$T$3004,$AS491)="","",INDEX('潜水記録'!$T$5:$T$3004,$AS491)))</f>
        <v/>
      </c>
      <c r="V491" s="46">
        <f>IF($A491="","",IF(INDEX('潜水記録'!$U$5:$U$3004,$AS491)="","",INDEX('潜水記録'!$U$5:$U$3004,$AS491)))</f>
        <v/>
      </c>
      <c r="W491" s="46">
        <f>IF($A491="","",IF(INDEX('潜水記録'!$V$5:$V$3004,$AS491)="","",INDEX('潜水記録'!$V$5:$V$3004,$AS491)))</f>
        <v/>
      </c>
      <c r="X491" s="14">
        <f>IF($A491="","",IF(INDEX('潜水記録'!$W$5:$W$3004,$AS491)="","",INDEX('潜水記録'!$W$5:$W$3004,$AS491)))</f>
        <v/>
      </c>
      <c r="Y491" s="14">
        <f>IF($A491="","",IF(INDEX('潜水記録'!$X$5:$X$3004,$AS491)="","",INDEX('潜水記録'!$X$5:$X$3004,$AS491)))</f>
        <v/>
      </c>
      <c r="Z491" s="14">
        <f>IF($A491="","",IF(INDEX('潜水記録'!$Y$5:$Y$3004,$AS491)="","",INDEX('潜水記録'!$Y$5:$Y$3004,$AS491)))</f>
        <v/>
      </c>
      <c r="AA491" s="14">
        <f>IF($A491="","",IF(INDEX('潜水記録'!$Z$5:$Z$3004,$AS491)="","",INDEX('潜水記録'!$Z$5:$Z$3004,$AS491)))</f>
        <v/>
      </c>
      <c r="AB491" s="14">
        <f>IF($A491="","",IF(INDEX('潜水記録'!$AA$5:$AA$3004,$AS491)="","",INDEX('潜水記録'!$AA$5:$AA$3004,$AS491)))</f>
        <v/>
      </c>
      <c r="AC491" s="14">
        <f>IF($A491="","",IF(INDEX('潜水記録'!$AB$5:$AB$3004,$AS491)="","",INDEX('潜水記録'!$AB$5:$AB$3004,$AS491)))</f>
        <v/>
      </c>
      <c r="AD491" s="14">
        <f>IF($A491="","",IF(INDEX('潜水記録'!$AC$5:$AC$3004,$AS491)="","",INDEX('潜水記録'!$AC$5:$AC$3004,$AS491)))</f>
        <v/>
      </c>
      <c r="AE491" s="14">
        <f>IF($A491="","",IF(INDEX('潜水記録'!$AD$5:$AD$3004,$AS491)="","",INDEX('潜水記録'!$AD$5:$AD$3004,$AS491)))</f>
        <v/>
      </c>
      <c r="AF491" s="14">
        <f>IF($A491="","",IF(INDEX('潜水記録'!$AE$5:$AE$3004,$AS491)="","",INDEX('潜水記録'!$AE$5:$AE$3004,$AS491)))</f>
        <v/>
      </c>
      <c r="AG491" s="14">
        <f>IF($A491="","",IF(INDEX('潜水記録'!$AL$5:$AL$3004,$AS491)="","",INDEX('潜水記録'!$AL$5:$AL$3004,$AS491)))</f>
        <v/>
      </c>
      <c r="AH491" s="14">
        <f>IF($A491="","",IF(INDEX('潜水記録'!$AM$5:$AM$3004,$AS491)="","",INDEX('潜水記録'!$AM$5:$AM$3004,$AS491)))</f>
        <v/>
      </c>
      <c r="AI491" s="46">
        <f>IF($A491="","",IF(INDEX('潜水記録'!$AN$5:$AN$3004,$AS491)="","",INDEX('潜水記録'!$AN$5:$AN$3004,$AS491)))</f>
        <v/>
      </c>
      <c r="AJ491" s="14">
        <f>IF($A491="","",IF(INDEX('潜水記録'!$AO$5:$AO$3004,$AS491)="","",INDEX('潜水記録'!$AO$5:$AO$3004,$AS491)))</f>
        <v/>
      </c>
      <c r="AK491" s="14">
        <f>IF($A491="","",IF(INDEX('潜水記録'!$AP$5:$AP$3004,$AS491)="","",INDEX('潜水記録'!$AP$5:$AP$3004,$AS491)))</f>
        <v/>
      </c>
      <c r="AL491" s="14">
        <f>IF($A491="","",IF(INDEX('潜水記録'!$AQ$5:$AQ$3004,$AS491)="","",INDEX('潜水記録'!$AQ$5:$AQ$3004,$AS491)))</f>
        <v/>
      </c>
      <c r="AM491" s="14">
        <f>IF($A491="","",IF(INDEX('潜水記録'!$AR$5:$AR$3004,$AS491)="","",INDEX('潜水記録'!$AR$5:$AR$3004,$AS491)))</f>
        <v/>
      </c>
      <c r="AN491" s="14">
        <f>IF($A491="","",IF(INDEX('潜水記録'!$AS$5:$AS$3004,$AS491)="","",INDEX('潜水記録'!$AS$5:$AS$3004,$AS491)))</f>
        <v/>
      </c>
      <c r="AO491" s="14">
        <f>IF($A491="","",IF(INDEX('潜水記録'!$AT$5:$AT$3004,$AS491)="","",INDEX('潜水記録'!$AT$5:$AT$3004,$AS491)))</f>
        <v/>
      </c>
      <c r="AP491" s="14">
        <f>IF($A491="","",IF(INDEX('潜水記録'!$AU$5:$AU$3004,$AS491)="","",INDEX('潜水記録'!$AU$5:$AU$3004,$AS491)))</f>
        <v/>
      </c>
      <c r="AQ491" s="14">
        <f>IF($A491="","",IF(INDEX('潜水記録'!$AV$5:$AV$3004,$AS491)="","",INDEX('潜水記録'!$AV$5:$AV$3004,$AS491)))</f>
        <v/>
      </c>
      <c r="AR491" s="14">
        <f>IF($A491="","",IF(INDEX('潜水記録'!$AW$5:$AW$3004,$AS491)="","",INDEX('潜水記録'!$AW$5:$AW$3004,$AS491)))</f>
        <v/>
      </c>
      <c r="AS491" s="20">
        <f>IF($A491="","",MATCH($A491,'潜水記録'!$AI$5:$AI$3004,0))</f>
        <v/>
      </c>
    </row>
    <row r="492">
      <c r="A492" s="14">
        <f>IF(482&lt;=$C$8,482,"")</f>
        <v/>
      </c>
      <c r="B492" s="16">
        <f>IF($A492="","",IF(INDEX('潜水記録'!$A$5:$A$3004,$AS492)="","",INDEX('潜水記録'!$A$5:$A$3004,$AS492)))</f>
        <v/>
      </c>
      <c r="C492" s="14">
        <f>IF($A492="","",IF(INDEX('潜水記録'!$B$5:$B$3004,$AS492)="","",INDEX('潜水記録'!$B$5:$B$3004,$AS492)))</f>
        <v/>
      </c>
      <c r="D492" s="14">
        <f>IF($A492="","",IF(INDEX('潜水記録'!$C$5:$C$3004,$AS492)="","",INDEX('潜水記録'!$C$5:$C$3004,$AS492)))</f>
        <v/>
      </c>
      <c r="E492" s="14">
        <f>IF($A492="","",IF(INDEX('潜水記録'!$D$5:$D$3004,$AS492)="","",INDEX('潜水記録'!$D$5:$D$3004,$AS492)))</f>
        <v/>
      </c>
      <c r="F492" s="14">
        <f>IF($A492="","",IF(INDEX('潜水記録'!$E$5:$E$3004,$AS492)="","",INDEX('潜水記録'!$E$5:$E$3004,$AS492)))</f>
        <v/>
      </c>
      <c r="G492" s="14">
        <f>IF($A492="","",IF(INDEX('潜水記録'!$F$5:$F$3004,$AS492)="","",INDEX('潜水記録'!$F$5:$F$3004,$AS492)))</f>
        <v/>
      </c>
      <c r="H492" s="14">
        <f>IF($A492="","",IF(INDEX('潜水記録'!$G$5:$G$3004,$AS492)="","",INDEX('潜水記録'!$G$5:$G$3004,$AS492)))</f>
        <v/>
      </c>
      <c r="I492" s="14">
        <f>IF($A492="","",IF(INDEX('潜水記録'!$H$5:$H$3004,$AS492)="","",INDEX('潜水記録'!$H$5:$H$3004,$AS492)))</f>
        <v/>
      </c>
      <c r="J492" s="14">
        <f>IF($A492="","",IF(INDEX('潜水記録'!$I$5:$I$3004,$AS492)="","",INDEX('潜水記録'!$I$5:$I$3004,$AS492)))</f>
        <v/>
      </c>
      <c r="K492" s="14">
        <f>IF($A492="","",IF(INDEX('潜水記録'!$J$5:$J$3004,$AS492)="","",INDEX('潜水記録'!$J$5:$J$3004,$AS492)))</f>
        <v/>
      </c>
      <c r="L492" s="14">
        <f>IF($A492="","",IF(INDEX('潜水記録'!$K$5:$K$3004,$AS492)="","",INDEX('潜水記録'!$K$5:$K$3004,$AS492)))</f>
        <v/>
      </c>
      <c r="M492" s="14">
        <f>IF($A492="","",IF(INDEX('潜水記録'!$L$5:$L$3004,$AS492)="","",INDEX('潜水記録'!$L$5:$L$3004,$AS492)))</f>
        <v/>
      </c>
      <c r="N492" s="14">
        <f>IF($A492="","",IF(INDEX('潜水記録'!$M$5:$M$3004,$AS492)="","",INDEX('潜水記録'!$M$5:$M$3004,$AS492)))</f>
        <v/>
      </c>
      <c r="O492" s="14">
        <f>IF($A492="","",IF(INDEX('潜水記録'!$N$5:$N$3004,$AS492)="","",INDEX('潜水記録'!$N$5:$N$3004,$AS492)))</f>
        <v/>
      </c>
      <c r="P492" s="14">
        <f>IF($A492="","",IF(INDEX('潜水記録'!$O$5:$O$3004,$AS492)="","",INDEX('潜水記録'!$O$5:$O$3004,$AS492)))</f>
        <v/>
      </c>
      <c r="Q492" s="14">
        <f>IF($A492="","",IF(INDEX('潜水記録'!$P$5:$P$3004,$AS492)="","",INDEX('潜水記録'!$P$5:$P$3004,$AS492)))</f>
        <v/>
      </c>
      <c r="R492" s="14">
        <f>IF($A492="","",IF(INDEX('潜水記録'!$Q$5:$Q$3004,$AS492)="","",INDEX('潜水記録'!$Q$5:$Q$3004,$AS492)))</f>
        <v/>
      </c>
      <c r="S492" s="14">
        <f>IF($A492="","",IF(INDEX('潜水記録'!$R$5:$R$3004,$AS492)="","",INDEX('潜水記録'!$R$5:$R$3004,$AS492)))</f>
        <v/>
      </c>
      <c r="T492" s="14">
        <f>IF($A492="","",IF(INDEX('潜水記録'!$S$5:$S$3004,$AS492)="","",INDEX('潜水記録'!$S$5:$S$3004,$AS492)))</f>
        <v/>
      </c>
      <c r="U492" s="14">
        <f>IF($A492="","",IF(INDEX('潜水記録'!$T$5:$T$3004,$AS492)="","",INDEX('潜水記録'!$T$5:$T$3004,$AS492)))</f>
        <v/>
      </c>
      <c r="V492" s="46">
        <f>IF($A492="","",IF(INDEX('潜水記録'!$U$5:$U$3004,$AS492)="","",INDEX('潜水記録'!$U$5:$U$3004,$AS492)))</f>
        <v/>
      </c>
      <c r="W492" s="46">
        <f>IF($A492="","",IF(INDEX('潜水記録'!$V$5:$V$3004,$AS492)="","",INDEX('潜水記録'!$V$5:$V$3004,$AS492)))</f>
        <v/>
      </c>
      <c r="X492" s="14">
        <f>IF($A492="","",IF(INDEX('潜水記録'!$W$5:$W$3004,$AS492)="","",INDEX('潜水記録'!$W$5:$W$3004,$AS492)))</f>
        <v/>
      </c>
      <c r="Y492" s="14">
        <f>IF($A492="","",IF(INDEX('潜水記録'!$X$5:$X$3004,$AS492)="","",INDEX('潜水記録'!$X$5:$X$3004,$AS492)))</f>
        <v/>
      </c>
      <c r="Z492" s="14">
        <f>IF($A492="","",IF(INDEX('潜水記録'!$Y$5:$Y$3004,$AS492)="","",INDEX('潜水記録'!$Y$5:$Y$3004,$AS492)))</f>
        <v/>
      </c>
      <c r="AA492" s="14">
        <f>IF($A492="","",IF(INDEX('潜水記録'!$Z$5:$Z$3004,$AS492)="","",INDEX('潜水記録'!$Z$5:$Z$3004,$AS492)))</f>
        <v/>
      </c>
      <c r="AB492" s="14">
        <f>IF($A492="","",IF(INDEX('潜水記録'!$AA$5:$AA$3004,$AS492)="","",INDEX('潜水記録'!$AA$5:$AA$3004,$AS492)))</f>
        <v/>
      </c>
      <c r="AC492" s="14">
        <f>IF($A492="","",IF(INDEX('潜水記録'!$AB$5:$AB$3004,$AS492)="","",INDEX('潜水記録'!$AB$5:$AB$3004,$AS492)))</f>
        <v/>
      </c>
      <c r="AD492" s="14">
        <f>IF($A492="","",IF(INDEX('潜水記録'!$AC$5:$AC$3004,$AS492)="","",INDEX('潜水記録'!$AC$5:$AC$3004,$AS492)))</f>
        <v/>
      </c>
      <c r="AE492" s="14">
        <f>IF($A492="","",IF(INDEX('潜水記録'!$AD$5:$AD$3004,$AS492)="","",INDEX('潜水記録'!$AD$5:$AD$3004,$AS492)))</f>
        <v/>
      </c>
      <c r="AF492" s="14">
        <f>IF($A492="","",IF(INDEX('潜水記録'!$AE$5:$AE$3004,$AS492)="","",INDEX('潜水記録'!$AE$5:$AE$3004,$AS492)))</f>
        <v/>
      </c>
      <c r="AG492" s="14">
        <f>IF($A492="","",IF(INDEX('潜水記録'!$AL$5:$AL$3004,$AS492)="","",INDEX('潜水記録'!$AL$5:$AL$3004,$AS492)))</f>
        <v/>
      </c>
      <c r="AH492" s="14">
        <f>IF($A492="","",IF(INDEX('潜水記録'!$AM$5:$AM$3004,$AS492)="","",INDEX('潜水記録'!$AM$5:$AM$3004,$AS492)))</f>
        <v/>
      </c>
      <c r="AI492" s="46">
        <f>IF($A492="","",IF(INDEX('潜水記録'!$AN$5:$AN$3004,$AS492)="","",INDEX('潜水記録'!$AN$5:$AN$3004,$AS492)))</f>
        <v/>
      </c>
      <c r="AJ492" s="14">
        <f>IF($A492="","",IF(INDEX('潜水記録'!$AO$5:$AO$3004,$AS492)="","",INDEX('潜水記録'!$AO$5:$AO$3004,$AS492)))</f>
        <v/>
      </c>
      <c r="AK492" s="14">
        <f>IF($A492="","",IF(INDEX('潜水記録'!$AP$5:$AP$3004,$AS492)="","",INDEX('潜水記録'!$AP$5:$AP$3004,$AS492)))</f>
        <v/>
      </c>
      <c r="AL492" s="14">
        <f>IF($A492="","",IF(INDEX('潜水記録'!$AQ$5:$AQ$3004,$AS492)="","",INDEX('潜水記録'!$AQ$5:$AQ$3004,$AS492)))</f>
        <v/>
      </c>
      <c r="AM492" s="14">
        <f>IF($A492="","",IF(INDEX('潜水記録'!$AR$5:$AR$3004,$AS492)="","",INDEX('潜水記録'!$AR$5:$AR$3004,$AS492)))</f>
        <v/>
      </c>
      <c r="AN492" s="14">
        <f>IF($A492="","",IF(INDEX('潜水記録'!$AS$5:$AS$3004,$AS492)="","",INDEX('潜水記録'!$AS$5:$AS$3004,$AS492)))</f>
        <v/>
      </c>
      <c r="AO492" s="14">
        <f>IF($A492="","",IF(INDEX('潜水記録'!$AT$5:$AT$3004,$AS492)="","",INDEX('潜水記録'!$AT$5:$AT$3004,$AS492)))</f>
        <v/>
      </c>
      <c r="AP492" s="14">
        <f>IF($A492="","",IF(INDEX('潜水記録'!$AU$5:$AU$3004,$AS492)="","",INDEX('潜水記録'!$AU$5:$AU$3004,$AS492)))</f>
        <v/>
      </c>
      <c r="AQ492" s="14">
        <f>IF($A492="","",IF(INDEX('潜水記録'!$AV$5:$AV$3004,$AS492)="","",INDEX('潜水記録'!$AV$5:$AV$3004,$AS492)))</f>
        <v/>
      </c>
      <c r="AR492" s="14">
        <f>IF($A492="","",IF(INDEX('潜水記録'!$AW$5:$AW$3004,$AS492)="","",INDEX('潜水記録'!$AW$5:$AW$3004,$AS492)))</f>
        <v/>
      </c>
      <c r="AS492" s="20">
        <f>IF($A492="","",MATCH($A492,'潜水記録'!$AI$5:$AI$3004,0))</f>
        <v/>
      </c>
    </row>
    <row r="493">
      <c r="A493" s="14">
        <f>IF(483&lt;=$C$8,483,"")</f>
        <v/>
      </c>
      <c r="B493" s="16">
        <f>IF($A493="","",IF(INDEX('潜水記録'!$A$5:$A$3004,$AS493)="","",INDEX('潜水記録'!$A$5:$A$3004,$AS493)))</f>
        <v/>
      </c>
      <c r="C493" s="14">
        <f>IF($A493="","",IF(INDEX('潜水記録'!$B$5:$B$3004,$AS493)="","",INDEX('潜水記録'!$B$5:$B$3004,$AS493)))</f>
        <v/>
      </c>
      <c r="D493" s="14">
        <f>IF($A493="","",IF(INDEX('潜水記録'!$C$5:$C$3004,$AS493)="","",INDEX('潜水記録'!$C$5:$C$3004,$AS493)))</f>
        <v/>
      </c>
      <c r="E493" s="14">
        <f>IF($A493="","",IF(INDEX('潜水記録'!$D$5:$D$3004,$AS493)="","",INDEX('潜水記録'!$D$5:$D$3004,$AS493)))</f>
        <v/>
      </c>
      <c r="F493" s="14">
        <f>IF($A493="","",IF(INDEX('潜水記録'!$E$5:$E$3004,$AS493)="","",INDEX('潜水記録'!$E$5:$E$3004,$AS493)))</f>
        <v/>
      </c>
      <c r="G493" s="14">
        <f>IF($A493="","",IF(INDEX('潜水記録'!$F$5:$F$3004,$AS493)="","",INDEX('潜水記録'!$F$5:$F$3004,$AS493)))</f>
        <v/>
      </c>
      <c r="H493" s="14">
        <f>IF($A493="","",IF(INDEX('潜水記録'!$G$5:$G$3004,$AS493)="","",INDEX('潜水記録'!$G$5:$G$3004,$AS493)))</f>
        <v/>
      </c>
      <c r="I493" s="14">
        <f>IF($A493="","",IF(INDEX('潜水記録'!$H$5:$H$3004,$AS493)="","",INDEX('潜水記録'!$H$5:$H$3004,$AS493)))</f>
        <v/>
      </c>
      <c r="J493" s="14">
        <f>IF($A493="","",IF(INDEX('潜水記録'!$I$5:$I$3004,$AS493)="","",INDEX('潜水記録'!$I$5:$I$3004,$AS493)))</f>
        <v/>
      </c>
      <c r="K493" s="14">
        <f>IF($A493="","",IF(INDEX('潜水記録'!$J$5:$J$3004,$AS493)="","",INDEX('潜水記録'!$J$5:$J$3004,$AS493)))</f>
        <v/>
      </c>
      <c r="L493" s="14">
        <f>IF($A493="","",IF(INDEX('潜水記録'!$K$5:$K$3004,$AS493)="","",INDEX('潜水記録'!$K$5:$K$3004,$AS493)))</f>
        <v/>
      </c>
      <c r="M493" s="14">
        <f>IF($A493="","",IF(INDEX('潜水記録'!$L$5:$L$3004,$AS493)="","",INDEX('潜水記録'!$L$5:$L$3004,$AS493)))</f>
        <v/>
      </c>
      <c r="N493" s="14">
        <f>IF($A493="","",IF(INDEX('潜水記録'!$M$5:$M$3004,$AS493)="","",INDEX('潜水記録'!$M$5:$M$3004,$AS493)))</f>
        <v/>
      </c>
      <c r="O493" s="14">
        <f>IF($A493="","",IF(INDEX('潜水記録'!$N$5:$N$3004,$AS493)="","",INDEX('潜水記録'!$N$5:$N$3004,$AS493)))</f>
        <v/>
      </c>
      <c r="P493" s="14">
        <f>IF($A493="","",IF(INDEX('潜水記録'!$O$5:$O$3004,$AS493)="","",INDEX('潜水記録'!$O$5:$O$3004,$AS493)))</f>
        <v/>
      </c>
      <c r="Q493" s="14">
        <f>IF($A493="","",IF(INDEX('潜水記録'!$P$5:$P$3004,$AS493)="","",INDEX('潜水記録'!$P$5:$P$3004,$AS493)))</f>
        <v/>
      </c>
      <c r="R493" s="14">
        <f>IF($A493="","",IF(INDEX('潜水記録'!$Q$5:$Q$3004,$AS493)="","",INDEX('潜水記録'!$Q$5:$Q$3004,$AS493)))</f>
        <v/>
      </c>
      <c r="S493" s="14">
        <f>IF($A493="","",IF(INDEX('潜水記録'!$R$5:$R$3004,$AS493)="","",INDEX('潜水記録'!$R$5:$R$3004,$AS493)))</f>
        <v/>
      </c>
      <c r="T493" s="14">
        <f>IF($A493="","",IF(INDEX('潜水記録'!$S$5:$S$3004,$AS493)="","",INDEX('潜水記録'!$S$5:$S$3004,$AS493)))</f>
        <v/>
      </c>
      <c r="U493" s="14">
        <f>IF($A493="","",IF(INDEX('潜水記録'!$T$5:$T$3004,$AS493)="","",INDEX('潜水記録'!$T$5:$T$3004,$AS493)))</f>
        <v/>
      </c>
      <c r="V493" s="46">
        <f>IF($A493="","",IF(INDEX('潜水記録'!$U$5:$U$3004,$AS493)="","",INDEX('潜水記録'!$U$5:$U$3004,$AS493)))</f>
        <v/>
      </c>
      <c r="W493" s="46">
        <f>IF($A493="","",IF(INDEX('潜水記録'!$V$5:$V$3004,$AS493)="","",INDEX('潜水記録'!$V$5:$V$3004,$AS493)))</f>
        <v/>
      </c>
      <c r="X493" s="14">
        <f>IF($A493="","",IF(INDEX('潜水記録'!$W$5:$W$3004,$AS493)="","",INDEX('潜水記録'!$W$5:$W$3004,$AS493)))</f>
        <v/>
      </c>
      <c r="Y493" s="14">
        <f>IF($A493="","",IF(INDEX('潜水記録'!$X$5:$X$3004,$AS493)="","",INDEX('潜水記録'!$X$5:$X$3004,$AS493)))</f>
        <v/>
      </c>
      <c r="Z493" s="14">
        <f>IF($A493="","",IF(INDEX('潜水記録'!$Y$5:$Y$3004,$AS493)="","",INDEX('潜水記録'!$Y$5:$Y$3004,$AS493)))</f>
        <v/>
      </c>
      <c r="AA493" s="14">
        <f>IF($A493="","",IF(INDEX('潜水記録'!$Z$5:$Z$3004,$AS493)="","",INDEX('潜水記録'!$Z$5:$Z$3004,$AS493)))</f>
        <v/>
      </c>
      <c r="AB493" s="14">
        <f>IF($A493="","",IF(INDEX('潜水記録'!$AA$5:$AA$3004,$AS493)="","",INDEX('潜水記録'!$AA$5:$AA$3004,$AS493)))</f>
        <v/>
      </c>
      <c r="AC493" s="14">
        <f>IF($A493="","",IF(INDEX('潜水記録'!$AB$5:$AB$3004,$AS493)="","",INDEX('潜水記録'!$AB$5:$AB$3004,$AS493)))</f>
        <v/>
      </c>
      <c r="AD493" s="14">
        <f>IF($A493="","",IF(INDEX('潜水記録'!$AC$5:$AC$3004,$AS493)="","",INDEX('潜水記録'!$AC$5:$AC$3004,$AS493)))</f>
        <v/>
      </c>
      <c r="AE493" s="14">
        <f>IF($A493="","",IF(INDEX('潜水記録'!$AD$5:$AD$3004,$AS493)="","",INDEX('潜水記録'!$AD$5:$AD$3004,$AS493)))</f>
        <v/>
      </c>
      <c r="AF493" s="14">
        <f>IF($A493="","",IF(INDEX('潜水記録'!$AE$5:$AE$3004,$AS493)="","",INDEX('潜水記録'!$AE$5:$AE$3004,$AS493)))</f>
        <v/>
      </c>
      <c r="AG493" s="14">
        <f>IF($A493="","",IF(INDEX('潜水記録'!$AL$5:$AL$3004,$AS493)="","",INDEX('潜水記録'!$AL$5:$AL$3004,$AS493)))</f>
        <v/>
      </c>
      <c r="AH493" s="14">
        <f>IF($A493="","",IF(INDEX('潜水記録'!$AM$5:$AM$3004,$AS493)="","",INDEX('潜水記録'!$AM$5:$AM$3004,$AS493)))</f>
        <v/>
      </c>
      <c r="AI493" s="46">
        <f>IF($A493="","",IF(INDEX('潜水記録'!$AN$5:$AN$3004,$AS493)="","",INDEX('潜水記録'!$AN$5:$AN$3004,$AS493)))</f>
        <v/>
      </c>
      <c r="AJ493" s="14">
        <f>IF($A493="","",IF(INDEX('潜水記録'!$AO$5:$AO$3004,$AS493)="","",INDEX('潜水記録'!$AO$5:$AO$3004,$AS493)))</f>
        <v/>
      </c>
      <c r="AK493" s="14">
        <f>IF($A493="","",IF(INDEX('潜水記録'!$AP$5:$AP$3004,$AS493)="","",INDEX('潜水記録'!$AP$5:$AP$3004,$AS493)))</f>
        <v/>
      </c>
      <c r="AL493" s="14">
        <f>IF($A493="","",IF(INDEX('潜水記録'!$AQ$5:$AQ$3004,$AS493)="","",INDEX('潜水記録'!$AQ$5:$AQ$3004,$AS493)))</f>
        <v/>
      </c>
      <c r="AM493" s="14">
        <f>IF($A493="","",IF(INDEX('潜水記録'!$AR$5:$AR$3004,$AS493)="","",INDEX('潜水記録'!$AR$5:$AR$3004,$AS493)))</f>
        <v/>
      </c>
      <c r="AN493" s="14">
        <f>IF($A493="","",IF(INDEX('潜水記録'!$AS$5:$AS$3004,$AS493)="","",INDEX('潜水記録'!$AS$5:$AS$3004,$AS493)))</f>
        <v/>
      </c>
      <c r="AO493" s="14">
        <f>IF($A493="","",IF(INDEX('潜水記録'!$AT$5:$AT$3004,$AS493)="","",INDEX('潜水記録'!$AT$5:$AT$3004,$AS493)))</f>
        <v/>
      </c>
      <c r="AP493" s="14">
        <f>IF($A493="","",IF(INDEX('潜水記録'!$AU$5:$AU$3004,$AS493)="","",INDEX('潜水記録'!$AU$5:$AU$3004,$AS493)))</f>
        <v/>
      </c>
      <c r="AQ493" s="14">
        <f>IF($A493="","",IF(INDEX('潜水記録'!$AV$5:$AV$3004,$AS493)="","",INDEX('潜水記録'!$AV$5:$AV$3004,$AS493)))</f>
        <v/>
      </c>
      <c r="AR493" s="14">
        <f>IF($A493="","",IF(INDEX('潜水記録'!$AW$5:$AW$3004,$AS493)="","",INDEX('潜水記録'!$AW$5:$AW$3004,$AS493)))</f>
        <v/>
      </c>
      <c r="AS493" s="20">
        <f>IF($A493="","",MATCH($A493,'潜水記録'!$AI$5:$AI$3004,0))</f>
        <v/>
      </c>
    </row>
    <row r="494">
      <c r="A494" s="14">
        <f>IF(484&lt;=$C$8,484,"")</f>
        <v/>
      </c>
      <c r="B494" s="16">
        <f>IF($A494="","",IF(INDEX('潜水記録'!$A$5:$A$3004,$AS494)="","",INDEX('潜水記録'!$A$5:$A$3004,$AS494)))</f>
        <v/>
      </c>
      <c r="C494" s="14">
        <f>IF($A494="","",IF(INDEX('潜水記録'!$B$5:$B$3004,$AS494)="","",INDEX('潜水記録'!$B$5:$B$3004,$AS494)))</f>
        <v/>
      </c>
      <c r="D494" s="14">
        <f>IF($A494="","",IF(INDEX('潜水記録'!$C$5:$C$3004,$AS494)="","",INDEX('潜水記録'!$C$5:$C$3004,$AS494)))</f>
        <v/>
      </c>
      <c r="E494" s="14">
        <f>IF($A494="","",IF(INDEX('潜水記録'!$D$5:$D$3004,$AS494)="","",INDEX('潜水記録'!$D$5:$D$3004,$AS494)))</f>
        <v/>
      </c>
      <c r="F494" s="14">
        <f>IF($A494="","",IF(INDEX('潜水記録'!$E$5:$E$3004,$AS494)="","",INDEX('潜水記録'!$E$5:$E$3004,$AS494)))</f>
        <v/>
      </c>
      <c r="G494" s="14">
        <f>IF($A494="","",IF(INDEX('潜水記録'!$F$5:$F$3004,$AS494)="","",INDEX('潜水記録'!$F$5:$F$3004,$AS494)))</f>
        <v/>
      </c>
      <c r="H494" s="14">
        <f>IF($A494="","",IF(INDEX('潜水記録'!$G$5:$G$3004,$AS494)="","",INDEX('潜水記録'!$G$5:$G$3004,$AS494)))</f>
        <v/>
      </c>
      <c r="I494" s="14">
        <f>IF($A494="","",IF(INDEX('潜水記録'!$H$5:$H$3004,$AS494)="","",INDEX('潜水記録'!$H$5:$H$3004,$AS494)))</f>
        <v/>
      </c>
      <c r="J494" s="14">
        <f>IF($A494="","",IF(INDEX('潜水記録'!$I$5:$I$3004,$AS494)="","",INDEX('潜水記録'!$I$5:$I$3004,$AS494)))</f>
        <v/>
      </c>
      <c r="K494" s="14">
        <f>IF($A494="","",IF(INDEX('潜水記録'!$J$5:$J$3004,$AS494)="","",INDEX('潜水記録'!$J$5:$J$3004,$AS494)))</f>
        <v/>
      </c>
      <c r="L494" s="14">
        <f>IF($A494="","",IF(INDEX('潜水記録'!$K$5:$K$3004,$AS494)="","",INDEX('潜水記録'!$K$5:$K$3004,$AS494)))</f>
        <v/>
      </c>
      <c r="M494" s="14">
        <f>IF($A494="","",IF(INDEX('潜水記録'!$L$5:$L$3004,$AS494)="","",INDEX('潜水記録'!$L$5:$L$3004,$AS494)))</f>
        <v/>
      </c>
      <c r="N494" s="14">
        <f>IF($A494="","",IF(INDEX('潜水記録'!$M$5:$M$3004,$AS494)="","",INDEX('潜水記録'!$M$5:$M$3004,$AS494)))</f>
        <v/>
      </c>
      <c r="O494" s="14">
        <f>IF($A494="","",IF(INDEX('潜水記録'!$N$5:$N$3004,$AS494)="","",INDEX('潜水記録'!$N$5:$N$3004,$AS494)))</f>
        <v/>
      </c>
      <c r="P494" s="14">
        <f>IF($A494="","",IF(INDEX('潜水記録'!$O$5:$O$3004,$AS494)="","",INDEX('潜水記録'!$O$5:$O$3004,$AS494)))</f>
        <v/>
      </c>
      <c r="Q494" s="14">
        <f>IF($A494="","",IF(INDEX('潜水記録'!$P$5:$P$3004,$AS494)="","",INDEX('潜水記録'!$P$5:$P$3004,$AS494)))</f>
        <v/>
      </c>
      <c r="R494" s="14">
        <f>IF($A494="","",IF(INDEX('潜水記録'!$Q$5:$Q$3004,$AS494)="","",INDEX('潜水記録'!$Q$5:$Q$3004,$AS494)))</f>
        <v/>
      </c>
      <c r="S494" s="14">
        <f>IF($A494="","",IF(INDEX('潜水記録'!$R$5:$R$3004,$AS494)="","",INDEX('潜水記録'!$R$5:$R$3004,$AS494)))</f>
        <v/>
      </c>
      <c r="T494" s="14">
        <f>IF($A494="","",IF(INDEX('潜水記録'!$S$5:$S$3004,$AS494)="","",INDEX('潜水記録'!$S$5:$S$3004,$AS494)))</f>
        <v/>
      </c>
      <c r="U494" s="14">
        <f>IF($A494="","",IF(INDEX('潜水記録'!$T$5:$T$3004,$AS494)="","",INDEX('潜水記録'!$T$5:$T$3004,$AS494)))</f>
        <v/>
      </c>
      <c r="V494" s="46">
        <f>IF($A494="","",IF(INDEX('潜水記録'!$U$5:$U$3004,$AS494)="","",INDEX('潜水記録'!$U$5:$U$3004,$AS494)))</f>
        <v/>
      </c>
      <c r="W494" s="46">
        <f>IF($A494="","",IF(INDEX('潜水記録'!$V$5:$V$3004,$AS494)="","",INDEX('潜水記録'!$V$5:$V$3004,$AS494)))</f>
        <v/>
      </c>
      <c r="X494" s="14">
        <f>IF($A494="","",IF(INDEX('潜水記録'!$W$5:$W$3004,$AS494)="","",INDEX('潜水記録'!$W$5:$W$3004,$AS494)))</f>
        <v/>
      </c>
      <c r="Y494" s="14">
        <f>IF($A494="","",IF(INDEX('潜水記録'!$X$5:$X$3004,$AS494)="","",INDEX('潜水記録'!$X$5:$X$3004,$AS494)))</f>
        <v/>
      </c>
      <c r="Z494" s="14">
        <f>IF($A494="","",IF(INDEX('潜水記録'!$Y$5:$Y$3004,$AS494)="","",INDEX('潜水記録'!$Y$5:$Y$3004,$AS494)))</f>
        <v/>
      </c>
      <c r="AA494" s="14">
        <f>IF($A494="","",IF(INDEX('潜水記録'!$Z$5:$Z$3004,$AS494)="","",INDEX('潜水記録'!$Z$5:$Z$3004,$AS494)))</f>
        <v/>
      </c>
      <c r="AB494" s="14">
        <f>IF($A494="","",IF(INDEX('潜水記録'!$AA$5:$AA$3004,$AS494)="","",INDEX('潜水記録'!$AA$5:$AA$3004,$AS494)))</f>
        <v/>
      </c>
      <c r="AC494" s="14">
        <f>IF($A494="","",IF(INDEX('潜水記録'!$AB$5:$AB$3004,$AS494)="","",INDEX('潜水記録'!$AB$5:$AB$3004,$AS494)))</f>
        <v/>
      </c>
      <c r="AD494" s="14">
        <f>IF($A494="","",IF(INDEX('潜水記録'!$AC$5:$AC$3004,$AS494)="","",INDEX('潜水記録'!$AC$5:$AC$3004,$AS494)))</f>
        <v/>
      </c>
      <c r="AE494" s="14">
        <f>IF($A494="","",IF(INDEX('潜水記録'!$AD$5:$AD$3004,$AS494)="","",INDEX('潜水記録'!$AD$5:$AD$3004,$AS494)))</f>
        <v/>
      </c>
      <c r="AF494" s="14">
        <f>IF($A494="","",IF(INDEX('潜水記録'!$AE$5:$AE$3004,$AS494)="","",INDEX('潜水記録'!$AE$5:$AE$3004,$AS494)))</f>
        <v/>
      </c>
      <c r="AG494" s="14">
        <f>IF($A494="","",IF(INDEX('潜水記録'!$AL$5:$AL$3004,$AS494)="","",INDEX('潜水記録'!$AL$5:$AL$3004,$AS494)))</f>
        <v/>
      </c>
      <c r="AH494" s="14">
        <f>IF($A494="","",IF(INDEX('潜水記録'!$AM$5:$AM$3004,$AS494)="","",INDEX('潜水記録'!$AM$5:$AM$3004,$AS494)))</f>
        <v/>
      </c>
      <c r="AI494" s="46">
        <f>IF($A494="","",IF(INDEX('潜水記録'!$AN$5:$AN$3004,$AS494)="","",INDEX('潜水記録'!$AN$5:$AN$3004,$AS494)))</f>
        <v/>
      </c>
      <c r="AJ494" s="14">
        <f>IF($A494="","",IF(INDEX('潜水記録'!$AO$5:$AO$3004,$AS494)="","",INDEX('潜水記録'!$AO$5:$AO$3004,$AS494)))</f>
        <v/>
      </c>
      <c r="AK494" s="14">
        <f>IF($A494="","",IF(INDEX('潜水記録'!$AP$5:$AP$3004,$AS494)="","",INDEX('潜水記録'!$AP$5:$AP$3004,$AS494)))</f>
        <v/>
      </c>
      <c r="AL494" s="14">
        <f>IF($A494="","",IF(INDEX('潜水記録'!$AQ$5:$AQ$3004,$AS494)="","",INDEX('潜水記録'!$AQ$5:$AQ$3004,$AS494)))</f>
        <v/>
      </c>
      <c r="AM494" s="14">
        <f>IF($A494="","",IF(INDEX('潜水記録'!$AR$5:$AR$3004,$AS494)="","",INDEX('潜水記録'!$AR$5:$AR$3004,$AS494)))</f>
        <v/>
      </c>
      <c r="AN494" s="14">
        <f>IF($A494="","",IF(INDEX('潜水記録'!$AS$5:$AS$3004,$AS494)="","",INDEX('潜水記録'!$AS$5:$AS$3004,$AS494)))</f>
        <v/>
      </c>
      <c r="AO494" s="14">
        <f>IF($A494="","",IF(INDEX('潜水記録'!$AT$5:$AT$3004,$AS494)="","",INDEX('潜水記録'!$AT$5:$AT$3004,$AS494)))</f>
        <v/>
      </c>
      <c r="AP494" s="14">
        <f>IF($A494="","",IF(INDEX('潜水記録'!$AU$5:$AU$3004,$AS494)="","",INDEX('潜水記録'!$AU$5:$AU$3004,$AS494)))</f>
        <v/>
      </c>
      <c r="AQ494" s="14">
        <f>IF($A494="","",IF(INDEX('潜水記録'!$AV$5:$AV$3004,$AS494)="","",INDEX('潜水記録'!$AV$5:$AV$3004,$AS494)))</f>
        <v/>
      </c>
      <c r="AR494" s="14">
        <f>IF($A494="","",IF(INDEX('潜水記録'!$AW$5:$AW$3004,$AS494)="","",INDEX('潜水記録'!$AW$5:$AW$3004,$AS494)))</f>
        <v/>
      </c>
      <c r="AS494" s="20">
        <f>IF($A494="","",MATCH($A494,'潜水記録'!$AI$5:$AI$3004,0))</f>
        <v/>
      </c>
    </row>
    <row r="495">
      <c r="A495" s="14">
        <f>IF(485&lt;=$C$8,485,"")</f>
        <v/>
      </c>
      <c r="B495" s="16">
        <f>IF($A495="","",IF(INDEX('潜水記録'!$A$5:$A$3004,$AS495)="","",INDEX('潜水記録'!$A$5:$A$3004,$AS495)))</f>
        <v/>
      </c>
      <c r="C495" s="14">
        <f>IF($A495="","",IF(INDEX('潜水記録'!$B$5:$B$3004,$AS495)="","",INDEX('潜水記録'!$B$5:$B$3004,$AS495)))</f>
        <v/>
      </c>
      <c r="D495" s="14">
        <f>IF($A495="","",IF(INDEX('潜水記録'!$C$5:$C$3004,$AS495)="","",INDEX('潜水記録'!$C$5:$C$3004,$AS495)))</f>
        <v/>
      </c>
      <c r="E495" s="14">
        <f>IF($A495="","",IF(INDEX('潜水記録'!$D$5:$D$3004,$AS495)="","",INDEX('潜水記録'!$D$5:$D$3004,$AS495)))</f>
        <v/>
      </c>
      <c r="F495" s="14">
        <f>IF($A495="","",IF(INDEX('潜水記録'!$E$5:$E$3004,$AS495)="","",INDEX('潜水記録'!$E$5:$E$3004,$AS495)))</f>
        <v/>
      </c>
      <c r="G495" s="14">
        <f>IF($A495="","",IF(INDEX('潜水記録'!$F$5:$F$3004,$AS495)="","",INDEX('潜水記録'!$F$5:$F$3004,$AS495)))</f>
        <v/>
      </c>
      <c r="H495" s="14">
        <f>IF($A495="","",IF(INDEX('潜水記録'!$G$5:$G$3004,$AS495)="","",INDEX('潜水記録'!$G$5:$G$3004,$AS495)))</f>
        <v/>
      </c>
      <c r="I495" s="14">
        <f>IF($A495="","",IF(INDEX('潜水記録'!$H$5:$H$3004,$AS495)="","",INDEX('潜水記録'!$H$5:$H$3004,$AS495)))</f>
        <v/>
      </c>
      <c r="J495" s="14">
        <f>IF($A495="","",IF(INDEX('潜水記録'!$I$5:$I$3004,$AS495)="","",INDEX('潜水記録'!$I$5:$I$3004,$AS495)))</f>
        <v/>
      </c>
      <c r="K495" s="14">
        <f>IF($A495="","",IF(INDEX('潜水記録'!$J$5:$J$3004,$AS495)="","",INDEX('潜水記録'!$J$5:$J$3004,$AS495)))</f>
        <v/>
      </c>
      <c r="L495" s="14">
        <f>IF($A495="","",IF(INDEX('潜水記録'!$K$5:$K$3004,$AS495)="","",INDEX('潜水記録'!$K$5:$K$3004,$AS495)))</f>
        <v/>
      </c>
      <c r="M495" s="14">
        <f>IF($A495="","",IF(INDEX('潜水記録'!$L$5:$L$3004,$AS495)="","",INDEX('潜水記録'!$L$5:$L$3004,$AS495)))</f>
        <v/>
      </c>
      <c r="N495" s="14">
        <f>IF($A495="","",IF(INDEX('潜水記録'!$M$5:$M$3004,$AS495)="","",INDEX('潜水記録'!$M$5:$M$3004,$AS495)))</f>
        <v/>
      </c>
      <c r="O495" s="14">
        <f>IF($A495="","",IF(INDEX('潜水記録'!$N$5:$N$3004,$AS495)="","",INDEX('潜水記録'!$N$5:$N$3004,$AS495)))</f>
        <v/>
      </c>
      <c r="P495" s="14">
        <f>IF($A495="","",IF(INDEX('潜水記録'!$O$5:$O$3004,$AS495)="","",INDEX('潜水記録'!$O$5:$O$3004,$AS495)))</f>
        <v/>
      </c>
      <c r="Q495" s="14">
        <f>IF($A495="","",IF(INDEX('潜水記録'!$P$5:$P$3004,$AS495)="","",INDEX('潜水記録'!$P$5:$P$3004,$AS495)))</f>
        <v/>
      </c>
      <c r="R495" s="14">
        <f>IF($A495="","",IF(INDEX('潜水記録'!$Q$5:$Q$3004,$AS495)="","",INDEX('潜水記録'!$Q$5:$Q$3004,$AS495)))</f>
        <v/>
      </c>
      <c r="S495" s="14">
        <f>IF($A495="","",IF(INDEX('潜水記録'!$R$5:$R$3004,$AS495)="","",INDEX('潜水記録'!$R$5:$R$3004,$AS495)))</f>
        <v/>
      </c>
      <c r="T495" s="14">
        <f>IF($A495="","",IF(INDEX('潜水記録'!$S$5:$S$3004,$AS495)="","",INDEX('潜水記録'!$S$5:$S$3004,$AS495)))</f>
        <v/>
      </c>
      <c r="U495" s="14">
        <f>IF($A495="","",IF(INDEX('潜水記録'!$T$5:$T$3004,$AS495)="","",INDEX('潜水記録'!$T$5:$T$3004,$AS495)))</f>
        <v/>
      </c>
      <c r="V495" s="46">
        <f>IF($A495="","",IF(INDEX('潜水記録'!$U$5:$U$3004,$AS495)="","",INDEX('潜水記録'!$U$5:$U$3004,$AS495)))</f>
        <v/>
      </c>
      <c r="W495" s="46">
        <f>IF($A495="","",IF(INDEX('潜水記録'!$V$5:$V$3004,$AS495)="","",INDEX('潜水記録'!$V$5:$V$3004,$AS495)))</f>
        <v/>
      </c>
      <c r="X495" s="14">
        <f>IF($A495="","",IF(INDEX('潜水記録'!$W$5:$W$3004,$AS495)="","",INDEX('潜水記録'!$W$5:$W$3004,$AS495)))</f>
        <v/>
      </c>
      <c r="Y495" s="14">
        <f>IF($A495="","",IF(INDEX('潜水記録'!$X$5:$X$3004,$AS495)="","",INDEX('潜水記録'!$X$5:$X$3004,$AS495)))</f>
        <v/>
      </c>
      <c r="Z495" s="14">
        <f>IF($A495="","",IF(INDEX('潜水記録'!$Y$5:$Y$3004,$AS495)="","",INDEX('潜水記録'!$Y$5:$Y$3004,$AS495)))</f>
        <v/>
      </c>
      <c r="AA495" s="14">
        <f>IF($A495="","",IF(INDEX('潜水記録'!$Z$5:$Z$3004,$AS495)="","",INDEX('潜水記録'!$Z$5:$Z$3004,$AS495)))</f>
        <v/>
      </c>
      <c r="AB495" s="14">
        <f>IF($A495="","",IF(INDEX('潜水記録'!$AA$5:$AA$3004,$AS495)="","",INDEX('潜水記録'!$AA$5:$AA$3004,$AS495)))</f>
        <v/>
      </c>
      <c r="AC495" s="14">
        <f>IF($A495="","",IF(INDEX('潜水記録'!$AB$5:$AB$3004,$AS495)="","",INDEX('潜水記録'!$AB$5:$AB$3004,$AS495)))</f>
        <v/>
      </c>
      <c r="AD495" s="14">
        <f>IF($A495="","",IF(INDEX('潜水記録'!$AC$5:$AC$3004,$AS495)="","",INDEX('潜水記録'!$AC$5:$AC$3004,$AS495)))</f>
        <v/>
      </c>
      <c r="AE495" s="14">
        <f>IF($A495="","",IF(INDEX('潜水記録'!$AD$5:$AD$3004,$AS495)="","",INDEX('潜水記録'!$AD$5:$AD$3004,$AS495)))</f>
        <v/>
      </c>
      <c r="AF495" s="14">
        <f>IF($A495="","",IF(INDEX('潜水記録'!$AE$5:$AE$3004,$AS495)="","",INDEX('潜水記録'!$AE$5:$AE$3004,$AS495)))</f>
        <v/>
      </c>
      <c r="AG495" s="14">
        <f>IF($A495="","",IF(INDEX('潜水記録'!$AL$5:$AL$3004,$AS495)="","",INDEX('潜水記録'!$AL$5:$AL$3004,$AS495)))</f>
        <v/>
      </c>
      <c r="AH495" s="14">
        <f>IF($A495="","",IF(INDEX('潜水記録'!$AM$5:$AM$3004,$AS495)="","",INDEX('潜水記録'!$AM$5:$AM$3004,$AS495)))</f>
        <v/>
      </c>
      <c r="AI495" s="46">
        <f>IF($A495="","",IF(INDEX('潜水記録'!$AN$5:$AN$3004,$AS495)="","",INDEX('潜水記録'!$AN$5:$AN$3004,$AS495)))</f>
        <v/>
      </c>
      <c r="AJ495" s="14">
        <f>IF($A495="","",IF(INDEX('潜水記録'!$AO$5:$AO$3004,$AS495)="","",INDEX('潜水記録'!$AO$5:$AO$3004,$AS495)))</f>
        <v/>
      </c>
      <c r="AK495" s="14">
        <f>IF($A495="","",IF(INDEX('潜水記録'!$AP$5:$AP$3004,$AS495)="","",INDEX('潜水記録'!$AP$5:$AP$3004,$AS495)))</f>
        <v/>
      </c>
      <c r="AL495" s="14">
        <f>IF($A495="","",IF(INDEX('潜水記録'!$AQ$5:$AQ$3004,$AS495)="","",INDEX('潜水記録'!$AQ$5:$AQ$3004,$AS495)))</f>
        <v/>
      </c>
      <c r="AM495" s="14">
        <f>IF($A495="","",IF(INDEX('潜水記録'!$AR$5:$AR$3004,$AS495)="","",INDEX('潜水記録'!$AR$5:$AR$3004,$AS495)))</f>
        <v/>
      </c>
      <c r="AN495" s="14">
        <f>IF($A495="","",IF(INDEX('潜水記録'!$AS$5:$AS$3004,$AS495)="","",INDEX('潜水記録'!$AS$5:$AS$3004,$AS495)))</f>
        <v/>
      </c>
      <c r="AO495" s="14">
        <f>IF($A495="","",IF(INDEX('潜水記録'!$AT$5:$AT$3004,$AS495)="","",INDEX('潜水記録'!$AT$5:$AT$3004,$AS495)))</f>
        <v/>
      </c>
      <c r="AP495" s="14">
        <f>IF($A495="","",IF(INDEX('潜水記録'!$AU$5:$AU$3004,$AS495)="","",INDEX('潜水記録'!$AU$5:$AU$3004,$AS495)))</f>
        <v/>
      </c>
      <c r="AQ495" s="14">
        <f>IF($A495="","",IF(INDEX('潜水記録'!$AV$5:$AV$3004,$AS495)="","",INDEX('潜水記録'!$AV$5:$AV$3004,$AS495)))</f>
        <v/>
      </c>
      <c r="AR495" s="14">
        <f>IF($A495="","",IF(INDEX('潜水記録'!$AW$5:$AW$3004,$AS495)="","",INDEX('潜水記録'!$AW$5:$AW$3004,$AS495)))</f>
        <v/>
      </c>
      <c r="AS495" s="20">
        <f>IF($A495="","",MATCH($A495,'潜水記録'!$AI$5:$AI$3004,0))</f>
        <v/>
      </c>
    </row>
    <row r="496">
      <c r="A496" s="14">
        <f>IF(486&lt;=$C$8,486,"")</f>
        <v/>
      </c>
      <c r="B496" s="16">
        <f>IF($A496="","",IF(INDEX('潜水記録'!$A$5:$A$3004,$AS496)="","",INDEX('潜水記録'!$A$5:$A$3004,$AS496)))</f>
        <v/>
      </c>
      <c r="C496" s="14">
        <f>IF($A496="","",IF(INDEX('潜水記録'!$B$5:$B$3004,$AS496)="","",INDEX('潜水記録'!$B$5:$B$3004,$AS496)))</f>
        <v/>
      </c>
      <c r="D496" s="14">
        <f>IF($A496="","",IF(INDEX('潜水記録'!$C$5:$C$3004,$AS496)="","",INDEX('潜水記録'!$C$5:$C$3004,$AS496)))</f>
        <v/>
      </c>
      <c r="E496" s="14">
        <f>IF($A496="","",IF(INDEX('潜水記録'!$D$5:$D$3004,$AS496)="","",INDEX('潜水記録'!$D$5:$D$3004,$AS496)))</f>
        <v/>
      </c>
      <c r="F496" s="14">
        <f>IF($A496="","",IF(INDEX('潜水記録'!$E$5:$E$3004,$AS496)="","",INDEX('潜水記録'!$E$5:$E$3004,$AS496)))</f>
        <v/>
      </c>
      <c r="G496" s="14">
        <f>IF($A496="","",IF(INDEX('潜水記録'!$F$5:$F$3004,$AS496)="","",INDEX('潜水記録'!$F$5:$F$3004,$AS496)))</f>
        <v/>
      </c>
      <c r="H496" s="14">
        <f>IF($A496="","",IF(INDEX('潜水記録'!$G$5:$G$3004,$AS496)="","",INDEX('潜水記録'!$G$5:$G$3004,$AS496)))</f>
        <v/>
      </c>
      <c r="I496" s="14">
        <f>IF($A496="","",IF(INDEX('潜水記録'!$H$5:$H$3004,$AS496)="","",INDEX('潜水記録'!$H$5:$H$3004,$AS496)))</f>
        <v/>
      </c>
      <c r="J496" s="14">
        <f>IF($A496="","",IF(INDEX('潜水記録'!$I$5:$I$3004,$AS496)="","",INDEX('潜水記録'!$I$5:$I$3004,$AS496)))</f>
        <v/>
      </c>
      <c r="K496" s="14">
        <f>IF($A496="","",IF(INDEX('潜水記録'!$J$5:$J$3004,$AS496)="","",INDEX('潜水記録'!$J$5:$J$3004,$AS496)))</f>
        <v/>
      </c>
      <c r="L496" s="14">
        <f>IF($A496="","",IF(INDEX('潜水記録'!$K$5:$K$3004,$AS496)="","",INDEX('潜水記録'!$K$5:$K$3004,$AS496)))</f>
        <v/>
      </c>
      <c r="M496" s="14">
        <f>IF($A496="","",IF(INDEX('潜水記録'!$L$5:$L$3004,$AS496)="","",INDEX('潜水記録'!$L$5:$L$3004,$AS496)))</f>
        <v/>
      </c>
      <c r="N496" s="14">
        <f>IF($A496="","",IF(INDEX('潜水記録'!$M$5:$M$3004,$AS496)="","",INDEX('潜水記録'!$M$5:$M$3004,$AS496)))</f>
        <v/>
      </c>
      <c r="O496" s="14">
        <f>IF($A496="","",IF(INDEX('潜水記録'!$N$5:$N$3004,$AS496)="","",INDEX('潜水記録'!$N$5:$N$3004,$AS496)))</f>
        <v/>
      </c>
      <c r="P496" s="14">
        <f>IF($A496="","",IF(INDEX('潜水記録'!$O$5:$O$3004,$AS496)="","",INDEX('潜水記録'!$O$5:$O$3004,$AS496)))</f>
        <v/>
      </c>
      <c r="Q496" s="14">
        <f>IF($A496="","",IF(INDEX('潜水記録'!$P$5:$P$3004,$AS496)="","",INDEX('潜水記録'!$P$5:$P$3004,$AS496)))</f>
        <v/>
      </c>
      <c r="R496" s="14">
        <f>IF($A496="","",IF(INDEX('潜水記録'!$Q$5:$Q$3004,$AS496)="","",INDEX('潜水記録'!$Q$5:$Q$3004,$AS496)))</f>
        <v/>
      </c>
      <c r="S496" s="14">
        <f>IF($A496="","",IF(INDEX('潜水記録'!$R$5:$R$3004,$AS496)="","",INDEX('潜水記録'!$R$5:$R$3004,$AS496)))</f>
        <v/>
      </c>
      <c r="T496" s="14">
        <f>IF($A496="","",IF(INDEX('潜水記録'!$S$5:$S$3004,$AS496)="","",INDEX('潜水記録'!$S$5:$S$3004,$AS496)))</f>
        <v/>
      </c>
      <c r="U496" s="14">
        <f>IF($A496="","",IF(INDEX('潜水記録'!$T$5:$T$3004,$AS496)="","",INDEX('潜水記録'!$T$5:$T$3004,$AS496)))</f>
        <v/>
      </c>
      <c r="V496" s="46">
        <f>IF($A496="","",IF(INDEX('潜水記録'!$U$5:$U$3004,$AS496)="","",INDEX('潜水記録'!$U$5:$U$3004,$AS496)))</f>
        <v/>
      </c>
      <c r="W496" s="46">
        <f>IF($A496="","",IF(INDEX('潜水記録'!$V$5:$V$3004,$AS496)="","",INDEX('潜水記録'!$V$5:$V$3004,$AS496)))</f>
        <v/>
      </c>
      <c r="X496" s="14">
        <f>IF($A496="","",IF(INDEX('潜水記録'!$W$5:$W$3004,$AS496)="","",INDEX('潜水記録'!$W$5:$W$3004,$AS496)))</f>
        <v/>
      </c>
      <c r="Y496" s="14">
        <f>IF($A496="","",IF(INDEX('潜水記録'!$X$5:$X$3004,$AS496)="","",INDEX('潜水記録'!$X$5:$X$3004,$AS496)))</f>
        <v/>
      </c>
      <c r="Z496" s="14">
        <f>IF($A496="","",IF(INDEX('潜水記録'!$Y$5:$Y$3004,$AS496)="","",INDEX('潜水記録'!$Y$5:$Y$3004,$AS496)))</f>
        <v/>
      </c>
      <c r="AA496" s="14">
        <f>IF($A496="","",IF(INDEX('潜水記録'!$Z$5:$Z$3004,$AS496)="","",INDEX('潜水記録'!$Z$5:$Z$3004,$AS496)))</f>
        <v/>
      </c>
      <c r="AB496" s="14">
        <f>IF($A496="","",IF(INDEX('潜水記録'!$AA$5:$AA$3004,$AS496)="","",INDEX('潜水記録'!$AA$5:$AA$3004,$AS496)))</f>
        <v/>
      </c>
      <c r="AC496" s="14">
        <f>IF($A496="","",IF(INDEX('潜水記録'!$AB$5:$AB$3004,$AS496)="","",INDEX('潜水記録'!$AB$5:$AB$3004,$AS496)))</f>
        <v/>
      </c>
      <c r="AD496" s="14">
        <f>IF($A496="","",IF(INDEX('潜水記録'!$AC$5:$AC$3004,$AS496)="","",INDEX('潜水記録'!$AC$5:$AC$3004,$AS496)))</f>
        <v/>
      </c>
      <c r="AE496" s="14">
        <f>IF($A496="","",IF(INDEX('潜水記録'!$AD$5:$AD$3004,$AS496)="","",INDEX('潜水記録'!$AD$5:$AD$3004,$AS496)))</f>
        <v/>
      </c>
      <c r="AF496" s="14">
        <f>IF($A496="","",IF(INDEX('潜水記録'!$AE$5:$AE$3004,$AS496)="","",INDEX('潜水記録'!$AE$5:$AE$3004,$AS496)))</f>
        <v/>
      </c>
      <c r="AG496" s="14">
        <f>IF($A496="","",IF(INDEX('潜水記録'!$AL$5:$AL$3004,$AS496)="","",INDEX('潜水記録'!$AL$5:$AL$3004,$AS496)))</f>
        <v/>
      </c>
      <c r="AH496" s="14">
        <f>IF($A496="","",IF(INDEX('潜水記録'!$AM$5:$AM$3004,$AS496)="","",INDEX('潜水記録'!$AM$5:$AM$3004,$AS496)))</f>
        <v/>
      </c>
      <c r="AI496" s="46">
        <f>IF($A496="","",IF(INDEX('潜水記録'!$AN$5:$AN$3004,$AS496)="","",INDEX('潜水記録'!$AN$5:$AN$3004,$AS496)))</f>
        <v/>
      </c>
      <c r="AJ496" s="14">
        <f>IF($A496="","",IF(INDEX('潜水記録'!$AO$5:$AO$3004,$AS496)="","",INDEX('潜水記録'!$AO$5:$AO$3004,$AS496)))</f>
        <v/>
      </c>
      <c r="AK496" s="14">
        <f>IF($A496="","",IF(INDEX('潜水記録'!$AP$5:$AP$3004,$AS496)="","",INDEX('潜水記録'!$AP$5:$AP$3004,$AS496)))</f>
        <v/>
      </c>
      <c r="AL496" s="14">
        <f>IF($A496="","",IF(INDEX('潜水記録'!$AQ$5:$AQ$3004,$AS496)="","",INDEX('潜水記録'!$AQ$5:$AQ$3004,$AS496)))</f>
        <v/>
      </c>
      <c r="AM496" s="14">
        <f>IF($A496="","",IF(INDEX('潜水記録'!$AR$5:$AR$3004,$AS496)="","",INDEX('潜水記録'!$AR$5:$AR$3004,$AS496)))</f>
        <v/>
      </c>
      <c r="AN496" s="14">
        <f>IF($A496="","",IF(INDEX('潜水記録'!$AS$5:$AS$3004,$AS496)="","",INDEX('潜水記録'!$AS$5:$AS$3004,$AS496)))</f>
        <v/>
      </c>
      <c r="AO496" s="14">
        <f>IF($A496="","",IF(INDEX('潜水記録'!$AT$5:$AT$3004,$AS496)="","",INDEX('潜水記録'!$AT$5:$AT$3004,$AS496)))</f>
        <v/>
      </c>
      <c r="AP496" s="14">
        <f>IF($A496="","",IF(INDEX('潜水記録'!$AU$5:$AU$3004,$AS496)="","",INDEX('潜水記録'!$AU$5:$AU$3004,$AS496)))</f>
        <v/>
      </c>
      <c r="AQ496" s="14">
        <f>IF($A496="","",IF(INDEX('潜水記録'!$AV$5:$AV$3004,$AS496)="","",INDEX('潜水記録'!$AV$5:$AV$3004,$AS496)))</f>
        <v/>
      </c>
      <c r="AR496" s="14">
        <f>IF($A496="","",IF(INDEX('潜水記録'!$AW$5:$AW$3004,$AS496)="","",INDEX('潜水記録'!$AW$5:$AW$3004,$AS496)))</f>
        <v/>
      </c>
      <c r="AS496" s="20">
        <f>IF($A496="","",MATCH($A496,'潜水記録'!$AI$5:$AI$3004,0))</f>
        <v/>
      </c>
    </row>
    <row r="497">
      <c r="A497" s="14">
        <f>IF(487&lt;=$C$8,487,"")</f>
        <v/>
      </c>
      <c r="B497" s="16">
        <f>IF($A497="","",IF(INDEX('潜水記録'!$A$5:$A$3004,$AS497)="","",INDEX('潜水記録'!$A$5:$A$3004,$AS497)))</f>
        <v/>
      </c>
      <c r="C497" s="14">
        <f>IF($A497="","",IF(INDEX('潜水記録'!$B$5:$B$3004,$AS497)="","",INDEX('潜水記録'!$B$5:$B$3004,$AS497)))</f>
        <v/>
      </c>
      <c r="D497" s="14">
        <f>IF($A497="","",IF(INDEX('潜水記録'!$C$5:$C$3004,$AS497)="","",INDEX('潜水記録'!$C$5:$C$3004,$AS497)))</f>
        <v/>
      </c>
      <c r="E497" s="14">
        <f>IF($A497="","",IF(INDEX('潜水記録'!$D$5:$D$3004,$AS497)="","",INDEX('潜水記録'!$D$5:$D$3004,$AS497)))</f>
        <v/>
      </c>
      <c r="F497" s="14">
        <f>IF($A497="","",IF(INDEX('潜水記録'!$E$5:$E$3004,$AS497)="","",INDEX('潜水記録'!$E$5:$E$3004,$AS497)))</f>
        <v/>
      </c>
      <c r="G497" s="14">
        <f>IF($A497="","",IF(INDEX('潜水記録'!$F$5:$F$3004,$AS497)="","",INDEX('潜水記録'!$F$5:$F$3004,$AS497)))</f>
        <v/>
      </c>
      <c r="H497" s="14">
        <f>IF($A497="","",IF(INDEX('潜水記録'!$G$5:$G$3004,$AS497)="","",INDEX('潜水記録'!$G$5:$G$3004,$AS497)))</f>
        <v/>
      </c>
      <c r="I497" s="14">
        <f>IF($A497="","",IF(INDEX('潜水記録'!$H$5:$H$3004,$AS497)="","",INDEX('潜水記録'!$H$5:$H$3004,$AS497)))</f>
        <v/>
      </c>
      <c r="J497" s="14">
        <f>IF($A497="","",IF(INDEX('潜水記録'!$I$5:$I$3004,$AS497)="","",INDEX('潜水記録'!$I$5:$I$3004,$AS497)))</f>
        <v/>
      </c>
      <c r="K497" s="14">
        <f>IF($A497="","",IF(INDEX('潜水記録'!$J$5:$J$3004,$AS497)="","",INDEX('潜水記録'!$J$5:$J$3004,$AS497)))</f>
        <v/>
      </c>
      <c r="L497" s="14">
        <f>IF($A497="","",IF(INDEX('潜水記録'!$K$5:$K$3004,$AS497)="","",INDEX('潜水記録'!$K$5:$K$3004,$AS497)))</f>
        <v/>
      </c>
      <c r="M497" s="14">
        <f>IF($A497="","",IF(INDEX('潜水記録'!$L$5:$L$3004,$AS497)="","",INDEX('潜水記録'!$L$5:$L$3004,$AS497)))</f>
        <v/>
      </c>
      <c r="N497" s="14">
        <f>IF($A497="","",IF(INDEX('潜水記録'!$M$5:$M$3004,$AS497)="","",INDEX('潜水記録'!$M$5:$M$3004,$AS497)))</f>
        <v/>
      </c>
      <c r="O497" s="14">
        <f>IF($A497="","",IF(INDEX('潜水記録'!$N$5:$N$3004,$AS497)="","",INDEX('潜水記録'!$N$5:$N$3004,$AS497)))</f>
        <v/>
      </c>
      <c r="P497" s="14">
        <f>IF($A497="","",IF(INDEX('潜水記録'!$O$5:$O$3004,$AS497)="","",INDEX('潜水記録'!$O$5:$O$3004,$AS497)))</f>
        <v/>
      </c>
      <c r="Q497" s="14">
        <f>IF($A497="","",IF(INDEX('潜水記録'!$P$5:$P$3004,$AS497)="","",INDEX('潜水記録'!$P$5:$P$3004,$AS497)))</f>
        <v/>
      </c>
      <c r="R497" s="14">
        <f>IF($A497="","",IF(INDEX('潜水記録'!$Q$5:$Q$3004,$AS497)="","",INDEX('潜水記録'!$Q$5:$Q$3004,$AS497)))</f>
        <v/>
      </c>
      <c r="S497" s="14">
        <f>IF($A497="","",IF(INDEX('潜水記録'!$R$5:$R$3004,$AS497)="","",INDEX('潜水記録'!$R$5:$R$3004,$AS497)))</f>
        <v/>
      </c>
      <c r="T497" s="14">
        <f>IF($A497="","",IF(INDEX('潜水記録'!$S$5:$S$3004,$AS497)="","",INDEX('潜水記録'!$S$5:$S$3004,$AS497)))</f>
        <v/>
      </c>
      <c r="U497" s="14">
        <f>IF($A497="","",IF(INDEX('潜水記録'!$T$5:$T$3004,$AS497)="","",INDEX('潜水記録'!$T$5:$T$3004,$AS497)))</f>
        <v/>
      </c>
      <c r="V497" s="46">
        <f>IF($A497="","",IF(INDEX('潜水記録'!$U$5:$U$3004,$AS497)="","",INDEX('潜水記録'!$U$5:$U$3004,$AS497)))</f>
        <v/>
      </c>
      <c r="W497" s="46">
        <f>IF($A497="","",IF(INDEX('潜水記録'!$V$5:$V$3004,$AS497)="","",INDEX('潜水記録'!$V$5:$V$3004,$AS497)))</f>
        <v/>
      </c>
      <c r="X497" s="14">
        <f>IF($A497="","",IF(INDEX('潜水記録'!$W$5:$W$3004,$AS497)="","",INDEX('潜水記録'!$W$5:$W$3004,$AS497)))</f>
        <v/>
      </c>
      <c r="Y497" s="14">
        <f>IF($A497="","",IF(INDEX('潜水記録'!$X$5:$X$3004,$AS497)="","",INDEX('潜水記録'!$X$5:$X$3004,$AS497)))</f>
        <v/>
      </c>
      <c r="Z497" s="14">
        <f>IF($A497="","",IF(INDEX('潜水記録'!$Y$5:$Y$3004,$AS497)="","",INDEX('潜水記録'!$Y$5:$Y$3004,$AS497)))</f>
        <v/>
      </c>
      <c r="AA497" s="14">
        <f>IF($A497="","",IF(INDEX('潜水記録'!$Z$5:$Z$3004,$AS497)="","",INDEX('潜水記録'!$Z$5:$Z$3004,$AS497)))</f>
        <v/>
      </c>
      <c r="AB497" s="14">
        <f>IF($A497="","",IF(INDEX('潜水記録'!$AA$5:$AA$3004,$AS497)="","",INDEX('潜水記録'!$AA$5:$AA$3004,$AS497)))</f>
        <v/>
      </c>
      <c r="AC497" s="14">
        <f>IF($A497="","",IF(INDEX('潜水記録'!$AB$5:$AB$3004,$AS497)="","",INDEX('潜水記録'!$AB$5:$AB$3004,$AS497)))</f>
        <v/>
      </c>
      <c r="AD497" s="14">
        <f>IF($A497="","",IF(INDEX('潜水記録'!$AC$5:$AC$3004,$AS497)="","",INDEX('潜水記録'!$AC$5:$AC$3004,$AS497)))</f>
        <v/>
      </c>
      <c r="AE497" s="14">
        <f>IF($A497="","",IF(INDEX('潜水記録'!$AD$5:$AD$3004,$AS497)="","",INDEX('潜水記録'!$AD$5:$AD$3004,$AS497)))</f>
        <v/>
      </c>
      <c r="AF497" s="14">
        <f>IF($A497="","",IF(INDEX('潜水記録'!$AE$5:$AE$3004,$AS497)="","",INDEX('潜水記録'!$AE$5:$AE$3004,$AS497)))</f>
        <v/>
      </c>
      <c r="AG497" s="14">
        <f>IF($A497="","",IF(INDEX('潜水記録'!$AL$5:$AL$3004,$AS497)="","",INDEX('潜水記録'!$AL$5:$AL$3004,$AS497)))</f>
        <v/>
      </c>
      <c r="AH497" s="14">
        <f>IF($A497="","",IF(INDEX('潜水記録'!$AM$5:$AM$3004,$AS497)="","",INDEX('潜水記録'!$AM$5:$AM$3004,$AS497)))</f>
        <v/>
      </c>
      <c r="AI497" s="46">
        <f>IF($A497="","",IF(INDEX('潜水記録'!$AN$5:$AN$3004,$AS497)="","",INDEX('潜水記録'!$AN$5:$AN$3004,$AS497)))</f>
        <v/>
      </c>
      <c r="AJ497" s="14">
        <f>IF($A497="","",IF(INDEX('潜水記録'!$AO$5:$AO$3004,$AS497)="","",INDEX('潜水記録'!$AO$5:$AO$3004,$AS497)))</f>
        <v/>
      </c>
      <c r="AK497" s="14">
        <f>IF($A497="","",IF(INDEX('潜水記録'!$AP$5:$AP$3004,$AS497)="","",INDEX('潜水記録'!$AP$5:$AP$3004,$AS497)))</f>
        <v/>
      </c>
      <c r="AL497" s="14">
        <f>IF($A497="","",IF(INDEX('潜水記録'!$AQ$5:$AQ$3004,$AS497)="","",INDEX('潜水記録'!$AQ$5:$AQ$3004,$AS497)))</f>
        <v/>
      </c>
      <c r="AM497" s="14">
        <f>IF($A497="","",IF(INDEX('潜水記録'!$AR$5:$AR$3004,$AS497)="","",INDEX('潜水記録'!$AR$5:$AR$3004,$AS497)))</f>
        <v/>
      </c>
      <c r="AN497" s="14">
        <f>IF($A497="","",IF(INDEX('潜水記録'!$AS$5:$AS$3004,$AS497)="","",INDEX('潜水記録'!$AS$5:$AS$3004,$AS497)))</f>
        <v/>
      </c>
      <c r="AO497" s="14">
        <f>IF($A497="","",IF(INDEX('潜水記録'!$AT$5:$AT$3004,$AS497)="","",INDEX('潜水記録'!$AT$5:$AT$3004,$AS497)))</f>
        <v/>
      </c>
      <c r="AP497" s="14">
        <f>IF($A497="","",IF(INDEX('潜水記録'!$AU$5:$AU$3004,$AS497)="","",INDEX('潜水記録'!$AU$5:$AU$3004,$AS497)))</f>
        <v/>
      </c>
      <c r="AQ497" s="14">
        <f>IF($A497="","",IF(INDEX('潜水記録'!$AV$5:$AV$3004,$AS497)="","",INDEX('潜水記録'!$AV$5:$AV$3004,$AS497)))</f>
        <v/>
      </c>
      <c r="AR497" s="14">
        <f>IF($A497="","",IF(INDEX('潜水記録'!$AW$5:$AW$3004,$AS497)="","",INDEX('潜水記録'!$AW$5:$AW$3004,$AS497)))</f>
        <v/>
      </c>
      <c r="AS497" s="20">
        <f>IF($A497="","",MATCH($A497,'潜水記録'!$AI$5:$AI$3004,0))</f>
        <v/>
      </c>
    </row>
    <row r="498">
      <c r="A498" s="14">
        <f>IF(488&lt;=$C$8,488,"")</f>
        <v/>
      </c>
      <c r="B498" s="16">
        <f>IF($A498="","",IF(INDEX('潜水記録'!$A$5:$A$3004,$AS498)="","",INDEX('潜水記録'!$A$5:$A$3004,$AS498)))</f>
        <v/>
      </c>
      <c r="C498" s="14">
        <f>IF($A498="","",IF(INDEX('潜水記録'!$B$5:$B$3004,$AS498)="","",INDEX('潜水記録'!$B$5:$B$3004,$AS498)))</f>
        <v/>
      </c>
      <c r="D498" s="14">
        <f>IF($A498="","",IF(INDEX('潜水記録'!$C$5:$C$3004,$AS498)="","",INDEX('潜水記録'!$C$5:$C$3004,$AS498)))</f>
        <v/>
      </c>
      <c r="E498" s="14">
        <f>IF($A498="","",IF(INDEX('潜水記録'!$D$5:$D$3004,$AS498)="","",INDEX('潜水記録'!$D$5:$D$3004,$AS498)))</f>
        <v/>
      </c>
      <c r="F498" s="14">
        <f>IF($A498="","",IF(INDEX('潜水記録'!$E$5:$E$3004,$AS498)="","",INDEX('潜水記録'!$E$5:$E$3004,$AS498)))</f>
        <v/>
      </c>
      <c r="G498" s="14">
        <f>IF($A498="","",IF(INDEX('潜水記録'!$F$5:$F$3004,$AS498)="","",INDEX('潜水記録'!$F$5:$F$3004,$AS498)))</f>
        <v/>
      </c>
      <c r="H498" s="14">
        <f>IF($A498="","",IF(INDEX('潜水記録'!$G$5:$G$3004,$AS498)="","",INDEX('潜水記録'!$G$5:$G$3004,$AS498)))</f>
        <v/>
      </c>
      <c r="I498" s="14">
        <f>IF($A498="","",IF(INDEX('潜水記録'!$H$5:$H$3004,$AS498)="","",INDEX('潜水記録'!$H$5:$H$3004,$AS498)))</f>
        <v/>
      </c>
      <c r="J498" s="14">
        <f>IF($A498="","",IF(INDEX('潜水記録'!$I$5:$I$3004,$AS498)="","",INDEX('潜水記録'!$I$5:$I$3004,$AS498)))</f>
        <v/>
      </c>
      <c r="K498" s="14">
        <f>IF($A498="","",IF(INDEX('潜水記録'!$J$5:$J$3004,$AS498)="","",INDEX('潜水記録'!$J$5:$J$3004,$AS498)))</f>
        <v/>
      </c>
      <c r="L498" s="14">
        <f>IF($A498="","",IF(INDEX('潜水記録'!$K$5:$K$3004,$AS498)="","",INDEX('潜水記録'!$K$5:$K$3004,$AS498)))</f>
        <v/>
      </c>
      <c r="M498" s="14">
        <f>IF($A498="","",IF(INDEX('潜水記録'!$L$5:$L$3004,$AS498)="","",INDEX('潜水記録'!$L$5:$L$3004,$AS498)))</f>
        <v/>
      </c>
      <c r="N498" s="14">
        <f>IF($A498="","",IF(INDEX('潜水記録'!$M$5:$M$3004,$AS498)="","",INDEX('潜水記録'!$M$5:$M$3004,$AS498)))</f>
        <v/>
      </c>
      <c r="O498" s="14">
        <f>IF($A498="","",IF(INDEX('潜水記録'!$N$5:$N$3004,$AS498)="","",INDEX('潜水記録'!$N$5:$N$3004,$AS498)))</f>
        <v/>
      </c>
      <c r="P498" s="14">
        <f>IF($A498="","",IF(INDEX('潜水記録'!$O$5:$O$3004,$AS498)="","",INDEX('潜水記録'!$O$5:$O$3004,$AS498)))</f>
        <v/>
      </c>
      <c r="Q498" s="14">
        <f>IF($A498="","",IF(INDEX('潜水記録'!$P$5:$P$3004,$AS498)="","",INDEX('潜水記録'!$P$5:$P$3004,$AS498)))</f>
        <v/>
      </c>
      <c r="R498" s="14">
        <f>IF($A498="","",IF(INDEX('潜水記録'!$Q$5:$Q$3004,$AS498)="","",INDEX('潜水記録'!$Q$5:$Q$3004,$AS498)))</f>
        <v/>
      </c>
      <c r="S498" s="14">
        <f>IF($A498="","",IF(INDEX('潜水記録'!$R$5:$R$3004,$AS498)="","",INDEX('潜水記録'!$R$5:$R$3004,$AS498)))</f>
        <v/>
      </c>
      <c r="T498" s="14">
        <f>IF($A498="","",IF(INDEX('潜水記録'!$S$5:$S$3004,$AS498)="","",INDEX('潜水記録'!$S$5:$S$3004,$AS498)))</f>
        <v/>
      </c>
      <c r="U498" s="14">
        <f>IF($A498="","",IF(INDEX('潜水記録'!$T$5:$T$3004,$AS498)="","",INDEX('潜水記録'!$T$5:$T$3004,$AS498)))</f>
        <v/>
      </c>
      <c r="V498" s="46">
        <f>IF($A498="","",IF(INDEX('潜水記録'!$U$5:$U$3004,$AS498)="","",INDEX('潜水記録'!$U$5:$U$3004,$AS498)))</f>
        <v/>
      </c>
      <c r="W498" s="46">
        <f>IF($A498="","",IF(INDEX('潜水記録'!$V$5:$V$3004,$AS498)="","",INDEX('潜水記録'!$V$5:$V$3004,$AS498)))</f>
        <v/>
      </c>
      <c r="X498" s="14">
        <f>IF($A498="","",IF(INDEX('潜水記録'!$W$5:$W$3004,$AS498)="","",INDEX('潜水記録'!$W$5:$W$3004,$AS498)))</f>
        <v/>
      </c>
      <c r="Y498" s="14">
        <f>IF($A498="","",IF(INDEX('潜水記録'!$X$5:$X$3004,$AS498)="","",INDEX('潜水記録'!$X$5:$X$3004,$AS498)))</f>
        <v/>
      </c>
      <c r="Z498" s="14">
        <f>IF($A498="","",IF(INDEX('潜水記録'!$Y$5:$Y$3004,$AS498)="","",INDEX('潜水記録'!$Y$5:$Y$3004,$AS498)))</f>
        <v/>
      </c>
      <c r="AA498" s="14">
        <f>IF($A498="","",IF(INDEX('潜水記録'!$Z$5:$Z$3004,$AS498)="","",INDEX('潜水記録'!$Z$5:$Z$3004,$AS498)))</f>
        <v/>
      </c>
      <c r="AB498" s="14">
        <f>IF($A498="","",IF(INDEX('潜水記録'!$AA$5:$AA$3004,$AS498)="","",INDEX('潜水記録'!$AA$5:$AA$3004,$AS498)))</f>
        <v/>
      </c>
      <c r="AC498" s="14">
        <f>IF($A498="","",IF(INDEX('潜水記録'!$AB$5:$AB$3004,$AS498)="","",INDEX('潜水記録'!$AB$5:$AB$3004,$AS498)))</f>
        <v/>
      </c>
      <c r="AD498" s="14">
        <f>IF($A498="","",IF(INDEX('潜水記録'!$AC$5:$AC$3004,$AS498)="","",INDEX('潜水記録'!$AC$5:$AC$3004,$AS498)))</f>
        <v/>
      </c>
      <c r="AE498" s="14">
        <f>IF($A498="","",IF(INDEX('潜水記録'!$AD$5:$AD$3004,$AS498)="","",INDEX('潜水記録'!$AD$5:$AD$3004,$AS498)))</f>
        <v/>
      </c>
      <c r="AF498" s="14">
        <f>IF($A498="","",IF(INDEX('潜水記録'!$AE$5:$AE$3004,$AS498)="","",INDEX('潜水記録'!$AE$5:$AE$3004,$AS498)))</f>
        <v/>
      </c>
      <c r="AG498" s="14">
        <f>IF($A498="","",IF(INDEX('潜水記録'!$AL$5:$AL$3004,$AS498)="","",INDEX('潜水記録'!$AL$5:$AL$3004,$AS498)))</f>
        <v/>
      </c>
      <c r="AH498" s="14">
        <f>IF($A498="","",IF(INDEX('潜水記録'!$AM$5:$AM$3004,$AS498)="","",INDEX('潜水記録'!$AM$5:$AM$3004,$AS498)))</f>
        <v/>
      </c>
      <c r="AI498" s="46">
        <f>IF($A498="","",IF(INDEX('潜水記録'!$AN$5:$AN$3004,$AS498)="","",INDEX('潜水記録'!$AN$5:$AN$3004,$AS498)))</f>
        <v/>
      </c>
      <c r="AJ498" s="14">
        <f>IF($A498="","",IF(INDEX('潜水記録'!$AO$5:$AO$3004,$AS498)="","",INDEX('潜水記録'!$AO$5:$AO$3004,$AS498)))</f>
        <v/>
      </c>
      <c r="AK498" s="14">
        <f>IF($A498="","",IF(INDEX('潜水記録'!$AP$5:$AP$3004,$AS498)="","",INDEX('潜水記録'!$AP$5:$AP$3004,$AS498)))</f>
        <v/>
      </c>
      <c r="AL498" s="14">
        <f>IF($A498="","",IF(INDEX('潜水記録'!$AQ$5:$AQ$3004,$AS498)="","",INDEX('潜水記録'!$AQ$5:$AQ$3004,$AS498)))</f>
        <v/>
      </c>
      <c r="AM498" s="14">
        <f>IF($A498="","",IF(INDEX('潜水記録'!$AR$5:$AR$3004,$AS498)="","",INDEX('潜水記録'!$AR$5:$AR$3004,$AS498)))</f>
        <v/>
      </c>
      <c r="AN498" s="14">
        <f>IF($A498="","",IF(INDEX('潜水記録'!$AS$5:$AS$3004,$AS498)="","",INDEX('潜水記録'!$AS$5:$AS$3004,$AS498)))</f>
        <v/>
      </c>
      <c r="AO498" s="14">
        <f>IF($A498="","",IF(INDEX('潜水記録'!$AT$5:$AT$3004,$AS498)="","",INDEX('潜水記録'!$AT$5:$AT$3004,$AS498)))</f>
        <v/>
      </c>
      <c r="AP498" s="14">
        <f>IF($A498="","",IF(INDEX('潜水記録'!$AU$5:$AU$3004,$AS498)="","",INDEX('潜水記録'!$AU$5:$AU$3004,$AS498)))</f>
        <v/>
      </c>
      <c r="AQ498" s="14">
        <f>IF($A498="","",IF(INDEX('潜水記録'!$AV$5:$AV$3004,$AS498)="","",INDEX('潜水記録'!$AV$5:$AV$3004,$AS498)))</f>
        <v/>
      </c>
      <c r="AR498" s="14">
        <f>IF($A498="","",IF(INDEX('潜水記録'!$AW$5:$AW$3004,$AS498)="","",INDEX('潜水記録'!$AW$5:$AW$3004,$AS498)))</f>
        <v/>
      </c>
      <c r="AS498" s="20">
        <f>IF($A498="","",MATCH($A498,'潜水記録'!$AI$5:$AI$3004,0))</f>
        <v/>
      </c>
    </row>
    <row r="499">
      <c r="A499" s="14">
        <f>IF(489&lt;=$C$8,489,"")</f>
        <v/>
      </c>
      <c r="B499" s="16">
        <f>IF($A499="","",IF(INDEX('潜水記録'!$A$5:$A$3004,$AS499)="","",INDEX('潜水記録'!$A$5:$A$3004,$AS499)))</f>
        <v/>
      </c>
      <c r="C499" s="14">
        <f>IF($A499="","",IF(INDEX('潜水記録'!$B$5:$B$3004,$AS499)="","",INDEX('潜水記録'!$B$5:$B$3004,$AS499)))</f>
        <v/>
      </c>
      <c r="D499" s="14">
        <f>IF($A499="","",IF(INDEX('潜水記録'!$C$5:$C$3004,$AS499)="","",INDEX('潜水記録'!$C$5:$C$3004,$AS499)))</f>
        <v/>
      </c>
      <c r="E499" s="14">
        <f>IF($A499="","",IF(INDEX('潜水記録'!$D$5:$D$3004,$AS499)="","",INDEX('潜水記録'!$D$5:$D$3004,$AS499)))</f>
        <v/>
      </c>
      <c r="F499" s="14">
        <f>IF($A499="","",IF(INDEX('潜水記録'!$E$5:$E$3004,$AS499)="","",INDEX('潜水記録'!$E$5:$E$3004,$AS499)))</f>
        <v/>
      </c>
      <c r="G499" s="14">
        <f>IF($A499="","",IF(INDEX('潜水記録'!$F$5:$F$3004,$AS499)="","",INDEX('潜水記録'!$F$5:$F$3004,$AS499)))</f>
        <v/>
      </c>
      <c r="H499" s="14">
        <f>IF($A499="","",IF(INDEX('潜水記録'!$G$5:$G$3004,$AS499)="","",INDEX('潜水記録'!$G$5:$G$3004,$AS499)))</f>
        <v/>
      </c>
      <c r="I499" s="14">
        <f>IF($A499="","",IF(INDEX('潜水記録'!$H$5:$H$3004,$AS499)="","",INDEX('潜水記録'!$H$5:$H$3004,$AS499)))</f>
        <v/>
      </c>
      <c r="J499" s="14">
        <f>IF($A499="","",IF(INDEX('潜水記録'!$I$5:$I$3004,$AS499)="","",INDEX('潜水記録'!$I$5:$I$3004,$AS499)))</f>
        <v/>
      </c>
      <c r="K499" s="14">
        <f>IF($A499="","",IF(INDEX('潜水記録'!$J$5:$J$3004,$AS499)="","",INDEX('潜水記録'!$J$5:$J$3004,$AS499)))</f>
        <v/>
      </c>
      <c r="L499" s="14">
        <f>IF($A499="","",IF(INDEX('潜水記録'!$K$5:$K$3004,$AS499)="","",INDEX('潜水記録'!$K$5:$K$3004,$AS499)))</f>
        <v/>
      </c>
      <c r="M499" s="14">
        <f>IF($A499="","",IF(INDEX('潜水記録'!$L$5:$L$3004,$AS499)="","",INDEX('潜水記録'!$L$5:$L$3004,$AS499)))</f>
        <v/>
      </c>
      <c r="N499" s="14">
        <f>IF($A499="","",IF(INDEX('潜水記録'!$M$5:$M$3004,$AS499)="","",INDEX('潜水記録'!$M$5:$M$3004,$AS499)))</f>
        <v/>
      </c>
      <c r="O499" s="14">
        <f>IF($A499="","",IF(INDEX('潜水記録'!$N$5:$N$3004,$AS499)="","",INDEX('潜水記録'!$N$5:$N$3004,$AS499)))</f>
        <v/>
      </c>
      <c r="P499" s="14">
        <f>IF($A499="","",IF(INDEX('潜水記録'!$O$5:$O$3004,$AS499)="","",INDEX('潜水記録'!$O$5:$O$3004,$AS499)))</f>
        <v/>
      </c>
      <c r="Q499" s="14">
        <f>IF($A499="","",IF(INDEX('潜水記録'!$P$5:$P$3004,$AS499)="","",INDEX('潜水記録'!$P$5:$P$3004,$AS499)))</f>
        <v/>
      </c>
      <c r="R499" s="14">
        <f>IF($A499="","",IF(INDEX('潜水記録'!$Q$5:$Q$3004,$AS499)="","",INDEX('潜水記録'!$Q$5:$Q$3004,$AS499)))</f>
        <v/>
      </c>
      <c r="S499" s="14">
        <f>IF($A499="","",IF(INDEX('潜水記録'!$R$5:$R$3004,$AS499)="","",INDEX('潜水記録'!$R$5:$R$3004,$AS499)))</f>
        <v/>
      </c>
      <c r="T499" s="14">
        <f>IF($A499="","",IF(INDEX('潜水記録'!$S$5:$S$3004,$AS499)="","",INDEX('潜水記録'!$S$5:$S$3004,$AS499)))</f>
        <v/>
      </c>
      <c r="U499" s="14">
        <f>IF($A499="","",IF(INDEX('潜水記録'!$T$5:$T$3004,$AS499)="","",INDEX('潜水記録'!$T$5:$T$3004,$AS499)))</f>
        <v/>
      </c>
      <c r="V499" s="46">
        <f>IF($A499="","",IF(INDEX('潜水記録'!$U$5:$U$3004,$AS499)="","",INDEX('潜水記録'!$U$5:$U$3004,$AS499)))</f>
        <v/>
      </c>
      <c r="W499" s="46">
        <f>IF($A499="","",IF(INDEX('潜水記録'!$V$5:$V$3004,$AS499)="","",INDEX('潜水記録'!$V$5:$V$3004,$AS499)))</f>
        <v/>
      </c>
      <c r="X499" s="14">
        <f>IF($A499="","",IF(INDEX('潜水記録'!$W$5:$W$3004,$AS499)="","",INDEX('潜水記録'!$W$5:$W$3004,$AS499)))</f>
        <v/>
      </c>
      <c r="Y499" s="14">
        <f>IF($A499="","",IF(INDEX('潜水記録'!$X$5:$X$3004,$AS499)="","",INDEX('潜水記録'!$X$5:$X$3004,$AS499)))</f>
        <v/>
      </c>
      <c r="Z499" s="14">
        <f>IF($A499="","",IF(INDEX('潜水記録'!$Y$5:$Y$3004,$AS499)="","",INDEX('潜水記録'!$Y$5:$Y$3004,$AS499)))</f>
        <v/>
      </c>
      <c r="AA499" s="14">
        <f>IF($A499="","",IF(INDEX('潜水記録'!$Z$5:$Z$3004,$AS499)="","",INDEX('潜水記録'!$Z$5:$Z$3004,$AS499)))</f>
        <v/>
      </c>
      <c r="AB499" s="14">
        <f>IF($A499="","",IF(INDEX('潜水記録'!$AA$5:$AA$3004,$AS499)="","",INDEX('潜水記録'!$AA$5:$AA$3004,$AS499)))</f>
        <v/>
      </c>
      <c r="AC499" s="14">
        <f>IF($A499="","",IF(INDEX('潜水記録'!$AB$5:$AB$3004,$AS499)="","",INDEX('潜水記録'!$AB$5:$AB$3004,$AS499)))</f>
        <v/>
      </c>
      <c r="AD499" s="14">
        <f>IF($A499="","",IF(INDEX('潜水記録'!$AC$5:$AC$3004,$AS499)="","",INDEX('潜水記録'!$AC$5:$AC$3004,$AS499)))</f>
        <v/>
      </c>
      <c r="AE499" s="14">
        <f>IF($A499="","",IF(INDEX('潜水記録'!$AD$5:$AD$3004,$AS499)="","",INDEX('潜水記録'!$AD$5:$AD$3004,$AS499)))</f>
        <v/>
      </c>
      <c r="AF499" s="14">
        <f>IF($A499="","",IF(INDEX('潜水記録'!$AE$5:$AE$3004,$AS499)="","",INDEX('潜水記録'!$AE$5:$AE$3004,$AS499)))</f>
        <v/>
      </c>
      <c r="AG499" s="14">
        <f>IF($A499="","",IF(INDEX('潜水記録'!$AL$5:$AL$3004,$AS499)="","",INDEX('潜水記録'!$AL$5:$AL$3004,$AS499)))</f>
        <v/>
      </c>
      <c r="AH499" s="14">
        <f>IF($A499="","",IF(INDEX('潜水記録'!$AM$5:$AM$3004,$AS499)="","",INDEX('潜水記録'!$AM$5:$AM$3004,$AS499)))</f>
        <v/>
      </c>
      <c r="AI499" s="46">
        <f>IF($A499="","",IF(INDEX('潜水記録'!$AN$5:$AN$3004,$AS499)="","",INDEX('潜水記録'!$AN$5:$AN$3004,$AS499)))</f>
        <v/>
      </c>
      <c r="AJ499" s="14">
        <f>IF($A499="","",IF(INDEX('潜水記録'!$AO$5:$AO$3004,$AS499)="","",INDEX('潜水記録'!$AO$5:$AO$3004,$AS499)))</f>
        <v/>
      </c>
      <c r="AK499" s="14">
        <f>IF($A499="","",IF(INDEX('潜水記録'!$AP$5:$AP$3004,$AS499)="","",INDEX('潜水記録'!$AP$5:$AP$3004,$AS499)))</f>
        <v/>
      </c>
      <c r="AL499" s="14">
        <f>IF($A499="","",IF(INDEX('潜水記録'!$AQ$5:$AQ$3004,$AS499)="","",INDEX('潜水記録'!$AQ$5:$AQ$3004,$AS499)))</f>
        <v/>
      </c>
      <c r="AM499" s="14">
        <f>IF($A499="","",IF(INDEX('潜水記録'!$AR$5:$AR$3004,$AS499)="","",INDEX('潜水記録'!$AR$5:$AR$3004,$AS499)))</f>
        <v/>
      </c>
      <c r="AN499" s="14">
        <f>IF($A499="","",IF(INDEX('潜水記録'!$AS$5:$AS$3004,$AS499)="","",INDEX('潜水記録'!$AS$5:$AS$3004,$AS499)))</f>
        <v/>
      </c>
      <c r="AO499" s="14">
        <f>IF($A499="","",IF(INDEX('潜水記録'!$AT$5:$AT$3004,$AS499)="","",INDEX('潜水記録'!$AT$5:$AT$3004,$AS499)))</f>
        <v/>
      </c>
      <c r="AP499" s="14">
        <f>IF($A499="","",IF(INDEX('潜水記録'!$AU$5:$AU$3004,$AS499)="","",INDEX('潜水記録'!$AU$5:$AU$3004,$AS499)))</f>
        <v/>
      </c>
      <c r="AQ499" s="14">
        <f>IF($A499="","",IF(INDEX('潜水記録'!$AV$5:$AV$3004,$AS499)="","",INDEX('潜水記録'!$AV$5:$AV$3004,$AS499)))</f>
        <v/>
      </c>
      <c r="AR499" s="14">
        <f>IF($A499="","",IF(INDEX('潜水記録'!$AW$5:$AW$3004,$AS499)="","",INDEX('潜水記録'!$AW$5:$AW$3004,$AS499)))</f>
        <v/>
      </c>
      <c r="AS499" s="20">
        <f>IF($A499="","",MATCH($A499,'潜水記録'!$AI$5:$AI$3004,0))</f>
        <v/>
      </c>
    </row>
    <row r="500">
      <c r="A500" s="14">
        <f>IF(490&lt;=$C$8,490,"")</f>
        <v/>
      </c>
      <c r="B500" s="16">
        <f>IF($A500="","",IF(INDEX('潜水記録'!$A$5:$A$3004,$AS500)="","",INDEX('潜水記録'!$A$5:$A$3004,$AS500)))</f>
        <v/>
      </c>
      <c r="C500" s="14">
        <f>IF($A500="","",IF(INDEX('潜水記録'!$B$5:$B$3004,$AS500)="","",INDEX('潜水記録'!$B$5:$B$3004,$AS500)))</f>
        <v/>
      </c>
      <c r="D500" s="14">
        <f>IF($A500="","",IF(INDEX('潜水記録'!$C$5:$C$3004,$AS500)="","",INDEX('潜水記録'!$C$5:$C$3004,$AS500)))</f>
        <v/>
      </c>
      <c r="E500" s="14">
        <f>IF($A500="","",IF(INDEX('潜水記録'!$D$5:$D$3004,$AS500)="","",INDEX('潜水記録'!$D$5:$D$3004,$AS500)))</f>
        <v/>
      </c>
      <c r="F500" s="14">
        <f>IF($A500="","",IF(INDEX('潜水記録'!$E$5:$E$3004,$AS500)="","",INDEX('潜水記録'!$E$5:$E$3004,$AS500)))</f>
        <v/>
      </c>
      <c r="G500" s="14">
        <f>IF($A500="","",IF(INDEX('潜水記録'!$F$5:$F$3004,$AS500)="","",INDEX('潜水記録'!$F$5:$F$3004,$AS500)))</f>
        <v/>
      </c>
      <c r="H500" s="14">
        <f>IF($A500="","",IF(INDEX('潜水記録'!$G$5:$G$3004,$AS500)="","",INDEX('潜水記録'!$G$5:$G$3004,$AS500)))</f>
        <v/>
      </c>
      <c r="I500" s="14">
        <f>IF($A500="","",IF(INDEX('潜水記録'!$H$5:$H$3004,$AS500)="","",INDEX('潜水記録'!$H$5:$H$3004,$AS500)))</f>
        <v/>
      </c>
      <c r="J500" s="14">
        <f>IF($A500="","",IF(INDEX('潜水記録'!$I$5:$I$3004,$AS500)="","",INDEX('潜水記録'!$I$5:$I$3004,$AS500)))</f>
        <v/>
      </c>
      <c r="K500" s="14">
        <f>IF($A500="","",IF(INDEX('潜水記録'!$J$5:$J$3004,$AS500)="","",INDEX('潜水記録'!$J$5:$J$3004,$AS500)))</f>
        <v/>
      </c>
      <c r="L500" s="14">
        <f>IF($A500="","",IF(INDEX('潜水記録'!$K$5:$K$3004,$AS500)="","",INDEX('潜水記録'!$K$5:$K$3004,$AS500)))</f>
        <v/>
      </c>
      <c r="M500" s="14">
        <f>IF($A500="","",IF(INDEX('潜水記録'!$L$5:$L$3004,$AS500)="","",INDEX('潜水記録'!$L$5:$L$3004,$AS500)))</f>
        <v/>
      </c>
      <c r="N500" s="14">
        <f>IF($A500="","",IF(INDEX('潜水記録'!$M$5:$M$3004,$AS500)="","",INDEX('潜水記録'!$M$5:$M$3004,$AS500)))</f>
        <v/>
      </c>
      <c r="O500" s="14">
        <f>IF($A500="","",IF(INDEX('潜水記録'!$N$5:$N$3004,$AS500)="","",INDEX('潜水記録'!$N$5:$N$3004,$AS500)))</f>
        <v/>
      </c>
      <c r="P500" s="14">
        <f>IF($A500="","",IF(INDEX('潜水記録'!$O$5:$O$3004,$AS500)="","",INDEX('潜水記録'!$O$5:$O$3004,$AS500)))</f>
        <v/>
      </c>
      <c r="Q500" s="14">
        <f>IF($A500="","",IF(INDEX('潜水記録'!$P$5:$P$3004,$AS500)="","",INDEX('潜水記録'!$P$5:$P$3004,$AS500)))</f>
        <v/>
      </c>
      <c r="R500" s="14">
        <f>IF($A500="","",IF(INDEX('潜水記録'!$Q$5:$Q$3004,$AS500)="","",INDEX('潜水記録'!$Q$5:$Q$3004,$AS500)))</f>
        <v/>
      </c>
      <c r="S500" s="14">
        <f>IF($A500="","",IF(INDEX('潜水記録'!$R$5:$R$3004,$AS500)="","",INDEX('潜水記録'!$R$5:$R$3004,$AS500)))</f>
        <v/>
      </c>
      <c r="T500" s="14">
        <f>IF($A500="","",IF(INDEX('潜水記録'!$S$5:$S$3004,$AS500)="","",INDEX('潜水記録'!$S$5:$S$3004,$AS500)))</f>
        <v/>
      </c>
      <c r="U500" s="14">
        <f>IF($A500="","",IF(INDEX('潜水記録'!$T$5:$T$3004,$AS500)="","",INDEX('潜水記録'!$T$5:$T$3004,$AS500)))</f>
        <v/>
      </c>
      <c r="V500" s="46">
        <f>IF($A500="","",IF(INDEX('潜水記録'!$U$5:$U$3004,$AS500)="","",INDEX('潜水記録'!$U$5:$U$3004,$AS500)))</f>
        <v/>
      </c>
      <c r="W500" s="46">
        <f>IF($A500="","",IF(INDEX('潜水記録'!$V$5:$V$3004,$AS500)="","",INDEX('潜水記録'!$V$5:$V$3004,$AS500)))</f>
        <v/>
      </c>
      <c r="X500" s="14">
        <f>IF($A500="","",IF(INDEX('潜水記録'!$W$5:$W$3004,$AS500)="","",INDEX('潜水記録'!$W$5:$W$3004,$AS500)))</f>
        <v/>
      </c>
      <c r="Y500" s="14">
        <f>IF($A500="","",IF(INDEX('潜水記録'!$X$5:$X$3004,$AS500)="","",INDEX('潜水記録'!$X$5:$X$3004,$AS500)))</f>
        <v/>
      </c>
      <c r="Z500" s="14">
        <f>IF($A500="","",IF(INDEX('潜水記録'!$Y$5:$Y$3004,$AS500)="","",INDEX('潜水記録'!$Y$5:$Y$3004,$AS500)))</f>
        <v/>
      </c>
      <c r="AA500" s="14">
        <f>IF($A500="","",IF(INDEX('潜水記録'!$Z$5:$Z$3004,$AS500)="","",INDEX('潜水記録'!$Z$5:$Z$3004,$AS500)))</f>
        <v/>
      </c>
      <c r="AB500" s="14">
        <f>IF($A500="","",IF(INDEX('潜水記録'!$AA$5:$AA$3004,$AS500)="","",INDEX('潜水記録'!$AA$5:$AA$3004,$AS500)))</f>
        <v/>
      </c>
      <c r="AC500" s="14">
        <f>IF($A500="","",IF(INDEX('潜水記録'!$AB$5:$AB$3004,$AS500)="","",INDEX('潜水記録'!$AB$5:$AB$3004,$AS500)))</f>
        <v/>
      </c>
      <c r="AD500" s="14">
        <f>IF($A500="","",IF(INDEX('潜水記録'!$AC$5:$AC$3004,$AS500)="","",INDEX('潜水記録'!$AC$5:$AC$3004,$AS500)))</f>
        <v/>
      </c>
      <c r="AE500" s="14">
        <f>IF($A500="","",IF(INDEX('潜水記録'!$AD$5:$AD$3004,$AS500)="","",INDEX('潜水記録'!$AD$5:$AD$3004,$AS500)))</f>
        <v/>
      </c>
      <c r="AF500" s="14">
        <f>IF($A500="","",IF(INDEX('潜水記録'!$AE$5:$AE$3004,$AS500)="","",INDEX('潜水記録'!$AE$5:$AE$3004,$AS500)))</f>
        <v/>
      </c>
      <c r="AG500" s="14">
        <f>IF($A500="","",IF(INDEX('潜水記録'!$AL$5:$AL$3004,$AS500)="","",INDEX('潜水記録'!$AL$5:$AL$3004,$AS500)))</f>
        <v/>
      </c>
      <c r="AH500" s="14">
        <f>IF($A500="","",IF(INDEX('潜水記録'!$AM$5:$AM$3004,$AS500)="","",INDEX('潜水記録'!$AM$5:$AM$3004,$AS500)))</f>
        <v/>
      </c>
      <c r="AI500" s="46">
        <f>IF($A500="","",IF(INDEX('潜水記録'!$AN$5:$AN$3004,$AS500)="","",INDEX('潜水記録'!$AN$5:$AN$3004,$AS500)))</f>
        <v/>
      </c>
      <c r="AJ500" s="14">
        <f>IF($A500="","",IF(INDEX('潜水記録'!$AO$5:$AO$3004,$AS500)="","",INDEX('潜水記録'!$AO$5:$AO$3004,$AS500)))</f>
        <v/>
      </c>
      <c r="AK500" s="14">
        <f>IF($A500="","",IF(INDEX('潜水記録'!$AP$5:$AP$3004,$AS500)="","",INDEX('潜水記録'!$AP$5:$AP$3004,$AS500)))</f>
        <v/>
      </c>
      <c r="AL500" s="14">
        <f>IF($A500="","",IF(INDEX('潜水記録'!$AQ$5:$AQ$3004,$AS500)="","",INDEX('潜水記録'!$AQ$5:$AQ$3004,$AS500)))</f>
        <v/>
      </c>
      <c r="AM500" s="14">
        <f>IF($A500="","",IF(INDEX('潜水記録'!$AR$5:$AR$3004,$AS500)="","",INDEX('潜水記録'!$AR$5:$AR$3004,$AS500)))</f>
        <v/>
      </c>
      <c r="AN500" s="14">
        <f>IF($A500="","",IF(INDEX('潜水記録'!$AS$5:$AS$3004,$AS500)="","",INDEX('潜水記録'!$AS$5:$AS$3004,$AS500)))</f>
        <v/>
      </c>
      <c r="AO500" s="14">
        <f>IF($A500="","",IF(INDEX('潜水記録'!$AT$5:$AT$3004,$AS500)="","",INDEX('潜水記録'!$AT$5:$AT$3004,$AS500)))</f>
        <v/>
      </c>
      <c r="AP500" s="14">
        <f>IF($A500="","",IF(INDEX('潜水記録'!$AU$5:$AU$3004,$AS500)="","",INDEX('潜水記録'!$AU$5:$AU$3004,$AS500)))</f>
        <v/>
      </c>
      <c r="AQ500" s="14">
        <f>IF($A500="","",IF(INDEX('潜水記録'!$AV$5:$AV$3004,$AS500)="","",INDEX('潜水記録'!$AV$5:$AV$3004,$AS500)))</f>
        <v/>
      </c>
      <c r="AR500" s="14">
        <f>IF($A500="","",IF(INDEX('潜水記録'!$AW$5:$AW$3004,$AS500)="","",INDEX('潜水記録'!$AW$5:$AW$3004,$AS500)))</f>
        <v/>
      </c>
      <c r="AS500" s="20">
        <f>IF($A500="","",MATCH($A500,'潜水記録'!$AI$5:$AI$3004,0))</f>
        <v/>
      </c>
    </row>
    <row r="501">
      <c r="A501" s="14">
        <f>IF(491&lt;=$C$8,491,"")</f>
        <v/>
      </c>
      <c r="B501" s="16">
        <f>IF($A501="","",IF(INDEX('潜水記録'!$A$5:$A$3004,$AS501)="","",INDEX('潜水記録'!$A$5:$A$3004,$AS501)))</f>
        <v/>
      </c>
      <c r="C501" s="14">
        <f>IF($A501="","",IF(INDEX('潜水記録'!$B$5:$B$3004,$AS501)="","",INDEX('潜水記録'!$B$5:$B$3004,$AS501)))</f>
        <v/>
      </c>
      <c r="D501" s="14">
        <f>IF($A501="","",IF(INDEX('潜水記録'!$C$5:$C$3004,$AS501)="","",INDEX('潜水記録'!$C$5:$C$3004,$AS501)))</f>
        <v/>
      </c>
      <c r="E501" s="14">
        <f>IF($A501="","",IF(INDEX('潜水記録'!$D$5:$D$3004,$AS501)="","",INDEX('潜水記録'!$D$5:$D$3004,$AS501)))</f>
        <v/>
      </c>
      <c r="F501" s="14">
        <f>IF($A501="","",IF(INDEX('潜水記録'!$E$5:$E$3004,$AS501)="","",INDEX('潜水記録'!$E$5:$E$3004,$AS501)))</f>
        <v/>
      </c>
      <c r="G501" s="14">
        <f>IF($A501="","",IF(INDEX('潜水記録'!$F$5:$F$3004,$AS501)="","",INDEX('潜水記録'!$F$5:$F$3004,$AS501)))</f>
        <v/>
      </c>
      <c r="H501" s="14">
        <f>IF($A501="","",IF(INDEX('潜水記録'!$G$5:$G$3004,$AS501)="","",INDEX('潜水記録'!$G$5:$G$3004,$AS501)))</f>
        <v/>
      </c>
      <c r="I501" s="14">
        <f>IF($A501="","",IF(INDEX('潜水記録'!$H$5:$H$3004,$AS501)="","",INDEX('潜水記録'!$H$5:$H$3004,$AS501)))</f>
        <v/>
      </c>
      <c r="J501" s="14">
        <f>IF($A501="","",IF(INDEX('潜水記録'!$I$5:$I$3004,$AS501)="","",INDEX('潜水記録'!$I$5:$I$3004,$AS501)))</f>
        <v/>
      </c>
      <c r="K501" s="14">
        <f>IF($A501="","",IF(INDEX('潜水記録'!$J$5:$J$3004,$AS501)="","",INDEX('潜水記録'!$J$5:$J$3004,$AS501)))</f>
        <v/>
      </c>
      <c r="L501" s="14">
        <f>IF($A501="","",IF(INDEX('潜水記録'!$K$5:$K$3004,$AS501)="","",INDEX('潜水記録'!$K$5:$K$3004,$AS501)))</f>
        <v/>
      </c>
      <c r="M501" s="14">
        <f>IF($A501="","",IF(INDEX('潜水記録'!$L$5:$L$3004,$AS501)="","",INDEX('潜水記録'!$L$5:$L$3004,$AS501)))</f>
        <v/>
      </c>
      <c r="N501" s="14">
        <f>IF($A501="","",IF(INDEX('潜水記録'!$M$5:$M$3004,$AS501)="","",INDEX('潜水記録'!$M$5:$M$3004,$AS501)))</f>
        <v/>
      </c>
      <c r="O501" s="14">
        <f>IF($A501="","",IF(INDEX('潜水記録'!$N$5:$N$3004,$AS501)="","",INDEX('潜水記録'!$N$5:$N$3004,$AS501)))</f>
        <v/>
      </c>
      <c r="P501" s="14">
        <f>IF($A501="","",IF(INDEX('潜水記録'!$O$5:$O$3004,$AS501)="","",INDEX('潜水記録'!$O$5:$O$3004,$AS501)))</f>
        <v/>
      </c>
      <c r="Q501" s="14">
        <f>IF($A501="","",IF(INDEX('潜水記録'!$P$5:$P$3004,$AS501)="","",INDEX('潜水記録'!$P$5:$P$3004,$AS501)))</f>
        <v/>
      </c>
      <c r="R501" s="14">
        <f>IF($A501="","",IF(INDEX('潜水記録'!$Q$5:$Q$3004,$AS501)="","",INDEX('潜水記録'!$Q$5:$Q$3004,$AS501)))</f>
        <v/>
      </c>
      <c r="S501" s="14">
        <f>IF($A501="","",IF(INDEX('潜水記録'!$R$5:$R$3004,$AS501)="","",INDEX('潜水記録'!$R$5:$R$3004,$AS501)))</f>
        <v/>
      </c>
      <c r="T501" s="14">
        <f>IF($A501="","",IF(INDEX('潜水記録'!$S$5:$S$3004,$AS501)="","",INDEX('潜水記録'!$S$5:$S$3004,$AS501)))</f>
        <v/>
      </c>
      <c r="U501" s="14">
        <f>IF($A501="","",IF(INDEX('潜水記録'!$T$5:$T$3004,$AS501)="","",INDEX('潜水記録'!$T$5:$T$3004,$AS501)))</f>
        <v/>
      </c>
      <c r="V501" s="46">
        <f>IF($A501="","",IF(INDEX('潜水記録'!$U$5:$U$3004,$AS501)="","",INDEX('潜水記録'!$U$5:$U$3004,$AS501)))</f>
        <v/>
      </c>
      <c r="W501" s="46">
        <f>IF($A501="","",IF(INDEX('潜水記録'!$V$5:$V$3004,$AS501)="","",INDEX('潜水記録'!$V$5:$V$3004,$AS501)))</f>
        <v/>
      </c>
      <c r="X501" s="14">
        <f>IF($A501="","",IF(INDEX('潜水記録'!$W$5:$W$3004,$AS501)="","",INDEX('潜水記録'!$W$5:$W$3004,$AS501)))</f>
        <v/>
      </c>
      <c r="Y501" s="14">
        <f>IF($A501="","",IF(INDEX('潜水記録'!$X$5:$X$3004,$AS501)="","",INDEX('潜水記録'!$X$5:$X$3004,$AS501)))</f>
        <v/>
      </c>
      <c r="Z501" s="14">
        <f>IF($A501="","",IF(INDEX('潜水記録'!$Y$5:$Y$3004,$AS501)="","",INDEX('潜水記録'!$Y$5:$Y$3004,$AS501)))</f>
        <v/>
      </c>
      <c r="AA501" s="14">
        <f>IF($A501="","",IF(INDEX('潜水記録'!$Z$5:$Z$3004,$AS501)="","",INDEX('潜水記録'!$Z$5:$Z$3004,$AS501)))</f>
        <v/>
      </c>
      <c r="AB501" s="14">
        <f>IF($A501="","",IF(INDEX('潜水記録'!$AA$5:$AA$3004,$AS501)="","",INDEX('潜水記録'!$AA$5:$AA$3004,$AS501)))</f>
        <v/>
      </c>
      <c r="AC501" s="14">
        <f>IF($A501="","",IF(INDEX('潜水記録'!$AB$5:$AB$3004,$AS501)="","",INDEX('潜水記録'!$AB$5:$AB$3004,$AS501)))</f>
        <v/>
      </c>
      <c r="AD501" s="14">
        <f>IF($A501="","",IF(INDEX('潜水記録'!$AC$5:$AC$3004,$AS501)="","",INDEX('潜水記録'!$AC$5:$AC$3004,$AS501)))</f>
        <v/>
      </c>
      <c r="AE501" s="14">
        <f>IF($A501="","",IF(INDEX('潜水記録'!$AD$5:$AD$3004,$AS501)="","",INDEX('潜水記録'!$AD$5:$AD$3004,$AS501)))</f>
        <v/>
      </c>
      <c r="AF501" s="14">
        <f>IF($A501="","",IF(INDEX('潜水記録'!$AE$5:$AE$3004,$AS501)="","",INDEX('潜水記録'!$AE$5:$AE$3004,$AS501)))</f>
        <v/>
      </c>
      <c r="AG501" s="14">
        <f>IF($A501="","",IF(INDEX('潜水記録'!$AL$5:$AL$3004,$AS501)="","",INDEX('潜水記録'!$AL$5:$AL$3004,$AS501)))</f>
        <v/>
      </c>
      <c r="AH501" s="14">
        <f>IF($A501="","",IF(INDEX('潜水記録'!$AM$5:$AM$3004,$AS501)="","",INDEX('潜水記録'!$AM$5:$AM$3004,$AS501)))</f>
        <v/>
      </c>
      <c r="AI501" s="46">
        <f>IF($A501="","",IF(INDEX('潜水記録'!$AN$5:$AN$3004,$AS501)="","",INDEX('潜水記録'!$AN$5:$AN$3004,$AS501)))</f>
        <v/>
      </c>
      <c r="AJ501" s="14">
        <f>IF($A501="","",IF(INDEX('潜水記録'!$AO$5:$AO$3004,$AS501)="","",INDEX('潜水記録'!$AO$5:$AO$3004,$AS501)))</f>
        <v/>
      </c>
      <c r="AK501" s="14">
        <f>IF($A501="","",IF(INDEX('潜水記録'!$AP$5:$AP$3004,$AS501)="","",INDEX('潜水記録'!$AP$5:$AP$3004,$AS501)))</f>
        <v/>
      </c>
      <c r="AL501" s="14">
        <f>IF($A501="","",IF(INDEX('潜水記録'!$AQ$5:$AQ$3004,$AS501)="","",INDEX('潜水記録'!$AQ$5:$AQ$3004,$AS501)))</f>
        <v/>
      </c>
      <c r="AM501" s="14">
        <f>IF($A501="","",IF(INDEX('潜水記録'!$AR$5:$AR$3004,$AS501)="","",INDEX('潜水記録'!$AR$5:$AR$3004,$AS501)))</f>
        <v/>
      </c>
      <c r="AN501" s="14">
        <f>IF($A501="","",IF(INDEX('潜水記録'!$AS$5:$AS$3004,$AS501)="","",INDEX('潜水記録'!$AS$5:$AS$3004,$AS501)))</f>
        <v/>
      </c>
      <c r="AO501" s="14">
        <f>IF($A501="","",IF(INDEX('潜水記録'!$AT$5:$AT$3004,$AS501)="","",INDEX('潜水記録'!$AT$5:$AT$3004,$AS501)))</f>
        <v/>
      </c>
      <c r="AP501" s="14">
        <f>IF($A501="","",IF(INDEX('潜水記録'!$AU$5:$AU$3004,$AS501)="","",INDEX('潜水記録'!$AU$5:$AU$3004,$AS501)))</f>
        <v/>
      </c>
      <c r="AQ501" s="14">
        <f>IF($A501="","",IF(INDEX('潜水記録'!$AV$5:$AV$3004,$AS501)="","",INDEX('潜水記録'!$AV$5:$AV$3004,$AS501)))</f>
        <v/>
      </c>
      <c r="AR501" s="14">
        <f>IF($A501="","",IF(INDEX('潜水記録'!$AW$5:$AW$3004,$AS501)="","",INDEX('潜水記録'!$AW$5:$AW$3004,$AS501)))</f>
        <v/>
      </c>
      <c r="AS501" s="20">
        <f>IF($A501="","",MATCH($A501,'潜水記録'!$AI$5:$AI$3004,0))</f>
        <v/>
      </c>
    </row>
    <row r="502">
      <c r="A502" s="14">
        <f>IF(492&lt;=$C$8,492,"")</f>
        <v/>
      </c>
      <c r="B502" s="16">
        <f>IF($A502="","",IF(INDEX('潜水記録'!$A$5:$A$3004,$AS502)="","",INDEX('潜水記録'!$A$5:$A$3004,$AS502)))</f>
        <v/>
      </c>
      <c r="C502" s="14">
        <f>IF($A502="","",IF(INDEX('潜水記録'!$B$5:$B$3004,$AS502)="","",INDEX('潜水記録'!$B$5:$B$3004,$AS502)))</f>
        <v/>
      </c>
      <c r="D502" s="14">
        <f>IF($A502="","",IF(INDEX('潜水記録'!$C$5:$C$3004,$AS502)="","",INDEX('潜水記録'!$C$5:$C$3004,$AS502)))</f>
        <v/>
      </c>
      <c r="E502" s="14">
        <f>IF($A502="","",IF(INDEX('潜水記録'!$D$5:$D$3004,$AS502)="","",INDEX('潜水記録'!$D$5:$D$3004,$AS502)))</f>
        <v/>
      </c>
      <c r="F502" s="14">
        <f>IF($A502="","",IF(INDEX('潜水記録'!$E$5:$E$3004,$AS502)="","",INDEX('潜水記録'!$E$5:$E$3004,$AS502)))</f>
        <v/>
      </c>
      <c r="G502" s="14">
        <f>IF($A502="","",IF(INDEX('潜水記録'!$F$5:$F$3004,$AS502)="","",INDEX('潜水記録'!$F$5:$F$3004,$AS502)))</f>
        <v/>
      </c>
      <c r="H502" s="14">
        <f>IF($A502="","",IF(INDEX('潜水記録'!$G$5:$G$3004,$AS502)="","",INDEX('潜水記録'!$G$5:$G$3004,$AS502)))</f>
        <v/>
      </c>
      <c r="I502" s="14">
        <f>IF($A502="","",IF(INDEX('潜水記録'!$H$5:$H$3004,$AS502)="","",INDEX('潜水記録'!$H$5:$H$3004,$AS502)))</f>
        <v/>
      </c>
      <c r="J502" s="14">
        <f>IF($A502="","",IF(INDEX('潜水記録'!$I$5:$I$3004,$AS502)="","",INDEX('潜水記録'!$I$5:$I$3004,$AS502)))</f>
        <v/>
      </c>
      <c r="K502" s="14">
        <f>IF($A502="","",IF(INDEX('潜水記録'!$J$5:$J$3004,$AS502)="","",INDEX('潜水記録'!$J$5:$J$3004,$AS502)))</f>
        <v/>
      </c>
      <c r="L502" s="14">
        <f>IF($A502="","",IF(INDEX('潜水記録'!$K$5:$K$3004,$AS502)="","",INDEX('潜水記録'!$K$5:$K$3004,$AS502)))</f>
        <v/>
      </c>
      <c r="M502" s="14">
        <f>IF($A502="","",IF(INDEX('潜水記録'!$L$5:$L$3004,$AS502)="","",INDEX('潜水記録'!$L$5:$L$3004,$AS502)))</f>
        <v/>
      </c>
      <c r="N502" s="14">
        <f>IF($A502="","",IF(INDEX('潜水記録'!$M$5:$M$3004,$AS502)="","",INDEX('潜水記録'!$M$5:$M$3004,$AS502)))</f>
        <v/>
      </c>
      <c r="O502" s="14">
        <f>IF($A502="","",IF(INDEX('潜水記録'!$N$5:$N$3004,$AS502)="","",INDEX('潜水記録'!$N$5:$N$3004,$AS502)))</f>
        <v/>
      </c>
      <c r="P502" s="14">
        <f>IF($A502="","",IF(INDEX('潜水記録'!$O$5:$O$3004,$AS502)="","",INDEX('潜水記録'!$O$5:$O$3004,$AS502)))</f>
        <v/>
      </c>
      <c r="Q502" s="14">
        <f>IF($A502="","",IF(INDEX('潜水記録'!$P$5:$P$3004,$AS502)="","",INDEX('潜水記録'!$P$5:$P$3004,$AS502)))</f>
        <v/>
      </c>
      <c r="R502" s="14">
        <f>IF($A502="","",IF(INDEX('潜水記録'!$Q$5:$Q$3004,$AS502)="","",INDEX('潜水記録'!$Q$5:$Q$3004,$AS502)))</f>
        <v/>
      </c>
      <c r="S502" s="14">
        <f>IF($A502="","",IF(INDEX('潜水記録'!$R$5:$R$3004,$AS502)="","",INDEX('潜水記録'!$R$5:$R$3004,$AS502)))</f>
        <v/>
      </c>
      <c r="T502" s="14">
        <f>IF($A502="","",IF(INDEX('潜水記録'!$S$5:$S$3004,$AS502)="","",INDEX('潜水記録'!$S$5:$S$3004,$AS502)))</f>
        <v/>
      </c>
      <c r="U502" s="14">
        <f>IF($A502="","",IF(INDEX('潜水記録'!$T$5:$T$3004,$AS502)="","",INDEX('潜水記録'!$T$5:$T$3004,$AS502)))</f>
        <v/>
      </c>
      <c r="V502" s="46">
        <f>IF($A502="","",IF(INDEX('潜水記録'!$U$5:$U$3004,$AS502)="","",INDEX('潜水記録'!$U$5:$U$3004,$AS502)))</f>
        <v/>
      </c>
      <c r="W502" s="46">
        <f>IF($A502="","",IF(INDEX('潜水記録'!$V$5:$V$3004,$AS502)="","",INDEX('潜水記録'!$V$5:$V$3004,$AS502)))</f>
        <v/>
      </c>
      <c r="X502" s="14">
        <f>IF($A502="","",IF(INDEX('潜水記録'!$W$5:$W$3004,$AS502)="","",INDEX('潜水記録'!$W$5:$W$3004,$AS502)))</f>
        <v/>
      </c>
      <c r="Y502" s="14">
        <f>IF($A502="","",IF(INDEX('潜水記録'!$X$5:$X$3004,$AS502)="","",INDEX('潜水記録'!$X$5:$X$3004,$AS502)))</f>
        <v/>
      </c>
      <c r="Z502" s="14">
        <f>IF($A502="","",IF(INDEX('潜水記録'!$Y$5:$Y$3004,$AS502)="","",INDEX('潜水記録'!$Y$5:$Y$3004,$AS502)))</f>
        <v/>
      </c>
      <c r="AA502" s="14">
        <f>IF($A502="","",IF(INDEX('潜水記録'!$Z$5:$Z$3004,$AS502)="","",INDEX('潜水記録'!$Z$5:$Z$3004,$AS502)))</f>
        <v/>
      </c>
      <c r="AB502" s="14">
        <f>IF($A502="","",IF(INDEX('潜水記録'!$AA$5:$AA$3004,$AS502)="","",INDEX('潜水記録'!$AA$5:$AA$3004,$AS502)))</f>
        <v/>
      </c>
      <c r="AC502" s="14">
        <f>IF($A502="","",IF(INDEX('潜水記録'!$AB$5:$AB$3004,$AS502)="","",INDEX('潜水記録'!$AB$5:$AB$3004,$AS502)))</f>
        <v/>
      </c>
      <c r="AD502" s="14">
        <f>IF($A502="","",IF(INDEX('潜水記録'!$AC$5:$AC$3004,$AS502)="","",INDEX('潜水記録'!$AC$5:$AC$3004,$AS502)))</f>
        <v/>
      </c>
      <c r="AE502" s="14">
        <f>IF($A502="","",IF(INDEX('潜水記録'!$AD$5:$AD$3004,$AS502)="","",INDEX('潜水記録'!$AD$5:$AD$3004,$AS502)))</f>
        <v/>
      </c>
      <c r="AF502" s="14">
        <f>IF($A502="","",IF(INDEX('潜水記録'!$AE$5:$AE$3004,$AS502)="","",INDEX('潜水記録'!$AE$5:$AE$3004,$AS502)))</f>
        <v/>
      </c>
      <c r="AG502" s="14">
        <f>IF($A502="","",IF(INDEX('潜水記録'!$AL$5:$AL$3004,$AS502)="","",INDEX('潜水記録'!$AL$5:$AL$3004,$AS502)))</f>
        <v/>
      </c>
      <c r="AH502" s="14">
        <f>IF($A502="","",IF(INDEX('潜水記録'!$AM$5:$AM$3004,$AS502)="","",INDEX('潜水記録'!$AM$5:$AM$3004,$AS502)))</f>
        <v/>
      </c>
      <c r="AI502" s="46">
        <f>IF($A502="","",IF(INDEX('潜水記録'!$AN$5:$AN$3004,$AS502)="","",INDEX('潜水記録'!$AN$5:$AN$3004,$AS502)))</f>
        <v/>
      </c>
      <c r="AJ502" s="14">
        <f>IF($A502="","",IF(INDEX('潜水記録'!$AO$5:$AO$3004,$AS502)="","",INDEX('潜水記録'!$AO$5:$AO$3004,$AS502)))</f>
        <v/>
      </c>
      <c r="AK502" s="14">
        <f>IF($A502="","",IF(INDEX('潜水記録'!$AP$5:$AP$3004,$AS502)="","",INDEX('潜水記録'!$AP$5:$AP$3004,$AS502)))</f>
        <v/>
      </c>
      <c r="AL502" s="14">
        <f>IF($A502="","",IF(INDEX('潜水記録'!$AQ$5:$AQ$3004,$AS502)="","",INDEX('潜水記録'!$AQ$5:$AQ$3004,$AS502)))</f>
        <v/>
      </c>
      <c r="AM502" s="14">
        <f>IF($A502="","",IF(INDEX('潜水記録'!$AR$5:$AR$3004,$AS502)="","",INDEX('潜水記録'!$AR$5:$AR$3004,$AS502)))</f>
        <v/>
      </c>
      <c r="AN502" s="14">
        <f>IF($A502="","",IF(INDEX('潜水記録'!$AS$5:$AS$3004,$AS502)="","",INDEX('潜水記録'!$AS$5:$AS$3004,$AS502)))</f>
        <v/>
      </c>
      <c r="AO502" s="14">
        <f>IF($A502="","",IF(INDEX('潜水記録'!$AT$5:$AT$3004,$AS502)="","",INDEX('潜水記録'!$AT$5:$AT$3004,$AS502)))</f>
        <v/>
      </c>
      <c r="AP502" s="14">
        <f>IF($A502="","",IF(INDEX('潜水記録'!$AU$5:$AU$3004,$AS502)="","",INDEX('潜水記録'!$AU$5:$AU$3004,$AS502)))</f>
        <v/>
      </c>
      <c r="AQ502" s="14">
        <f>IF($A502="","",IF(INDEX('潜水記録'!$AV$5:$AV$3004,$AS502)="","",INDEX('潜水記録'!$AV$5:$AV$3004,$AS502)))</f>
        <v/>
      </c>
      <c r="AR502" s="14">
        <f>IF($A502="","",IF(INDEX('潜水記録'!$AW$5:$AW$3004,$AS502)="","",INDEX('潜水記録'!$AW$5:$AW$3004,$AS502)))</f>
        <v/>
      </c>
      <c r="AS502" s="20">
        <f>IF($A502="","",MATCH($A502,'潜水記録'!$AI$5:$AI$3004,0))</f>
        <v/>
      </c>
    </row>
    <row r="503">
      <c r="A503" s="14">
        <f>IF(493&lt;=$C$8,493,"")</f>
        <v/>
      </c>
      <c r="B503" s="16">
        <f>IF($A503="","",IF(INDEX('潜水記録'!$A$5:$A$3004,$AS503)="","",INDEX('潜水記録'!$A$5:$A$3004,$AS503)))</f>
        <v/>
      </c>
      <c r="C503" s="14">
        <f>IF($A503="","",IF(INDEX('潜水記録'!$B$5:$B$3004,$AS503)="","",INDEX('潜水記録'!$B$5:$B$3004,$AS503)))</f>
        <v/>
      </c>
      <c r="D503" s="14">
        <f>IF($A503="","",IF(INDEX('潜水記録'!$C$5:$C$3004,$AS503)="","",INDEX('潜水記録'!$C$5:$C$3004,$AS503)))</f>
        <v/>
      </c>
      <c r="E503" s="14">
        <f>IF($A503="","",IF(INDEX('潜水記録'!$D$5:$D$3004,$AS503)="","",INDEX('潜水記録'!$D$5:$D$3004,$AS503)))</f>
        <v/>
      </c>
      <c r="F503" s="14">
        <f>IF($A503="","",IF(INDEX('潜水記録'!$E$5:$E$3004,$AS503)="","",INDEX('潜水記録'!$E$5:$E$3004,$AS503)))</f>
        <v/>
      </c>
      <c r="G503" s="14">
        <f>IF($A503="","",IF(INDEX('潜水記録'!$F$5:$F$3004,$AS503)="","",INDEX('潜水記録'!$F$5:$F$3004,$AS503)))</f>
        <v/>
      </c>
      <c r="H503" s="14">
        <f>IF($A503="","",IF(INDEX('潜水記録'!$G$5:$G$3004,$AS503)="","",INDEX('潜水記録'!$G$5:$G$3004,$AS503)))</f>
        <v/>
      </c>
      <c r="I503" s="14">
        <f>IF($A503="","",IF(INDEX('潜水記録'!$H$5:$H$3004,$AS503)="","",INDEX('潜水記録'!$H$5:$H$3004,$AS503)))</f>
        <v/>
      </c>
      <c r="J503" s="14">
        <f>IF($A503="","",IF(INDEX('潜水記録'!$I$5:$I$3004,$AS503)="","",INDEX('潜水記録'!$I$5:$I$3004,$AS503)))</f>
        <v/>
      </c>
      <c r="K503" s="14">
        <f>IF($A503="","",IF(INDEX('潜水記録'!$J$5:$J$3004,$AS503)="","",INDEX('潜水記録'!$J$5:$J$3004,$AS503)))</f>
        <v/>
      </c>
      <c r="L503" s="14">
        <f>IF($A503="","",IF(INDEX('潜水記録'!$K$5:$K$3004,$AS503)="","",INDEX('潜水記録'!$K$5:$K$3004,$AS503)))</f>
        <v/>
      </c>
      <c r="M503" s="14">
        <f>IF($A503="","",IF(INDEX('潜水記録'!$L$5:$L$3004,$AS503)="","",INDEX('潜水記録'!$L$5:$L$3004,$AS503)))</f>
        <v/>
      </c>
      <c r="N503" s="14">
        <f>IF($A503="","",IF(INDEX('潜水記録'!$M$5:$M$3004,$AS503)="","",INDEX('潜水記録'!$M$5:$M$3004,$AS503)))</f>
        <v/>
      </c>
      <c r="O503" s="14">
        <f>IF($A503="","",IF(INDEX('潜水記録'!$N$5:$N$3004,$AS503)="","",INDEX('潜水記録'!$N$5:$N$3004,$AS503)))</f>
        <v/>
      </c>
      <c r="P503" s="14">
        <f>IF($A503="","",IF(INDEX('潜水記録'!$O$5:$O$3004,$AS503)="","",INDEX('潜水記録'!$O$5:$O$3004,$AS503)))</f>
        <v/>
      </c>
      <c r="Q503" s="14">
        <f>IF($A503="","",IF(INDEX('潜水記録'!$P$5:$P$3004,$AS503)="","",INDEX('潜水記録'!$P$5:$P$3004,$AS503)))</f>
        <v/>
      </c>
      <c r="R503" s="14">
        <f>IF($A503="","",IF(INDEX('潜水記録'!$Q$5:$Q$3004,$AS503)="","",INDEX('潜水記録'!$Q$5:$Q$3004,$AS503)))</f>
        <v/>
      </c>
      <c r="S503" s="14">
        <f>IF($A503="","",IF(INDEX('潜水記録'!$R$5:$R$3004,$AS503)="","",INDEX('潜水記録'!$R$5:$R$3004,$AS503)))</f>
        <v/>
      </c>
      <c r="T503" s="14">
        <f>IF($A503="","",IF(INDEX('潜水記録'!$S$5:$S$3004,$AS503)="","",INDEX('潜水記録'!$S$5:$S$3004,$AS503)))</f>
        <v/>
      </c>
      <c r="U503" s="14">
        <f>IF($A503="","",IF(INDEX('潜水記録'!$T$5:$T$3004,$AS503)="","",INDEX('潜水記録'!$T$5:$T$3004,$AS503)))</f>
        <v/>
      </c>
      <c r="V503" s="46">
        <f>IF($A503="","",IF(INDEX('潜水記録'!$U$5:$U$3004,$AS503)="","",INDEX('潜水記録'!$U$5:$U$3004,$AS503)))</f>
        <v/>
      </c>
      <c r="W503" s="46">
        <f>IF($A503="","",IF(INDEX('潜水記録'!$V$5:$V$3004,$AS503)="","",INDEX('潜水記録'!$V$5:$V$3004,$AS503)))</f>
        <v/>
      </c>
      <c r="X503" s="14">
        <f>IF($A503="","",IF(INDEX('潜水記録'!$W$5:$W$3004,$AS503)="","",INDEX('潜水記録'!$W$5:$W$3004,$AS503)))</f>
        <v/>
      </c>
      <c r="Y503" s="14">
        <f>IF($A503="","",IF(INDEX('潜水記録'!$X$5:$X$3004,$AS503)="","",INDEX('潜水記録'!$X$5:$X$3004,$AS503)))</f>
        <v/>
      </c>
      <c r="Z503" s="14">
        <f>IF($A503="","",IF(INDEX('潜水記録'!$Y$5:$Y$3004,$AS503)="","",INDEX('潜水記録'!$Y$5:$Y$3004,$AS503)))</f>
        <v/>
      </c>
      <c r="AA503" s="14">
        <f>IF($A503="","",IF(INDEX('潜水記録'!$Z$5:$Z$3004,$AS503)="","",INDEX('潜水記録'!$Z$5:$Z$3004,$AS503)))</f>
        <v/>
      </c>
      <c r="AB503" s="14">
        <f>IF($A503="","",IF(INDEX('潜水記録'!$AA$5:$AA$3004,$AS503)="","",INDEX('潜水記録'!$AA$5:$AA$3004,$AS503)))</f>
        <v/>
      </c>
      <c r="AC503" s="14">
        <f>IF($A503="","",IF(INDEX('潜水記録'!$AB$5:$AB$3004,$AS503)="","",INDEX('潜水記録'!$AB$5:$AB$3004,$AS503)))</f>
        <v/>
      </c>
      <c r="AD503" s="14">
        <f>IF($A503="","",IF(INDEX('潜水記録'!$AC$5:$AC$3004,$AS503)="","",INDEX('潜水記録'!$AC$5:$AC$3004,$AS503)))</f>
        <v/>
      </c>
      <c r="AE503" s="14">
        <f>IF($A503="","",IF(INDEX('潜水記録'!$AD$5:$AD$3004,$AS503)="","",INDEX('潜水記録'!$AD$5:$AD$3004,$AS503)))</f>
        <v/>
      </c>
      <c r="AF503" s="14">
        <f>IF($A503="","",IF(INDEX('潜水記録'!$AE$5:$AE$3004,$AS503)="","",INDEX('潜水記録'!$AE$5:$AE$3004,$AS503)))</f>
        <v/>
      </c>
      <c r="AG503" s="14">
        <f>IF($A503="","",IF(INDEX('潜水記録'!$AL$5:$AL$3004,$AS503)="","",INDEX('潜水記録'!$AL$5:$AL$3004,$AS503)))</f>
        <v/>
      </c>
      <c r="AH503" s="14">
        <f>IF($A503="","",IF(INDEX('潜水記録'!$AM$5:$AM$3004,$AS503)="","",INDEX('潜水記録'!$AM$5:$AM$3004,$AS503)))</f>
        <v/>
      </c>
      <c r="AI503" s="46">
        <f>IF($A503="","",IF(INDEX('潜水記録'!$AN$5:$AN$3004,$AS503)="","",INDEX('潜水記録'!$AN$5:$AN$3004,$AS503)))</f>
        <v/>
      </c>
      <c r="AJ503" s="14">
        <f>IF($A503="","",IF(INDEX('潜水記録'!$AO$5:$AO$3004,$AS503)="","",INDEX('潜水記録'!$AO$5:$AO$3004,$AS503)))</f>
        <v/>
      </c>
      <c r="AK503" s="14">
        <f>IF($A503="","",IF(INDEX('潜水記録'!$AP$5:$AP$3004,$AS503)="","",INDEX('潜水記録'!$AP$5:$AP$3004,$AS503)))</f>
        <v/>
      </c>
      <c r="AL503" s="14">
        <f>IF($A503="","",IF(INDEX('潜水記録'!$AQ$5:$AQ$3004,$AS503)="","",INDEX('潜水記録'!$AQ$5:$AQ$3004,$AS503)))</f>
        <v/>
      </c>
      <c r="AM503" s="14">
        <f>IF($A503="","",IF(INDEX('潜水記録'!$AR$5:$AR$3004,$AS503)="","",INDEX('潜水記録'!$AR$5:$AR$3004,$AS503)))</f>
        <v/>
      </c>
      <c r="AN503" s="14">
        <f>IF($A503="","",IF(INDEX('潜水記録'!$AS$5:$AS$3004,$AS503)="","",INDEX('潜水記録'!$AS$5:$AS$3004,$AS503)))</f>
        <v/>
      </c>
      <c r="AO503" s="14">
        <f>IF($A503="","",IF(INDEX('潜水記録'!$AT$5:$AT$3004,$AS503)="","",INDEX('潜水記録'!$AT$5:$AT$3004,$AS503)))</f>
        <v/>
      </c>
      <c r="AP503" s="14">
        <f>IF($A503="","",IF(INDEX('潜水記録'!$AU$5:$AU$3004,$AS503)="","",INDEX('潜水記録'!$AU$5:$AU$3004,$AS503)))</f>
        <v/>
      </c>
      <c r="AQ503" s="14">
        <f>IF($A503="","",IF(INDEX('潜水記録'!$AV$5:$AV$3004,$AS503)="","",INDEX('潜水記録'!$AV$5:$AV$3004,$AS503)))</f>
        <v/>
      </c>
      <c r="AR503" s="14">
        <f>IF($A503="","",IF(INDEX('潜水記録'!$AW$5:$AW$3004,$AS503)="","",INDEX('潜水記録'!$AW$5:$AW$3004,$AS503)))</f>
        <v/>
      </c>
      <c r="AS503" s="20">
        <f>IF($A503="","",MATCH($A503,'潜水記録'!$AI$5:$AI$3004,0))</f>
        <v/>
      </c>
    </row>
    <row r="504">
      <c r="A504" s="14">
        <f>IF(494&lt;=$C$8,494,"")</f>
        <v/>
      </c>
      <c r="B504" s="16">
        <f>IF($A504="","",IF(INDEX('潜水記録'!$A$5:$A$3004,$AS504)="","",INDEX('潜水記録'!$A$5:$A$3004,$AS504)))</f>
        <v/>
      </c>
      <c r="C504" s="14">
        <f>IF($A504="","",IF(INDEX('潜水記録'!$B$5:$B$3004,$AS504)="","",INDEX('潜水記録'!$B$5:$B$3004,$AS504)))</f>
        <v/>
      </c>
      <c r="D504" s="14">
        <f>IF($A504="","",IF(INDEX('潜水記録'!$C$5:$C$3004,$AS504)="","",INDEX('潜水記録'!$C$5:$C$3004,$AS504)))</f>
        <v/>
      </c>
      <c r="E504" s="14">
        <f>IF($A504="","",IF(INDEX('潜水記録'!$D$5:$D$3004,$AS504)="","",INDEX('潜水記録'!$D$5:$D$3004,$AS504)))</f>
        <v/>
      </c>
      <c r="F504" s="14">
        <f>IF($A504="","",IF(INDEX('潜水記録'!$E$5:$E$3004,$AS504)="","",INDEX('潜水記録'!$E$5:$E$3004,$AS504)))</f>
        <v/>
      </c>
      <c r="G504" s="14">
        <f>IF($A504="","",IF(INDEX('潜水記録'!$F$5:$F$3004,$AS504)="","",INDEX('潜水記録'!$F$5:$F$3004,$AS504)))</f>
        <v/>
      </c>
      <c r="H504" s="14">
        <f>IF($A504="","",IF(INDEX('潜水記録'!$G$5:$G$3004,$AS504)="","",INDEX('潜水記録'!$G$5:$G$3004,$AS504)))</f>
        <v/>
      </c>
      <c r="I504" s="14">
        <f>IF($A504="","",IF(INDEX('潜水記録'!$H$5:$H$3004,$AS504)="","",INDEX('潜水記録'!$H$5:$H$3004,$AS504)))</f>
        <v/>
      </c>
      <c r="J504" s="14">
        <f>IF($A504="","",IF(INDEX('潜水記録'!$I$5:$I$3004,$AS504)="","",INDEX('潜水記録'!$I$5:$I$3004,$AS504)))</f>
        <v/>
      </c>
      <c r="K504" s="14">
        <f>IF($A504="","",IF(INDEX('潜水記録'!$J$5:$J$3004,$AS504)="","",INDEX('潜水記録'!$J$5:$J$3004,$AS504)))</f>
        <v/>
      </c>
      <c r="L504" s="14">
        <f>IF($A504="","",IF(INDEX('潜水記録'!$K$5:$K$3004,$AS504)="","",INDEX('潜水記録'!$K$5:$K$3004,$AS504)))</f>
        <v/>
      </c>
      <c r="M504" s="14">
        <f>IF($A504="","",IF(INDEX('潜水記録'!$L$5:$L$3004,$AS504)="","",INDEX('潜水記録'!$L$5:$L$3004,$AS504)))</f>
        <v/>
      </c>
      <c r="N504" s="14">
        <f>IF($A504="","",IF(INDEX('潜水記録'!$M$5:$M$3004,$AS504)="","",INDEX('潜水記録'!$M$5:$M$3004,$AS504)))</f>
        <v/>
      </c>
      <c r="O504" s="14">
        <f>IF($A504="","",IF(INDEX('潜水記録'!$N$5:$N$3004,$AS504)="","",INDEX('潜水記録'!$N$5:$N$3004,$AS504)))</f>
        <v/>
      </c>
      <c r="P504" s="14">
        <f>IF($A504="","",IF(INDEX('潜水記録'!$O$5:$O$3004,$AS504)="","",INDEX('潜水記録'!$O$5:$O$3004,$AS504)))</f>
        <v/>
      </c>
      <c r="Q504" s="14">
        <f>IF($A504="","",IF(INDEX('潜水記録'!$P$5:$P$3004,$AS504)="","",INDEX('潜水記録'!$P$5:$P$3004,$AS504)))</f>
        <v/>
      </c>
      <c r="R504" s="14">
        <f>IF($A504="","",IF(INDEX('潜水記録'!$Q$5:$Q$3004,$AS504)="","",INDEX('潜水記録'!$Q$5:$Q$3004,$AS504)))</f>
        <v/>
      </c>
      <c r="S504" s="14">
        <f>IF($A504="","",IF(INDEX('潜水記録'!$R$5:$R$3004,$AS504)="","",INDEX('潜水記録'!$R$5:$R$3004,$AS504)))</f>
        <v/>
      </c>
      <c r="T504" s="14">
        <f>IF($A504="","",IF(INDEX('潜水記録'!$S$5:$S$3004,$AS504)="","",INDEX('潜水記録'!$S$5:$S$3004,$AS504)))</f>
        <v/>
      </c>
      <c r="U504" s="14">
        <f>IF($A504="","",IF(INDEX('潜水記録'!$T$5:$T$3004,$AS504)="","",INDEX('潜水記録'!$T$5:$T$3004,$AS504)))</f>
        <v/>
      </c>
      <c r="V504" s="46">
        <f>IF($A504="","",IF(INDEX('潜水記録'!$U$5:$U$3004,$AS504)="","",INDEX('潜水記録'!$U$5:$U$3004,$AS504)))</f>
        <v/>
      </c>
      <c r="W504" s="46">
        <f>IF($A504="","",IF(INDEX('潜水記録'!$V$5:$V$3004,$AS504)="","",INDEX('潜水記録'!$V$5:$V$3004,$AS504)))</f>
        <v/>
      </c>
      <c r="X504" s="14">
        <f>IF($A504="","",IF(INDEX('潜水記録'!$W$5:$W$3004,$AS504)="","",INDEX('潜水記録'!$W$5:$W$3004,$AS504)))</f>
        <v/>
      </c>
      <c r="Y504" s="14">
        <f>IF($A504="","",IF(INDEX('潜水記録'!$X$5:$X$3004,$AS504)="","",INDEX('潜水記録'!$X$5:$X$3004,$AS504)))</f>
        <v/>
      </c>
      <c r="Z504" s="14">
        <f>IF($A504="","",IF(INDEX('潜水記録'!$Y$5:$Y$3004,$AS504)="","",INDEX('潜水記録'!$Y$5:$Y$3004,$AS504)))</f>
        <v/>
      </c>
      <c r="AA504" s="14">
        <f>IF($A504="","",IF(INDEX('潜水記録'!$Z$5:$Z$3004,$AS504)="","",INDEX('潜水記録'!$Z$5:$Z$3004,$AS504)))</f>
        <v/>
      </c>
      <c r="AB504" s="14">
        <f>IF($A504="","",IF(INDEX('潜水記録'!$AA$5:$AA$3004,$AS504)="","",INDEX('潜水記録'!$AA$5:$AA$3004,$AS504)))</f>
        <v/>
      </c>
      <c r="AC504" s="14">
        <f>IF($A504="","",IF(INDEX('潜水記録'!$AB$5:$AB$3004,$AS504)="","",INDEX('潜水記録'!$AB$5:$AB$3004,$AS504)))</f>
        <v/>
      </c>
      <c r="AD504" s="14">
        <f>IF($A504="","",IF(INDEX('潜水記録'!$AC$5:$AC$3004,$AS504)="","",INDEX('潜水記録'!$AC$5:$AC$3004,$AS504)))</f>
        <v/>
      </c>
      <c r="AE504" s="14">
        <f>IF($A504="","",IF(INDEX('潜水記録'!$AD$5:$AD$3004,$AS504)="","",INDEX('潜水記録'!$AD$5:$AD$3004,$AS504)))</f>
        <v/>
      </c>
      <c r="AF504" s="14">
        <f>IF($A504="","",IF(INDEX('潜水記録'!$AE$5:$AE$3004,$AS504)="","",INDEX('潜水記録'!$AE$5:$AE$3004,$AS504)))</f>
        <v/>
      </c>
      <c r="AG504" s="14">
        <f>IF($A504="","",IF(INDEX('潜水記録'!$AL$5:$AL$3004,$AS504)="","",INDEX('潜水記録'!$AL$5:$AL$3004,$AS504)))</f>
        <v/>
      </c>
      <c r="AH504" s="14">
        <f>IF($A504="","",IF(INDEX('潜水記録'!$AM$5:$AM$3004,$AS504)="","",INDEX('潜水記録'!$AM$5:$AM$3004,$AS504)))</f>
        <v/>
      </c>
      <c r="AI504" s="46">
        <f>IF($A504="","",IF(INDEX('潜水記録'!$AN$5:$AN$3004,$AS504)="","",INDEX('潜水記録'!$AN$5:$AN$3004,$AS504)))</f>
        <v/>
      </c>
      <c r="AJ504" s="14">
        <f>IF($A504="","",IF(INDEX('潜水記録'!$AO$5:$AO$3004,$AS504)="","",INDEX('潜水記録'!$AO$5:$AO$3004,$AS504)))</f>
        <v/>
      </c>
      <c r="AK504" s="14">
        <f>IF($A504="","",IF(INDEX('潜水記録'!$AP$5:$AP$3004,$AS504)="","",INDEX('潜水記録'!$AP$5:$AP$3004,$AS504)))</f>
        <v/>
      </c>
      <c r="AL504" s="14">
        <f>IF($A504="","",IF(INDEX('潜水記録'!$AQ$5:$AQ$3004,$AS504)="","",INDEX('潜水記録'!$AQ$5:$AQ$3004,$AS504)))</f>
        <v/>
      </c>
      <c r="AM504" s="14">
        <f>IF($A504="","",IF(INDEX('潜水記録'!$AR$5:$AR$3004,$AS504)="","",INDEX('潜水記録'!$AR$5:$AR$3004,$AS504)))</f>
        <v/>
      </c>
      <c r="AN504" s="14">
        <f>IF($A504="","",IF(INDEX('潜水記録'!$AS$5:$AS$3004,$AS504)="","",INDEX('潜水記録'!$AS$5:$AS$3004,$AS504)))</f>
        <v/>
      </c>
      <c r="AO504" s="14">
        <f>IF($A504="","",IF(INDEX('潜水記録'!$AT$5:$AT$3004,$AS504)="","",INDEX('潜水記録'!$AT$5:$AT$3004,$AS504)))</f>
        <v/>
      </c>
      <c r="AP504" s="14">
        <f>IF($A504="","",IF(INDEX('潜水記録'!$AU$5:$AU$3004,$AS504)="","",INDEX('潜水記録'!$AU$5:$AU$3004,$AS504)))</f>
        <v/>
      </c>
      <c r="AQ504" s="14">
        <f>IF($A504="","",IF(INDEX('潜水記録'!$AV$5:$AV$3004,$AS504)="","",INDEX('潜水記録'!$AV$5:$AV$3004,$AS504)))</f>
        <v/>
      </c>
      <c r="AR504" s="14">
        <f>IF($A504="","",IF(INDEX('潜水記録'!$AW$5:$AW$3004,$AS504)="","",INDEX('潜水記録'!$AW$5:$AW$3004,$AS504)))</f>
        <v/>
      </c>
      <c r="AS504" s="20">
        <f>IF($A504="","",MATCH($A504,'潜水記録'!$AI$5:$AI$3004,0))</f>
        <v/>
      </c>
    </row>
    <row r="505">
      <c r="A505" s="14">
        <f>IF(495&lt;=$C$8,495,"")</f>
        <v/>
      </c>
      <c r="B505" s="16">
        <f>IF($A505="","",IF(INDEX('潜水記録'!$A$5:$A$3004,$AS505)="","",INDEX('潜水記録'!$A$5:$A$3004,$AS505)))</f>
        <v/>
      </c>
      <c r="C505" s="14">
        <f>IF($A505="","",IF(INDEX('潜水記録'!$B$5:$B$3004,$AS505)="","",INDEX('潜水記録'!$B$5:$B$3004,$AS505)))</f>
        <v/>
      </c>
      <c r="D505" s="14">
        <f>IF($A505="","",IF(INDEX('潜水記録'!$C$5:$C$3004,$AS505)="","",INDEX('潜水記録'!$C$5:$C$3004,$AS505)))</f>
        <v/>
      </c>
      <c r="E505" s="14">
        <f>IF($A505="","",IF(INDEX('潜水記録'!$D$5:$D$3004,$AS505)="","",INDEX('潜水記録'!$D$5:$D$3004,$AS505)))</f>
        <v/>
      </c>
      <c r="F505" s="14">
        <f>IF($A505="","",IF(INDEX('潜水記録'!$E$5:$E$3004,$AS505)="","",INDEX('潜水記録'!$E$5:$E$3004,$AS505)))</f>
        <v/>
      </c>
      <c r="G505" s="14">
        <f>IF($A505="","",IF(INDEX('潜水記録'!$F$5:$F$3004,$AS505)="","",INDEX('潜水記録'!$F$5:$F$3004,$AS505)))</f>
        <v/>
      </c>
      <c r="H505" s="14">
        <f>IF($A505="","",IF(INDEX('潜水記録'!$G$5:$G$3004,$AS505)="","",INDEX('潜水記録'!$G$5:$G$3004,$AS505)))</f>
        <v/>
      </c>
      <c r="I505" s="14">
        <f>IF($A505="","",IF(INDEX('潜水記録'!$H$5:$H$3004,$AS505)="","",INDEX('潜水記録'!$H$5:$H$3004,$AS505)))</f>
        <v/>
      </c>
      <c r="J505" s="14">
        <f>IF($A505="","",IF(INDEX('潜水記録'!$I$5:$I$3004,$AS505)="","",INDEX('潜水記録'!$I$5:$I$3004,$AS505)))</f>
        <v/>
      </c>
      <c r="K505" s="14">
        <f>IF($A505="","",IF(INDEX('潜水記録'!$J$5:$J$3004,$AS505)="","",INDEX('潜水記録'!$J$5:$J$3004,$AS505)))</f>
        <v/>
      </c>
      <c r="L505" s="14">
        <f>IF($A505="","",IF(INDEX('潜水記録'!$K$5:$K$3004,$AS505)="","",INDEX('潜水記録'!$K$5:$K$3004,$AS505)))</f>
        <v/>
      </c>
      <c r="M505" s="14">
        <f>IF($A505="","",IF(INDEX('潜水記録'!$L$5:$L$3004,$AS505)="","",INDEX('潜水記録'!$L$5:$L$3004,$AS505)))</f>
        <v/>
      </c>
      <c r="N505" s="14">
        <f>IF($A505="","",IF(INDEX('潜水記録'!$M$5:$M$3004,$AS505)="","",INDEX('潜水記録'!$M$5:$M$3004,$AS505)))</f>
        <v/>
      </c>
      <c r="O505" s="14">
        <f>IF($A505="","",IF(INDEX('潜水記録'!$N$5:$N$3004,$AS505)="","",INDEX('潜水記録'!$N$5:$N$3004,$AS505)))</f>
        <v/>
      </c>
      <c r="P505" s="14">
        <f>IF($A505="","",IF(INDEX('潜水記録'!$O$5:$O$3004,$AS505)="","",INDEX('潜水記録'!$O$5:$O$3004,$AS505)))</f>
        <v/>
      </c>
      <c r="Q505" s="14">
        <f>IF($A505="","",IF(INDEX('潜水記録'!$P$5:$P$3004,$AS505)="","",INDEX('潜水記録'!$P$5:$P$3004,$AS505)))</f>
        <v/>
      </c>
      <c r="R505" s="14">
        <f>IF($A505="","",IF(INDEX('潜水記録'!$Q$5:$Q$3004,$AS505)="","",INDEX('潜水記録'!$Q$5:$Q$3004,$AS505)))</f>
        <v/>
      </c>
      <c r="S505" s="14">
        <f>IF($A505="","",IF(INDEX('潜水記録'!$R$5:$R$3004,$AS505)="","",INDEX('潜水記録'!$R$5:$R$3004,$AS505)))</f>
        <v/>
      </c>
      <c r="T505" s="14">
        <f>IF($A505="","",IF(INDEX('潜水記録'!$S$5:$S$3004,$AS505)="","",INDEX('潜水記録'!$S$5:$S$3004,$AS505)))</f>
        <v/>
      </c>
      <c r="U505" s="14">
        <f>IF($A505="","",IF(INDEX('潜水記録'!$T$5:$T$3004,$AS505)="","",INDEX('潜水記録'!$T$5:$T$3004,$AS505)))</f>
        <v/>
      </c>
      <c r="V505" s="46">
        <f>IF($A505="","",IF(INDEX('潜水記録'!$U$5:$U$3004,$AS505)="","",INDEX('潜水記録'!$U$5:$U$3004,$AS505)))</f>
        <v/>
      </c>
      <c r="W505" s="46">
        <f>IF($A505="","",IF(INDEX('潜水記録'!$V$5:$V$3004,$AS505)="","",INDEX('潜水記録'!$V$5:$V$3004,$AS505)))</f>
        <v/>
      </c>
      <c r="X505" s="14">
        <f>IF($A505="","",IF(INDEX('潜水記録'!$W$5:$W$3004,$AS505)="","",INDEX('潜水記録'!$W$5:$W$3004,$AS505)))</f>
        <v/>
      </c>
      <c r="Y505" s="14">
        <f>IF($A505="","",IF(INDEX('潜水記録'!$X$5:$X$3004,$AS505)="","",INDEX('潜水記録'!$X$5:$X$3004,$AS505)))</f>
        <v/>
      </c>
      <c r="Z505" s="14">
        <f>IF($A505="","",IF(INDEX('潜水記録'!$Y$5:$Y$3004,$AS505)="","",INDEX('潜水記録'!$Y$5:$Y$3004,$AS505)))</f>
        <v/>
      </c>
      <c r="AA505" s="14">
        <f>IF($A505="","",IF(INDEX('潜水記録'!$Z$5:$Z$3004,$AS505)="","",INDEX('潜水記録'!$Z$5:$Z$3004,$AS505)))</f>
        <v/>
      </c>
      <c r="AB505" s="14">
        <f>IF($A505="","",IF(INDEX('潜水記録'!$AA$5:$AA$3004,$AS505)="","",INDEX('潜水記録'!$AA$5:$AA$3004,$AS505)))</f>
        <v/>
      </c>
      <c r="AC505" s="14">
        <f>IF($A505="","",IF(INDEX('潜水記録'!$AB$5:$AB$3004,$AS505)="","",INDEX('潜水記録'!$AB$5:$AB$3004,$AS505)))</f>
        <v/>
      </c>
      <c r="AD505" s="14">
        <f>IF($A505="","",IF(INDEX('潜水記録'!$AC$5:$AC$3004,$AS505)="","",INDEX('潜水記録'!$AC$5:$AC$3004,$AS505)))</f>
        <v/>
      </c>
      <c r="AE505" s="14">
        <f>IF($A505="","",IF(INDEX('潜水記録'!$AD$5:$AD$3004,$AS505)="","",INDEX('潜水記録'!$AD$5:$AD$3004,$AS505)))</f>
        <v/>
      </c>
      <c r="AF505" s="14">
        <f>IF($A505="","",IF(INDEX('潜水記録'!$AE$5:$AE$3004,$AS505)="","",INDEX('潜水記録'!$AE$5:$AE$3004,$AS505)))</f>
        <v/>
      </c>
      <c r="AG505" s="14">
        <f>IF($A505="","",IF(INDEX('潜水記録'!$AL$5:$AL$3004,$AS505)="","",INDEX('潜水記録'!$AL$5:$AL$3004,$AS505)))</f>
        <v/>
      </c>
      <c r="AH505" s="14">
        <f>IF($A505="","",IF(INDEX('潜水記録'!$AM$5:$AM$3004,$AS505)="","",INDEX('潜水記録'!$AM$5:$AM$3004,$AS505)))</f>
        <v/>
      </c>
      <c r="AI505" s="46">
        <f>IF($A505="","",IF(INDEX('潜水記録'!$AN$5:$AN$3004,$AS505)="","",INDEX('潜水記録'!$AN$5:$AN$3004,$AS505)))</f>
        <v/>
      </c>
      <c r="AJ505" s="14">
        <f>IF($A505="","",IF(INDEX('潜水記録'!$AO$5:$AO$3004,$AS505)="","",INDEX('潜水記録'!$AO$5:$AO$3004,$AS505)))</f>
        <v/>
      </c>
      <c r="AK505" s="14">
        <f>IF($A505="","",IF(INDEX('潜水記録'!$AP$5:$AP$3004,$AS505)="","",INDEX('潜水記録'!$AP$5:$AP$3004,$AS505)))</f>
        <v/>
      </c>
      <c r="AL505" s="14">
        <f>IF($A505="","",IF(INDEX('潜水記録'!$AQ$5:$AQ$3004,$AS505)="","",INDEX('潜水記録'!$AQ$5:$AQ$3004,$AS505)))</f>
        <v/>
      </c>
      <c r="AM505" s="14">
        <f>IF($A505="","",IF(INDEX('潜水記録'!$AR$5:$AR$3004,$AS505)="","",INDEX('潜水記録'!$AR$5:$AR$3004,$AS505)))</f>
        <v/>
      </c>
      <c r="AN505" s="14">
        <f>IF($A505="","",IF(INDEX('潜水記録'!$AS$5:$AS$3004,$AS505)="","",INDEX('潜水記録'!$AS$5:$AS$3004,$AS505)))</f>
        <v/>
      </c>
      <c r="AO505" s="14">
        <f>IF($A505="","",IF(INDEX('潜水記録'!$AT$5:$AT$3004,$AS505)="","",INDEX('潜水記録'!$AT$5:$AT$3004,$AS505)))</f>
        <v/>
      </c>
      <c r="AP505" s="14">
        <f>IF($A505="","",IF(INDEX('潜水記録'!$AU$5:$AU$3004,$AS505)="","",INDEX('潜水記録'!$AU$5:$AU$3004,$AS505)))</f>
        <v/>
      </c>
      <c r="AQ505" s="14">
        <f>IF($A505="","",IF(INDEX('潜水記録'!$AV$5:$AV$3004,$AS505)="","",INDEX('潜水記録'!$AV$5:$AV$3004,$AS505)))</f>
        <v/>
      </c>
      <c r="AR505" s="14">
        <f>IF($A505="","",IF(INDEX('潜水記録'!$AW$5:$AW$3004,$AS505)="","",INDEX('潜水記録'!$AW$5:$AW$3004,$AS505)))</f>
        <v/>
      </c>
      <c r="AS505" s="20">
        <f>IF($A505="","",MATCH($A505,'潜水記録'!$AI$5:$AI$3004,0))</f>
        <v/>
      </c>
    </row>
    <row r="506">
      <c r="A506" s="14">
        <f>IF(496&lt;=$C$8,496,"")</f>
        <v/>
      </c>
      <c r="B506" s="16">
        <f>IF($A506="","",IF(INDEX('潜水記録'!$A$5:$A$3004,$AS506)="","",INDEX('潜水記録'!$A$5:$A$3004,$AS506)))</f>
        <v/>
      </c>
      <c r="C506" s="14">
        <f>IF($A506="","",IF(INDEX('潜水記録'!$B$5:$B$3004,$AS506)="","",INDEX('潜水記録'!$B$5:$B$3004,$AS506)))</f>
        <v/>
      </c>
      <c r="D506" s="14">
        <f>IF($A506="","",IF(INDEX('潜水記録'!$C$5:$C$3004,$AS506)="","",INDEX('潜水記録'!$C$5:$C$3004,$AS506)))</f>
        <v/>
      </c>
      <c r="E506" s="14">
        <f>IF($A506="","",IF(INDEX('潜水記録'!$D$5:$D$3004,$AS506)="","",INDEX('潜水記録'!$D$5:$D$3004,$AS506)))</f>
        <v/>
      </c>
      <c r="F506" s="14">
        <f>IF($A506="","",IF(INDEX('潜水記録'!$E$5:$E$3004,$AS506)="","",INDEX('潜水記録'!$E$5:$E$3004,$AS506)))</f>
        <v/>
      </c>
      <c r="G506" s="14">
        <f>IF($A506="","",IF(INDEX('潜水記録'!$F$5:$F$3004,$AS506)="","",INDEX('潜水記録'!$F$5:$F$3004,$AS506)))</f>
        <v/>
      </c>
      <c r="H506" s="14">
        <f>IF($A506="","",IF(INDEX('潜水記録'!$G$5:$G$3004,$AS506)="","",INDEX('潜水記録'!$G$5:$G$3004,$AS506)))</f>
        <v/>
      </c>
      <c r="I506" s="14">
        <f>IF($A506="","",IF(INDEX('潜水記録'!$H$5:$H$3004,$AS506)="","",INDEX('潜水記録'!$H$5:$H$3004,$AS506)))</f>
        <v/>
      </c>
      <c r="J506" s="14">
        <f>IF($A506="","",IF(INDEX('潜水記録'!$I$5:$I$3004,$AS506)="","",INDEX('潜水記録'!$I$5:$I$3004,$AS506)))</f>
        <v/>
      </c>
      <c r="K506" s="14">
        <f>IF($A506="","",IF(INDEX('潜水記録'!$J$5:$J$3004,$AS506)="","",INDEX('潜水記録'!$J$5:$J$3004,$AS506)))</f>
        <v/>
      </c>
      <c r="L506" s="14">
        <f>IF($A506="","",IF(INDEX('潜水記録'!$K$5:$K$3004,$AS506)="","",INDEX('潜水記録'!$K$5:$K$3004,$AS506)))</f>
        <v/>
      </c>
      <c r="M506" s="14">
        <f>IF($A506="","",IF(INDEX('潜水記録'!$L$5:$L$3004,$AS506)="","",INDEX('潜水記録'!$L$5:$L$3004,$AS506)))</f>
        <v/>
      </c>
      <c r="N506" s="14">
        <f>IF($A506="","",IF(INDEX('潜水記録'!$M$5:$M$3004,$AS506)="","",INDEX('潜水記録'!$M$5:$M$3004,$AS506)))</f>
        <v/>
      </c>
      <c r="O506" s="14">
        <f>IF($A506="","",IF(INDEX('潜水記録'!$N$5:$N$3004,$AS506)="","",INDEX('潜水記録'!$N$5:$N$3004,$AS506)))</f>
        <v/>
      </c>
      <c r="P506" s="14">
        <f>IF($A506="","",IF(INDEX('潜水記録'!$O$5:$O$3004,$AS506)="","",INDEX('潜水記録'!$O$5:$O$3004,$AS506)))</f>
        <v/>
      </c>
      <c r="Q506" s="14">
        <f>IF($A506="","",IF(INDEX('潜水記録'!$P$5:$P$3004,$AS506)="","",INDEX('潜水記録'!$P$5:$P$3004,$AS506)))</f>
        <v/>
      </c>
      <c r="R506" s="14">
        <f>IF($A506="","",IF(INDEX('潜水記録'!$Q$5:$Q$3004,$AS506)="","",INDEX('潜水記録'!$Q$5:$Q$3004,$AS506)))</f>
        <v/>
      </c>
      <c r="S506" s="14">
        <f>IF($A506="","",IF(INDEX('潜水記録'!$R$5:$R$3004,$AS506)="","",INDEX('潜水記録'!$R$5:$R$3004,$AS506)))</f>
        <v/>
      </c>
      <c r="T506" s="14">
        <f>IF($A506="","",IF(INDEX('潜水記録'!$S$5:$S$3004,$AS506)="","",INDEX('潜水記録'!$S$5:$S$3004,$AS506)))</f>
        <v/>
      </c>
      <c r="U506" s="14">
        <f>IF($A506="","",IF(INDEX('潜水記録'!$T$5:$T$3004,$AS506)="","",INDEX('潜水記録'!$T$5:$T$3004,$AS506)))</f>
        <v/>
      </c>
      <c r="V506" s="46">
        <f>IF($A506="","",IF(INDEX('潜水記録'!$U$5:$U$3004,$AS506)="","",INDEX('潜水記録'!$U$5:$U$3004,$AS506)))</f>
        <v/>
      </c>
      <c r="W506" s="46">
        <f>IF($A506="","",IF(INDEX('潜水記録'!$V$5:$V$3004,$AS506)="","",INDEX('潜水記録'!$V$5:$V$3004,$AS506)))</f>
        <v/>
      </c>
      <c r="X506" s="14">
        <f>IF($A506="","",IF(INDEX('潜水記録'!$W$5:$W$3004,$AS506)="","",INDEX('潜水記録'!$W$5:$W$3004,$AS506)))</f>
        <v/>
      </c>
      <c r="Y506" s="14">
        <f>IF($A506="","",IF(INDEX('潜水記録'!$X$5:$X$3004,$AS506)="","",INDEX('潜水記録'!$X$5:$X$3004,$AS506)))</f>
        <v/>
      </c>
      <c r="Z506" s="14">
        <f>IF($A506="","",IF(INDEX('潜水記録'!$Y$5:$Y$3004,$AS506)="","",INDEX('潜水記録'!$Y$5:$Y$3004,$AS506)))</f>
        <v/>
      </c>
      <c r="AA506" s="14">
        <f>IF($A506="","",IF(INDEX('潜水記録'!$Z$5:$Z$3004,$AS506)="","",INDEX('潜水記録'!$Z$5:$Z$3004,$AS506)))</f>
        <v/>
      </c>
      <c r="AB506" s="14">
        <f>IF($A506="","",IF(INDEX('潜水記録'!$AA$5:$AA$3004,$AS506)="","",INDEX('潜水記録'!$AA$5:$AA$3004,$AS506)))</f>
        <v/>
      </c>
      <c r="AC506" s="14">
        <f>IF($A506="","",IF(INDEX('潜水記録'!$AB$5:$AB$3004,$AS506)="","",INDEX('潜水記録'!$AB$5:$AB$3004,$AS506)))</f>
        <v/>
      </c>
      <c r="AD506" s="14">
        <f>IF($A506="","",IF(INDEX('潜水記録'!$AC$5:$AC$3004,$AS506)="","",INDEX('潜水記録'!$AC$5:$AC$3004,$AS506)))</f>
        <v/>
      </c>
      <c r="AE506" s="14">
        <f>IF($A506="","",IF(INDEX('潜水記録'!$AD$5:$AD$3004,$AS506)="","",INDEX('潜水記録'!$AD$5:$AD$3004,$AS506)))</f>
        <v/>
      </c>
      <c r="AF506" s="14">
        <f>IF($A506="","",IF(INDEX('潜水記録'!$AE$5:$AE$3004,$AS506)="","",INDEX('潜水記録'!$AE$5:$AE$3004,$AS506)))</f>
        <v/>
      </c>
      <c r="AG506" s="14">
        <f>IF($A506="","",IF(INDEX('潜水記録'!$AL$5:$AL$3004,$AS506)="","",INDEX('潜水記録'!$AL$5:$AL$3004,$AS506)))</f>
        <v/>
      </c>
      <c r="AH506" s="14">
        <f>IF($A506="","",IF(INDEX('潜水記録'!$AM$5:$AM$3004,$AS506)="","",INDEX('潜水記録'!$AM$5:$AM$3004,$AS506)))</f>
        <v/>
      </c>
      <c r="AI506" s="46">
        <f>IF($A506="","",IF(INDEX('潜水記録'!$AN$5:$AN$3004,$AS506)="","",INDEX('潜水記録'!$AN$5:$AN$3004,$AS506)))</f>
        <v/>
      </c>
      <c r="AJ506" s="14">
        <f>IF($A506="","",IF(INDEX('潜水記録'!$AO$5:$AO$3004,$AS506)="","",INDEX('潜水記録'!$AO$5:$AO$3004,$AS506)))</f>
        <v/>
      </c>
      <c r="AK506" s="14">
        <f>IF($A506="","",IF(INDEX('潜水記録'!$AP$5:$AP$3004,$AS506)="","",INDEX('潜水記録'!$AP$5:$AP$3004,$AS506)))</f>
        <v/>
      </c>
      <c r="AL506" s="14">
        <f>IF($A506="","",IF(INDEX('潜水記録'!$AQ$5:$AQ$3004,$AS506)="","",INDEX('潜水記録'!$AQ$5:$AQ$3004,$AS506)))</f>
        <v/>
      </c>
      <c r="AM506" s="14">
        <f>IF($A506="","",IF(INDEX('潜水記録'!$AR$5:$AR$3004,$AS506)="","",INDEX('潜水記録'!$AR$5:$AR$3004,$AS506)))</f>
        <v/>
      </c>
      <c r="AN506" s="14">
        <f>IF($A506="","",IF(INDEX('潜水記録'!$AS$5:$AS$3004,$AS506)="","",INDEX('潜水記録'!$AS$5:$AS$3004,$AS506)))</f>
        <v/>
      </c>
      <c r="AO506" s="14">
        <f>IF($A506="","",IF(INDEX('潜水記録'!$AT$5:$AT$3004,$AS506)="","",INDEX('潜水記録'!$AT$5:$AT$3004,$AS506)))</f>
        <v/>
      </c>
      <c r="AP506" s="14">
        <f>IF($A506="","",IF(INDEX('潜水記録'!$AU$5:$AU$3004,$AS506)="","",INDEX('潜水記録'!$AU$5:$AU$3004,$AS506)))</f>
        <v/>
      </c>
      <c r="AQ506" s="14">
        <f>IF($A506="","",IF(INDEX('潜水記録'!$AV$5:$AV$3004,$AS506)="","",INDEX('潜水記録'!$AV$5:$AV$3004,$AS506)))</f>
        <v/>
      </c>
      <c r="AR506" s="14">
        <f>IF($A506="","",IF(INDEX('潜水記録'!$AW$5:$AW$3004,$AS506)="","",INDEX('潜水記録'!$AW$5:$AW$3004,$AS506)))</f>
        <v/>
      </c>
      <c r="AS506" s="20">
        <f>IF($A506="","",MATCH($A506,'潜水記録'!$AI$5:$AI$3004,0))</f>
        <v/>
      </c>
    </row>
    <row r="507">
      <c r="A507" s="14">
        <f>IF(497&lt;=$C$8,497,"")</f>
        <v/>
      </c>
      <c r="B507" s="16">
        <f>IF($A507="","",IF(INDEX('潜水記録'!$A$5:$A$3004,$AS507)="","",INDEX('潜水記録'!$A$5:$A$3004,$AS507)))</f>
        <v/>
      </c>
      <c r="C507" s="14">
        <f>IF($A507="","",IF(INDEX('潜水記録'!$B$5:$B$3004,$AS507)="","",INDEX('潜水記録'!$B$5:$B$3004,$AS507)))</f>
        <v/>
      </c>
      <c r="D507" s="14">
        <f>IF($A507="","",IF(INDEX('潜水記録'!$C$5:$C$3004,$AS507)="","",INDEX('潜水記録'!$C$5:$C$3004,$AS507)))</f>
        <v/>
      </c>
      <c r="E507" s="14">
        <f>IF($A507="","",IF(INDEX('潜水記録'!$D$5:$D$3004,$AS507)="","",INDEX('潜水記録'!$D$5:$D$3004,$AS507)))</f>
        <v/>
      </c>
      <c r="F507" s="14">
        <f>IF($A507="","",IF(INDEX('潜水記録'!$E$5:$E$3004,$AS507)="","",INDEX('潜水記録'!$E$5:$E$3004,$AS507)))</f>
        <v/>
      </c>
      <c r="G507" s="14">
        <f>IF($A507="","",IF(INDEX('潜水記録'!$F$5:$F$3004,$AS507)="","",INDEX('潜水記録'!$F$5:$F$3004,$AS507)))</f>
        <v/>
      </c>
      <c r="H507" s="14">
        <f>IF($A507="","",IF(INDEX('潜水記録'!$G$5:$G$3004,$AS507)="","",INDEX('潜水記録'!$G$5:$G$3004,$AS507)))</f>
        <v/>
      </c>
      <c r="I507" s="14">
        <f>IF($A507="","",IF(INDEX('潜水記録'!$H$5:$H$3004,$AS507)="","",INDEX('潜水記録'!$H$5:$H$3004,$AS507)))</f>
        <v/>
      </c>
      <c r="J507" s="14">
        <f>IF($A507="","",IF(INDEX('潜水記録'!$I$5:$I$3004,$AS507)="","",INDEX('潜水記録'!$I$5:$I$3004,$AS507)))</f>
        <v/>
      </c>
      <c r="K507" s="14">
        <f>IF($A507="","",IF(INDEX('潜水記録'!$J$5:$J$3004,$AS507)="","",INDEX('潜水記録'!$J$5:$J$3004,$AS507)))</f>
        <v/>
      </c>
      <c r="L507" s="14">
        <f>IF($A507="","",IF(INDEX('潜水記録'!$K$5:$K$3004,$AS507)="","",INDEX('潜水記録'!$K$5:$K$3004,$AS507)))</f>
        <v/>
      </c>
      <c r="M507" s="14">
        <f>IF($A507="","",IF(INDEX('潜水記録'!$L$5:$L$3004,$AS507)="","",INDEX('潜水記録'!$L$5:$L$3004,$AS507)))</f>
        <v/>
      </c>
      <c r="N507" s="14">
        <f>IF($A507="","",IF(INDEX('潜水記録'!$M$5:$M$3004,$AS507)="","",INDEX('潜水記録'!$M$5:$M$3004,$AS507)))</f>
        <v/>
      </c>
      <c r="O507" s="14">
        <f>IF($A507="","",IF(INDEX('潜水記録'!$N$5:$N$3004,$AS507)="","",INDEX('潜水記録'!$N$5:$N$3004,$AS507)))</f>
        <v/>
      </c>
      <c r="P507" s="14">
        <f>IF($A507="","",IF(INDEX('潜水記録'!$O$5:$O$3004,$AS507)="","",INDEX('潜水記録'!$O$5:$O$3004,$AS507)))</f>
        <v/>
      </c>
      <c r="Q507" s="14">
        <f>IF($A507="","",IF(INDEX('潜水記録'!$P$5:$P$3004,$AS507)="","",INDEX('潜水記録'!$P$5:$P$3004,$AS507)))</f>
        <v/>
      </c>
      <c r="R507" s="14">
        <f>IF($A507="","",IF(INDEX('潜水記録'!$Q$5:$Q$3004,$AS507)="","",INDEX('潜水記録'!$Q$5:$Q$3004,$AS507)))</f>
        <v/>
      </c>
      <c r="S507" s="14">
        <f>IF($A507="","",IF(INDEX('潜水記録'!$R$5:$R$3004,$AS507)="","",INDEX('潜水記録'!$R$5:$R$3004,$AS507)))</f>
        <v/>
      </c>
      <c r="T507" s="14">
        <f>IF($A507="","",IF(INDEX('潜水記録'!$S$5:$S$3004,$AS507)="","",INDEX('潜水記録'!$S$5:$S$3004,$AS507)))</f>
        <v/>
      </c>
      <c r="U507" s="14">
        <f>IF($A507="","",IF(INDEX('潜水記録'!$T$5:$T$3004,$AS507)="","",INDEX('潜水記録'!$T$5:$T$3004,$AS507)))</f>
        <v/>
      </c>
      <c r="V507" s="46">
        <f>IF($A507="","",IF(INDEX('潜水記録'!$U$5:$U$3004,$AS507)="","",INDEX('潜水記録'!$U$5:$U$3004,$AS507)))</f>
        <v/>
      </c>
      <c r="W507" s="46">
        <f>IF($A507="","",IF(INDEX('潜水記録'!$V$5:$V$3004,$AS507)="","",INDEX('潜水記録'!$V$5:$V$3004,$AS507)))</f>
        <v/>
      </c>
      <c r="X507" s="14">
        <f>IF($A507="","",IF(INDEX('潜水記録'!$W$5:$W$3004,$AS507)="","",INDEX('潜水記録'!$W$5:$W$3004,$AS507)))</f>
        <v/>
      </c>
      <c r="Y507" s="14">
        <f>IF($A507="","",IF(INDEX('潜水記録'!$X$5:$X$3004,$AS507)="","",INDEX('潜水記録'!$X$5:$X$3004,$AS507)))</f>
        <v/>
      </c>
      <c r="Z507" s="14">
        <f>IF($A507="","",IF(INDEX('潜水記録'!$Y$5:$Y$3004,$AS507)="","",INDEX('潜水記録'!$Y$5:$Y$3004,$AS507)))</f>
        <v/>
      </c>
      <c r="AA507" s="14">
        <f>IF($A507="","",IF(INDEX('潜水記録'!$Z$5:$Z$3004,$AS507)="","",INDEX('潜水記録'!$Z$5:$Z$3004,$AS507)))</f>
        <v/>
      </c>
      <c r="AB507" s="14">
        <f>IF($A507="","",IF(INDEX('潜水記録'!$AA$5:$AA$3004,$AS507)="","",INDEX('潜水記録'!$AA$5:$AA$3004,$AS507)))</f>
        <v/>
      </c>
      <c r="AC507" s="14">
        <f>IF($A507="","",IF(INDEX('潜水記録'!$AB$5:$AB$3004,$AS507)="","",INDEX('潜水記録'!$AB$5:$AB$3004,$AS507)))</f>
        <v/>
      </c>
      <c r="AD507" s="14">
        <f>IF($A507="","",IF(INDEX('潜水記録'!$AC$5:$AC$3004,$AS507)="","",INDEX('潜水記録'!$AC$5:$AC$3004,$AS507)))</f>
        <v/>
      </c>
      <c r="AE507" s="14">
        <f>IF($A507="","",IF(INDEX('潜水記録'!$AD$5:$AD$3004,$AS507)="","",INDEX('潜水記録'!$AD$5:$AD$3004,$AS507)))</f>
        <v/>
      </c>
      <c r="AF507" s="14">
        <f>IF($A507="","",IF(INDEX('潜水記録'!$AE$5:$AE$3004,$AS507)="","",INDEX('潜水記録'!$AE$5:$AE$3004,$AS507)))</f>
        <v/>
      </c>
      <c r="AG507" s="14">
        <f>IF($A507="","",IF(INDEX('潜水記録'!$AL$5:$AL$3004,$AS507)="","",INDEX('潜水記録'!$AL$5:$AL$3004,$AS507)))</f>
        <v/>
      </c>
      <c r="AH507" s="14">
        <f>IF($A507="","",IF(INDEX('潜水記録'!$AM$5:$AM$3004,$AS507)="","",INDEX('潜水記録'!$AM$5:$AM$3004,$AS507)))</f>
        <v/>
      </c>
      <c r="AI507" s="46">
        <f>IF($A507="","",IF(INDEX('潜水記録'!$AN$5:$AN$3004,$AS507)="","",INDEX('潜水記録'!$AN$5:$AN$3004,$AS507)))</f>
        <v/>
      </c>
      <c r="AJ507" s="14">
        <f>IF($A507="","",IF(INDEX('潜水記録'!$AO$5:$AO$3004,$AS507)="","",INDEX('潜水記録'!$AO$5:$AO$3004,$AS507)))</f>
        <v/>
      </c>
      <c r="AK507" s="14">
        <f>IF($A507="","",IF(INDEX('潜水記録'!$AP$5:$AP$3004,$AS507)="","",INDEX('潜水記録'!$AP$5:$AP$3004,$AS507)))</f>
        <v/>
      </c>
      <c r="AL507" s="14">
        <f>IF($A507="","",IF(INDEX('潜水記録'!$AQ$5:$AQ$3004,$AS507)="","",INDEX('潜水記録'!$AQ$5:$AQ$3004,$AS507)))</f>
        <v/>
      </c>
      <c r="AM507" s="14">
        <f>IF($A507="","",IF(INDEX('潜水記録'!$AR$5:$AR$3004,$AS507)="","",INDEX('潜水記録'!$AR$5:$AR$3004,$AS507)))</f>
        <v/>
      </c>
      <c r="AN507" s="14">
        <f>IF($A507="","",IF(INDEX('潜水記録'!$AS$5:$AS$3004,$AS507)="","",INDEX('潜水記録'!$AS$5:$AS$3004,$AS507)))</f>
        <v/>
      </c>
      <c r="AO507" s="14">
        <f>IF($A507="","",IF(INDEX('潜水記録'!$AT$5:$AT$3004,$AS507)="","",INDEX('潜水記録'!$AT$5:$AT$3004,$AS507)))</f>
        <v/>
      </c>
      <c r="AP507" s="14">
        <f>IF($A507="","",IF(INDEX('潜水記録'!$AU$5:$AU$3004,$AS507)="","",INDEX('潜水記録'!$AU$5:$AU$3004,$AS507)))</f>
        <v/>
      </c>
      <c r="AQ507" s="14">
        <f>IF($A507="","",IF(INDEX('潜水記録'!$AV$5:$AV$3004,$AS507)="","",INDEX('潜水記録'!$AV$5:$AV$3004,$AS507)))</f>
        <v/>
      </c>
      <c r="AR507" s="14">
        <f>IF($A507="","",IF(INDEX('潜水記録'!$AW$5:$AW$3004,$AS507)="","",INDEX('潜水記録'!$AW$5:$AW$3004,$AS507)))</f>
        <v/>
      </c>
      <c r="AS507" s="20">
        <f>IF($A507="","",MATCH($A507,'潜水記録'!$AI$5:$AI$3004,0))</f>
        <v/>
      </c>
    </row>
    <row r="508">
      <c r="A508" s="14">
        <f>IF(498&lt;=$C$8,498,"")</f>
        <v/>
      </c>
      <c r="B508" s="16">
        <f>IF($A508="","",IF(INDEX('潜水記録'!$A$5:$A$3004,$AS508)="","",INDEX('潜水記録'!$A$5:$A$3004,$AS508)))</f>
        <v/>
      </c>
      <c r="C508" s="14">
        <f>IF($A508="","",IF(INDEX('潜水記録'!$B$5:$B$3004,$AS508)="","",INDEX('潜水記録'!$B$5:$B$3004,$AS508)))</f>
        <v/>
      </c>
      <c r="D508" s="14">
        <f>IF($A508="","",IF(INDEX('潜水記録'!$C$5:$C$3004,$AS508)="","",INDEX('潜水記録'!$C$5:$C$3004,$AS508)))</f>
        <v/>
      </c>
      <c r="E508" s="14">
        <f>IF($A508="","",IF(INDEX('潜水記録'!$D$5:$D$3004,$AS508)="","",INDEX('潜水記録'!$D$5:$D$3004,$AS508)))</f>
        <v/>
      </c>
      <c r="F508" s="14">
        <f>IF($A508="","",IF(INDEX('潜水記録'!$E$5:$E$3004,$AS508)="","",INDEX('潜水記録'!$E$5:$E$3004,$AS508)))</f>
        <v/>
      </c>
      <c r="G508" s="14">
        <f>IF($A508="","",IF(INDEX('潜水記録'!$F$5:$F$3004,$AS508)="","",INDEX('潜水記録'!$F$5:$F$3004,$AS508)))</f>
        <v/>
      </c>
      <c r="H508" s="14">
        <f>IF($A508="","",IF(INDEX('潜水記録'!$G$5:$G$3004,$AS508)="","",INDEX('潜水記録'!$G$5:$G$3004,$AS508)))</f>
        <v/>
      </c>
      <c r="I508" s="14">
        <f>IF($A508="","",IF(INDEX('潜水記録'!$H$5:$H$3004,$AS508)="","",INDEX('潜水記録'!$H$5:$H$3004,$AS508)))</f>
        <v/>
      </c>
      <c r="J508" s="14">
        <f>IF($A508="","",IF(INDEX('潜水記録'!$I$5:$I$3004,$AS508)="","",INDEX('潜水記録'!$I$5:$I$3004,$AS508)))</f>
        <v/>
      </c>
      <c r="K508" s="14">
        <f>IF($A508="","",IF(INDEX('潜水記録'!$J$5:$J$3004,$AS508)="","",INDEX('潜水記録'!$J$5:$J$3004,$AS508)))</f>
        <v/>
      </c>
      <c r="L508" s="14">
        <f>IF($A508="","",IF(INDEX('潜水記録'!$K$5:$K$3004,$AS508)="","",INDEX('潜水記録'!$K$5:$K$3004,$AS508)))</f>
        <v/>
      </c>
      <c r="M508" s="14">
        <f>IF($A508="","",IF(INDEX('潜水記録'!$L$5:$L$3004,$AS508)="","",INDEX('潜水記録'!$L$5:$L$3004,$AS508)))</f>
        <v/>
      </c>
      <c r="N508" s="14">
        <f>IF($A508="","",IF(INDEX('潜水記録'!$M$5:$M$3004,$AS508)="","",INDEX('潜水記録'!$M$5:$M$3004,$AS508)))</f>
        <v/>
      </c>
      <c r="O508" s="14">
        <f>IF($A508="","",IF(INDEX('潜水記録'!$N$5:$N$3004,$AS508)="","",INDEX('潜水記録'!$N$5:$N$3004,$AS508)))</f>
        <v/>
      </c>
      <c r="P508" s="14">
        <f>IF($A508="","",IF(INDEX('潜水記録'!$O$5:$O$3004,$AS508)="","",INDEX('潜水記録'!$O$5:$O$3004,$AS508)))</f>
        <v/>
      </c>
      <c r="Q508" s="14">
        <f>IF($A508="","",IF(INDEX('潜水記録'!$P$5:$P$3004,$AS508)="","",INDEX('潜水記録'!$P$5:$P$3004,$AS508)))</f>
        <v/>
      </c>
      <c r="R508" s="14">
        <f>IF($A508="","",IF(INDEX('潜水記録'!$Q$5:$Q$3004,$AS508)="","",INDEX('潜水記録'!$Q$5:$Q$3004,$AS508)))</f>
        <v/>
      </c>
      <c r="S508" s="14">
        <f>IF($A508="","",IF(INDEX('潜水記録'!$R$5:$R$3004,$AS508)="","",INDEX('潜水記録'!$R$5:$R$3004,$AS508)))</f>
        <v/>
      </c>
      <c r="T508" s="14">
        <f>IF($A508="","",IF(INDEX('潜水記録'!$S$5:$S$3004,$AS508)="","",INDEX('潜水記録'!$S$5:$S$3004,$AS508)))</f>
        <v/>
      </c>
      <c r="U508" s="14">
        <f>IF($A508="","",IF(INDEX('潜水記録'!$T$5:$T$3004,$AS508)="","",INDEX('潜水記録'!$T$5:$T$3004,$AS508)))</f>
        <v/>
      </c>
      <c r="V508" s="46">
        <f>IF($A508="","",IF(INDEX('潜水記録'!$U$5:$U$3004,$AS508)="","",INDEX('潜水記録'!$U$5:$U$3004,$AS508)))</f>
        <v/>
      </c>
      <c r="W508" s="46">
        <f>IF($A508="","",IF(INDEX('潜水記録'!$V$5:$V$3004,$AS508)="","",INDEX('潜水記録'!$V$5:$V$3004,$AS508)))</f>
        <v/>
      </c>
      <c r="X508" s="14">
        <f>IF($A508="","",IF(INDEX('潜水記録'!$W$5:$W$3004,$AS508)="","",INDEX('潜水記録'!$W$5:$W$3004,$AS508)))</f>
        <v/>
      </c>
      <c r="Y508" s="14">
        <f>IF($A508="","",IF(INDEX('潜水記録'!$X$5:$X$3004,$AS508)="","",INDEX('潜水記録'!$X$5:$X$3004,$AS508)))</f>
        <v/>
      </c>
      <c r="Z508" s="14">
        <f>IF($A508="","",IF(INDEX('潜水記録'!$Y$5:$Y$3004,$AS508)="","",INDEX('潜水記録'!$Y$5:$Y$3004,$AS508)))</f>
        <v/>
      </c>
      <c r="AA508" s="14">
        <f>IF($A508="","",IF(INDEX('潜水記録'!$Z$5:$Z$3004,$AS508)="","",INDEX('潜水記録'!$Z$5:$Z$3004,$AS508)))</f>
        <v/>
      </c>
      <c r="AB508" s="14">
        <f>IF($A508="","",IF(INDEX('潜水記録'!$AA$5:$AA$3004,$AS508)="","",INDEX('潜水記録'!$AA$5:$AA$3004,$AS508)))</f>
        <v/>
      </c>
      <c r="AC508" s="14">
        <f>IF($A508="","",IF(INDEX('潜水記録'!$AB$5:$AB$3004,$AS508)="","",INDEX('潜水記録'!$AB$5:$AB$3004,$AS508)))</f>
        <v/>
      </c>
      <c r="AD508" s="14">
        <f>IF($A508="","",IF(INDEX('潜水記録'!$AC$5:$AC$3004,$AS508)="","",INDEX('潜水記録'!$AC$5:$AC$3004,$AS508)))</f>
        <v/>
      </c>
      <c r="AE508" s="14">
        <f>IF($A508="","",IF(INDEX('潜水記録'!$AD$5:$AD$3004,$AS508)="","",INDEX('潜水記録'!$AD$5:$AD$3004,$AS508)))</f>
        <v/>
      </c>
      <c r="AF508" s="14">
        <f>IF($A508="","",IF(INDEX('潜水記録'!$AE$5:$AE$3004,$AS508)="","",INDEX('潜水記録'!$AE$5:$AE$3004,$AS508)))</f>
        <v/>
      </c>
      <c r="AG508" s="14">
        <f>IF($A508="","",IF(INDEX('潜水記録'!$AL$5:$AL$3004,$AS508)="","",INDEX('潜水記録'!$AL$5:$AL$3004,$AS508)))</f>
        <v/>
      </c>
      <c r="AH508" s="14">
        <f>IF($A508="","",IF(INDEX('潜水記録'!$AM$5:$AM$3004,$AS508)="","",INDEX('潜水記録'!$AM$5:$AM$3004,$AS508)))</f>
        <v/>
      </c>
      <c r="AI508" s="46">
        <f>IF($A508="","",IF(INDEX('潜水記録'!$AN$5:$AN$3004,$AS508)="","",INDEX('潜水記録'!$AN$5:$AN$3004,$AS508)))</f>
        <v/>
      </c>
      <c r="AJ508" s="14">
        <f>IF($A508="","",IF(INDEX('潜水記録'!$AO$5:$AO$3004,$AS508)="","",INDEX('潜水記録'!$AO$5:$AO$3004,$AS508)))</f>
        <v/>
      </c>
      <c r="AK508" s="14">
        <f>IF($A508="","",IF(INDEX('潜水記録'!$AP$5:$AP$3004,$AS508)="","",INDEX('潜水記録'!$AP$5:$AP$3004,$AS508)))</f>
        <v/>
      </c>
      <c r="AL508" s="14">
        <f>IF($A508="","",IF(INDEX('潜水記録'!$AQ$5:$AQ$3004,$AS508)="","",INDEX('潜水記録'!$AQ$5:$AQ$3004,$AS508)))</f>
        <v/>
      </c>
      <c r="AM508" s="14">
        <f>IF($A508="","",IF(INDEX('潜水記録'!$AR$5:$AR$3004,$AS508)="","",INDEX('潜水記録'!$AR$5:$AR$3004,$AS508)))</f>
        <v/>
      </c>
      <c r="AN508" s="14">
        <f>IF($A508="","",IF(INDEX('潜水記録'!$AS$5:$AS$3004,$AS508)="","",INDEX('潜水記録'!$AS$5:$AS$3004,$AS508)))</f>
        <v/>
      </c>
      <c r="AO508" s="14">
        <f>IF($A508="","",IF(INDEX('潜水記録'!$AT$5:$AT$3004,$AS508)="","",INDEX('潜水記録'!$AT$5:$AT$3004,$AS508)))</f>
        <v/>
      </c>
      <c r="AP508" s="14">
        <f>IF($A508="","",IF(INDEX('潜水記録'!$AU$5:$AU$3004,$AS508)="","",INDEX('潜水記録'!$AU$5:$AU$3004,$AS508)))</f>
        <v/>
      </c>
      <c r="AQ508" s="14">
        <f>IF($A508="","",IF(INDEX('潜水記録'!$AV$5:$AV$3004,$AS508)="","",INDEX('潜水記録'!$AV$5:$AV$3004,$AS508)))</f>
        <v/>
      </c>
      <c r="AR508" s="14">
        <f>IF($A508="","",IF(INDEX('潜水記録'!$AW$5:$AW$3004,$AS508)="","",INDEX('潜水記録'!$AW$5:$AW$3004,$AS508)))</f>
        <v/>
      </c>
      <c r="AS508" s="20">
        <f>IF($A508="","",MATCH($A508,'潜水記録'!$AI$5:$AI$3004,0))</f>
        <v/>
      </c>
    </row>
    <row r="509">
      <c r="A509" s="14">
        <f>IF(499&lt;=$C$8,499,"")</f>
        <v/>
      </c>
      <c r="B509" s="16">
        <f>IF($A509="","",IF(INDEX('潜水記録'!$A$5:$A$3004,$AS509)="","",INDEX('潜水記録'!$A$5:$A$3004,$AS509)))</f>
        <v/>
      </c>
      <c r="C509" s="14">
        <f>IF($A509="","",IF(INDEX('潜水記録'!$B$5:$B$3004,$AS509)="","",INDEX('潜水記録'!$B$5:$B$3004,$AS509)))</f>
        <v/>
      </c>
      <c r="D509" s="14">
        <f>IF($A509="","",IF(INDEX('潜水記録'!$C$5:$C$3004,$AS509)="","",INDEX('潜水記録'!$C$5:$C$3004,$AS509)))</f>
        <v/>
      </c>
      <c r="E509" s="14">
        <f>IF($A509="","",IF(INDEX('潜水記録'!$D$5:$D$3004,$AS509)="","",INDEX('潜水記録'!$D$5:$D$3004,$AS509)))</f>
        <v/>
      </c>
      <c r="F509" s="14">
        <f>IF($A509="","",IF(INDEX('潜水記録'!$E$5:$E$3004,$AS509)="","",INDEX('潜水記録'!$E$5:$E$3004,$AS509)))</f>
        <v/>
      </c>
      <c r="G509" s="14">
        <f>IF($A509="","",IF(INDEX('潜水記録'!$F$5:$F$3004,$AS509)="","",INDEX('潜水記録'!$F$5:$F$3004,$AS509)))</f>
        <v/>
      </c>
      <c r="H509" s="14">
        <f>IF($A509="","",IF(INDEX('潜水記録'!$G$5:$G$3004,$AS509)="","",INDEX('潜水記録'!$G$5:$G$3004,$AS509)))</f>
        <v/>
      </c>
      <c r="I509" s="14">
        <f>IF($A509="","",IF(INDEX('潜水記録'!$H$5:$H$3004,$AS509)="","",INDEX('潜水記録'!$H$5:$H$3004,$AS509)))</f>
        <v/>
      </c>
      <c r="J509" s="14">
        <f>IF($A509="","",IF(INDEX('潜水記録'!$I$5:$I$3004,$AS509)="","",INDEX('潜水記録'!$I$5:$I$3004,$AS509)))</f>
        <v/>
      </c>
      <c r="K509" s="14">
        <f>IF($A509="","",IF(INDEX('潜水記録'!$J$5:$J$3004,$AS509)="","",INDEX('潜水記録'!$J$5:$J$3004,$AS509)))</f>
        <v/>
      </c>
      <c r="L509" s="14">
        <f>IF($A509="","",IF(INDEX('潜水記録'!$K$5:$K$3004,$AS509)="","",INDEX('潜水記録'!$K$5:$K$3004,$AS509)))</f>
        <v/>
      </c>
      <c r="M509" s="14">
        <f>IF($A509="","",IF(INDEX('潜水記録'!$L$5:$L$3004,$AS509)="","",INDEX('潜水記録'!$L$5:$L$3004,$AS509)))</f>
        <v/>
      </c>
      <c r="N509" s="14">
        <f>IF($A509="","",IF(INDEX('潜水記録'!$M$5:$M$3004,$AS509)="","",INDEX('潜水記録'!$M$5:$M$3004,$AS509)))</f>
        <v/>
      </c>
      <c r="O509" s="14">
        <f>IF($A509="","",IF(INDEX('潜水記録'!$N$5:$N$3004,$AS509)="","",INDEX('潜水記録'!$N$5:$N$3004,$AS509)))</f>
        <v/>
      </c>
      <c r="P509" s="14">
        <f>IF($A509="","",IF(INDEX('潜水記録'!$O$5:$O$3004,$AS509)="","",INDEX('潜水記録'!$O$5:$O$3004,$AS509)))</f>
        <v/>
      </c>
      <c r="Q509" s="14">
        <f>IF($A509="","",IF(INDEX('潜水記録'!$P$5:$P$3004,$AS509)="","",INDEX('潜水記録'!$P$5:$P$3004,$AS509)))</f>
        <v/>
      </c>
      <c r="R509" s="14">
        <f>IF($A509="","",IF(INDEX('潜水記録'!$Q$5:$Q$3004,$AS509)="","",INDEX('潜水記録'!$Q$5:$Q$3004,$AS509)))</f>
        <v/>
      </c>
      <c r="S509" s="14">
        <f>IF($A509="","",IF(INDEX('潜水記録'!$R$5:$R$3004,$AS509)="","",INDEX('潜水記録'!$R$5:$R$3004,$AS509)))</f>
        <v/>
      </c>
      <c r="T509" s="14">
        <f>IF($A509="","",IF(INDEX('潜水記録'!$S$5:$S$3004,$AS509)="","",INDEX('潜水記録'!$S$5:$S$3004,$AS509)))</f>
        <v/>
      </c>
      <c r="U509" s="14">
        <f>IF($A509="","",IF(INDEX('潜水記録'!$T$5:$T$3004,$AS509)="","",INDEX('潜水記録'!$T$5:$T$3004,$AS509)))</f>
        <v/>
      </c>
      <c r="V509" s="46">
        <f>IF($A509="","",IF(INDEX('潜水記録'!$U$5:$U$3004,$AS509)="","",INDEX('潜水記録'!$U$5:$U$3004,$AS509)))</f>
        <v/>
      </c>
      <c r="W509" s="46">
        <f>IF($A509="","",IF(INDEX('潜水記録'!$V$5:$V$3004,$AS509)="","",INDEX('潜水記録'!$V$5:$V$3004,$AS509)))</f>
        <v/>
      </c>
      <c r="X509" s="14">
        <f>IF($A509="","",IF(INDEX('潜水記録'!$W$5:$W$3004,$AS509)="","",INDEX('潜水記録'!$W$5:$W$3004,$AS509)))</f>
        <v/>
      </c>
      <c r="Y509" s="14">
        <f>IF($A509="","",IF(INDEX('潜水記録'!$X$5:$X$3004,$AS509)="","",INDEX('潜水記録'!$X$5:$X$3004,$AS509)))</f>
        <v/>
      </c>
      <c r="Z509" s="14">
        <f>IF($A509="","",IF(INDEX('潜水記録'!$Y$5:$Y$3004,$AS509)="","",INDEX('潜水記録'!$Y$5:$Y$3004,$AS509)))</f>
        <v/>
      </c>
      <c r="AA509" s="14">
        <f>IF($A509="","",IF(INDEX('潜水記録'!$Z$5:$Z$3004,$AS509)="","",INDEX('潜水記録'!$Z$5:$Z$3004,$AS509)))</f>
        <v/>
      </c>
      <c r="AB509" s="14">
        <f>IF($A509="","",IF(INDEX('潜水記録'!$AA$5:$AA$3004,$AS509)="","",INDEX('潜水記録'!$AA$5:$AA$3004,$AS509)))</f>
        <v/>
      </c>
      <c r="AC509" s="14">
        <f>IF($A509="","",IF(INDEX('潜水記録'!$AB$5:$AB$3004,$AS509)="","",INDEX('潜水記録'!$AB$5:$AB$3004,$AS509)))</f>
        <v/>
      </c>
      <c r="AD509" s="14">
        <f>IF($A509="","",IF(INDEX('潜水記録'!$AC$5:$AC$3004,$AS509)="","",INDEX('潜水記録'!$AC$5:$AC$3004,$AS509)))</f>
        <v/>
      </c>
      <c r="AE509" s="14">
        <f>IF($A509="","",IF(INDEX('潜水記録'!$AD$5:$AD$3004,$AS509)="","",INDEX('潜水記録'!$AD$5:$AD$3004,$AS509)))</f>
        <v/>
      </c>
      <c r="AF509" s="14">
        <f>IF($A509="","",IF(INDEX('潜水記録'!$AE$5:$AE$3004,$AS509)="","",INDEX('潜水記録'!$AE$5:$AE$3004,$AS509)))</f>
        <v/>
      </c>
      <c r="AG509" s="14">
        <f>IF($A509="","",IF(INDEX('潜水記録'!$AL$5:$AL$3004,$AS509)="","",INDEX('潜水記録'!$AL$5:$AL$3004,$AS509)))</f>
        <v/>
      </c>
      <c r="AH509" s="14">
        <f>IF($A509="","",IF(INDEX('潜水記録'!$AM$5:$AM$3004,$AS509)="","",INDEX('潜水記録'!$AM$5:$AM$3004,$AS509)))</f>
        <v/>
      </c>
      <c r="AI509" s="46">
        <f>IF($A509="","",IF(INDEX('潜水記録'!$AN$5:$AN$3004,$AS509)="","",INDEX('潜水記録'!$AN$5:$AN$3004,$AS509)))</f>
        <v/>
      </c>
      <c r="AJ509" s="14">
        <f>IF($A509="","",IF(INDEX('潜水記録'!$AO$5:$AO$3004,$AS509)="","",INDEX('潜水記録'!$AO$5:$AO$3004,$AS509)))</f>
        <v/>
      </c>
      <c r="AK509" s="14">
        <f>IF($A509="","",IF(INDEX('潜水記録'!$AP$5:$AP$3004,$AS509)="","",INDEX('潜水記録'!$AP$5:$AP$3004,$AS509)))</f>
        <v/>
      </c>
      <c r="AL509" s="14">
        <f>IF($A509="","",IF(INDEX('潜水記録'!$AQ$5:$AQ$3004,$AS509)="","",INDEX('潜水記録'!$AQ$5:$AQ$3004,$AS509)))</f>
        <v/>
      </c>
      <c r="AM509" s="14">
        <f>IF($A509="","",IF(INDEX('潜水記録'!$AR$5:$AR$3004,$AS509)="","",INDEX('潜水記録'!$AR$5:$AR$3004,$AS509)))</f>
        <v/>
      </c>
      <c r="AN509" s="14">
        <f>IF($A509="","",IF(INDEX('潜水記録'!$AS$5:$AS$3004,$AS509)="","",INDEX('潜水記録'!$AS$5:$AS$3004,$AS509)))</f>
        <v/>
      </c>
      <c r="AO509" s="14">
        <f>IF($A509="","",IF(INDEX('潜水記録'!$AT$5:$AT$3004,$AS509)="","",INDEX('潜水記録'!$AT$5:$AT$3004,$AS509)))</f>
        <v/>
      </c>
      <c r="AP509" s="14">
        <f>IF($A509="","",IF(INDEX('潜水記録'!$AU$5:$AU$3004,$AS509)="","",INDEX('潜水記録'!$AU$5:$AU$3004,$AS509)))</f>
        <v/>
      </c>
      <c r="AQ509" s="14">
        <f>IF($A509="","",IF(INDEX('潜水記録'!$AV$5:$AV$3004,$AS509)="","",INDEX('潜水記録'!$AV$5:$AV$3004,$AS509)))</f>
        <v/>
      </c>
      <c r="AR509" s="14">
        <f>IF($A509="","",IF(INDEX('潜水記録'!$AW$5:$AW$3004,$AS509)="","",INDEX('潜水記録'!$AW$5:$AW$3004,$AS509)))</f>
        <v/>
      </c>
      <c r="AS509" s="20">
        <f>IF($A509="","",MATCH($A509,'潜水記録'!$AI$5:$AI$3004,0))</f>
        <v/>
      </c>
    </row>
    <row r="510">
      <c r="A510" s="14">
        <f>IF(500&lt;=$C$8,500,"")</f>
        <v/>
      </c>
      <c r="B510" s="16">
        <f>IF($A510="","",IF(INDEX('潜水記録'!$A$5:$A$3004,$AS510)="","",INDEX('潜水記録'!$A$5:$A$3004,$AS510)))</f>
        <v/>
      </c>
      <c r="C510" s="14">
        <f>IF($A510="","",IF(INDEX('潜水記録'!$B$5:$B$3004,$AS510)="","",INDEX('潜水記録'!$B$5:$B$3004,$AS510)))</f>
        <v/>
      </c>
      <c r="D510" s="14">
        <f>IF($A510="","",IF(INDEX('潜水記録'!$C$5:$C$3004,$AS510)="","",INDEX('潜水記録'!$C$5:$C$3004,$AS510)))</f>
        <v/>
      </c>
      <c r="E510" s="14">
        <f>IF($A510="","",IF(INDEX('潜水記録'!$D$5:$D$3004,$AS510)="","",INDEX('潜水記録'!$D$5:$D$3004,$AS510)))</f>
        <v/>
      </c>
      <c r="F510" s="14">
        <f>IF($A510="","",IF(INDEX('潜水記録'!$E$5:$E$3004,$AS510)="","",INDEX('潜水記録'!$E$5:$E$3004,$AS510)))</f>
        <v/>
      </c>
      <c r="G510" s="14">
        <f>IF($A510="","",IF(INDEX('潜水記録'!$F$5:$F$3004,$AS510)="","",INDEX('潜水記録'!$F$5:$F$3004,$AS510)))</f>
        <v/>
      </c>
      <c r="H510" s="14">
        <f>IF($A510="","",IF(INDEX('潜水記録'!$G$5:$G$3004,$AS510)="","",INDEX('潜水記録'!$G$5:$G$3004,$AS510)))</f>
        <v/>
      </c>
      <c r="I510" s="14">
        <f>IF($A510="","",IF(INDEX('潜水記録'!$H$5:$H$3004,$AS510)="","",INDEX('潜水記録'!$H$5:$H$3004,$AS510)))</f>
        <v/>
      </c>
      <c r="J510" s="14">
        <f>IF($A510="","",IF(INDEX('潜水記録'!$I$5:$I$3004,$AS510)="","",INDEX('潜水記録'!$I$5:$I$3004,$AS510)))</f>
        <v/>
      </c>
      <c r="K510" s="14">
        <f>IF($A510="","",IF(INDEX('潜水記録'!$J$5:$J$3004,$AS510)="","",INDEX('潜水記録'!$J$5:$J$3004,$AS510)))</f>
        <v/>
      </c>
      <c r="L510" s="14">
        <f>IF($A510="","",IF(INDEX('潜水記録'!$K$5:$K$3004,$AS510)="","",INDEX('潜水記録'!$K$5:$K$3004,$AS510)))</f>
        <v/>
      </c>
      <c r="M510" s="14">
        <f>IF($A510="","",IF(INDEX('潜水記録'!$L$5:$L$3004,$AS510)="","",INDEX('潜水記録'!$L$5:$L$3004,$AS510)))</f>
        <v/>
      </c>
      <c r="N510" s="14">
        <f>IF($A510="","",IF(INDEX('潜水記録'!$M$5:$M$3004,$AS510)="","",INDEX('潜水記録'!$M$5:$M$3004,$AS510)))</f>
        <v/>
      </c>
      <c r="O510" s="14">
        <f>IF($A510="","",IF(INDEX('潜水記録'!$N$5:$N$3004,$AS510)="","",INDEX('潜水記録'!$N$5:$N$3004,$AS510)))</f>
        <v/>
      </c>
      <c r="P510" s="14">
        <f>IF($A510="","",IF(INDEX('潜水記録'!$O$5:$O$3004,$AS510)="","",INDEX('潜水記録'!$O$5:$O$3004,$AS510)))</f>
        <v/>
      </c>
      <c r="Q510" s="14">
        <f>IF($A510="","",IF(INDEX('潜水記録'!$P$5:$P$3004,$AS510)="","",INDEX('潜水記録'!$P$5:$P$3004,$AS510)))</f>
        <v/>
      </c>
      <c r="R510" s="14">
        <f>IF($A510="","",IF(INDEX('潜水記録'!$Q$5:$Q$3004,$AS510)="","",INDEX('潜水記録'!$Q$5:$Q$3004,$AS510)))</f>
        <v/>
      </c>
      <c r="S510" s="14">
        <f>IF($A510="","",IF(INDEX('潜水記録'!$R$5:$R$3004,$AS510)="","",INDEX('潜水記録'!$R$5:$R$3004,$AS510)))</f>
        <v/>
      </c>
      <c r="T510" s="14">
        <f>IF($A510="","",IF(INDEX('潜水記録'!$S$5:$S$3004,$AS510)="","",INDEX('潜水記録'!$S$5:$S$3004,$AS510)))</f>
        <v/>
      </c>
      <c r="U510" s="14">
        <f>IF($A510="","",IF(INDEX('潜水記録'!$T$5:$T$3004,$AS510)="","",INDEX('潜水記録'!$T$5:$T$3004,$AS510)))</f>
        <v/>
      </c>
      <c r="V510" s="46">
        <f>IF($A510="","",IF(INDEX('潜水記録'!$U$5:$U$3004,$AS510)="","",INDEX('潜水記録'!$U$5:$U$3004,$AS510)))</f>
        <v/>
      </c>
      <c r="W510" s="46">
        <f>IF($A510="","",IF(INDEX('潜水記録'!$V$5:$V$3004,$AS510)="","",INDEX('潜水記録'!$V$5:$V$3004,$AS510)))</f>
        <v/>
      </c>
      <c r="X510" s="14">
        <f>IF($A510="","",IF(INDEX('潜水記録'!$W$5:$W$3004,$AS510)="","",INDEX('潜水記録'!$W$5:$W$3004,$AS510)))</f>
        <v/>
      </c>
      <c r="Y510" s="14">
        <f>IF($A510="","",IF(INDEX('潜水記録'!$X$5:$X$3004,$AS510)="","",INDEX('潜水記録'!$X$5:$X$3004,$AS510)))</f>
        <v/>
      </c>
      <c r="Z510" s="14">
        <f>IF($A510="","",IF(INDEX('潜水記録'!$Y$5:$Y$3004,$AS510)="","",INDEX('潜水記録'!$Y$5:$Y$3004,$AS510)))</f>
        <v/>
      </c>
      <c r="AA510" s="14">
        <f>IF($A510="","",IF(INDEX('潜水記録'!$Z$5:$Z$3004,$AS510)="","",INDEX('潜水記録'!$Z$5:$Z$3004,$AS510)))</f>
        <v/>
      </c>
      <c r="AB510" s="14">
        <f>IF($A510="","",IF(INDEX('潜水記録'!$AA$5:$AA$3004,$AS510)="","",INDEX('潜水記録'!$AA$5:$AA$3004,$AS510)))</f>
        <v/>
      </c>
      <c r="AC510" s="14">
        <f>IF($A510="","",IF(INDEX('潜水記録'!$AB$5:$AB$3004,$AS510)="","",INDEX('潜水記録'!$AB$5:$AB$3004,$AS510)))</f>
        <v/>
      </c>
      <c r="AD510" s="14">
        <f>IF($A510="","",IF(INDEX('潜水記録'!$AC$5:$AC$3004,$AS510)="","",INDEX('潜水記録'!$AC$5:$AC$3004,$AS510)))</f>
        <v/>
      </c>
      <c r="AE510" s="14">
        <f>IF($A510="","",IF(INDEX('潜水記録'!$AD$5:$AD$3004,$AS510)="","",INDEX('潜水記録'!$AD$5:$AD$3004,$AS510)))</f>
        <v/>
      </c>
      <c r="AF510" s="14">
        <f>IF($A510="","",IF(INDEX('潜水記録'!$AE$5:$AE$3004,$AS510)="","",INDEX('潜水記録'!$AE$5:$AE$3004,$AS510)))</f>
        <v/>
      </c>
      <c r="AG510" s="14">
        <f>IF($A510="","",IF(INDEX('潜水記録'!$AL$5:$AL$3004,$AS510)="","",INDEX('潜水記録'!$AL$5:$AL$3004,$AS510)))</f>
        <v/>
      </c>
      <c r="AH510" s="14">
        <f>IF($A510="","",IF(INDEX('潜水記録'!$AM$5:$AM$3004,$AS510)="","",INDEX('潜水記録'!$AM$5:$AM$3004,$AS510)))</f>
        <v/>
      </c>
      <c r="AI510" s="46">
        <f>IF($A510="","",IF(INDEX('潜水記録'!$AN$5:$AN$3004,$AS510)="","",INDEX('潜水記録'!$AN$5:$AN$3004,$AS510)))</f>
        <v/>
      </c>
      <c r="AJ510" s="14">
        <f>IF($A510="","",IF(INDEX('潜水記録'!$AO$5:$AO$3004,$AS510)="","",INDEX('潜水記録'!$AO$5:$AO$3004,$AS510)))</f>
        <v/>
      </c>
      <c r="AK510" s="14">
        <f>IF($A510="","",IF(INDEX('潜水記録'!$AP$5:$AP$3004,$AS510)="","",INDEX('潜水記録'!$AP$5:$AP$3004,$AS510)))</f>
        <v/>
      </c>
      <c r="AL510" s="14">
        <f>IF($A510="","",IF(INDEX('潜水記録'!$AQ$5:$AQ$3004,$AS510)="","",INDEX('潜水記録'!$AQ$5:$AQ$3004,$AS510)))</f>
        <v/>
      </c>
      <c r="AM510" s="14">
        <f>IF($A510="","",IF(INDEX('潜水記録'!$AR$5:$AR$3004,$AS510)="","",INDEX('潜水記録'!$AR$5:$AR$3004,$AS510)))</f>
        <v/>
      </c>
      <c r="AN510" s="14">
        <f>IF($A510="","",IF(INDEX('潜水記録'!$AS$5:$AS$3004,$AS510)="","",INDEX('潜水記録'!$AS$5:$AS$3004,$AS510)))</f>
        <v/>
      </c>
      <c r="AO510" s="14">
        <f>IF($A510="","",IF(INDEX('潜水記録'!$AT$5:$AT$3004,$AS510)="","",INDEX('潜水記録'!$AT$5:$AT$3004,$AS510)))</f>
        <v/>
      </c>
      <c r="AP510" s="14">
        <f>IF($A510="","",IF(INDEX('潜水記録'!$AU$5:$AU$3004,$AS510)="","",INDEX('潜水記録'!$AU$5:$AU$3004,$AS510)))</f>
        <v/>
      </c>
      <c r="AQ510" s="14">
        <f>IF($A510="","",IF(INDEX('潜水記録'!$AV$5:$AV$3004,$AS510)="","",INDEX('潜水記録'!$AV$5:$AV$3004,$AS510)))</f>
        <v/>
      </c>
      <c r="AR510" s="14">
        <f>IF($A510="","",IF(INDEX('潜水記録'!$AW$5:$AW$3004,$AS510)="","",INDEX('潜水記録'!$AW$5:$AW$3004,$AS510)))</f>
        <v/>
      </c>
      <c r="AS510" s="20">
        <f>IF($A510="","",MATCH($A510,'潜水記録'!$AI$5:$AI$3004,0))</f>
        <v/>
      </c>
    </row>
  </sheetData>
  <mergeCells count="1">
    <mergeCell ref="A1:D1"/>
  </mergeCells>
  <dataValidations count="2">
    <dataValidation sqref="C6" showDropDown="0" showInputMessage="0" showErrorMessage="0" allowBlank="1" errorTitle="入力できない値です" error="プルダウンから選んでください（選択肢シートで追加できます）" type="list">
      <formula1>=L_抽出区分</formula1>
    </dataValidation>
    <dataValidation sqref="C7" showDropDown="0" showInputMessage="0" showErrorMessage="0" allowBlank="1" errorTitle="入力できない値です" error="プルダウンから選んでください（選択肢シートで追加できます）" type="list">
      <formula1>=L_職員番号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04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7" customWidth="1" min="3" max="3"/>
    <col width="22" customWidth="1" min="4" max="4"/>
    <col width="14" customWidth="1" min="5" max="5"/>
    <col width="11" customWidth="1" min="6" max="6"/>
    <col width="15" customWidth="1" min="7" max="7"/>
    <col width="15" customWidth="1" min="8" max="8"/>
    <col width="7" customWidth="1" min="9" max="9"/>
    <col width="8" customWidth="1" min="10" max="10"/>
    <col width="10" customWidth="1" min="11" max="11"/>
    <col width="26" customWidth="1" min="12" max="12"/>
    <col width="22" customWidth="1" min="13" max="13"/>
    <col width="8" customWidth="1" min="14" max="14"/>
    <col width="8" customWidth="1" min="15" max="15"/>
    <col width="15" customWidth="1" min="16" max="16"/>
  </cols>
  <sheetData>
    <row r="1" ht="34" customHeight="1">
      <c r="A1" s="1" t="inlineStr">
        <is>
          <t>事案</t>
        </is>
      </c>
      <c r="B1" s="2" t="n"/>
      <c r="C1" s="2" t="n"/>
      <c r="D1" s="2" t="n"/>
      <c r="E1" s="2" t="n"/>
    </row>
    <row r="2">
      <c r="A2" s="3" t="inlineStr">
        <is>
          <t>1事案1行。アプリのCSVを取り込むと自動で追加されます。手で追加するときは、事案IDを重ならないように付けてください（例：20261024-01）。</t>
        </is>
      </c>
    </row>
    <row r="4" ht="32" customHeight="1">
      <c r="A4" s="13" t="inlineStr">
        <is>
          <t>事案ID</t>
        </is>
      </c>
      <c r="B4" s="13" t="inlineStr">
        <is>
          <t>日付</t>
        </is>
      </c>
      <c r="C4" s="13" t="inlineStr">
        <is>
          <t>区分</t>
        </is>
      </c>
      <c r="D4" s="13" t="inlineStr">
        <is>
          <t>事案名</t>
        </is>
      </c>
      <c r="E4" s="13" t="inlineStr">
        <is>
          <t>地点</t>
        </is>
      </c>
      <c r="F4" s="13" t="inlineStr">
        <is>
          <t>指揮者</t>
        </is>
      </c>
      <c r="G4" s="13" t="inlineStr">
        <is>
          <t>開始</t>
        </is>
      </c>
      <c r="H4" s="13" t="inlineStr">
        <is>
          <t>終了</t>
        </is>
      </c>
      <c r="I4" s="13" t="inlineStr">
        <is>
          <t>水温(℃)</t>
        </is>
      </c>
      <c r="J4" s="13" t="inlineStr">
        <is>
          <t>透視度(m)</t>
        </is>
      </c>
      <c r="K4" s="13" t="inlineStr">
        <is>
          <t>海況</t>
        </is>
      </c>
      <c r="L4" s="13" t="inlineStr">
        <is>
          <t>備考</t>
        </is>
      </c>
      <c r="M4" s="13" t="inlineStr">
        <is>
          <t>潜水表</t>
        </is>
      </c>
      <c r="N4" s="13" t="inlineStr">
        <is>
          <t>潜水員（自動）</t>
        </is>
      </c>
      <c r="O4" s="13" t="inlineStr">
        <is>
          <t>本数（自動）</t>
        </is>
      </c>
      <c r="P4" s="13" t="inlineStr">
        <is>
          <t>取り込み日時</t>
        </is>
      </c>
    </row>
    <row r="5">
      <c r="A5" s="47" t="inlineStr">
        <is>
          <t>S-20250514</t>
        </is>
      </c>
      <c r="B5" s="48" t="n">
        <v>45791</v>
      </c>
      <c r="C5" s="47" t="inlineStr">
        <is>
          <t>訓練</t>
        </is>
      </c>
      <c r="D5" s="47" t="inlineStr">
        <is>
          <t>定期潜水訓練</t>
        </is>
      </c>
      <c r="E5" s="47" t="inlineStr">
        <is>
          <t>平良港</t>
        </is>
      </c>
      <c r="F5" s="47" t="inlineStr">
        <is>
          <t>見本 一郎</t>
        </is>
      </c>
      <c r="G5" s="47" t="inlineStr">
        <is>
          <t>2025/05/14 09:00</t>
        </is>
      </c>
      <c r="H5" s="47" t="inlineStr">
        <is>
          <t>2025/05/14 11:30</t>
        </is>
      </c>
      <c r="I5" s="47" t="n">
        <v>24</v>
      </c>
      <c r="J5" s="47" t="n">
        <v>8</v>
      </c>
      <c r="K5" s="47" t="inlineStr">
        <is>
          <t>凪</t>
        </is>
      </c>
      <c r="L5" s="47" t="n"/>
      <c r="M5" s="47" t="inlineStr">
        <is>
          <t>NAUI ダイブテーブル・2022年版</t>
        </is>
      </c>
      <c r="N5" s="49">
        <f>IF(A5="","",COUNTIFS('潜水記録'!$S$5:$S$3004,A5,'潜水記録'!$T$5:$T$3004,1))</f>
        <v/>
      </c>
      <c r="O5" s="49">
        <f>IF(A5="","",COUNTIF('潜水記録'!$S$5:$S$3004,A5))</f>
        <v/>
      </c>
      <c r="P5" t="inlineStr">
        <is>
          <t>見本</t>
        </is>
      </c>
    </row>
    <row r="6">
      <c r="A6" s="47" t="inlineStr">
        <is>
          <t>S-20250821</t>
        </is>
      </c>
      <c r="B6" s="48" t="n">
        <v>45890</v>
      </c>
      <c r="C6" s="47" t="inlineStr">
        <is>
          <t>災害</t>
        </is>
      </c>
      <c r="D6" s="47" t="inlineStr">
        <is>
          <t>水難事故 水中検索</t>
        </is>
      </c>
      <c r="E6" s="47" t="inlineStr">
        <is>
          <t>渡口の浜</t>
        </is>
      </c>
      <c r="F6" s="47" t="inlineStr">
        <is>
          <t>見本 二郎</t>
        </is>
      </c>
      <c r="G6" s="47" t="inlineStr">
        <is>
          <t>2025/08/21 14:05</t>
        </is>
      </c>
      <c r="H6" s="47" t="inlineStr">
        <is>
          <t>2025/08/21 16:10</t>
        </is>
      </c>
      <c r="I6" s="47" t="n">
        <v>29</v>
      </c>
      <c r="J6" s="47" t="n">
        <v>15</v>
      </c>
      <c r="K6" s="47" t="inlineStr">
        <is>
          <t>やや波あり</t>
        </is>
      </c>
      <c r="L6" s="47" t="inlineStr">
        <is>
          <t>要救助者を発見し引き上げ</t>
        </is>
      </c>
      <c r="M6" s="47" t="inlineStr">
        <is>
          <t>NAUI ダイブテーブル・2022年版</t>
        </is>
      </c>
      <c r="N6" s="49">
        <f>IF(A6="","",COUNTIFS('潜水記録'!$S$5:$S$3004,A6,'潜水記録'!$T$5:$T$3004,1))</f>
        <v/>
      </c>
      <c r="O6" s="49">
        <f>IF(A6="","",COUNTIF('潜水記録'!$S$5:$S$3004,A6))</f>
        <v/>
      </c>
      <c r="P6" t="inlineStr">
        <is>
          <t>見本</t>
        </is>
      </c>
    </row>
    <row r="7">
      <c r="A7" s="47" t="inlineStr">
        <is>
          <t>S-20260624</t>
        </is>
      </c>
      <c r="B7" s="48" t="n">
        <v>46197</v>
      </c>
      <c r="C7" s="47" t="inlineStr">
        <is>
          <t>災害</t>
        </is>
      </c>
      <c r="D7" s="47" t="inlineStr">
        <is>
          <t>車両転落 水中検索</t>
        </is>
      </c>
      <c r="E7" s="47" t="inlineStr">
        <is>
          <t>平良港</t>
        </is>
      </c>
      <c r="F7" s="47" t="inlineStr">
        <is>
          <t>見本 二郎</t>
        </is>
      </c>
      <c r="G7" s="47" t="inlineStr">
        <is>
          <t>2026/06/24 10:00</t>
        </is>
      </c>
      <c r="H7" s="47" t="inlineStr">
        <is>
          <t>2026/06/24 12:40</t>
        </is>
      </c>
      <c r="I7" s="47" t="n">
        <v>27</v>
      </c>
      <c r="J7" s="47" t="n">
        <v>6</v>
      </c>
      <c r="K7" s="47" t="inlineStr">
        <is>
          <t>凪</t>
        </is>
      </c>
      <c r="L7" s="47" t="n"/>
      <c r="M7" s="47" t="inlineStr">
        <is>
          <t>NAUI ダイブテーブル・2022年版</t>
        </is>
      </c>
      <c r="N7" s="49">
        <f>IF(A7="","",COUNTIFS('潜水記録'!$S$5:$S$3004,A7,'潜水記録'!$T$5:$T$3004,1))</f>
        <v/>
      </c>
      <c r="O7" s="49">
        <f>IF(A7="","",COUNTIF('潜水記録'!$S$5:$S$3004,A7))</f>
        <v/>
      </c>
      <c r="P7" t="inlineStr">
        <is>
          <t>見本</t>
        </is>
      </c>
    </row>
    <row r="8">
      <c r="A8" s="47" t="inlineStr">
        <is>
          <t>S-20260916</t>
        </is>
      </c>
      <c r="B8" s="48" t="n">
        <v>46281</v>
      </c>
      <c r="C8" s="47" t="inlineStr">
        <is>
          <t>訓練</t>
        </is>
      </c>
      <c r="D8" s="47" t="inlineStr">
        <is>
          <t>定期潜水訓練</t>
        </is>
      </c>
      <c r="E8" s="47" t="inlineStr">
        <is>
          <t>佐良浜漁港</t>
        </is>
      </c>
      <c r="F8" s="47" t="inlineStr">
        <is>
          <t>見本 一郎</t>
        </is>
      </c>
      <c r="G8" s="47" t="inlineStr">
        <is>
          <t>2026/09/16 09:00</t>
        </is>
      </c>
      <c r="H8" s="47" t="inlineStr">
        <is>
          <t>2026/09/16 11:50</t>
        </is>
      </c>
      <c r="I8" s="47" t="n">
        <v>28</v>
      </c>
      <c r="J8" s="47" t="n">
        <v>20</v>
      </c>
      <c r="K8" s="47" t="inlineStr">
        <is>
          <t>凪</t>
        </is>
      </c>
      <c r="L8" s="47" t="n"/>
      <c r="M8" s="47" t="inlineStr">
        <is>
          <t>NAUI ダイブテーブル・2022年版</t>
        </is>
      </c>
      <c r="N8" s="49">
        <f>IF(A8="","",COUNTIFS('潜水記録'!$S$5:$S$3004,A8,'潜水記録'!$T$5:$T$3004,1))</f>
        <v/>
      </c>
      <c r="O8" s="49">
        <f>IF(A8="","",COUNTIF('潜水記録'!$S$5:$S$3004,A8))</f>
        <v/>
      </c>
      <c r="P8" t="inlineStr">
        <is>
          <t>見本</t>
        </is>
      </c>
    </row>
    <row r="9">
      <c r="A9" s="47" t="n"/>
      <c r="B9" s="48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9">
        <f>IF(A9="","",COUNTIFS('潜水記録'!$S$5:$S$3004,A9,'潜水記録'!$T$5:$T$3004,1))</f>
        <v/>
      </c>
      <c r="O9" s="49">
        <f>IF(A9="","",COUNTIF('潜水記録'!$S$5:$S$3004,A9))</f>
        <v/>
      </c>
    </row>
    <row r="10">
      <c r="A10" s="47" t="n"/>
      <c r="B10" s="48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9">
        <f>IF(A10="","",COUNTIFS('潜水記録'!$S$5:$S$3004,A10,'潜水記録'!$T$5:$T$3004,1))</f>
        <v/>
      </c>
      <c r="O10" s="49">
        <f>IF(A10="","",COUNTIF('潜水記録'!$S$5:$S$3004,A10))</f>
        <v/>
      </c>
    </row>
    <row r="11">
      <c r="A11" s="47" t="n"/>
      <c r="B11" s="48" t="n"/>
      <c r="C11" s="47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9">
        <f>IF(A11="","",COUNTIFS('潜水記録'!$S$5:$S$3004,A11,'潜水記録'!$T$5:$T$3004,1))</f>
        <v/>
      </c>
      <c r="O11" s="49">
        <f>IF(A11="","",COUNTIF('潜水記録'!$S$5:$S$3004,A11))</f>
        <v/>
      </c>
    </row>
    <row r="12">
      <c r="A12" s="47" t="n"/>
      <c r="B12" s="48" t="n"/>
      <c r="C12" s="47" t="n"/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9">
        <f>IF(A12="","",COUNTIFS('潜水記録'!$S$5:$S$3004,A12,'潜水記録'!$T$5:$T$3004,1))</f>
        <v/>
      </c>
      <c r="O12" s="49">
        <f>IF(A12="","",COUNTIF('潜水記録'!$S$5:$S$3004,A12))</f>
        <v/>
      </c>
    </row>
    <row r="13">
      <c r="A13" s="47" t="n"/>
      <c r="B13" s="48" t="n"/>
      <c r="C13" s="47" t="n"/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9">
        <f>IF(A13="","",COUNTIFS('潜水記録'!$S$5:$S$3004,A13,'潜水記録'!$T$5:$T$3004,1))</f>
        <v/>
      </c>
      <c r="O13" s="49">
        <f>IF(A13="","",COUNTIF('潜水記録'!$S$5:$S$3004,A13))</f>
        <v/>
      </c>
    </row>
    <row r="14">
      <c r="A14" s="47" t="n"/>
      <c r="B14" s="48" t="n"/>
      <c r="C14" s="47" t="n"/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9">
        <f>IF(A14="","",COUNTIFS('潜水記録'!$S$5:$S$3004,A14,'潜水記録'!$T$5:$T$3004,1))</f>
        <v/>
      </c>
      <c r="O14" s="49">
        <f>IF(A14="","",COUNTIF('潜水記録'!$S$5:$S$3004,A14))</f>
        <v/>
      </c>
    </row>
    <row r="15">
      <c r="A15" s="47" t="n"/>
      <c r="B15" s="48" t="n"/>
      <c r="C15" s="47" t="n"/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9">
        <f>IF(A15="","",COUNTIFS('潜水記録'!$S$5:$S$3004,A15,'潜水記録'!$T$5:$T$3004,1))</f>
        <v/>
      </c>
      <c r="O15" s="49">
        <f>IF(A15="","",COUNTIF('潜水記録'!$S$5:$S$3004,A15))</f>
        <v/>
      </c>
    </row>
    <row r="16">
      <c r="A16" s="47" t="n"/>
      <c r="B16" s="48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9">
        <f>IF(A16="","",COUNTIFS('潜水記録'!$S$5:$S$3004,A16,'潜水記録'!$T$5:$T$3004,1))</f>
        <v/>
      </c>
      <c r="O16" s="49">
        <f>IF(A16="","",COUNTIF('潜水記録'!$S$5:$S$3004,A16))</f>
        <v/>
      </c>
    </row>
    <row r="17">
      <c r="A17" s="47" t="n"/>
      <c r="B17" s="48" t="n"/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9">
        <f>IF(A17="","",COUNTIFS('潜水記録'!$S$5:$S$3004,A17,'潜水記録'!$T$5:$T$3004,1))</f>
        <v/>
      </c>
      <c r="O17" s="49">
        <f>IF(A17="","",COUNTIF('潜水記録'!$S$5:$S$3004,A17))</f>
        <v/>
      </c>
    </row>
    <row r="18">
      <c r="A18" s="47" t="n"/>
      <c r="B18" s="48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9">
        <f>IF(A18="","",COUNTIFS('潜水記録'!$S$5:$S$3004,A18,'潜水記録'!$T$5:$T$3004,1))</f>
        <v/>
      </c>
      <c r="O18" s="49">
        <f>IF(A18="","",COUNTIF('潜水記録'!$S$5:$S$3004,A18))</f>
        <v/>
      </c>
    </row>
    <row r="19">
      <c r="A19" s="47" t="n"/>
      <c r="B19" s="48" t="n"/>
      <c r="C19" s="47" t="n"/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9">
        <f>IF(A19="","",COUNTIFS('潜水記録'!$S$5:$S$3004,A19,'潜水記録'!$T$5:$T$3004,1))</f>
        <v/>
      </c>
      <c r="O19" s="49">
        <f>IF(A19="","",COUNTIF('潜水記録'!$S$5:$S$3004,A19))</f>
        <v/>
      </c>
    </row>
    <row r="20">
      <c r="A20" s="47" t="n"/>
      <c r="B20" s="48" t="n"/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9">
        <f>IF(A20="","",COUNTIFS('潜水記録'!$S$5:$S$3004,A20,'潜水記録'!$T$5:$T$3004,1))</f>
        <v/>
      </c>
      <c r="O20" s="49">
        <f>IF(A20="","",COUNTIF('潜水記録'!$S$5:$S$3004,A20))</f>
        <v/>
      </c>
    </row>
    <row r="21">
      <c r="A21" s="47" t="n"/>
      <c r="B21" s="48" t="n"/>
      <c r="C21" s="47" t="n"/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9">
        <f>IF(A21="","",COUNTIFS('潜水記録'!$S$5:$S$3004,A21,'潜水記録'!$T$5:$T$3004,1))</f>
        <v/>
      </c>
      <c r="O21" s="49">
        <f>IF(A21="","",COUNTIF('潜水記録'!$S$5:$S$3004,A21))</f>
        <v/>
      </c>
    </row>
    <row r="22">
      <c r="A22" s="47" t="n"/>
      <c r="B22" s="48" t="n"/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9">
        <f>IF(A22="","",COUNTIFS('潜水記録'!$S$5:$S$3004,A22,'潜水記録'!$T$5:$T$3004,1))</f>
        <v/>
      </c>
      <c r="O22" s="49">
        <f>IF(A22="","",COUNTIF('潜水記録'!$S$5:$S$3004,A22))</f>
        <v/>
      </c>
    </row>
    <row r="23">
      <c r="A23" s="47" t="n"/>
      <c r="B23" s="48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9">
        <f>IF(A23="","",COUNTIFS('潜水記録'!$S$5:$S$3004,A23,'潜水記録'!$T$5:$T$3004,1))</f>
        <v/>
      </c>
      <c r="O23" s="49">
        <f>IF(A23="","",COUNTIF('潜水記録'!$S$5:$S$3004,A23))</f>
        <v/>
      </c>
    </row>
    <row r="24">
      <c r="A24" s="47" t="n"/>
      <c r="B24" s="48" t="n"/>
      <c r="C24" s="47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9">
        <f>IF(A24="","",COUNTIFS('潜水記録'!$S$5:$S$3004,A24,'潜水記録'!$T$5:$T$3004,1))</f>
        <v/>
      </c>
      <c r="O24" s="49">
        <f>IF(A24="","",COUNTIF('潜水記録'!$S$5:$S$3004,A24))</f>
        <v/>
      </c>
    </row>
    <row r="25">
      <c r="A25" s="47" t="n"/>
      <c r="B25" s="48" t="n"/>
      <c r="C25" s="47" t="n"/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9">
        <f>IF(A25="","",COUNTIFS('潜水記録'!$S$5:$S$3004,A25,'潜水記録'!$T$5:$T$3004,1))</f>
        <v/>
      </c>
      <c r="O25" s="49">
        <f>IF(A25="","",COUNTIF('潜水記録'!$S$5:$S$3004,A25))</f>
        <v/>
      </c>
    </row>
    <row r="26">
      <c r="A26" s="47" t="n"/>
      <c r="B26" s="48" t="n"/>
      <c r="C26" s="47" t="n"/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9">
        <f>IF(A26="","",COUNTIFS('潜水記録'!$S$5:$S$3004,A26,'潜水記録'!$T$5:$T$3004,1))</f>
        <v/>
      </c>
      <c r="O26" s="49">
        <f>IF(A26="","",COUNTIF('潜水記録'!$S$5:$S$3004,A26))</f>
        <v/>
      </c>
    </row>
    <row r="27">
      <c r="A27" s="47" t="n"/>
      <c r="B27" s="48" t="n"/>
      <c r="C27" s="47" t="n"/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9">
        <f>IF(A27="","",COUNTIFS('潜水記録'!$S$5:$S$3004,A27,'潜水記録'!$T$5:$T$3004,1))</f>
        <v/>
      </c>
      <c r="O27" s="49">
        <f>IF(A27="","",COUNTIF('潜水記録'!$S$5:$S$3004,A27))</f>
        <v/>
      </c>
    </row>
    <row r="28">
      <c r="A28" s="47" t="n"/>
      <c r="B28" s="48" t="n"/>
      <c r="C28" s="47" t="n"/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9">
        <f>IF(A28="","",COUNTIFS('潜水記録'!$S$5:$S$3004,A28,'潜水記録'!$T$5:$T$3004,1))</f>
        <v/>
      </c>
      <c r="O28" s="49">
        <f>IF(A28="","",COUNTIF('潜水記録'!$S$5:$S$3004,A28))</f>
        <v/>
      </c>
    </row>
    <row r="29">
      <c r="A29" s="47" t="n"/>
      <c r="B29" s="48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9">
        <f>IF(A29="","",COUNTIFS('潜水記録'!$S$5:$S$3004,A29,'潜水記録'!$T$5:$T$3004,1))</f>
        <v/>
      </c>
      <c r="O29" s="49">
        <f>IF(A29="","",COUNTIF('潜水記録'!$S$5:$S$3004,A29))</f>
        <v/>
      </c>
    </row>
    <row r="30">
      <c r="A30" s="47" t="n"/>
      <c r="B30" s="48" t="n"/>
      <c r="C30" s="47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9">
        <f>IF(A30="","",COUNTIFS('潜水記録'!$S$5:$S$3004,A30,'潜水記録'!$T$5:$T$3004,1))</f>
        <v/>
      </c>
      <c r="O30" s="49">
        <f>IF(A30="","",COUNTIF('潜水記録'!$S$5:$S$3004,A30))</f>
        <v/>
      </c>
    </row>
    <row r="31">
      <c r="A31" s="47" t="n"/>
      <c r="B31" s="48" t="n"/>
      <c r="C31" s="47" t="n"/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9">
        <f>IF(A31="","",COUNTIFS('潜水記録'!$S$5:$S$3004,A31,'潜水記録'!$T$5:$T$3004,1))</f>
        <v/>
      </c>
      <c r="O31" s="49">
        <f>IF(A31="","",COUNTIF('潜水記録'!$S$5:$S$3004,A31))</f>
        <v/>
      </c>
    </row>
    <row r="32">
      <c r="A32" s="47" t="n"/>
      <c r="B32" s="48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9">
        <f>IF(A32="","",COUNTIFS('潜水記録'!$S$5:$S$3004,A32,'潜水記録'!$T$5:$T$3004,1))</f>
        <v/>
      </c>
      <c r="O32" s="49">
        <f>IF(A32="","",COUNTIF('潜水記録'!$S$5:$S$3004,A32))</f>
        <v/>
      </c>
    </row>
    <row r="33">
      <c r="A33" s="47" t="n"/>
      <c r="B33" s="48" t="n"/>
      <c r="C33" s="47" t="n"/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9">
        <f>IF(A33="","",COUNTIFS('潜水記録'!$S$5:$S$3004,A33,'潜水記録'!$T$5:$T$3004,1))</f>
        <v/>
      </c>
      <c r="O33" s="49">
        <f>IF(A33="","",COUNTIF('潜水記録'!$S$5:$S$3004,A33))</f>
        <v/>
      </c>
    </row>
    <row r="34">
      <c r="A34" s="47" t="n"/>
      <c r="B34" s="48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9">
        <f>IF(A34="","",COUNTIFS('潜水記録'!$S$5:$S$3004,A34,'潜水記録'!$T$5:$T$3004,1))</f>
        <v/>
      </c>
      <c r="O34" s="49">
        <f>IF(A34="","",COUNTIF('潜水記録'!$S$5:$S$3004,A34))</f>
        <v/>
      </c>
    </row>
    <row r="35">
      <c r="A35" s="47" t="n"/>
      <c r="B35" s="48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9">
        <f>IF(A35="","",COUNTIFS('潜水記録'!$S$5:$S$3004,A35,'潜水記録'!$T$5:$T$3004,1))</f>
        <v/>
      </c>
      <c r="O35" s="49">
        <f>IF(A35="","",COUNTIF('潜水記録'!$S$5:$S$3004,A35))</f>
        <v/>
      </c>
    </row>
    <row r="36">
      <c r="A36" s="47" t="n"/>
      <c r="B36" s="48" t="n"/>
      <c r="C36" s="47" t="n"/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9">
        <f>IF(A36="","",COUNTIFS('潜水記録'!$S$5:$S$3004,A36,'潜水記録'!$T$5:$T$3004,1))</f>
        <v/>
      </c>
      <c r="O36" s="49">
        <f>IF(A36="","",COUNTIF('潜水記録'!$S$5:$S$3004,A36))</f>
        <v/>
      </c>
    </row>
    <row r="37">
      <c r="A37" s="47" t="n"/>
      <c r="B37" s="48" t="n"/>
      <c r="C37" s="47" t="n"/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9">
        <f>IF(A37="","",COUNTIFS('潜水記録'!$S$5:$S$3004,A37,'潜水記録'!$T$5:$T$3004,1))</f>
        <v/>
      </c>
      <c r="O37" s="49">
        <f>IF(A37="","",COUNTIF('潜水記録'!$S$5:$S$3004,A37))</f>
        <v/>
      </c>
    </row>
    <row r="38">
      <c r="A38" s="47" t="n"/>
      <c r="B38" s="48" t="n"/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9">
        <f>IF(A38="","",COUNTIFS('潜水記録'!$S$5:$S$3004,A38,'潜水記録'!$T$5:$T$3004,1))</f>
        <v/>
      </c>
      <c r="O38" s="49">
        <f>IF(A38="","",COUNTIF('潜水記録'!$S$5:$S$3004,A38))</f>
        <v/>
      </c>
    </row>
    <row r="39">
      <c r="A39" s="47" t="n"/>
      <c r="B39" s="48" t="n"/>
      <c r="C39" s="47" t="n"/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9">
        <f>IF(A39="","",COUNTIFS('潜水記録'!$S$5:$S$3004,A39,'潜水記録'!$T$5:$T$3004,1))</f>
        <v/>
      </c>
      <c r="O39" s="49">
        <f>IF(A39="","",COUNTIF('潜水記録'!$S$5:$S$3004,A39))</f>
        <v/>
      </c>
    </row>
    <row r="40">
      <c r="A40" s="47" t="n"/>
      <c r="B40" s="48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9">
        <f>IF(A40="","",COUNTIFS('潜水記録'!$S$5:$S$3004,A40,'潜水記録'!$T$5:$T$3004,1))</f>
        <v/>
      </c>
      <c r="O40" s="49">
        <f>IF(A40="","",COUNTIF('潜水記録'!$S$5:$S$3004,A40))</f>
        <v/>
      </c>
    </row>
    <row r="41">
      <c r="A41" s="47" t="n"/>
      <c r="B41" s="48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9">
        <f>IF(A41="","",COUNTIFS('潜水記録'!$S$5:$S$3004,A41,'潜水記録'!$T$5:$T$3004,1))</f>
        <v/>
      </c>
      <c r="O41" s="49">
        <f>IF(A41="","",COUNTIF('潜水記録'!$S$5:$S$3004,A41))</f>
        <v/>
      </c>
    </row>
    <row r="42">
      <c r="A42" s="47" t="n"/>
      <c r="B42" s="48" t="n"/>
      <c r="C42" s="47" t="n"/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9">
        <f>IF(A42="","",COUNTIFS('潜水記録'!$S$5:$S$3004,A42,'潜水記録'!$T$5:$T$3004,1))</f>
        <v/>
      </c>
      <c r="O42" s="49">
        <f>IF(A42="","",COUNTIF('潜水記録'!$S$5:$S$3004,A42))</f>
        <v/>
      </c>
    </row>
    <row r="43">
      <c r="A43" s="47" t="n"/>
      <c r="B43" s="48" t="n"/>
      <c r="C43" s="47" t="n"/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9">
        <f>IF(A43="","",COUNTIFS('潜水記録'!$S$5:$S$3004,A43,'潜水記録'!$T$5:$T$3004,1))</f>
        <v/>
      </c>
      <c r="O43" s="49">
        <f>IF(A43="","",COUNTIF('潜水記録'!$S$5:$S$3004,A43))</f>
        <v/>
      </c>
    </row>
    <row r="44">
      <c r="A44" s="47" t="n"/>
      <c r="B44" s="48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9">
        <f>IF(A44="","",COUNTIFS('潜水記録'!$S$5:$S$3004,A44,'潜水記録'!$T$5:$T$3004,1))</f>
        <v/>
      </c>
      <c r="O44" s="49">
        <f>IF(A44="","",COUNTIF('潜水記録'!$S$5:$S$3004,A44))</f>
        <v/>
      </c>
    </row>
    <row r="45">
      <c r="A45" s="47" t="n"/>
      <c r="B45" s="48" t="n"/>
      <c r="C45" s="47" t="n"/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9">
        <f>IF(A45="","",COUNTIFS('潜水記録'!$S$5:$S$3004,A45,'潜水記録'!$T$5:$T$3004,1))</f>
        <v/>
      </c>
      <c r="O45" s="49">
        <f>IF(A45="","",COUNTIF('潜水記録'!$S$5:$S$3004,A45))</f>
        <v/>
      </c>
    </row>
    <row r="46">
      <c r="A46" s="47" t="n"/>
      <c r="B46" s="48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9">
        <f>IF(A46="","",COUNTIFS('潜水記録'!$S$5:$S$3004,A46,'潜水記録'!$T$5:$T$3004,1))</f>
        <v/>
      </c>
      <c r="O46" s="49">
        <f>IF(A46="","",COUNTIF('潜水記録'!$S$5:$S$3004,A46))</f>
        <v/>
      </c>
    </row>
    <row r="47">
      <c r="A47" s="47" t="n"/>
      <c r="B47" s="48" t="n"/>
      <c r="C47" s="47" t="n"/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9">
        <f>IF(A47="","",COUNTIFS('潜水記録'!$S$5:$S$3004,A47,'潜水記録'!$T$5:$T$3004,1))</f>
        <v/>
      </c>
      <c r="O47" s="49">
        <f>IF(A47="","",COUNTIF('潜水記録'!$S$5:$S$3004,A47))</f>
        <v/>
      </c>
    </row>
    <row r="48">
      <c r="A48" s="47" t="n"/>
      <c r="B48" s="48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9">
        <f>IF(A48="","",COUNTIFS('潜水記録'!$S$5:$S$3004,A48,'潜水記録'!$T$5:$T$3004,1))</f>
        <v/>
      </c>
      <c r="O48" s="49">
        <f>IF(A48="","",COUNTIF('潜水記録'!$S$5:$S$3004,A48))</f>
        <v/>
      </c>
    </row>
    <row r="49">
      <c r="A49" s="47" t="n"/>
      <c r="B49" s="48" t="n"/>
      <c r="C49" s="47" t="n"/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9">
        <f>IF(A49="","",COUNTIFS('潜水記録'!$S$5:$S$3004,A49,'潜水記録'!$T$5:$T$3004,1))</f>
        <v/>
      </c>
      <c r="O49" s="49">
        <f>IF(A49="","",COUNTIF('潜水記録'!$S$5:$S$3004,A49))</f>
        <v/>
      </c>
    </row>
    <row r="50">
      <c r="A50" s="47" t="n"/>
      <c r="B50" s="48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9">
        <f>IF(A50="","",COUNTIFS('潜水記録'!$S$5:$S$3004,A50,'潜水記録'!$T$5:$T$3004,1))</f>
        <v/>
      </c>
      <c r="O50" s="49">
        <f>IF(A50="","",COUNTIF('潜水記録'!$S$5:$S$3004,A50))</f>
        <v/>
      </c>
    </row>
    <row r="51">
      <c r="A51" s="47" t="n"/>
      <c r="B51" s="48" t="n"/>
      <c r="C51" s="47" t="n"/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9">
        <f>IF(A51="","",COUNTIFS('潜水記録'!$S$5:$S$3004,A51,'潜水記録'!$T$5:$T$3004,1))</f>
        <v/>
      </c>
      <c r="O51" s="49">
        <f>IF(A51="","",COUNTIF('潜水記録'!$S$5:$S$3004,A51))</f>
        <v/>
      </c>
    </row>
    <row r="52">
      <c r="A52" s="47" t="n"/>
      <c r="B52" s="48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9">
        <f>IF(A52="","",COUNTIFS('潜水記録'!$S$5:$S$3004,A52,'潜水記録'!$T$5:$T$3004,1))</f>
        <v/>
      </c>
      <c r="O52" s="49">
        <f>IF(A52="","",COUNTIF('潜水記録'!$S$5:$S$3004,A52))</f>
        <v/>
      </c>
    </row>
    <row r="53">
      <c r="A53" s="47" t="n"/>
      <c r="B53" s="48" t="n"/>
      <c r="C53" s="47" t="n"/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9">
        <f>IF(A53="","",COUNTIFS('潜水記録'!$S$5:$S$3004,A53,'潜水記録'!$T$5:$T$3004,1))</f>
        <v/>
      </c>
      <c r="O53" s="49">
        <f>IF(A53="","",COUNTIF('潜水記録'!$S$5:$S$3004,A53))</f>
        <v/>
      </c>
    </row>
    <row r="54">
      <c r="A54" s="47" t="n"/>
      <c r="B54" s="48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9">
        <f>IF(A54="","",COUNTIFS('潜水記録'!$S$5:$S$3004,A54,'潜水記録'!$T$5:$T$3004,1))</f>
        <v/>
      </c>
      <c r="O54" s="49">
        <f>IF(A54="","",COUNTIF('潜水記録'!$S$5:$S$3004,A54))</f>
        <v/>
      </c>
    </row>
    <row r="55">
      <c r="A55" s="47" t="n"/>
      <c r="B55" s="48" t="n"/>
      <c r="C55" s="47" t="n"/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9">
        <f>IF(A55="","",COUNTIFS('潜水記録'!$S$5:$S$3004,A55,'潜水記録'!$T$5:$T$3004,1))</f>
        <v/>
      </c>
      <c r="O55" s="49">
        <f>IF(A55="","",COUNTIF('潜水記録'!$S$5:$S$3004,A55))</f>
        <v/>
      </c>
    </row>
    <row r="56">
      <c r="A56" s="47" t="n"/>
      <c r="B56" s="48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9">
        <f>IF(A56="","",COUNTIFS('潜水記録'!$S$5:$S$3004,A56,'潜水記録'!$T$5:$T$3004,1))</f>
        <v/>
      </c>
      <c r="O56" s="49">
        <f>IF(A56="","",COUNTIF('潜水記録'!$S$5:$S$3004,A56))</f>
        <v/>
      </c>
    </row>
    <row r="57">
      <c r="A57" s="47" t="n"/>
      <c r="B57" s="48" t="n"/>
      <c r="C57" s="47" t="n"/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9">
        <f>IF(A57="","",COUNTIFS('潜水記録'!$S$5:$S$3004,A57,'潜水記録'!$T$5:$T$3004,1))</f>
        <v/>
      </c>
      <c r="O57" s="49">
        <f>IF(A57="","",COUNTIF('潜水記録'!$S$5:$S$3004,A57))</f>
        <v/>
      </c>
    </row>
    <row r="58">
      <c r="A58" s="47" t="n"/>
      <c r="B58" s="48" t="n"/>
      <c r="C58" s="47" t="n"/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9">
        <f>IF(A58="","",COUNTIFS('潜水記録'!$S$5:$S$3004,A58,'潜水記録'!$T$5:$T$3004,1))</f>
        <v/>
      </c>
      <c r="O58" s="49">
        <f>IF(A58="","",COUNTIF('潜水記録'!$S$5:$S$3004,A58))</f>
        <v/>
      </c>
    </row>
    <row r="59">
      <c r="A59" s="47" t="n"/>
      <c r="B59" s="48" t="n"/>
      <c r="C59" s="47" t="n"/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9">
        <f>IF(A59="","",COUNTIFS('潜水記録'!$S$5:$S$3004,A59,'潜水記録'!$T$5:$T$3004,1))</f>
        <v/>
      </c>
      <c r="O59" s="49">
        <f>IF(A59="","",COUNTIF('潜水記録'!$S$5:$S$3004,A59))</f>
        <v/>
      </c>
    </row>
    <row r="60">
      <c r="A60" s="47" t="n"/>
      <c r="B60" s="48" t="n"/>
      <c r="C60" s="47" t="n"/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9">
        <f>IF(A60="","",COUNTIFS('潜水記録'!$S$5:$S$3004,A60,'潜水記録'!$T$5:$T$3004,1))</f>
        <v/>
      </c>
      <c r="O60" s="49">
        <f>IF(A60="","",COUNTIF('潜水記録'!$S$5:$S$3004,A60))</f>
        <v/>
      </c>
    </row>
    <row r="61">
      <c r="A61" s="47" t="n"/>
      <c r="B61" s="48" t="n"/>
      <c r="C61" s="47" t="n"/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9">
        <f>IF(A61="","",COUNTIFS('潜水記録'!$S$5:$S$3004,A61,'潜水記録'!$T$5:$T$3004,1))</f>
        <v/>
      </c>
      <c r="O61" s="49">
        <f>IF(A61="","",COUNTIF('潜水記録'!$S$5:$S$3004,A61))</f>
        <v/>
      </c>
    </row>
    <row r="62">
      <c r="A62" s="47" t="n"/>
      <c r="B62" s="48" t="n"/>
      <c r="C62" s="47" t="n"/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9">
        <f>IF(A62="","",COUNTIFS('潜水記録'!$S$5:$S$3004,A62,'潜水記録'!$T$5:$T$3004,1))</f>
        <v/>
      </c>
      <c r="O62" s="49">
        <f>IF(A62="","",COUNTIF('潜水記録'!$S$5:$S$3004,A62))</f>
        <v/>
      </c>
    </row>
    <row r="63">
      <c r="A63" s="47" t="n"/>
      <c r="B63" s="48" t="n"/>
      <c r="C63" s="47" t="n"/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9">
        <f>IF(A63="","",COUNTIFS('潜水記録'!$S$5:$S$3004,A63,'潜水記録'!$T$5:$T$3004,1))</f>
        <v/>
      </c>
      <c r="O63" s="49">
        <f>IF(A63="","",COUNTIF('潜水記録'!$S$5:$S$3004,A63))</f>
        <v/>
      </c>
    </row>
    <row r="64">
      <c r="A64" s="47" t="n"/>
      <c r="B64" s="48" t="n"/>
      <c r="C64" s="47" t="n"/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9">
        <f>IF(A64="","",COUNTIFS('潜水記録'!$S$5:$S$3004,A64,'潜水記録'!$T$5:$T$3004,1))</f>
        <v/>
      </c>
      <c r="O64" s="49">
        <f>IF(A64="","",COUNTIF('潜水記録'!$S$5:$S$3004,A64))</f>
        <v/>
      </c>
    </row>
    <row r="65">
      <c r="A65" s="47" t="n"/>
      <c r="B65" s="48" t="n"/>
      <c r="C65" s="47" t="n"/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9">
        <f>IF(A65="","",COUNTIFS('潜水記録'!$S$5:$S$3004,A65,'潜水記録'!$T$5:$T$3004,1))</f>
        <v/>
      </c>
      <c r="O65" s="49">
        <f>IF(A65="","",COUNTIF('潜水記録'!$S$5:$S$3004,A65))</f>
        <v/>
      </c>
    </row>
    <row r="66">
      <c r="A66" s="47" t="n"/>
      <c r="B66" s="48" t="n"/>
      <c r="C66" s="47" t="n"/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9">
        <f>IF(A66="","",COUNTIFS('潜水記録'!$S$5:$S$3004,A66,'潜水記録'!$T$5:$T$3004,1))</f>
        <v/>
      </c>
      <c r="O66" s="49">
        <f>IF(A66="","",COUNTIF('潜水記録'!$S$5:$S$3004,A66))</f>
        <v/>
      </c>
    </row>
    <row r="67">
      <c r="A67" s="47" t="n"/>
      <c r="B67" s="48" t="n"/>
      <c r="C67" s="47" t="n"/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9">
        <f>IF(A67="","",COUNTIFS('潜水記録'!$S$5:$S$3004,A67,'潜水記録'!$T$5:$T$3004,1))</f>
        <v/>
      </c>
      <c r="O67" s="49">
        <f>IF(A67="","",COUNTIF('潜水記録'!$S$5:$S$3004,A67))</f>
        <v/>
      </c>
    </row>
    <row r="68">
      <c r="A68" s="47" t="n"/>
      <c r="B68" s="48" t="n"/>
      <c r="C68" s="47" t="n"/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9">
        <f>IF(A68="","",COUNTIFS('潜水記録'!$S$5:$S$3004,A68,'潜水記録'!$T$5:$T$3004,1))</f>
        <v/>
      </c>
      <c r="O68" s="49">
        <f>IF(A68="","",COUNTIF('潜水記録'!$S$5:$S$3004,A68))</f>
        <v/>
      </c>
    </row>
    <row r="69">
      <c r="A69" s="47" t="n"/>
      <c r="B69" s="48" t="n"/>
      <c r="C69" s="47" t="n"/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9">
        <f>IF(A69="","",COUNTIFS('潜水記録'!$S$5:$S$3004,A69,'潜水記録'!$T$5:$T$3004,1))</f>
        <v/>
      </c>
      <c r="O69" s="49">
        <f>IF(A69="","",COUNTIF('潜水記録'!$S$5:$S$3004,A69))</f>
        <v/>
      </c>
    </row>
    <row r="70">
      <c r="A70" s="47" t="n"/>
      <c r="B70" s="48" t="n"/>
      <c r="C70" s="47" t="n"/>
      <c r="D70" s="47" t="n"/>
      <c r="E70" s="47" t="n"/>
      <c r="F70" s="47" t="n"/>
      <c r="G70" s="47" t="n"/>
      <c r="H70" s="47" t="n"/>
      <c r="I70" s="47" t="n"/>
      <c r="J70" s="47" t="n"/>
      <c r="K70" s="47" t="n"/>
      <c r="L70" s="47" t="n"/>
      <c r="M70" s="47" t="n"/>
      <c r="N70" s="49">
        <f>IF(A70="","",COUNTIFS('潜水記録'!$S$5:$S$3004,A70,'潜水記録'!$T$5:$T$3004,1))</f>
        <v/>
      </c>
      <c r="O70" s="49">
        <f>IF(A70="","",COUNTIF('潜水記録'!$S$5:$S$3004,A70))</f>
        <v/>
      </c>
    </row>
    <row r="71">
      <c r="A71" s="47" t="n"/>
      <c r="B71" s="48" t="n"/>
      <c r="C71" s="47" t="n"/>
      <c r="D71" s="47" t="n"/>
      <c r="E71" s="47" t="n"/>
      <c r="F71" s="47" t="n"/>
      <c r="G71" s="47" t="n"/>
      <c r="H71" s="47" t="n"/>
      <c r="I71" s="47" t="n"/>
      <c r="J71" s="47" t="n"/>
      <c r="K71" s="47" t="n"/>
      <c r="L71" s="47" t="n"/>
      <c r="M71" s="47" t="n"/>
      <c r="N71" s="49">
        <f>IF(A71="","",COUNTIFS('潜水記録'!$S$5:$S$3004,A71,'潜水記録'!$T$5:$T$3004,1))</f>
        <v/>
      </c>
      <c r="O71" s="49">
        <f>IF(A71="","",COUNTIF('潜水記録'!$S$5:$S$3004,A71))</f>
        <v/>
      </c>
    </row>
    <row r="72">
      <c r="A72" s="47" t="n"/>
      <c r="B72" s="48" t="n"/>
      <c r="C72" s="47" t="n"/>
      <c r="D72" s="47" t="n"/>
      <c r="E72" s="47" t="n"/>
      <c r="F72" s="47" t="n"/>
      <c r="G72" s="47" t="n"/>
      <c r="H72" s="47" t="n"/>
      <c r="I72" s="47" t="n"/>
      <c r="J72" s="47" t="n"/>
      <c r="K72" s="47" t="n"/>
      <c r="L72" s="47" t="n"/>
      <c r="M72" s="47" t="n"/>
      <c r="N72" s="49">
        <f>IF(A72="","",COUNTIFS('潜水記録'!$S$5:$S$3004,A72,'潜水記録'!$T$5:$T$3004,1))</f>
        <v/>
      </c>
      <c r="O72" s="49">
        <f>IF(A72="","",COUNTIF('潜水記録'!$S$5:$S$3004,A72))</f>
        <v/>
      </c>
    </row>
    <row r="73">
      <c r="A73" s="47" t="n"/>
      <c r="B73" s="48" t="n"/>
      <c r="C73" s="47" t="n"/>
      <c r="D73" s="47" t="n"/>
      <c r="E73" s="47" t="n"/>
      <c r="F73" s="47" t="n"/>
      <c r="G73" s="47" t="n"/>
      <c r="H73" s="47" t="n"/>
      <c r="I73" s="47" t="n"/>
      <c r="J73" s="47" t="n"/>
      <c r="K73" s="47" t="n"/>
      <c r="L73" s="47" t="n"/>
      <c r="M73" s="47" t="n"/>
      <c r="N73" s="49">
        <f>IF(A73="","",COUNTIFS('潜水記録'!$S$5:$S$3004,A73,'潜水記録'!$T$5:$T$3004,1))</f>
        <v/>
      </c>
      <c r="O73" s="49">
        <f>IF(A73="","",COUNTIF('潜水記録'!$S$5:$S$3004,A73))</f>
        <v/>
      </c>
    </row>
    <row r="74">
      <c r="A74" s="47" t="n"/>
      <c r="B74" s="48" t="n"/>
      <c r="C74" s="47" t="n"/>
      <c r="D74" s="47" t="n"/>
      <c r="E74" s="47" t="n"/>
      <c r="F74" s="47" t="n"/>
      <c r="G74" s="47" t="n"/>
      <c r="H74" s="47" t="n"/>
      <c r="I74" s="47" t="n"/>
      <c r="J74" s="47" t="n"/>
      <c r="K74" s="47" t="n"/>
      <c r="L74" s="47" t="n"/>
      <c r="M74" s="47" t="n"/>
      <c r="N74" s="49">
        <f>IF(A74="","",COUNTIFS('潜水記録'!$S$5:$S$3004,A74,'潜水記録'!$T$5:$T$3004,1))</f>
        <v/>
      </c>
      <c r="O74" s="49">
        <f>IF(A74="","",COUNTIF('潜水記録'!$S$5:$S$3004,A74))</f>
        <v/>
      </c>
    </row>
    <row r="75">
      <c r="A75" s="47" t="n"/>
      <c r="B75" s="48" t="n"/>
      <c r="C75" s="47" t="n"/>
      <c r="D75" s="47" t="n"/>
      <c r="E75" s="47" t="n"/>
      <c r="F75" s="47" t="n"/>
      <c r="G75" s="47" t="n"/>
      <c r="H75" s="47" t="n"/>
      <c r="I75" s="47" t="n"/>
      <c r="J75" s="47" t="n"/>
      <c r="K75" s="47" t="n"/>
      <c r="L75" s="47" t="n"/>
      <c r="M75" s="47" t="n"/>
      <c r="N75" s="49">
        <f>IF(A75="","",COUNTIFS('潜水記録'!$S$5:$S$3004,A75,'潜水記録'!$T$5:$T$3004,1))</f>
        <v/>
      </c>
      <c r="O75" s="49">
        <f>IF(A75="","",COUNTIF('潜水記録'!$S$5:$S$3004,A75))</f>
        <v/>
      </c>
    </row>
    <row r="76">
      <c r="A76" s="47" t="n"/>
      <c r="B76" s="48" t="n"/>
      <c r="C76" s="47" t="n"/>
      <c r="D76" s="47" t="n"/>
      <c r="E76" s="47" t="n"/>
      <c r="F76" s="47" t="n"/>
      <c r="G76" s="47" t="n"/>
      <c r="H76" s="47" t="n"/>
      <c r="I76" s="47" t="n"/>
      <c r="J76" s="47" t="n"/>
      <c r="K76" s="47" t="n"/>
      <c r="L76" s="47" t="n"/>
      <c r="M76" s="47" t="n"/>
      <c r="N76" s="49">
        <f>IF(A76="","",COUNTIFS('潜水記録'!$S$5:$S$3004,A76,'潜水記録'!$T$5:$T$3004,1))</f>
        <v/>
      </c>
      <c r="O76" s="49">
        <f>IF(A76="","",COUNTIF('潜水記録'!$S$5:$S$3004,A76))</f>
        <v/>
      </c>
    </row>
    <row r="77">
      <c r="A77" s="47" t="n"/>
      <c r="B77" s="48" t="n"/>
      <c r="C77" s="47" t="n"/>
      <c r="D77" s="47" t="n"/>
      <c r="E77" s="47" t="n"/>
      <c r="F77" s="47" t="n"/>
      <c r="G77" s="47" t="n"/>
      <c r="H77" s="47" t="n"/>
      <c r="I77" s="47" t="n"/>
      <c r="J77" s="47" t="n"/>
      <c r="K77" s="47" t="n"/>
      <c r="L77" s="47" t="n"/>
      <c r="M77" s="47" t="n"/>
      <c r="N77" s="49">
        <f>IF(A77="","",COUNTIFS('潜水記録'!$S$5:$S$3004,A77,'潜水記録'!$T$5:$T$3004,1))</f>
        <v/>
      </c>
      <c r="O77" s="49">
        <f>IF(A77="","",COUNTIF('潜水記録'!$S$5:$S$3004,A77))</f>
        <v/>
      </c>
    </row>
    <row r="78">
      <c r="A78" s="47" t="n"/>
      <c r="B78" s="48" t="n"/>
      <c r="C78" s="47" t="n"/>
      <c r="D78" s="47" t="n"/>
      <c r="E78" s="47" t="n"/>
      <c r="F78" s="47" t="n"/>
      <c r="G78" s="47" t="n"/>
      <c r="H78" s="47" t="n"/>
      <c r="I78" s="47" t="n"/>
      <c r="J78" s="47" t="n"/>
      <c r="K78" s="47" t="n"/>
      <c r="L78" s="47" t="n"/>
      <c r="M78" s="47" t="n"/>
      <c r="N78" s="49">
        <f>IF(A78="","",COUNTIFS('潜水記録'!$S$5:$S$3004,A78,'潜水記録'!$T$5:$T$3004,1))</f>
        <v/>
      </c>
      <c r="O78" s="49">
        <f>IF(A78="","",COUNTIF('潜水記録'!$S$5:$S$3004,A78))</f>
        <v/>
      </c>
    </row>
    <row r="79">
      <c r="A79" s="47" t="n"/>
      <c r="B79" s="48" t="n"/>
      <c r="C79" s="47" t="n"/>
      <c r="D79" s="47" t="n"/>
      <c r="E79" s="47" t="n"/>
      <c r="F79" s="47" t="n"/>
      <c r="G79" s="47" t="n"/>
      <c r="H79" s="47" t="n"/>
      <c r="I79" s="47" t="n"/>
      <c r="J79" s="47" t="n"/>
      <c r="K79" s="47" t="n"/>
      <c r="L79" s="47" t="n"/>
      <c r="M79" s="47" t="n"/>
      <c r="N79" s="49">
        <f>IF(A79="","",COUNTIFS('潜水記録'!$S$5:$S$3004,A79,'潜水記録'!$T$5:$T$3004,1))</f>
        <v/>
      </c>
      <c r="O79" s="49">
        <f>IF(A79="","",COUNTIF('潜水記録'!$S$5:$S$3004,A79))</f>
        <v/>
      </c>
    </row>
    <row r="80">
      <c r="A80" s="47" t="n"/>
      <c r="B80" s="48" t="n"/>
      <c r="C80" s="47" t="n"/>
      <c r="D80" s="47" t="n"/>
      <c r="E80" s="47" t="n"/>
      <c r="F80" s="47" t="n"/>
      <c r="G80" s="47" t="n"/>
      <c r="H80" s="47" t="n"/>
      <c r="I80" s="47" t="n"/>
      <c r="J80" s="47" t="n"/>
      <c r="K80" s="47" t="n"/>
      <c r="L80" s="47" t="n"/>
      <c r="M80" s="47" t="n"/>
      <c r="N80" s="49">
        <f>IF(A80="","",COUNTIFS('潜水記録'!$S$5:$S$3004,A80,'潜水記録'!$T$5:$T$3004,1))</f>
        <v/>
      </c>
      <c r="O80" s="49">
        <f>IF(A80="","",COUNTIF('潜水記録'!$S$5:$S$3004,A80))</f>
        <v/>
      </c>
    </row>
    <row r="81">
      <c r="A81" s="47" t="n"/>
      <c r="B81" s="48" t="n"/>
      <c r="C81" s="47" t="n"/>
      <c r="D81" s="47" t="n"/>
      <c r="E81" s="47" t="n"/>
      <c r="F81" s="47" t="n"/>
      <c r="G81" s="47" t="n"/>
      <c r="H81" s="47" t="n"/>
      <c r="I81" s="47" t="n"/>
      <c r="J81" s="47" t="n"/>
      <c r="K81" s="47" t="n"/>
      <c r="L81" s="47" t="n"/>
      <c r="M81" s="47" t="n"/>
      <c r="N81" s="49">
        <f>IF(A81="","",COUNTIFS('潜水記録'!$S$5:$S$3004,A81,'潜水記録'!$T$5:$T$3004,1))</f>
        <v/>
      </c>
      <c r="O81" s="49">
        <f>IF(A81="","",COUNTIF('潜水記録'!$S$5:$S$3004,A81))</f>
        <v/>
      </c>
    </row>
    <row r="82">
      <c r="A82" s="47" t="n"/>
      <c r="B82" s="48" t="n"/>
      <c r="C82" s="47" t="n"/>
      <c r="D82" s="47" t="n"/>
      <c r="E82" s="47" t="n"/>
      <c r="F82" s="47" t="n"/>
      <c r="G82" s="47" t="n"/>
      <c r="H82" s="47" t="n"/>
      <c r="I82" s="47" t="n"/>
      <c r="J82" s="47" t="n"/>
      <c r="K82" s="47" t="n"/>
      <c r="L82" s="47" t="n"/>
      <c r="M82" s="47" t="n"/>
      <c r="N82" s="49">
        <f>IF(A82="","",COUNTIFS('潜水記録'!$S$5:$S$3004,A82,'潜水記録'!$T$5:$T$3004,1))</f>
        <v/>
      </c>
      <c r="O82" s="49">
        <f>IF(A82="","",COUNTIF('潜水記録'!$S$5:$S$3004,A82))</f>
        <v/>
      </c>
    </row>
    <row r="83">
      <c r="A83" s="47" t="n"/>
      <c r="B83" s="48" t="n"/>
      <c r="C83" s="47" t="n"/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9">
        <f>IF(A83="","",COUNTIFS('潜水記録'!$S$5:$S$3004,A83,'潜水記録'!$T$5:$T$3004,1))</f>
        <v/>
      </c>
      <c r="O83" s="49">
        <f>IF(A83="","",COUNTIF('潜水記録'!$S$5:$S$3004,A83))</f>
        <v/>
      </c>
    </row>
    <row r="84">
      <c r="A84" s="47" t="n"/>
      <c r="B84" s="48" t="n"/>
      <c r="C84" s="47" t="n"/>
      <c r="D84" s="47" t="n"/>
      <c r="E84" s="47" t="n"/>
      <c r="F84" s="47" t="n"/>
      <c r="G84" s="47" t="n"/>
      <c r="H84" s="47" t="n"/>
      <c r="I84" s="47" t="n"/>
      <c r="J84" s="47" t="n"/>
      <c r="K84" s="47" t="n"/>
      <c r="L84" s="47" t="n"/>
      <c r="M84" s="47" t="n"/>
      <c r="N84" s="49">
        <f>IF(A84="","",COUNTIFS('潜水記録'!$S$5:$S$3004,A84,'潜水記録'!$T$5:$T$3004,1))</f>
        <v/>
      </c>
      <c r="O84" s="49">
        <f>IF(A84="","",COUNTIF('潜水記録'!$S$5:$S$3004,A84))</f>
        <v/>
      </c>
    </row>
    <row r="85">
      <c r="A85" s="47" t="n"/>
      <c r="B85" s="48" t="n"/>
      <c r="C85" s="47" t="n"/>
      <c r="D85" s="47" t="n"/>
      <c r="E85" s="47" t="n"/>
      <c r="F85" s="47" t="n"/>
      <c r="G85" s="47" t="n"/>
      <c r="H85" s="47" t="n"/>
      <c r="I85" s="47" t="n"/>
      <c r="J85" s="47" t="n"/>
      <c r="K85" s="47" t="n"/>
      <c r="L85" s="47" t="n"/>
      <c r="M85" s="47" t="n"/>
      <c r="N85" s="49">
        <f>IF(A85="","",COUNTIFS('潜水記録'!$S$5:$S$3004,A85,'潜水記録'!$T$5:$T$3004,1))</f>
        <v/>
      </c>
      <c r="O85" s="49">
        <f>IF(A85="","",COUNTIF('潜水記録'!$S$5:$S$3004,A85))</f>
        <v/>
      </c>
    </row>
    <row r="86">
      <c r="A86" s="47" t="n"/>
      <c r="B86" s="48" t="n"/>
      <c r="C86" s="47" t="n"/>
      <c r="D86" s="47" t="n"/>
      <c r="E86" s="47" t="n"/>
      <c r="F86" s="47" t="n"/>
      <c r="G86" s="47" t="n"/>
      <c r="H86" s="47" t="n"/>
      <c r="I86" s="47" t="n"/>
      <c r="J86" s="47" t="n"/>
      <c r="K86" s="47" t="n"/>
      <c r="L86" s="47" t="n"/>
      <c r="M86" s="47" t="n"/>
      <c r="N86" s="49">
        <f>IF(A86="","",COUNTIFS('潜水記録'!$S$5:$S$3004,A86,'潜水記録'!$T$5:$T$3004,1))</f>
        <v/>
      </c>
      <c r="O86" s="49">
        <f>IF(A86="","",COUNTIF('潜水記録'!$S$5:$S$3004,A86))</f>
        <v/>
      </c>
    </row>
    <row r="87">
      <c r="A87" s="47" t="n"/>
      <c r="B87" s="48" t="n"/>
      <c r="C87" s="47" t="n"/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9">
        <f>IF(A87="","",COUNTIFS('潜水記録'!$S$5:$S$3004,A87,'潜水記録'!$T$5:$T$3004,1))</f>
        <v/>
      </c>
      <c r="O87" s="49">
        <f>IF(A87="","",COUNTIF('潜水記録'!$S$5:$S$3004,A87))</f>
        <v/>
      </c>
    </row>
    <row r="88">
      <c r="A88" s="47" t="n"/>
      <c r="B88" s="48" t="n"/>
      <c r="C88" s="47" t="n"/>
      <c r="D88" s="47" t="n"/>
      <c r="E88" s="47" t="n"/>
      <c r="F88" s="47" t="n"/>
      <c r="G88" s="47" t="n"/>
      <c r="H88" s="47" t="n"/>
      <c r="I88" s="47" t="n"/>
      <c r="J88" s="47" t="n"/>
      <c r="K88" s="47" t="n"/>
      <c r="L88" s="47" t="n"/>
      <c r="M88" s="47" t="n"/>
      <c r="N88" s="49">
        <f>IF(A88="","",COUNTIFS('潜水記録'!$S$5:$S$3004,A88,'潜水記録'!$T$5:$T$3004,1))</f>
        <v/>
      </c>
      <c r="O88" s="49">
        <f>IF(A88="","",COUNTIF('潜水記録'!$S$5:$S$3004,A88))</f>
        <v/>
      </c>
    </row>
    <row r="89">
      <c r="A89" s="47" t="n"/>
      <c r="B89" s="48" t="n"/>
      <c r="C89" s="47" t="n"/>
      <c r="D89" s="47" t="n"/>
      <c r="E89" s="47" t="n"/>
      <c r="F89" s="47" t="n"/>
      <c r="G89" s="47" t="n"/>
      <c r="H89" s="47" t="n"/>
      <c r="I89" s="47" t="n"/>
      <c r="J89" s="47" t="n"/>
      <c r="K89" s="47" t="n"/>
      <c r="L89" s="47" t="n"/>
      <c r="M89" s="47" t="n"/>
      <c r="N89" s="49">
        <f>IF(A89="","",COUNTIFS('潜水記録'!$S$5:$S$3004,A89,'潜水記録'!$T$5:$T$3004,1))</f>
        <v/>
      </c>
      <c r="O89" s="49">
        <f>IF(A89="","",COUNTIF('潜水記録'!$S$5:$S$3004,A89))</f>
        <v/>
      </c>
    </row>
    <row r="90">
      <c r="A90" s="47" t="n"/>
      <c r="B90" s="48" t="n"/>
      <c r="C90" s="47" t="n"/>
      <c r="D90" s="47" t="n"/>
      <c r="E90" s="47" t="n"/>
      <c r="F90" s="47" t="n"/>
      <c r="G90" s="47" t="n"/>
      <c r="H90" s="47" t="n"/>
      <c r="I90" s="47" t="n"/>
      <c r="J90" s="47" t="n"/>
      <c r="K90" s="47" t="n"/>
      <c r="L90" s="47" t="n"/>
      <c r="M90" s="47" t="n"/>
      <c r="N90" s="49">
        <f>IF(A90="","",COUNTIFS('潜水記録'!$S$5:$S$3004,A90,'潜水記録'!$T$5:$T$3004,1))</f>
        <v/>
      </c>
      <c r="O90" s="49">
        <f>IF(A90="","",COUNTIF('潜水記録'!$S$5:$S$3004,A90))</f>
        <v/>
      </c>
    </row>
    <row r="91">
      <c r="A91" s="47" t="n"/>
      <c r="B91" s="48" t="n"/>
      <c r="C91" s="47" t="n"/>
      <c r="D91" s="47" t="n"/>
      <c r="E91" s="47" t="n"/>
      <c r="F91" s="47" t="n"/>
      <c r="G91" s="47" t="n"/>
      <c r="H91" s="47" t="n"/>
      <c r="I91" s="47" t="n"/>
      <c r="J91" s="47" t="n"/>
      <c r="K91" s="47" t="n"/>
      <c r="L91" s="47" t="n"/>
      <c r="M91" s="47" t="n"/>
      <c r="N91" s="49">
        <f>IF(A91="","",COUNTIFS('潜水記録'!$S$5:$S$3004,A91,'潜水記録'!$T$5:$T$3004,1))</f>
        <v/>
      </c>
      <c r="O91" s="49">
        <f>IF(A91="","",COUNTIF('潜水記録'!$S$5:$S$3004,A91))</f>
        <v/>
      </c>
    </row>
    <row r="92">
      <c r="A92" s="47" t="n"/>
      <c r="B92" s="48" t="n"/>
      <c r="C92" s="47" t="n"/>
      <c r="D92" s="47" t="n"/>
      <c r="E92" s="47" t="n"/>
      <c r="F92" s="47" t="n"/>
      <c r="G92" s="47" t="n"/>
      <c r="H92" s="47" t="n"/>
      <c r="I92" s="47" t="n"/>
      <c r="J92" s="47" t="n"/>
      <c r="K92" s="47" t="n"/>
      <c r="L92" s="47" t="n"/>
      <c r="M92" s="47" t="n"/>
      <c r="N92" s="49">
        <f>IF(A92="","",COUNTIFS('潜水記録'!$S$5:$S$3004,A92,'潜水記録'!$T$5:$T$3004,1))</f>
        <v/>
      </c>
      <c r="O92" s="49">
        <f>IF(A92="","",COUNTIF('潜水記録'!$S$5:$S$3004,A92))</f>
        <v/>
      </c>
    </row>
    <row r="93">
      <c r="A93" s="47" t="n"/>
      <c r="B93" s="48" t="n"/>
      <c r="C93" s="47" t="n"/>
      <c r="D93" s="47" t="n"/>
      <c r="E93" s="47" t="n"/>
      <c r="F93" s="47" t="n"/>
      <c r="G93" s="47" t="n"/>
      <c r="H93" s="47" t="n"/>
      <c r="I93" s="47" t="n"/>
      <c r="J93" s="47" t="n"/>
      <c r="K93" s="47" t="n"/>
      <c r="L93" s="47" t="n"/>
      <c r="M93" s="47" t="n"/>
      <c r="N93" s="49">
        <f>IF(A93="","",COUNTIFS('潜水記録'!$S$5:$S$3004,A93,'潜水記録'!$T$5:$T$3004,1))</f>
        <v/>
      </c>
      <c r="O93" s="49">
        <f>IF(A93="","",COUNTIF('潜水記録'!$S$5:$S$3004,A93))</f>
        <v/>
      </c>
    </row>
    <row r="94">
      <c r="A94" s="47" t="n"/>
      <c r="B94" s="48" t="n"/>
      <c r="C94" s="47" t="n"/>
      <c r="D94" s="47" t="n"/>
      <c r="E94" s="47" t="n"/>
      <c r="F94" s="47" t="n"/>
      <c r="G94" s="47" t="n"/>
      <c r="H94" s="47" t="n"/>
      <c r="I94" s="47" t="n"/>
      <c r="J94" s="47" t="n"/>
      <c r="K94" s="47" t="n"/>
      <c r="L94" s="47" t="n"/>
      <c r="M94" s="47" t="n"/>
      <c r="N94" s="49">
        <f>IF(A94="","",COUNTIFS('潜水記録'!$S$5:$S$3004,A94,'潜水記録'!$T$5:$T$3004,1))</f>
        <v/>
      </c>
      <c r="O94" s="49">
        <f>IF(A94="","",COUNTIF('潜水記録'!$S$5:$S$3004,A94))</f>
        <v/>
      </c>
    </row>
    <row r="95">
      <c r="A95" s="47" t="n"/>
      <c r="B95" s="48" t="n"/>
      <c r="C95" s="47" t="n"/>
      <c r="D95" s="47" t="n"/>
      <c r="E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9">
        <f>IF(A95="","",COUNTIFS('潜水記録'!$S$5:$S$3004,A95,'潜水記録'!$T$5:$T$3004,1))</f>
        <v/>
      </c>
      <c r="O95" s="49">
        <f>IF(A95="","",COUNTIF('潜水記録'!$S$5:$S$3004,A95))</f>
        <v/>
      </c>
    </row>
    <row r="96">
      <c r="A96" s="47" t="n"/>
      <c r="B96" s="48" t="n"/>
      <c r="C96" s="47" t="n"/>
      <c r="D96" s="47" t="n"/>
      <c r="E96" s="47" t="n"/>
      <c r="F96" s="47" t="n"/>
      <c r="G96" s="47" t="n"/>
      <c r="H96" s="47" t="n"/>
      <c r="I96" s="47" t="n"/>
      <c r="J96" s="47" t="n"/>
      <c r="K96" s="47" t="n"/>
      <c r="L96" s="47" t="n"/>
      <c r="M96" s="47" t="n"/>
      <c r="N96" s="49">
        <f>IF(A96="","",COUNTIFS('潜水記録'!$S$5:$S$3004,A96,'潜水記録'!$T$5:$T$3004,1))</f>
        <v/>
      </c>
      <c r="O96" s="49">
        <f>IF(A96="","",COUNTIF('潜水記録'!$S$5:$S$3004,A96))</f>
        <v/>
      </c>
    </row>
    <row r="97">
      <c r="A97" s="47" t="n"/>
      <c r="B97" s="48" t="n"/>
      <c r="C97" s="47" t="n"/>
      <c r="D97" s="47" t="n"/>
      <c r="E97" s="47" t="n"/>
      <c r="F97" s="47" t="n"/>
      <c r="G97" s="47" t="n"/>
      <c r="H97" s="47" t="n"/>
      <c r="I97" s="47" t="n"/>
      <c r="J97" s="47" t="n"/>
      <c r="K97" s="47" t="n"/>
      <c r="L97" s="47" t="n"/>
      <c r="M97" s="47" t="n"/>
      <c r="N97" s="49">
        <f>IF(A97="","",COUNTIFS('潜水記録'!$S$5:$S$3004,A97,'潜水記録'!$T$5:$T$3004,1))</f>
        <v/>
      </c>
      <c r="O97" s="49">
        <f>IF(A97="","",COUNTIF('潜水記録'!$S$5:$S$3004,A97))</f>
        <v/>
      </c>
    </row>
    <row r="98">
      <c r="A98" s="47" t="n"/>
      <c r="B98" s="48" t="n"/>
      <c r="C98" s="47" t="n"/>
      <c r="D98" s="47" t="n"/>
      <c r="E98" s="47" t="n"/>
      <c r="F98" s="47" t="n"/>
      <c r="G98" s="47" t="n"/>
      <c r="H98" s="47" t="n"/>
      <c r="I98" s="47" t="n"/>
      <c r="J98" s="47" t="n"/>
      <c r="K98" s="47" t="n"/>
      <c r="L98" s="47" t="n"/>
      <c r="M98" s="47" t="n"/>
      <c r="N98" s="49">
        <f>IF(A98="","",COUNTIFS('潜水記録'!$S$5:$S$3004,A98,'潜水記録'!$T$5:$T$3004,1))</f>
        <v/>
      </c>
      <c r="O98" s="49">
        <f>IF(A98="","",COUNTIF('潜水記録'!$S$5:$S$3004,A98))</f>
        <v/>
      </c>
    </row>
    <row r="99">
      <c r="A99" s="47" t="n"/>
      <c r="B99" s="48" t="n"/>
      <c r="C99" s="47" t="n"/>
      <c r="D99" s="47" t="n"/>
      <c r="E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9">
        <f>IF(A99="","",COUNTIFS('潜水記録'!$S$5:$S$3004,A99,'潜水記録'!$T$5:$T$3004,1))</f>
        <v/>
      </c>
      <c r="O99" s="49">
        <f>IF(A99="","",COUNTIF('潜水記録'!$S$5:$S$3004,A99))</f>
        <v/>
      </c>
    </row>
    <row r="100">
      <c r="A100" s="47" t="n"/>
      <c r="B100" s="48" t="n"/>
      <c r="C100" s="47" t="n"/>
      <c r="D100" s="47" t="n"/>
      <c r="E100" s="47" t="n"/>
      <c r="F100" s="47" t="n"/>
      <c r="G100" s="47" t="n"/>
      <c r="H100" s="47" t="n"/>
      <c r="I100" s="47" t="n"/>
      <c r="J100" s="47" t="n"/>
      <c r="K100" s="47" t="n"/>
      <c r="L100" s="47" t="n"/>
      <c r="M100" s="47" t="n"/>
      <c r="N100" s="49">
        <f>IF(A100="","",COUNTIFS('潜水記録'!$S$5:$S$3004,A100,'潜水記録'!$T$5:$T$3004,1))</f>
        <v/>
      </c>
      <c r="O100" s="49">
        <f>IF(A100="","",COUNTIF('潜水記録'!$S$5:$S$3004,A100))</f>
        <v/>
      </c>
    </row>
    <row r="101">
      <c r="A101" s="47" t="n"/>
      <c r="B101" s="48" t="n"/>
      <c r="C101" s="47" t="n"/>
      <c r="D101" s="47" t="n"/>
      <c r="E101" s="47" t="n"/>
      <c r="F101" s="47" t="n"/>
      <c r="G101" s="47" t="n"/>
      <c r="H101" s="47" t="n"/>
      <c r="I101" s="47" t="n"/>
      <c r="J101" s="47" t="n"/>
      <c r="K101" s="47" t="n"/>
      <c r="L101" s="47" t="n"/>
      <c r="M101" s="47" t="n"/>
      <c r="N101" s="49">
        <f>IF(A101="","",COUNTIFS('潜水記録'!$S$5:$S$3004,A101,'潜水記録'!$T$5:$T$3004,1))</f>
        <v/>
      </c>
      <c r="O101" s="49">
        <f>IF(A101="","",COUNTIF('潜水記録'!$S$5:$S$3004,A101))</f>
        <v/>
      </c>
    </row>
    <row r="102">
      <c r="A102" s="47" t="n"/>
      <c r="B102" s="48" t="n"/>
      <c r="C102" s="47" t="n"/>
      <c r="D102" s="47" t="n"/>
      <c r="E102" s="47" t="n"/>
      <c r="F102" s="47" t="n"/>
      <c r="G102" s="47" t="n"/>
      <c r="H102" s="47" t="n"/>
      <c r="I102" s="47" t="n"/>
      <c r="J102" s="47" t="n"/>
      <c r="K102" s="47" t="n"/>
      <c r="L102" s="47" t="n"/>
      <c r="M102" s="47" t="n"/>
      <c r="N102" s="49">
        <f>IF(A102="","",COUNTIFS('潜水記録'!$S$5:$S$3004,A102,'潜水記録'!$T$5:$T$3004,1))</f>
        <v/>
      </c>
      <c r="O102" s="49">
        <f>IF(A102="","",COUNTIF('潜水記録'!$S$5:$S$3004,A102))</f>
        <v/>
      </c>
    </row>
    <row r="103">
      <c r="A103" s="47" t="n"/>
      <c r="B103" s="48" t="n"/>
      <c r="C103" s="47" t="n"/>
      <c r="D103" s="47" t="n"/>
      <c r="E103" s="47" t="n"/>
      <c r="F103" s="47" t="n"/>
      <c r="G103" s="47" t="n"/>
      <c r="H103" s="47" t="n"/>
      <c r="I103" s="47" t="n"/>
      <c r="J103" s="47" t="n"/>
      <c r="K103" s="47" t="n"/>
      <c r="L103" s="47" t="n"/>
      <c r="M103" s="47" t="n"/>
      <c r="N103" s="49">
        <f>IF(A103="","",COUNTIFS('潜水記録'!$S$5:$S$3004,A103,'潜水記録'!$T$5:$T$3004,1))</f>
        <v/>
      </c>
      <c r="O103" s="49">
        <f>IF(A103="","",COUNTIF('潜水記録'!$S$5:$S$3004,A103))</f>
        <v/>
      </c>
    </row>
    <row r="104">
      <c r="A104" s="47" t="n"/>
      <c r="B104" s="48" t="n"/>
      <c r="C104" s="47" t="n"/>
      <c r="D104" s="47" t="n"/>
      <c r="E104" s="47" t="n"/>
      <c r="F104" s="47" t="n"/>
      <c r="G104" s="47" t="n"/>
      <c r="H104" s="47" t="n"/>
      <c r="I104" s="47" t="n"/>
      <c r="J104" s="47" t="n"/>
      <c r="K104" s="47" t="n"/>
      <c r="L104" s="47" t="n"/>
      <c r="M104" s="47" t="n"/>
      <c r="N104" s="49">
        <f>IF(A104="","",COUNTIFS('潜水記録'!$S$5:$S$3004,A104,'潜水記録'!$T$5:$T$3004,1))</f>
        <v/>
      </c>
      <c r="O104" s="49">
        <f>IF(A104="","",COUNTIF('潜水記録'!$S$5:$S$3004,A104))</f>
        <v/>
      </c>
    </row>
    <row r="105">
      <c r="A105" s="47" t="n"/>
      <c r="B105" s="48" t="n"/>
      <c r="C105" s="47" t="n"/>
      <c r="D105" s="47" t="n"/>
      <c r="E105" s="47" t="n"/>
      <c r="F105" s="47" t="n"/>
      <c r="G105" s="47" t="n"/>
      <c r="H105" s="47" t="n"/>
      <c r="I105" s="47" t="n"/>
      <c r="J105" s="47" t="n"/>
      <c r="K105" s="47" t="n"/>
      <c r="L105" s="47" t="n"/>
      <c r="M105" s="47" t="n"/>
      <c r="N105" s="49">
        <f>IF(A105="","",COUNTIFS('潜水記録'!$S$5:$S$3004,A105,'潜水記録'!$T$5:$T$3004,1))</f>
        <v/>
      </c>
      <c r="O105" s="49">
        <f>IF(A105="","",COUNTIF('潜水記録'!$S$5:$S$3004,A105))</f>
        <v/>
      </c>
    </row>
    <row r="106">
      <c r="A106" s="47" t="n"/>
      <c r="B106" s="48" t="n"/>
      <c r="C106" s="47" t="n"/>
      <c r="D106" s="47" t="n"/>
      <c r="E106" s="47" t="n"/>
      <c r="F106" s="47" t="n"/>
      <c r="G106" s="47" t="n"/>
      <c r="H106" s="47" t="n"/>
      <c r="I106" s="47" t="n"/>
      <c r="J106" s="47" t="n"/>
      <c r="K106" s="47" t="n"/>
      <c r="L106" s="47" t="n"/>
      <c r="M106" s="47" t="n"/>
      <c r="N106" s="49">
        <f>IF(A106="","",COUNTIFS('潜水記録'!$S$5:$S$3004,A106,'潜水記録'!$T$5:$T$3004,1))</f>
        <v/>
      </c>
      <c r="O106" s="49">
        <f>IF(A106="","",COUNTIF('潜水記録'!$S$5:$S$3004,A106))</f>
        <v/>
      </c>
    </row>
    <row r="107">
      <c r="A107" s="47" t="n"/>
      <c r="B107" s="48" t="n"/>
      <c r="C107" s="47" t="n"/>
      <c r="D107" s="47" t="n"/>
      <c r="E107" s="47" t="n"/>
      <c r="F107" s="47" t="n"/>
      <c r="G107" s="47" t="n"/>
      <c r="H107" s="47" t="n"/>
      <c r="I107" s="47" t="n"/>
      <c r="J107" s="47" t="n"/>
      <c r="K107" s="47" t="n"/>
      <c r="L107" s="47" t="n"/>
      <c r="M107" s="47" t="n"/>
      <c r="N107" s="49">
        <f>IF(A107="","",COUNTIFS('潜水記録'!$S$5:$S$3004,A107,'潜水記録'!$T$5:$T$3004,1))</f>
        <v/>
      </c>
      <c r="O107" s="49">
        <f>IF(A107="","",COUNTIF('潜水記録'!$S$5:$S$3004,A107))</f>
        <v/>
      </c>
    </row>
    <row r="108">
      <c r="A108" s="47" t="n"/>
      <c r="B108" s="48" t="n"/>
      <c r="C108" s="47" t="n"/>
      <c r="D108" s="47" t="n"/>
      <c r="E108" s="47" t="n"/>
      <c r="F108" s="47" t="n"/>
      <c r="G108" s="47" t="n"/>
      <c r="H108" s="47" t="n"/>
      <c r="I108" s="47" t="n"/>
      <c r="J108" s="47" t="n"/>
      <c r="K108" s="47" t="n"/>
      <c r="L108" s="47" t="n"/>
      <c r="M108" s="47" t="n"/>
      <c r="N108" s="49">
        <f>IF(A108="","",COUNTIFS('潜水記録'!$S$5:$S$3004,A108,'潜水記録'!$T$5:$T$3004,1))</f>
        <v/>
      </c>
      <c r="O108" s="49">
        <f>IF(A108="","",COUNTIF('潜水記録'!$S$5:$S$3004,A108))</f>
        <v/>
      </c>
    </row>
    <row r="109">
      <c r="A109" s="47" t="n"/>
      <c r="B109" s="48" t="n"/>
      <c r="C109" s="47" t="n"/>
      <c r="D109" s="47" t="n"/>
      <c r="E109" s="47" t="n"/>
      <c r="F109" s="47" t="n"/>
      <c r="G109" s="47" t="n"/>
      <c r="H109" s="47" t="n"/>
      <c r="I109" s="47" t="n"/>
      <c r="J109" s="47" t="n"/>
      <c r="K109" s="47" t="n"/>
      <c r="L109" s="47" t="n"/>
      <c r="M109" s="47" t="n"/>
      <c r="N109" s="49">
        <f>IF(A109="","",COUNTIFS('潜水記録'!$S$5:$S$3004,A109,'潜水記録'!$T$5:$T$3004,1))</f>
        <v/>
      </c>
      <c r="O109" s="49">
        <f>IF(A109="","",COUNTIF('潜水記録'!$S$5:$S$3004,A109))</f>
        <v/>
      </c>
    </row>
    <row r="110">
      <c r="A110" s="47" t="n"/>
      <c r="B110" s="48" t="n"/>
      <c r="C110" s="47" t="n"/>
      <c r="D110" s="47" t="n"/>
      <c r="E110" s="47" t="n"/>
      <c r="F110" s="47" t="n"/>
      <c r="G110" s="47" t="n"/>
      <c r="H110" s="47" t="n"/>
      <c r="I110" s="47" t="n"/>
      <c r="J110" s="47" t="n"/>
      <c r="K110" s="47" t="n"/>
      <c r="L110" s="47" t="n"/>
      <c r="M110" s="47" t="n"/>
      <c r="N110" s="49">
        <f>IF(A110="","",COUNTIFS('潜水記録'!$S$5:$S$3004,A110,'潜水記録'!$T$5:$T$3004,1))</f>
        <v/>
      </c>
      <c r="O110" s="49">
        <f>IF(A110="","",COUNTIF('潜水記録'!$S$5:$S$3004,A110))</f>
        <v/>
      </c>
    </row>
    <row r="111">
      <c r="A111" s="47" t="n"/>
      <c r="B111" s="48" t="n"/>
      <c r="C111" s="47" t="n"/>
      <c r="D111" s="47" t="n"/>
      <c r="E111" s="47" t="n"/>
      <c r="F111" s="47" t="n"/>
      <c r="G111" s="47" t="n"/>
      <c r="H111" s="47" t="n"/>
      <c r="I111" s="47" t="n"/>
      <c r="J111" s="47" t="n"/>
      <c r="K111" s="47" t="n"/>
      <c r="L111" s="47" t="n"/>
      <c r="M111" s="47" t="n"/>
      <c r="N111" s="49">
        <f>IF(A111="","",COUNTIFS('潜水記録'!$S$5:$S$3004,A111,'潜水記録'!$T$5:$T$3004,1))</f>
        <v/>
      </c>
      <c r="O111" s="49">
        <f>IF(A111="","",COUNTIF('潜水記録'!$S$5:$S$3004,A111))</f>
        <v/>
      </c>
    </row>
    <row r="112">
      <c r="A112" s="47" t="n"/>
      <c r="B112" s="48" t="n"/>
      <c r="C112" s="47" t="n"/>
      <c r="D112" s="47" t="n"/>
      <c r="E112" s="47" t="n"/>
      <c r="F112" s="47" t="n"/>
      <c r="G112" s="47" t="n"/>
      <c r="H112" s="47" t="n"/>
      <c r="I112" s="47" t="n"/>
      <c r="J112" s="47" t="n"/>
      <c r="K112" s="47" t="n"/>
      <c r="L112" s="47" t="n"/>
      <c r="M112" s="47" t="n"/>
      <c r="N112" s="49">
        <f>IF(A112="","",COUNTIFS('潜水記録'!$S$5:$S$3004,A112,'潜水記録'!$T$5:$T$3004,1))</f>
        <v/>
      </c>
      <c r="O112" s="49">
        <f>IF(A112="","",COUNTIF('潜水記録'!$S$5:$S$3004,A112))</f>
        <v/>
      </c>
    </row>
    <row r="113">
      <c r="A113" s="47" t="n"/>
      <c r="B113" s="48" t="n"/>
      <c r="C113" s="47" t="n"/>
      <c r="D113" s="47" t="n"/>
      <c r="E113" s="47" t="n"/>
      <c r="F113" s="47" t="n"/>
      <c r="G113" s="47" t="n"/>
      <c r="H113" s="47" t="n"/>
      <c r="I113" s="47" t="n"/>
      <c r="J113" s="47" t="n"/>
      <c r="K113" s="47" t="n"/>
      <c r="L113" s="47" t="n"/>
      <c r="M113" s="47" t="n"/>
      <c r="N113" s="49">
        <f>IF(A113="","",COUNTIFS('潜水記録'!$S$5:$S$3004,A113,'潜水記録'!$T$5:$T$3004,1))</f>
        <v/>
      </c>
      <c r="O113" s="49">
        <f>IF(A113="","",COUNTIF('潜水記録'!$S$5:$S$3004,A113))</f>
        <v/>
      </c>
    </row>
    <row r="114">
      <c r="A114" s="47" t="n"/>
      <c r="B114" s="48" t="n"/>
      <c r="C114" s="47" t="n"/>
      <c r="D114" s="47" t="n"/>
      <c r="E114" s="47" t="n"/>
      <c r="F114" s="47" t="n"/>
      <c r="G114" s="47" t="n"/>
      <c r="H114" s="47" t="n"/>
      <c r="I114" s="47" t="n"/>
      <c r="J114" s="47" t="n"/>
      <c r="K114" s="47" t="n"/>
      <c r="L114" s="47" t="n"/>
      <c r="M114" s="47" t="n"/>
      <c r="N114" s="49">
        <f>IF(A114="","",COUNTIFS('潜水記録'!$S$5:$S$3004,A114,'潜水記録'!$T$5:$T$3004,1))</f>
        <v/>
      </c>
      <c r="O114" s="49">
        <f>IF(A114="","",COUNTIF('潜水記録'!$S$5:$S$3004,A114))</f>
        <v/>
      </c>
    </row>
    <row r="115">
      <c r="A115" s="47" t="n"/>
      <c r="B115" s="48" t="n"/>
      <c r="C115" s="47" t="n"/>
      <c r="D115" s="47" t="n"/>
      <c r="E115" s="47" t="n"/>
      <c r="F115" s="47" t="n"/>
      <c r="G115" s="47" t="n"/>
      <c r="H115" s="47" t="n"/>
      <c r="I115" s="47" t="n"/>
      <c r="J115" s="47" t="n"/>
      <c r="K115" s="47" t="n"/>
      <c r="L115" s="47" t="n"/>
      <c r="M115" s="47" t="n"/>
      <c r="N115" s="49">
        <f>IF(A115="","",COUNTIFS('潜水記録'!$S$5:$S$3004,A115,'潜水記録'!$T$5:$T$3004,1))</f>
        <v/>
      </c>
      <c r="O115" s="49">
        <f>IF(A115="","",COUNTIF('潜水記録'!$S$5:$S$3004,A115))</f>
        <v/>
      </c>
    </row>
    <row r="116">
      <c r="A116" s="47" t="n"/>
      <c r="B116" s="48" t="n"/>
      <c r="C116" s="47" t="n"/>
      <c r="D116" s="47" t="n"/>
      <c r="E116" s="47" t="n"/>
      <c r="F116" s="47" t="n"/>
      <c r="G116" s="47" t="n"/>
      <c r="H116" s="47" t="n"/>
      <c r="I116" s="47" t="n"/>
      <c r="J116" s="47" t="n"/>
      <c r="K116" s="47" t="n"/>
      <c r="L116" s="47" t="n"/>
      <c r="M116" s="47" t="n"/>
      <c r="N116" s="49">
        <f>IF(A116="","",COUNTIFS('潜水記録'!$S$5:$S$3004,A116,'潜水記録'!$T$5:$T$3004,1))</f>
        <v/>
      </c>
      <c r="O116" s="49">
        <f>IF(A116="","",COUNTIF('潜水記録'!$S$5:$S$3004,A116))</f>
        <v/>
      </c>
    </row>
    <row r="117">
      <c r="A117" s="47" t="n"/>
      <c r="B117" s="48" t="n"/>
      <c r="C117" s="47" t="n"/>
      <c r="D117" s="47" t="n"/>
      <c r="E117" s="47" t="n"/>
      <c r="F117" s="47" t="n"/>
      <c r="G117" s="47" t="n"/>
      <c r="H117" s="47" t="n"/>
      <c r="I117" s="47" t="n"/>
      <c r="J117" s="47" t="n"/>
      <c r="K117" s="47" t="n"/>
      <c r="L117" s="47" t="n"/>
      <c r="M117" s="47" t="n"/>
      <c r="N117" s="49">
        <f>IF(A117="","",COUNTIFS('潜水記録'!$S$5:$S$3004,A117,'潜水記録'!$T$5:$T$3004,1))</f>
        <v/>
      </c>
      <c r="O117" s="49">
        <f>IF(A117="","",COUNTIF('潜水記録'!$S$5:$S$3004,A117))</f>
        <v/>
      </c>
    </row>
    <row r="118">
      <c r="A118" s="47" t="n"/>
      <c r="B118" s="48" t="n"/>
      <c r="C118" s="47" t="n"/>
      <c r="D118" s="47" t="n"/>
      <c r="E118" s="47" t="n"/>
      <c r="F118" s="47" t="n"/>
      <c r="G118" s="47" t="n"/>
      <c r="H118" s="47" t="n"/>
      <c r="I118" s="47" t="n"/>
      <c r="J118" s="47" t="n"/>
      <c r="K118" s="47" t="n"/>
      <c r="L118" s="47" t="n"/>
      <c r="M118" s="47" t="n"/>
      <c r="N118" s="49">
        <f>IF(A118="","",COUNTIFS('潜水記録'!$S$5:$S$3004,A118,'潜水記録'!$T$5:$T$3004,1))</f>
        <v/>
      </c>
      <c r="O118" s="49">
        <f>IF(A118="","",COUNTIF('潜水記録'!$S$5:$S$3004,A118))</f>
        <v/>
      </c>
    </row>
    <row r="119">
      <c r="A119" s="47" t="n"/>
      <c r="B119" s="48" t="n"/>
      <c r="C119" s="47" t="n"/>
      <c r="D119" s="47" t="n"/>
      <c r="E119" s="47" t="n"/>
      <c r="F119" s="47" t="n"/>
      <c r="G119" s="47" t="n"/>
      <c r="H119" s="47" t="n"/>
      <c r="I119" s="47" t="n"/>
      <c r="J119" s="47" t="n"/>
      <c r="K119" s="47" t="n"/>
      <c r="L119" s="47" t="n"/>
      <c r="M119" s="47" t="n"/>
      <c r="N119" s="49">
        <f>IF(A119="","",COUNTIFS('潜水記録'!$S$5:$S$3004,A119,'潜水記録'!$T$5:$T$3004,1))</f>
        <v/>
      </c>
      <c r="O119" s="49">
        <f>IF(A119="","",COUNTIF('潜水記録'!$S$5:$S$3004,A119))</f>
        <v/>
      </c>
    </row>
    <row r="120">
      <c r="A120" s="47" t="n"/>
      <c r="B120" s="48" t="n"/>
      <c r="C120" s="47" t="n"/>
      <c r="D120" s="47" t="n"/>
      <c r="E120" s="47" t="n"/>
      <c r="F120" s="47" t="n"/>
      <c r="G120" s="47" t="n"/>
      <c r="H120" s="47" t="n"/>
      <c r="I120" s="47" t="n"/>
      <c r="J120" s="47" t="n"/>
      <c r="K120" s="47" t="n"/>
      <c r="L120" s="47" t="n"/>
      <c r="M120" s="47" t="n"/>
      <c r="N120" s="49">
        <f>IF(A120="","",COUNTIFS('潜水記録'!$S$5:$S$3004,A120,'潜水記録'!$T$5:$T$3004,1))</f>
        <v/>
      </c>
      <c r="O120" s="49">
        <f>IF(A120="","",COUNTIF('潜水記録'!$S$5:$S$3004,A120))</f>
        <v/>
      </c>
    </row>
    <row r="121">
      <c r="A121" s="47" t="n"/>
      <c r="B121" s="48" t="n"/>
      <c r="C121" s="47" t="n"/>
      <c r="D121" s="47" t="n"/>
      <c r="E121" s="47" t="n"/>
      <c r="F121" s="47" t="n"/>
      <c r="G121" s="47" t="n"/>
      <c r="H121" s="47" t="n"/>
      <c r="I121" s="47" t="n"/>
      <c r="J121" s="47" t="n"/>
      <c r="K121" s="47" t="n"/>
      <c r="L121" s="47" t="n"/>
      <c r="M121" s="47" t="n"/>
      <c r="N121" s="49">
        <f>IF(A121="","",COUNTIFS('潜水記録'!$S$5:$S$3004,A121,'潜水記録'!$T$5:$T$3004,1))</f>
        <v/>
      </c>
      <c r="O121" s="49">
        <f>IF(A121="","",COUNTIF('潜水記録'!$S$5:$S$3004,A121))</f>
        <v/>
      </c>
    </row>
    <row r="122">
      <c r="A122" s="47" t="n"/>
      <c r="B122" s="48" t="n"/>
      <c r="C122" s="47" t="n"/>
      <c r="D122" s="47" t="n"/>
      <c r="E122" s="47" t="n"/>
      <c r="F122" s="47" t="n"/>
      <c r="G122" s="47" t="n"/>
      <c r="H122" s="47" t="n"/>
      <c r="I122" s="47" t="n"/>
      <c r="J122" s="47" t="n"/>
      <c r="K122" s="47" t="n"/>
      <c r="L122" s="47" t="n"/>
      <c r="M122" s="47" t="n"/>
      <c r="N122" s="49">
        <f>IF(A122="","",COUNTIFS('潜水記録'!$S$5:$S$3004,A122,'潜水記録'!$T$5:$T$3004,1))</f>
        <v/>
      </c>
      <c r="O122" s="49">
        <f>IF(A122="","",COUNTIF('潜水記録'!$S$5:$S$3004,A122))</f>
        <v/>
      </c>
    </row>
    <row r="123">
      <c r="A123" s="47" t="n"/>
      <c r="B123" s="48" t="n"/>
      <c r="C123" s="47" t="n"/>
      <c r="D123" s="47" t="n"/>
      <c r="E123" s="47" t="n"/>
      <c r="F123" s="47" t="n"/>
      <c r="G123" s="47" t="n"/>
      <c r="H123" s="47" t="n"/>
      <c r="I123" s="47" t="n"/>
      <c r="J123" s="47" t="n"/>
      <c r="K123" s="47" t="n"/>
      <c r="L123" s="47" t="n"/>
      <c r="M123" s="47" t="n"/>
      <c r="N123" s="49">
        <f>IF(A123="","",COUNTIFS('潜水記録'!$S$5:$S$3004,A123,'潜水記録'!$T$5:$T$3004,1))</f>
        <v/>
      </c>
      <c r="O123" s="49">
        <f>IF(A123="","",COUNTIF('潜水記録'!$S$5:$S$3004,A123))</f>
        <v/>
      </c>
    </row>
    <row r="124">
      <c r="A124" s="47" t="n"/>
      <c r="B124" s="48" t="n"/>
      <c r="C124" s="47" t="n"/>
      <c r="D124" s="47" t="n"/>
      <c r="E124" s="47" t="n"/>
      <c r="F124" s="47" t="n"/>
      <c r="G124" s="47" t="n"/>
      <c r="H124" s="47" t="n"/>
      <c r="I124" s="47" t="n"/>
      <c r="J124" s="47" t="n"/>
      <c r="K124" s="47" t="n"/>
      <c r="L124" s="47" t="n"/>
      <c r="M124" s="47" t="n"/>
      <c r="N124" s="49">
        <f>IF(A124="","",COUNTIFS('潜水記録'!$S$5:$S$3004,A124,'潜水記録'!$T$5:$T$3004,1))</f>
        <v/>
      </c>
      <c r="O124" s="49">
        <f>IF(A124="","",COUNTIF('潜水記録'!$S$5:$S$3004,A124))</f>
        <v/>
      </c>
    </row>
    <row r="125">
      <c r="A125" s="47" t="n"/>
      <c r="B125" s="48" t="n"/>
      <c r="C125" s="47" t="n"/>
      <c r="D125" s="47" t="n"/>
      <c r="E125" s="47" t="n"/>
      <c r="F125" s="47" t="n"/>
      <c r="G125" s="47" t="n"/>
      <c r="H125" s="47" t="n"/>
      <c r="I125" s="47" t="n"/>
      <c r="J125" s="47" t="n"/>
      <c r="K125" s="47" t="n"/>
      <c r="L125" s="47" t="n"/>
      <c r="M125" s="47" t="n"/>
      <c r="N125" s="49">
        <f>IF(A125="","",COUNTIFS('潜水記録'!$S$5:$S$3004,A125,'潜水記録'!$T$5:$T$3004,1))</f>
        <v/>
      </c>
      <c r="O125" s="49">
        <f>IF(A125="","",COUNTIF('潜水記録'!$S$5:$S$3004,A125))</f>
        <v/>
      </c>
    </row>
    <row r="126">
      <c r="A126" s="47" t="n"/>
      <c r="B126" s="48" t="n"/>
      <c r="C126" s="47" t="n"/>
      <c r="D126" s="47" t="n"/>
      <c r="E126" s="47" t="n"/>
      <c r="F126" s="47" t="n"/>
      <c r="G126" s="47" t="n"/>
      <c r="H126" s="47" t="n"/>
      <c r="I126" s="47" t="n"/>
      <c r="J126" s="47" t="n"/>
      <c r="K126" s="47" t="n"/>
      <c r="L126" s="47" t="n"/>
      <c r="M126" s="47" t="n"/>
      <c r="N126" s="49">
        <f>IF(A126="","",COUNTIFS('潜水記録'!$S$5:$S$3004,A126,'潜水記録'!$T$5:$T$3004,1))</f>
        <v/>
      </c>
      <c r="O126" s="49">
        <f>IF(A126="","",COUNTIF('潜水記録'!$S$5:$S$3004,A126))</f>
        <v/>
      </c>
    </row>
    <row r="127">
      <c r="A127" s="47" t="n"/>
      <c r="B127" s="48" t="n"/>
      <c r="C127" s="47" t="n"/>
      <c r="D127" s="47" t="n"/>
      <c r="E127" s="47" t="n"/>
      <c r="F127" s="47" t="n"/>
      <c r="G127" s="47" t="n"/>
      <c r="H127" s="47" t="n"/>
      <c r="I127" s="47" t="n"/>
      <c r="J127" s="47" t="n"/>
      <c r="K127" s="47" t="n"/>
      <c r="L127" s="47" t="n"/>
      <c r="M127" s="47" t="n"/>
      <c r="N127" s="49">
        <f>IF(A127="","",COUNTIFS('潜水記録'!$S$5:$S$3004,A127,'潜水記録'!$T$5:$T$3004,1))</f>
        <v/>
      </c>
      <c r="O127" s="49">
        <f>IF(A127="","",COUNTIF('潜水記録'!$S$5:$S$3004,A127))</f>
        <v/>
      </c>
    </row>
    <row r="128">
      <c r="A128" s="47" t="n"/>
      <c r="B128" s="48" t="n"/>
      <c r="C128" s="47" t="n"/>
      <c r="D128" s="47" t="n"/>
      <c r="E128" s="47" t="n"/>
      <c r="F128" s="47" t="n"/>
      <c r="G128" s="47" t="n"/>
      <c r="H128" s="47" t="n"/>
      <c r="I128" s="47" t="n"/>
      <c r="J128" s="47" t="n"/>
      <c r="K128" s="47" t="n"/>
      <c r="L128" s="47" t="n"/>
      <c r="M128" s="47" t="n"/>
      <c r="N128" s="49">
        <f>IF(A128="","",COUNTIFS('潜水記録'!$S$5:$S$3004,A128,'潜水記録'!$T$5:$T$3004,1))</f>
        <v/>
      </c>
      <c r="O128" s="49">
        <f>IF(A128="","",COUNTIF('潜水記録'!$S$5:$S$3004,A128))</f>
        <v/>
      </c>
    </row>
    <row r="129">
      <c r="A129" s="47" t="n"/>
      <c r="B129" s="48" t="n"/>
      <c r="C129" s="47" t="n"/>
      <c r="D129" s="47" t="n"/>
      <c r="E129" s="47" t="n"/>
      <c r="F129" s="47" t="n"/>
      <c r="G129" s="47" t="n"/>
      <c r="H129" s="47" t="n"/>
      <c r="I129" s="47" t="n"/>
      <c r="J129" s="47" t="n"/>
      <c r="K129" s="47" t="n"/>
      <c r="L129" s="47" t="n"/>
      <c r="M129" s="47" t="n"/>
      <c r="N129" s="49">
        <f>IF(A129="","",COUNTIFS('潜水記録'!$S$5:$S$3004,A129,'潜水記録'!$T$5:$T$3004,1))</f>
        <v/>
      </c>
      <c r="O129" s="49">
        <f>IF(A129="","",COUNTIF('潜水記録'!$S$5:$S$3004,A129))</f>
        <v/>
      </c>
    </row>
    <row r="130">
      <c r="A130" s="47" t="n"/>
      <c r="B130" s="48" t="n"/>
      <c r="C130" s="47" t="n"/>
      <c r="D130" s="47" t="n"/>
      <c r="E130" s="47" t="n"/>
      <c r="F130" s="47" t="n"/>
      <c r="G130" s="47" t="n"/>
      <c r="H130" s="47" t="n"/>
      <c r="I130" s="47" t="n"/>
      <c r="J130" s="47" t="n"/>
      <c r="K130" s="47" t="n"/>
      <c r="L130" s="47" t="n"/>
      <c r="M130" s="47" t="n"/>
      <c r="N130" s="49">
        <f>IF(A130="","",COUNTIFS('潜水記録'!$S$5:$S$3004,A130,'潜水記録'!$T$5:$T$3004,1))</f>
        <v/>
      </c>
      <c r="O130" s="49">
        <f>IF(A130="","",COUNTIF('潜水記録'!$S$5:$S$3004,A130))</f>
        <v/>
      </c>
    </row>
    <row r="131">
      <c r="A131" s="47" t="n"/>
      <c r="B131" s="48" t="n"/>
      <c r="C131" s="47" t="n"/>
      <c r="D131" s="47" t="n"/>
      <c r="E131" s="47" t="n"/>
      <c r="F131" s="47" t="n"/>
      <c r="G131" s="47" t="n"/>
      <c r="H131" s="47" t="n"/>
      <c r="I131" s="47" t="n"/>
      <c r="J131" s="47" t="n"/>
      <c r="K131" s="47" t="n"/>
      <c r="L131" s="47" t="n"/>
      <c r="M131" s="47" t="n"/>
      <c r="N131" s="49">
        <f>IF(A131="","",COUNTIFS('潜水記録'!$S$5:$S$3004,A131,'潜水記録'!$T$5:$T$3004,1))</f>
        <v/>
      </c>
      <c r="O131" s="49">
        <f>IF(A131="","",COUNTIF('潜水記録'!$S$5:$S$3004,A131))</f>
        <v/>
      </c>
    </row>
    <row r="132">
      <c r="A132" s="47" t="n"/>
      <c r="B132" s="48" t="n"/>
      <c r="C132" s="47" t="n"/>
      <c r="D132" s="47" t="n"/>
      <c r="E132" s="47" t="n"/>
      <c r="F132" s="47" t="n"/>
      <c r="G132" s="47" t="n"/>
      <c r="H132" s="47" t="n"/>
      <c r="I132" s="47" t="n"/>
      <c r="J132" s="47" t="n"/>
      <c r="K132" s="47" t="n"/>
      <c r="L132" s="47" t="n"/>
      <c r="M132" s="47" t="n"/>
      <c r="N132" s="49">
        <f>IF(A132="","",COUNTIFS('潜水記録'!$S$5:$S$3004,A132,'潜水記録'!$T$5:$T$3004,1))</f>
        <v/>
      </c>
      <c r="O132" s="49">
        <f>IF(A132="","",COUNTIF('潜水記録'!$S$5:$S$3004,A132))</f>
        <v/>
      </c>
    </row>
    <row r="133">
      <c r="A133" s="47" t="n"/>
      <c r="B133" s="48" t="n"/>
      <c r="C133" s="47" t="n"/>
      <c r="D133" s="47" t="n"/>
      <c r="E133" s="47" t="n"/>
      <c r="F133" s="47" t="n"/>
      <c r="G133" s="47" t="n"/>
      <c r="H133" s="47" t="n"/>
      <c r="I133" s="47" t="n"/>
      <c r="J133" s="47" t="n"/>
      <c r="K133" s="47" t="n"/>
      <c r="L133" s="47" t="n"/>
      <c r="M133" s="47" t="n"/>
      <c r="N133" s="49">
        <f>IF(A133="","",COUNTIFS('潜水記録'!$S$5:$S$3004,A133,'潜水記録'!$T$5:$T$3004,1))</f>
        <v/>
      </c>
      <c r="O133" s="49">
        <f>IF(A133="","",COUNTIF('潜水記録'!$S$5:$S$3004,A133))</f>
        <v/>
      </c>
    </row>
    <row r="134">
      <c r="A134" s="47" t="n"/>
      <c r="B134" s="48" t="n"/>
      <c r="C134" s="47" t="n"/>
      <c r="D134" s="47" t="n"/>
      <c r="E134" s="47" t="n"/>
      <c r="F134" s="47" t="n"/>
      <c r="G134" s="47" t="n"/>
      <c r="H134" s="47" t="n"/>
      <c r="I134" s="47" t="n"/>
      <c r="J134" s="47" t="n"/>
      <c r="K134" s="47" t="n"/>
      <c r="L134" s="47" t="n"/>
      <c r="M134" s="47" t="n"/>
      <c r="N134" s="49">
        <f>IF(A134="","",COUNTIFS('潜水記録'!$S$5:$S$3004,A134,'潜水記録'!$T$5:$T$3004,1))</f>
        <v/>
      </c>
      <c r="O134" s="49">
        <f>IF(A134="","",COUNTIF('潜水記録'!$S$5:$S$3004,A134))</f>
        <v/>
      </c>
    </row>
    <row r="135">
      <c r="A135" s="47" t="n"/>
      <c r="B135" s="48" t="n"/>
      <c r="C135" s="47" t="n"/>
      <c r="D135" s="47" t="n"/>
      <c r="E135" s="47" t="n"/>
      <c r="F135" s="47" t="n"/>
      <c r="G135" s="47" t="n"/>
      <c r="H135" s="47" t="n"/>
      <c r="I135" s="47" t="n"/>
      <c r="J135" s="47" t="n"/>
      <c r="K135" s="47" t="n"/>
      <c r="L135" s="47" t="n"/>
      <c r="M135" s="47" t="n"/>
      <c r="N135" s="49">
        <f>IF(A135="","",COUNTIFS('潜水記録'!$S$5:$S$3004,A135,'潜水記録'!$T$5:$T$3004,1))</f>
        <v/>
      </c>
      <c r="O135" s="49">
        <f>IF(A135="","",COUNTIF('潜水記録'!$S$5:$S$3004,A135))</f>
        <v/>
      </c>
    </row>
    <row r="136">
      <c r="A136" s="47" t="n"/>
      <c r="B136" s="48" t="n"/>
      <c r="C136" s="47" t="n"/>
      <c r="D136" s="47" t="n"/>
      <c r="E136" s="47" t="n"/>
      <c r="F136" s="47" t="n"/>
      <c r="G136" s="47" t="n"/>
      <c r="H136" s="47" t="n"/>
      <c r="I136" s="47" t="n"/>
      <c r="J136" s="47" t="n"/>
      <c r="K136" s="47" t="n"/>
      <c r="L136" s="47" t="n"/>
      <c r="M136" s="47" t="n"/>
      <c r="N136" s="49">
        <f>IF(A136="","",COUNTIFS('潜水記録'!$S$5:$S$3004,A136,'潜水記録'!$T$5:$T$3004,1))</f>
        <v/>
      </c>
      <c r="O136" s="49">
        <f>IF(A136="","",COUNTIF('潜水記録'!$S$5:$S$3004,A136))</f>
        <v/>
      </c>
    </row>
    <row r="137">
      <c r="A137" s="47" t="n"/>
      <c r="B137" s="48" t="n"/>
      <c r="C137" s="47" t="n"/>
      <c r="D137" s="47" t="n"/>
      <c r="E137" s="47" t="n"/>
      <c r="F137" s="47" t="n"/>
      <c r="G137" s="47" t="n"/>
      <c r="H137" s="47" t="n"/>
      <c r="I137" s="47" t="n"/>
      <c r="J137" s="47" t="n"/>
      <c r="K137" s="47" t="n"/>
      <c r="L137" s="47" t="n"/>
      <c r="M137" s="47" t="n"/>
      <c r="N137" s="49">
        <f>IF(A137="","",COUNTIFS('潜水記録'!$S$5:$S$3004,A137,'潜水記録'!$T$5:$T$3004,1))</f>
        <v/>
      </c>
      <c r="O137" s="49">
        <f>IF(A137="","",COUNTIF('潜水記録'!$S$5:$S$3004,A137))</f>
        <v/>
      </c>
    </row>
    <row r="138">
      <c r="A138" s="47" t="n"/>
      <c r="B138" s="48" t="n"/>
      <c r="C138" s="47" t="n"/>
      <c r="D138" s="47" t="n"/>
      <c r="E138" s="47" t="n"/>
      <c r="F138" s="47" t="n"/>
      <c r="G138" s="47" t="n"/>
      <c r="H138" s="47" t="n"/>
      <c r="I138" s="47" t="n"/>
      <c r="J138" s="47" t="n"/>
      <c r="K138" s="47" t="n"/>
      <c r="L138" s="47" t="n"/>
      <c r="M138" s="47" t="n"/>
      <c r="N138" s="49">
        <f>IF(A138="","",COUNTIFS('潜水記録'!$S$5:$S$3004,A138,'潜水記録'!$T$5:$T$3004,1))</f>
        <v/>
      </c>
      <c r="O138" s="49">
        <f>IF(A138="","",COUNTIF('潜水記録'!$S$5:$S$3004,A138))</f>
        <v/>
      </c>
    </row>
    <row r="139">
      <c r="A139" s="47" t="n"/>
      <c r="B139" s="48" t="n"/>
      <c r="C139" s="47" t="n"/>
      <c r="D139" s="47" t="n"/>
      <c r="E139" s="47" t="n"/>
      <c r="F139" s="47" t="n"/>
      <c r="G139" s="47" t="n"/>
      <c r="H139" s="47" t="n"/>
      <c r="I139" s="47" t="n"/>
      <c r="J139" s="47" t="n"/>
      <c r="K139" s="47" t="n"/>
      <c r="L139" s="47" t="n"/>
      <c r="M139" s="47" t="n"/>
      <c r="N139" s="49">
        <f>IF(A139="","",COUNTIFS('潜水記録'!$S$5:$S$3004,A139,'潜水記録'!$T$5:$T$3004,1))</f>
        <v/>
      </c>
      <c r="O139" s="49">
        <f>IF(A139="","",COUNTIF('潜水記録'!$S$5:$S$3004,A139))</f>
        <v/>
      </c>
    </row>
    <row r="140">
      <c r="A140" s="47" t="n"/>
      <c r="B140" s="48" t="n"/>
      <c r="C140" s="47" t="n"/>
      <c r="D140" s="47" t="n"/>
      <c r="E140" s="47" t="n"/>
      <c r="F140" s="47" t="n"/>
      <c r="G140" s="47" t="n"/>
      <c r="H140" s="47" t="n"/>
      <c r="I140" s="47" t="n"/>
      <c r="J140" s="47" t="n"/>
      <c r="K140" s="47" t="n"/>
      <c r="L140" s="47" t="n"/>
      <c r="M140" s="47" t="n"/>
      <c r="N140" s="49">
        <f>IF(A140="","",COUNTIFS('潜水記録'!$S$5:$S$3004,A140,'潜水記録'!$T$5:$T$3004,1))</f>
        <v/>
      </c>
      <c r="O140" s="49">
        <f>IF(A140="","",COUNTIF('潜水記録'!$S$5:$S$3004,A140))</f>
        <v/>
      </c>
    </row>
    <row r="141">
      <c r="A141" s="47" t="n"/>
      <c r="B141" s="48" t="n"/>
      <c r="C141" s="47" t="n"/>
      <c r="D141" s="47" t="n"/>
      <c r="E141" s="47" t="n"/>
      <c r="F141" s="47" t="n"/>
      <c r="G141" s="47" t="n"/>
      <c r="H141" s="47" t="n"/>
      <c r="I141" s="47" t="n"/>
      <c r="J141" s="47" t="n"/>
      <c r="K141" s="47" t="n"/>
      <c r="L141" s="47" t="n"/>
      <c r="M141" s="47" t="n"/>
      <c r="N141" s="49">
        <f>IF(A141="","",COUNTIFS('潜水記録'!$S$5:$S$3004,A141,'潜水記録'!$T$5:$T$3004,1))</f>
        <v/>
      </c>
      <c r="O141" s="49">
        <f>IF(A141="","",COUNTIF('潜水記録'!$S$5:$S$3004,A141))</f>
        <v/>
      </c>
    </row>
    <row r="142">
      <c r="A142" s="47" t="n"/>
      <c r="B142" s="48" t="n"/>
      <c r="C142" s="47" t="n"/>
      <c r="D142" s="47" t="n"/>
      <c r="E142" s="47" t="n"/>
      <c r="F142" s="47" t="n"/>
      <c r="G142" s="47" t="n"/>
      <c r="H142" s="47" t="n"/>
      <c r="I142" s="47" t="n"/>
      <c r="J142" s="47" t="n"/>
      <c r="K142" s="47" t="n"/>
      <c r="L142" s="47" t="n"/>
      <c r="M142" s="47" t="n"/>
      <c r="N142" s="49">
        <f>IF(A142="","",COUNTIFS('潜水記録'!$S$5:$S$3004,A142,'潜水記録'!$T$5:$T$3004,1))</f>
        <v/>
      </c>
      <c r="O142" s="49">
        <f>IF(A142="","",COUNTIF('潜水記録'!$S$5:$S$3004,A142))</f>
        <v/>
      </c>
    </row>
    <row r="143">
      <c r="A143" s="47" t="n"/>
      <c r="B143" s="48" t="n"/>
      <c r="C143" s="47" t="n"/>
      <c r="D143" s="47" t="n"/>
      <c r="E143" s="47" t="n"/>
      <c r="F143" s="47" t="n"/>
      <c r="G143" s="47" t="n"/>
      <c r="H143" s="47" t="n"/>
      <c r="I143" s="47" t="n"/>
      <c r="J143" s="47" t="n"/>
      <c r="K143" s="47" t="n"/>
      <c r="L143" s="47" t="n"/>
      <c r="M143" s="47" t="n"/>
      <c r="N143" s="49">
        <f>IF(A143="","",COUNTIFS('潜水記録'!$S$5:$S$3004,A143,'潜水記録'!$T$5:$T$3004,1))</f>
        <v/>
      </c>
      <c r="O143" s="49">
        <f>IF(A143="","",COUNTIF('潜水記録'!$S$5:$S$3004,A143))</f>
        <v/>
      </c>
    </row>
    <row r="144">
      <c r="A144" s="47" t="n"/>
      <c r="B144" s="48" t="n"/>
      <c r="C144" s="47" t="n"/>
      <c r="D144" s="47" t="n"/>
      <c r="E144" s="47" t="n"/>
      <c r="F144" s="47" t="n"/>
      <c r="G144" s="47" t="n"/>
      <c r="H144" s="47" t="n"/>
      <c r="I144" s="47" t="n"/>
      <c r="J144" s="47" t="n"/>
      <c r="K144" s="47" t="n"/>
      <c r="L144" s="47" t="n"/>
      <c r="M144" s="47" t="n"/>
      <c r="N144" s="49">
        <f>IF(A144="","",COUNTIFS('潜水記録'!$S$5:$S$3004,A144,'潜水記録'!$T$5:$T$3004,1))</f>
        <v/>
      </c>
      <c r="O144" s="49">
        <f>IF(A144="","",COUNTIF('潜水記録'!$S$5:$S$3004,A144))</f>
        <v/>
      </c>
    </row>
    <row r="145">
      <c r="A145" s="47" t="n"/>
      <c r="B145" s="48" t="n"/>
      <c r="C145" s="47" t="n"/>
      <c r="D145" s="47" t="n"/>
      <c r="E145" s="47" t="n"/>
      <c r="F145" s="47" t="n"/>
      <c r="G145" s="47" t="n"/>
      <c r="H145" s="47" t="n"/>
      <c r="I145" s="47" t="n"/>
      <c r="J145" s="47" t="n"/>
      <c r="K145" s="47" t="n"/>
      <c r="L145" s="47" t="n"/>
      <c r="M145" s="47" t="n"/>
      <c r="N145" s="49">
        <f>IF(A145="","",COUNTIFS('潜水記録'!$S$5:$S$3004,A145,'潜水記録'!$T$5:$T$3004,1))</f>
        <v/>
      </c>
      <c r="O145" s="49">
        <f>IF(A145="","",COUNTIF('潜水記録'!$S$5:$S$3004,A145))</f>
        <v/>
      </c>
    </row>
    <row r="146">
      <c r="A146" s="47" t="n"/>
      <c r="B146" s="48" t="n"/>
      <c r="C146" s="47" t="n"/>
      <c r="D146" s="47" t="n"/>
      <c r="E146" s="47" t="n"/>
      <c r="F146" s="47" t="n"/>
      <c r="G146" s="47" t="n"/>
      <c r="H146" s="47" t="n"/>
      <c r="I146" s="47" t="n"/>
      <c r="J146" s="47" t="n"/>
      <c r="K146" s="47" t="n"/>
      <c r="L146" s="47" t="n"/>
      <c r="M146" s="47" t="n"/>
      <c r="N146" s="49">
        <f>IF(A146="","",COUNTIFS('潜水記録'!$S$5:$S$3004,A146,'潜水記録'!$T$5:$T$3004,1))</f>
        <v/>
      </c>
      <c r="O146" s="49">
        <f>IF(A146="","",COUNTIF('潜水記録'!$S$5:$S$3004,A146))</f>
        <v/>
      </c>
    </row>
    <row r="147">
      <c r="A147" s="47" t="n"/>
      <c r="B147" s="48" t="n"/>
      <c r="C147" s="47" t="n"/>
      <c r="D147" s="47" t="n"/>
      <c r="E147" s="47" t="n"/>
      <c r="F147" s="47" t="n"/>
      <c r="G147" s="47" t="n"/>
      <c r="H147" s="47" t="n"/>
      <c r="I147" s="47" t="n"/>
      <c r="J147" s="47" t="n"/>
      <c r="K147" s="47" t="n"/>
      <c r="L147" s="47" t="n"/>
      <c r="M147" s="47" t="n"/>
      <c r="N147" s="49">
        <f>IF(A147="","",COUNTIFS('潜水記録'!$S$5:$S$3004,A147,'潜水記録'!$T$5:$T$3004,1))</f>
        <v/>
      </c>
      <c r="O147" s="49">
        <f>IF(A147="","",COUNTIF('潜水記録'!$S$5:$S$3004,A147))</f>
        <v/>
      </c>
    </row>
    <row r="148">
      <c r="A148" s="47" t="n"/>
      <c r="B148" s="48" t="n"/>
      <c r="C148" s="47" t="n"/>
      <c r="D148" s="47" t="n"/>
      <c r="E148" s="47" t="n"/>
      <c r="F148" s="47" t="n"/>
      <c r="G148" s="47" t="n"/>
      <c r="H148" s="47" t="n"/>
      <c r="I148" s="47" t="n"/>
      <c r="J148" s="47" t="n"/>
      <c r="K148" s="47" t="n"/>
      <c r="L148" s="47" t="n"/>
      <c r="M148" s="47" t="n"/>
      <c r="N148" s="49">
        <f>IF(A148="","",COUNTIFS('潜水記録'!$S$5:$S$3004,A148,'潜水記録'!$T$5:$T$3004,1))</f>
        <v/>
      </c>
      <c r="O148" s="49">
        <f>IF(A148="","",COUNTIF('潜水記録'!$S$5:$S$3004,A148))</f>
        <v/>
      </c>
    </row>
    <row r="149">
      <c r="A149" s="47" t="n"/>
      <c r="B149" s="48" t="n"/>
      <c r="C149" s="47" t="n"/>
      <c r="D149" s="47" t="n"/>
      <c r="E149" s="47" t="n"/>
      <c r="F149" s="47" t="n"/>
      <c r="G149" s="47" t="n"/>
      <c r="H149" s="47" t="n"/>
      <c r="I149" s="47" t="n"/>
      <c r="J149" s="47" t="n"/>
      <c r="K149" s="47" t="n"/>
      <c r="L149" s="47" t="n"/>
      <c r="M149" s="47" t="n"/>
      <c r="N149" s="49">
        <f>IF(A149="","",COUNTIFS('潜水記録'!$S$5:$S$3004,A149,'潜水記録'!$T$5:$T$3004,1))</f>
        <v/>
      </c>
      <c r="O149" s="49">
        <f>IF(A149="","",COUNTIF('潜水記録'!$S$5:$S$3004,A149))</f>
        <v/>
      </c>
    </row>
    <row r="150">
      <c r="A150" s="47" t="n"/>
      <c r="B150" s="48" t="n"/>
      <c r="C150" s="47" t="n"/>
      <c r="D150" s="47" t="n"/>
      <c r="E150" s="47" t="n"/>
      <c r="F150" s="47" t="n"/>
      <c r="G150" s="47" t="n"/>
      <c r="H150" s="47" t="n"/>
      <c r="I150" s="47" t="n"/>
      <c r="J150" s="47" t="n"/>
      <c r="K150" s="47" t="n"/>
      <c r="L150" s="47" t="n"/>
      <c r="M150" s="47" t="n"/>
      <c r="N150" s="49">
        <f>IF(A150="","",COUNTIFS('潜水記録'!$S$5:$S$3004,A150,'潜水記録'!$T$5:$T$3004,1))</f>
        <v/>
      </c>
      <c r="O150" s="49">
        <f>IF(A150="","",COUNTIF('潜水記録'!$S$5:$S$3004,A150))</f>
        <v/>
      </c>
    </row>
    <row r="151">
      <c r="A151" s="47" t="n"/>
      <c r="B151" s="48" t="n"/>
      <c r="C151" s="47" t="n"/>
      <c r="D151" s="47" t="n"/>
      <c r="E151" s="47" t="n"/>
      <c r="F151" s="47" t="n"/>
      <c r="G151" s="47" t="n"/>
      <c r="H151" s="47" t="n"/>
      <c r="I151" s="47" t="n"/>
      <c r="J151" s="47" t="n"/>
      <c r="K151" s="47" t="n"/>
      <c r="L151" s="47" t="n"/>
      <c r="M151" s="47" t="n"/>
      <c r="N151" s="49">
        <f>IF(A151="","",COUNTIFS('潜水記録'!$S$5:$S$3004,A151,'潜水記録'!$T$5:$T$3004,1))</f>
        <v/>
      </c>
      <c r="O151" s="49">
        <f>IF(A151="","",COUNTIF('潜水記録'!$S$5:$S$3004,A151))</f>
        <v/>
      </c>
    </row>
    <row r="152">
      <c r="A152" s="47" t="n"/>
      <c r="B152" s="48" t="n"/>
      <c r="C152" s="47" t="n"/>
      <c r="D152" s="47" t="n"/>
      <c r="E152" s="47" t="n"/>
      <c r="F152" s="47" t="n"/>
      <c r="G152" s="47" t="n"/>
      <c r="H152" s="47" t="n"/>
      <c r="I152" s="47" t="n"/>
      <c r="J152" s="47" t="n"/>
      <c r="K152" s="47" t="n"/>
      <c r="L152" s="47" t="n"/>
      <c r="M152" s="47" t="n"/>
      <c r="N152" s="49">
        <f>IF(A152="","",COUNTIFS('潜水記録'!$S$5:$S$3004,A152,'潜水記録'!$T$5:$T$3004,1))</f>
        <v/>
      </c>
      <c r="O152" s="49">
        <f>IF(A152="","",COUNTIF('潜水記録'!$S$5:$S$3004,A152))</f>
        <v/>
      </c>
    </row>
    <row r="153">
      <c r="A153" s="47" t="n"/>
      <c r="B153" s="48" t="n"/>
      <c r="C153" s="47" t="n"/>
      <c r="D153" s="47" t="n"/>
      <c r="E153" s="47" t="n"/>
      <c r="F153" s="47" t="n"/>
      <c r="G153" s="47" t="n"/>
      <c r="H153" s="47" t="n"/>
      <c r="I153" s="47" t="n"/>
      <c r="J153" s="47" t="n"/>
      <c r="K153" s="47" t="n"/>
      <c r="L153" s="47" t="n"/>
      <c r="M153" s="47" t="n"/>
      <c r="N153" s="49">
        <f>IF(A153="","",COUNTIFS('潜水記録'!$S$5:$S$3004,A153,'潜水記録'!$T$5:$T$3004,1))</f>
        <v/>
      </c>
      <c r="O153" s="49">
        <f>IF(A153="","",COUNTIF('潜水記録'!$S$5:$S$3004,A153))</f>
        <v/>
      </c>
    </row>
    <row r="154">
      <c r="A154" s="47" t="n"/>
      <c r="B154" s="48" t="n"/>
      <c r="C154" s="47" t="n"/>
      <c r="D154" s="47" t="n"/>
      <c r="E154" s="47" t="n"/>
      <c r="F154" s="47" t="n"/>
      <c r="G154" s="47" t="n"/>
      <c r="H154" s="47" t="n"/>
      <c r="I154" s="47" t="n"/>
      <c r="J154" s="47" t="n"/>
      <c r="K154" s="47" t="n"/>
      <c r="L154" s="47" t="n"/>
      <c r="M154" s="47" t="n"/>
      <c r="N154" s="49">
        <f>IF(A154="","",COUNTIFS('潜水記録'!$S$5:$S$3004,A154,'潜水記録'!$T$5:$T$3004,1))</f>
        <v/>
      </c>
      <c r="O154" s="49">
        <f>IF(A154="","",COUNTIF('潜水記録'!$S$5:$S$3004,A154))</f>
        <v/>
      </c>
    </row>
    <row r="155">
      <c r="A155" s="47" t="n"/>
      <c r="B155" s="48" t="n"/>
      <c r="C155" s="47" t="n"/>
      <c r="D155" s="47" t="n"/>
      <c r="E155" s="47" t="n"/>
      <c r="F155" s="47" t="n"/>
      <c r="G155" s="47" t="n"/>
      <c r="H155" s="47" t="n"/>
      <c r="I155" s="47" t="n"/>
      <c r="J155" s="47" t="n"/>
      <c r="K155" s="47" t="n"/>
      <c r="L155" s="47" t="n"/>
      <c r="M155" s="47" t="n"/>
      <c r="N155" s="49">
        <f>IF(A155="","",COUNTIFS('潜水記録'!$S$5:$S$3004,A155,'潜水記録'!$T$5:$T$3004,1))</f>
        <v/>
      </c>
      <c r="O155" s="49">
        <f>IF(A155="","",COUNTIF('潜水記録'!$S$5:$S$3004,A155))</f>
        <v/>
      </c>
    </row>
    <row r="156">
      <c r="A156" s="47" t="n"/>
      <c r="B156" s="48" t="n"/>
      <c r="C156" s="47" t="n"/>
      <c r="D156" s="47" t="n"/>
      <c r="E156" s="47" t="n"/>
      <c r="F156" s="47" t="n"/>
      <c r="G156" s="47" t="n"/>
      <c r="H156" s="47" t="n"/>
      <c r="I156" s="47" t="n"/>
      <c r="J156" s="47" t="n"/>
      <c r="K156" s="47" t="n"/>
      <c r="L156" s="47" t="n"/>
      <c r="M156" s="47" t="n"/>
      <c r="N156" s="49">
        <f>IF(A156="","",COUNTIFS('潜水記録'!$S$5:$S$3004,A156,'潜水記録'!$T$5:$T$3004,1))</f>
        <v/>
      </c>
      <c r="O156" s="49">
        <f>IF(A156="","",COUNTIF('潜水記録'!$S$5:$S$3004,A156))</f>
        <v/>
      </c>
    </row>
    <row r="157">
      <c r="A157" s="47" t="n"/>
      <c r="B157" s="48" t="n"/>
      <c r="C157" s="47" t="n"/>
      <c r="D157" s="47" t="n"/>
      <c r="E157" s="47" t="n"/>
      <c r="F157" s="47" t="n"/>
      <c r="G157" s="47" t="n"/>
      <c r="H157" s="47" t="n"/>
      <c r="I157" s="47" t="n"/>
      <c r="J157" s="47" t="n"/>
      <c r="K157" s="47" t="n"/>
      <c r="L157" s="47" t="n"/>
      <c r="M157" s="47" t="n"/>
      <c r="N157" s="49">
        <f>IF(A157="","",COUNTIFS('潜水記録'!$S$5:$S$3004,A157,'潜水記録'!$T$5:$T$3004,1))</f>
        <v/>
      </c>
      <c r="O157" s="49">
        <f>IF(A157="","",COUNTIF('潜水記録'!$S$5:$S$3004,A157))</f>
        <v/>
      </c>
    </row>
    <row r="158">
      <c r="A158" s="47" t="n"/>
      <c r="B158" s="48" t="n"/>
      <c r="C158" s="47" t="n"/>
      <c r="D158" s="47" t="n"/>
      <c r="E158" s="47" t="n"/>
      <c r="F158" s="47" t="n"/>
      <c r="G158" s="47" t="n"/>
      <c r="H158" s="47" t="n"/>
      <c r="I158" s="47" t="n"/>
      <c r="J158" s="47" t="n"/>
      <c r="K158" s="47" t="n"/>
      <c r="L158" s="47" t="n"/>
      <c r="M158" s="47" t="n"/>
      <c r="N158" s="49">
        <f>IF(A158="","",COUNTIFS('潜水記録'!$S$5:$S$3004,A158,'潜水記録'!$T$5:$T$3004,1))</f>
        <v/>
      </c>
      <c r="O158" s="49">
        <f>IF(A158="","",COUNTIF('潜水記録'!$S$5:$S$3004,A158))</f>
        <v/>
      </c>
    </row>
    <row r="159">
      <c r="A159" s="47" t="n"/>
      <c r="B159" s="48" t="n"/>
      <c r="C159" s="47" t="n"/>
      <c r="D159" s="47" t="n"/>
      <c r="E159" s="47" t="n"/>
      <c r="F159" s="47" t="n"/>
      <c r="G159" s="47" t="n"/>
      <c r="H159" s="47" t="n"/>
      <c r="I159" s="47" t="n"/>
      <c r="J159" s="47" t="n"/>
      <c r="K159" s="47" t="n"/>
      <c r="L159" s="47" t="n"/>
      <c r="M159" s="47" t="n"/>
      <c r="N159" s="49">
        <f>IF(A159="","",COUNTIFS('潜水記録'!$S$5:$S$3004,A159,'潜水記録'!$T$5:$T$3004,1))</f>
        <v/>
      </c>
      <c r="O159" s="49">
        <f>IF(A159="","",COUNTIF('潜水記録'!$S$5:$S$3004,A159))</f>
        <v/>
      </c>
    </row>
    <row r="160">
      <c r="A160" s="47" t="n"/>
      <c r="B160" s="48" t="n"/>
      <c r="C160" s="47" t="n"/>
      <c r="D160" s="47" t="n"/>
      <c r="E160" s="47" t="n"/>
      <c r="F160" s="47" t="n"/>
      <c r="G160" s="47" t="n"/>
      <c r="H160" s="47" t="n"/>
      <c r="I160" s="47" t="n"/>
      <c r="J160" s="47" t="n"/>
      <c r="K160" s="47" t="n"/>
      <c r="L160" s="47" t="n"/>
      <c r="M160" s="47" t="n"/>
      <c r="N160" s="49">
        <f>IF(A160="","",COUNTIFS('潜水記録'!$S$5:$S$3004,A160,'潜水記録'!$T$5:$T$3004,1))</f>
        <v/>
      </c>
      <c r="O160" s="49">
        <f>IF(A160="","",COUNTIF('潜水記録'!$S$5:$S$3004,A160))</f>
        <v/>
      </c>
    </row>
    <row r="161">
      <c r="A161" s="47" t="n"/>
      <c r="B161" s="48" t="n"/>
      <c r="C161" s="47" t="n"/>
      <c r="D161" s="47" t="n"/>
      <c r="E161" s="47" t="n"/>
      <c r="F161" s="47" t="n"/>
      <c r="G161" s="47" t="n"/>
      <c r="H161" s="47" t="n"/>
      <c r="I161" s="47" t="n"/>
      <c r="J161" s="47" t="n"/>
      <c r="K161" s="47" t="n"/>
      <c r="L161" s="47" t="n"/>
      <c r="M161" s="47" t="n"/>
      <c r="N161" s="49">
        <f>IF(A161="","",COUNTIFS('潜水記録'!$S$5:$S$3004,A161,'潜水記録'!$T$5:$T$3004,1))</f>
        <v/>
      </c>
      <c r="O161" s="49">
        <f>IF(A161="","",COUNTIF('潜水記録'!$S$5:$S$3004,A161))</f>
        <v/>
      </c>
    </row>
    <row r="162">
      <c r="A162" s="47" t="n"/>
      <c r="B162" s="48" t="n"/>
      <c r="C162" s="47" t="n"/>
      <c r="D162" s="47" t="n"/>
      <c r="E162" s="47" t="n"/>
      <c r="F162" s="47" t="n"/>
      <c r="G162" s="47" t="n"/>
      <c r="H162" s="47" t="n"/>
      <c r="I162" s="47" t="n"/>
      <c r="J162" s="47" t="n"/>
      <c r="K162" s="47" t="n"/>
      <c r="L162" s="47" t="n"/>
      <c r="M162" s="47" t="n"/>
      <c r="N162" s="49">
        <f>IF(A162="","",COUNTIFS('潜水記録'!$S$5:$S$3004,A162,'潜水記録'!$T$5:$T$3004,1))</f>
        <v/>
      </c>
      <c r="O162" s="49">
        <f>IF(A162="","",COUNTIF('潜水記録'!$S$5:$S$3004,A162))</f>
        <v/>
      </c>
    </row>
    <row r="163">
      <c r="A163" s="47" t="n"/>
      <c r="B163" s="48" t="n"/>
      <c r="C163" s="47" t="n"/>
      <c r="D163" s="47" t="n"/>
      <c r="E163" s="47" t="n"/>
      <c r="F163" s="47" t="n"/>
      <c r="G163" s="47" t="n"/>
      <c r="H163" s="47" t="n"/>
      <c r="I163" s="47" t="n"/>
      <c r="J163" s="47" t="n"/>
      <c r="K163" s="47" t="n"/>
      <c r="L163" s="47" t="n"/>
      <c r="M163" s="47" t="n"/>
      <c r="N163" s="49">
        <f>IF(A163="","",COUNTIFS('潜水記録'!$S$5:$S$3004,A163,'潜水記録'!$T$5:$T$3004,1))</f>
        <v/>
      </c>
      <c r="O163" s="49">
        <f>IF(A163="","",COUNTIF('潜水記録'!$S$5:$S$3004,A163))</f>
        <v/>
      </c>
    </row>
    <row r="164">
      <c r="A164" s="47" t="n"/>
      <c r="B164" s="48" t="n"/>
      <c r="C164" s="47" t="n"/>
      <c r="D164" s="47" t="n"/>
      <c r="E164" s="47" t="n"/>
      <c r="F164" s="47" t="n"/>
      <c r="G164" s="47" t="n"/>
      <c r="H164" s="47" t="n"/>
      <c r="I164" s="47" t="n"/>
      <c r="J164" s="47" t="n"/>
      <c r="K164" s="47" t="n"/>
      <c r="L164" s="47" t="n"/>
      <c r="M164" s="47" t="n"/>
      <c r="N164" s="49">
        <f>IF(A164="","",COUNTIFS('潜水記録'!$S$5:$S$3004,A164,'潜水記録'!$T$5:$T$3004,1))</f>
        <v/>
      </c>
      <c r="O164" s="49">
        <f>IF(A164="","",COUNTIF('潜水記録'!$S$5:$S$3004,A164))</f>
        <v/>
      </c>
    </row>
    <row r="165">
      <c r="A165" s="47" t="n"/>
      <c r="B165" s="48" t="n"/>
      <c r="C165" s="47" t="n"/>
      <c r="D165" s="47" t="n"/>
      <c r="E165" s="47" t="n"/>
      <c r="F165" s="47" t="n"/>
      <c r="G165" s="47" t="n"/>
      <c r="H165" s="47" t="n"/>
      <c r="I165" s="47" t="n"/>
      <c r="J165" s="47" t="n"/>
      <c r="K165" s="47" t="n"/>
      <c r="L165" s="47" t="n"/>
      <c r="M165" s="47" t="n"/>
      <c r="N165" s="49">
        <f>IF(A165="","",COUNTIFS('潜水記録'!$S$5:$S$3004,A165,'潜水記録'!$T$5:$T$3004,1))</f>
        <v/>
      </c>
      <c r="O165" s="49">
        <f>IF(A165="","",COUNTIF('潜水記録'!$S$5:$S$3004,A165))</f>
        <v/>
      </c>
    </row>
    <row r="166">
      <c r="A166" s="47" t="n"/>
      <c r="B166" s="48" t="n"/>
      <c r="C166" s="47" t="n"/>
      <c r="D166" s="47" t="n"/>
      <c r="E166" s="47" t="n"/>
      <c r="F166" s="47" t="n"/>
      <c r="G166" s="47" t="n"/>
      <c r="H166" s="47" t="n"/>
      <c r="I166" s="47" t="n"/>
      <c r="J166" s="47" t="n"/>
      <c r="K166" s="47" t="n"/>
      <c r="L166" s="47" t="n"/>
      <c r="M166" s="47" t="n"/>
      <c r="N166" s="49">
        <f>IF(A166="","",COUNTIFS('潜水記録'!$S$5:$S$3004,A166,'潜水記録'!$T$5:$T$3004,1))</f>
        <v/>
      </c>
      <c r="O166" s="49">
        <f>IF(A166="","",COUNTIF('潜水記録'!$S$5:$S$3004,A166))</f>
        <v/>
      </c>
    </row>
    <row r="167">
      <c r="A167" s="47" t="n"/>
      <c r="B167" s="48" t="n"/>
      <c r="C167" s="47" t="n"/>
      <c r="D167" s="47" t="n"/>
      <c r="E167" s="47" t="n"/>
      <c r="F167" s="47" t="n"/>
      <c r="G167" s="47" t="n"/>
      <c r="H167" s="47" t="n"/>
      <c r="I167" s="47" t="n"/>
      <c r="J167" s="47" t="n"/>
      <c r="K167" s="47" t="n"/>
      <c r="L167" s="47" t="n"/>
      <c r="M167" s="47" t="n"/>
      <c r="N167" s="49">
        <f>IF(A167="","",COUNTIFS('潜水記録'!$S$5:$S$3004,A167,'潜水記録'!$T$5:$T$3004,1))</f>
        <v/>
      </c>
      <c r="O167" s="49">
        <f>IF(A167="","",COUNTIF('潜水記録'!$S$5:$S$3004,A167))</f>
        <v/>
      </c>
    </row>
    <row r="168">
      <c r="A168" s="47" t="n"/>
      <c r="B168" s="48" t="n"/>
      <c r="C168" s="47" t="n"/>
      <c r="D168" s="47" t="n"/>
      <c r="E168" s="47" t="n"/>
      <c r="F168" s="47" t="n"/>
      <c r="G168" s="47" t="n"/>
      <c r="H168" s="47" t="n"/>
      <c r="I168" s="47" t="n"/>
      <c r="J168" s="47" t="n"/>
      <c r="K168" s="47" t="n"/>
      <c r="L168" s="47" t="n"/>
      <c r="M168" s="47" t="n"/>
      <c r="N168" s="49">
        <f>IF(A168="","",COUNTIFS('潜水記録'!$S$5:$S$3004,A168,'潜水記録'!$T$5:$T$3004,1))</f>
        <v/>
      </c>
      <c r="O168" s="49">
        <f>IF(A168="","",COUNTIF('潜水記録'!$S$5:$S$3004,A168))</f>
        <v/>
      </c>
    </row>
    <row r="169">
      <c r="A169" s="47" t="n"/>
      <c r="B169" s="48" t="n"/>
      <c r="C169" s="47" t="n"/>
      <c r="D169" s="47" t="n"/>
      <c r="E169" s="47" t="n"/>
      <c r="F169" s="47" t="n"/>
      <c r="G169" s="47" t="n"/>
      <c r="H169" s="47" t="n"/>
      <c r="I169" s="47" t="n"/>
      <c r="J169" s="47" t="n"/>
      <c r="K169" s="47" t="n"/>
      <c r="L169" s="47" t="n"/>
      <c r="M169" s="47" t="n"/>
      <c r="N169" s="49">
        <f>IF(A169="","",COUNTIFS('潜水記録'!$S$5:$S$3004,A169,'潜水記録'!$T$5:$T$3004,1))</f>
        <v/>
      </c>
      <c r="O169" s="49">
        <f>IF(A169="","",COUNTIF('潜水記録'!$S$5:$S$3004,A169))</f>
        <v/>
      </c>
    </row>
    <row r="170">
      <c r="A170" s="47" t="n"/>
      <c r="B170" s="48" t="n"/>
      <c r="C170" s="47" t="n"/>
      <c r="D170" s="47" t="n"/>
      <c r="E170" s="47" t="n"/>
      <c r="F170" s="47" t="n"/>
      <c r="G170" s="47" t="n"/>
      <c r="H170" s="47" t="n"/>
      <c r="I170" s="47" t="n"/>
      <c r="J170" s="47" t="n"/>
      <c r="K170" s="47" t="n"/>
      <c r="L170" s="47" t="n"/>
      <c r="M170" s="47" t="n"/>
      <c r="N170" s="49">
        <f>IF(A170="","",COUNTIFS('潜水記録'!$S$5:$S$3004,A170,'潜水記録'!$T$5:$T$3004,1))</f>
        <v/>
      </c>
      <c r="O170" s="49">
        <f>IF(A170="","",COUNTIF('潜水記録'!$S$5:$S$3004,A170))</f>
        <v/>
      </c>
    </row>
    <row r="171">
      <c r="A171" s="47" t="n"/>
      <c r="B171" s="48" t="n"/>
      <c r="C171" s="47" t="n"/>
      <c r="D171" s="47" t="n"/>
      <c r="E171" s="47" t="n"/>
      <c r="F171" s="47" t="n"/>
      <c r="G171" s="47" t="n"/>
      <c r="H171" s="47" t="n"/>
      <c r="I171" s="47" t="n"/>
      <c r="J171" s="47" t="n"/>
      <c r="K171" s="47" t="n"/>
      <c r="L171" s="47" t="n"/>
      <c r="M171" s="47" t="n"/>
      <c r="N171" s="49">
        <f>IF(A171="","",COUNTIFS('潜水記録'!$S$5:$S$3004,A171,'潜水記録'!$T$5:$T$3004,1))</f>
        <v/>
      </c>
      <c r="O171" s="49">
        <f>IF(A171="","",COUNTIF('潜水記録'!$S$5:$S$3004,A171))</f>
        <v/>
      </c>
    </row>
    <row r="172">
      <c r="A172" s="47" t="n"/>
      <c r="B172" s="48" t="n"/>
      <c r="C172" s="47" t="n"/>
      <c r="D172" s="47" t="n"/>
      <c r="E172" s="47" t="n"/>
      <c r="F172" s="47" t="n"/>
      <c r="G172" s="47" t="n"/>
      <c r="H172" s="47" t="n"/>
      <c r="I172" s="47" t="n"/>
      <c r="J172" s="47" t="n"/>
      <c r="K172" s="47" t="n"/>
      <c r="L172" s="47" t="n"/>
      <c r="M172" s="47" t="n"/>
      <c r="N172" s="49">
        <f>IF(A172="","",COUNTIFS('潜水記録'!$S$5:$S$3004,A172,'潜水記録'!$T$5:$T$3004,1))</f>
        <v/>
      </c>
      <c r="O172" s="49">
        <f>IF(A172="","",COUNTIF('潜水記録'!$S$5:$S$3004,A172))</f>
        <v/>
      </c>
    </row>
    <row r="173">
      <c r="A173" s="47" t="n"/>
      <c r="B173" s="48" t="n"/>
      <c r="C173" s="47" t="n"/>
      <c r="D173" s="47" t="n"/>
      <c r="E173" s="47" t="n"/>
      <c r="F173" s="47" t="n"/>
      <c r="G173" s="47" t="n"/>
      <c r="H173" s="47" t="n"/>
      <c r="I173" s="47" t="n"/>
      <c r="J173" s="47" t="n"/>
      <c r="K173" s="47" t="n"/>
      <c r="L173" s="47" t="n"/>
      <c r="M173" s="47" t="n"/>
      <c r="N173" s="49">
        <f>IF(A173="","",COUNTIFS('潜水記録'!$S$5:$S$3004,A173,'潜水記録'!$T$5:$T$3004,1))</f>
        <v/>
      </c>
      <c r="O173" s="49">
        <f>IF(A173="","",COUNTIF('潜水記録'!$S$5:$S$3004,A173))</f>
        <v/>
      </c>
    </row>
    <row r="174">
      <c r="A174" s="47" t="n"/>
      <c r="B174" s="48" t="n"/>
      <c r="C174" s="47" t="n"/>
      <c r="D174" s="47" t="n"/>
      <c r="E174" s="47" t="n"/>
      <c r="F174" s="47" t="n"/>
      <c r="G174" s="47" t="n"/>
      <c r="H174" s="47" t="n"/>
      <c r="I174" s="47" t="n"/>
      <c r="J174" s="47" t="n"/>
      <c r="K174" s="47" t="n"/>
      <c r="L174" s="47" t="n"/>
      <c r="M174" s="47" t="n"/>
      <c r="N174" s="49">
        <f>IF(A174="","",COUNTIFS('潜水記録'!$S$5:$S$3004,A174,'潜水記録'!$T$5:$T$3004,1))</f>
        <v/>
      </c>
      <c r="O174" s="49">
        <f>IF(A174="","",COUNTIF('潜水記録'!$S$5:$S$3004,A174))</f>
        <v/>
      </c>
    </row>
    <row r="175">
      <c r="A175" s="47" t="n"/>
      <c r="B175" s="48" t="n"/>
      <c r="C175" s="47" t="n"/>
      <c r="D175" s="47" t="n"/>
      <c r="E175" s="47" t="n"/>
      <c r="F175" s="47" t="n"/>
      <c r="G175" s="47" t="n"/>
      <c r="H175" s="47" t="n"/>
      <c r="I175" s="47" t="n"/>
      <c r="J175" s="47" t="n"/>
      <c r="K175" s="47" t="n"/>
      <c r="L175" s="47" t="n"/>
      <c r="M175" s="47" t="n"/>
      <c r="N175" s="49">
        <f>IF(A175="","",COUNTIFS('潜水記録'!$S$5:$S$3004,A175,'潜水記録'!$T$5:$T$3004,1))</f>
        <v/>
      </c>
      <c r="O175" s="49">
        <f>IF(A175="","",COUNTIF('潜水記録'!$S$5:$S$3004,A175))</f>
        <v/>
      </c>
    </row>
    <row r="176">
      <c r="A176" s="47" t="n"/>
      <c r="B176" s="48" t="n"/>
      <c r="C176" s="47" t="n"/>
      <c r="D176" s="47" t="n"/>
      <c r="E176" s="47" t="n"/>
      <c r="F176" s="47" t="n"/>
      <c r="G176" s="47" t="n"/>
      <c r="H176" s="47" t="n"/>
      <c r="I176" s="47" t="n"/>
      <c r="J176" s="47" t="n"/>
      <c r="K176" s="47" t="n"/>
      <c r="L176" s="47" t="n"/>
      <c r="M176" s="47" t="n"/>
      <c r="N176" s="49">
        <f>IF(A176="","",COUNTIFS('潜水記録'!$S$5:$S$3004,A176,'潜水記録'!$T$5:$T$3004,1))</f>
        <v/>
      </c>
      <c r="O176" s="49">
        <f>IF(A176="","",COUNTIF('潜水記録'!$S$5:$S$3004,A176))</f>
        <v/>
      </c>
    </row>
    <row r="177">
      <c r="A177" s="47" t="n"/>
      <c r="B177" s="48" t="n"/>
      <c r="C177" s="47" t="n"/>
      <c r="D177" s="47" t="n"/>
      <c r="E177" s="47" t="n"/>
      <c r="F177" s="47" t="n"/>
      <c r="G177" s="47" t="n"/>
      <c r="H177" s="47" t="n"/>
      <c r="I177" s="47" t="n"/>
      <c r="J177" s="47" t="n"/>
      <c r="K177" s="47" t="n"/>
      <c r="L177" s="47" t="n"/>
      <c r="M177" s="47" t="n"/>
      <c r="N177" s="49">
        <f>IF(A177="","",COUNTIFS('潜水記録'!$S$5:$S$3004,A177,'潜水記録'!$T$5:$T$3004,1))</f>
        <v/>
      </c>
      <c r="O177" s="49">
        <f>IF(A177="","",COUNTIF('潜水記録'!$S$5:$S$3004,A177))</f>
        <v/>
      </c>
    </row>
    <row r="178">
      <c r="A178" s="47" t="n"/>
      <c r="B178" s="48" t="n"/>
      <c r="C178" s="47" t="n"/>
      <c r="D178" s="47" t="n"/>
      <c r="E178" s="47" t="n"/>
      <c r="F178" s="47" t="n"/>
      <c r="G178" s="47" t="n"/>
      <c r="H178" s="47" t="n"/>
      <c r="I178" s="47" t="n"/>
      <c r="J178" s="47" t="n"/>
      <c r="K178" s="47" t="n"/>
      <c r="L178" s="47" t="n"/>
      <c r="M178" s="47" t="n"/>
      <c r="N178" s="49">
        <f>IF(A178="","",COUNTIFS('潜水記録'!$S$5:$S$3004,A178,'潜水記録'!$T$5:$T$3004,1))</f>
        <v/>
      </c>
      <c r="O178" s="49">
        <f>IF(A178="","",COUNTIF('潜水記録'!$S$5:$S$3004,A178))</f>
        <v/>
      </c>
    </row>
    <row r="179">
      <c r="A179" s="47" t="n"/>
      <c r="B179" s="48" t="n"/>
      <c r="C179" s="47" t="n"/>
      <c r="D179" s="47" t="n"/>
      <c r="E179" s="47" t="n"/>
      <c r="F179" s="47" t="n"/>
      <c r="G179" s="47" t="n"/>
      <c r="H179" s="47" t="n"/>
      <c r="I179" s="47" t="n"/>
      <c r="J179" s="47" t="n"/>
      <c r="K179" s="47" t="n"/>
      <c r="L179" s="47" t="n"/>
      <c r="M179" s="47" t="n"/>
      <c r="N179" s="49">
        <f>IF(A179="","",COUNTIFS('潜水記録'!$S$5:$S$3004,A179,'潜水記録'!$T$5:$T$3004,1))</f>
        <v/>
      </c>
      <c r="O179" s="49">
        <f>IF(A179="","",COUNTIF('潜水記録'!$S$5:$S$3004,A179))</f>
        <v/>
      </c>
    </row>
    <row r="180">
      <c r="A180" s="47" t="n"/>
      <c r="B180" s="48" t="n"/>
      <c r="C180" s="47" t="n"/>
      <c r="D180" s="47" t="n"/>
      <c r="E180" s="47" t="n"/>
      <c r="F180" s="47" t="n"/>
      <c r="G180" s="47" t="n"/>
      <c r="H180" s="47" t="n"/>
      <c r="I180" s="47" t="n"/>
      <c r="J180" s="47" t="n"/>
      <c r="K180" s="47" t="n"/>
      <c r="L180" s="47" t="n"/>
      <c r="M180" s="47" t="n"/>
      <c r="N180" s="49">
        <f>IF(A180="","",COUNTIFS('潜水記録'!$S$5:$S$3004,A180,'潜水記録'!$T$5:$T$3004,1))</f>
        <v/>
      </c>
      <c r="O180" s="49">
        <f>IF(A180="","",COUNTIF('潜水記録'!$S$5:$S$3004,A180))</f>
        <v/>
      </c>
    </row>
    <row r="181">
      <c r="A181" s="47" t="n"/>
      <c r="B181" s="48" t="n"/>
      <c r="C181" s="47" t="n"/>
      <c r="D181" s="47" t="n"/>
      <c r="E181" s="47" t="n"/>
      <c r="F181" s="47" t="n"/>
      <c r="G181" s="47" t="n"/>
      <c r="H181" s="47" t="n"/>
      <c r="I181" s="47" t="n"/>
      <c r="J181" s="47" t="n"/>
      <c r="K181" s="47" t="n"/>
      <c r="L181" s="47" t="n"/>
      <c r="M181" s="47" t="n"/>
      <c r="N181" s="49">
        <f>IF(A181="","",COUNTIFS('潜水記録'!$S$5:$S$3004,A181,'潜水記録'!$T$5:$T$3004,1))</f>
        <v/>
      </c>
      <c r="O181" s="49">
        <f>IF(A181="","",COUNTIF('潜水記録'!$S$5:$S$3004,A181))</f>
        <v/>
      </c>
    </row>
    <row r="182">
      <c r="A182" s="47" t="n"/>
      <c r="B182" s="48" t="n"/>
      <c r="C182" s="47" t="n"/>
      <c r="D182" s="47" t="n"/>
      <c r="E182" s="47" t="n"/>
      <c r="F182" s="47" t="n"/>
      <c r="G182" s="47" t="n"/>
      <c r="H182" s="47" t="n"/>
      <c r="I182" s="47" t="n"/>
      <c r="J182" s="47" t="n"/>
      <c r="K182" s="47" t="n"/>
      <c r="L182" s="47" t="n"/>
      <c r="M182" s="47" t="n"/>
      <c r="N182" s="49">
        <f>IF(A182="","",COUNTIFS('潜水記録'!$S$5:$S$3004,A182,'潜水記録'!$T$5:$T$3004,1))</f>
        <v/>
      </c>
      <c r="O182" s="49">
        <f>IF(A182="","",COUNTIF('潜水記録'!$S$5:$S$3004,A182))</f>
        <v/>
      </c>
    </row>
    <row r="183">
      <c r="A183" s="47" t="n"/>
      <c r="B183" s="48" t="n"/>
      <c r="C183" s="47" t="n"/>
      <c r="D183" s="47" t="n"/>
      <c r="E183" s="47" t="n"/>
      <c r="F183" s="47" t="n"/>
      <c r="G183" s="47" t="n"/>
      <c r="H183" s="47" t="n"/>
      <c r="I183" s="47" t="n"/>
      <c r="J183" s="47" t="n"/>
      <c r="K183" s="47" t="n"/>
      <c r="L183" s="47" t="n"/>
      <c r="M183" s="47" t="n"/>
      <c r="N183" s="49">
        <f>IF(A183="","",COUNTIFS('潜水記録'!$S$5:$S$3004,A183,'潜水記録'!$T$5:$T$3004,1))</f>
        <v/>
      </c>
      <c r="O183" s="49">
        <f>IF(A183="","",COUNTIF('潜水記録'!$S$5:$S$3004,A183))</f>
        <v/>
      </c>
    </row>
    <row r="184">
      <c r="A184" s="47" t="n"/>
      <c r="B184" s="48" t="n"/>
      <c r="C184" s="47" t="n"/>
      <c r="D184" s="47" t="n"/>
      <c r="E184" s="47" t="n"/>
      <c r="F184" s="47" t="n"/>
      <c r="G184" s="47" t="n"/>
      <c r="H184" s="47" t="n"/>
      <c r="I184" s="47" t="n"/>
      <c r="J184" s="47" t="n"/>
      <c r="K184" s="47" t="n"/>
      <c r="L184" s="47" t="n"/>
      <c r="M184" s="47" t="n"/>
      <c r="N184" s="49">
        <f>IF(A184="","",COUNTIFS('潜水記録'!$S$5:$S$3004,A184,'潜水記録'!$T$5:$T$3004,1))</f>
        <v/>
      </c>
      <c r="O184" s="49">
        <f>IF(A184="","",COUNTIF('潜水記録'!$S$5:$S$3004,A184))</f>
        <v/>
      </c>
    </row>
    <row r="185">
      <c r="A185" s="47" t="n"/>
      <c r="B185" s="48" t="n"/>
      <c r="C185" s="47" t="n"/>
      <c r="D185" s="47" t="n"/>
      <c r="E185" s="47" t="n"/>
      <c r="F185" s="47" t="n"/>
      <c r="G185" s="47" t="n"/>
      <c r="H185" s="47" t="n"/>
      <c r="I185" s="47" t="n"/>
      <c r="J185" s="47" t="n"/>
      <c r="K185" s="47" t="n"/>
      <c r="L185" s="47" t="n"/>
      <c r="M185" s="47" t="n"/>
      <c r="N185" s="49">
        <f>IF(A185="","",COUNTIFS('潜水記録'!$S$5:$S$3004,A185,'潜水記録'!$T$5:$T$3004,1))</f>
        <v/>
      </c>
      <c r="O185" s="49">
        <f>IF(A185="","",COUNTIF('潜水記録'!$S$5:$S$3004,A185))</f>
        <v/>
      </c>
    </row>
    <row r="186">
      <c r="A186" s="47" t="n"/>
      <c r="B186" s="48" t="n"/>
      <c r="C186" s="47" t="n"/>
      <c r="D186" s="47" t="n"/>
      <c r="E186" s="47" t="n"/>
      <c r="F186" s="47" t="n"/>
      <c r="G186" s="47" t="n"/>
      <c r="H186" s="47" t="n"/>
      <c r="I186" s="47" t="n"/>
      <c r="J186" s="47" t="n"/>
      <c r="K186" s="47" t="n"/>
      <c r="L186" s="47" t="n"/>
      <c r="M186" s="47" t="n"/>
      <c r="N186" s="49">
        <f>IF(A186="","",COUNTIFS('潜水記録'!$S$5:$S$3004,A186,'潜水記録'!$T$5:$T$3004,1))</f>
        <v/>
      </c>
      <c r="O186" s="49">
        <f>IF(A186="","",COUNTIF('潜水記録'!$S$5:$S$3004,A186))</f>
        <v/>
      </c>
    </row>
    <row r="187">
      <c r="A187" s="47" t="n"/>
      <c r="B187" s="48" t="n"/>
      <c r="C187" s="47" t="n"/>
      <c r="D187" s="47" t="n"/>
      <c r="E187" s="47" t="n"/>
      <c r="F187" s="47" t="n"/>
      <c r="G187" s="47" t="n"/>
      <c r="H187" s="47" t="n"/>
      <c r="I187" s="47" t="n"/>
      <c r="J187" s="47" t="n"/>
      <c r="K187" s="47" t="n"/>
      <c r="L187" s="47" t="n"/>
      <c r="M187" s="47" t="n"/>
      <c r="N187" s="49">
        <f>IF(A187="","",COUNTIFS('潜水記録'!$S$5:$S$3004,A187,'潜水記録'!$T$5:$T$3004,1))</f>
        <v/>
      </c>
      <c r="O187" s="49">
        <f>IF(A187="","",COUNTIF('潜水記録'!$S$5:$S$3004,A187))</f>
        <v/>
      </c>
    </row>
    <row r="188">
      <c r="A188" s="47" t="n"/>
      <c r="B188" s="48" t="n"/>
      <c r="C188" s="47" t="n"/>
      <c r="D188" s="47" t="n"/>
      <c r="E188" s="47" t="n"/>
      <c r="F188" s="47" t="n"/>
      <c r="G188" s="47" t="n"/>
      <c r="H188" s="47" t="n"/>
      <c r="I188" s="47" t="n"/>
      <c r="J188" s="47" t="n"/>
      <c r="K188" s="47" t="n"/>
      <c r="L188" s="47" t="n"/>
      <c r="M188" s="47" t="n"/>
      <c r="N188" s="49">
        <f>IF(A188="","",COUNTIFS('潜水記録'!$S$5:$S$3004,A188,'潜水記録'!$T$5:$T$3004,1))</f>
        <v/>
      </c>
      <c r="O188" s="49">
        <f>IF(A188="","",COUNTIF('潜水記録'!$S$5:$S$3004,A188))</f>
        <v/>
      </c>
    </row>
    <row r="189">
      <c r="A189" s="47" t="n"/>
      <c r="B189" s="48" t="n"/>
      <c r="C189" s="47" t="n"/>
      <c r="D189" s="47" t="n"/>
      <c r="E189" s="47" t="n"/>
      <c r="F189" s="47" t="n"/>
      <c r="G189" s="47" t="n"/>
      <c r="H189" s="47" t="n"/>
      <c r="I189" s="47" t="n"/>
      <c r="J189" s="47" t="n"/>
      <c r="K189" s="47" t="n"/>
      <c r="L189" s="47" t="n"/>
      <c r="M189" s="47" t="n"/>
      <c r="N189" s="49">
        <f>IF(A189="","",COUNTIFS('潜水記録'!$S$5:$S$3004,A189,'潜水記録'!$T$5:$T$3004,1))</f>
        <v/>
      </c>
      <c r="O189" s="49">
        <f>IF(A189="","",COUNTIF('潜水記録'!$S$5:$S$3004,A189))</f>
        <v/>
      </c>
    </row>
    <row r="190">
      <c r="A190" s="47" t="n"/>
      <c r="B190" s="48" t="n"/>
      <c r="C190" s="47" t="n"/>
      <c r="D190" s="47" t="n"/>
      <c r="E190" s="47" t="n"/>
      <c r="F190" s="47" t="n"/>
      <c r="G190" s="47" t="n"/>
      <c r="H190" s="47" t="n"/>
      <c r="I190" s="47" t="n"/>
      <c r="J190" s="47" t="n"/>
      <c r="K190" s="47" t="n"/>
      <c r="L190" s="47" t="n"/>
      <c r="M190" s="47" t="n"/>
      <c r="N190" s="49">
        <f>IF(A190="","",COUNTIFS('潜水記録'!$S$5:$S$3004,A190,'潜水記録'!$T$5:$T$3004,1))</f>
        <v/>
      </c>
      <c r="O190" s="49">
        <f>IF(A190="","",COUNTIF('潜水記録'!$S$5:$S$3004,A190))</f>
        <v/>
      </c>
    </row>
    <row r="191">
      <c r="A191" s="47" t="n"/>
      <c r="B191" s="48" t="n"/>
      <c r="C191" s="47" t="n"/>
      <c r="D191" s="47" t="n"/>
      <c r="E191" s="47" t="n"/>
      <c r="F191" s="47" t="n"/>
      <c r="G191" s="47" t="n"/>
      <c r="H191" s="47" t="n"/>
      <c r="I191" s="47" t="n"/>
      <c r="J191" s="47" t="n"/>
      <c r="K191" s="47" t="n"/>
      <c r="L191" s="47" t="n"/>
      <c r="M191" s="47" t="n"/>
      <c r="N191" s="49">
        <f>IF(A191="","",COUNTIFS('潜水記録'!$S$5:$S$3004,A191,'潜水記録'!$T$5:$T$3004,1))</f>
        <v/>
      </c>
      <c r="O191" s="49">
        <f>IF(A191="","",COUNTIF('潜水記録'!$S$5:$S$3004,A191))</f>
        <v/>
      </c>
    </row>
    <row r="192">
      <c r="A192" s="47" t="n"/>
      <c r="B192" s="48" t="n"/>
      <c r="C192" s="47" t="n"/>
      <c r="D192" s="47" t="n"/>
      <c r="E192" s="47" t="n"/>
      <c r="F192" s="47" t="n"/>
      <c r="G192" s="47" t="n"/>
      <c r="H192" s="47" t="n"/>
      <c r="I192" s="47" t="n"/>
      <c r="J192" s="47" t="n"/>
      <c r="K192" s="47" t="n"/>
      <c r="L192" s="47" t="n"/>
      <c r="M192" s="47" t="n"/>
      <c r="N192" s="49">
        <f>IF(A192="","",COUNTIFS('潜水記録'!$S$5:$S$3004,A192,'潜水記録'!$T$5:$T$3004,1))</f>
        <v/>
      </c>
      <c r="O192" s="49">
        <f>IF(A192="","",COUNTIF('潜水記録'!$S$5:$S$3004,A192))</f>
        <v/>
      </c>
    </row>
    <row r="193">
      <c r="A193" s="47" t="n"/>
      <c r="B193" s="48" t="n"/>
      <c r="C193" s="47" t="n"/>
      <c r="D193" s="47" t="n"/>
      <c r="E193" s="47" t="n"/>
      <c r="F193" s="47" t="n"/>
      <c r="G193" s="47" t="n"/>
      <c r="H193" s="47" t="n"/>
      <c r="I193" s="47" t="n"/>
      <c r="J193" s="47" t="n"/>
      <c r="K193" s="47" t="n"/>
      <c r="L193" s="47" t="n"/>
      <c r="M193" s="47" t="n"/>
      <c r="N193" s="49">
        <f>IF(A193="","",COUNTIFS('潜水記録'!$S$5:$S$3004,A193,'潜水記録'!$T$5:$T$3004,1))</f>
        <v/>
      </c>
      <c r="O193" s="49">
        <f>IF(A193="","",COUNTIF('潜水記録'!$S$5:$S$3004,A193))</f>
        <v/>
      </c>
    </row>
    <row r="194">
      <c r="A194" s="47" t="n"/>
      <c r="B194" s="48" t="n"/>
      <c r="C194" s="47" t="n"/>
      <c r="D194" s="47" t="n"/>
      <c r="E194" s="47" t="n"/>
      <c r="F194" s="47" t="n"/>
      <c r="G194" s="47" t="n"/>
      <c r="H194" s="47" t="n"/>
      <c r="I194" s="47" t="n"/>
      <c r="J194" s="47" t="n"/>
      <c r="K194" s="47" t="n"/>
      <c r="L194" s="47" t="n"/>
      <c r="M194" s="47" t="n"/>
      <c r="N194" s="49">
        <f>IF(A194="","",COUNTIFS('潜水記録'!$S$5:$S$3004,A194,'潜水記録'!$T$5:$T$3004,1))</f>
        <v/>
      </c>
      <c r="O194" s="49">
        <f>IF(A194="","",COUNTIF('潜水記録'!$S$5:$S$3004,A194))</f>
        <v/>
      </c>
    </row>
    <row r="195">
      <c r="A195" s="47" t="n"/>
      <c r="B195" s="48" t="n"/>
      <c r="C195" s="47" t="n"/>
      <c r="D195" s="47" t="n"/>
      <c r="E195" s="47" t="n"/>
      <c r="F195" s="47" t="n"/>
      <c r="G195" s="47" t="n"/>
      <c r="H195" s="47" t="n"/>
      <c r="I195" s="47" t="n"/>
      <c r="J195" s="47" t="n"/>
      <c r="K195" s="47" t="n"/>
      <c r="L195" s="47" t="n"/>
      <c r="M195" s="47" t="n"/>
      <c r="N195" s="49">
        <f>IF(A195="","",COUNTIFS('潜水記録'!$S$5:$S$3004,A195,'潜水記録'!$T$5:$T$3004,1))</f>
        <v/>
      </c>
      <c r="O195" s="49">
        <f>IF(A195="","",COUNTIF('潜水記録'!$S$5:$S$3004,A195))</f>
        <v/>
      </c>
    </row>
    <row r="196">
      <c r="A196" s="47" t="n"/>
      <c r="B196" s="48" t="n"/>
      <c r="C196" s="47" t="n"/>
      <c r="D196" s="47" t="n"/>
      <c r="E196" s="47" t="n"/>
      <c r="F196" s="47" t="n"/>
      <c r="G196" s="47" t="n"/>
      <c r="H196" s="47" t="n"/>
      <c r="I196" s="47" t="n"/>
      <c r="J196" s="47" t="n"/>
      <c r="K196" s="47" t="n"/>
      <c r="L196" s="47" t="n"/>
      <c r="M196" s="47" t="n"/>
      <c r="N196" s="49">
        <f>IF(A196="","",COUNTIFS('潜水記録'!$S$5:$S$3004,A196,'潜水記録'!$T$5:$T$3004,1))</f>
        <v/>
      </c>
      <c r="O196" s="49">
        <f>IF(A196="","",COUNTIF('潜水記録'!$S$5:$S$3004,A196))</f>
        <v/>
      </c>
    </row>
    <row r="197">
      <c r="A197" s="47" t="n"/>
      <c r="B197" s="48" t="n"/>
      <c r="C197" s="47" t="n"/>
      <c r="D197" s="47" t="n"/>
      <c r="E197" s="47" t="n"/>
      <c r="F197" s="47" t="n"/>
      <c r="G197" s="47" t="n"/>
      <c r="H197" s="47" t="n"/>
      <c r="I197" s="47" t="n"/>
      <c r="J197" s="47" t="n"/>
      <c r="K197" s="47" t="n"/>
      <c r="L197" s="47" t="n"/>
      <c r="M197" s="47" t="n"/>
      <c r="N197" s="49">
        <f>IF(A197="","",COUNTIFS('潜水記録'!$S$5:$S$3004,A197,'潜水記録'!$T$5:$T$3004,1))</f>
        <v/>
      </c>
      <c r="O197" s="49">
        <f>IF(A197="","",COUNTIF('潜水記録'!$S$5:$S$3004,A197))</f>
        <v/>
      </c>
    </row>
    <row r="198">
      <c r="A198" s="47" t="n"/>
      <c r="B198" s="48" t="n"/>
      <c r="C198" s="47" t="n"/>
      <c r="D198" s="47" t="n"/>
      <c r="E198" s="47" t="n"/>
      <c r="F198" s="47" t="n"/>
      <c r="G198" s="47" t="n"/>
      <c r="H198" s="47" t="n"/>
      <c r="I198" s="47" t="n"/>
      <c r="J198" s="47" t="n"/>
      <c r="K198" s="47" t="n"/>
      <c r="L198" s="47" t="n"/>
      <c r="M198" s="47" t="n"/>
      <c r="N198" s="49">
        <f>IF(A198="","",COUNTIFS('潜水記録'!$S$5:$S$3004,A198,'潜水記録'!$T$5:$T$3004,1))</f>
        <v/>
      </c>
      <c r="O198" s="49">
        <f>IF(A198="","",COUNTIF('潜水記録'!$S$5:$S$3004,A198))</f>
        <v/>
      </c>
    </row>
    <row r="199">
      <c r="A199" s="47" t="n"/>
      <c r="B199" s="48" t="n"/>
      <c r="C199" s="47" t="n"/>
      <c r="D199" s="47" t="n"/>
      <c r="E199" s="47" t="n"/>
      <c r="F199" s="47" t="n"/>
      <c r="G199" s="47" t="n"/>
      <c r="H199" s="47" t="n"/>
      <c r="I199" s="47" t="n"/>
      <c r="J199" s="47" t="n"/>
      <c r="K199" s="47" t="n"/>
      <c r="L199" s="47" t="n"/>
      <c r="M199" s="47" t="n"/>
      <c r="N199" s="49">
        <f>IF(A199="","",COUNTIFS('潜水記録'!$S$5:$S$3004,A199,'潜水記録'!$T$5:$T$3004,1))</f>
        <v/>
      </c>
      <c r="O199" s="49">
        <f>IF(A199="","",COUNTIF('潜水記録'!$S$5:$S$3004,A199))</f>
        <v/>
      </c>
    </row>
    <row r="200">
      <c r="A200" s="47" t="n"/>
      <c r="B200" s="48" t="n"/>
      <c r="C200" s="47" t="n"/>
      <c r="D200" s="47" t="n"/>
      <c r="E200" s="47" t="n"/>
      <c r="F200" s="47" t="n"/>
      <c r="G200" s="47" t="n"/>
      <c r="H200" s="47" t="n"/>
      <c r="I200" s="47" t="n"/>
      <c r="J200" s="47" t="n"/>
      <c r="K200" s="47" t="n"/>
      <c r="L200" s="47" t="n"/>
      <c r="M200" s="47" t="n"/>
      <c r="N200" s="49">
        <f>IF(A200="","",COUNTIFS('潜水記録'!$S$5:$S$3004,A200,'潜水記録'!$T$5:$T$3004,1))</f>
        <v/>
      </c>
      <c r="O200" s="49">
        <f>IF(A200="","",COUNTIF('潜水記録'!$S$5:$S$3004,A200))</f>
        <v/>
      </c>
    </row>
    <row r="201">
      <c r="A201" s="47" t="n"/>
      <c r="B201" s="48" t="n"/>
      <c r="C201" s="47" t="n"/>
      <c r="D201" s="47" t="n"/>
      <c r="E201" s="47" t="n"/>
      <c r="F201" s="47" t="n"/>
      <c r="G201" s="47" t="n"/>
      <c r="H201" s="47" t="n"/>
      <c r="I201" s="47" t="n"/>
      <c r="J201" s="47" t="n"/>
      <c r="K201" s="47" t="n"/>
      <c r="L201" s="47" t="n"/>
      <c r="M201" s="47" t="n"/>
      <c r="N201" s="49">
        <f>IF(A201="","",COUNTIFS('潜水記録'!$S$5:$S$3004,A201,'潜水記録'!$T$5:$T$3004,1))</f>
        <v/>
      </c>
      <c r="O201" s="49">
        <f>IF(A201="","",COUNTIF('潜水記録'!$S$5:$S$3004,A201))</f>
        <v/>
      </c>
    </row>
    <row r="202">
      <c r="A202" s="47" t="n"/>
      <c r="B202" s="48" t="n"/>
      <c r="C202" s="47" t="n"/>
      <c r="D202" s="47" t="n"/>
      <c r="E202" s="47" t="n"/>
      <c r="F202" s="47" t="n"/>
      <c r="G202" s="47" t="n"/>
      <c r="H202" s="47" t="n"/>
      <c r="I202" s="47" t="n"/>
      <c r="J202" s="47" t="n"/>
      <c r="K202" s="47" t="n"/>
      <c r="L202" s="47" t="n"/>
      <c r="M202" s="47" t="n"/>
      <c r="N202" s="49">
        <f>IF(A202="","",COUNTIFS('潜水記録'!$S$5:$S$3004,A202,'潜水記録'!$T$5:$T$3004,1))</f>
        <v/>
      </c>
      <c r="O202" s="49">
        <f>IF(A202="","",COUNTIF('潜水記録'!$S$5:$S$3004,A202))</f>
        <v/>
      </c>
    </row>
    <row r="203">
      <c r="A203" s="47" t="n"/>
      <c r="B203" s="48" t="n"/>
      <c r="C203" s="47" t="n"/>
      <c r="D203" s="47" t="n"/>
      <c r="E203" s="47" t="n"/>
      <c r="F203" s="47" t="n"/>
      <c r="G203" s="47" t="n"/>
      <c r="H203" s="47" t="n"/>
      <c r="I203" s="47" t="n"/>
      <c r="J203" s="47" t="n"/>
      <c r="K203" s="47" t="n"/>
      <c r="L203" s="47" t="n"/>
      <c r="M203" s="47" t="n"/>
      <c r="N203" s="49">
        <f>IF(A203="","",COUNTIFS('潜水記録'!$S$5:$S$3004,A203,'潜水記録'!$T$5:$T$3004,1))</f>
        <v/>
      </c>
      <c r="O203" s="49">
        <f>IF(A203="","",COUNTIF('潜水記録'!$S$5:$S$3004,A203))</f>
        <v/>
      </c>
    </row>
    <row r="204">
      <c r="A204" s="47" t="n"/>
      <c r="B204" s="48" t="n"/>
      <c r="C204" s="47" t="n"/>
      <c r="D204" s="47" t="n"/>
      <c r="E204" s="47" t="n"/>
      <c r="F204" s="47" t="n"/>
      <c r="G204" s="47" t="n"/>
      <c r="H204" s="47" t="n"/>
      <c r="I204" s="47" t="n"/>
      <c r="J204" s="47" t="n"/>
      <c r="K204" s="47" t="n"/>
      <c r="L204" s="47" t="n"/>
      <c r="M204" s="47" t="n"/>
      <c r="N204" s="49">
        <f>IF(A204="","",COUNTIFS('潜水記録'!$S$5:$S$3004,A204,'潜水記録'!$T$5:$T$3004,1))</f>
        <v/>
      </c>
      <c r="O204" s="49">
        <f>IF(A204="","",COUNTIF('潜水記録'!$S$5:$S$3004,A204))</f>
        <v/>
      </c>
    </row>
    <row r="205">
      <c r="A205" s="47" t="n"/>
      <c r="B205" s="48" t="n"/>
      <c r="C205" s="47" t="n"/>
      <c r="D205" s="47" t="n"/>
      <c r="E205" s="47" t="n"/>
      <c r="F205" s="47" t="n"/>
      <c r="G205" s="47" t="n"/>
      <c r="H205" s="47" t="n"/>
      <c r="I205" s="47" t="n"/>
      <c r="J205" s="47" t="n"/>
      <c r="K205" s="47" t="n"/>
      <c r="L205" s="47" t="n"/>
      <c r="M205" s="47" t="n"/>
      <c r="N205" s="49">
        <f>IF(A205="","",COUNTIFS('潜水記録'!$S$5:$S$3004,A205,'潜水記録'!$T$5:$T$3004,1))</f>
        <v/>
      </c>
      <c r="O205" s="49">
        <f>IF(A205="","",COUNTIF('潜水記録'!$S$5:$S$3004,A205))</f>
        <v/>
      </c>
    </row>
    <row r="206">
      <c r="A206" s="47" t="n"/>
      <c r="B206" s="48" t="n"/>
      <c r="C206" s="47" t="n"/>
      <c r="D206" s="47" t="n"/>
      <c r="E206" s="47" t="n"/>
      <c r="F206" s="47" t="n"/>
      <c r="G206" s="47" t="n"/>
      <c r="H206" s="47" t="n"/>
      <c r="I206" s="47" t="n"/>
      <c r="J206" s="47" t="n"/>
      <c r="K206" s="47" t="n"/>
      <c r="L206" s="47" t="n"/>
      <c r="M206" s="47" t="n"/>
      <c r="N206" s="49">
        <f>IF(A206="","",COUNTIFS('潜水記録'!$S$5:$S$3004,A206,'潜水記録'!$T$5:$T$3004,1))</f>
        <v/>
      </c>
      <c r="O206" s="49">
        <f>IF(A206="","",COUNTIF('潜水記録'!$S$5:$S$3004,A206))</f>
        <v/>
      </c>
    </row>
    <row r="207">
      <c r="A207" s="47" t="n"/>
      <c r="B207" s="48" t="n"/>
      <c r="C207" s="47" t="n"/>
      <c r="D207" s="47" t="n"/>
      <c r="E207" s="47" t="n"/>
      <c r="F207" s="47" t="n"/>
      <c r="G207" s="47" t="n"/>
      <c r="H207" s="47" t="n"/>
      <c r="I207" s="47" t="n"/>
      <c r="J207" s="47" t="n"/>
      <c r="K207" s="47" t="n"/>
      <c r="L207" s="47" t="n"/>
      <c r="M207" s="47" t="n"/>
      <c r="N207" s="49">
        <f>IF(A207="","",COUNTIFS('潜水記録'!$S$5:$S$3004,A207,'潜水記録'!$T$5:$T$3004,1))</f>
        <v/>
      </c>
      <c r="O207" s="49">
        <f>IF(A207="","",COUNTIF('潜水記録'!$S$5:$S$3004,A207))</f>
        <v/>
      </c>
    </row>
    <row r="208">
      <c r="A208" s="47" t="n"/>
      <c r="B208" s="48" t="n"/>
      <c r="C208" s="47" t="n"/>
      <c r="D208" s="47" t="n"/>
      <c r="E208" s="47" t="n"/>
      <c r="F208" s="47" t="n"/>
      <c r="G208" s="47" t="n"/>
      <c r="H208" s="47" t="n"/>
      <c r="I208" s="47" t="n"/>
      <c r="J208" s="47" t="n"/>
      <c r="K208" s="47" t="n"/>
      <c r="L208" s="47" t="n"/>
      <c r="M208" s="47" t="n"/>
      <c r="N208" s="49">
        <f>IF(A208="","",COUNTIFS('潜水記録'!$S$5:$S$3004,A208,'潜水記録'!$T$5:$T$3004,1))</f>
        <v/>
      </c>
      <c r="O208" s="49">
        <f>IF(A208="","",COUNTIF('潜水記録'!$S$5:$S$3004,A208))</f>
        <v/>
      </c>
    </row>
    <row r="209">
      <c r="A209" s="47" t="n"/>
      <c r="B209" s="48" t="n"/>
      <c r="C209" s="47" t="n"/>
      <c r="D209" s="47" t="n"/>
      <c r="E209" s="47" t="n"/>
      <c r="F209" s="47" t="n"/>
      <c r="G209" s="47" t="n"/>
      <c r="H209" s="47" t="n"/>
      <c r="I209" s="47" t="n"/>
      <c r="J209" s="47" t="n"/>
      <c r="K209" s="47" t="n"/>
      <c r="L209" s="47" t="n"/>
      <c r="M209" s="47" t="n"/>
      <c r="N209" s="49">
        <f>IF(A209="","",COUNTIFS('潜水記録'!$S$5:$S$3004,A209,'潜水記録'!$T$5:$T$3004,1))</f>
        <v/>
      </c>
      <c r="O209" s="49">
        <f>IF(A209="","",COUNTIF('潜水記録'!$S$5:$S$3004,A209))</f>
        <v/>
      </c>
    </row>
    <row r="210">
      <c r="A210" s="47" t="n"/>
      <c r="B210" s="48" t="n"/>
      <c r="C210" s="47" t="n"/>
      <c r="D210" s="47" t="n"/>
      <c r="E210" s="47" t="n"/>
      <c r="F210" s="47" t="n"/>
      <c r="G210" s="47" t="n"/>
      <c r="H210" s="47" t="n"/>
      <c r="I210" s="47" t="n"/>
      <c r="J210" s="47" t="n"/>
      <c r="K210" s="47" t="n"/>
      <c r="L210" s="47" t="n"/>
      <c r="M210" s="47" t="n"/>
      <c r="N210" s="49">
        <f>IF(A210="","",COUNTIFS('潜水記録'!$S$5:$S$3004,A210,'潜水記録'!$T$5:$T$3004,1))</f>
        <v/>
      </c>
      <c r="O210" s="49">
        <f>IF(A210="","",COUNTIF('潜水記録'!$S$5:$S$3004,A210))</f>
        <v/>
      </c>
    </row>
    <row r="211">
      <c r="A211" s="47" t="n"/>
      <c r="B211" s="48" t="n"/>
      <c r="C211" s="47" t="n"/>
      <c r="D211" s="47" t="n"/>
      <c r="E211" s="47" t="n"/>
      <c r="F211" s="47" t="n"/>
      <c r="G211" s="47" t="n"/>
      <c r="H211" s="47" t="n"/>
      <c r="I211" s="47" t="n"/>
      <c r="J211" s="47" t="n"/>
      <c r="K211" s="47" t="n"/>
      <c r="L211" s="47" t="n"/>
      <c r="M211" s="47" t="n"/>
      <c r="N211" s="49">
        <f>IF(A211="","",COUNTIFS('潜水記録'!$S$5:$S$3004,A211,'潜水記録'!$T$5:$T$3004,1))</f>
        <v/>
      </c>
      <c r="O211" s="49">
        <f>IF(A211="","",COUNTIF('潜水記録'!$S$5:$S$3004,A211))</f>
        <v/>
      </c>
    </row>
    <row r="212">
      <c r="A212" s="47" t="n"/>
      <c r="B212" s="48" t="n"/>
      <c r="C212" s="47" t="n"/>
      <c r="D212" s="47" t="n"/>
      <c r="E212" s="47" t="n"/>
      <c r="F212" s="47" t="n"/>
      <c r="G212" s="47" t="n"/>
      <c r="H212" s="47" t="n"/>
      <c r="I212" s="47" t="n"/>
      <c r="J212" s="47" t="n"/>
      <c r="K212" s="47" t="n"/>
      <c r="L212" s="47" t="n"/>
      <c r="M212" s="47" t="n"/>
      <c r="N212" s="49">
        <f>IF(A212="","",COUNTIFS('潜水記録'!$S$5:$S$3004,A212,'潜水記録'!$T$5:$T$3004,1))</f>
        <v/>
      </c>
      <c r="O212" s="49">
        <f>IF(A212="","",COUNTIF('潜水記録'!$S$5:$S$3004,A212))</f>
        <v/>
      </c>
    </row>
    <row r="213">
      <c r="A213" s="47" t="n"/>
      <c r="B213" s="48" t="n"/>
      <c r="C213" s="47" t="n"/>
      <c r="D213" s="47" t="n"/>
      <c r="E213" s="47" t="n"/>
      <c r="F213" s="47" t="n"/>
      <c r="G213" s="47" t="n"/>
      <c r="H213" s="47" t="n"/>
      <c r="I213" s="47" t="n"/>
      <c r="J213" s="47" t="n"/>
      <c r="K213" s="47" t="n"/>
      <c r="L213" s="47" t="n"/>
      <c r="M213" s="47" t="n"/>
      <c r="N213" s="49">
        <f>IF(A213="","",COUNTIFS('潜水記録'!$S$5:$S$3004,A213,'潜水記録'!$T$5:$T$3004,1))</f>
        <v/>
      </c>
      <c r="O213" s="49">
        <f>IF(A213="","",COUNTIF('潜水記録'!$S$5:$S$3004,A213))</f>
        <v/>
      </c>
    </row>
    <row r="214">
      <c r="A214" s="47" t="n"/>
      <c r="B214" s="48" t="n"/>
      <c r="C214" s="47" t="n"/>
      <c r="D214" s="47" t="n"/>
      <c r="E214" s="47" t="n"/>
      <c r="F214" s="47" t="n"/>
      <c r="G214" s="47" t="n"/>
      <c r="H214" s="47" t="n"/>
      <c r="I214" s="47" t="n"/>
      <c r="J214" s="47" t="n"/>
      <c r="K214" s="47" t="n"/>
      <c r="L214" s="47" t="n"/>
      <c r="M214" s="47" t="n"/>
      <c r="N214" s="49">
        <f>IF(A214="","",COUNTIFS('潜水記録'!$S$5:$S$3004,A214,'潜水記録'!$T$5:$T$3004,1))</f>
        <v/>
      </c>
      <c r="O214" s="49">
        <f>IF(A214="","",COUNTIF('潜水記録'!$S$5:$S$3004,A214))</f>
        <v/>
      </c>
    </row>
    <row r="215">
      <c r="A215" s="47" t="n"/>
      <c r="B215" s="48" t="n"/>
      <c r="C215" s="47" t="n"/>
      <c r="D215" s="47" t="n"/>
      <c r="E215" s="47" t="n"/>
      <c r="F215" s="47" t="n"/>
      <c r="G215" s="47" t="n"/>
      <c r="H215" s="47" t="n"/>
      <c r="I215" s="47" t="n"/>
      <c r="J215" s="47" t="n"/>
      <c r="K215" s="47" t="n"/>
      <c r="L215" s="47" t="n"/>
      <c r="M215" s="47" t="n"/>
      <c r="N215" s="49">
        <f>IF(A215="","",COUNTIFS('潜水記録'!$S$5:$S$3004,A215,'潜水記録'!$T$5:$T$3004,1))</f>
        <v/>
      </c>
      <c r="O215" s="49">
        <f>IF(A215="","",COUNTIF('潜水記録'!$S$5:$S$3004,A215))</f>
        <v/>
      </c>
    </row>
    <row r="216">
      <c r="A216" s="47" t="n"/>
      <c r="B216" s="48" t="n"/>
      <c r="C216" s="47" t="n"/>
      <c r="D216" s="47" t="n"/>
      <c r="E216" s="47" t="n"/>
      <c r="F216" s="47" t="n"/>
      <c r="G216" s="47" t="n"/>
      <c r="H216" s="47" t="n"/>
      <c r="I216" s="47" t="n"/>
      <c r="J216" s="47" t="n"/>
      <c r="K216" s="47" t="n"/>
      <c r="L216" s="47" t="n"/>
      <c r="M216" s="47" t="n"/>
      <c r="N216" s="49">
        <f>IF(A216="","",COUNTIFS('潜水記録'!$S$5:$S$3004,A216,'潜水記録'!$T$5:$T$3004,1))</f>
        <v/>
      </c>
      <c r="O216" s="49">
        <f>IF(A216="","",COUNTIF('潜水記録'!$S$5:$S$3004,A216))</f>
        <v/>
      </c>
    </row>
    <row r="217">
      <c r="A217" s="47" t="n"/>
      <c r="B217" s="48" t="n"/>
      <c r="C217" s="47" t="n"/>
      <c r="D217" s="47" t="n"/>
      <c r="E217" s="47" t="n"/>
      <c r="F217" s="47" t="n"/>
      <c r="G217" s="47" t="n"/>
      <c r="H217" s="47" t="n"/>
      <c r="I217" s="47" t="n"/>
      <c r="J217" s="47" t="n"/>
      <c r="K217" s="47" t="n"/>
      <c r="L217" s="47" t="n"/>
      <c r="M217" s="47" t="n"/>
      <c r="N217" s="49">
        <f>IF(A217="","",COUNTIFS('潜水記録'!$S$5:$S$3004,A217,'潜水記録'!$T$5:$T$3004,1))</f>
        <v/>
      </c>
      <c r="O217" s="49">
        <f>IF(A217="","",COUNTIF('潜水記録'!$S$5:$S$3004,A217))</f>
        <v/>
      </c>
    </row>
    <row r="218">
      <c r="A218" s="47" t="n"/>
      <c r="B218" s="48" t="n"/>
      <c r="C218" s="47" t="n"/>
      <c r="D218" s="47" t="n"/>
      <c r="E218" s="47" t="n"/>
      <c r="F218" s="47" t="n"/>
      <c r="G218" s="47" t="n"/>
      <c r="H218" s="47" t="n"/>
      <c r="I218" s="47" t="n"/>
      <c r="J218" s="47" t="n"/>
      <c r="K218" s="47" t="n"/>
      <c r="L218" s="47" t="n"/>
      <c r="M218" s="47" t="n"/>
      <c r="N218" s="49">
        <f>IF(A218="","",COUNTIFS('潜水記録'!$S$5:$S$3004,A218,'潜水記録'!$T$5:$T$3004,1))</f>
        <v/>
      </c>
      <c r="O218" s="49">
        <f>IF(A218="","",COUNTIF('潜水記録'!$S$5:$S$3004,A218))</f>
        <v/>
      </c>
    </row>
    <row r="219">
      <c r="A219" s="47" t="n"/>
      <c r="B219" s="48" t="n"/>
      <c r="C219" s="47" t="n"/>
      <c r="D219" s="47" t="n"/>
      <c r="E219" s="47" t="n"/>
      <c r="F219" s="47" t="n"/>
      <c r="G219" s="47" t="n"/>
      <c r="H219" s="47" t="n"/>
      <c r="I219" s="47" t="n"/>
      <c r="J219" s="47" t="n"/>
      <c r="K219" s="47" t="n"/>
      <c r="L219" s="47" t="n"/>
      <c r="M219" s="47" t="n"/>
      <c r="N219" s="49">
        <f>IF(A219="","",COUNTIFS('潜水記録'!$S$5:$S$3004,A219,'潜水記録'!$T$5:$T$3004,1))</f>
        <v/>
      </c>
      <c r="O219" s="49">
        <f>IF(A219="","",COUNTIF('潜水記録'!$S$5:$S$3004,A219))</f>
        <v/>
      </c>
    </row>
    <row r="220">
      <c r="A220" s="47" t="n"/>
      <c r="B220" s="48" t="n"/>
      <c r="C220" s="47" t="n"/>
      <c r="D220" s="47" t="n"/>
      <c r="E220" s="47" t="n"/>
      <c r="F220" s="47" t="n"/>
      <c r="G220" s="47" t="n"/>
      <c r="H220" s="47" t="n"/>
      <c r="I220" s="47" t="n"/>
      <c r="J220" s="47" t="n"/>
      <c r="K220" s="47" t="n"/>
      <c r="L220" s="47" t="n"/>
      <c r="M220" s="47" t="n"/>
      <c r="N220" s="49">
        <f>IF(A220="","",COUNTIFS('潜水記録'!$S$5:$S$3004,A220,'潜水記録'!$T$5:$T$3004,1))</f>
        <v/>
      </c>
      <c r="O220" s="49">
        <f>IF(A220="","",COUNTIF('潜水記録'!$S$5:$S$3004,A220))</f>
        <v/>
      </c>
    </row>
    <row r="221">
      <c r="A221" s="47" t="n"/>
      <c r="B221" s="48" t="n"/>
      <c r="C221" s="47" t="n"/>
      <c r="D221" s="47" t="n"/>
      <c r="E221" s="47" t="n"/>
      <c r="F221" s="47" t="n"/>
      <c r="G221" s="47" t="n"/>
      <c r="H221" s="47" t="n"/>
      <c r="I221" s="47" t="n"/>
      <c r="J221" s="47" t="n"/>
      <c r="K221" s="47" t="n"/>
      <c r="L221" s="47" t="n"/>
      <c r="M221" s="47" t="n"/>
      <c r="N221" s="49">
        <f>IF(A221="","",COUNTIFS('潜水記録'!$S$5:$S$3004,A221,'潜水記録'!$T$5:$T$3004,1))</f>
        <v/>
      </c>
      <c r="O221" s="49">
        <f>IF(A221="","",COUNTIF('潜水記録'!$S$5:$S$3004,A221))</f>
        <v/>
      </c>
    </row>
    <row r="222">
      <c r="A222" s="47" t="n"/>
      <c r="B222" s="48" t="n"/>
      <c r="C222" s="47" t="n"/>
      <c r="D222" s="47" t="n"/>
      <c r="E222" s="47" t="n"/>
      <c r="F222" s="47" t="n"/>
      <c r="G222" s="47" t="n"/>
      <c r="H222" s="47" t="n"/>
      <c r="I222" s="47" t="n"/>
      <c r="J222" s="47" t="n"/>
      <c r="K222" s="47" t="n"/>
      <c r="L222" s="47" t="n"/>
      <c r="M222" s="47" t="n"/>
      <c r="N222" s="49">
        <f>IF(A222="","",COUNTIFS('潜水記録'!$S$5:$S$3004,A222,'潜水記録'!$T$5:$T$3004,1))</f>
        <v/>
      </c>
      <c r="O222" s="49">
        <f>IF(A222="","",COUNTIF('潜水記録'!$S$5:$S$3004,A222))</f>
        <v/>
      </c>
    </row>
    <row r="223">
      <c r="A223" s="47" t="n"/>
      <c r="B223" s="48" t="n"/>
      <c r="C223" s="47" t="n"/>
      <c r="D223" s="47" t="n"/>
      <c r="E223" s="47" t="n"/>
      <c r="F223" s="47" t="n"/>
      <c r="G223" s="47" t="n"/>
      <c r="H223" s="47" t="n"/>
      <c r="I223" s="47" t="n"/>
      <c r="J223" s="47" t="n"/>
      <c r="K223" s="47" t="n"/>
      <c r="L223" s="47" t="n"/>
      <c r="M223" s="47" t="n"/>
      <c r="N223" s="49">
        <f>IF(A223="","",COUNTIFS('潜水記録'!$S$5:$S$3004,A223,'潜水記録'!$T$5:$T$3004,1))</f>
        <v/>
      </c>
      <c r="O223" s="49">
        <f>IF(A223="","",COUNTIF('潜水記録'!$S$5:$S$3004,A223))</f>
        <v/>
      </c>
    </row>
    <row r="224">
      <c r="A224" s="47" t="n"/>
      <c r="B224" s="48" t="n"/>
      <c r="C224" s="47" t="n"/>
      <c r="D224" s="47" t="n"/>
      <c r="E224" s="47" t="n"/>
      <c r="F224" s="47" t="n"/>
      <c r="G224" s="47" t="n"/>
      <c r="H224" s="47" t="n"/>
      <c r="I224" s="47" t="n"/>
      <c r="J224" s="47" t="n"/>
      <c r="K224" s="47" t="n"/>
      <c r="L224" s="47" t="n"/>
      <c r="M224" s="47" t="n"/>
      <c r="N224" s="49">
        <f>IF(A224="","",COUNTIFS('潜水記録'!$S$5:$S$3004,A224,'潜水記録'!$T$5:$T$3004,1))</f>
        <v/>
      </c>
      <c r="O224" s="49">
        <f>IF(A224="","",COUNTIF('潜水記録'!$S$5:$S$3004,A224))</f>
        <v/>
      </c>
    </row>
    <row r="225">
      <c r="A225" s="47" t="n"/>
      <c r="B225" s="48" t="n"/>
      <c r="C225" s="47" t="n"/>
      <c r="D225" s="47" t="n"/>
      <c r="E225" s="47" t="n"/>
      <c r="F225" s="47" t="n"/>
      <c r="G225" s="47" t="n"/>
      <c r="H225" s="47" t="n"/>
      <c r="I225" s="47" t="n"/>
      <c r="J225" s="47" t="n"/>
      <c r="K225" s="47" t="n"/>
      <c r="L225" s="47" t="n"/>
      <c r="M225" s="47" t="n"/>
      <c r="N225" s="49">
        <f>IF(A225="","",COUNTIFS('潜水記録'!$S$5:$S$3004,A225,'潜水記録'!$T$5:$T$3004,1))</f>
        <v/>
      </c>
      <c r="O225" s="49">
        <f>IF(A225="","",COUNTIF('潜水記録'!$S$5:$S$3004,A225))</f>
        <v/>
      </c>
    </row>
    <row r="226">
      <c r="A226" s="47" t="n"/>
      <c r="B226" s="48" t="n"/>
      <c r="C226" s="47" t="n"/>
      <c r="D226" s="47" t="n"/>
      <c r="E226" s="47" t="n"/>
      <c r="F226" s="47" t="n"/>
      <c r="G226" s="47" t="n"/>
      <c r="H226" s="47" t="n"/>
      <c r="I226" s="47" t="n"/>
      <c r="J226" s="47" t="n"/>
      <c r="K226" s="47" t="n"/>
      <c r="L226" s="47" t="n"/>
      <c r="M226" s="47" t="n"/>
      <c r="N226" s="49">
        <f>IF(A226="","",COUNTIFS('潜水記録'!$S$5:$S$3004,A226,'潜水記録'!$T$5:$T$3004,1))</f>
        <v/>
      </c>
      <c r="O226" s="49">
        <f>IF(A226="","",COUNTIF('潜水記録'!$S$5:$S$3004,A226))</f>
        <v/>
      </c>
    </row>
    <row r="227">
      <c r="A227" s="47" t="n"/>
      <c r="B227" s="48" t="n"/>
      <c r="C227" s="47" t="n"/>
      <c r="D227" s="47" t="n"/>
      <c r="E227" s="47" t="n"/>
      <c r="F227" s="47" t="n"/>
      <c r="G227" s="47" t="n"/>
      <c r="H227" s="47" t="n"/>
      <c r="I227" s="47" t="n"/>
      <c r="J227" s="47" t="n"/>
      <c r="K227" s="47" t="n"/>
      <c r="L227" s="47" t="n"/>
      <c r="M227" s="47" t="n"/>
      <c r="N227" s="49">
        <f>IF(A227="","",COUNTIFS('潜水記録'!$S$5:$S$3004,A227,'潜水記録'!$T$5:$T$3004,1))</f>
        <v/>
      </c>
      <c r="O227" s="49">
        <f>IF(A227="","",COUNTIF('潜水記録'!$S$5:$S$3004,A227))</f>
        <v/>
      </c>
    </row>
    <row r="228">
      <c r="A228" s="47" t="n"/>
      <c r="B228" s="48" t="n"/>
      <c r="C228" s="47" t="n"/>
      <c r="D228" s="47" t="n"/>
      <c r="E228" s="47" t="n"/>
      <c r="F228" s="47" t="n"/>
      <c r="G228" s="47" t="n"/>
      <c r="H228" s="47" t="n"/>
      <c r="I228" s="47" t="n"/>
      <c r="J228" s="47" t="n"/>
      <c r="K228" s="47" t="n"/>
      <c r="L228" s="47" t="n"/>
      <c r="M228" s="47" t="n"/>
      <c r="N228" s="49">
        <f>IF(A228="","",COUNTIFS('潜水記録'!$S$5:$S$3004,A228,'潜水記録'!$T$5:$T$3004,1))</f>
        <v/>
      </c>
      <c r="O228" s="49">
        <f>IF(A228="","",COUNTIF('潜水記録'!$S$5:$S$3004,A228))</f>
        <v/>
      </c>
    </row>
    <row r="229">
      <c r="A229" s="47" t="n"/>
      <c r="B229" s="48" t="n"/>
      <c r="C229" s="47" t="n"/>
      <c r="D229" s="47" t="n"/>
      <c r="E229" s="47" t="n"/>
      <c r="F229" s="47" t="n"/>
      <c r="G229" s="47" t="n"/>
      <c r="H229" s="47" t="n"/>
      <c r="I229" s="47" t="n"/>
      <c r="J229" s="47" t="n"/>
      <c r="K229" s="47" t="n"/>
      <c r="L229" s="47" t="n"/>
      <c r="M229" s="47" t="n"/>
      <c r="N229" s="49">
        <f>IF(A229="","",COUNTIFS('潜水記録'!$S$5:$S$3004,A229,'潜水記録'!$T$5:$T$3004,1))</f>
        <v/>
      </c>
      <c r="O229" s="49">
        <f>IF(A229="","",COUNTIF('潜水記録'!$S$5:$S$3004,A229))</f>
        <v/>
      </c>
    </row>
    <row r="230">
      <c r="A230" s="47" t="n"/>
      <c r="B230" s="48" t="n"/>
      <c r="C230" s="47" t="n"/>
      <c r="D230" s="47" t="n"/>
      <c r="E230" s="47" t="n"/>
      <c r="F230" s="47" t="n"/>
      <c r="G230" s="47" t="n"/>
      <c r="H230" s="47" t="n"/>
      <c r="I230" s="47" t="n"/>
      <c r="J230" s="47" t="n"/>
      <c r="K230" s="47" t="n"/>
      <c r="L230" s="47" t="n"/>
      <c r="M230" s="47" t="n"/>
      <c r="N230" s="49">
        <f>IF(A230="","",COUNTIFS('潜水記録'!$S$5:$S$3004,A230,'潜水記録'!$T$5:$T$3004,1))</f>
        <v/>
      </c>
      <c r="O230" s="49">
        <f>IF(A230="","",COUNTIF('潜水記録'!$S$5:$S$3004,A230))</f>
        <v/>
      </c>
    </row>
    <row r="231">
      <c r="A231" s="47" t="n"/>
      <c r="B231" s="48" t="n"/>
      <c r="C231" s="47" t="n"/>
      <c r="D231" s="47" t="n"/>
      <c r="E231" s="47" t="n"/>
      <c r="F231" s="47" t="n"/>
      <c r="G231" s="47" t="n"/>
      <c r="H231" s="47" t="n"/>
      <c r="I231" s="47" t="n"/>
      <c r="J231" s="47" t="n"/>
      <c r="K231" s="47" t="n"/>
      <c r="L231" s="47" t="n"/>
      <c r="M231" s="47" t="n"/>
      <c r="N231" s="49">
        <f>IF(A231="","",COUNTIFS('潜水記録'!$S$5:$S$3004,A231,'潜水記録'!$T$5:$T$3004,1))</f>
        <v/>
      </c>
      <c r="O231" s="49">
        <f>IF(A231="","",COUNTIF('潜水記録'!$S$5:$S$3004,A231))</f>
        <v/>
      </c>
    </row>
    <row r="232">
      <c r="A232" s="47" t="n"/>
      <c r="B232" s="48" t="n"/>
      <c r="C232" s="47" t="n"/>
      <c r="D232" s="47" t="n"/>
      <c r="E232" s="47" t="n"/>
      <c r="F232" s="47" t="n"/>
      <c r="G232" s="47" t="n"/>
      <c r="H232" s="47" t="n"/>
      <c r="I232" s="47" t="n"/>
      <c r="J232" s="47" t="n"/>
      <c r="K232" s="47" t="n"/>
      <c r="L232" s="47" t="n"/>
      <c r="M232" s="47" t="n"/>
      <c r="N232" s="49">
        <f>IF(A232="","",COUNTIFS('潜水記録'!$S$5:$S$3004,A232,'潜水記録'!$T$5:$T$3004,1))</f>
        <v/>
      </c>
      <c r="O232" s="49">
        <f>IF(A232="","",COUNTIF('潜水記録'!$S$5:$S$3004,A232))</f>
        <v/>
      </c>
    </row>
    <row r="233">
      <c r="A233" s="47" t="n"/>
      <c r="B233" s="48" t="n"/>
      <c r="C233" s="47" t="n"/>
      <c r="D233" s="47" t="n"/>
      <c r="E233" s="47" t="n"/>
      <c r="F233" s="47" t="n"/>
      <c r="G233" s="47" t="n"/>
      <c r="H233" s="47" t="n"/>
      <c r="I233" s="47" t="n"/>
      <c r="J233" s="47" t="n"/>
      <c r="K233" s="47" t="n"/>
      <c r="L233" s="47" t="n"/>
      <c r="M233" s="47" t="n"/>
      <c r="N233" s="49">
        <f>IF(A233="","",COUNTIFS('潜水記録'!$S$5:$S$3004,A233,'潜水記録'!$T$5:$T$3004,1))</f>
        <v/>
      </c>
      <c r="O233" s="49">
        <f>IF(A233="","",COUNTIF('潜水記録'!$S$5:$S$3004,A233))</f>
        <v/>
      </c>
    </row>
    <row r="234">
      <c r="A234" s="47" t="n"/>
      <c r="B234" s="48" t="n"/>
      <c r="C234" s="47" t="n"/>
      <c r="D234" s="47" t="n"/>
      <c r="E234" s="47" t="n"/>
      <c r="F234" s="47" t="n"/>
      <c r="G234" s="47" t="n"/>
      <c r="H234" s="47" t="n"/>
      <c r="I234" s="47" t="n"/>
      <c r="J234" s="47" t="n"/>
      <c r="K234" s="47" t="n"/>
      <c r="L234" s="47" t="n"/>
      <c r="M234" s="47" t="n"/>
      <c r="N234" s="49">
        <f>IF(A234="","",COUNTIFS('潜水記録'!$S$5:$S$3004,A234,'潜水記録'!$T$5:$T$3004,1))</f>
        <v/>
      </c>
      <c r="O234" s="49">
        <f>IF(A234="","",COUNTIF('潜水記録'!$S$5:$S$3004,A234))</f>
        <v/>
      </c>
    </row>
    <row r="235">
      <c r="A235" s="47" t="n"/>
      <c r="B235" s="48" t="n"/>
      <c r="C235" s="47" t="n"/>
      <c r="D235" s="47" t="n"/>
      <c r="E235" s="47" t="n"/>
      <c r="F235" s="47" t="n"/>
      <c r="G235" s="47" t="n"/>
      <c r="H235" s="47" t="n"/>
      <c r="I235" s="47" t="n"/>
      <c r="J235" s="47" t="n"/>
      <c r="K235" s="47" t="n"/>
      <c r="L235" s="47" t="n"/>
      <c r="M235" s="47" t="n"/>
      <c r="N235" s="49">
        <f>IF(A235="","",COUNTIFS('潜水記録'!$S$5:$S$3004,A235,'潜水記録'!$T$5:$T$3004,1))</f>
        <v/>
      </c>
      <c r="O235" s="49">
        <f>IF(A235="","",COUNTIF('潜水記録'!$S$5:$S$3004,A235))</f>
        <v/>
      </c>
    </row>
    <row r="236">
      <c r="A236" s="47" t="n"/>
      <c r="B236" s="48" t="n"/>
      <c r="C236" s="47" t="n"/>
      <c r="D236" s="47" t="n"/>
      <c r="E236" s="47" t="n"/>
      <c r="F236" s="47" t="n"/>
      <c r="G236" s="47" t="n"/>
      <c r="H236" s="47" t="n"/>
      <c r="I236" s="47" t="n"/>
      <c r="J236" s="47" t="n"/>
      <c r="K236" s="47" t="n"/>
      <c r="L236" s="47" t="n"/>
      <c r="M236" s="47" t="n"/>
      <c r="N236" s="49">
        <f>IF(A236="","",COUNTIFS('潜水記録'!$S$5:$S$3004,A236,'潜水記録'!$T$5:$T$3004,1))</f>
        <v/>
      </c>
      <c r="O236" s="49">
        <f>IF(A236="","",COUNTIF('潜水記録'!$S$5:$S$3004,A236))</f>
        <v/>
      </c>
    </row>
    <row r="237">
      <c r="A237" s="47" t="n"/>
      <c r="B237" s="48" t="n"/>
      <c r="C237" s="47" t="n"/>
      <c r="D237" s="47" t="n"/>
      <c r="E237" s="47" t="n"/>
      <c r="F237" s="47" t="n"/>
      <c r="G237" s="47" t="n"/>
      <c r="H237" s="47" t="n"/>
      <c r="I237" s="47" t="n"/>
      <c r="J237" s="47" t="n"/>
      <c r="K237" s="47" t="n"/>
      <c r="L237" s="47" t="n"/>
      <c r="M237" s="47" t="n"/>
      <c r="N237" s="49">
        <f>IF(A237="","",COUNTIFS('潜水記録'!$S$5:$S$3004,A237,'潜水記録'!$T$5:$T$3004,1))</f>
        <v/>
      </c>
      <c r="O237" s="49">
        <f>IF(A237="","",COUNTIF('潜水記録'!$S$5:$S$3004,A237))</f>
        <v/>
      </c>
    </row>
    <row r="238">
      <c r="A238" s="47" t="n"/>
      <c r="B238" s="48" t="n"/>
      <c r="C238" s="47" t="n"/>
      <c r="D238" s="47" t="n"/>
      <c r="E238" s="47" t="n"/>
      <c r="F238" s="47" t="n"/>
      <c r="G238" s="47" t="n"/>
      <c r="H238" s="47" t="n"/>
      <c r="I238" s="47" t="n"/>
      <c r="J238" s="47" t="n"/>
      <c r="K238" s="47" t="n"/>
      <c r="L238" s="47" t="n"/>
      <c r="M238" s="47" t="n"/>
      <c r="N238" s="49">
        <f>IF(A238="","",COUNTIFS('潜水記録'!$S$5:$S$3004,A238,'潜水記録'!$T$5:$T$3004,1))</f>
        <v/>
      </c>
      <c r="O238" s="49">
        <f>IF(A238="","",COUNTIF('潜水記録'!$S$5:$S$3004,A238))</f>
        <v/>
      </c>
    </row>
    <row r="239">
      <c r="A239" s="47" t="n"/>
      <c r="B239" s="48" t="n"/>
      <c r="C239" s="47" t="n"/>
      <c r="D239" s="47" t="n"/>
      <c r="E239" s="47" t="n"/>
      <c r="F239" s="47" t="n"/>
      <c r="G239" s="47" t="n"/>
      <c r="H239" s="47" t="n"/>
      <c r="I239" s="47" t="n"/>
      <c r="J239" s="47" t="n"/>
      <c r="K239" s="47" t="n"/>
      <c r="L239" s="47" t="n"/>
      <c r="M239" s="47" t="n"/>
      <c r="N239" s="49">
        <f>IF(A239="","",COUNTIFS('潜水記録'!$S$5:$S$3004,A239,'潜水記録'!$T$5:$T$3004,1))</f>
        <v/>
      </c>
      <c r="O239" s="49">
        <f>IF(A239="","",COUNTIF('潜水記録'!$S$5:$S$3004,A239))</f>
        <v/>
      </c>
    </row>
    <row r="240">
      <c r="A240" s="47" t="n"/>
      <c r="B240" s="48" t="n"/>
      <c r="C240" s="47" t="n"/>
      <c r="D240" s="47" t="n"/>
      <c r="E240" s="47" t="n"/>
      <c r="F240" s="47" t="n"/>
      <c r="G240" s="47" t="n"/>
      <c r="H240" s="47" t="n"/>
      <c r="I240" s="47" t="n"/>
      <c r="J240" s="47" t="n"/>
      <c r="K240" s="47" t="n"/>
      <c r="L240" s="47" t="n"/>
      <c r="M240" s="47" t="n"/>
      <c r="N240" s="49">
        <f>IF(A240="","",COUNTIFS('潜水記録'!$S$5:$S$3004,A240,'潜水記録'!$T$5:$T$3004,1))</f>
        <v/>
      </c>
      <c r="O240" s="49">
        <f>IF(A240="","",COUNTIF('潜水記録'!$S$5:$S$3004,A240))</f>
        <v/>
      </c>
    </row>
    <row r="241">
      <c r="A241" s="47" t="n"/>
      <c r="B241" s="48" t="n"/>
      <c r="C241" s="47" t="n"/>
      <c r="D241" s="47" t="n"/>
      <c r="E241" s="47" t="n"/>
      <c r="F241" s="47" t="n"/>
      <c r="G241" s="47" t="n"/>
      <c r="H241" s="47" t="n"/>
      <c r="I241" s="47" t="n"/>
      <c r="J241" s="47" t="n"/>
      <c r="K241" s="47" t="n"/>
      <c r="L241" s="47" t="n"/>
      <c r="M241" s="47" t="n"/>
      <c r="N241" s="49">
        <f>IF(A241="","",COUNTIFS('潜水記録'!$S$5:$S$3004,A241,'潜水記録'!$T$5:$T$3004,1))</f>
        <v/>
      </c>
      <c r="O241" s="49">
        <f>IF(A241="","",COUNTIF('潜水記録'!$S$5:$S$3004,A241))</f>
        <v/>
      </c>
    </row>
    <row r="242">
      <c r="A242" s="47" t="n"/>
      <c r="B242" s="48" t="n"/>
      <c r="C242" s="47" t="n"/>
      <c r="D242" s="47" t="n"/>
      <c r="E242" s="47" t="n"/>
      <c r="F242" s="47" t="n"/>
      <c r="G242" s="47" t="n"/>
      <c r="H242" s="47" t="n"/>
      <c r="I242" s="47" t="n"/>
      <c r="J242" s="47" t="n"/>
      <c r="K242" s="47" t="n"/>
      <c r="L242" s="47" t="n"/>
      <c r="M242" s="47" t="n"/>
      <c r="N242" s="49">
        <f>IF(A242="","",COUNTIFS('潜水記録'!$S$5:$S$3004,A242,'潜水記録'!$T$5:$T$3004,1))</f>
        <v/>
      </c>
      <c r="O242" s="49">
        <f>IF(A242="","",COUNTIF('潜水記録'!$S$5:$S$3004,A242))</f>
        <v/>
      </c>
    </row>
    <row r="243">
      <c r="A243" s="47" t="n"/>
      <c r="B243" s="48" t="n"/>
      <c r="C243" s="47" t="n"/>
      <c r="D243" s="47" t="n"/>
      <c r="E243" s="47" t="n"/>
      <c r="F243" s="47" t="n"/>
      <c r="G243" s="47" t="n"/>
      <c r="H243" s="47" t="n"/>
      <c r="I243" s="47" t="n"/>
      <c r="J243" s="47" t="n"/>
      <c r="K243" s="47" t="n"/>
      <c r="L243" s="47" t="n"/>
      <c r="M243" s="47" t="n"/>
      <c r="N243" s="49">
        <f>IF(A243="","",COUNTIFS('潜水記録'!$S$5:$S$3004,A243,'潜水記録'!$T$5:$T$3004,1))</f>
        <v/>
      </c>
      <c r="O243" s="49">
        <f>IF(A243="","",COUNTIF('潜水記録'!$S$5:$S$3004,A243))</f>
        <v/>
      </c>
    </row>
    <row r="244">
      <c r="A244" s="47" t="n"/>
      <c r="B244" s="48" t="n"/>
      <c r="C244" s="47" t="n"/>
      <c r="D244" s="47" t="n"/>
      <c r="E244" s="47" t="n"/>
      <c r="F244" s="47" t="n"/>
      <c r="G244" s="47" t="n"/>
      <c r="H244" s="47" t="n"/>
      <c r="I244" s="47" t="n"/>
      <c r="J244" s="47" t="n"/>
      <c r="K244" s="47" t="n"/>
      <c r="L244" s="47" t="n"/>
      <c r="M244" s="47" t="n"/>
      <c r="N244" s="49">
        <f>IF(A244="","",COUNTIFS('潜水記録'!$S$5:$S$3004,A244,'潜水記録'!$T$5:$T$3004,1))</f>
        <v/>
      </c>
      <c r="O244" s="49">
        <f>IF(A244="","",COUNTIF('潜水記録'!$S$5:$S$3004,A244))</f>
        <v/>
      </c>
    </row>
    <row r="245">
      <c r="A245" s="47" t="n"/>
      <c r="B245" s="48" t="n"/>
      <c r="C245" s="47" t="n"/>
      <c r="D245" s="47" t="n"/>
      <c r="E245" s="47" t="n"/>
      <c r="F245" s="47" t="n"/>
      <c r="G245" s="47" t="n"/>
      <c r="H245" s="47" t="n"/>
      <c r="I245" s="47" t="n"/>
      <c r="J245" s="47" t="n"/>
      <c r="K245" s="47" t="n"/>
      <c r="L245" s="47" t="n"/>
      <c r="M245" s="47" t="n"/>
      <c r="N245" s="49">
        <f>IF(A245="","",COUNTIFS('潜水記録'!$S$5:$S$3004,A245,'潜水記録'!$T$5:$T$3004,1))</f>
        <v/>
      </c>
      <c r="O245" s="49">
        <f>IF(A245="","",COUNTIF('潜水記録'!$S$5:$S$3004,A245))</f>
        <v/>
      </c>
    </row>
    <row r="246">
      <c r="A246" s="47" t="n"/>
      <c r="B246" s="48" t="n"/>
      <c r="C246" s="47" t="n"/>
      <c r="D246" s="47" t="n"/>
      <c r="E246" s="47" t="n"/>
      <c r="F246" s="47" t="n"/>
      <c r="G246" s="47" t="n"/>
      <c r="H246" s="47" t="n"/>
      <c r="I246" s="47" t="n"/>
      <c r="J246" s="47" t="n"/>
      <c r="K246" s="47" t="n"/>
      <c r="L246" s="47" t="n"/>
      <c r="M246" s="47" t="n"/>
      <c r="N246" s="49">
        <f>IF(A246="","",COUNTIFS('潜水記録'!$S$5:$S$3004,A246,'潜水記録'!$T$5:$T$3004,1))</f>
        <v/>
      </c>
      <c r="O246" s="49">
        <f>IF(A246="","",COUNTIF('潜水記録'!$S$5:$S$3004,A246))</f>
        <v/>
      </c>
    </row>
    <row r="247">
      <c r="A247" s="47" t="n"/>
      <c r="B247" s="48" t="n"/>
      <c r="C247" s="47" t="n"/>
      <c r="D247" s="47" t="n"/>
      <c r="E247" s="47" t="n"/>
      <c r="F247" s="47" t="n"/>
      <c r="G247" s="47" t="n"/>
      <c r="H247" s="47" t="n"/>
      <c r="I247" s="47" t="n"/>
      <c r="J247" s="47" t="n"/>
      <c r="K247" s="47" t="n"/>
      <c r="L247" s="47" t="n"/>
      <c r="M247" s="47" t="n"/>
      <c r="N247" s="49">
        <f>IF(A247="","",COUNTIFS('潜水記録'!$S$5:$S$3004,A247,'潜水記録'!$T$5:$T$3004,1))</f>
        <v/>
      </c>
      <c r="O247" s="49">
        <f>IF(A247="","",COUNTIF('潜水記録'!$S$5:$S$3004,A247))</f>
        <v/>
      </c>
    </row>
    <row r="248">
      <c r="A248" s="47" t="n"/>
      <c r="B248" s="48" t="n"/>
      <c r="C248" s="47" t="n"/>
      <c r="D248" s="47" t="n"/>
      <c r="E248" s="47" t="n"/>
      <c r="F248" s="47" t="n"/>
      <c r="G248" s="47" t="n"/>
      <c r="H248" s="47" t="n"/>
      <c r="I248" s="47" t="n"/>
      <c r="J248" s="47" t="n"/>
      <c r="K248" s="47" t="n"/>
      <c r="L248" s="47" t="n"/>
      <c r="M248" s="47" t="n"/>
      <c r="N248" s="49">
        <f>IF(A248="","",COUNTIFS('潜水記録'!$S$5:$S$3004,A248,'潜水記録'!$T$5:$T$3004,1))</f>
        <v/>
      </c>
      <c r="O248" s="49">
        <f>IF(A248="","",COUNTIF('潜水記録'!$S$5:$S$3004,A248))</f>
        <v/>
      </c>
    </row>
    <row r="249">
      <c r="A249" s="47" t="n"/>
      <c r="B249" s="48" t="n"/>
      <c r="C249" s="47" t="n"/>
      <c r="D249" s="47" t="n"/>
      <c r="E249" s="47" t="n"/>
      <c r="F249" s="47" t="n"/>
      <c r="G249" s="47" t="n"/>
      <c r="H249" s="47" t="n"/>
      <c r="I249" s="47" t="n"/>
      <c r="J249" s="47" t="n"/>
      <c r="K249" s="47" t="n"/>
      <c r="L249" s="47" t="n"/>
      <c r="M249" s="47" t="n"/>
      <c r="N249" s="49">
        <f>IF(A249="","",COUNTIFS('潜水記録'!$S$5:$S$3004,A249,'潜水記録'!$T$5:$T$3004,1))</f>
        <v/>
      </c>
      <c r="O249" s="49">
        <f>IF(A249="","",COUNTIF('潜水記録'!$S$5:$S$3004,A249))</f>
        <v/>
      </c>
    </row>
    <row r="250">
      <c r="A250" s="47" t="n"/>
      <c r="B250" s="48" t="n"/>
      <c r="C250" s="47" t="n"/>
      <c r="D250" s="47" t="n"/>
      <c r="E250" s="47" t="n"/>
      <c r="F250" s="47" t="n"/>
      <c r="G250" s="47" t="n"/>
      <c r="H250" s="47" t="n"/>
      <c r="I250" s="47" t="n"/>
      <c r="J250" s="47" t="n"/>
      <c r="K250" s="47" t="n"/>
      <c r="L250" s="47" t="n"/>
      <c r="M250" s="47" t="n"/>
      <c r="N250" s="49">
        <f>IF(A250="","",COUNTIFS('潜水記録'!$S$5:$S$3004,A250,'潜水記録'!$T$5:$T$3004,1))</f>
        <v/>
      </c>
      <c r="O250" s="49">
        <f>IF(A250="","",COUNTIF('潜水記録'!$S$5:$S$3004,A250))</f>
        <v/>
      </c>
    </row>
    <row r="251">
      <c r="A251" s="47" t="n"/>
      <c r="B251" s="48" t="n"/>
      <c r="C251" s="47" t="n"/>
      <c r="D251" s="47" t="n"/>
      <c r="E251" s="47" t="n"/>
      <c r="F251" s="47" t="n"/>
      <c r="G251" s="47" t="n"/>
      <c r="H251" s="47" t="n"/>
      <c r="I251" s="47" t="n"/>
      <c r="J251" s="47" t="n"/>
      <c r="K251" s="47" t="n"/>
      <c r="L251" s="47" t="n"/>
      <c r="M251" s="47" t="n"/>
      <c r="N251" s="49">
        <f>IF(A251="","",COUNTIFS('潜水記録'!$S$5:$S$3004,A251,'潜水記録'!$T$5:$T$3004,1))</f>
        <v/>
      </c>
      <c r="O251" s="49">
        <f>IF(A251="","",COUNTIF('潜水記録'!$S$5:$S$3004,A251))</f>
        <v/>
      </c>
    </row>
    <row r="252">
      <c r="A252" s="47" t="n"/>
      <c r="B252" s="48" t="n"/>
      <c r="C252" s="47" t="n"/>
      <c r="D252" s="47" t="n"/>
      <c r="E252" s="47" t="n"/>
      <c r="F252" s="47" t="n"/>
      <c r="G252" s="47" t="n"/>
      <c r="H252" s="47" t="n"/>
      <c r="I252" s="47" t="n"/>
      <c r="J252" s="47" t="n"/>
      <c r="K252" s="47" t="n"/>
      <c r="L252" s="47" t="n"/>
      <c r="M252" s="47" t="n"/>
      <c r="N252" s="49">
        <f>IF(A252="","",COUNTIFS('潜水記録'!$S$5:$S$3004,A252,'潜水記録'!$T$5:$T$3004,1))</f>
        <v/>
      </c>
      <c r="O252" s="49">
        <f>IF(A252="","",COUNTIF('潜水記録'!$S$5:$S$3004,A252))</f>
        <v/>
      </c>
    </row>
    <row r="253">
      <c r="A253" s="47" t="n"/>
      <c r="B253" s="48" t="n"/>
      <c r="C253" s="47" t="n"/>
      <c r="D253" s="47" t="n"/>
      <c r="E253" s="47" t="n"/>
      <c r="F253" s="47" t="n"/>
      <c r="G253" s="47" t="n"/>
      <c r="H253" s="47" t="n"/>
      <c r="I253" s="47" t="n"/>
      <c r="J253" s="47" t="n"/>
      <c r="K253" s="47" t="n"/>
      <c r="L253" s="47" t="n"/>
      <c r="M253" s="47" t="n"/>
      <c r="N253" s="49">
        <f>IF(A253="","",COUNTIFS('潜水記録'!$S$5:$S$3004,A253,'潜水記録'!$T$5:$T$3004,1))</f>
        <v/>
      </c>
      <c r="O253" s="49">
        <f>IF(A253="","",COUNTIF('潜水記録'!$S$5:$S$3004,A253))</f>
        <v/>
      </c>
    </row>
    <row r="254">
      <c r="A254" s="47" t="n"/>
      <c r="B254" s="48" t="n"/>
      <c r="C254" s="47" t="n"/>
      <c r="D254" s="47" t="n"/>
      <c r="E254" s="47" t="n"/>
      <c r="F254" s="47" t="n"/>
      <c r="G254" s="47" t="n"/>
      <c r="H254" s="47" t="n"/>
      <c r="I254" s="47" t="n"/>
      <c r="J254" s="47" t="n"/>
      <c r="K254" s="47" t="n"/>
      <c r="L254" s="47" t="n"/>
      <c r="M254" s="47" t="n"/>
      <c r="N254" s="49">
        <f>IF(A254="","",COUNTIFS('潜水記録'!$S$5:$S$3004,A254,'潜水記録'!$T$5:$T$3004,1))</f>
        <v/>
      </c>
      <c r="O254" s="49">
        <f>IF(A254="","",COUNTIF('潜水記録'!$S$5:$S$3004,A254))</f>
        <v/>
      </c>
    </row>
    <row r="255">
      <c r="A255" s="47" t="n"/>
      <c r="B255" s="48" t="n"/>
      <c r="C255" s="47" t="n"/>
      <c r="D255" s="47" t="n"/>
      <c r="E255" s="47" t="n"/>
      <c r="F255" s="47" t="n"/>
      <c r="G255" s="47" t="n"/>
      <c r="H255" s="47" t="n"/>
      <c r="I255" s="47" t="n"/>
      <c r="J255" s="47" t="n"/>
      <c r="K255" s="47" t="n"/>
      <c r="L255" s="47" t="n"/>
      <c r="M255" s="47" t="n"/>
      <c r="N255" s="49">
        <f>IF(A255="","",COUNTIFS('潜水記録'!$S$5:$S$3004,A255,'潜水記録'!$T$5:$T$3004,1))</f>
        <v/>
      </c>
      <c r="O255" s="49">
        <f>IF(A255="","",COUNTIF('潜水記録'!$S$5:$S$3004,A255))</f>
        <v/>
      </c>
    </row>
    <row r="256">
      <c r="A256" s="47" t="n"/>
      <c r="B256" s="48" t="n"/>
      <c r="C256" s="47" t="n"/>
      <c r="D256" s="47" t="n"/>
      <c r="E256" s="47" t="n"/>
      <c r="F256" s="47" t="n"/>
      <c r="G256" s="47" t="n"/>
      <c r="H256" s="47" t="n"/>
      <c r="I256" s="47" t="n"/>
      <c r="J256" s="47" t="n"/>
      <c r="K256" s="47" t="n"/>
      <c r="L256" s="47" t="n"/>
      <c r="M256" s="47" t="n"/>
      <c r="N256" s="49">
        <f>IF(A256="","",COUNTIFS('潜水記録'!$S$5:$S$3004,A256,'潜水記録'!$T$5:$T$3004,1))</f>
        <v/>
      </c>
      <c r="O256" s="49">
        <f>IF(A256="","",COUNTIF('潜水記録'!$S$5:$S$3004,A256))</f>
        <v/>
      </c>
    </row>
    <row r="257">
      <c r="A257" s="47" t="n"/>
      <c r="B257" s="48" t="n"/>
      <c r="C257" s="47" t="n"/>
      <c r="D257" s="47" t="n"/>
      <c r="E257" s="47" t="n"/>
      <c r="F257" s="47" t="n"/>
      <c r="G257" s="47" t="n"/>
      <c r="H257" s="47" t="n"/>
      <c r="I257" s="47" t="n"/>
      <c r="J257" s="47" t="n"/>
      <c r="K257" s="47" t="n"/>
      <c r="L257" s="47" t="n"/>
      <c r="M257" s="47" t="n"/>
      <c r="N257" s="49">
        <f>IF(A257="","",COUNTIFS('潜水記録'!$S$5:$S$3004,A257,'潜水記録'!$T$5:$T$3004,1))</f>
        <v/>
      </c>
      <c r="O257" s="49">
        <f>IF(A257="","",COUNTIF('潜水記録'!$S$5:$S$3004,A257))</f>
        <v/>
      </c>
    </row>
    <row r="258">
      <c r="A258" s="47" t="n"/>
      <c r="B258" s="48" t="n"/>
      <c r="C258" s="47" t="n"/>
      <c r="D258" s="47" t="n"/>
      <c r="E258" s="47" t="n"/>
      <c r="F258" s="47" t="n"/>
      <c r="G258" s="47" t="n"/>
      <c r="H258" s="47" t="n"/>
      <c r="I258" s="47" t="n"/>
      <c r="J258" s="47" t="n"/>
      <c r="K258" s="47" t="n"/>
      <c r="L258" s="47" t="n"/>
      <c r="M258" s="47" t="n"/>
      <c r="N258" s="49">
        <f>IF(A258="","",COUNTIFS('潜水記録'!$S$5:$S$3004,A258,'潜水記録'!$T$5:$T$3004,1))</f>
        <v/>
      </c>
      <c r="O258" s="49">
        <f>IF(A258="","",COUNTIF('潜水記録'!$S$5:$S$3004,A258))</f>
        <v/>
      </c>
    </row>
    <row r="259">
      <c r="A259" s="47" t="n"/>
      <c r="B259" s="48" t="n"/>
      <c r="C259" s="47" t="n"/>
      <c r="D259" s="47" t="n"/>
      <c r="E259" s="47" t="n"/>
      <c r="F259" s="47" t="n"/>
      <c r="G259" s="47" t="n"/>
      <c r="H259" s="47" t="n"/>
      <c r="I259" s="47" t="n"/>
      <c r="J259" s="47" t="n"/>
      <c r="K259" s="47" t="n"/>
      <c r="L259" s="47" t="n"/>
      <c r="M259" s="47" t="n"/>
      <c r="N259" s="49">
        <f>IF(A259="","",COUNTIFS('潜水記録'!$S$5:$S$3004,A259,'潜水記録'!$T$5:$T$3004,1))</f>
        <v/>
      </c>
      <c r="O259" s="49">
        <f>IF(A259="","",COUNTIF('潜水記録'!$S$5:$S$3004,A259))</f>
        <v/>
      </c>
    </row>
    <row r="260">
      <c r="A260" s="47" t="n"/>
      <c r="B260" s="48" t="n"/>
      <c r="C260" s="47" t="n"/>
      <c r="D260" s="47" t="n"/>
      <c r="E260" s="47" t="n"/>
      <c r="F260" s="47" t="n"/>
      <c r="G260" s="47" t="n"/>
      <c r="H260" s="47" t="n"/>
      <c r="I260" s="47" t="n"/>
      <c r="J260" s="47" t="n"/>
      <c r="K260" s="47" t="n"/>
      <c r="L260" s="47" t="n"/>
      <c r="M260" s="47" t="n"/>
      <c r="N260" s="49">
        <f>IF(A260="","",COUNTIFS('潜水記録'!$S$5:$S$3004,A260,'潜水記録'!$T$5:$T$3004,1))</f>
        <v/>
      </c>
      <c r="O260" s="49">
        <f>IF(A260="","",COUNTIF('潜水記録'!$S$5:$S$3004,A260))</f>
        <v/>
      </c>
    </row>
    <row r="261">
      <c r="A261" s="47" t="n"/>
      <c r="B261" s="48" t="n"/>
      <c r="C261" s="47" t="n"/>
      <c r="D261" s="47" t="n"/>
      <c r="E261" s="47" t="n"/>
      <c r="F261" s="47" t="n"/>
      <c r="G261" s="47" t="n"/>
      <c r="H261" s="47" t="n"/>
      <c r="I261" s="47" t="n"/>
      <c r="J261" s="47" t="n"/>
      <c r="K261" s="47" t="n"/>
      <c r="L261" s="47" t="n"/>
      <c r="M261" s="47" t="n"/>
      <c r="N261" s="49">
        <f>IF(A261="","",COUNTIFS('潜水記録'!$S$5:$S$3004,A261,'潜水記録'!$T$5:$T$3004,1))</f>
        <v/>
      </c>
      <c r="O261" s="49">
        <f>IF(A261="","",COUNTIF('潜水記録'!$S$5:$S$3004,A261))</f>
        <v/>
      </c>
    </row>
    <row r="262">
      <c r="A262" s="47" t="n"/>
      <c r="B262" s="48" t="n"/>
      <c r="C262" s="47" t="n"/>
      <c r="D262" s="47" t="n"/>
      <c r="E262" s="47" t="n"/>
      <c r="F262" s="47" t="n"/>
      <c r="G262" s="47" t="n"/>
      <c r="H262" s="47" t="n"/>
      <c r="I262" s="47" t="n"/>
      <c r="J262" s="47" t="n"/>
      <c r="K262" s="47" t="n"/>
      <c r="L262" s="47" t="n"/>
      <c r="M262" s="47" t="n"/>
      <c r="N262" s="49">
        <f>IF(A262="","",COUNTIFS('潜水記録'!$S$5:$S$3004,A262,'潜水記録'!$T$5:$T$3004,1))</f>
        <v/>
      </c>
      <c r="O262" s="49">
        <f>IF(A262="","",COUNTIF('潜水記録'!$S$5:$S$3004,A262))</f>
        <v/>
      </c>
    </row>
    <row r="263">
      <c r="A263" s="47" t="n"/>
      <c r="B263" s="48" t="n"/>
      <c r="C263" s="47" t="n"/>
      <c r="D263" s="47" t="n"/>
      <c r="E263" s="47" t="n"/>
      <c r="F263" s="47" t="n"/>
      <c r="G263" s="47" t="n"/>
      <c r="H263" s="47" t="n"/>
      <c r="I263" s="47" t="n"/>
      <c r="J263" s="47" t="n"/>
      <c r="K263" s="47" t="n"/>
      <c r="L263" s="47" t="n"/>
      <c r="M263" s="47" t="n"/>
      <c r="N263" s="49">
        <f>IF(A263="","",COUNTIFS('潜水記録'!$S$5:$S$3004,A263,'潜水記録'!$T$5:$T$3004,1))</f>
        <v/>
      </c>
      <c r="O263" s="49">
        <f>IF(A263="","",COUNTIF('潜水記録'!$S$5:$S$3004,A263))</f>
        <v/>
      </c>
    </row>
    <row r="264">
      <c r="A264" s="47" t="n"/>
      <c r="B264" s="48" t="n"/>
      <c r="C264" s="47" t="n"/>
      <c r="D264" s="47" t="n"/>
      <c r="E264" s="47" t="n"/>
      <c r="F264" s="47" t="n"/>
      <c r="G264" s="47" t="n"/>
      <c r="H264" s="47" t="n"/>
      <c r="I264" s="47" t="n"/>
      <c r="J264" s="47" t="n"/>
      <c r="K264" s="47" t="n"/>
      <c r="L264" s="47" t="n"/>
      <c r="M264" s="47" t="n"/>
      <c r="N264" s="49">
        <f>IF(A264="","",COUNTIFS('潜水記録'!$S$5:$S$3004,A264,'潜水記録'!$T$5:$T$3004,1))</f>
        <v/>
      </c>
      <c r="O264" s="49">
        <f>IF(A264="","",COUNTIF('潜水記録'!$S$5:$S$3004,A264))</f>
        <v/>
      </c>
    </row>
    <row r="265">
      <c r="A265" s="47" t="n"/>
      <c r="B265" s="48" t="n"/>
      <c r="C265" s="47" t="n"/>
      <c r="D265" s="47" t="n"/>
      <c r="E265" s="47" t="n"/>
      <c r="F265" s="47" t="n"/>
      <c r="G265" s="47" t="n"/>
      <c r="H265" s="47" t="n"/>
      <c r="I265" s="47" t="n"/>
      <c r="J265" s="47" t="n"/>
      <c r="K265" s="47" t="n"/>
      <c r="L265" s="47" t="n"/>
      <c r="M265" s="47" t="n"/>
      <c r="N265" s="49">
        <f>IF(A265="","",COUNTIFS('潜水記録'!$S$5:$S$3004,A265,'潜水記録'!$T$5:$T$3004,1))</f>
        <v/>
      </c>
      <c r="O265" s="49">
        <f>IF(A265="","",COUNTIF('潜水記録'!$S$5:$S$3004,A265))</f>
        <v/>
      </c>
    </row>
    <row r="266">
      <c r="A266" s="47" t="n"/>
      <c r="B266" s="48" t="n"/>
      <c r="C266" s="47" t="n"/>
      <c r="D266" s="47" t="n"/>
      <c r="E266" s="47" t="n"/>
      <c r="F266" s="47" t="n"/>
      <c r="G266" s="47" t="n"/>
      <c r="H266" s="47" t="n"/>
      <c r="I266" s="47" t="n"/>
      <c r="J266" s="47" t="n"/>
      <c r="K266" s="47" t="n"/>
      <c r="L266" s="47" t="n"/>
      <c r="M266" s="47" t="n"/>
      <c r="N266" s="49">
        <f>IF(A266="","",COUNTIFS('潜水記録'!$S$5:$S$3004,A266,'潜水記録'!$T$5:$T$3004,1))</f>
        <v/>
      </c>
      <c r="O266" s="49">
        <f>IF(A266="","",COUNTIF('潜水記録'!$S$5:$S$3004,A266))</f>
        <v/>
      </c>
    </row>
    <row r="267">
      <c r="A267" s="47" t="n"/>
      <c r="B267" s="48" t="n"/>
      <c r="C267" s="47" t="n"/>
      <c r="D267" s="47" t="n"/>
      <c r="E267" s="47" t="n"/>
      <c r="F267" s="47" t="n"/>
      <c r="G267" s="47" t="n"/>
      <c r="H267" s="47" t="n"/>
      <c r="I267" s="47" t="n"/>
      <c r="J267" s="47" t="n"/>
      <c r="K267" s="47" t="n"/>
      <c r="L267" s="47" t="n"/>
      <c r="M267" s="47" t="n"/>
      <c r="N267" s="49">
        <f>IF(A267="","",COUNTIFS('潜水記録'!$S$5:$S$3004,A267,'潜水記録'!$T$5:$T$3004,1))</f>
        <v/>
      </c>
      <c r="O267" s="49">
        <f>IF(A267="","",COUNTIF('潜水記録'!$S$5:$S$3004,A267))</f>
        <v/>
      </c>
    </row>
    <row r="268">
      <c r="A268" s="47" t="n"/>
      <c r="B268" s="48" t="n"/>
      <c r="C268" s="47" t="n"/>
      <c r="D268" s="47" t="n"/>
      <c r="E268" s="47" t="n"/>
      <c r="F268" s="47" t="n"/>
      <c r="G268" s="47" t="n"/>
      <c r="H268" s="47" t="n"/>
      <c r="I268" s="47" t="n"/>
      <c r="J268" s="47" t="n"/>
      <c r="K268" s="47" t="n"/>
      <c r="L268" s="47" t="n"/>
      <c r="M268" s="47" t="n"/>
      <c r="N268" s="49">
        <f>IF(A268="","",COUNTIFS('潜水記録'!$S$5:$S$3004,A268,'潜水記録'!$T$5:$T$3004,1))</f>
        <v/>
      </c>
      <c r="O268" s="49">
        <f>IF(A268="","",COUNTIF('潜水記録'!$S$5:$S$3004,A268))</f>
        <v/>
      </c>
    </row>
    <row r="269">
      <c r="A269" s="47" t="n"/>
      <c r="B269" s="48" t="n"/>
      <c r="C269" s="47" t="n"/>
      <c r="D269" s="47" t="n"/>
      <c r="E269" s="47" t="n"/>
      <c r="F269" s="47" t="n"/>
      <c r="G269" s="47" t="n"/>
      <c r="H269" s="47" t="n"/>
      <c r="I269" s="47" t="n"/>
      <c r="J269" s="47" t="n"/>
      <c r="K269" s="47" t="n"/>
      <c r="L269" s="47" t="n"/>
      <c r="M269" s="47" t="n"/>
      <c r="N269" s="49">
        <f>IF(A269="","",COUNTIFS('潜水記録'!$S$5:$S$3004,A269,'潜水記録'!$T$5:$T$3004,1))</f>
        <v/>
      </c>
      <c r="O269" s="49">
        <f>IF(A269="","",COUNTIF('潜水記録'!$S$5:$S$3004,A269))</f>
        <v/>
      </c>
    </row>
    <row r="270">
      <c r="A270" s="47" t="n"/>
      <c r="B270" s="48" t="n"/>
      <c r="C270" s="47" t="n"/>
      <c r="D270" s="47" t="n"/>
      <c r="E270" s="47" t="n"/>
      <c r="F270" s="47" t="n"/>
      <c r="G270" s="47" t="n"/>
      <c r="H270" s="47" t="n"/>
      <c r="I270" s="47" t="n"/>
      <c r="J270" s="47" t="n"/>
      <c r="K270" s="47" t="n"/>
      <c r="L270" s="47" t="n"/>
      <c r="M270" s="47" t="n"/>
      <c r="N270" s="49">
        <f>IF(A270="","",COUNTIFS('潜水記録'!$S$5:$S$3004,A270,'潜水記録'!$T$5:$T$3004,1))</f>
        <v/>
      </c>
      <c r="O270" s="49">
        <f>IF(A270="","",COUNTIF('潜水記録'!$S$5:$S$3004,A270))</f>
        <v/>
      </c>
    </row>
    <row r="271">
      <c r="A271" s="47" t="n"/>
      <c r="B271" s="48" t="n"/>
      <c r="C271" s="47" t="n"/>
      <c r="D271" s="47" t="n"/>
      <c r="E271" s="47" t="n"/>
      <c r="F271" s="47" t="n"/>
      <c r="G271" s="47" t="n"/>
      <c r="H271" s="47" t="n"/>
      <c r="I271" s="47" t="n"/>
      <c r="J271" s="47" t="n"/>
      <c r="K271" s="47" t="n"/>
      <c r="L271" s="47" t="n"/>
      <c r="M271" s="47" t="n"/>
      <c r="N271" s="49">
        <f>IF(A271="","",COUNTIFS('潜水記録'!$S$5:$S$3004,A271,'潜水記録'!$T$5:$T$3004,1))</f>
        <v/>
      </c>
      <c r="O271" s="49">
        <f>IF(A271="","",COUNTIF('潜水記録'!$S$5:$S$3004,A271))</f>
        <v/>
      </c>
    </row>
    <row r="272">
      <c r="A272" s="47" t="n"/>
      <c r="B272" s="48" t="n"/>
      <c r="C272" s="47" t="n"/>
      <c r="D272" s="47" t="n"/>
      <c r="E272" s="47" t="n"/>
      <c r="F272" s="47" t="n"/>
      <c r="G272" s="47" t="n"/>
      <c r="H272" s="47" t="n"/>
      <c r="I272" s="47" t="n"/>
      <c r="J272" s="47" t="n"/>
      <c r="K272" s="47" t="n"/>
      <c r="L272" s="47" t="n"/>
      <c r="M272" s="47" t="n"/>
      <c r="N272" s="49">
        <f>IF(A272="","",COUNTIFS('潜水記録'!$S$5:$S$3004,A272,'潜水記録'!$T$5:$T$3004,1))</f>
        <v/>
      </c>
      <c r="O272" s="49">
        <f>IF(A272="","",COUNTIF('潜水記録'!$S$5:$S$3004,A272))</f>
        <v/>
      </c>
    </row>
    <row r="273">
      <c r="A273" s="47" t="n"/>
      <c r="B273" s="48" t="n"/>
      <c r="C273" s="47" t="n"/>
      <c r="D273" s="47" t="n"/>
      <c r="E273" s="47" t="n"/>
      <c r="F273" s="47" t="n"/>
      <c r="G273" s="47" t="n"/>
      <c r="H273" s="47" t="n"/>
      <c r="I273" s="47" t="n"/>
      <c r="J273" s="47" t="n"/>
      <c r="K273" s="47" t="n"/>
      <c r="L273" s="47" t="n"/>
      <c r="M273" s="47" t="n"/>
      <c r="N273" s="49">
        <f>IF(A273="","",COUNTIFS('潜水記録'!$S$5:$S$3004,A273,'潜水記録'!$T$5:$T$3004,1))</f>
        <v/>
      </c>
      <c r="O273" s="49">
        <f>IF(A273="","",COUNTIF('潜水記録'!$S$5:$S$3004,A273))</f>
        <v/>
      </c>
    </row>
    <row r="274">
      <c r="A274" s="47" t="n"/>
      <c r="B274" s="48" t="n"/>
      <c r="C274" s="47" t="n"/>
      <c r="D274" s="47" t="n"/>
      <c r="E274" s="47" t="n"/>
      <c r="F274" s="47" t="n"/>
      <c r="G274" s="47" t="n"/>
      <c r="H274" s="47" t="n"/>
      <c r="I274" s="47" t="n"/>
      <c r="J274" s="47" t="n"/>
      <c r="K274" s="47" t="n"/>
      <c r="L274" s="47" t="n"/>
      <c r="M274" s="47" t="n"/>
      <c r="N274" s="49">
        <f>IF(A274="","",COUNTIFS('潜水記録'!$S$5:$S$3004,A274,'潜水記録'!$T$5:$T$3004,1))</f>
        <v/>
      </c>
      <c r="O274" s="49">
        <f>IF(A274="","",COUNTIF('潜水記録'!$S$5:$S$3004,A274))</f>
        <v/>
      </c>
    </row>
    <row r="275">
      <c r="A275" s="47" t="n"/>
      <c r="B275" s="48" t="n"/>
      <c r="C275" s="47" t="n"/>
      <c r="D275" s="47" t="n"/>
      <c r="E275" s="47" t="n"/>
      <c r="F275" s="47" t="n"/>
      <c r="G275" s="47" t="n"/>
      <c r="H275" s="47" t="n"/>
      <c r="I275" s="47" t="n"/>
      <c r="J275" s="47" t="n"/>
      <c r="K275" s="47" t="n"/>
      <c r="L275" s="47" t="n"/>
      <c r="M275" s="47" t="n"/>
      <c r="N275" s="49">
        <f>IF(A275="","",COUNTIFS('潜水記録'!$S$5:$S$3004,A275,'潜水記録'!$T$5:$T$3004,1))</f>
        <v/>
      </c>
      <c r="O275" s="49">
        <f>IF(A275="","",COUNTIF('潜水記録'!$S$5:$S$3004,A275))</f>
        <v/>
      </c>
    </row>
    <row r="276">
      <c r="A276" s="47" t="n"/>
      <c r="B276" s="48" t="n"/>
      <c r="C276" s="47" t="n"/>
      <c r="D276" s="47" t="n"/>
      <c r="E276" s="47" t="n"/>
      <c r="F276" s="47" t="n"/>
      <c r="G276" s="47" t="n"/>
      <c r="H276" s="47" t="n"/>
      <c r="I276" s="47" t="n"/>
      <c r="J276" s="47" t="n"/>
      <c r="K276" s="47" t="n"/>
      <c r="L276" s="47" t="n"/>
      <c r="M276" s="47" t="n"/>
      <c r="N276" s="49">
        <f>IF(A276="","",COUNTIFS('潜水記録'!$S$5:$S$3004,A276,'潜水記録'!$T$5:$T$3004,1))</f>
        <v/>
      </c>
      <c r="O276" s="49">
        <f>IF(A276="","",COUNTIF('潜水記録'!$S$5:$S$3004,A276))</f>
        <v/>
      </c>
    </row>
    <row r="277">
      <c r="A277" s="47" t="n"/>
      <c r="B277" s="48" t="n"/>
      <c r="C277" s="47" t="n"/>
      <c r="D277" s="47" t="n"/>
      <c r="E277" s="47" t="n"/>
      <c r="F277" s="47" t="n"/>
      <c r="G277" s="47" t="n"/>
      <c r="H277" s="47" t="n"/>
      <c r="I277" s="47" t="n"/>
      <c r="J277" s="47" t="n"/>
      <c r="K277" s="47" t="n"/>
      <c r="L277" s="47" t="n"/>
      <c r="M277" s="47" t="n"/>
      <c r="N277" s="49">
        <f>IF(A277="","",COUNTIFS('潜水記録'!$S$5:$S$3004,A277,'潜水記録'!$T$5:$T$3004,1))</f>
        <v/>
      </c>
      <c r="O277" s="49">
        <f>IF(A277="","",COUNTIF('潜水記録'!$S$5:$S$3004,A277))</f>
        <v/>
      </c>
    </row>
    <row r="278">
      <c r="A278" s="47" t="n"/>
      <c r="B278" s="48" t="n"/>
      <c r="C278" s="47" t="n"/>
      <c r="D278" s="47" t="n"/>
      <c r="E278" s="47" t="n"/>
      <c r="F278" s="47" t="n"/>
      <c r="G278" s="47" t="n"/>
      <c r="H278" s="47" t="n"/>
      <c r="I278" s="47" t="n"/>
      <c r="J278" s="47" t="n"/>
      <c r="K278" s="47" t="n"/>
      <c r="L278" s="47" t="n"/>
      <c r="M278" s="47" t="n"/>
      <c r="N278" s="49">
        <f>IF(A278="","",COUNTIFS('潜水記録'!$S$5:$S$3004,A278,'潜水記録'!$T$5:$T$3004,1))</f>
        <v/>
      </c>
      <c r="O278" s="49">
        <f>IF(A278="","",COUNTIF('潜水記録'!$S$5:$S$3004,A278))</f>
        <v/>
      </c>
    </row>
    <row r="279">
      <c r="A279" s="47" t="n"/>
      <c r="B279" s="48" t="n"/>
      <c r="C279" s="47" t="n"/>
      <c r="D279" s="47" t="n"/>
      <c r="E279" s="47" t="n"/>
      <c r="F279" s="47" t="n"/>
      <c r="G279" s="47" t="n"/>
      <c r="H279" s="47" t="n"/>
      <c r="I279" s="47" t="n"/>
      <c r="J279" s="47" t="n"/>
      <c r="K279" s="47" t="n"/>
      <c r="L279" s="47" t="n"/>
      <c r="M279" s="47" t="n"/>
      <c r="N279" s="49">
        <f>IF(A279="","",COUNTIFS('潜水記録'!$S$5:$S$3004,A279,'潜水記録'!$T$5:$T$3004,1))</f>
        <v/>
      </c>
      <c r="O279" s="49">
        <f>IF(A279="","",COUNTIF('潜水記録'!$S$5:$S$3004,A279))</f>
        <v/>
      </c>
    </row>
    <row r="280">
      <c r="A280" s="47" t="n"/>
      <c r="B280" s="48" t="n"/>
      <c r="C280" s="47" t="n"/>
      <c r="D280" s="47" t="n"/>
      <c r="E280" s="47" t="n"/>
      <c r="F280" s="47" t="n"/>
      <c r="G280" s="47" t="n"/>
      <c r="H280" s="47" t="n"/>
      <c r="I280" s="47" t="n"/>
      <c r="J280" s="47" t="n"/>
      <c r="K280" s="47" t="n"/>
      <c r="L280" s="47" t="n"/>
      <c r="M280" s="47" t="n"/>
      <c r="N280" s="49">
        <f>IF(A280="","",COUNTIFS('潜水記録'!$S$5:$S$3004,A280,'潜水記録'!$T$5:$T$3004,1))</f>
        <v/>
      </c>
      <c r="O280" s="49">
        <f>IF(A280="","",COUNTIF('潜水記録'!$S$5:$S$3004,A280))</f>
        <v/>
      </c>
    </row>
    <row r="281">
      <c r="A281" s="47" t="n"/>
      <c r="B281" s="48" t="n"/>
      <c r="C281" s="47" t="n"/>
      <c r="D281" s="47" t="n"/>
      <c r="E281" s="47" t="n"/>
      <c r="F281" s="47" t="n"/>
      <c r="G281" s="47" t="n"/>
      <c r="H281" s="47" t="n"/>
      <c r="I281" s="47" t="n"/>
      <c r="J281" s="47" t="n"/>
      <c r="K281" s="47" t="n"/>
      <c r="L281" s="47" t="n"/>
      <c r="M281" s="47" t="n"/>
      <c r="N281" s="49">
        <f>IF(A281="","",COUNTIFS('潜水記録'!$S$5:$S$3004,A281,'潜水記録'!$T$5:$T$3004,1))</f>
        <v/>
      </c>
      <c r="O281" s="49">
        <f>IF(A281="","",COUNTIF('潜水記録'!$S$5:$S$3004,A281))</f>
        <v/>
      </c>
    </row>
    <row r="282">
      <c r="A282" s="47" t="n"/>
      <c r="B282" s="48" t="n"/>
      <c r="C282" s="47" t="n"/>
      <c r="D282" s="47" t="n"/>
      <c r="E282" s="47" t="n"/>
      <c r="F282" s="47" t="n"/>
      <c r="G282" s="47" t="n"/>
      <c r="H282" s="47" t="n"/>
      <c r="I282" s="47" t="n"/>
      <c r="J282" s="47" t="n"/>
      <c r="K282" s="47" t="n"/>
      <c r="L282" s="47" t="n"/>
      <c r="M282" s="47" t="n"/>
      <c r="N282" s="49">
        <f>IF(A282="","",COUNTIFS('潜水記録'!$S$5:$S$3004,A282,'潜水記録'!$T$5:$T$3004,1))</f>
        <v/>
      </c>
      <c r="O282" s="49">
        <f>IF(A282="","",COUNTIF('潜水記録'!$S$5:$S$3004,A282))</f>
        <v/>
      </c>
    </row>
    <row r="283">
      <c r="A283" s="47" t="n"/>
      <c r="B283" s="48" t="n"/>
      <c r="C283" s="47" t="n"/>
      <c r="D283" s="47" t="n"/>
      <c r="E283" s="47" t="n"/>
      <c r="F283" s="47" t="n"/>
      <c r="G283" s="47" t="n"/>
      <c r="H283" s="47" t="n"/>
      <c r="I283" s="47" t="n"/>
      <c r="J283" s="47" t="n"/>
      <c r="K283" s="47" t="n"/>
      <c r="L283" s="47" t="n"/>
      <c r="M283" s="47" t="n"/>
      <c r="N283" s="49">
        <f>IF(A283="","",COUNTIFS('潜水記録'!$S$5:$S$3004,A283,'潜水記録'!$T$5:$T$3004,1))</f>
        <v/>
      </c>
      <c r="O283" s="49">
        <f>IF(A283="","",COUNTIF('潜水記録'!$S$5:$S$3004,A283))</f>
        <v/>
      </c>
    </row>
    <row r="284">
      <c r="A284" s="47" t="n"/>
      <c r="B284" s="48" t="n"/>
      <c r="C284" s="47" t="n"/>
      <c r="D284" s="47" t="n"/>
      <c r="E284" s="47" t="n"/>
      <c r="F284" s="47" t="n"/>
      <c r="G284" s="47" t="n"/>
      <c r="H284" s="47" t="n"/>
      <c r="I284" s="47" t="n"/>
      <c r="J284" s="47" t="n"/>
      <c r="K284" s="47" t="n"/>
      <c r="L284" s="47" t="n"/>
      <c r="M284" s="47" t="n"/>
      <c r="N284" s="49">
        <f>IF(A284="","",COUNTIFS('潜水記録'!$S$5:$S$3004,A284,'潜水記録'!$T$5:$T$3004,1))</f>
        <v/>
      </c>
      <c r="O284" s="49">
        <f>IF(A284="","",COUNTIF('潜水記録'!$S$5:$S$3004,A284))</f>
        <v/>
      </c>
    </row>
    <row r="285">
      <c r="A285" s="47" t="n"/>
      <c r="B285" s="48" t="n"/>
      <c r="C285" s="47" t="n"/>
      <c r="D285" s="47" t="n"/>
      <c r="E285" s="47" t="n"/>
      <c r="F285" s="47" t="n"/>
      <c r="G285" s="47" t="n"/>
      <c r="H285" s="47" t="n"/>
      <c r="I285" s="47" t="n"/>
      <c r="J285" s="47" t="n"/>
      <c r="K285" s="47" t="n"/>
      <c r="L285" s="47" t="n"/>
      <c r="M285" s="47" t="n"/>
      <c r="N285" s="49">
        <f>IF(A285="","",COUNTIFS('潜水記録'!$S$5:$S$3004,A285,'潜水記録'!$T$5:$T$3004,1))</f>
        <v/>
      </c>
      <c r="O285" s="49">
        <f>IF(A285="","",COUNTIF('潜水記録'!$S$5:$S$3004,A285))</f>
        <v/>
      </c>
    </row>
    <row r="286">
      <c r="A286" s="47" t="n"/>
      <c r="B286" s="48" t="n"/>
      <c r="C286" s="47" t="n"/>
      <c r="D286" s="47" t="n"/>
      <c r="E286" s="47" t="n"/>
      <c r="F286" s="47" t="n"/>
      <c r="G286" s="47" t="n"/>
      <c r="H286" s="47" t="n"/>
      <c r="I286" s="47" t="n"/>
      <c r="J286" s="47" t="n"/>
      <c r="K286" s="47" t="n"/>
      <c r="L286" s="47" t="n"/>
      <c r="M286" s="47" t="n"/>
      <c r="N286" s="49">
        <f>IF(A286="","",COUNTIFS('潜水記録'!$S$5:$S$3004,A286,'潜水記録'!$T$5:$T$3004,1))</f>
        <v/>
      </c>
      <c r="O286" s="49">
        <f>IF(A286="","",COUNTIF('潜水記録'!$S$5:$S$3004,A286))</f>
        <v/>
      </c>
    </row>
    <row r="287">
      <c r="A287" s="47" t="n"/>
      <c r="B287" s="48" t="n"/>
      <c r="C287" s="47" t="n"/>
      <c r="D287" s="47" t="n"/>
      <c r="E287" s="47" t="n"/>
      <c r="F287" s="47" t="n"/>
      <c r="G287" s="47" t="n"/>
      <c r="H287" s="47" t="n"/>
      <c r="I287" s="47" t="n"/>
      <c r="J287" s="47" t="n"/>
      <c r="K287" s="47" t="n"/>
      <c r="L287" s="47" t="n"/>
      <c r="M287" s="47" t="n"/>
      <c r="N287" s="49">
        <f>IF(A287="","",COUNTIFS('潜水記録'!$S$5:$S$3004,A287,'潜水記録'!$T$5:$T$3004,1))</f>
        <v/>
      </c>
      <c r="O287" s="49">
        <f>IF(A287="","",COUNTIF('潜水記録'!$S$5:$S$3004,A287))</f>
        <v/>
      </c>
    </row>
    <row r="288">
      <c r="A288" s="47" t="n"/>
      <c r="B288" s="48" t="n"/>
      <c r="C288" s="47" t="n"/>
      <c r="D288" s="47" t="n"/>
      <c r="E288" s="47" t="n"/>
      <c r="F288" s="47" t="n"/>
      <c r="G288" s="47" t="n"/>
      <c r="H288" s="47" t="n"/>
      <c r="I288" s="47" t="n"/>
      <c r="J288" s="47" t="n"/>
      <c r="K288" s="47" t="n"/>
      <c r="L288" s="47" t="n"/>
      <c r="M288" s="47" t="n"/>
      <c r="N288" s="49">
        <f>IF(A288="","",COUNTIFS('潜水記録'!$S$5:$S$3004,A288,'潜水記録'!$T$5:$T$3004,1))</f>
        <v/>
      </c>
      <c r="O288" s="49">
        <f>IF(A288="","",COUNTIF('潜水記録'!$S$5:$S$3004,A288))</f>
        <v/>
      </c>
    </row>
    <row r="289">
      <c r="A289" s="47" t="n"/>
      <c r="B289" s="48" t="n"/>
      <c r="C289" s="47" t="n"/>
      <c r="D289" s="47" t="n"/>
      <c r="E289" s="47" t="n"/>
      <c r="F289" s="47" t="n"/>
      <c r="G289" s="47" t="n"/>
      <c r="H289" s="47" t="n"/>
      <c r="I289" s="47" t="n"/>
      <c r="J289" s="47" t="n"/>
      <c r="K289" s="47" t="n"/>
      <c r="L289" s="47" t="n"/>
      <c r="M289" s="47" t="n"/>
      <c r="N289" s="49">
        <f>IF(A289="","",COUNTIFS('潜水記録'!$S$5:$S$3004,A289,'潜水記録'!$T$5:$T$3004,1))</f>
        <v/>
      </c>
      <c r="O289" s="49">
        <f>IF(A289="","",COUNTIF('潜水記録'!$S$5:$S$3004,A289))</f>
        <v/>
      </c>
    </row>
    <row r="290">
      <c r="A290" s="47" t="n"/>
      <c r="B290" s="48" t="n"/>
      <c r="C290" s="47" t="n"/>
      <c r="D290" s="47" t="n"/>
      <c r="E290" s="47" t="n"/>
      <c r="F290" s="47" t="n"/>
      <c r="G290" s="47" t="n"/>
      <c r="H290" s="47" t="n"/>
      <c r="I290" s="47" t="n"/>
      <c r="J290" s="47" t="n"/>
      <c r="K290" s="47" t="n"/>
      <c r="L290" s="47" t="n"/>
      <c r="M290" s="47" t="n"/>
      <c r="N290" s="49">
        <f>IF(A290="","",COUNTIFS('潜水記録'!$S$5:$S$3004,A290,'潜水記録'!$T$5:$T$3004,1))</f>
        <v/>
      </c>
      <c r="O290" s="49">
        <f>IF(A290="","",COUNTIF('潜水記録'!$S$5:$S$3004,A290))</f>
        <v/>
      </c>
    </row>
    <row r="291">
      <c r="A291" s="47" t="n"/>
      <c r="B291" s="48" t="n"/>
      <c r="C291" s="47" t="n"/>
      <c r="D291" s="47" t="n"/>
      <c r="E291" s="47" t="n"/>
      <c r="F291" s="47" t="n"/>
      <c r="G291" s="47" t="n"/>
      <c r="H291" s="47" t="n"/>
      <c r="I291" s="47" t="n"/>
      <c r="J291" s="47" t="n"/>
      <c r="K291" s="47" t="n"/>
      <c r="L291" s="47" t="n"/>
      <c r="M291" s="47" t="n"/>
      <c r="N291" s="49">
        <f>IF(A291="","",COUNTIFS('潜水記録'!$S$5:$S$3004,A291,'潜水記録'!$T$5:$T$3004,1))</f>
        <v/>
      </c>
      <c r="O291" s="49">
        <f>IF(A291="","",COUNTIF('潜水記録'!$S$5:$S$3004,A291))</f>
        <v/>
      </c>
    </row>
    <row r="292">
      <c r="A292" s="47" t="n"/>
      <c r="B292" s="48" t="n"/>
      <c r="C292" s="47" t="n"/>
      <c r="D292" s="47" t="n"/>
      <c r="E292" s="47" t="n"/>
      <c r="F292" s="47" t="n"/>
      <c r="G292" s="47" t="n"/>
      <c r="H292" s="47" t="n"/>
      <c r="I292" s="47" t="n"/>
      <c r="J292" s="47" t="n"/>
      <c r="K292" s="47" t="n"/>
      <c r="L292" s="47" t="n"/>
      <c r="M292" s="47" t="n"/>
      <c r="N292" s="49">
        <f>IF(A292="","",COUNTIFS('潜水記録'!$S$5:$S$3004,A292,'潜水記録'!$T$5:$T$3004,1))</f>
        <v/>
      </c>
      <c r="O292" s="49">
        <f>IF(A292="","",COUNTIF('潜水記録'!$S$5:$S$3004,A292))</f>
        <v/>
      </c>
    </row>
    <row r="293">
      <c r="A293" s="47" t="n"/>
      <c r="B293" s="48" t="n"/>
      <c r="C293" s="47" t="n"/>
      <c r="D293" s="47" t="n"/>
      <c r="E293" s="47" t="n"/>
      <c r="F293" s="47" t="n"/>
      <c r="G293" s="47" t="n"/>
      <c r="H293" s="47" t="n"/>
      <c r="I293" s="47" t="n"/>
      <c r="J293" s="47" t="n"/>
      <c r="K293" s="47" t="n"/>
      <c r="L293" s="47" t="n"/>
      <c r="M293" s="47" t="n"/>
      <c r="N293" s="49">
        <f>IF(A293="","",COUNTIFS('潜水記録'!$S$5:$S$3004,A293,'潜水記録'!$T$5:$T$3004,1))</f>
        <v/>
      </c>
      <c r="O293" s="49">
        <f>IF(A293="","",COUNTIF('潜水記録'!$S$5:$S$3004,A293))</f>
        <v/>
      </c>
    </row>
    <row r="294">
      <c r="A294" s="47" t="n"/>
      <c r="B294" s="48" t="n"/>
      <c r="C294" s="47" t="n"/>
      <c r="D294" s="47" t="n"/>
      <c r="E294" s="47" t="n"/>
      <c r="F294" s="47" t="n"/>
      <c r="G294" s="47" t="n"/>
      <c r="H294" s="47" t="n"/>
      <c r="I294" s="47" t="n"/>
      <c r="J294" s="47" t="n"/>
      <c r="K294" s="47" t="n"/>
      <c r="L294" s="47" t="n"/>
      <c r="M294" s="47" t="n"/>
      <c r="N294" s="49">
        <f>IF(A294="","",COUNTIFS('潜水記録'!$S$5:$S$3004,A294,'潜水記録'!$T$5:$T$3004,1))</f>
        <v/>
      </c>
      <c r="O294" s="49">
        <f>IF(A294="","",COUNTIF('潜水記録'!$S$5:$S$3004,A294))</f>
        <v/>
      </c>
    </row>
    <row r="295">
      <c r="A295" s="47" t="n"/>
      <c r="B295" s="48" t="n"/>
      <c r="C295" s="47" t="n"/>
      <c r="D295" s="47" t="n"/>
      <c r="E295" s="47" t="n"/>
      <c r="F295" s="47" t="n"/>
      <c r="G295" s="47" t="n"/>
      <c r="H295" s="47" t="n"/>
      <c r="I295" s="47" t="n"/>
      <c r="J295" s="47" t="n"/>
      <c r="K295" s="47" t="n"/>
      <c r="L295" s="47" t="n"/>
      <c r="M295" s="47" t="n"/>
      <c r="N295" s="49">
        <f>IF(A295="","",COUNTIFS('潜水記録'!$S$5:$S$3004,A295,'潜水記録'!$T$5:$T$3004,1))</f>
        <v/>
      </c>
      <c r="O295" s="49">
        <f>IF(A295="","",COUNTIF('潜水記録'!$S$5:$S$3004,A295))</f>
        <v/>
      </c>
    </row>
    <row r="296">
      <c r="A296" s="47" t="n"/>
      <c r="B296" s="48" t="n"/>
      <c r="C296" s="47" t="n"/>
      <c r="D296" s="47" t="n"/>
      <c r="E296" s="47" t="n"/>
      <c r="F296" s="47" t="n"/>
      <c r="G296" s="47" t="n"/>
      <c r="H296" s="47" t="n"/>
      <c r="I296" s="47" t="n"/>
      <c r="J296" s="47" t="n"/>
      <c r="K296" s="47" t="n"/>
      <c r="L296" s="47" t="n"/>
      <c r="M296" s="47" t="n"/>
      <c r="N296" s="49">
        <f>IF(A296="","",COUNTIFS('潜水記録'!$S$5:$S$3004,A296,'潜水記録'!$T$5:$T$3004,1))</f>
        <v/>
      </c>
      <c r="O296" s="49">
        <f>IF(A296="","",COUNTIF('潜水記録'!$S$5:$S$3004,A296))</f>
        <v/>
      </c>
    </row>
    <row r="297">
      <c r="A297" s="47" t="n"/>
      <c r="B297" s="48" t="n"/>
      <c r="C297" s="47" t="n"/>
      <c r="D297" s="47" t="n"/>
      <c r="E297" s="47" t="n"/>
      <c r="F297" s="47" t="n"/>
      <c r="G297" s="47" t="n"/>
      <c r="H297" s="47" t="n"/>
      <c r="I297" s="47" t="n"/>
      <c r="J297" s="47" t="n"/>
      <c r="K297" s="47" t="n"/>
      <c r="L297" s="47" t="n"/>
      <c r="M297" s="47" t="n"/>
      <c r="N297" s="49">
        <f>IF(A297="","",COUNTIFS('潜水記録'!$S$5:$S$3004,A297,'潜水記録'!$T$5:$T$3004,1))</f>
        <v/>
      </c>
      <c r="O297" s="49">
        <f>IF(A297="","",COUNTIF('潜水記録'!$S$5:$S$3004,A297))</f>
        <v/>
      </c>
    </row>
    <row r="298">
      <c r="A298" s="47" t="n"/>
      <c r="B298" s="48" t="n"/>
      <c r="C298" s="47" t="n"/>
      <c r="D298" s="47" t="n"/>
      <c r="E298" s="47" t="n"/>
      <c r="F298" s="47" t="n"/>
      <c r="G298" s="47" t="n"/>
      <c r="H298" s="47" t="n"/>
      <c r="I298" s="47" t="n"/>
      <c r="J298" s="47" t="n"/>
      <c r="K298" s="47" t="n"/>
      <c r="L298" s="47" t="n"/>
      <c r="M298" s="47" t="n"/>
      <c r="N298" s="49">
        <f>IF(A298="","",COUNTIFS('潜水記録'!$S$5:$S$3004,A298,'潜水記録'!$T$5:$T$3004,1))</f>
        <v/>
      </c>
      <c r="O298" s="49">
        <f>IF(A298="","",COUNTIF('潜水記録'!$S$5:$S$3004,A298))</f>
        <v/>
      </c>
    </row>
    <row r="299">
      <c r="A299" s="47" t="n"/>
      <c r="B299" s="48" t="n"/>
      <c r="C299" s="47" t="n"/>
      <c r="D299" s="47" t="n"/>
      <c r="E299" s="47" t="n"/>
      <c r="F299" s="47" t="n"/>
      <c r="G299" s="47" t="n"/>
      <c r="H299" s="47" t="n"/>
      <c r="I299" s="47" t="n"/>
      <c r="J299" s="47" t="n"/>
      <c r="K299" s="47" t="n"/>
      <c r="L299" s="47" t="n"/>
      <c r="M299" s="47" t="n"/>
      <c r="N299" s="49">
        <f>IF(A299="","",COUNTIFS('潜水記録'!$S$5:$S$3004,A299,'潜水記録'!$T$5:$T$3004,1))</f>
        <v/>
      </c>
      <c r="O299" s="49">
        <f>IF(A299="","",COUNTIF('潜水記録'!$S$5:$S$3004,A299))</f>
        <v/>
      </c>
    </row>
    <row r="300">
      <c r="A300" s="47" t="n"/>
      <c r="B300" s="48" t="n"/>
      <c r="C300" s="47" t="n"/>
      <c r="D300" s="47" t="n"/>
      <c r="E300" s="47" t="n"/>
      <c r="F300" s="47" t="n"/>
      <c r="G300" s="47" t="n"/>
      <c r="H300" s="47" t="n"/>
      <c r="I300" s="47" t="n"/>
      <c r="J300" s="47" t="n"/>
      <c r="K300" s="47" t="n"/>
      <c r="L300" s="47" t="n"/>
      <c r="M300" s="47" t="n"/>
      <c r="N300" s="49">
        <f>IF(A300="","",COUNTIFS('潜水記録'!$S$5:$S$3004,A300,'潜水記録'!$T$5:$T$3004,1))</f>
        <v/>
      </c>
      <c r="O300" s="49">
        <f>IF(A300="","",COUNTIF('潜水記録'!$S$5:$S$3004,A300))</f>
        <v/>
      </c>
    </row>
    <row r="301">
      <c r="A301" s="47" t="n"/>
      <c r="B301" s="48" t="n"/>
      <c r="C301" s="47" t="n"/>
      <c r="D301" s="47" t="n"/>
      <c r="E301" s="47" t="n"/>
      <c r="F301" s="47" t="n"/>
      <c r="G301" s="47" t="n"/>
      <c r="H301" s="47" t="n"/>
      <c r="I301" s="47" t="n"/>
      <c r="J301" s="47" t="n"/>
      <c r="K301" s="47" t="n"/>
      <c r="L301" s="47" t="n"/>
      <c r="M301" s="47" t="n"/>
      <c r="N301" s="49">
        <f>IF(A301="","",COUNTIFS('潜水記録'!$S$5:$S$3004,A301,'潜水記録'!$T$5:$T$3004,1))</f>
        <v/>
      </c>
      <c r="O301" s="49">
        <f>IF(A301="","",COUNTIF('潜水記録'!$S$5:$S$3004,A301))</f>
        <v/>
      </c>
    </row>
    <row r="302">
      <c r="A302" s="47" t="n"/>
      <c r="B302" s="48" t="n"/>
      <c r="C302" s="47" t="n"/>
      <c r="D302" s="47" t="n"/>
      <c r="E302" s="47" t="n"/>
      <c r="F302" s="47" t="n"/>
      <c r="G302" s="47" t="n"/>
      <c r="H302" s="47" t="n"/>
      <c r="I302" s="47" t="n"/>
      <c r="J302" s="47" t="n"/>
      <c r="K302" s="47" t="n"/>
      <c r="L302" s="47" t="n"/>
      <c r="M302" s="47" t="n"/>
      <c r="N302" s="49">
        <f>IF(A302="","",COUNTIFS('潜水記録'!$S$5:$S$3004,A302,'潜水記録'!$T$5:$T$3004,1))</f>
        <v/>
      </c>
      <c r="O302" s="49">
        <f>IF(A302="","",COUNTIF('潜水記録'!$S$5:$S$3004,A302))</f>
        <v/>
      </c>
    </row>
    <row r="303">
      <c r="A303" s="47" t="n"/>
      <c r="B303" s="48" t="n"/>
      <c r="C303" s="47" t="n"/>
      <c r="D303" s="47" t="n"/>
      <c r="E303" s="47" t="n"/>
      <c r="F303" s="47" t="n"/>
      <c r="G303" s="47" t="n"/>
      <c r="H303" s="47" t="n"/>
      <c r="I303" s="47" t="n"/>
      <c r="J303" s="47" t="n"/>
      <c r="K303" s="47" t="n"/>
      <c r="L303" s="47" t="n"/>
      <c r="M303" s="47" t="n"/>
      <c r="N303" s="49">
        <f>IF(A303="","",COUNTIFS('潜水記録'!$S$5:$S$3004,A303,'潜水記録'!$T$5:$T$3004,1))</f>
        <v/>
      </c>
      <c r="O303" s="49">
        <f>IF(A303="","",COUNTIF('潜水記録'!$S$5:$S$3004,A303))</f>
        <v/>
      </c>
    </row>
    <row r="304">
      <c r="A304" s="47" t="n"/>
      <c r="B304" s="48" t="n"/>
      <c r="C304" s="47" t="n"/>
      <c r="D304" s="47" t="n"/>
      <c r="E304" s="47" t="n"/>
      <c r="F304" s="47" t="n"/>
      <c r="G304" s="47" t="n"/>
      <c r="H304" s="47" t="n"/>
      <c r="I304" s="47" t="n"/>
      <c r="J304" s="47" t="n"/>
      <c r="K304" s="47" t="n"/>
      <c r="L304" s="47" t="n"/>
      <c r="M304" s="47" t="n"/>
      <c r="N304" s="49">
        <f>IF(A304="","",COUNTIFS('潜水記録'!$S$5:$S$3004,A304,'潜水記録'!$T$5:$T$3004,1))</f>
        <v/>
      </c>
      <c r="O304" s="49">
        <f>IF(A304="","",COUNTIF('潜水記録'!$S$5:$S$3004,A304))</f>
        <v/>
      </c>
    </row>
    <row r="305">
      <c r="A305" s="47" t="n"/>
      <c r="B305" s="48" t="n"/>
      <c r="C305" s="47" t="n"/>
      <c r="D305" s="47" t="n"/>
      <c r="E305" s="47" t="n"/>
      <c r="F305" s="47" t="n"/>
      <c r="G305" s="47" t="n"/>
      <c r="H305" s="47" t="n"/>
      <c r="I305" s="47" t="n"/>
      <c r="J305" s="47" t="n"/>
      <c r="K305" s="47" t="n"/>
      <c r="L305" s="47" t="n"/>
      <c r="M305" s="47" t="n"/>
      <c r="N305" s="49">
        <f>IF(A305="","",COUNTIFS('潜水記録'!$S$5:$S$3004,A305,'潜水記録'!$T$5:$T$3004,1))</f>
        <v/>
      </c>
      <c r="O305" s="49">
        <f>IF(A305="","",COUNTIF('潜水記録'!$S$5:$S$3004,A305))</f>
        <v/>
      </c>
    </row>
    <row r="306">
      <c r="A306" s="47" t="n"/>
      <c r="B306" s="48" t="n"/>
      <c r="C306" s="47" t="n"/>
      <c r="D306" s="47" t="n"/>
      <c r="E306" s="47" t="n"/>
      <c r="F306" s="47" t="n"/>
      <c r="G306" s="47" t="n"/>
      <c r="H306" s="47" t="n"/>
      <c r="I306" s="47" t="n"/>
      <c r="J306" s="47" t="n"/>
      <c r="K306" s="47" t="n"/>
      <c r="L306" s="47" t="n"/>
      <c r="M306" s="47" t="n"/>
      <c r="N306" s="49">
        <f>IF(A306="","",COUNTIFS('潜水記録'!$S$5:$S$3004,A306,'潜水記録'!$T$5:$T$3004,1))</f>
        <v/>
      </c>
      <c r="O306" s="49">
        <f>IF(A306="","",COUNTIF('潜水記録'!$S$5:$S$3004,A306))</f>
        <v/>
      </c>
    </row>
    <row r="307">
      <c r="A307" s="47" t="n"/>
      <c r="B307" s="48" t="n"/>
      <c r="C307" s="47" t="n"/>
      <c r="D307" s="47" t="n"/>
      <c r="E307" s="47" t="n"/>
      <c r="F307" s="47" t="n"/>
      <c r="G307" s="47" t="n"/>
      <c r="H307" s="47" t="n"/>
      <c r="I307" s="47" t="n"/>
      <c r="J307" s="47" t="n"/>
      <c r="K307" s="47" t="n"/>
      <c r="L307" s="47" t="n"/>
      <c r="M307" s="47" t="n"/>
      <c r="N307" s="49">
        <f>IF(A307="","",COUNTIFS('潜水記録'!$S$5:$S$3004,A307,'潜水記録'!$T$5:$T$3004,1))</f>
        <v/>
      </c>
      <c r="O307" s="49">
        <f>IF(A307="","",COUNTIF('潜水記録'!$S$5:$S$3004,A307))</f>
        <v/>
      </c>
    </row>
    <row r="308">
      <c r="A308" s="47" t="n"/>
      <c r="B308" s="48" t="n"/>
      <c r="C308" s="47" t="n"/>
      <c r="D308" s="47" t="n"/>
      <c r="E308" s="47" t="n"/>
      <c r="F308" s="47" t="n"/>
      <c r="G308" s="47" t="n"/>
      <c r="H308" s="47" t="n"/>
      <c r="I308" s="47" t="n"/>
      <c r="J308" s="47" t="n"/>
      <c r="K308" s="47" t="n"/>
      <c r="L308" s="47" t="n"/>
      <c r="M308" s="47" t="n"/>
      <c r="N308" s="49">
        <f>IF(A308="","",COUNTIFS('潜水記録'!$S$5:$S$3004,A308,'潜水記録'!$T$5:$T$3004,1))</f>
        <v/>
      </c>
      <c r="O308" s="49">
        <f>IF(A308="","",COUNTIF('潜水記録'!$S$5:$S$3004,A308))</f>
        <v/>
      </c>
    </row>
    <row r="309">
      <c r="A309" s="47" t="n"/>
      <c r="B309" s="48" t="n"/>
      <c r="C309" s="47" t="n"/>
      <c r="D309" s="47" t="n"/>
      <c r="E309" s="47" t="n"/>
      <c r="F309" s="47" t="n"/>
      <c r="G309" s="47" t="n"/>
      <c r="H309" s="47" t="n"/>
      <c r="I309" s="47" t="n"/>
      <c r="J309" s="47" t="n"/>
      <c r="K309" s="47" t="n"/>
      <c r="L309" s="47" t="n"/>
      <c r="M309" s="47" t="n"/>
      <c r="N309" s="49">
        <f>IF(A309="","",COUNTIFS('潜水記録'!$S$5:$S$3004,A309,'潜水記録'!$T$5:$T$3004,1))</f>
        <v/>
      </c>
      <c r="O309" s="49">
        <f>IF(A309="","",COUNTIF('潜水記録'!$S$5:$S$3004,A309))</f>
        <v/>
      </c>
    </row>
    <row r="310">
      <c r="A310" s="47" t="n"/>
      <c r="B310" s="48" t="n"/>
      <c r="C310" s="47" t="n"/>
      <c r="D310" s="47" t="n"/>
      <c r="E310" s="47" t="n"/>
      <c r="F310" s="47" t="n"/>
      <c r="G310" s="47" t="n"/>
      <c r="H310" s="47" t="n"/>
      <c r="I310" s="47" t="n"/>
      <c r="J310" s="47" t="n"/>
      <c r="K310" s="47" t="n"/>
      <c r="L310" s="47" t="n"/>
      <c r="M310" s="47" t="n"/>
      <c r="N310" s="49">
        <f>IF(A310="","",COUNTIFS('潜水記録'!$S$5:$S$3004,A310,'潜水記録'!$T$5:$T$3004,1))</f>
        <v/>
      </c>
      <c r="O310" s="49">
        <f>IF(A310="","",COUNTIF('潜水記録'!$S$5:$S$3004,A310))</f>
        <v/>
      </c>
    </row>
    <row r="311">
      <c r="A311" s="47" t="n"/>
      <c r="B311" s="48" t="n"/>
      <c r="C311" s="47" t="n"/>
      <c r="D311" s="47" t="n"/>
      <c r="E311" s="47" t="n"/>
      <c r="F311" s="47" t="n"/>
      <c r="G311" s="47" t="n"/>
      <c r="H311" s="47" t="n"/>
      <c r="I311" s="47" t="n"/>
      <c r="J311" s="47" t="n"/>
      <c r="K311" s="47" t="n"/>
      <c r="L311" s="47" t="n"/>
      <c r="M311" s="47" t="n"/>
      <c r="N311" s="49">
        <f>IF(A311="","",COUNTIFS('潜水記録'!$S$5:$S$3004,A311,'潜水記録'!$T$5:$T$3004,1))</f>
        <v/>
      </c>
      <c r="O311" s="49">
        <f>IF(A311="","",COUNTIF('潜水記録'!$S$5:$S$3004,A311))</f>
        <v/>
      </c>
    </row>
    <row r="312">
      <c r="A312" s="47" t="n"/>
      <c r="B312" s="48" t="n"/>
      <c r="C312" s="47" t="n"/>
      <c r="D312" s="47" t="n"/>
      <c r="E312" s="47" t="n"/>
      <c r="F312" s="47" t="n"/>
      <c r="G312" s="47" t="n"/>
      <c r="H312" s="47" t="n"/>
      <c r="I312" s="47" t="n"/>
      <c r="J312" s="47" t="n"/>
      <c r="K312" s="47" t="n"/>
      <c r="L312" s="47" t="n"/>
      <c r="M312" s="47" t="n"/>
      <c r="N312" s="49">
        <f>IF(A312="","",COUNTIFS('潜水記録'!$S$5:$S$3004,A312,'潜水記録'!$T$5:$T$3004,1))</f>
        <v/>
      </c>
      <c r="O312" s="49">
        <f>IF(A312="","",COUNTIF('潜水記録'!$S$5:$S$3004,A312))</f>
        <v/>
      </c>
    </row>
    <row r="313">
      <c r="A313" s="47" t="n"/>
      <c r="B313" s="48" t="n"/>
      <c r="C313" s="47" t="n"/>
      <c r="D313" s="47" t="n"/>
      <c r="E313" s="47" t="n"/>
      <c r="F313" s="47" t="n"/>
      <c r="G313" s="47" t="n"/>
      <c r="H313" s="47" t="n"/>
      <c r="I313" s="47" t="n"/>
      <c r="J313" s="47" t="n"/>
      <c r="K313" s="47" t="n"/>
      <c r="L313" s="47" t="n"/>
      <c r="M313" s="47" t="n"/>
      <c r="N313" s="49">
        <f>IF(A313="","",COUNTIFS('潜水記録'!$S$5:$S$3004,A313,'潜水記録'!$T$5:$T$3004,1))</f>
        <v/>
      </c>
      <c r="O313" s="49">
        <f>IF(A313="","",COUNTIF('潜水記録'!$S$5:$S$3004,A313))</f>
        <v/>
      </c>
    </row>
    <row r="314">
      <c r="A314" s="47" t="n"/>
      <c r="B314" s="48" t="n"/>
      <c r="C314" s="47" t="n"/>
      <c r="D314" s="47" t="n"/>
      <c r="E314" s="47" t="n"/>
      <c r="F314" s="47" t="n"/>
      <c r="G314" s="47" t="n"/>
      <c r="H314" s="47" t="n"/>
      <c r="I314" s="47" t="n"/>
      <c r="J314" s="47" t="n"/>
      <c r="K314" s="47" t="n"/>
      <c r="L314" s="47" t="n"/>
      <c r="M314" s="47" t="n"/>
      <c r="N314" s="49">
        <f>IF(A314="","",COUNTIFS('潜水記録'!$S$5:$S$3004,A314,'潜水記録'!$T$5:$T$3004,1))</f>
        <v/>
      </c>
      <c r="O314" s="49">
        <f>IF(A314="","",COUNTIF('潜水記録'!$S$5:$S$3004,A314))</f>
        <v/>
      </c>
    </row>
    <row r="315">
      <c r="A315" s="47" t="n"/>
      <c r="B315" s="48" t="n"/>
      <c r="C315" s="47" t="n"/>
      <c r="D315" s="47" t="n"/>
      <c r="E315" s="47" t="n"/>
      <c r="F315" s="47" t="n"/>
      <c r="G315" s="47" t="n"/>
      <c r="H315" s="47" t="n"/>
      <c r="I315" s="47" t="n"/>
      <c r="J315" s="47" t="n"/>
      <c r="K315" s="47" t="n"/>
      <c r="L315" s="47" t="n"/>
      <c r="M315" s="47" t="n"/>
      <c r="N315" s="49">
        <f>IF(A315="","",COUNTIFS('潜水記録'!$S$5:$S$3004,A315,'潜水記録'!$T$5:$T$3004,1))</f>
        <v/>
      </c>
      <c r="O315" s="49">
        <f>IF(A315="","",COUNTIF('潜水記録'!$S$5:$S$3004,A315))</f>
        <v/>
      </c>
    </row>
    <row r="316">
      <c r="A316" s="47" t="n"/>
      <c r="B316" s="48" t="n"/>
      <c r="C316" s="47" t="n"/>
      <c r="D316" s="47" t="n"/>
      <c r="E316" s="47" t="n"/>
      <c r="F316" s="47" t="n"/>
      <c r="G316" s="47" t="n"/>
      <c r="H316" s="47" t="n"/>
      <c r="I316" s="47" t="n"/>
      <c r="J316" s="47" t="n"/>
      <c r="K316" s="47" t="n"/>
      <c r="L316" s="47" t="n"/>
      <c r="M316" s="47" t="n"/>
      <c r="N316" s="49">
        <f>IF(A316="","",COUNTIFS('潜水記録'!$S$5:$S$3004,A316,'潜水記録'!$T$5:$T$3004,1))</f>
        <v/>
      </c>
      <c r="O316" s="49">
        <f>IF(A316="","",COUNTIF('潜水記録'!$S$5:$S$3004,A316))</f>
        <v/>
      </c>
    </row>
    <row r="317">
      <c r="A317" s="47" t="n"/>
      <c r="B317" s="48" t="n"/>
      <c r="C317" s="47" t="n"/>
      <c r="D317" s="47" t="n"/>
      <c r="E317" s="47" t="n"/>
      <c r="F317" s="47" t="n"/>
      <c r="G317" s="47" t="n"/>
      <c r="H317" s="47" t="n"/>
      <c r="I317" s="47" t="n"/>
      <c r="J317" s="47" t="n"/>
      <c r="K317" s="47" t="n"/>
      <c r="L317" s="47" t="n"/>
      <c r="M317" s="47" t="n"/>
      <c r="N317" s="49">
        <f>IF(A317="","",COUNTIFS('潜水記録'!$S$5:$S$3004,A317,'潜水記録'!$T$5:$T$3004,1))</f>
        <v/>
      </c>
      <c r="O317" s="49">
        <f>IF(A317="","",COUNTIF('潜水記録'!$S$5:$S$3004,A317))</f>
        <v/>
      </c>
    </row>
    <row r="318">
      <c r="A318" s="47" t="n"/>
      <c r="B318" s="48" t="n"/>
      <c r="C318" s="47" t="n"/>
      <c r="D318" s="47" t="n"/>
      <c r="E318" s="47" t="n"/>
      <c r="F318" s="47" t="n"/>
      <c r="G318" s="47" t="n"/>
      <c r="H318" s="47" t="n"/>
      <c r="I318" s="47" t="n"/>
      <c r="J318" s="47" t="n"/>
      <c r="K318" s="47" t="n"/>
      <c r="L318" s="47" t="n"/>
      <c r="M318" s="47" t="n"/>
      <c r="N318" s="49">
        <f>IF(A318="","",COUNTIFS('潜水記録'!$S$5:$S$3004,A318,'潜水記録'!$T$5:$T$3004,1))</f>
        <v/>
      </c>
      <c r="O318" s="49">
        <f>IF(A318="","",COUNTIF('潜水記録'!$S$5:$S$3004,A318))</f>
        <v/>
      </c>
    </row>
    <row r="319">
      <c r="A319" s="47" t="n"/>
      <c r="B319" s="48" t="n"/>
      <c r="C319" s="47" t="n"/>
      <c r="D319" s="47" t="n"/>
      <c r="E319" s="47" t="n"/>
      <c r="F319" s="47" t="n"/>
      <c r="G319" s="47" t="n"/>
      <c r="H319" s="47" t="n"/>
      <c r="I319" s="47" t="n"/>
      <c r="J319" s="47" t="n"/>
      <c r="K319" s="47" t="n"/>
      <c r="L319" s="47" t="n"/>
      <c r="M319" s="47" t="n"/>
      <c r="N319" s="49">
        <f>IF(A319="","",COUNTIFS('潜水記録'!$S$5:$S$3004,A319,'潜水記録'!$T$5:$T$3004,1))</f>
        <v/>
      </c>
      <c r="O319" s="49">
        <f>IF(A319="","",COUNTIF('潜水記録'!$S$5:$S$3004,A319))</f>
        <v/>
      </c>
    </row>
    <row r="320">
      <c r="A320" s="47" t="n"/>
      <c r="B320" s="48" t="n"/>
      <c r="C320" s="47" t="n"/>
      <c r="D320" s="47" t="n"/>
      <c r="E320" s="47" t="n"/>
      <c r="F320" s="47" t="n"/>
      <c r="G320" s="47" t="n"/>
      <c r="H320" s="47" t="n"/>
      <c r="I320" s="47" t="n"/>
      <c r="J320" s="47" t="n"/>
      <c r="K320" s="47" t="n"/>
      <c r="L320" s="47" t="n"/>
      <c r="M320" s="47" t="n"/>
      <c r="N320" s="49">
        <f>IF(A320="","",COUNTIFS('潜水記録'!$S$5:$S$3004,A320,'潜水記録'!$T$5:$T$3004,1))</f>
        <v/>
      </c>
      <c r="O320" s="49">
        <f>IF(A320="","",COUNTIF('潜水記録'!$S$5:$S$3004,A320))</f>
        <v/>
      </c>
    </row>
    <row r="321">
      <c r="A321" s="47" t="n"/>
      <c r="B321" s="48" t="n"/>
      <c r="C321" s="47" t="n"/>
      <c r="D321" s="47" t="n"/>
      <c r="E321" s="47" t="n"/>
      <c r="F321" s="47" t="n"/>
      <c r="G321" s="47" t="n"/>
      <c r="H321" s="47" t="n"/>
      <c r="I321" s="47" t="n"/>
      <c r="J321" s="47" t="n"/>
      <c r="K321" s="47" t="n"/>
      <c r="L321" s="47" t="n"/>
      <c r="M321" s="47" t="n"/>
      <c r="N321" s="49">
        <f>IF(A321="","",COUNTIFS('潜水記録'!$S$5:$S$3004,A321,'潜水記録'!$T$5:$T$3004,1))</f>
        <v/>
      </c>
      <c r="O321" s="49">
        <f>IF(A321="","",COUNTIF('潜水記録'!$S$5:$S$3004,A321))</f>
        <v/>
      </c>
    </row>
    <row r="322">
      <c r="A322" s="47" t="n"/>
      <c r="B322" s="48" t="n"/>
      <c r="C322" s="47" t="n"/>
      <c r="D322" s="47" t="n"/>
      <c r="E322" s="47" t="n"/>
      <c r="F322" s="47" t="n"/>
      <c r="G322" s="47" t="n"/>
      <c r="H322" s="47" t="n"/>
      <c r="I322" s="47" t="n"/>
      <c r="J322" s="47" t="n"/>
      <c r="K322" s="47" t="n"/>
      <c r="L322" s="47" t="n"/>
      <c r="M322" s="47" t="n"/>
      <c r="N322" s="49">
        <f>IF(A322="","",COUNTIFS('潜水記録'!$S$5:$S$3004,A322,'潜水記録'!$T$5:$T$3004,1))</f>
        <v/>
      </c>
      <c r="O322" s="49">
        <f>IF(A322="","",COUNTIF('潜水記録'!$S$5:$S$3004,A322))</f>
        <v/>
      </c>
    </row>
    <row r="323">
      <c r="A323" s="47" t="n"/>
      <c r="B323" s="48" t="n"/>
      <c r="C323" s="47" t="n"/>
      <c r="D323" s="47" t="n"/>
      <c r="E323" s="47" t="n"/>
      <c r="F323" s="47" t="n"/>
      <c r="G323" s="47" t="n"/>
      <c r="H323" s="47" t="n"/>
      <c r="I323" s="47" t="n"/>
      <c r="J323" s="47" t="n"/>
      <c r="K323" s="47" t="n"/>
      <c r="L323" s="47" t="n"/>
      <c r="M323" s="47" t="n"/>
      <c r="N323" s="49">
        <f>IF(A323="","",COUNTIFS('潜水記録'!$S$5:$S$3004,A323,'潜水記録'!$T$5:$T$3004,1))</f>
        <v/>
      </c>
      <c r="O323" s="49">
        <f>IF(A323="","",COUNTIF('潜水記録'!$S$5:$S$3004,A323))</f>
        <v/>
      </c>
    </row>
    <row r="324">
      <c r="A324" s="47" t="n"/>
      <c r="B324" s="48" t="n"/>
      <c r="C324" s="47" t="n"/>
      <c r="D324" s="47" t="n"/>
      <c r="E324" s="47" t="n"/>
      <c r="F324" s="47" t="n"/>
      <c r="G324" s="47" t="n"/>
      <c r="H324" s="47" t="n"/>
      <c r="I324" s="47" t="n"/>
      <c r="J324" s="47" t="n"/>
      <c r="K324" s="47" t="n"/>
      <c r="L324" s="47" t="n"/>
      <c r="M324" s="47" t="n"/>
      <c r="N324" s="49">
        <f>IF(A324="","",COUNTIFS('潜水記録'!$S$5:$S$3004,A324,'潜水記録'!$T$5:$T$3004,1))</f>
        <v/>
      </c>
      <c r="O324" s="49">
        <f>IF(A324="","",COUNTIF('潜水記録'!$S$5:$S$3004,A324))</f>
        <v/>
      </c>
    </row>
    <row r="325">
      <c r="A325" s="47" t="n"/>
      <c r="B325" s="48" t="n"/>
      <c r="C325" s="47" t="n"/>
      <c r="D325" s="47" t="n"/>
      <c r="E325" s="47" t="n"/>
      <c r="F325" s="47" t="n"/>
      <c r="G325" s="47" t="n"/>
      <c r="H325" s="47" t="n"/>
      <c r="I325" s="47" t="n"/>
      <c r="J325" s="47" t="n"/>
      <c r="K325" s="47" t="n"/>
      <c r="L325" s="47" t="n"/>
      <c r="M325" s="47" t="n"/>
      <c r="N325" s="49">
        <f>IF(A325="","",COUNTIFS('潜水記録'!$S$5:$S$3004,A325,'潜水記録'!$T$5:$T$3004,1))</f>
        <v/>
      </c>
      <c r="O325" s="49">
        <f>IF(A325="","",COUNTIF('潜水記録'!$S$5:$S$3004,A325))</f>
        <v/>
      </c>
    </row>
    <row r="326">
      <c r="A326" s="47" t="n"/>
      <c r="B326" s="48" t="n"/>
      <c r="C326" s="47" t="n"/>
      <c r="D326" s="47" t="n"/>
      <c r="E326" s="47" t="n"/>
      <c r="F326" s="47" t="n"/>
      <c r="G326" s="47" t="n"/>
      <c r="H326" s="47" t="n"/>
      <c r="I326" s="47" t="n"/>
      <c r="J326" s="47" t="n"/>
      <c r="K326" s="47" t="n"/>
      <c r="L326" s="47" t="n"/>
      <c r="M326" s="47" t="n"/>
      <c r="N326" s="49">
        <f>IF(A326="","",COUNTIFS('潜水記録'!$S$5:$S$3004,A326,'潜水記録'!$T$5:$T$3004,1))</f>
        <v/>
      </c>
      <c r="O326" s="49">
        <f>IF(A326="","",COUNTIF('潜水記録'!$S$5:$S$3004,A326))</f>
        <v/>
      </c>
    </row>
    <row r="327">
      <c r="A327" s="47" t="n"/>
      <c r="B327" s="48" t="n"/>
      <c r="C327" s="47" t="n"/>
      <c r="D327" s="47" t="n"/>
      <c r="E327" s="47" t="n"/>
      <c r="F327" s="47" t="n"/>
      <c r="G327" s="47" t="n"/>
      <c r="H327" s="47" t="n"/>
      <c r="I327" s="47" t="n"/>
      <c r="J327" s="47" t="n"/>
      <c r="K327" s="47" t="n"/>
      <c r="L327" s="47" t="n"/>
      <c r="M327" s="47" t="n"/>
      <c r="N327" s="49">
        <f>IF(A327="","",COUNTIFS('潜水記録'!$S$5:$S$3004,A327,'潜水記録'!$T$5:$T$3004,1))</f>
        <v/>
      </c>
      <c r="O327" s="49">
        <f>IF(A327="","",COUNTIF('潜水記録'!$S$5:$S$3004,A327))</f>
        <v/>
      </c>
    </row>
    <row r="328">
      <c r="A328" s="47" t="n"/>
      <c r="B328" s="48" t="n"/>
      <c r="C328" s="47" t="n"/>
      <c r="D328" s="47" t="n"/>
      <c r="E328" s="47" t="n"/>
      <c r="F328" s="47" t="n"/>
      <c r="G328" s="47" t="n"/>
      <c r="H328" s="47" t="n"/>
      <c r="I328" s="47" t="n"/>
      <c r="J328" s="47" t="n"/>
      <c r="K328" s="47" t="n"/>
      <c r="L328" s="47" t="n"/>
      <c r="M328" s="47" t="n"/>
      <c r="N328" s="49">
        <f>IF(A328="","",COUNTIFS('潜水記録'!$S$5:$S$3004,A328,'潜水記録'!$T$5:$T$3004,1))</f>
        <v/>
      </c>
      <c r="O328" s="49">
        <f>IF(A328="","",COUNTIF('潜水記録'!$S$5:$S$3004,A328))</f>
        <v/>
      </c>
    </row>
    <row r="329">
      <c r="A329" s="47" t="n"/>
      <c r="B329" s="48" t="n"/>
      <c r="C329" s="47" t="n"/>
      <c r="D329" s="47" t="n"/>
      <c r="E329" s="47" t="n"/>
      <c r="F329" s="47" t="n"/>
      <c r="G329" s="47" t="n"/>
      <c r="H329" s="47" t="n"/>
      <c r="I329" s="47" t="n"/>
      <c r="J329" s="47" t="n"/>
      <c r="K329" s="47" t="n"/>
      <c r="L329" s="47" t="n"/>
      <c r="M329" s="47" t="n"/>
      <c r="N329" s="49">
        <f>IF(A329="","",COUNTIFS('潜水記録'!$S$5:$S$3004,A329,'潜水記録'!$T$5:$T$3004,1))</f>
        <v/>
      </c>
      <c r="O329" s="49">
        <f>IF(A329="","",COUNTIF('潜水記録'!$S$5:$S$3004,A329))</f>
        <v/>
      </c>
    </row>
    <row r="330">
      <c r="A330" s="47" t="n"/>
      <c r="B330" s="48" t="n"/>
      <c r="C330" s="47" t="n"/>
      <c r="D330" s="47" t="n"/>
      <c r="E330" s="47" t="n"/>
      <c r="F330" s="47" t="n"/>
      <c r="G330" s="47" t="n"/>
      <c r="H330" s="47" t="n"/>
      <c r="I330" s="47" t="n"/>
      <c r="J330" s="47" t="n"/>
      <c r="K330" s="47" t="n"/>
      <c r="L330" s="47" t="n"/>
      <c r="M330" s="47" t="n"/>
      <c r="N330" s="49">
        <f>IF(A330="","",COUNTIFS('潜水記録'!$S$5:$S$3004,A330,'潜水記録'!$T$5:$T$3004,1))</f>
        <v/>
      </c>
      <c r="O330" s="49">
        <f>IF(A330="","",COUNTIF('潜水記録'!$S$5:$S$3004,A330))</f>
        <v/>
      </c>
    </row>
    <row r="331">
      <c r="A331" s="47" t="n"/>
      <c r="B331" s="48" t="n"/>
      <c r="C331" s="47" t="n"/>
      <c r="D331" s="47" t="n"/>
      <c r="E331" s="47" t="n"/>
      <c r="F331" s="47" t="n"/>
      <c r="G331" s="47" t="n"/>
      <c r="H331" s="47" t="n"/>
      <c r="I331" s="47" t="n"/>
      <c r="J331" s="47" t="n"/>
      <c r="K331" s="47" t="n"/>
      <c r="L331" s="47" t="n"/>
      <c r="M331" s="47" t="n"/>
      <c r="N331" s="49">
        <f>IF(A331="","",COUNTIFS('潜水記録'!$S$5:$S$3004,A331,'潜水記録'!$T$5:$T$3004,1))</f>
        <v/>
      </c>
      <c r="O331" s="49">
        <f>IF(A331="","",COUNTIF('潜水記録'!$S$5:$S$3004,A331))</f>
        <v/>
      </c>
    </row>
    <row r="332">
      <c r="A332" s="47" t="n"/>
      <c r="B332" s="48" t="n"/>
      <c r="C332" s="47" t="n"/>
      <c r="D332" s="47" t="n"/>
      <c r="E332" s="47" t="n"/>
      <c r="F332" s="47" t="n"/>
      <c r="G332" s="47" t="n"/>
      <c r="H332" s="47" t="n"/>
      <c r="I332" s="47" t="n"/>
      <c r="J332" s="47" t="n"/>
      <c r="K332" s="47" t="n"/>
      <c r="L332" s="47" t="n"/>
      <c r="M332" s="47" t="n"/>
      <c r="N332" s="49">
        <f>IF(A332="","",COUNTIFS('潜水記録'!$S$5:$S$3004,A332,'潜水記録'!$T$5:$T$3004,1))</f>
        <v/>
      </c>
      <c r="O332" s="49">
        <f>IF(A332="","",COUNTIF('潜水記録'!$S$5:$S$3004,A332))</f>
        <v/>
      </c>
    </row>
    <row r="333">
      <c r="A333" s="47" t="n"/>
      <c r="B333" s="48" t="n"/>
      <c r="C333" s="47" t="n"/>
      <c r="D333" s="47" t="n"/>
      <c r="E333" s="47" t="n"/>
      <c r="F333" s="47" t="n"/>
      <c r="G333" s="47" t="n"/>
      <c r="H333" s="47" t="n"/>
      <c r="I333" s="47" t="n"/>
      <c r="J333" s="47" t="n"/>
      <c r="K333" s="47" t="n"/>
      <c r="L333" s="47" t="n"/>
      <c r="M333" s="47" t="n"/>
      <c r="N333" s="49">
        <f>IF(A333="","",COUNTIFS('潜水記録'!$S$5:$S$3004,A333,'潜水記録'!$T$5:$T$3004,1))</f>
        <v/>
      </c>
      <c r="O333" s="49">
        <f>IF(A333="","",COUNTIF('潜水記録'!$S$5:$S$3004,A333))</f>
        <v/>
      </c>
    </row>
    <row r="334">
      <c r="A334" s="47" t="n"/>
      <c r="B334" s="48" t="n"/>
      <c r="C334" s="47" t="n"/>
      <c r="D334" s="47" t="n"/>
      <c r="E334" s="47" t="n"/>
      <c r="F334" s="47" t="n"/>
      <c r="G334" s="47" t="n"/>
      <c r="H334" s="47" t="n"/>
      <c r="I334" s="47" t="n"/>
      <c r="J334" s="47" t="n"/>
      <c r="K334" s="47" t="n"/>
      <c r="L334" s="47" t="n"/>
      <c r="M334" s="47" t="n"/>
      <c r="N334" s="49">
        <f>IF(A334="","",COUNTIFS('潜水記録'!$S$5:$S$3004,A334,'潜水記録'!$T$5:$T$3004,1))</f>
        <v/>
      </c>
      <c r="O334" s="49">
        <f>IF(A334="","",COUNTIF('潜水記録'!$S$5:$S$3004,A334))</f>
        <v/>
      </c>
    </row>
    <row r="335">
      <c r="A335" s="47" t="n"/>
      <c r="B335" s="48" t="n"/>
      <c r="C335" s="47" t="n"/>
      <c r="D335" s="47" t="n"/>
      <c r="E335" s="47" t="n"/>
      <c r="F335" s="47" t="n"/>
      <c r="G335" s="47" t="n"/>
      <c r="H335" s="47" t="n"/>
      <c r="I335" s="47" t="n"/>
      <c r="J335" s="47" t="n"/>
      <c r="K335" s="47" t="n"/>
      <c r="L335" s="47" t="n"/>
      <c r="M335" s="47" t="n"/>
      <c r="N335" s="49">
        <f>IF(A335="","",COUNTIFS('潜水記録'!$S$5:$S$3004,A335,'潜水記録'!$T$5:$T$3004,1))</f>
        <v/>
      </c>
      <c r="O335" s="49">
        <f>IF(A335="","",COUNTIF('潜水記録'!$S$5:$S$3004,A335))</f>
        <v/>
      </c>
    </row>
    <row r="336">
      <c r="A336" s="47" t="n"/>
      <c r="B336" s="48" t="n"/>
      <c r="C336" s="47" t="n"/>
      <c r="D336" s="47" t="n"/>
      <c r="E336" s="47" t="n"/>
      <c r="F336" s="47" t="n"/>
      <c r="G336" s="47" t="n"/>
      <c r="H336" s="47" t="n"/>
      <c r="I336" s="47" t="n"/>
      <c r="J336" s="47" t="n"/>
      <c r="K336" s="47" t="n"/>
      <c r="L336" s="47" t="n"/>
      <c r="M336" s="47" t="n"/>
      <c r="N336" s="49">
        <f>IF(A336="","",COUNTIFS('潜水記録'!$S$5:$S$3004,A336,'潜水記録'!$T$5:$T$3004,1))</f>
        <v/>
      </c>
      <c r="O336" s="49">
        <f>IF(A336="","",COUNTIF('潜水記録'!$S$5:$S$3004,A336))</f>
        <v/>
      </c>
    </row>
    <row r="337">
      <c r="A337" s="47" t="n"/>
      <c r="B337" s="48" t="n"/>
      <c r="C337" s="47" t="n"/>
      <c r="D337" s="47" t="n"/>
      <c r="E337" s="47" t="n"/>
      <c r="F337" s="47" t="n"/>
      <c r="G337" s="47" t="n"/>
      <c r="H337" s="47" t="n"/>
      <c r="I337" s="47" t="n"/>
      <c r="J337" s="47" t="n"/>
      <c r="K337" s="47" t="n"/>
      <c r="L337" s="47" t="n"/>
      <c r="M337" s="47" t="n"/>
      <c r="N337" s="49">
        <f>IF(A337="","",COUNTIFS('潜水記録'!$S$5:$S$3004,A337,'潜水記録'!$T$5:$T$3004,1))</f>
        <v/>
      </c>
      <c r="O337" s="49">
        <f>IF(A337="","",COUNTIF('潜水記録'!$S$5:$S$3004,A337))</f>
        <v/>
      </c>
    </row>
    <row r="338">
      <c r="A338" s="47" t="n"/>
      <c r="B338" s="48" t="n"/>
      <c r="C338" s="47" t="n"/>
      <c r="D338" s="47" t="n"/>
      <c r="E338" s="47" t="n"/>
      <c r="F338" s="47" t="n"/>
      <c r="G338" s="47" t="n"/>
      <c r="H338" s="47" t="n"/>
      <c r="I338" s="47" t="n"/>
      <c r="J338" s="47" t="n"/>
      <c r="K338" s="47" t="n"/>
      <c r="L338" s="47" t="n"/>
      <c r="M338" s="47" t="n"/>
      <c r="N338" s="49">
        <f>IF(A338="","",COUNTIFS('潜水記録'!$S$5:$S$3004,A338,'潜水記録'!$T$5:$T$3004,1))</f>
        <v/>
      </c>
      <c r="O338" s="49">
        <f>IF(A338="","",COUNTIF('潜水記録'!$S$5:$S$3004,A338))</f>
        <v/>
      </c>
    </row>
    <row r="339">
      <c r="A339" s="47" t="n"/>
      <c r="B339" s="48" t="n"/>
      <c r="C339" s="47" t="n"/>
      <c r="D339" s="47" t="n"/>
      <c r="E339" s="47" t="n"/>
      <c r="F339" s="47" t="n"/>
      <c r="G339" s="47" t="n"/>
      <c r="H339" s="47" t="n"/>
      <c r="I339" s="47" t="n"/>
      <c r="J339" s="47" t="n"/>
      <c r="K339" s="47" t="n"/>
      <c r="L339" s="47" t="n"/>
      <c r="M339" s="47" t="n"/>
      <c r="N339" s="49">
        <f>IF(A339="","",COUNTIFS('潜水記録'!$S$5:$S$3004,A339,'潜水記録'!$T$5:$T$3004,1))</f>
        <v/>
      </c>
      <c r="O339" s="49">
        <f>IF(A339="","",COUNTIF('潜水記録'!$S$5:$S$3004,A339))</f>
        <v/>
      </c>
    </row>
    <row r="340">
      <c r="A340" s="47" t="n"/>
      <c r="B340" s="48" t="n"/>
      <c r="C340" s="47" t="n"/>
      <c r="D340" s="47" t="n"/>
      <c r="E340" s="47" t="n"/>
      <c r="F340" s="47" t="n"/>
      <c r="G340" s="47" t="n"/>
      <c r="H340" s="47" t="n"/>
      <c r="I340" s="47" t="n"/>
      <c r="J340" s="47" t="n"/>
      <c r="K340" s="47" t="n"/>
      <c r="L340" s="47" t="n"/>
      <c r="M340" s="47" t="n"/>
      <c r="N340" s="49">
        <f>IF(A340="","",COUNTIFS('潜水記録'!$S$5:$S$3004,A340,'潜水記録'!$T$5:$T$3004,1))</f>
        <v/>
      </c>
      <c r="O340" s="49">
        <f>IF(A340="","",COUNTIF('潜水記録'!$S$5:$S$3004,A340))</f>
        <v/>
      </c>
    </row>
    <row r="341">
      <c r="A341" s="47" t="n"/>
      <c r="B341" s="48" t="n"/>
      <c r="C341" s="47" t="n"/>
      <c r="D341" s="47" t="n"/>
      <c r="E341" s="47" t="n"/>
      <c r="F341" s="47" t="n"/>
      <c r="G341" s="47" t="n"/>
      <c r="H341" s="47" t="n"/>
      <c r="I341" s="47" t="n"/>
      <c r="J341" s="47" t="n"/>
      <c r="K341" s="47" t="n"/>
      <c r="L341" s="47" t="n"/>
      <c r="M341" s="47" t="n"/>
      <c r="N341" s="49">
        <f>IF(A341="","",COUNTIFS('潜水記録'!$S$5:$S$3004,A341,'潜水記録'!$T$5:$T$3004,1))</f>
        <v/>
      </c>
      <c r="O341" s="49">
        <f>IF(A341="","",COUNTIF('潜水記録'!$S$5:$S$3004,A341))</f>
        <v/>
      </c>
    </row>
    <row r="342">
      <c r="A342" s="47" t="n"/>
      <c r="B342" s="48" t="n"/>
      <c r="C342" s="47" t="n"/>
      <c r="D342" s="47" t="n"/>
      <c r="E342" s="47" t="n"/>
      <c r="F342" s="47" t="n"/>
      <c r="G342" s="47" t="n"/>
      <c r="H342" s="47" t="n"/>
      <c r="I342" s="47" t="n"/>
      <c r="J342" s="47" t="n"/>
      <c r="K342" s="47" t="n"/>
      <c r="L342" s="47" t="n"/>
      <c r="M342" s="47" t="n"/>
      <c r="N342" s="49">
        <f>IF(A342="","",COUNTIFS('潜水記録'!$S$5:$S$3004,A342,'潜水記録'!$T$5:$T$3004,1))</f>
        <v/>
      </c>
      <c r="O342" s="49">
        <f>IF(A342="","",COUNTIF('潜水記録'!$S$5:$S$3004,A342))</f>
        <v/>
      </c>
    </row>
    <row r="343">
      <c r="A343" s="47" t="n"/>
      <c r="B343" s="48" t="n"/>
      <c r="C343" s="47" t="n"/>
      <c r="D343" s="47" t="n"/>
      <c r="E343" s="47" t="n"/>
      <c r="F343" s="47" t="n"/>
      <c r="G343" s="47" t="n"/>
      <c r="H343" s="47" t="n"/>
      <c r="I343" s="47" t="n"/>
      <c r="J343" s="47" t="n"/>
      <c r="K343" s="47" t="n"/>
      <c r="L343" s="47" t="n"/>
      <c r="M343" s="47" t="n"/>
      <c r="N343" s="49">
        <f>IF(A343="","",COUNTIFS('潜水記録'!$S$5:$S$3004,A343,'潜水記録'!$T$5:$T$3004,1))</f>
        <v/>
      </c>
      <c r="O343" s="49">
        <f>IF(A343="","",COUNTIF('潜水記録'!$S$5:$S$3004,A343))</f>
        <v/>
      </c>
    </row>
    <row r="344">
      <c r="A344" s="47" t="n"/>
      <c r="B344" s="48" t="n"/>
      <c r="C344" s="47" t="n"/>
      <c r="D344" s="47" t="n"/>
      <c r="E344" s="47" t="n"/>
      <c r="F344" s="47" t="n"/>
      <c r="G344" s="47" t="n"/>
      <c r="H344" s="47" t="n"/>
      <c r="I344" s="47" t="n"/>
      <c r="J344" s="47" t="n"/>
      <c r="K344" s="47" t="n"/>
      <c r="L344" s="47" t="n"/>
      <c r="M344" s="47" t="n"/>
      <c r="N344" s="49">
        <f>IF(A344="","",COUNTIFS('潜水記録'!$S$5:$S$3004,A344,'潜水記録'!$T$5:$T$3004,1))</f>
        <v/>
      </c>
      <c r="O344" s="49">
        <f>IF(A344="","",COUNTIF('潜水記録'!$S$5:$S$3004,A344))</f>
        <v/>
      </c>
    </row>
    <row r="345">
      <c r="A345" s="47" t="n"/>
      <c r="B345" s="48" t="n"/>
      <c r="C345" s="47" t="n"/>
      <c r="D345" s="47" t="n"/>
      <c r="E345" s="47" t="n"/>
      <c r="F345" s="47" t="n"/>
      <c r="G345" s="47" t="n"/>
      <c r="H345" s="47" t="n"/>
      <c r="I345" s="47" t="n"/>
      <c r="J345" s="47" t="n"/>
      <c r="K345" s="47" t="n"/>
      <c r="L345" s="47" t="n"/>
      <c r="M345" s="47" t="n"/>
      <c r="N345" s="49">
        <f>IF(A345="","",COUNTIFS('潜水記録'!$S$5:$S$3004,A345,'潜水記録'!$T$5:$T$3004,1))</f>
        <v/>
      </c>
      <c r="O345" s="49">
        <f>IF(A345="","",COUNTIF('潜水記録'!$S$5:$S$3004,A345))</f>
        <v/>
      </c>
    </row>
    <row r="346">
      <c r="A346" s="47" t="n"/>
      <c r="B346" s="48" t="n"/>
      <c r="C346" s="47" t="n"/>
      <c r="D346" s="47" t="n"/>
      <c r="E346" s="47" t="n"/>
      <c r="F346" s="47" t="n"/>
      <c r="G346" s="47" t="n"/>
      <c r="H346" s="47" t="n"/>
      <c r="I346" s="47" t="n"/>
      <c r="J346" s="47" t="n"/>
      <c r="K346" s="47" t="n"/>
      <c r="L346" s="47" t="n"/>
      <c r="M346" s="47" t="n"/>
      <c r="N346" s="49">
        <f>IF(A346="","",COUNTIFS('潜水記録'!$S$5:$S$3004,A346,'潜水記録'!$T$5:$T$3004,1))</f>
        <v/>
      </c>
      <c r="O346" s="49">
        <f>IF(A346="","",COUNTIF('潜水記録'!$S$5:$S$3004,A346))</f>
        <v/>
      </c>
    </row>
    <row r="347">
      <c r="A347" s="47" t="n"/>
      <c r="B347" s="48" t="n"/>
      <c r="C347" s="47" t="n"/>
      <c r="D347" s="47" t="n"/>
      <c r="E347" s="47" t="n"/>
      <c r="F347" s="47" t="n"/>
      <c r="G347" s="47" t="n"/>
      <c r="H347" s="47" t="n"/>
      <c r="I347" s="47" t="n"/>
      <c r="J347" s="47" t="n"/>
      <c r="K347" s="47" t="n"/>
      <c r="L347" s="47" t="n"/>
      <c r="M347" s="47" t="n"/>
      <c r="N347" s="49">
        <f>IF(A347="","",COUNTIFS('潜水記録'!$S$5:$S$3004,A347,'潜水記録'!$T$5:$T$3004,1))</f>
        <v/>
      </c>
      <c r="O347" s="49">
        <f>IF(A347="","",COUNTIF('潜水記録'!$S$5:$S$3004,A347))</f>
        <v/>
      </c>
    </row>
    <row r="348">
      <c r="A348" s="47" t="n"/>
      <c r="B348" s="48" t="n"/>
      <c r="C348" s="47" t="n"/>
      <c r="D348" s="47" t="n"/>
      <c r="E348" s="47" t="n"/>
      <c r="F348" s="47" t="n"/>
      <c r="G348" s="47" t="n"/>
      <c r="H348" s="47" t="n"/>
      <c r="I348" s="47" t="n"/>
      <c r="J348" s="47" t="n"/>
      <c r="K348" s="47" t="n"/>
      <c r="L348" s="47" t="n"/>
      <c r="M348" s="47" t="n"/>
      <c r="N348" s="49">
        <f>IF(A348="","",COUNTIFS('潜水記録'!$S$5:$S$3004,A348,'潜水記録'!$T$5:$T$3004,1))</f>
        <v/>
      </c>
      <c r="O348" s="49">
        <f>IF(A348="","",COUNTIF('潜水記録'!$S$5:$S$3004,A348))</f>
        <v/>
      </c>
    </row>
    <row r="349">
      <c r="A349" s="47" t="n"/>
      <c r="B349" s="48" t="n"/>
      <c r="C349" s="47" t="n"/>
      <c r="D349" s="47" t="n"/>
      <c r="E349" s="47" t="n"/>
      <c r="F349" s="47" t="n"/>
      <c r="G349" s="47" t="n"/>
      <c r="H349" s="47" t="n"/>
      <c r="I349" s="47" t="n"/>
      <c r="J349" s="47" t="n"/>
      <c r="K349" s="47" t="n"/>
      <c r="L349" s="47" t="n"/>
      <c r="M349" s="47" t="n"/>
      <c r="N349" s="49">
        <f>IF(A349="","",COUNTIFS('潜水記録'!$S$5:$S$3004,A349,'潜水記録'!$T$5:$T$3004,1))</f>
        <v/>
      </c>
      <c r="O349" s="49">
        <f>IF(A349="","",COUNTIF('潜水記録'!$S$5:$S$3004,A349))</f>
        <v/>
      </c>
    </row>
    <row r="350">
      <c r="A350" s="47" t="n"/>
      <c r="B350" s="48" t="n"/>
      <c r="C350" s="47" t="n"/>
      <c r="D350" s="47" t="n"/>
      <c r="E350" s="47" t="n"/>
      <c r="F350" s="47" t="n"/>
      <c r="G350" s="47" t="n"/>
      <c r="H350" s="47" t="n"/>
      <c r="I350" s="47" t="n"/>
      <c r="J350" s="47" t="n"/>
      <c r="K350" s="47" t="n"/>
      <c r="L350" s="47" t="n"/>
      <c r="M350" s="47" t="n"/>
      <c r="N350" s="49">
        <f>IF(A350="","",COUNTIFS('潜水記録'!$S$5:$S$3004,A350,'潜水記録'!$T$5:$T$3004,1))</f>
        <v/>
      </c>
      <c r="O350" s="49">
        <f>IF(A350="","",COUNTIF('潜水記録'!$S$5:$S$3004,A350))</f>
        <v/>
      </c>
    </row>
    <row r="351">
      <c r="A351" s="47" t="n"/>
      <c r="B351" s="48" t="n"/>
      <c r="C351" s="47" t="n"/>
      <c r="D351" s="47" t="n"/>
      <c r="E351" s="47" t="n"/>
      <c r="F351" s="47" t="n"/>
      <c r="G351" s="47" t="n"/>
      <c r="H351" s="47" t="n"/>
      <c r="I351" s="47" t="n"/>
      <c r="J351" s="47" t="n"/>
      <c r="K351" s="47" t="n"/>
      <c r="L351" s="47" t="n"/>
      <c r="M351" s="47" t="n"/>
      <c r="N351" s="49">
        <f>IF(A351="","",COUNTIFS('潜水記録'!$S$5:$S$3004,A351,'潜水記録'!$T$5:$T$3004,1))</f>
        <v/>
      </c>
      <c r="O351" s="49">
        <f>IF(A351="","",COUNTIF('潜水記録'!$S$5:$S$3004,A351))</f>
        <v/>
      </c>
    </row>
    <row r="352">
      <c r="A352" s="47" t="n"/>
      <c r="B352" s="48" t="n"/>
      <c r="C352" s="47" t="n"/>
      <c r="D352" s="47" t="n"/>
      <c r="E352" s="47" t="n"/>
      <c r="F352" s="47" t="n"/>
      <c r="G352" s="47" t="n"/>
      <c r="H352" s="47" t="n"/>
      <c r="I352" s="47" t="n"/>
      <c r="J352" s="47" t="n"/>
      <c r="K352" s="47" t="n"/>
      <c r="L352" s="47" t="n"/>
      <c r="M352" s="47" t="n"/>
      <c r="N352" s="49">
        <f>IF(A352="","",COUNTIFS('潜水記録'!$S$5:$S$3004,A352,'潜水記録'!$T$5:$T$3004,1))</f>
        <v/>
      </c>
      <c r="O352" s="49">
        <f>IF(A352="","",COUNTIF('潜水記録'!$S$5:$S$3004,A352))</f>
        <v/>
      </c>
    </row>
    <row r="353">
      <c r="A353" s="47" t="n"/>
      <c r="B353" s="48" t="n"/>
      <c r="C353" s="47" t="n"/>
      <c r="D353" s="47" t="n"/>
      <c r="E353" s="47" t="n"/>
      <c r="F353" s="47" t="n"/>
      <c r="G353" s="47" t="n"/>
      <c r="H353" s="47" t="n"/>
      <c r="I353" s="47" t="n"/>
      <c r="J353" s="47" t="n"/>
      <c r="K353" s="47" t="n"/>
      <c r="L353" s="47" t="n"/>
      <c r="M353" s="47" t="n"/>
      <c r="N353" s="49">
        <f>IF(A353="","",COUNTIFS('潜水記録'!$S$5:$S$3004,A353,'潜水記録'!$T$5:$T$3004,1))</f>
        <v/>
      </c>
      <c r="O353" s="49">
        <f>IF(A353="","",COUNTIF('潜水記録'!$S$5:$S$3004,A353))</f>
        <v/>
      </c>
    </row>
    <row r="354">
      <c r="A354" s="47" t="n"/>
      <c r="B354" s="48" t="n"/>
      <c r="C354" s="47" t="n"/>
      <c r="D354" s="47" t="n"/>
      <c r="E354" s="47" t="n"/>
      <c r="F354" s="47" t="n"/>
      <c r="G354" s="47" t="n"/>
      <c r="H354" s="47" t="n"/>
      <c r="I354" s="47" t="n"/>
      <c r="J354" s="47" t="n"/>
      <c r="K354" s="47" t="n"/>
      <c r="L354" s="47" t="n"/>
      <c r="M354" s="47" t="n"/>
      <c r="N354" s="49">
        <f>IF(A354="","",COUNTIFS('潜水記録'!$S$5:$S$3004,A354,'潜水記録'!$T$5:$T$3004,1))</f>
        <v/>
      </c>
      <c r="O354" s="49">
        <f>IF(A354="","",COUNTIF('潜水記録'!$S$5:$S$3004,A354))</f>
        <v/>
      </c>
    </row>
    <row r="355">
      <c r="A355" s="47" t="n"/>
      <c r="B355" s="48" t="n"/>
      <c r="C355" s="47" t="n"/>
      <c r="D355" s="47" t="n"/>
      <c r="E355" s="47" t="n"/>
      <c r="F355" s="47" t="n"/>
      <c r="G355" s="47" t="n"/>
      <c r="H355" s="47" t="n"/>
      <c r="I355" s="47" t="n"/>
      <c r="J355" s="47" t="n"/>
      <c r="K355" s="47" t="n"/>
      <c r="L355" s="47" t="n"/>
      <c r="M355" s="47" t="n"/>
      <c r="N355" s="49">
        <f>IF(A355="","",COUNTIFS('潜水記録'!$S$5:$S$3004,A355,'潜水記録'!$T$5:$T$3004,1))</f>
        <v/>
      </c>
      <c r="O355" s="49">
        <f>IF(A355="","",COUNTIF('潜水記録'!$S$5:$S$3004,A355))</f>
        <v/>
      </c>
    </row>
    <row r="356">
      <c r="A356" s="47" t="n"/>
      <c r="B356" s="48" t="n"/>
      <c r="C356" s="47" t="n"/>
      <c r="D356" s="47" t="n"/>
      <c r="E356" s="47" t="n"/>
      <c r="F356" s="47" t="n"/>
      <c r="G356" s="47" t="n"/>
      <c r="H356" s="47" t="n"/>
      <c r="I356" s="47" t="n"/>
      <c r="J356" s="47" t="n"/>
      <c r="K356" s="47" t="n"/>
      <c r="L356" s="47" t="n"/>
      <c r="M356" s="47" t="n"/>
      <c r="N356" s="49">
        <f>IF(A356="","",COUNTIFS('潜水記録'!$S$5:$S$3004,A356,'潜水記録'!$T$5:$T$3004,1))</f>
        <v/>
      </c>
      <c r="O356" s="49">
        <f>IF(A356="","",COUNTIF('潜水記録'!$S$5:$S$3004,A356))</f>
        <v/>
      </c>
    </row>
    <row r="357">
      <c r="A357" s="47" t="n"/>
      <c r="B357" s="48" t="n"/>
      <c r="C357" s="47" t="n"/>
      <c r="D357" s="47" t="n"/>
      <c r="E357" s="47" t="n"/>
      <c r="F357" s="47" t="n"/>
      <c r="G357" s="47" t="n"/>
      <c r="H357" s="47" t="n"/>
      <c r="I357" s="47" t="n"/>
      <c r="J357" s="47" t="n"/>
      <c r="K357" s="47" t="n"/>
      <c r="L357" s="47" t="n"/>
      <c r="M357" s="47" t="n"/>
      <c r="N357" s="49">
        <f>IF(A357="","",COUNTIFS('潜水記録'!$S$5:$S$3004,A357,'潜水記録'!$T$5:$T$3004,1))</f>
        <v/>
      </c>
      <c r="O357" s="49">
        <f>IF(A357="","",COUNTIF('潜水記録'!$S$5:$S$3004,A357))</f>
        <v/>
      </c>
    </row>
    <row r="358">
      <c r="A358" s="47" t="n"/>
      <c r="B358" s="48" t="n"/>
      <c r="C358" s="47" t="n"/>
      <c r="D358" s="47" t="n"/>
      <c r="E358" s="47" t="n"/>
      <c r="F358" s="47" t="n"/>
      <c r="G358" s="47" t="n"/>
      <c r="H358" s="47" t="n"/>
      <c r="I358" s="47" t="n"/>
      <c r="J358" s="47" t="n"/>
      <c r="K358" s="47" t="n"/>
      <c r="L358" s="47" t="n"/>
      <c r="M358" s="47" t="n"/>
      <c r="N358" s="49">
        <f>IF(A358="","",COUNTIFS('潜水記録'!$S$5:$S$3004,A358,'潜水記録'!$T$5:$T$3004,1))</f>
        <v/>
      </c>
      <c r="O358" s="49">
        <f>IF(A358="","",COUNTIF('潜水記録'!$S$5:$S$3004,A358))</f>
        <v/>
      </c>
    </row>
    <row r="359">
      <c r="A359" s="47" t="n"/>
      <c r="B359" s="48" t="n"/>
      <c r="C359" s="47" t="n"/>
      <c r="D359" s="47" t="n"/>
      <c r="E359" s="47" t="n"/>
      <c r="F359" s="47" t="n"/>
      <c r="G359" s="47" t="n"/>
      <c r="H359" s="47" t="n"/>
      <c r="I359" s="47" t="n"/>
      <c r="J359" s="47" t="n"/>
      <c r="K359" s="47" t="n"/>
      <c r="L359" s="47" t="n"/>
      <c r="M359" s="47" t="n"/>
      <c r="N359" s="49">
        <f>IF(A359="","",COUNTIFS('潜水記録'!$S$5:$S$3004,A359,'潜水記録'!$T$5:$T$3004,1))</f>
        <v/>
      </c>
      <c r="O359" s="49">
        <f>IF(A359="","",COUNTIF('潜水記録'!$S$5:$S$3004,A359))</f>
        <v/>
      </c>
    </row>
    <row r="360">
      <c r="A360" s="47" t="n"/>
      <c r="B360" s="48" t="n"/>
      <c r="C360" s="47" t="n"/>
      <c r="D360" s="47" t="n"/>
      <c r="E360" s="47" t="n"/>
      <c r="F360" s="47" t="n"/>
      <c r="G360" s="47" t="n"/>
      <c r="H360" s="47" t="n"/>
      <c r="I360" s="47" t="n"/>
      <c r="J360" s="47" t="n"/>
      <c r="K360" s="47" t="n"/>
      <c r="L360" s="47" t="n"/>
      <c r="M360" s="47" t="n"/>
      <c r="N360" s="49">
        <f>IF(A360="","",COUNTIFS('潜水記録'!$S$5:$S$3004,A360,'潜水記録'!$T$5:$T$3004,1))</f>
        <v/>
      </c>
      <c r="O360" s="49">
        <f>IF(A360="","",COUNTIF('潜水記録'!$S$5:$S$3004,A360))</f>
        <v/>
      </c>
    </row>
    <row r="361">
      <c r="A361" s="47" t="n"/>
      <c r="B361" s="48" t="n"/>
      <c r="C361" s="47" t="n"/>
      <c r="D361" s="47" t="n"/>
      <c r="E361" s="47" t="n"/>
      <c r="F361" s="47" t="n"/>
      <c r="G361" s="47" t="n"/>
      <c r="H361" s="47" t="n"/>
      <c r="I361" s="47" t="n"/>
      <c r="J361" s="47" t="n"/>
      <c r="K361" s="47" t="n"/>
      <c r="L361" s="47" t="n"/>
      <c r="M361" s="47" t="n"/>
      <c r="N361" s="49">
        <f>IF(A361="","",COUNTIFS('潜水記録'!$S$5:$S$3004,A361,'潜水記録'!$T$5:$T$3004,1))</f>
        <v/>
      </c>
      <c r="O361" s="49">
        <f>IF(A361="","",COUNTIF('潜水記録'!$S$5:$S$3004,A361))</f>
        <v/>
      </c>
    </row>
    <row r="362">
      <c r="A362" s="47" t="n"/>
      <c r="B362" s="48" t="n"/>
      <c r="C362" s="47" t="n"/>
      <c r="D362" s="47" t="n"/>
      <c r="E362" s="47" t="n"/>
      <c r="F362" s="47" t="n"/>
      <c r="G362" s="47" t="n"/>
      <c r="H362" s="47" t="n"/>
      <c r="I362" s="47" t="n"/>
      <c r="J362" s="47" t="n"/>
      <c r="K362" s="47" t="n"/>
      <c r="L362" s="47" t="n"/>
      <c r="M362" s="47" t="n"/>
      <c r="N362" s="49">
        <f>IF(A362="","",COUNTIFS('潜水記録'!$S$5:$S$3004,A362,'潜水記録'!$T$5:$T$3004,1))</f>
        <v/>
      </c>
      <c r="O362" s="49">
        <f>IF(A362="","",COUNTIF('潜水記録'!$S$5:$S$3004,A362))</f>
        <v/>
      </c>
    </row>
    <row r="363">
      <c r="A363" s="47" t="n"/>
      <c r="B363" s="48" t="n"/>
      <c r="C363" s="47" t="n"/>
      <c r="D363" s="47" t="n"/>
      <c r="E363" s="47" t="n"/>
      <c r="F363" s="47" t="n"/>
      <c r="G363" s="47" t="n"/>
      <c r="H363" s="47" t="n"/>
      <c r="I363" s="47" t="n"/>
      <c r="J363" s="47" t="n"/>
      <c r="K363" s="47" t="n"/>
      <c r="L363" s="47" t="n"/>
      <c r="M363" s="47" t="n"/>
      <c r="N363" s="49">
        <f>IF(A363="","",COUNTIFS('潜水記録'!$S$5:$S$3004,A363,'潜水記録'!$T$5:$T$3004,1))</f>
        <v/>
      </c>
      <c r="O363" s="49">
        <f>IF(A363="","",COUNTIF('潜水記録'!$S$5:$S$3004,A363))</f>
        <v/>
      </c>
    </row>
    <row r="364">
      <c r="A364" s="47" t="n"/>
      <c r="B364" s="48" t="n"/>
      <c r="C364" s="47" t="n"/>
      <c r="D364" s="47" t="n"/>
      <c r="E364" s="47" t="n"/>
      <c r="F364" s="47" t="n"/>
      <c r="G364" s="47" t="n"/>
      <c r="H364" s="47" t="n"/>
      <c r="I364" s="47" t="n"/>
      <c r="J364" s="47" t="n"/>
      <c r="K364" s="47" t="n"/>
      <c r="L364" s="47" t="n"/>
      <c r="M364" s="47" t="n"/>
      <c r="N364" s="49">
        <f>IF(A364="","",COUNTIFS('潜水記録'!$S$5:$S$3004,A364,'潜水記録'!$T$5:$T$3004,1))</f>
        <v/>
      </c>
      <c r="O364" s="49">
        <f>IF(A364="","",COUNTIF('潜水記録'!$S$5:$S$3004,A364))</f>
        <v/>
      </c>
    </row>
    <row r="365">
      <c r="A365" s="47" t="n"/>
      <c r="B365" s="48" t="n"/>
      <c r="C365" s="47" t="n"/>
      <c r="D365" s="47" t="n"/>
      <c r="E365" s="47" t="n"/>
      <c r="F365" s="47" t="n"/>
      <c r="G365" s="47" t="n"/>
      <c r="H365" s="47" t="n"/>
      <c r="I365" s="47" t="n"/>
      <c r="J365" s="47" t="n"/>
      <c r="K365" s="47" t="n"/>
      <c r="L365" s="47" t="n"/>
      <c r="M365" s="47" t="n"/>
      <c r="N365" s="49">
        <f>IF(A365="","",COUNTIFS('潜水記録'!$S$5:$S$3004,A365,'潜水記録'!$T$5:$T$3004,1))</f>
        <v/>
      </c>
      <c r="O365" s="49">
        <f>IF(A365="","",COUNTIF('潜水記録'!$S$5:$S$3004,A365))</f>
        <v/>
      </c>
    </row>
    <row r="366">
      <c r="A366" s="47" t="n"/>
      <c r="B366" s="48" t="n"/>
      <c r="C366" s="47" t="n"/>
      <c r="D366" s="47" t="n"/>
      <c r="E366" s="47" t="n"/>
      <c r="F366" s="47" t="n"/>
      <c r="G366" s="47" t="n"/>
      <c r="H366" s="47" t="n"/>
      <c r="I366" s="47" t="n"/>
      <c r="J366" s="47" t="n"/>
      <c r="K366" s="47" t="n"/>
      <c r="L366" s="47" t="n"/>
      <c r="M366" s="47" t="n"/>
      <c r="N366" s="49">
        <f>IF(A366="","",COUNTIFS('潜水記録'!$S$5:$S$3004,A366,'潜水記録'!$T$5:$T$3004,1))</f>
        <v/>
      </c>
      <c r="O366" s="49">
        <f>IF(A366="","",COUNTIF('潜水記録'!$S$5:$S$3004,A366))</f>
        <v/>
      </c>
    </row>
    <row r="367">
      <c r="A367" s="47" t="n"/>
      <c r="B367" s="48" t="n"/>
      <c r="C367" s="47" t="n"/>
      <c r="D367" s="47" t="n"/>
      <c r="E367" s="47" t="n"/>
      <c r="F367" s="47" t="n"/>
      <c r="G367" s="47" t="n"/>
      <c r="H367" s="47" t="n"/>
      <c r="I367" s="47" t="n"/>
      <c r="J367" s="47" t="n"/>
      <c r="K367" s="47" t="n"/>
      <c r="L367" s="47" t="n"/>
      <c r="M367" s="47" t="n"/>
      <c r="N367" s="49">
        <f>IF(A367="","",COUNTIFS('潜水記録'!$S$5:$S$3004,A367,'潜水記録'!$T$5:$T$3004,1))</f>
        <v/>
      </c>
      <c r="O367" s="49">
        <f>IF(A367="","",COUNTIF('潜水記録'!$S$5:$S$3004,A367))</f>
        <v/>
      </c>
    </row>
    <row r="368">
      <c r="A368" s="47" t="n"/>
      <c r="B368" s="48" t="n"/>
      <c r="C368" s="47" t="n"/>
      <c r="D368" s="47" t="n"/>
      <c r="E368" s="47" t="n"/>
      <c r="F368" s="47" t="n"/>
      <c r="G368" s="47" t="n"/>
      <c r="H368" s="47" t="n"/>
      <c r="I368" s="47" t="n"/>
      <c r="J368" s="47" t="n"/>
      <c r="K368" s="47" t="n"/>
      <c r="L368" s="47" t="n"/>
      <c r="M368" s="47" t="n"/>
      <c r="N368" s="49">
        <f>IF(A368="","",COUNTIFS('潜水記録'!$S$5:$S$3004,A368,'潜水記録'!$T$5:$T$3004,1))</f>
        <v/>
      </c>
      <c r="O368" s="49">
        <f>IF(A368="","",COUNTIF('潜水記録'!$S$5:$S$3004,A368))</f>
        <v/>
      </c>
    </row>
    <row r="369">
      <c r="A369" s="47" t="n"/>
      <c r="B369" s="48" t="n"/>
      <c r="C369" s="47" t="n"/>
      <c r="D369" s="47" t="n"/>
      <c r="E369" s="47" t="n"/>
      <c r="F369" s="47" t="n"/>
      <c r="G369" s="47" t="n"/>
      <c r="H369" s="47" t="n"/>
      <c r="I369" s="47" t="n"/>
      <c r="J369" s="47" t="n"/>
      <c r="K369" s="47" t="n"/>
      <c r="L369" s="47" t="n"/>
      <c r="M369" s="47" t="n"/>
      <c r="N369" s="49">
        <f>IF(A369="","",COUNTIFS('潜水記録'!$S$5:$S$3004,A369,'潜水記録'!$T$5:$T$3004,1))</f>
        <v/>
      </c>
      <c r="O369" s="49">
        <f>IF(A369="","",COUNTIF('潜水記録'!$S$5:$S$3004,A369))</f>
        <v/>
      </c>
    </row>
    <row r="370">
      <c r="A370" s="47" t="n"/>
      <c r="B370" s="48" t="n"/>
      <c r="C370" s="47" t="n"/>
      <c r="D370" s="47" t="n"/>
      <c r="E370" s="47" t="n"/>
      <c r="F370" s="47" t="n"/>
      <c r="G370" s="47" t="n"/>
      <c r="H370" s="47" t="n"/>
      <c r="I370" s="47" t="n"/>
      <c r="J370" s="47" t="n"/>
      <c r="K370" s="47" t="n"/>
      <c r="L370" s="47" t="n"/>
      <c r="M370" s="47" t="n"/>
      <c r="N370" s="49">
        <f>IF(A370="","",COUNTIFS('潜水記録'!$S$5:$S$3004,A370,'潜水記録'!$T$5:$T$3004,1))</f>
        <v/>
      </c>
      <c r="O370" s="49">
        <f>IF(A370="","",COUNTIF('潜水記録'!$S$5:$S$3004,A370))</f>
        <v/>
      </c>
    </row>
    <row r="371">
      <c r="A371" s="47" t="n"/>
      <c r="B371" s="48" t="n"/>
      <c r="C371" s="47" t="n"/>
      <c r="D371" s="47" t="n"/>
      <c r="E371" s="47" t="n"/>
      <c r="F371" s="47" t="n"/>
      <c r="G371" s="47" t="n"/>
      <c r="H371" s="47" t="n"/>
      <c r="I371" s="47" t="n"/>
      <c r="J371" s="47" t="n"/>
      <c r="K371" s="47" t="n"/>
      <c r="L371" s="47" t="n"/>
      <c r="M371" s="47" t="n"/>
      <c r="N371" s="49">
        <f>IF(A371="","",COUNTIFS('潜水記録'!$S$5:$S$3004,A371,'潜水記録'!$T$5:$T$3004,1))</f>
        <v/>
      </c>
      <c r="O371" s="49">
        <f>IF(A371="","",COUNTIF('潜水記録'!$S$5:$S$3004,A371))</f>
        <v/>
      </c>
    </row>
    <row r="372">
      <c r="A372" s="47" t="n"/>
      <c r="B372" s="48" t="n"/>
      <c r="C372" s="47" t="n"/>
      <c r="D372" s="47" t="n"/>
      <c r="E372" s="47" t="n"/>
      <c r="F372" s="47" t="n"/>
      <c r="G372" s="47" t="n"/>
      <c r="H372" s="47" t="n"/>
      <c r="I372" s="47" t="n"/>
      <c r="J372" s="47" t="n"/>
      <c r="K372" s="47" t="n"/>
      <c r="L372" s="47" t="n"/>
      <c r="M372" s="47" t="n"/>
      <c r="N372" s="49">
        <f>IF(A372="","",COUNTIFS('潜水記録'!$S$5:$S$3004,A372,'潜水記録'!$T$5:$T$3004,1))</f>
        <v/>
      </c>
      <c r="O372" s="49">
        <f>IF(A372="","",COUNTIF('潜水記録'!$S$5:$S$3004,A372))</f>
        <v/>
      </c>
    </row>
    <row r="373">
      <c r="A373" s="47" t="n"/>
      <c r="B373" s="48" t="n"/>
      <c r="C373" s="47" t="n"/>
      <c r="D373" s="47" t="n"/>
      <c r="E373" s="47" t="n"/>
      <c r="F373" s="47" t="n"/>
      <c r="G373" s="47" t="n"/>
      <c r="H373" s="47" t="n"/>
      <c r="I373" s="47" t="n"/>
      <c r="J373" s="47" t="n"/>
      <c r="K373" s="47" t="n"/>
      <c r="L373" s="47" t="n"/>
      <c r="M373" s="47" t="n"/>
      <c r="N373" s="49">
        <f>IF(A373="","",COUNTIFS('潜水記録'!$S$5:$S$3004,A373,'潜水記録'!$T$5:$T$3004,1))</f>
        <v/>
      </c>
      <c r="O373" s="49">
        <f>IF(A373="","",COUNTIF('潜水記録'!$S$5:$S$3004,A373))</f>
        <v/>
      </c>
    </row>
    <row r="374">
      <c r="A374" s="47" t="n"/>
      <c r="B374" s="48" t="n"/>
      <c r="C374" s="47" t="n"/>
      <c r="D374" s="47" t="n"/>
      <c r="E374" s="47" t="n"/>
      <c r="F374" s="47" t="n"/>
      <c r="G374" s="47" t="n"/>
      <c r="H374" s="47" t="n"/>
      <c r="I374" s="47" t="n"/>
      <c r="J374" s="47" t="n"/>
      <c r="K374" s="47" t="n"/>
      <c r="L374" s="47" t="n"/>
      <c r="M374" s="47" t="n"/>
      <c r="N374" s="49">
        <f>IF(A374="","",COUNTIFS('潜水記録'!$S$5:$S$3004,A374,'潜水記録'!$T$5:$T$3004,1))</f>
        <v/>
      </c>
      <c r="O374" s="49">
        <f>IF(A374="","",COUNTIF('潜水記録'!$S$5:$S$3004,A374))</f>
        <v/>
      </c>
    </row>
    <row r="375">
      <c r="A375" s="47" t="n"/>
      <c r="B375" s="48" t="n"/>
      <c r="C375" s="47" t="n"/>
      <c r="D375" s="47" t="n"/>
      <c r="E375" s="47" t="n"/>
      <c r="F375" s="47" t="n"/>
      <c r="G375" s="47" t="n"/>
      <c r="H375" s="47" t="n"/>
      <c r="I375" s="47" t="n"/>
      <c r="J375" s="47" t="n"/>
      <c r="K375" s="47" t="n"/>
      <c r="L375" s="47" t="n"/>
      <c r="M375" s="47" t="n"/>
      <c r="N375" s="49">
        <f>IF(A375="","",COUNTIFS('潜水記録'!$S$5:$S$3004,A375,'潜水記録'!$T$5:$T$3004,1))</f>
        <v/>
      </c>
      <c r="O375" s="49">
        <f>IF(A375="","",COUNTIF('潜水記録'!$S$5:$S$3004,A375))</f>
        <v/>
      </c>
    </row>
    <row r="376">
      <c r="A376" s="47" t="n"/>
      <c r="B376" s="48" t="n"/>
      <c r="C376" s="47" t="n"/>
      <c r="D376" s="47" t="n"/>
      <c r="E376" s="47" t="n"/>
      <c r="F376" s="47" t="n"/>
      <c r="G376" s="47" t="n"/>
      <c r="H376" s="47" t="n"/>
      <c r="I376" s="47" t="n"/>
      <c r="J376" s="47" t="n"/>
      <c r="K376" s="47" t="n"/>
      <c r="L376" s="47" t="n"/>
      <c r="M376" s="47" t="n"/>
      <c r="N376" s="49">
        <f>IF(A376="","",COUNTIFS('潜水記録'!$S$5:$S$3004,A376,'潜水記録'!$T$5:$T$3004,1))</f>
        <v/>
      </c>
      <c r="O376" s="49">
        <f>IF(A376="","",COUNTIF('潜水記録'!$S$5:$S$3004,A376))</f>
        <v/>
      </c>
    </row>
    <row r="377">
      <c r="A377" s="47" t="n"/>
      <c r="B377" s="48" t="n"/>
      <c r="C377" s="47" t="n"/>
      <c r="D377" s="47" t="n"/>
      <c r="E377" s="47" t="n"/>
      <c r="F377" s="47" t="n"/>
      <c r="G377" s="47" t="n"/>
      <c r="H377" s="47" t="n"/>
      <c r="I377" s="47" t="n"/>
      <c r="J377" s="47" t="n"/>
      <c r="K377" s="47" t="n"/>
      <c r="L377" s="47" t="n"/>
      <c r="M377" s="47" t="n"/>
      <c r="N377" s="49">
        <f>IF(A377="","",COUNTIFS('潜水記録'!$S$5:$S$3004,A377,'潜水記録'!$T$5:$T$3004,1))</f>
        <v/>
      </c>
      <c r="O377" s="49">
        <f>IF(A377="","",COUNTIF('潜水記録'!$S$5:$S$3004,A377))</f>
        <v/>
      </c>
    </row>
    <row r="378">
      <c r="A378" s="47" t="n"/>
      <c r="B378" s="48" t="n"/>
      <c r="C378" s="47" t="n"/>
      <c r="D378" s="47" t="n"/>
      <c r="E378" s="47" t="n"/>
      <c r="F378" s="47" t="n"/>
      <c r="G378" s="47" t="n"/>
      <c r="H378" s="47" t="n"/>
      <c r="I378" s="47" t="n"/>
      <c r="J378" s="47" t="n"/>
      <c r="K378" s="47" t="n"/>
      <c r="L378" s="47" t="n"/>
      <c r="M378" s="47" t="n"/>
      <c r="N378" s="49">
        <f>IF(A378="","",COUNTIFS('潜水記録'!$S$5:$S$3004,A378,'潜水記録'!$T$5:$T$3004,1))</f>
        <v/>
      </c>
      <c r="O378" s="49">
        <f>IF(A378="","",COUNTIF('潜水記録'!$S$5:$S$3004,A378))</f>
        <v/>
      </c>
    </row>
    <row r="379">
      <c r="A379" s="47" t="n"/>
      <c r="B379" s="48" t="n"/>
      <c r="C379" s="47" t="n"/>
      <c r="D379" s="47" t="n"/>
      <c r="E379" s="47" t="n"/>
      <c r="F379" s="47" t="n"/>
      <c r="G379" s="47" t="n"/>
      <c r="H379" s="47" t="n"/>
      <c r="I379" s="47" t="n"/>
      <c r="J379" s="47" t="n"/>
      <c r="K379" s="47" t="n"/>
      <c r="L379" s="47" t="n"/>
      <c r="M379" s="47" t="n"/>
      <c r="N379" s="49">
        <f>IF(A379="","",COUNTIFS('潜水記録'!$S$5:$S$3004,A379,'潜水記録'!$T$5:$T$3004,1))</f>
        <v/>
      </c>
      <c r="O379" s="49">
        <f>IF(A379="","",COUNTIF('潜水記録'!$S$5:$S$3004,A379))</f>
        <v/>
      </c>
    </row>
    <row r="380">
      <c r="A380" s="47" t="n"/>
      <c r="B380" s="48" t="n"/>
      <c r="C380" s="47" t="n"/>
      <c r="D380" s="47" t="n"/>
      <c r="E380" s="47" t="n"/>
      <c r="F380" s="47" t="n"/>
      <c r="G380" s="47" t="n"/>
      <c r="H380" s="47" t="n"/>
      <c r="I380" s="47" t="n"/>
      <c r="J380" s="47" t="n"/>
      <c r="K380" s="47" t="n"/>
      <c r="L380" s="47" t="n"/>
      <c r="M380" s="47" t="n"/>
      <c r="N380" s="49">
        <f>IF(A380="","",COUNTIFS('潜水記録'!$S$5:$S$3004,A380,'潜水記録'!$T$5:$T$3004,1))</f>
        <v/>
      </c>
      <c r="O380" s="49">
        <f>IF(A380="","",COUNTIF('潜水記録'!$S$5:$S$3004,A380))</f>
        <v/>
      </c>
    </row>
    <row r="381">
      <c r="A381" s="47" t="n"/>
      <c r="B381" s="48" t="n"/>
      <c r="C381" s="47" t="n"/>
      <c r="D381" s="47" t="n"/>
      <c r="E381" s="47" t="n"/>
      <c r="F381" s="47" t="n"/>
      <c r="G381" s="47" t="n"/>
      <c r="H381" s="47" t="n"/>
      <c r="I381" s="47" t="n"/>
      <c r="J381" s="47" t="n"/>
      <c r="K381" s="47" t="n"/>
      <c r="L381" s="47" t="n"/>
      <c r="M381" s="47" t="n"/>
      <c r="N381" s="49">
        <f>IF(A381="","",COUNTIFS('潜水記録'!$S$5:$S$3004,A381,'潜水記録'!$T$5:$T$3004,1))</f>
        <v/>
      </c>
      <c r="O381" s="49">
        <f>IF(A381="","",COUNTIF('潜水記録'!$S$5:$S$3004,A381))</f>
        <v/>
      </c>
    </row>
    <row r="382">
      <c r="A382" s="47" t="n"/>
      <c r="B382" s="48" t="n"/>
      <c r="C382" s="47" t="n"/>
      <c r="D382" s="47" t="n"/>
      <c r="E382" s="47" t="n"/>
      <c r="F382" s="47" t="n"/>
      <c r="G382" s="47" t="n"/>
      <c r="H382" s="47" t="n"/>
      <c r="I382" s="47" t="n"/>
      <c r="J382" s="47" t="n"/>
      <c r="K382" s="47" t="n"/>
      <c r="L382" s="47" t="n"/>
      <c r="M382" s="47" t="n"/>
      <c r="N382" s="49">
        <f>IF(A382="","",COUNTIFS('潜水記録'!$S$5:$S$3004,A382,'潜水記録'!$T$5:$T$3004,1))</f>
        <v/>
      </c>
      <c r="O382" s="49">
        <f>IF(A382="","",COUNTIF('潜水記録'!$S$5:$S$3004,A382))</f>
        <v/>
      </c>
    </row>
    <row r="383">
      <c r="A383" s="47" t="n"/>
      <c r="B383" s="48" t="n"/>
      <c r="C383" s="47" t="n"/>
      <c r="D383" s="47" t="n"/>
      <c r="E383" s="47" t="n"/>
      <c r="F383" s="47" t="n"/>
      <c r="G383" s="47" t="n"/>
      <c r="H383" s="47" t="n"/>
      <c r="I383" s="47" t="n"/>
      <c r="J383" s="47" t="n"/>
      <c r="K383" s="47" t="n"/>
      <c r="L383" s="47" t="n"/>
      <c r="M383" s="47" t="n"/>
      <c r="N383" s="49">
        <f>IF(A383="","",COUNTIFS('潜水記録'!$S$5:$S$3004,A383,'潜水記録'!$T$5:$T$3004,1))</f>
        <v/>
      </c>
      <c r="O383" s="49">
        <f>IF(A383="","",COUNTIF('潜水記録'!$S$5:$S$3004,A383))</f>
        <v/>
      </c>
    </row>
    <row r="384">
      <c r="A384" s="47" t="n"/>
      <c r="B384" s="48" t="n"/>
      <c r="C384" s="47" t="n"/>
      <c r="D384" s="47" t="n"/>
      <c r="E384" s="47" t="n"/>
      <c r="F384" s="47" t="n"/>
      <c r="G384" s="47" t="n"/>
      <c r="H384" s="47" t="n"/>
      <c r="I384" s="47" t="n"/>
      <c r="J384" s="47" t="n"/>
      <c r="K384" s="47" t="n"/>
      <c r="L384" s="47" t="n"/>
      <c r="M384" s="47" t="n"/>
      <c r="N384" s="49">
        <f>IF(A384="","",COUNTIFS('潜水記録'!$S$5:$S$3004,A384,'潜水記録'!$T$5:$T$3004,1))</f>
        <v/>
      </c>
      <c r="O384" s="49">
        <f>IF(A384="","",COUNTIF('潜水記録'!$S$5:$S$3004,A384))</f>
        <v/>
      </c>
    </row>
    <row r="385">
      <c r="A385" s="47" t="n"/>
      <c r="B385" s="48" t="n"/>
      <c r="C385" s="47" t="n"/>
      <c r="D385" s="47" t="n"/>
      <c r="E385" s="47" t="n"/>
      <c r="F385" s="47" t="n"/>
      <c r="G385" s="47" t="n"/>
      <c r="H385" s="47" t="n"/>
      <c r="I385" s="47" t="n"/>
      <c r="J385" s="47" t="n"/>
      <c r="K385" s="47" t="n"/>
      <c r="L385" s="47" t="n"/>
      <c r="M385" s="47" t="n"/>
      <c r="N385" s="49">
        <f>IF(A385="","",COUNTIFS('潜水記録'!$S$5:$S$3004,A385,'潜水記録'!$T$5:$T$3004,1))</f>
        <v/>
      </c>
      <c r="O385" s="49">
        <f>IF(A385="","",COUNTIF('潜水記録'!$S$5:$S$3004,A385))</f>
        <v/>
      </c>
    </row>
    <row r="386">
      <c r="A386" s="47" t="n"/>
      <c r="B386" s="48" t="n"/>
      <c r="C386" s="47" t="n"/>
      <c r="D386" s="47" t="n"/>
      <c r="E386" s="47" t="n"/>
      <c r="F386" s="47" t="n"/>
      <c r="G386" s="47" t="n"/>
      <c r="H386" s="47" t="n"/>
      <c r="I386" s="47" t="n"/>
      <c r="J386" s="47" t="n"/>
      <c r="K386" s="47" t="n"/>
      <c r="L386" s="47" t="n"/>
      <c r="M386" s="47" t="n"/>
      <c r="N386" s="49">
        <f>IF(A386="","",COUNTIFS('潜水記録'!$S$5:$S$3004,A386,'潜水記録'!$T$5:$T$3004,1))</f>
        <v/>
      </c>
      <c r="O386" s="49">
        <f>IF(A386="","",COUNTIF('潜水記録'!$S$5:$S$3004,A386))</f>
        <v/>
      </c>
    </row>
    <row r="387">
      <c r="A387" s="47" t="n"/>
      <c r="B387" s="48" t="n"/>
      <c r="C387" s="47" t="n"/>
      <c r="D387" s="47" t="n"/>
      <c r="E387" s="47" t="n"/>
      <c r="F387" s="47" t="n"/>
      <c r="G387" s="47" t="n"/>
      <c r="H387" s="47" t="n"/>
      <c r="I387" s="47" t="n"/>
      <c r="J387" s="47" t="n"/>
      <c r="K387" s="47" t="n"/>
      <c r="L387" s="47" t="n"/>
      <c r="M387" s="47" t="n"/>
      <c r="N387" s="49">
        <f>IF(A387="","",COUNTIFS('潜水記録'!$S$5:$S$3004,A387,'潜水記録'!$T$5:$T$3004,1))</f>
        <v/>
      </c>
      <c r="O387" s="49">
        <f>IF(A387="","",COUNTIF('潜水記録'!$S$5:$S$3004,A387))</f>
        <v/>
      </c>
    </row>
    <row r="388">
      <c r="A388" s="47" t="n"/>
      <c r="B388" s="48" t="n"/>
      <c r="C388" s="47" t="n"/>
      <c r="D388" s="47" t="n"/>
      <c r="E388" s="47" t="n"/>
      <c r="F388" s="47" t="n"/>
      <c r="G388" s="47" t="n"/>
      <c r="H388" s="47" t="n"/>
      <c r="I388" s="47" t="n"/>
      <c r="J388" s="47" t="n"/>
      <c r="K388" s="47" t="n"/>
      <c r="L388" s="47" t="n"/>
      <c r="M388" s="47" t="n"/>
      <c r="N388" s="49">
        <f>IF(A388="","",COUNTIFS('潜水記録'!$S$5:$S$3004,A388,'潜水記録'!$T$5:$T$3004,1))</f>
        <v/>
      </c>
      <c r="O388" s="49">
        <f>IF(A388="","",COUNTIF('潜水記録'!$S$5:$S$3004,A388))</f>
        <v/>
      </c>
    </row>
    <row r="389">
      <c r="A389" s="47" t="n"/>
      <c r="B389" s="48" t="n"/>
      <c r="C389" s="47" t="n"/>
      <c r="D389" s="47" t="n"/>
      <c r="E389" s="47" t="n"/>
      <c r="F389" s="47" t="n"/>
      <c r="G389" s="47" t="n"/>
      <c r="H389" s="47" t="n"/>
      <c r="I389" s="47" t="n"/>
      <c r="J389" s="47" t="n"/>
      <c r="K389" s="47" t="n"/>
      <c r="L389" s="47" t="n"/>
      <c r="M389" s="47" t="n"/>
      <c r="N389" s="49">
        <f>IF(A389="","",COUNTIFS('潜水記録'!$S$5:$S$3004,A389,'潜水記録'!$T$5:$T$3004,1))</f>
        <v/>
      </c>
      <c r="O389" s="49">
        <f>IF(A389="","",COUNTIF('潜水記録'!$S$5:$S$3004,A389))</f>
        <v/>
      </c>
    </row>
    <row r="390">
      <c r="A390" s="47" t="n"/>
      <c r="B390" s="48" t="n"/>
      <c r="C390" s="47" t="n"/>
      <c r="D390" s="47" t="n"/>
      <c r="E390" s="47" t="n"/>
      <c r="F390" s="47" t="n"/>
      <c r="G390" s="47" t="n"/>
      <c r="H390" s="47" t="n"/>
      <c r="I390" s="47" t="n"/>
      <c r="J390" s="47" t="n"/>
      <c r="K390" s="47" t="n"/>
      <c r="L390" s="47" t="n"/>
      <c r="M390" s="47" t="n"/>
      <c r="N390" s="49">
        <f>IF(A390="","",COUNTIFS('潜水記録'!$S$5:$S$3004,A390,'潜水記録'!$T$5:$T$3004,1))</f>
        <v/>
      </c>
      <c r="O390" s="49">
        <f>IF(A390="","",COUNTIF('潜水記録'!$S$5:$S$3004,A390))</f>
        <v/>
      </c>
    </row>
    <row r="391">
      <c r="A391" s="47" t="n"/>
      <c r="B391" s="48" t="n"/>
      <c r="C391" s="47" t="n"/>
      <c r="D391" s="47" t="n"/>
      <c r="E391" s="47" t="n"/>
      <c r="F391" s="47" t="n"/>
      <c r="G391" s="47" t="n"/>
      <c r="H391" s="47" t="n"/>
      <c r="I391" s="47" t="n"/>
      <c r="J391" s="47" t="n"/>
      <c r="K391" s="47" t="n"/>
      <c r="L391" s="47" t="n"/>
      <c r="M391" s="47" t="n"/>
      <c r="N391" s="49">
        <f>IF(A391="","",COUNTIFS('潜水記録'!$S$5:$S$3004,A391,'潜水記録'!$T$5:$T$3004,1))</f>
        <v/>
      </c>
      <c r="O391" s="49">
        <f>IF(A391="","",COUNTIF('潜水記録'!$S$5:$S$3004,A391))</f>
        <v/>
      </c>
    </row>
    <row r="392">
      <c r="A392" s="47" t="n"/>
      <c r="B392" s="48" t="n"/>
      <c r="C392" s="47" t="n"/>
      <c r="D392" s="47" t="n"/>
      <c r="E392" s="47" t="n"/>
      <c r="F392" s="47" t="n"/>
      <c r="G392" s="47" t="n"/>
      <c r="H392" s="47" t="n"/>
      <c r="I392" s="47" t="n"/>
      <c r="J392" s="47" t="n"/>
      <c r="K392" s="47" t="n"/>
      <c r="L392" s="47" t="n"/>
      <c r="M392" s="47" t="n"/>
      <c r="N392" s="49">
        <f>IF(A392="","",COUNTIFS('潜水記録'!$S$5:$S$3004,A392,'潜水記録'!$T$5:$T$3004,1))</f>
        <v/>
      </c>
      <c r="O392" s="49">
        <f>IF(A392="","",COUNTIF('潜水記録'!$S$5:$S$3004,A392))</f>
        <v/>
      </c>
    </row>
    <row r="393">
      <c r="A393" s="47" t="n"/>
      <c r="B393" s="48" t="n"/>
      <c r="C393" s="47" t="n"/>
      <c r="D393" s="47" t="n"/>
      <c r="E393" s="47" t="n"/>
      <c r="F393" s="47" t="n"/>
      <c r="G393" s="47" t="n"/>
      <c r="H393" s="47" t="n"/>
      <c r="I393" s="47" t="n"/>
      <c r="J393" s="47" t="n"/>
      <c r="K393" s="47" t="n"/>
      <c r="L393" s="47" t="n"/>
      <c r="M393" s="47" t="n"/>
      <c r="N393" s="49">
        <f>IF(A393="","",COUNTIFS('潜水記録'!$S$5:$S$3004,A393,'潜水記録'!$T$5:$T$3004,1))</f>
        <v/>
      </c>
      <c r="O393" s="49">
        <f>IF(A393="","",COUNTIF('潜水記録'!$S$5:$S$3004,A393))</f>
        <v/>
      </c>
    </row>
    <row r="394">
      <c r="A394" s="47" t="n"/>
      <c r="B394" s="48" t="n"/>
      <c r="C394" s="47" t="n"/>
      <c r="D394" s="47" t="n"/>
      <c r="E394" s="47" t="n"/>
      <c r="F394" s="47" t="n"/>
      <c r="G394" s="47" t="n"/>
      <c r="H394" s="47" t="n"/>
      <c r="I394" s="47" t="n"/>
      <c r="J394" s="47" t="n"/>
      <c r="K394" s="47" t="n"/>
      <c r="L394" s="47" t="n"/>
      <c r="M394" s="47" t="n"/>
      <c r="N394" s="49">
        <f>IF(A394="","",COUNTIFS('潜水記録'!$S$5:$S$3004,A394,'潜水記録'!$T$5:$T$3004,1))</f>
        <v/>
      </c>
      <c r="O394" s="49">
        <f>IF(A394="","",COUNTIF('潜水記録'!$S$5:$S$3004,A394))</f>
        <v/>
      </c>
    </row>
    <row r="395">
      <c r="A395" s="47" t="n"/>
      <c r="B395" s="48" t="n"/>
      <c r="C395" s="47" t="n"/>
      <c r="D395" s="47" t="n"/>
      <c r="E395" s="47" t="n"/>
      <c r="F395" s="47" t="n"/>
      <c r="G395" s="47" t="n"/>
      <c r="H395" s="47" t="n"/>
      <c r="I395" s="47" t="n"/>
      <c r="J395" s="47" t="n"/>
      <c r="K395" s="47" t="n"/>
      <c r="L395" s="47" t="n"/>
      <c r="M395" s="47" t="n"/>
      <c r="N395" s="49">
        <f>IF(A395="","",COUNTIFS('潜水記録'!$S$5:$S$3004,A395,'潜水記録'!$T$5:$T$3004,1))</f>
        <v/>
      </c>
      <c r="O395" s="49">
        <f>IF(A395="","",COUNTIF('潜水記録'!$S$5:$S$3004,A395))</f>
        <v/>
      </c>
    </row>
    <row r="396">
      <c r="A396" s="47" t="n"/>
      <c r="B396" s="48" t="n"/>
      <c r="C396" s="47" t="n"/>
      <c r="D396" s="47" t="n"/>
      <c r="E396" s="47" t="n"/>
      <c r="F396" s="47" t="n"/>
      <c r="G396" s="47" t="n"/>
      <c r="H396" s="47" t="n"/>
      <c r="I396" s="47" t="n"/>
      <c r="J396" s="47" t="n"/>
      <c r="K396" s="47" t="n"/>
      <c r="L396" s="47" t="n"/>
      <c r="M396" s="47" t="n"/>
      <c r="N396" s="49">
        <f>IF(A396="","",COUNTIFS('潜水記録'!$S$5:$S$3004,A396,'潜水記録'!$T$5:$T$3004,1))</f>
        <v/>
      </c>
      <c r="O396" s="49">
        <f>IF(A396="","",COUNTIF('潜水記録'!$S$5:$S$3004,A396))</f>
        <v/>
      </c>
    </row>
    <row r="397">
      <c r="A397" s="47" t="n"/>
      <c r="B397" s="48" t="n"/>
      <c r="C397" s="47" t="n"/>
      <c r="D397" s="47" t="n"/>
      <c r="E397" s="47" t="n"/>
      <c r="F397" s="47" t="n"/>
      <c r="G397" s="47" t="n"/>
      <c r="H397" s="47" t="n"/>
      <c r="I397" s="47" t="n"/>
      <c r="J397" s="47" t="n"/>
      <c r="K397" s="47" t="n"/>
      <c r="L397" s="47" t="n"/>
      <c r="M397" s="47" t="n"/>
      <c r="N397" s="49">
        <f>IF(A397="","",COUNTIFS('潜水記録'!$S$5:$S$3004,A397,'潜水記録'!$T$5:$T$3004,1))</f>
        <v/>
      </c>
      <c r="O397" s="49">
        <f>IF(A397="","",COUNTIF('潜水記録'!$S$5:$S$3004,A397))</f>
        <v/>
      </c>
    </row>
    <row r="398">
      <c r="A398" s="47" t="n"/>
      <c r="B398" s="48" t="n"/>
      <c r="C398" s="47" t="n"/>
      <c r="D398" s="47" t="n"/>
      <c r="E398" s="47" t="n"/>
      <c r="F398" s="47" t="n"/>
      <c r="G398" s="47" t="n"/>
      <c r="H398" s="47" t="n"/>
      <c r="I398" s="47" t="n"/>
      <c r="J398" s="47" t="n"/>
      <c r="K398" s="47" t="n"/>
      <c r="L398" s="47" t="n"/>
      <c r="M398" s="47" t="n"/>
      <c r="N398" s="49">
        <f>IF(A398="","",COUNTIFS('潜水記録'!$S$5:$S$3004,A398,'潜水記録'!$T$5:$T$3004,1))</f>
        <v/>
      </c>
      <c r="O398" s="49">
        <f>IF(A398="","",COUNTIF('潜水記録'!$S$5:$S$3004,A398))</f>
        <v/>
      </c>
    </row>
    <row r="399">
      <c r="A399" s="47" t="n"/>
      <c r="B399" s="48" t="n"/>
      <c r="C399" s="47" t="n"/>
      <c r="D399" s="47" t="n"/>
      <c r="E399" s="47" t="n"/>
      <c r="F399" s="47" t="n"/>
      <c r="G399" s="47" t="n"/>
      <c r="H399" s="47" t="n"/>
      <c r="I399" s="47" t="n"/>
      <c r="J399" s="47" t="n"/>
      <c r="K399" s="47" t="n"/>
      <c r="L399" s="47" t="n"/>
      <c r="M399" s="47" t="n"/>
      <c r="N399" s="49">
        <f>IF(A399="","",COUNTIFS('潜水記録'!$S$5:$S$3004,A399,'潜水記録'!$T$5:$T$3004,1))</f>
        <v/>
      </c>
      <c r="O399" s="49">
        <f>IF(A399="","",COUNTIF('潜水記録'!$S$5:$S$3004,A399))</f>
        <v/>
      </c>
    </row>
    <row r="400">
      <c r="A400" s="47" t="n"/>
      <c r="B400" s="48" t="n"/>
      <c r="C400" s="47" t="n"/>
      <c r="D400" s="47" t="n"/>
      <c r="E400" s="47" t="n"/>
      <c r="F400" s="47" t="n"/>
      <c r="G400" s="47" t="n"/>
      <c r="H400" s="47" t="n"/>
      <c r="I400" s="47" t="n"/>
      <c r="J400" s="47" t="n"/>
      <c r="K400" s="47" t="n"/>
      <c r="L400" s="47" t="n"/>
      <c r="M400" s="47" t="n"/>
      <c r="N400" s="49">
        <f>IF(A400="","",COUNTIFS('潜水記録'!$S$5:$S$3004,A400,'潜水記録'!$T$5:$T$3004,1))</f>
        <v/>
      </c>
      <c r="O400" s="49">
        <f>IF(A400="","",COUNTIF('潜水記録'!$S$5:$S$3004,A400))</f>
        <v/>
      </c>
    </row>
    <row r="401">
      <c r="A401" s="47" t="n"/>
      <c r="B401" s="48" t="n"/>
      <c r="C401" s="47" t="n"/>
      <c r="D401" s="47" t="n"/>
      <c r="E401" s="47" t="n"/>
      <c r="F401" s="47" t="n"/>
      <c r="G401" s="47" t="n"/>
      <c r="H401" s="47" t="n"/>
      <c r="I401" s="47" t="n"/>
      <c r="J401" s="47" t="n"/>
      <c r="K401" s="47" t="n"/>
      <c r="L401" s="47" t="n"/>
      <c r="M401" s="47" t="n"/>
      <c r="N401" s="49">
        <f>IF(A401="","",COUNTIFS('潜水記録'!$S$5:$S$3004,A401,'潜水記録'!$T$5:$T$3004,1))</f>
        <v/>
      </c>
      <c r="O401" s="49">
        <f>IF(A401="","",COUNTIF('潜水記録'!$S$5:$S$3004,A401))</f>
        <v/>
      </c>
    </row>
    <row r="402">
      <c r="A402" s="47" t="n"/>
      <c r="B402" s="48" t="n"/>
      <c r="C402" s="47" t="n"/>
      <c r="D402" s="47" t="n"/>
      <c r="E402" s="47" t="n"/>
      <c r="F402" s="47" t="n"/>
      <c r="G402" s="47" t="n"/>
      <c r="H402" s="47" t="n"/>
      <c r="I402" s="47" t="n"/>
      <c r="J402" s="47" t="n"/>
      <c r="K402" s="47" t="n"/>
      <c r="L402" s="47" t="n"/>
      <c r="M402" s="47" t="n"/>
      <c r="N402" s="49">
        <f>IF(A402="","",COUNTIFS('潜水記録'!$S$5:$S$3004,A402,'潜水記録'!$T$5:$T$3004,1))</f>
        <v/>
      </c>
      <c r="O402" s="49">
        <f>IF(A402="","",COUNTIF('潜水記録'!$S$5:$S$3004,A402))</f>
        <v/>
      </c>
    </row>
    <row r="403">
      <c r="A403" s="47" t="n"/>
      <c r="B403" s="48" t="n"/>
      <c r="C403" s="47" t="n"/>
      <c r="D403" s="47" t="n"/>
      <c r="E403" s="47" t="n"/>
      <c r="F403" s="47" t="n"/>
      <c r="G403" s="47" t="n"/>
      <c r="H403" s="47" t="n"/>
      <c r="I403" s="47" t="n"/>
      <c r="J403" s="47" t="n"/>
      <c r="K403" s="47" t="n"/>
      <c r="L403" s="47" t="n"/>
      <c r="M403" s="47" t="n"/>
      <c r="N403" s="49">
        <f>IF(A403="","",COUNTIFS('潜水記録'!$S$5:$S$3004,A403,'潜水記録'!$T$5:$T$3004,1))</f>
        <v/>
      </c>
      <c r="O403" s="49">
        <f>IF(A403="","",COUNTIF('潜水記録'!$S$5:$S$3004,A403))</f>
        <v/>
      </c>
    </row>
    <row r="404">
      <c r="A404" s="47" t="n"/>
      <c r="B404" s="48" t="n"/>
      <c r="C404" s="47" t="n"/>
      <c r="D404" s="47" t="n"/>
      <c r="E404" s="47" t="n"/>
      <c r="F404" s="47" t="n"/>
      <c r="G404" s="47" t="n"/>
      <c r="H404" s="47" t="n"/>
      <c r="I404" s="47" t="n"/>
      <c r="J404" s="47" t="n"/>
      <c r="K404" s="47" t="n"/>
      <c r="L404" s="47" t="n"/>
      <c r="M404" s="47" t="n"/>
      <c r="N404" s="49">
        <f>IF(A404="","",COUNTIFS('潜水記録'!$S$5:$S$3004,A404,'潜水記録'!$T$5:$T$3004,1))</f>
        <v/>
      </c>
      <c r="O404" s="49">
        <f>IF(A404="","",COUNTIF('潜水記録'!$S$5:$S$3004,A404))</f>
        <v/>
      </c>
    </row>
    <row r="405">
      <c r="A405" s="47" t="n"/>
      <c r="B405" s="48" t="n"/>
      <c r="C405" s="47" t="n"/>
      <c r="D405" s="47" t="n"/>
      <c r="E405" s="47" t="n"/>
      <c r="F405" s="47" t="n"/>
      <c r="G405" s="47" t="n"/>
      <c r="H405" s="47" t="n"/>
      <c r="I405" s="47" t="n"/>
      <c r="J405" s="47" t="n"/>
      <c r="K405" s="47" t="n"/>
      <c r="L405" s="47" t="n"/>
      <c r="M405" s="47" t="n"/>
      <c r="N405" s="49">
        <f>IF(A405="","",COUNTIFS('潜水記録'!$S$5:$S$3004,A405,'潜水記録'!$T$5:$T$3004,1))</f>
        <v/>
      </c>
      <c r="O405" s="49">
        <f>IF(A405="","",COUNTIF('潜水記録'!$S$5:$S$3004,A405))</f>
        <v/>
      </c>
    </row>
    <row r="406">
      <c r="A406" s="47" t="n"/>
      <c r="B406" s="48" t="n"/>
      <c r="C406" s="47" t="n"/>
      <c r="D406" s="47" t="n"/>
      <c r="E406" s="47" t="n"/>
      <c r="F406" s="47" t="n"/>
      <c r="G406" s="47" t="n"/>
      <c r="H406" s="47" t="n"/>
      <c r="I406" s="47" t="n"/>
      <c r="J406" s="47" t="n"/>
      <c r="K406" s="47" t="n"/>
      <c r="L406" s="47" t="n"/>
      <c r="M406" s="47" t="n"/>
      <c r="N406" s="49">
        <f>IF(A406="","",COUNTIFS('潜水記録'!$S$5:$S$3004,A406,'潜水記録'!$T$5:$T$3004,1))</f>
        <v/>
      </c>
      <c r="O406" s="49">
        <f>IF(A406="","",COUNTIF('潜水記録'!$S$5:$S$3004,A406))</f>
        <v/>
      </c>
    </row>
    <row r="407">
      <c r="A407" s="47" t="n"/>
      <c r="B407" s="48" t="n"/>
      <c r="C407" s="47" t="n"/>
      <c r="D407" s="47" t="n"/>
      <c r="E407" s="47" t="n"/>
      <c r="F407" s="47" t="n"/>
      <c r="G407" s="47" t="n"/>
      <c r="H407" s="47" t="n"/>
      <c r="I407" s="47" t="n"/>
      <c r="J407" s="47" t="n"/>
      <c r="K407" s="47" t="n"/>
      <c r="L407" s="47" t="n"/>
      <c r="M407" s="47" t="n"/>
      <c r="N407" s="49">
        <f>IF(A407="","",COUNTIFS('潜水記録'!$S$5:$S$3004,A407,'潜水記録'!$T$5:$T$3004,1))</f>
        <v/>
      </c>
      <c r="O407" s="49">
        <f>IF(A407="","",COUNTIF('潜水記録'!$S$5:$S$3004,A407))</f>
        <v/>
      </c>
    </row>
    <row r="408">
      <c r="A408" s="47" t="n"/>
      <c r="B408" s="48" t="n"/>
      <c r="C408" s="47" t="n"/>
      <c r="D408" s="47" t="n"/>
      <c r="E408" s="47" t="n"/>
      <c r="F408" s="47" t="n"/>
      <c r="G408" s="47" t="n"/>
      <c r="H408" s="47" t="n"/>
      <c r="I408" s="47" t="n"/>
      <c r="J408" s="47" t="n"/>
      <c r="K408" s="47" t="n"/>
      <c r="L408" s="47" t="n"/>
      <c r="M408" s="47" t="n"/>
      <c r="N408" s="49">
        <f>IF(A408="","",COUNTIFS('潜水記録'!$S$5:$S$3004,A408,'潜水記録'!$T$5:$T$3004,1))</f>
        <v/>
      </c>
      <c r="O408" s="49">
        <f>IF(A408="","",COUNTIF('潜水記録'!$S$5:$S$3004,A408))</f>
        <v/>
      </c>
    </row>
    <row r="409">
      <c r="A409" s="47" t="n"/>
      <c r="B409" s="48" t="n"/>
      <c r="C409" s="47" t="n"/>
      <c r="D409" s="47" t="n"/>
      <c r="E409" s="47" t="n"/>
      <c r="F409" s="47" t="n"/>
      <c r="G409" s="47" t="n"/>
      <c r="H409" s="47" t="n"/>
      <c r="I409" s="47" t="n"/>
      <c r="J409" s="47" t="n"/>
      <c r="K409" s="47" t="n"/>
      <c r="L409" s="47" t="n"/>
      <c r="M409" s="47" t="n"/>
      <c r="N409" s="49">
        <f>IF(A409="","",COUNTIFS('潜水記録'!$S$5:$S$3004,A409,'潜水記録'!$T$5:$T$3004,1))</f>
        <v/>
      </c>
      <c r="O409" s="49">
        <f>IF(A409="","",COUNTIF('潜水記録'!$S$5:$S$3004,A409))</f>
        <v/>
      </c>
    </row>
    <row r="410">
      <c r="A410" s="47" t="n"/>
      <c r="B410" s="48" t="n"/>
      <c r="C410" s="47" t="n"/>
      <c r="D410" s="47" t="n"/>
      <c r="E410" s="47" t="n"/>
      <c r="F410" s="47" t="n"/>
      <c r="G410" s="47" t="n"/>
      <c r="H410" s="47" t="n"/>
      <c r="I410" s="47" t="n"/>
      <c r="J410" s="47" t="n"/>
      <c r="K410" s="47" t="n"/>
      <c r="L410" s="47" t="n"/>
      <c r="M410" s="47" t="n"/>
      <c r="N410" s="49">
        <f>IF(A410="","",COUNTIFS('潜水記録'!$S$5:$S$3004,A410,'潜水記録'!$T$5:$T$3004,1))</f>
        <v/>
      </c>
      <c r="O410" s="49">
        <f>IF(A410="","",COUNTIF('潜水記録'!$S$5:$S$3004,A410))</f>
        <v/>
      </c>
    </row>
    <row r="411">
      <c r="A411" s="47" t="n"/>
      <c r="B411" s="48" t="n"/>
      <c r="C411" s="47" t="n"/>
      <c r="D411" s="47" t="n"/>
      <c r="E411" s="47" t="n"/>
      <c r="F411" s="47" t="n"/>
      <c r="G411" s="47" t="n"/>
      <c r="H411" s="47" t="n"/>
      <c r="I411" s="47" t="n"/>
      <c r="J411" s="47" t="n"/>
      <c r="K411" s="47" t="n"/>
      <c r="L411" s="47" t="n"/>
      <c r="M411" s="47" t="n"/>
      <c r="N411" s="49">
        <f>IF(A411="","",COUNTIFS('潜水記録'!$S$5:$S$3004,A411,'潜水記録'!$T$5:$T$3004,1))</f>
        <v/>
      </c>
      <c r="O411" s="49">
        <f>IF(A411="","",COUNTIF('潜水記録'!$S$5:$S$3004,A411))</f>
        <v/>
      </c>
    </row>
    <row r="412">
      <c r="A412" s="47" t="n"/>
      <c r="B412" s="48" t="n"/>
      <c r="C412" s="47" t="n"/>
      <c r="D412" s="47" t="n"/>
      <c r="E412" s="47" t="n"/>
      <c r="F412" s="47" t="n"/>
      <c r="G412" s="47" t="n"/>
      <c r="H412" s="47" t="n"/>
      <c r="I412" s="47" t="n"/>
      <c r="J412" s="47" t="n"/>
      <c r="K412" s="47" t="n"/>
      <c r="L412" s="47" t="n"/>
      <c r="M412" s="47" t="n"/>
      <c r="N412" s="49">
        <f>IF(A412="","",COUNTIFS('潜水記録'!$S$5:$S$3004,A412,'潜水記録'!$T$5:$T$3004,1))</f>
        <v/>
      </c>
      <c r="O412" s="49">
        <f>IF(A412="","",COUNTIF('潜水記録'!$S$5:$S$3004,A412))</f>
        <v/>
      </c>
    </row>
    <row r="413">
      <c r="A413" s="47" t="n"/>
      <c r="B413" s="48" t="n"/>
      <c r="C413" s="47" t="n"/>
      <c r="D413" s="47" t="n"/>
      <c r="E413" s="47" t="n"/>
      <c r="F413" s="47" t="n"/>
      <c r="G413" s="47" t="n"/>
      <c r="H413" s="47" t="n"/>
      <c r="I413" s="47" t="n"/>
      <c r="J413" s="47" t="n"/>
      <c r="K413" s="47" t="n"/>
      <c r="L413" s="47" t="n"/>
      <c r="M413" s="47" t="n"/>
      <c r="N413" s="49">
        <f>IF(A413="","",COUNTIFS('潜水記録'!$S$5:$S$3004,A413,'潜水記録'!$T$5:$T$3004,1))</f>
        <v/>
      </c>
      <c r="O413" s="49">
        <f>IF(A413="","",COUNTIF('潜水記録'!$S$5:$S$3004,A413))</f>
        <v/>
      </c>
    </row>
    <row r="414">
      <c r="A414" s="47" t="n"/>
      <c r="B414" s="48" t="n"/>
      <c r="C414" s="47" t="n"/>
      <c r="D414" s="47" t="n"/>
      <c r="E414" s="47" t="n"/>
      <c r="F414" s="47" t="n"/>
      <c r="G414" s="47" t="n"/>
      <c r="H414" s="47" t="n"/>
      <c r="I414" s="47" t="n"/>
      <c r="J414" s="47" t="n"/>
      <c r="K414" s="47" t="n"/>
      <c r="L414" s="47" t="n"/>
      <c r="M414" s="47" t="n"/>
      <c r="N414" s="49">
        <f>IF(A414="","",COUNTIFS('潜水記録'!$S$5:$S$3004,A414,'潜水記録'!$T$5:$T$3004,1))</f>
        <v/>
      </c>
      <c r="O414" s="49">
        <f>IF(A414="","",COUNTIF('潜水記録'!$S$5:$S$3004,A414))</f>
        <v/>
      </c>
    </row>
    <row r="415">
      <c r="A415" s="47" t="n"/>
      <c r="B415" s="48" t="n"/>
      <c r="C415" s="47" t="n"/>
      <c r="D415" s="47" t="n"/>
      <c r="E415" s="47" t="n"/>
      <c r="F415" s="47" t="n"/>
      <c r="G415" s="47" t="n"/>
      <c r="H415" s="47" t="n"/>
      <c r="I415" s="47" t="n"/>
      <c r="J415" s="47" t="n"/>
      <c r="K415" s="47" t="n"/>
      <c r="L415" s="47" t="n"/>
      <c r="M415" s="47" t="n"/>
      <c r="N415" s="49">
        <f>IF(A415="","",COUNTIFS('潜水記録'!$S$5:$S$3004,A415,'潜水記録'!$T$5:$T$3004,1))</f>
        <v/>
      </c>
      <c r="O415" s="49">
        <f>IF(A415="","",COUNTIF('潜水記録'!$S$5:$S$3004,A415))</f>
        <v/>
      </c>
    </row>
    <row r="416">
      <c r="A416" s="47" t="n"/>
      <c r="B416" s="48" t="n"/>
      <c r="C416" s="47" t="n"/>
      <c r="D416" s="47" t="n"/>
      <c r="E416" s="47" t="n"/>
      <c r="F416" s="47" t="n"/>
      <c r="G416" s="47" t="n"/>
      <c r="H416" s="47" t="n"/>
      <c r="I416" s="47" t="n"/>
      <c r="J416" s="47" t="n"/>
      <c r="K416" s="47" t="n"/>
      <c r="L416" s="47" t="n"/>
      <c r="M416" s="47" t="n"/>
      <c r="N416" s="49">
        <f>IF(A416="","",COUNTIFS('潜水記録'!$S$5:$S$3004,A416,'潜水記録'!$T$5:$T$3004,1))</f>
        <v/>
      </c>
      <c r="O416" s="49">
        <f>IF(A416="","",COUNTIF('潜水記録'!$S$5:$S$3004,A416))</f>
        <v/>
      </c>
    </row>
    <row r="417">
      <c r="A417" s="47" t="n"/>
      <c r="B417" s="48" t="n"/>
      <c r="C417" s="47" t="n"/>
      <c r="D417" s="47" t="n"/>
      <c r="E417" s="47" t="n"/>
      <c r="F417" s="47" t="n"/>
      <c r="G417" s="47" t="n"/>
      <c r="H417" s="47" t="n"/>
      <c r="I417" s="47" t="n"/>
      <c r="J417" s="47" t="n"/>
      <c r="K417" s="47" t="n"/>
      <c r="L417" s="47" t="n"/>
      <c r="M417" s="47" t="n"/>
      <c r="N417" s="49">
        <f>IF(A417="","",COUNTIFS('潜水記録'!$S$5:$S$3004,A417,'潜水記録'!$T$5:$T$3004,1))</f>
        <v/>
      </c>
      <c r="O417" s="49">
        <f>IF(A417="","",COUNTIF('潜水記録'!$S$5:$S$3004,A417))</f>
        <v/>
      </c>
    </row>
    <row r="418">
      <c r="A418" s="47" t="n"/>
      <c r="B418" s="48" t="n"/>
      <c r="C418" s="47" t="n"/>
      <c r="D418" s="47" t="n"/>
      <c r="E418" s="47" t="n"/>
      <c r="F418" s="47" t="n"/>
      <c r="G418" s="47" t="n"/>
      <c r="H418" s="47" t="n"/>
      <c r="I418" s="47" t="n"/>
      <c r="J418" s="47" t="n"/>
      <c r="K418" s="47" t="n"/>
      <c r="L418" s="47" t="n"/>
      <c r="M418" s="47" t="n"/>
      <c r="N418" s="49">
        <f>IF(A418="","",COUNTIFS('潜水記録'!$S$5:$S$3004,A418,'潜水記録'!$T$5:$T$3004,1))</f>
        <v/>
      </c>
      <c r="O418" s="49">
        <f>IF(A418="","",COUNTIF('潜水記録'!$S$5:$S$3004,A418))</f>
        <v/>
      </c>
    </row>
    <row r="419">
      <c r="A419" s="47" t="n"/>
      <c r="B419" s="48" t="n"/>
      <c r="C419" s="47" t="n"/>
      <c r="D419" s="47" t="n"/>
      <c r="E419" s="47" t="n"/>
      <c r="F419" s="47" t="n"/>
      <c r="G419" s="47" t="n"/>
      <c r="H419" s="47" t="n"/>
      <c r="I419" s="47" t="n"/>
      <c r="J419" s="47" t="n"/>
      <c r="K419" s="47" t="n"/>
      <c r="L419" s="47" t="n"/>
      <c r="M419" s="47" t="n"/>
      <c r="N419" s="49">
        <f>IF(A419="","",COUNTIFS('潜水記録'!$S$5:$S$3004,A419,'潜水記録'!$T$5:$T$3004,1))</f>
        <v/>
      </c>
      <c r="O419" s="49">
        <f>IF(A419="","",COUNTIF('潜水記録'!$S$5:$S$3004,A419))</f>
        <v/>
      </c>
    </row>
    <row r="420">
      <c r="A420" s="47" t="n"/>
      <c r="B420" s="48" t="n"/>
      <c r="C420" s="47" t="n"/>
      <c r="D420" s="47" t="n"/>
      <c r="E420" s="47" t="n"/>
      <c r="F420" s="47" t="n"/>
      <c r="G420" s="47" t="n"/>
      <c r="H420" s="47" t="n"/>
      <c r="I420" s="47" t="n"/>
      <c r="J420" s="47" t="n"/>
      <c r="K420" s="47" t="n"/>
      <c r="L420" s="47" t="n"/>
      <c r="M420" s="47" t="n"/>
      <c r="N420" s="49">
        <f>IF(A420="","",COUNTIFS('潜水記録'!$S$5:$S$3004,A420,'潜水記録'!$T$5:$T$3004,1))</f>
        <v/>
      </c>
      <c r="O420" s="49">
        <f>IF(A420="","",COUNTIF('潜水記録'!$S$5:$S$3004,A420))</f>
        <v/>
      </c>
    </row>
    <row r="421">
      <c r="A421" s="47" t="n"/>
      <c r="B421" s="48" t="n"/>
      <c r="C421" s="47" t="n"/>
      <c r="D421" s="47" t="n"/>
      <c r="E421" s="47" t="n"/>
      <c r="F421" s="47" t="n"/>
      <c r="G421" s="47" t="n"/>
      <c r="H421" s="47" t="n"/>
      <c r="I421" s="47" t="n"/>
      <c r="J421" s="47" t="n"/>
      <c r="K421" s="47" t="n"/>
      <c r="L421" s="47" t="n"/>
      <c r="M421" s="47" t="n"/>
      <c r="N421" s="49">
        <f>IF(A421="","",COUNTIFS('潜水記録'!$S$5:$S$3004,A421,'潜水記録'!$T$5:$T$3004,1))</f>
        <v/>
      </c>
      <c r="O421" s="49">
        <f>IF(A421="","",COUNTIF('潜水記録'!$S$5:$S$3004,A421))</f>
        <v/>
      </c>
    </row>
    <row r="422">
      <c r="A422" s="47" t="n"/>
      <c r="B422" s="48" t="n"/>
      <c r="C422" s="47" t="n"/>
      <c r="D422" s="47" t="n"/>
      <c r="E422" s="47" t="n"/>
      <c r="F422" s="47" t="n"/>
      <c r="G422" s="47" t="n"/>
      <c r="H422" s="47" t="n"/>
      <c r="I422" s="47" t="n"/>
      <c r="J422" s="47" t="n"/>
      <c r="K422" s="47" t="n"/>
      <c r="L422" s="47" t="n"/>
      <c r="M422" s="47" t="n"/>
      <c r="N422" s="49">
        <f>IF(A422="","",COUNTIFS('潜水記録'!$S$5:$S$3004,A422,'潜水記録'!$T$5:$T$3004,1))</f>
        <v/>
      </c>
      <c r="O422" s="49">
        <f>IF(A422="","",COUNTIF('潜水記録'!$S$5:$S$3004,A422))</f>
        <v/>
      </c>
    </row>
    <row r="423">
      <c r="A423" s="47" t="n"/>
      <c r="B423" s="48" t="n"/>
      <c r="C423" s="47" t="n"/>
      <c r="D423" s="47" t="n"/>
      <c r="E423" s="47" t="n"/>
      <c r="F423" s="47" t="n"/>
      <c r="G423" s="47" t="n"/>
      <c r="H423" s="47" t="n"/>
      <c r="I423" s="47" t="n"/>
      <c r="J423" s="47" t="n"/>
      <c r="K423" s="47" t="n"/>
      <c r="L423" s="47" t="n"/>
      <c r="M423" s="47" t="n"/>
      <c r="N423" s="49">
        <f>IF(A423="","",COUNTIFS('潜水記録'!$S$5:$S$3004,A423,'潜水記録'!$T$5:$T$3004,1))</f>
        <v/>
      </c>
      <c r="O423" s="49">
        <f>IF(A423="","",COUNTIF('潜水記録'!$S$5:$S$3004,A423))</f>
        <v/>
      </c>
    </row>
    <row r="424">
      <c r="A424" s="47" t="n"/>
      <c r="B424" s="48" t="n"/>
      <c r="C424" s="47" t="n"/>
      <c r="D424" s="47" t="n"/>
      <c r="E424" s="47" t="n"/>
      <c r="F424" s="47" t="n"/>
      <c r="G424" s="47" t="n"/>
      <c r="H424" s="47" t="n"/>
      <c r="I424" s="47" t="n"/>
      <c r="J424" s="47" t="n"/>
      <c r="K424" s="47" t="n"/>
      <c r="L424" s="47" t="n"/>
      <c r="M424" s="47" t="n"/>
      <c r="N424" s="49">
        <f>IF(A424="","",COUNTIFS('潜水記録'!$S$5:$S$3004,A424,'潜水記録'!$T$5:$T$3004,1))</f>
        <v/>
      </c>
      <c r="O424" s="49">
        <f>IF(A424="","",COUNTIF('潜水記録'!$S$5:$S$3004,A424))</f>
        <v/>
      </c>
    </row>
    <row r="425">
      <c r="A425" s="47" t="n"/>
      <c r="B425" s="48" t="n"/>
      <c r="C425" s="47" t="n"/>
      <c r="D425" s="47" t="n"/>
      <c r="E425" s="47" t="n"/>
      <c r="F425" s="47" t="n"/>
      <c r="G425" s="47" t="n"/>
      <c r="H425" s="47" t="n"/>
      <c r="I425" s="47" t="n"/>
      <c r="J425" s="47" t="n"/>
      <c r="K425" s="47" t="n"/>
      <c r="L425" s="47" t="n"/>
      <c r="M425" s="47" t="n"/>
      <c r="N425" s="49">
        <f>IF(A425="","",COUNTIFS('潜水記録'!$S$5:$S$3004,A425,'潜水記録'!$T$5:$T$3004,1))</f>
        <v/>
      </c>
      <c r="O425" s="49">
        <f>IF(A425="","",COUNTIF('潜水記録'!$S$5:$S$3004,A425))</f>
        <v/>
      </c>
    </row>
    <row r="426">
      <c r="A426" s="47" t="n"/>
      <c r="B426" s="48" t="n"/>
      <c r="C426" s="47" t="n"/>
      <c r="D426" s="47" t="n"/>
      <c r="E426" s="47" t="n"/>
      <c r="F426" s="47" t="n"/>
      <c r="G426" s="47" t="n"/>
      <c r="H426" s="47" t="n"/>
      <c r="I426" s="47" t="n"/>
      <c r="J426" s="47" t="n"/>
      <c r="K426" s="47" t="n"/>
      <c r="L426" s="47" t="n"/>
      <c r="M426" s="47" t="n"/>
      <c r="N426" s="49">
        <f>IF(A426="","",COUNTIFS('潜水記録'!$S$5:$S$3004,A426,'潜水記録'!$T$5:$T$3004,1))</f>
        <v/>
      </c>
      <c r="O426" s="49">
        <f>IF(A426="","",COUNTIF('潜水記録'!$S$5:$S$3004,A426))</f>
        <v/>
      </c>
    </row>
    <row r="427">
      <c r="A427" s="47" t="n"/>
      <c r="B427" s="48" t="n"/>
      <c r="C427" s="47" t="n"/>
      <c r="D427" s="47" t="n"/>
      <c r="E427" s="47" t="n"/>
      <c r="F427" s="47" t="n"/>
      <c r="G427" s="47" t="n"/>
      <c r="H427" s="47" t="n"/>
      <c r="I427" s="47" t="n"/>
      <c r="J427" s="47" t="n"/>
      <c r="K427" s="47" t="n"/>
      <c r="L427" s="47" t="n"/>
      <c r="M427" s="47" t="n"/>
      <c r="N427" s="49">
        <f>IF(A427="","",COUNTIFS('潜水記録'!$S$5:$S$3004,A427,'潜水記録'!$T$5:$T$3004,1))</f>
        <v/>
      </c>
      <c r="O427" s="49">
        <f>IF(A427="","",COUNTIF('潜水記録'!$S$5:$S$3004,A427))</f>
        <v/>
      </c>
    </row>
    <row r="428">
      <c r="A428" s="47" t="n"/>
      <c r="B428" s="48" t="n"/>
      <c r="C428" s="47" t="n"/>
      <c r="D428" s="47" t="n"/>
      <c r="E428" s="47" t="n"/>
      <c r="F428" s="47" t="n"/>
      <c r="G428" s="47" t="n"/>
      <c r="H428" s="47" t="n"/>
      <c r="I428" s="47" t="n"/>
      <c r="J428" s="47" t="n"/>
      <c r="K428" s="47" t="n"/>
      <c r="L428" s="47" t="n"/>
      <c r="M428" s="47" t="n"/>
      <c r="N428" s="49">
        <f>IF(A428="","",COUNTIFS('潜水記録'!$S$5:$S$3004,A428,'潜水記録'!$T$5:$T$3004,1))</f>
        <v/>
      </c>
      <c r="O428" s="49">
        <f>IF(A428="","",COUNTIF('潜水記録'!$S$5:$S$3004,A428))</f>
        <v/>
      </c>
    </row>
    <row r="429">
      <c r="A429" s="47" t="n"/>
      <c r="B429" s="48" t="n"/>
      <c r="C429" s="47" t="n"/>
      <c r="D429" s="47" t="n"/>
      <c r="E429" s="47" t="n"/>
      <c r="F429" s="47" t="n"/>
      <c r="G429" s="47" t="n"/>
      <c r="H429" s="47" t="n"/>
      <c r="I429" s="47" t="n"/>
      <c r="J429" s="47" t="n"/>
      <c r="K429" s="47" t="n"/>
      <c r="L429" s="47" t="n"/>
      <c r="M429" s="47" t="n"/>
      <c r="N429" s="49">
        <f>IF(A429="","",COUNTIFS('潜水記録'!$S$5:$S$3004,A429,'潜水記録'!$T$5:$T$3004,1))</f>
        <v/>
      </c>
      <c r="O429" s="49">
        <f>IF(A429="","",COUNTIF('潜水記録'!$S$5:$S$3004,A429))</f>
        <v/>
      </c>
    </row>
    <row r="430">
      <c r="A430" s="47" t="n"/>
      <c r="B430" s="48" t="n"/>
      <c r="C430" s="47" t="n"/>
      <c r="D430" s="47" t="n"/>
      <c r="E430" s="47" t="n"/>
      <c r="F430" s="47" t="n"/>
      <c r="G430" s="47" t="n"/>
      <c r="H430" s="47" t="n"/>
      <c r="I430" s="47" t="n"/>
      <c r="J430" s="47" t="n"/>
      <c r="K430" s="47" t="n"/>
      <c r="L430" s="47" t="n"/>
      <c r="M430" s="47" t="n"/>
      <c r="N430" s="49">
        <f>IF(A430="","",COUNTIFS('潜水記録'!$S$5:$S$3004,A430,'潜水記録'!$T$5:$T$3004,1))</f>
        <v/>
      </c>
      <c r="O430" s="49">
        <f>IF(A430="","",COUNTIF('潜水記録'!$S$5:$S$3004,A430))</f>
        <v/>
      </c>
    </row>
    <row r="431">
      <c r="A431" s="47" t="n"/>
      <c r="B431" s="48" t="n"/>
      <c r="C431" s="47" t="n"/>
      <c r="D431" s="47" t="n"/>
      <c r="E431" s="47" t="n"/>
      <c r="F431" s="47" t="n"/>
      <c r="G431" s="47" t="n"/>
      <c r="H431" s="47" t="n"/>
      <c r="I431" s="47" t="n"/>
      <c r="J431" s="47" t="n"/>
      <c r="K431" s="47" t="n"/>
      <c r="L431" s="47" t="n"/>
      <c r="M431" s="47" t="n"/>
      <c r="N431" s="49">
        <f>IF(A431="","",COUNTIFS('潜水記録'!$S$5:$S$3004,A431,'潜水記録'!$T$5:$T$3004,1))</f>
        <v/>
      </c>
      <c r="O431" s="49">
        <f>IF(A431="","",COUNTIF('潜水記録'!$S$5:$S$3004,A431))</f>
        <v/>
      </c>
    </row>
    <row r="432">
      <c r="A432" s="47" t="n"/>
      <c r="B432" s="48" t="n"/>
      <c r="C432" s="47" t="n"/>
      <c r="D432" s="47" t="n"/>
      <c r="E432" s="47" t="n"/>
      <c r="F432" s="47" t="n"/>
      <c r="G432" s="47" t="n"/>
      <c r="H432" s="47" t="n"/>
      <c r="I432" s="47" t="n"/>
      <c r="J432" s="47" t="n"/>
      <c r="K432" s="47" t="n"/>
      <c r="L432" s="47" t="n"/>
      <c r="M432" s="47" t="n"/>
      <c r="N432" s="49">
        <f>IF(A432="","",COUNTIFS('潜水記録'!$S$5:$S$3004,A432,'潜水記録'!$T$5:$T$3004,1))</f>
        <v/>
      </c>
      <c r="O432" s="49">
        <f>IF(A432="","",COUNTIF('潜水記録'!$S$5:$S$3004,A432))</f>
        <v/>
      </c>
    </row>
    <row r="433">
      <c r="A433" s="47" t="n"/>
      <c r="B433" s="48" t="n"/>
      <c r="C433" s="47" t="n"/>
      <c r="D433" s="47" t="n"/>
      <c r="E433" s="47" t="n"/>
      <c r="F433" s="47" t="n"/>
      <c r="G433" s="47" t="n"/>
      <c r="H433" s="47" t="n"/>
      <c r="I433" s="47" t="n"/>
      <c r="J433" s="47" t="n"/>
      <c r="K433" s="47" t="n"/>
      <c r="L433" s="47" t="n"/>
      <c r="M433" s="47" t="n"/>
      <c r="N433" s="49">
        <f>IF(A433="","",COUNTIFS('潜水記録'!$S$5:$S$3004,A433,'潜水記録'!$T$5:$T$3004,1))</f>
        <v/>
      </c>
      <c r="O433" s="49">
        <f>IF(A433="","",COUNTIF('潜水記録'!$S$5:$S$3004,A433))</f>
        <v/>
      </c>
    </row>
    <row r="434">
      <c r="A434" s="47" t="n"/>
      <c r="B434" s="48" t="n"/>
      <c r="C434" s="47" t="n"/>
      <c r="D434" s="47" t="n"/>
      <c r="E434" s="47" t="n"/>
      <c r="F434" s="47" t="n"/>
      <c r="G434" s="47" t="n"/>
      <c r="H434" s="47" t="n"/>
      <c r="I434" s="47" t="n"/>
      <c r="J434" s="47" t="n"/>
      <c r="K434" s="47" t="n"/>
      <c r="L434" s="47" t="n"/>
      <c r="M434" s="47" t="n"/>
      <c r="N434" s="49">
        <f>IF(A434="","",COUNTIFS('潜水記録'!$S$5:$S$3004,A434,'潜水記録'!$T$5:$T$3004,1))</f>
        <v/>
      </c>
      <c r="O434" s="49">
        <f>IF(A434="","",COUNTIF('潜水記録'!$S$5:$S$3004,A434))</f>
        <v/>
      </c>
    </row>
    <row r="435">
      <c r="A435" s="47" t="n"/>
      <c r="B435" s="48" t="n"/>
      <c r="C435" s="47" t="n"/>
      <c r="D435" s="47" t="n"/>
      <c r="E435" s="47" t="n"/>
      <c r="F435" s="47" t="n"/>
      <c r="G435" s="47" t="n"/>
      <c r="H435" s="47" t="n"/>
      <c r="I435" s="47" t="n"/>
      <c r="J435" s="47" t="n"/>
      <c r="K435" s="47" t="n"/>
      <c r="L435" s="47" t="n"/>
      <c r="M435" s="47" t="n"/>
      <c r="N435" s="49">
        <f>IF(A435="","",COUNTIFS('潜水記録'!$S$5:$S$3004,A435,'潜水記録'!$T$5:$T$3004,1))</f>
        <v/>
      </c>
      <c r="O435" s="49">
        <f>IF(A435="","",COUNTIF('潜水記録'!$S$5:$S$3004,A435))</f>
        <v/>
      </c>
    </row>
    <row r="436">
      <c r="A436" s="47" t="n"/>
      <c r="B436" s="48" t="n"/>
      <c r="C436" s="47" t="n"/>
      <c r="D436" s="47" t="n"/>
      <c r="E436" s="47" t="n"/>
      <c r="F436" s="47" t="n"/>
      <c r="G436" s="47" t="n"/>
      <c r="H436" s="47" t="n"/>
      <c r="I436" s="47" t="n"/>
      <c r="J436" s="47" t="n"/>
      <c r="K436" s="47" t="n"/>
      <c r="L436" s="47" t="n"/>
      <c r="M436" s="47" t="n"/>
      <c r="N436" s="49">
        <f>IF(A436="","",COUNTIFS('潜水記録'!$S$5:$S$3004,A436,'潜水記録'!$T$5:$T$3004,1))</f>
        <v/>
      </c>
      <c r="O436" s="49">
        <f>IF(A436="","",COUNTIF('潜水記録'!$S$5:$S$3004,A436))</f>
        <v/>
      </c>
    </row>
    <row r="437">
      <c r="A437" s="47" t="n"/>
      <c r="B437" s="48" t="n"/>
      <c r="C437" s="47" t="n"/>
      <c r="D437" s="47" t="n"/>
      <c r="E437" s="47" t="n"/>
      <c r="F437" s="47" t="n"/>
      <c r="G437" s="47" t="n"/>
      <c r="H437" s="47" t="n"/>
      <c r="I437" s="47" t="n"/>
      <c r="J437" s="47" t="n"/>
      <c r="K437" s="47" t="n"/>
      <c r="L437" s="47" t="n"/>
      <c r="M437" s="47" t="n"/>
      <c r="N437" s="49">
        <f>IF(A437="","",COUNTIFS('潜水記録'!$S$5:$S$3004,A437,'潜水記録'!$T$5:$T$3004,1))</f>
        <v/>
      </c>
      <c r="O437" s="49">
        <f>IF(A437="","",COUNTIF('潜水記録'!$S$5:$S$3004,A437))</f>
        <v/>
      </c>
    </row>
    <row r="438">
      <c r="A438" s="47" t="n"/>
      <c r="B438" s="48" t="n"/>
      <c r="C438" s="47" t="n"/>
      <c r="D438" s="47" t="n"/>
      <c r="E438" s="47" t="n"/>
      <c r="F438" s="47" t="n"/>
      <c r="G438" s="47" t="n"/>
      <c r="H438" s="47" t="n"/>
      <c r="I438" s="47" t="n"/>
      <c r="J438" s="47" t="n"/>
      <c r="K438" s="47" t="n"/>
      <c r="L438" s="47" t="n"/>
      <c r="M438" s="47" t="n"/>
      <c r="N438" s="49">
        <f>IF(A438="","",COUNTIFS('潜水記録'!$S$5:$S$3004,A438,'潜水記録'!$T$5:$T$3004,1))</f>
        <v/>
      </c>
      <c r="O438" s="49">
        <f>IF(A438="","",COUNTIF('潜水記録'!$S$5:$S$3004,A438))</f>
        <v/>
      </c>
    </row>
    <row r="439">
      <c r="A439" s="47" t="n"/>
      <c r="B439" s="48" t="n"/>
      <c r="C439" s="47" t="n"/>
      <c r="D439" s="47" t="n"/>
      <c r="E439" s="47" t="n"/>
      <c r="F439" s="47" t="n"/>
      <c r="G439" s="47" t="n"/>
      <c r="H439" s="47" t="n"/>
      <c r="I439" s="47" t="n"/>
      <c r="J439" s="47" t="n"/>
      <c r="K439" s="47" t="n"/>
      <c r="L439" s="47" t="n"/>
      <c r="M439" s="47" t="n"/>
      <c r="N439" s="49">
        <f>IF(A439="","",COUNTIFS('潜水記録'!$S$5:$S$3004,A439,'潜水記録'!$T$5:$T$3004,1))</f>
        <v/>
      </c>
      <c r="O439" s="49">
        <f>IF(A439="","",COUNTIF('潜水記録'!$S$5:$S$3004,A439))</f>
        <v/>
      </c>
    </row>
    <row r="440">
      <c r="A440" s="47" t="n"/>
      <c r="B440" s="48" t="n"/>
      <c r="C440" s="47" t="n"/>
      <c r="D440" s="47" t="n"/>
      <c r="E440" s="47" t="n"/>
      <c r="F440" s="47" t="n"/>
      <c r="G440" s="47" t="n"/>
      <c r="H440" s="47" t="n"/>
      <c r="I440" s="47" t="n"/>
      <c r="J440" s="47" t="n"/>
      <c r="K440" s="47" t="n"/>
      <c r="L440" s="47" t="n"/>
      <c r="M440" s="47" t="n"/>
      <c r="N440" s="49">
        <f>IF(A440="","",COUNTIFS('潜水記録'!$S$5:$S$3004,A440,'潜水記録'!$T$5:$T$3004,1))</f>
        <v/>
      </c>
      <c r="O440" s="49">
        <f>IF(A440="","",COUNTIF('潜水記録'!$S$5:$S$3004,A440))</f>
        <v/>
      </c>
    </row>
    <row r="441">
      <c r="A441" s="47" t="n"/>
      <c r="B441" s="48" t="n"/>
      <c r="C441" s="47" t="n"/>
      <c r="D441" s="47" t="n"/>
      <c r="E441" s="47" t="n"/>
      <c r="F441" s="47" t="n"/>
      <c r="G441" s="47" t="n"/>
      <c r="H441" s="47" t="n"/>
      <c r="I441" s="47" t="n"/>
      <c r="J441" s="47" t="n"/>
      <c r="K441" s="47" t="n"/>
      <c r="L441" s="47" t="n"/>
      <c r="M441" s="47" t="n"/>
      <c r="N441" s="49">
        <f>IF(A441="","",COUNTIFS('潜水記録'!$S$5:$S$3004,A441,'潜水記録'!$T$5:$T$3004,1))</f>
        <v/>
      </c>
      <c r="O441" s="49">
        <f>IF(A441="","",COUNTIF('潜水記録'!$S$5:$S$3004,A441))</f>
        <v/>
      </c>
    </row>
    <row r="442">
      <c r="A442" s="47" t="n"/>
      <c r="B442" s="48" t="n"/>
      <c r="C442" s="47" t="n"/>
      <c r="D442" s="47" t="n"/>
      <c r="E442" s="47" t="n"/>
      <c r="F442" s="47" t="n"/>
      <c r="G442" s="47" t="n"/>
      <c r="H442" s="47" t="n"/>
      <c r="I442" s="47" t="n"/>
      <c r="J442" s="47" t="n"/>
      <c r="K442" s="47" t="n"/>
      <c r="L442" s="47" t="n"/>
      <c r="M442" s="47" t="n"/>
      <c r="N442" s="49">
        <f>IF(A442="","",COUNTIFS('潜水記録'!$S$5:$S$3004,A442,'潜水記録'!$T$5:$T$3004,1))</f>
        <v/>
      </c>
      <c r="O442" s="49">
        <f>IF(A442="","",COUNTIF('潜水記録'!$S$5:$S$3004,A442))</f>
        <v/>
      </c>
    </row>
    <row r="443">
      <c r="A443" s="47" t="n"/>
      <c r="B443" s="48" t="n"/>
      <c r="C443" s="47" t="n"/>
      <c r="D443" s="47" t="n"/>
      <c r="E443" s="47" t="n"/>
      <c r="F443" s="47" t="n"/>
      <c r="G443" s="47" t="n"/>
      <c r="H443" s="47" t="n"/>
      <c r="I443" s="47" t="n"/>
      <c r="J443" s="47" t="n"/>
      <c r="K443" s="47" t="n"/>
      <c r="L443" s="47" t="n"/>
      <c r="M443" s="47" t="n"/>
      <c r="N443" s="49">
        <f>IF(A443="","",COUNTIFS('潜水記録'!$S$5:$S$3004,A443,'潜水記録'!$T$5:$T$3004,1))</f>
        <v/>
      </c>
      <c r="O443" s="49">
        <f>IF(A443="","",COUNTIF('潜水記録'!$S$5:$S$3004,A443))</f>
        <v/>
      </c>
    </row>
    <row r="444">
      <c r="A444" s="47" t="n"/>
      <c r="B444" s="48" t="n"/>
      <c r="C444" s="47" t="n"/>
      <c r="D444" s="47" t="n"/>
      <c r="E444" s="47" t="n"/>
      <c r="F444" s="47" t="n"/>
      <c r="G444" s="47" t="n"/>
      <c r="H444" s="47" t="n"/>
      <c r="I444" s="47" t="n"/>
      <c r="J444" s="47" t="n"/>
      <c r="K444" s="47" t="n"/>
      <c r="L444" s="47" t="n"/>
      <c r="M444" s="47" t="n"/>
      <c r="N444" s="49">
        <f>IF(A444="","",COUNTIFS('潜水記録'!$S$5:$S$3004,A444,'潜水記録'!$T$5:$T$3004,1))</f>
        <v/>
      </c>
      <c r="O444" s="49">
        <f>IF(A444="","",COUNTIF('潜水記録'!$S$5:$S$3004,A444))</f>
        <v/>
      </c>
    </row>
    <row r="445">
      <c r="A445" s="47" t="n"/>
      <c r="B445" s="48" t="n"/>
      <c r="C445" s="47" t="n"/>
      <c r="D445" s="47" t="n"/>
      <c r="E445" s="47" t="n"/>
      <c r="F445" s="47" t="n"/>
      <c r="G445" s="47" t="n"/>
      <c r="H445" s="47" t="n"/>
      <c r="I445" s="47" t="n"/>
      <c r="J445" s="47" t="n"/>
      <c r="K445" s="47" t="n"/>
      <c r="L445" s="47" t="n"/>
      <c r="M445" s="47" t="n"/>
      <c r="N445" s="49">
        <f>IF(A445="","",COUNTIFS('潜水記録'!$S$5:$S$3004,A445,'潜水記録'!$T$5:$T$3004,1))</f>
        <v/>
      </c>
      <c r="O445" s="49">
        <f>IF(A445="","",COUNTIF('潜水記録'!$S$5:$S$3004,A445))</f>
        <v/>
      </c>
    </row>
    <row r="446">
      <c r="A446" s="47" t="n"/>
      <c r="B446" s="48" t="n"/>
      <c r="C446" s="47" t="n"/>
      <c r="D446" s="47" t="n"/>
      <c r="E446" s="47" t="n"/>
      <c r="F446" s="47" t="n"/>
      <c r="G446" s="47" t="n"/>
      <c r="H446" s="47" t="n"/>
      <c r="I446" s="47" t="n"/>
      <c r="J446" s="47" t="n"/>
      <c r="K446" s="47" t="n"/>
      <c r="L446" s="47" t="n"/>
      <c r="M446" s="47" t="n"/>
      <c r="N446" s="49">
        <f>IF(A446="","",COUNTIFS('潜水記録'!$S$5:$S$3004,A446,'潜水記録'!$T$5:$T$3004,1))</f>
        <v/>
      </c>
      <c r="O446" s="49">
        <f>IF(A446="","",COUNTIF('潜水記録'!$S$5:$S$3004,A446))</f>
        <v/>
      </c>
    </row>
    <row r="447">
      <c r="A447" s="47" t="n"/>
      <c r="B447" s="48" t="n"/>
      <c r="C447" s="47" t="n"/>
      <c r="D447" s="47" t="n"/>
      <c r="E447" s="47" t="n"/>
      <c r="F447" s="47" t="n"/>
      <c r="G447" s="47" t="n"/>
      <c r="H447" s="47" t="n"/>
      <c r="I447" s="47" t="n"/>
      <c r="J447" s="47" t="n"/>
      <c r="K447" s="47" t="n"/>
      <c r="L447" s="47" t="n"/>
      <c r="M447" s="47" t="n"/>
      <c r="N447" s="49">
        <f>IF(A447="","",COUNTIFS('潜水記録'!$S$5:$S$3004,A447,'潜水記録'!$T$5:$T$3004,1))</f>
        <v/>
      </c>
      <c r="O447" s="49">
        <f>IF(A447="","",COUNTIF('潜水記録'!$S$5:$S$3004,A447))</f>
        <v/>
      </c>
    </row>
    <row r="448">
      <c r="A448" s="47" t="n"/>
      <c r="B448" s="48" t="n"/>
      <c r="C448" s="47" t="n"/>
      <c r="D448" s="47" t="n"/>
      <c r="E448" s="47" t="n"/>
      <c r="F448" s="47" t="n"/>
      <c r="G448" s="47" t="n"/>
      <c r="H448" s="47" t="n"/>
      <c r="I448" s="47" t="n"/>
      <c r="J448" s="47" t="n"/>
      <c r="K448" s="47" t="n"/>
      <c r="L448" s="47" t="n"/>
      <c r="M448" s="47" t="n"/>
      <c r="N448" s="49">
        <f>IF(A448="","",COUNTIFS('潜水記録'!$S$5:$S$3004,A448,'潜水記録'!$T$5:$T$3004,1))</f>
        <v/>
      </c>
      <c r="O448" s="49">
        <f>IF(A448="","",COUNTIF('潜水記録'!$S$5:$S$3004,A448))</f>
        <v/>
      </c>
    </row>
    <row r="449">
      <c r="A449" s="47" t="n"/>
      <c r="B449" s="48" t="n"/>
      <c r="C449" s="47" t="n"/>
      <c r="D449" s="47" t="n"/>
      <c r="E449" s="47" t="n"/>
      <c r="F449" s="47" t="n"/>
      <c r="G449" s="47" t="n"/>
      <c r="H449" s="47" t="n"/>
      <c r="I449" s="47" t="n"/>
      <c r="J449" s="47" t="n"/>
      <c r="K449" s="47" t="n"/>
      <c r="L449" s="47" t="n"/>
      <c r="M449" s="47" t="n"/>
      <c r="N449" s="49">
        <f>IF(A449="","",COUNTIFS('潜水記録'!$S$5:$S$3004,A449,'潜水記録'!$T$5:$T$3004,1))</f>
        <v/>
      </c>
      <c r="O449" s="49">
        <f>IF(A449="","",COUNTIF('潜水記録'!$S$5:$S$3004,A449))</f>
        <v/>
      </c>
    </row>
    <row r="450">
      <c r="A450" s="47" t="n"/>
      <c r="B450" s="48" t="n"/>
      <c r="C450" s="47" t="n"/>
      <c r="D450" s="47" t="n"/>
      <c r="E450" s="47" t="n"/>
      <c r="F450" s="47" t="n"/>
      <c r="G450" s="47" t="n"/>
      <c r="H450" s="47" t="n"/>
      <c r="I450" s="47" t="n"/>
      <c r="J450" s="47" t="n"/>
      <c r="K450" s="47" t="n"/>
      <c r="L450" s="47" t="n"/>
      <c r="M450" s="47" t="n"/>
      <c r="N450" s="49">
        <f>IF(A450="","",COUNTIFS('潜水記録'!$S$5:$S$3004,A450,'潜水記録'!$T$5:$T$3004,1))</f>
        <v/>
      </c>
      <c r="O450" s="49">
        <f>IF(A450="","",COUNTIF('潜水記録'!$S$5:$S$3004,A450))</f>
        <v/>
      </c>
    </row>
    <row r="451">
      <c r="A451" s="47" t="n"/>
      <c r="B451" s="48" t="n"/>
      <c r="C451" s="47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  <c r="N451" s="49">
        <f>IF(A451="","",COUNTIFS('潜水記録'!$S$5:$S$3004,A451,'潜水記録'!$T$5:$T$3004,1))</f>
        <v/>
      </c>
      <c r="O451" s="49">
        <f>IF(A451="","",COUNTIF('潜水記録'!$S$5:$S$3004,A451))</f>
        <v/>
      </c>
    </row>
    <row r="452">
      <c r="A452" s="47" t="n"/>
      <c r="B452" s="48" t="n"/>
      <c r="C452" s="47" t="n"/>
      <c r="D452" s="47" t="n"/>
      <c r="E452" s="47" t="n"/>
      <c r="F452" s="47" t="n"/>
      <c r="G452" s="47" t="n"/>
      <c r="H452" s="47" t="n"/>
      <c r="I452" s="47" t="n"/>
      <c r="J452" s="47" t="n"/>
      <c r="K452" s="47" t="n"/>
      <c r="L452" s="47" t="n"/>
      <c r="M452" s="47" t="n"/>
      <c r="N452" s="49">
        <f>IF(A452="","",COUNTIFS('潜水記録'!$S$5:$S$3004,A452,'潜水記録'!$T$5:$T$3004,1))</f>
        <v/>
      </c>
      <c r="O452" s="49">
        <f>IF(A452="","",COUNTIF('潜水記録'!$S$5:$S$3004,A452))</f>
        <v/>
      </c>
    </row>
    <row r="453">
      <c r="A453" s="47" t="n"/>
      <c r="B453" s="48" t="n"/>
      <c r="C453" s="47" t="n"/>
      <c r="D453" s="47" t="n"/>
      <c r="E453" s="47" t="n"/>
      <c r="F453" s="47" t="n"/>
      <c r="G453" s="47" t="n"/>
      <c r="H453" s="47" t="n"/>
      <c r="I453" s="47" t="n"/>
      <c r="J453" s="47" t="n"/>
      <c r="K453" s="47" t="n"/>
      <c r="L453" s="47" t="n"/>
      <c r="M453" s="47" t="n"/>
      <c r="N453" s="49">
        <f>IF(A453="","",COUNTIFS('潜水記録'!$S$5:$S$3004,A453,'潜水記録'!$T$5:$T$3004,1))</f>
        <v/>
      </c>
      <c r="O453" s="49">
        <f>IF(A453="","",COUNTIF('潜水記録'!$S$5:$S$3004,A453))</f>
        <v/>
      </c>
    </row>
    <row r="454">
      <c r="A454" s="47" t="n"/>
      <c r="B454" s="48" t="n"/>
      <c r="C454" s="47" t="n"/>
      <c r="D454" s="47" t="n"/>
      <c r="E454" s="47" t="n"/>
      <c r="F454" s="47" t="n"/>
      <c r="G454" s="47" t="n"/>
      <c r="H454" s="47" t="n"/>
      <c r="I454" s="47" t="n"/>
      <c r="J454" s="47" t="n"/>
      <c r="K454" s="47" t="n"/>
      <c r="L454" s="47" t="n"/>
      <c r="M454" s="47" t="n"/>
      <c r="N454" s="49">
        <f>IF(A454="","",COUNTIFS('潜水記録'!$S$5:$S$3004,A454,'潜水記録'!$T$5:$T$3004,1))</f>
        <v/>
      </c>
      <c r="O454" s="49">
        <f>IF(A454="","",COUNTIF('潜水記録'!$S$5:$S$3004,A454))</f>
        <v/>
      </c>
    </row>
    <row r="455">
      <c r="A455" s="47" t="n"/>
      <c r="B455" s="48" t="n"/>
      <c r="C455" s="47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  <c r="N455" s="49">
        <f>IF(A455="","",COUNTIFS('潜水記録'!$S$5:$S$3004,A455,'潜水記録'!$T$5:$T$3004,1))</f>
        <v/>
      </c>
      <c r="O455" s="49">
        <f>IF(A455="","",COUNTIF('潜水記録'!$S$5:$S$3004,A455))</f>
        <v/>
      </c>
    </row>
    <row r="456">
      <c r="A456" s="47" t="n"/>
      <c r="B456" s="48" t="n"/>
      <c r="C456" s="47" t="n"/>
      <c r="D456" s="47" t="n"/>
      <c r="E456" s="47" t="n"/>
      <c r="F456" s="47" t="n"/>
      <c r="G456" s="47" t="n"/>
      <c r="H456" s="47" t="n"/>
      <c r="I456" s="47" t="n"/>
      <c r="J456" s="47" t="n"/>
      <c r="K456" s="47" t="n"/>
      <c r="L456" s="47" t="n"/>
      <c r="M456" s="47" t="n"/>
      <c r="N456" s="49">
        <f>IF(A456="","",COUNTIFS('潜水記録'!$S$5:$S$3004,A456,'潜水記録'!$T$5:$T$3004,1))</f>
        <v/>
      </c>
      <c r="O456" s="49">
        <f>IF(A456="","",COUNTIF('潜水記録'!$S$5:$S$3004,A456))</f>
        <v/>
      </c>
    </row>
    <row r="457">
      <c r="A457" s="47" t="n"/>
      <c r="B457" s="48" t="n"/>
      <c r="C457" s="47" t="n"/>
      <c r="D457" s="47" t="n"/>
      <c r="E457" s="47" t="n"/>
      <c r="F457" s="47" t="n"/>
      <c r="G457" s="47" t="n"/>
      <c r="H457" s="47" t="n"/>
      <c r="I457" s="47" t="n"/>
      <c r="J457" s="47" t="n"/>
      <c r="K457" s="47" t="n"/>
      <c r="L457" s="47" t="n"/>
      <c r="M457" s="47" t="n"/>
      <c r="N457" s="49">
        <f>IF(A457="","",COUNTIFS('潜水記録'!$S$5:$S$3004,A457,'潜水記録'!$T$5:$T$3004,1))</f>
        <v/>
      </c>
      <c r="O457" s="49">
        <f>IF(A457="","",COUNTIF('潜水記録'!$S$5:$S$3004,A457))</f>
        <v/>
      </c>
    </row>
    <row r="458">
      <c r="A458" s="47" t="n"/>
      <c r="B458" s="48" t="n"/>
      <c r="C458" s="47" t="n"/>
      <c r="D458" s="47" t="n"/>
      <c r="E458" s="47" t="n"/>
      <c r="F458" s="47" t="n"/>
      <c r="G458" s="47" t="n"/>
      <c r="H458" s="47" t="n"/>
      <c r="I458" s="47" t="n"/>
      <c r="J458" s="47" t="n"/>
      <c r="K458" s="47" t="n"/>
      <c r="L458" s="47" t="n"/>
      <c r="M458" s="47" t="n"/>
      <c r="N458" s="49">
        <f>IF(A458="","",COUNTIFS('潜水記録'!$S$5:$S$3004,A458,'潜水記録'!$T$5:$T$3004,1))</f>
        <v/>
      </c>
      <c r="O458" s="49">
        <f>IF(A458="","",COUNTIF('潜水記録'!$S$5:$S$3004,A458))</f>
        <v/>
      </c>
    </row>
    <row r="459">
      <c r="A459" s="47" t="n"/>
      <c r="B459" s="48" t="n"/>
      <c r="C459" s="47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  <c r="N459" s="49">
        <f>IF(A459="","",COUNTIFS('潜水記録'!$S$5:$S$3004,A459,'潜水記録'!$T$5:$T$3004,1))</f>
        <v/>
      </c>
      <c r="O459" s="49">
        <f>IF(A459="","",COUNTIF('潜水記録'!$S$5:$S$3004,A459))</f>
        <v/>
      </c>
    </row>
    <row r="460">
      <c r="A460" s="47" t="n"/>
      <c r="B460" s="48" t="n"/>
      <c r="C460" s="47" t="n"/>
      <c r="D460" s="47" t="n"/>
      <c r="E460" s="47" t="n"/>
      <c r="F460" s="47" t="n"/>
      <c r="G460" s="47" t="n"/>
      <c r="H460" s="47" t="n"/>
      <c r="I460" s="47" t="n"/>
      <c r="J460" s="47" t="n"/>
      <c r="K460" s="47" t="n"/>
      <c r="L460" s="47" t="n"/>
      <c r="M460" s="47" t="n"/>
      <c r="N460" s="49">
        <f>IF(A460="","",COUNTIFS('潜水記録'!$S$5:$S$3004,A460,'潜水記録'!$T$5:$T$3004,1))</f>
        <v/>
      </c>
      <c r="O460" s="49">
        <f>IF(A460="","",COUNTIF('潜水記録'!$S$5:$S$3004,A460))</f>
        <v/>
      </c>
    </row>
    <row r="461">
      <c r="A461" s="47" t="n"/>
      <c r="B461" s="48" t="n"/>
      <c r="C461" s="47" t="n"/>
      <c r="D461" s="47" t="n"/>
      <c r="E461" s="47" t="n"/>
      <c r="F461" s="47" t="n"/>
      <c r="G461" s="47" t="n"/>
      <c r="H461" s="47" t="n"/>
      <c r="I461" s="47" t="n"/>
      <c r="J461" s="47" t="n"/>
      <c r="K461" s="47" t="n"/>
      <c r="L461" s="47" t="n"/>
      <c r="M461" s="47" t="n"/>
      <c r="N461" s="49">
        <f>IF(A461="","",COUNTIFS('潜水記録'!$S$5:$S$3004,A461,'潜水記録'!$T$5:$T$3004,1))</f>
        <v/>
      </c>
      <c r="O461" s="49">
        <f>IF(A461="","",COUNTIF('潜水記録'!$S$5:$S$3004,A461))</f>
        <v/>
      </c>
    </row>
    <row r="462">
      <c r="A462" s="47" t="n"/>
      <c r="B462" s="48" t="n"/>
      <c r="C462" s="47" t="n"/>
      <c r="D462" s="47" t="n"/>
      <c r="E462" s="47" t="n"/>
      <c r="F462" s="47" t="n"/>
      <c r="G462" s="47" t="n"/>
      <c r="H462" s="47" t="n"/>
      <c r="I462" s="47" t="n"/>
      <c r="J462" s="47" t="n"/>
      <c r="K462" s="47" t="n"/>
      <c r="L462" s="47" t="n"/>
      <c r="M462" s="47" t="n"/>
      <c r="N462" s="49">
        <f>IF(A462="","",COUNTIFS('潜水記録'!$S$5:$S$3004,A462,'潜水記録'!$T$5:$T$3004,1))</f>
        <v/>
      </c>
      <c r="O462" s="49">
        <f>IF(A462="","",COUNTIF('潜水記録'!$S$5:$S$3004,A462))</f>
        <v/>
      </c>
    </row>
    <row r="463">
      <c r="A463" s="47" t="n"/>
      <c r="B463" s="48" t="n"/>
      <c r="C463" s="47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  <c r="N463" s="49">
        <f>IF(A463="","",COUNTIFS('潜水記録'!$S$5:$S$3004,A463,'潜水記録'!$T$5:$T$3004,1))</f>
        <v/>
      </c>
      <c r="O463" s="49">
        <f>IF(A463="","",COUNTIF('潜水記録'!$S$5:$S$3004,A463))</f>
        <v/>
      </c>
    </row>
    <row r="464">
      <c r="A464" s="47" t="n"/>
      <c r="B464" s="48" t="n"/>
      <c r="C464" s="47" t="n"/>
      <c r="D464" s="47" t="n"/>
      <c r="E464" s="47" t="n"/>
      <c r="F464" s="47" t="n"/>
      <c r="G464" s="47" t="n"/>
      <c r="H464" s="47" t="n"/>
      <c r="I464" s="47" t="n"/>
      <c r="J464" s="47" t="n"/>
      <c r="K464" s="47" t="n"/>
      <c r="L464" s="47" t="n"/>
      <c r="M464" s="47" t="n"/>
      <c r="N464" s="49">
        <f>IF(A464="","",COUNTIFS('潜水記録'!$S$5:$S$3004,A464,'潜水記録'!$T$5:$T$3004,1))</f>
        <v/>
      </c>
      <c r="O464" s="49">
        <f>IF(A464="","",COUNTIF('潜水記録'!$S$5:$S$3004,A464))</f>
        <v/>
      </c>
    </row>
    <row r="465">
      <c r="A465" s="47" t="n"/>
      <c r="B465" s="48" t="n"/>
      <c r="C465" s="47" t="n"/>
      <c r="D465" s="47" t="n"/>
      <c r="E465" s="47" t="n"/>
      <c r="F465" s="47" t="n"/>
      <c r="G465" s="47" t="n"/>
      <c r="H465" s="47" t="n"/>
      <c r="I465" s="47" t="n"/>
      <c r="J465" s="47" t="n"/>
      <c r="K465" s="47" t="n"/>
      <c r="L465" s="47" t="n"/>
      <c r="M465" s="47" t="n"/>
      <c r="N465" s="49">
        <f>IF(A465="","",COUNTIFS('潜水記録'!$S$5:$S$3004,A465,'潜水記録'!$T$5:$T$3004,1))</f>
        <v/>
      </c>
      <c r="O465" s="49">
        <f>IF(A465="","",COUNTIF('潜水記録'!$S$5:$S$3004,A465))</f>
        <v/>
      </c>
    </row>
    <row r="466">
      <c r="A466" s="47" t="n"/>
      <c r="B466" s="48" t="n"/>
      <c r="C466" s="47" t="n"/>
      <c r="D466" s="47" t="n"/>
      <c r="E466" s="47" t="n"/>
      <c r="F466" s="47" t="n"/>
      <c r="G466" s="47" t="n"/>
      <c r="H466" s="47" t="n"/>
      <c r="I466" s="47" t="n"/>
      <c r="J466" s="47" t="n"/>
      <c r="K466" s="47" t="n"/>
      <c r="L466" s="47" t="n"/>
      <c r="M466" s="47" t="n"/>
      <c r="N466" s="49">
        <f>IF(A466="","",COUNTIFS('潜水記録'!$S$5:$S$3004,A466,'潜水記録'!$T$5:$T$3004,1))</f>
        <v/>
      </c>
      <c r="O466" s="49">
        <f>IF(A466="","",COUNTIF('潜水記録'!$S$5:$S$3004,A466))</f>
        <v/>
      </c>
    </row>
    <row r="467">
      <c r="A467" s="47" t="n"/>
      <c r="B467" s="48" t="n"/>
      <c r="C467" s="47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  <c r="N467" s="49">
        <f>IF(A467="","",COUNTIFS('潜水記録'!$S$5:$S$3004,A467,'潜水記録'!$T$5:$T$3004,1))</f>
        <v/>
      </c>
      <c r="O467" s="49">
        <f>IF(A467="","",COUNTIF('潜水記録'!$S$5:$S$3004,A467))</f>
        <v/>
      </c>
    </row>
    <row r="468">
      <c r="A468" s="47" t="n"/>
      <c r="B468" s="48" t="n"/>
      <c r="C468" s="47" t="n"/>
      <c r="D468" s="47" t="n"/>
      <c r="E468" s="47" t="n"/>
      <c r="F468" s="47" t="n"/>
      <c r="G468" s="47" t="n"/>
      <c r="H468" s="47" t="n"/>
      <c r="I468" s="47" t="n"/>
      <c r="J468" s="47" t="n"/>
      <c r="K468" s="47" t="n"/>
      <c r="L468" s="47" t="n"/>
      <c r="M468" s="47" t="n"/>
      <c r="N468" s="49">
        <f>IF(A468="","",COUNTIFS('潜水記録'!$S$5:$S$3004,A468,'潜水記録'!$T$5:$T$3004,1))</f>
        <v/>
      </c>
      <c r="O468" s="49">
        <f>IF(A468="","",COUNTIF('潜水記録'!$S$5:$S$3004,A468))</f>
        <v/>
      </c>
    </row>
    <row r="469">
      <c r="A469" s="47" t="n"/>
      <c r="B469" s="48" t="n"/>
      <c r="C469" s="47" t="n"/>
      <c r="D469" s="47" t="n"/>
      <c r="E469" s="47" t="n"/>
      <c r="F469" s="47" t="n"/>
      <c r="G469" s="47" t="n"/>
      <c r="H469" s="47" t="n"/>
      <c r="I469" s="47" t="n"/>
      <c r="J469" s="47" t="n"/>
      <c r="K469" s="47" t="n"/>
      <c r="L469" s="47" t="n"/>
      <c r="M469" s="47" t="n"/>
      <c r="N469" s="49">
        <f>IF(A469="","",COUNTIFS('潜水記録'!$S$5:$S$3004,A469,'潜水記録'!$T$5:$T$3004,1))</f>
        <v/>
      </c>
      <c r="O469" s="49">
        <f>IF(A469="","",COUNTIF('潜水記録'!$S$5:$S$3004,A469))</f>
        <v/>
      </c>
    </row>
    <row r="470">
      <c r="A470" s="47" t="n"/>
      <c r="B470" s="48" t="n"/>
      <c r="C470" s="47" t="n"/>
      <c r="D470" s="47" t="n"/>
      <c r="E470" s="47" t="n"/>
      <c r="F470" s="47" t="n"/>
      <c r="G470" s="47" t="n"/>
      <c r="H470" s="47" t="n"/>
      <c r="I470" s="47" t="n"/>
      <c r="J470" s="47" t="n"/>
      <c r="K470" s="47" t="n"/>
      <c r="L470" s="47" t="n"/>
      <c r="M470" s="47" t="n"/>
      <c r="N470" s="49">
        <f>IF(A470="","",COUNTIFS('潜水記録'!$S$5:$S$3004,A470,'潜水記録'!$T$5:$T$3004,1))</f>
        <v/>
      </c>
      <c r="O470" s="49">
        <f>IF(A470="","",COUNTIF('潜水記録'!$S$5:$S$3004,A470))</f>
        <v/>
      </c>
    </row>
    <row r="471">
      <c r="A471" s="47" t="n"/>
      <c r="B471" s="48" t="n"/>
      <c r="C471" s="47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  <c r="N471" s="49">
        <f>IF(A471="","",COUNTIFS('潜水記録'!$S$5:$S$3004,A471,'潜水記録'!$T$5:$T$3004,1))</f>
        <v/>
      </c>
      <c r="O471" s="49">
        <f>IF(A471="","",COUNTIF('潜水記録'!$S$5:$S$3004,A471))</f>
        <v/>
      </c>
    </row>
    <row r="472">
      <c r="A472" s="47" t="n"/>
      <c r="B472" s="48" t="n"/>
      <c r="C472" s="47" t="n"/>
      <c r="D472" s="47" t="n"/>
      <c r="E472" s="47" t="n"/>
      <c r="F472" s="47" t="n"/>
      <c r="G472" s="47" t="n"/>
      <c r="H472" s="47" t="n"/>
      <c r="I472" s="47" t="n"/>
      <c r="J472" s="47" t="n"/>
      <c r="K472" s="47" t="n"/>
      <c r="L472" s="47" t="n"/>
      <c r="M472" s="47" t="n"/>
      <c r="N472" s="49">
        <f>IF(A472="","",COUNTIFS('潜水記録'!$S$5:$S$3004,A472,'潜水記録'!$T$5:$T$3004,1))</f>
        <v/>
      </c>
      <c r="O472" s="49">
        <f>IF(A472="","",COUNTIF('潜水記録'!$S$5:$S$3004,A472))</f>
        <v/>
      </c>
    </row>
    <row r="473">
      <c r="A473" s="47" t="n"/>
      <c r="B473" s="48" t="n"/>
      <c r="C473" s="47" t="n"/>
      <c r="D473" s="47" t="n"/>
      <c r="E473" s="47" t="n"/>
      <c r="F473" s="47" t="n"/>
      <c r="G473" s="47" t="n"/>
      <c r="H473" s="47" t="n"/>
      <c r="I473" s="47" t="n"/>
      <c r="J473" s="47" t="n"/>
      <c r="K473" s="47" t="n"/>
      <c r="L473" s="47" t="n"/>
      <c r="M473" s="47" t="n"/>
      <c r="N473" s="49">
        <f>IF(A473="","",COUNTIFS('潜水記録'!$S$5:$S$3004,A473,'潜水記録'!$T$5:$T$3004,1))</f>
        <v/>
      </c>
      <c r="O473" s="49">
        <f>IF(A473="","",COUNTIF('潜水記録'!$S$5:$S$3004,A473))</f>
        <v/>
      </c>
    </row>
    <row r="474">
      <c r="A474" s="47" t="n"/>
      <c r="B474" s="48" t="n"/>
      <c r="C474" s="47" t="n"/>
      <c r="D474" s="47" t="n"/>
      <c r="E474" s="47" t="n"/>
      <c r="F474" s="47" t="n"/>
      <c r="G474" s="47" t="n"/>
      <c r="H474" s="47" t="n"/>
      <c r="I474" s="47" t="n"/>
      <c r="J474" s="47" t="n"/>
      <c r="K474" s="47" t="n"/>
      <c r="L474" s="47" t="n"/>
      <c r="M474" s="47" t="n"/>
      <c r="N474" s="49">
        <f>IF(A474="","",COUNTIFS('潜水記録'!$S$5:$S$3004,A474,'潜水記録'!$T$5:$T$3004,1))</f>
        <v/>
      </c>
      <c r="O474" s="49">
        <f>IF(A474="","",COUNTIF('潜水記録'!$S$5:$S$3004,A474))</f>
        <v/>
      </c>
    </row>
    <row r="475">
      <c r="A475" s="47" t="n"/>
      <c r="B475" s="48" t="n"/>
      <c r="C475" s="47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  <c r="N475" s="49">
        <f>IF(A475="","",COUNTIFS('潜水記録'!$S$5:$S$3004,A475,'潜水記録'!$T$5:$T$3004,1))</f>
        <v/>
      </c>
      <c r="O475" s="49">
        <f>IF(A475="","",COUNTIF('潜水記録'!$S$5:$S$3004,A475))</f>
        <v/>
      </c>
    </row>
    <row r="476">
      <c r="A476" s="47" t="n"/>
      <c r="B476" s="48" t="n"/>
      <c r="C476" s="47" t="n"/>
      <c r="D476" s="47" t="n"/>
      <c r="E476" s="47" t="n"/>
      <c r="F476" s="47" t="n"/>
      <c r="G476" s="47" t="n"/>
      <c r="H476" s="47" t="n"/>
      <c r="I476" s="47" t="n"/>
      <c r="J476" s="47" t="n"/>
      <c r="K476" s="47" t="n"/>
      <c r="L476" s="47" t="n"/>
      <c r="M476" s="47" t="n"/>
      <c r="N476" s="49">
        <f>IF(A476="","",COUNTIFS('潜水記録'!$S$5:$S$3004,A476,'潜水記録'!$T$5:$T$3004,1))</f>
        <v/>
      </c>
      <c r="O476" s="49">
        <f>IF(A476="","",COUNTIF('潜水記録'!$S$5:$S$3004,A476))</f>
        <v/>
      </c>
    </row>
    <row r="477">
      <c r="A477" s="47" t="n"/>
      <c r="B477" s="48" t="n"/>
      <c r="C477" s="47" t="n"/>
      <c r="D477" s="47" t="n"/>
      <c r="E477" s="47" t="n"/>
      <c r="F477" s="47" t="n"/>
      <c r="G477" s="47" t="n"/>
      <c r="H477" s="47" t="n"/>
      <c r="I477" s="47" t="n"/>
      <c r="J477" s="47" t="n"/>
      <c r="K477" s="47" t="n"/>
      <c r="L477" s="47" t="n"/>
      <c r="M477" s="47" t="n"/>
      <c r="N477" s="49">
        <f>IF(A477="","",COUNTIFS('潜水記録'!$S$5:$S$3004,A477,'潜水記録'!$T$5:$T$3004,1))</f>
        <v/>
      </c>
      <c r="O477" s="49">
        <f>IF(A477="","",COUNTIF('潜水記録'!$S$5:$S$3004,A477))</f>
        <v/>
      </c>
    </row>
    <row r="478">
      <c r="A478" s="47" t="n"/>
      <c r="B478" s="48" t="n"/>
      <c r="C478" s="47" t="n"/>
      <c r="D478" s="47" t="n"/>
      <c r="E478" s="47" t="n"/>
      <c r="F478" s="47" t="n"/>
      <c r="G478" s="47" t="n"/>
      <c r="H478" s="47" t="n"/>
      <c r="I478" s="47" t="n"/>
      <c r="J478" s="47" t="n"/>
      <c r="K478" s="47" t="n"/>
      <c r="L478" s="47" t="n"/>
      <c r="M478" s="47" t="n"/>
      <c r="N478" s="49">
        <f>IF(A478="","",COUNTIFS('潜水記録'!$S$5:$S$3004,A478,'潜水記録'!$T$5:$T$3004,1))</f>
        <v/>
      </c>
      <c r="O478" s="49">
        <f>IF(A478="","",COUNTIF('潜水記録'!$S$5:$S$3004,A478))</f>
        <v/>
      </c>
    </row>
    <row r="479">
      <c r="A479" s="47" t="n"/>
      <c r="B479" s="48" t="n"/>
      <c r="C479" s="47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  <c r="N479" s="49">
        <f>IF(A479="","",COUNTIFS('潜水記録'!$S$5:$S$3004,A479,'潜水記録'!$T$5:$T$3004,1))</f>
        <v/>
      </c>
      <c r="O479" s="49">
        <f>IF(A479="","",COUNTIF('潜水記録'!$S$5:$S$3004,A479))</f>
        <v/>
      </c>
    </row>
    <row r="480">
      <c r="A480" s="47" t="n"/>
      <c r="B480" s="48" t="n"/>
      <c r="C480" s="47" t="n"/>
      <c r="D480" s="47" t="n"/>
      <c r="E480" s="47" t="n"/>
      <c r="F480" s="47" t="n"/>
      <c r="G480" s="47" t="n"/>
      <c r="H480" s="47" t="n"/>
      <c r="I480" s="47" t="n"/>
      <c r="J480" s="47" t="n"/>
      <c r="K480" s="47" t="n"/>
      <c r="L480" s="47" t="n"/>
      <c r="M480" s="47" t="n"/>
      <c r="N480" s="49">
        <f>IF(A480="","",COUNTIFS('潜水記録'!$S$5:$S$3004,A480,'潜水記録'!$T$5:$T$3004,1))</f>
        <v/>
      </c>
      <c r="O480" s="49">
        <f>IF(A480="","",COUNTIF('潜水記録'!$S$5:$S$3004,A480))</f>
        <v/>
      </c>
    </row>
    <row r="481">
      <c r="A481" s="47" t="n"/>
      <c r="B481" s="48" t="n"/>
      <c r="C481" s="47" t="n"/>
      <c r="D481" s="47" t="n"/>
      <c r="E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  <c r="N481" s="49">
        <f>IF(A481="","",COUNTIFS('潜水記録'!$S$5:$S$3004,A481,'潜水記録'!$T$5:$T$3004,1))</f>
        <v/>
      </c>
      <c r="O481" s="49">
        <f>IF(A481="","",COUNTIF('潜水記録'!$S$5:$S$3004,A481))</f>
        <v/>
      </c>
    </row>
    <row r="482">
      <c r="A482" s="47" t="n"/>
      <c r="B482" s="48" t="n"/>
      <c r="C482" s="47" t="n"/>
      <c r="D482" s="47" t="n"/>
      <c r="E482" s="47" t="n"/>
      <c r="F482" s="47" t="n"/>
      <c r="G482" s="47" t="n"/>
      <c r="H482" s="47" t="n"/>
      <c r="I482" s="47" t="n"/>
      <c r="J482" s="47" t="n"/>
      <c r="K482" s="47" t="n"/>
      <c r="L482" s="47" t="n"/>
      <c r="M482" s="47" t="n"/>
      <c r="N482" s="49">
        <f>IF(A482="","",COUNTIFS('潜水記録'!$S$5:$S$3004,A482,'潜水記録'!$T$5:$T$3004,1))</f>
        <v/>
      </c>
      <c r="O482" s="49">
        <f>IF(A482="","",COUNTIF('潜水記録'!$S$5:$S$3004,A482))</f>
        <v/>
      </c>
    </row>
    <row r="483">
      <c r="A483" s="47" t="n"/>
      <c r="B483" s="48" t="n"/>
      <c r="C483" s="47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  <c r="N483" s="49">
        <f>IF(A483="","",COUNTIFS('潜水記録'!$S$5:$S$3004,A483,'潜水記録'!$T$5:$T$3004,1))</f>
        <v/>
      </c>
      <c r="O483" s="49">
        <f>IF(A483="","",COUNTIF('潜水記録'!$S$5:$S$3004,A483))</f>
        <v/>
      </c>
    </row>
    <row r="484">
      <c r="A484" s="47" t="n"/>
      <c r="B484" s="48" t="n"/>
      <c r="C484" s="47" t="n"/>
      <c r="D484" s="47" t="n"/>
      <c r="E484" s="47" t="n"/>
      <c r="F484" s="47" t="n"/>
      <c r="G484" s="47" t="n"/>
      <c r="H484" s="47" t="n"/>
      <c r="I484" s="47" t="n"/>
      <c r="J484" s="47" t="n"/>
      <c r="K484" s="47" t="n"/>
      <c r="L484" s="47" t="n"/>
      <c r="M484" s="47" t="n"/>
      <c r="N484" s="49">
        <f>IF(A484="","",COUNTIFS('潜水記録'!$S$5:$S$3004,A484,'潜水記録'!$T$5:$T$3004,1))</f>
        <v/>
      </c>
      <c r="O484" s="49">
        <f>IF(A484="","",COUNTIF('潜水記録'!$S$5:$S$3004,A484))</f>
        <v/>
      </c>
    </row>
    <row r="485">
      <c r="A485" s="47" t="n"/>
      <c r="B485" s="48" t="n"/>
      <c r="C485" s="47" t="n"/>
      <c r="D485" s="47" t="n"/>
      <c r="E485" s="47" t="n"/>
      <c r="F485" s="47" t="n"/>
      <c r="G485" s="47" t="n"/>
      <c r="H485" s="47" t="n"/>
      <c r="I485" s="47" t="n"/>
      <c r="J485" s="47" t="n"/>
      <c r="K485" s="47" t="n"/>
      <c r="L485" s="47" t="n"/>
      <c r="M485" s="47" t="n"/>
      <c r="N485" s="49">
        <f>IF(A485="","",COUNTIFS('潜水記録'!$S$5:$S$3004,A485,'潜水記録'!$T$5:$T$3004,1))</f>
        <v/>
      </c>
      <c r="O485" s="49">
        <f>IF(A485="","",COUNTIF('潜水記録'!$S$5:$S$3004,A485))</f>
        <v/>
      </c>
    </row>
    <row r="486">
      <c r="A486" s="47" t="n"/>
      <c r="B486" s="48" t="n"/>
      <c r="C486" s="47" t="n"/>
      <c r="D486" s="47" t="n"/>
      <c r="E486" s="47" t="n"/>
      <c r="F486" s="47" t="n"/>
      <c r="G486" s="47" t="n"/>
      <c r="H486" s="47" t="n"/>
      <c r="I486" s="47" t="n"/>
      <c r="J486" s="47" t="n"/>
      <c r="K486" s="47" t="n"/>
      <c r="L486" s="47" t="n"/>
      <c r="M486" s="47" t="n"/>
      <c r="N486" s="49">
        <f>IF(A486="","",COUNTIFS('潜水記録'!$S$5:$S$3004,A486,'潜水記録'!$T$5:$T$3004,1))</f>
        <v/>
      </c>
      <c r="O486" s="49">
        <f>IF(A486="","",COUNTIF('潜水記録'!$S$5:$S$3004,A486))</f>
        <v/>
      </c>
    </row>
    <row r="487">
      <c r="A487" s="47" t="n"/>
      <c r="B487" s="48" t="n"/>
      <c r="C487" s="47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  <c r="N487" s="49">
        <f>IF(A487="","",COUNTIFS('潜水記録'!$S$5:$S$3004,A487,'潜水記録'!$T$5:$T$3004,1))</f>
        <v/>
      </c>
      <c r="O487" s="49">
        <f>IF(A487="","",COUNTIF('潜水記録'!$S$5:$S$3004,A487))</f>
        <v/>
      </c>
    </row>
    <row r="488">
      <c r="A488" s="47" t="n"/>
      <c r="B488" s="48" t="n"/>
      <c r="C488" s="47" t="n"/>
      <c r="D488" s="47" t="n"/>
      <c r="E488" s="47" t="n"/>
      <c r="F488" s="47" t="n"/>
      <c r="G488" s="47" t="n"/>
      <c r="H488" s="47" t="n"/>
      <c r="I488" s="47" t="n"/>
      <c r="J488" s="47" t="n"/>
      <c r="K488" s="47" t="n"/>
      <c r="L488" s="47" t="n"/>
      <c r="M488" s="47" t="n"/>
      <c r="N488" s="49">
        <f>IF(A488="","",COUNTIFS('潜水記録'!$S$5:$S$3004,A488,'潜水記録'!$T$5:$T$3004,1))</f>
        <v/>
      </c>
      <c r="O488" s="49">
        <f>IF(A488="","",COUNTIF('潜水記録'!$S$5:$S$3004,A488))</f>
        <v/>
      </c>
    </row>
    <row r="489">
      <c r="A489" s="47" t="n"/>
      <c r="B489" s="48" t="n"/>
      <c r="C489" s="47" t="n"/>
      <c r="D489" s="47" t="n"/>
      <c r="E489" s="47" t="n"/>
      <c r="F489" s="47" t="n"/>
      <c r="G489" s="47" t="n"/>
      <c r="H489" s="47" t="n"/>
      <c r="I489" s="47" t="n"/>
      <c r="J489" s="47" t="n"/>
      <c r="K489" s="47" t="n"/>
      <c r="L489" s="47" t="n"/>
      <c r="M489" s="47" t="n"/>
      <c r="N489" s="49">
        <f>IF(A489="","",COUNTIFS('潜水記録'!$S$5:$S$3004,A489,'潜水記録'!$T$5:$T$3004,1))</f>
        <v/>
      </c>
      <c r="O489" s="49">
        <f>IF(A489="","",COUNTIF('潜水記録'!$S$5:$S$3004,A489))</f>
        <v/>
      </c>
    </row>
    <row r="490">
      <c r="A490" s="47" t="n"/>
      <c r="B490" s="48" t="n"/>
      <c r="C490" s="47" t="n"/>
      <c r="D490" s="47" t="n"/>
      <c r="E490" s="47" t="n"/>
      <c r="F490" s="47" t="n"/>
      <c r="G490" s="47" t="n"/>
      <c r="H490" s="47" t="n"/>
      <c r="I490" s="47" t="n"/>
      <c r="J490" s="47" t="n"/>
      <c r="K490" s="47" t="n"/>
      <c r="L490" s="47" t="n"/>
      <c r="M490" s="47" t="n"/>
      <c r="N490" s="49">
        <f>IF(A490="","",COUNTIFS('潜水記録'!$S$5:$S$3004,A490,'潜水記録'!$T$5:$T$3004,1))</f>
        <v/>
      </c>
      <c r="O490" s="49">
        <f>IF(A490="","",COUNTIF('潜水記録'!$S$5:$S$3004,A490))</f>
        <v/>
      </c>
    </row>
    <row r="491">
      <c r="A491" s="47" t="n"/>
      <c r="B491" s="48" t="n"/>
      <c r="C491" s="47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  <c r="N491" s="49">
        <f>IF(A491="","",COUNTIFS('潜水記録'!$S$5:$S$3004,A491,'潜水記録'!$T$5:$T$3004,1))</f>
        <v/>
      </c>
      <c r="O491" s="49">
        <f>IF(A491="","",COUNTIF('潜水記録'!$S$5:$S$3004,A491))</f>
        <v/>
      </c>
    </row>
    <row r="492">
      <c r="A492" s="47" t="n"/>
      <c r="B492" s="48" t="n"/>
      <c r="C492" s="47" t="n"/>
      <c r="D492" s="47" t="n"/>
      <c r="E492" s="47" t="n"/>
      <c r="F492" s="47" t="n"/>
      <c r="G492" s="47" t="n"/>
      <c r="H492" s="47" t="n"/>
      <c r="I492" s="47" t="n"/>
      <c r="J492" s="47" t="n"/>
      <c r="K492" s="47" t="n"/>
      <c r="L492" s="47" t="n"/>
      <c r="M492" s="47" t="n"/>
      <c r="N492" s="49">
        <f>IF(A492="","",COUNTIFS('潜水記録'!$S$5:$S$3004,A492,'潜水記録'!$T$5:$T$3004,1))</f>
        <v/>
      </c>
      <c r="O492" s="49">
        <f>IF(A492="","",COUNTIF('潜水記録'!$S$5:$S$3004,A492))</f>
        <v/>
      </c>
    </row>
    <row r="493">
      <c r="A493" s="47" t="n"/>
      <c r="B493" s="48" t="n"/>
      <c r="C493" s="47" t="n"/>
      <c r="D493" s="47" t="n"/>
      <c r="E493" s="47" t="n"/>
      <c r="F493" s="47" t="n"/>
      <c r="G493" s="47" t="n"/>
      <c r="H493" s="47" t="n"/>
      <c r="I493" s="47" t="n"/>
      <c r="J493" s="47" t="n"/>
      <c r="K493" s="47" t="n"/>
      <c r="L493" s="47" t="n"/>
      <c r="M493" s="47" t="n"/>
      <c r="N493" s="49">
        <f>IF(A493="","",COUNTIFS('潜水記録'!$S$5:$S$3004,A493,'潜水記録'!$T$5:$T$3004,1))</f>
        <v/>
      </c>
      <c r="O493" s="49">
        <f>IF(A493="","",COUNTIF('潜水記録'!$S$5:$S$3004,A493))</f>
        <v/>
      </c>
    </row>
    <row r="494">
      <c r="A494" s="47" t="n"/>
      <c r="B494" s="48" t="n"/>
      <c r="C494" s="47" t="n"/>
      <c r="D494" s="47" t="n"/>
      <c r="E494" s="47" t="n"/>
      <c r="F494" s="47" t="n"/>
      <c r="G494" s="47" t="n"/>
      <c r="H494" s="47" t="n"/>
      <c r="I494" s="47" t="n"/>
      <c r="J494" s="47" t="n"/>
      <c r="K494" s="47" t="n"/>
      <c r="L494" s="47" t="n"/>
      <c r="M494" s="47" t="n"/>
      <c r="N494" s="49">
        <f>IF(A494="","",COUNTIFS('潜水記録'!$S$5:$S$3004,A494,'潜水記録'!$T$5:$T$3004,1))</f>
        <v/>
      </c>
      <c r="O494" s="49">
        <f>IF(A494="","",COUNTIF('潜水記録'!$S$5:$S$3004,A494))</f>
        <v/>
      </c>
    </row>
    <row r="495">
      <c r="A495" s="47" t="n"/>
      <c r="B495" s="48" t="n"/>
      <c r="C495" s="47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  <c r="N495" s="49">
        <f>IF(A495="","",COUNTIFS('潜水記録'!$S$5:$S$3004,A495,'潜水記録'!$T$5:$T$3004,1))</f>
        <v/>
      </c>
      <c r="O495" s="49">
        <f>IF(A495="","",COUNTIF('潜水記録'!$S$5:$S$3004,A495))</f>
        <v/>
      </c>
    </row>
    <row r="496">
      <c r="A496" s="47" t="n"/>
      <c r="B496" s="48" t="n"/>
      <c r="C496" s="47" t="n"/>
      <c r="D496" s="47" t="n"/>
      <c r="E496" s="47" t="n"/>
      <c r="F496" s="47" t="n"/>
      <c r="G496" s="47" t="n"/>
      <c r="H496" s="47" t="n"/>
      <c r="I496" s="47" t="n"/>
      <c r="J496" s="47" t="n"/>
      <c r="K496" s="47" t="n"/>
      <c r="L496" s="47" t="n"/>
      <c r="M496" s="47" t="n"/>
      <c r="N496" s="49">
        <f>IF(A496="","",COUNTIFS('潜水記録'!$S$5:$S$3004,A496,'潜水記録'!$T$5:$T$3004,1))</f>
        <v/>
      </c>
      <c r="O496" s="49">
        <f>IF(A496="","",COUNTIF('潜水記録'!$S$5:$S$3004,A496))</f>
        <v/>
      </c>
    </row>
    <row r="497">
      <c r="A497" s="47" t="n"/>
      <c r="B497" s="48" t="n"/>
      <c r="C497" s="47" t="n"/>
      <c r="D497" s="47" t="n"/>
      <c r="E497" s="47" t="n"/>
      <c r="F497" s="47" t="n"/>
      <c r="G497" s="47" t="n"/>
      <c r="H497" s="47" t="n"/>
      <c r="I497" s="47" t="n"/>
      <c r="J497" s="47" t="n"/>
      <c r="K497" s="47" t="n"/>
      <c r="L497" s="47" t="n"/>
      <c r="M497" s="47" t="n"/>
      <c r="N497" s="49">
        <f>IF(A497="","",COUNTIFS('潜水記録'!$S$5:$S$3004,A497,'潜水記録'!$T$5:$T$3004,1))</f>
        <v/>
      </c>
      <c r="O497" s="49">
        <f>IF(A497="","",COUNTIF('潜水記録'!$S$5:$S$3004,A497))</f>
        <v/>
      </c>
    </row>
    <row r="498">
      <c r="A498" s="47" t="n"/>
      <c r="B498" s="48" t="n"/>
      <c r="C498" s="47" t="n"/>
      <c r="D498" s="47" t="n"/>
      <c r="E498" s="47" t="n"/>
      <c r="F498" s="47" t="n"/>
      <c r="G498" s="47" t="n"/>
      <c r="H498" s="47" t="n"/>
      <c r="I498" s="47" t="n"/>
      <c r="J498" s="47" t="n"/>
      <c r="K498" s="47" t="n"/>
      <c r="L498" s="47" t="n"/>
      <c r="M498" s="47" t="n"/>
      <c r="N498" s="49">
        <f>IF(A498="","",COUNTIFS('潜水記録'!$S$5:$S$3004,A498,'潜水記録'!$T$5:$T$3004,1))</f>
        <v/>
      </c>
      <c r="O498" s="49">
        <f>IF(A498="","",COUNTIF('潜水記録'!$S$5:$S$3004,A498))</f>
        <v/>
      </c>
    </row>
    <row r="499">
      <c r="A499" s="47" t="n"/>
      <c r="B499" s="48" t="n"/>
      <c r="C499" s="47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  <c r="N499" s="49">
        <f>IF(A499="","",COUNTIFS('潜水記録'!$S$5:$S$3004,A499,'潜水記録'!$T$5:$T$3004,1))</f>
        <v/>
      </c>
      <c r="O499" s="49">
        <f>IF(A499="","",COUNTIF('潜水記録'!$S$5:$S$3004,A499))</f>
        <v/>
      </c>
    </row>
    <row r="500">
      <c r="A500" s="47" t="n"/>
      <c r="B500" s="48" t="n"/>
      <c r="C500" s="47" t="n"/>
      <c r="D500" s="47" t="n"/>
      <c r="E500" s="47" t="n"/>
      <c r="F500" s="47" t="n"/>
      <c r="G500" s="47" t="n"/>
      <c r="H500" s="47" t="n"/>
      <c r="I500" s="47" t="n"/>
      <c r="J500" s="47" t="n"/>
      <c r="K500" s="47" t="n"/>
      <c r="L500" s="47" t="n"/>
      <c r="M500" s="47" t="n"/>
      <c r="N500" s="49">
        <f>IF(A500="","",COUNTIFS('潜水記録'!$S$5:$S$3004,A500,'潜水記録'!$T$5:$T$3004,1))</f>
        <v/>
      </c>
      <c r="O500" s="49">
        <f>IF(A500="","",COUNTIF('潜水記録'!$S$5:$S$3004,A500))</f>
        <v/>
      </c>
    </row>
    <row r="501">
      <c r="A501" s="47" t="n"/>
      <c r="B501" s="48" t="n"/>
      <c r="C501" s="47" t="n"/>
      <c r="D501" s="47" t="n"/>
      <c r="E501" s="47" t="n"/>
      <c r="F501" s="47" t="n"/>
      <c r="G501" s="47" t="n"/>
      <c r="H501" s="47" t="n"/>
      <c r="I501" s="47" t="n"/>
      <c r="J501" s="47" t="n"/>
      <c r="K501" s="47" t="n"/>
      <c r="L501" s="47" t="n"/>
      <c r="M501" s="47" t="n"/>
      <c r="N501" s="49">
        <f>IF(A501="","",COUNTIFS('潜水記録'!$S$5:$S$3004,A501,'潜水記録'!$T$5:$T$3004,1))</f>
        <v/>
      </c>
      <c r="O501" s="49">
        <f>IF(A501="","",COUNTIF('潜水記録'!$S$5:$S$3004,A501))</f>
        <v/>
      </c>
    </row>
    <row r="502">
      <c r="A502" s="47" t="n"/>
      <c r="B502" s="48" t="n"/>
      <c r="C502" s="47" t="n"/>
      <c r="D502" s="47" t="n"/>
      <c r="E502" s="47" t="n"/>
      <c r="F502" s="47" t="n"/>
      <c r="G502" s="47" t="n"/>
      <c r="H502" s="47" t="n"/>
      <c r="I502" s="47" t="n"/>
      <c r="J502" s="47" t="n"/>
      <c r="K502" s="47" t="n"/>
      <c r="L502" s="47" t="n"/>
      <c r="M502" s="47" t="n"/>
      <c r="N502" s="49">
        <f>IF(A502="","",COUNTIFS('潜水記録'!$S$5:$S$3004,A502,'潜水記録'!$T$5:$T$3004,1))</f>
        <v/>
      </c>
      <c r="O502" s="49">
        <f>IF(A502="","",COUNTIF('潜水記録'!$S$5:$S$3004,A502))</f>
        <v/>
      </c>
    </row>
    <row r="503">
      <c r="A503" s="47" t="n"/>
      <c r="B503" s="48" t="n"/>
      <c r="C503" s="47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  <c r="N503" s="49">
        <f>IF(A503="","",COUNTIFS('潜水記録'!$S$5:$S$3004,A503,'潜水記録'!$T$5:$T$3004,1))</f>
        <v/>
      </c>
      <c r="O503" s="49">
        <f>IF(A503="","",COUNTIF('潜水記録'!$S$5:$S$3004,A503))</f>
        <v/>
      </c>
    </row>
    <row r="504">
      <c r="A504" s="47" t="n"/>
      <c r="B504" s="48" t="n"/>
      <c r="C504" s="47" t="n"/>
      <c r="D504" s="47" t="n"/>
      <c r="E504" s="47" t="n"/>
      <c r="F504" s="47" t="n"/>
      <c r="G504" s="47" t="n"/>
      <c r="H504" s="47" t="n"/>
      <c r="I504" s="47" t="n"/>
      <c r="J504" s="47" t="n"/>
      <c r="K504" s="47" t="n"/>
      <c r="L504" s="47" t="n"/>
      <c r="M504" s="47" t="n"/>
      <c r="N504" s="49">
        <f>IF(A504="","",COUNTIFS('潜水記録'!$S$5:$S$3004,A504,'潜水記録'!$T$5:$T$3004,1))</f>
        <v/>
      </c>
      <c r="O504" s="49">
        <f>IF(A504="","",COUNTIF('潜水記録'!$S$5:$S$3004,A504))</f>
        <v/>
      </c>
    </row>
    <row r="505">
      <c r="A505" s="47" t="n"/>
      <c r="B505" s="48" t="n"/>
      <c r="C505" s="47" t="n"/>
      <c r="D505" s="47" t="n"/>
      <c r="E505" s="47" t="n"/>
      <c r="F505" s="47" t="n"/>
      <c r="G505" s="47" t="n"/>
      <c r="H505" s="47" t="n"/>
      <c r="I505" s="47" t="n"/>
      <c r="J505" s="47" t="n"/>
      <c r="K505" s="47" t="n"/>
      <c r="L505" s="47" t="n"/>
      <c r="M505" s="47" t="n"/>
      <c r="N505" s="49">
        <f>IF(A505="","",COUNTIFS('潜水記録'!$S$5:$S$3004,A505,'潜水記録'!$T$5:$T$3004,1))</f>
        <v/>
      </c>
      <c r="O505" s="49">
        <f>IF(A505="","",COUNTIF('潜水記録'!$S$5:$S$3004,A505))</f>
        <v/>
      </c>
    </row>
    <row r="506">
      <c r="A506" s="47" t="n"/>
      <c r="B506" s="48" t="n"/>
      <c r="C506" s="47" t="n"/>
      <c r="D506" s="47" t="n"/>
      <c r="E506" s="47" t="n"/>
      <c r="F506" s="47" t="n"/>
      <c r="G506" s="47" t="n"/>
      <c r="H506" s="47" t="n"/>
      <c r="I506" s="47" t="n"/>
      <c r="J506" s="47" t="n"/>
      <c r="K506" s="47" t="n"/>
      <c r="L506" s="47" t="n"/>
      <c r="M506" s="47" t="n"/>
      <c r="N506" s="49">
        <f>IF(A506="","",COUNTIFS('潜水記録'!$S$5:$S$3004,A506,'潜水記録'!$T$5:$T$3004,1))</f>
        <v/>
      </c>
      <c r="O506" s="49">
        <f>IF(A506="","",COUNTIF('潜水記録'!$S$5:$S$3004,A506))</f>
        <v/>
      </c>
    </row>
    <row r="507">
      <c r="A507" s="47" t="n"/>
      <c r="B507" s="48" t="n"/>
      <c r="C507" s="47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  <c r="N507" s="49">
        <f>IF(A507="","",COUNTIFS('潜水記録'!$S$5:$S$3004,A507,'潜水記録'!$T$5:$T$3004,1))</f>
        <v/>
      </c>
      <c r="O507" s="49">
        <f>IF(A507="","",COUNTIF('潜水記録'!$S$5:$S$3004,A507))</f>
        <v/>
      </c>
    </row>
    <row r="508">
      <c r="A508" s="47" t="n"/>
      <c r="B508" s="48" t="n"/>
      <c r="C508" s="47" t="n"/>
      <c r="D508" s="47" t="n"/>
      <c r="E508" s="47" t="n"/>
      <c r="F508" s="47" t="n"/>
      <c r="G508" s="47" t="n"/>
      <c r="H508" s="47" t="n"/>
      <c r="I508" s="47" t="n"/>
      <c r="J508" s="47" t="n"/>
      <c r="K508" s="47" t="n"/>
      <c r="L508" s="47" t="n"/>
      <c r="M508" s="47" t="n"/>
      <c r="N508" s="49">
        <f>IF(A508="","",COUNTIFS('潜水記録'!$S$5:$S$3004,A508,'潜水記録'!$T$5:$T$3004,1))</f>
        <v/>
      </c>
      <c r="O508" s="49">
        <f>IF(A508="","",COUNTIF('潜水記録'!$S$5:$S$3004,A508))</f>
        <v/>
      </c>
    </row>
    <row r="509">
      <c r="A509" s="47" t="n"/>
      <c r="B509" s="48" t="n"/>
      <c r="C509" s="47" t="n"/>
      <c r="D509" s="47" t="n"/>
      <c r="E509" s="47" t="n"/>
      <c r="F509" s="47" t="n"/>
      <c r="G509" s="47" t="n"/>
      <c r="H509" s="47" t="n"/>
      <c r="I509" s="47" t="n"/>
      <c r="J509" s="47" t="n"/>
      <c r="K509" s="47" t="n"/>
      <c r="L509" s="47" t="n"/>
      <c r="M509" s="47" t="n"/>
      <c r="N509" s="49">
        <f>IF(A509="","",COUNTIFS('潜水記録'!$S$5:$S$3004,A509,'潜水記録'!$T$5:$T$3004,1))</f>
        <v/>
      </c>
      <c r="O509" s="49">
        <f>IF(A509="","",COUNTIF('潜水記録'!$S$5:$S$3004,A509))</f>
        <v/>
      </c>
    </row>
    <row r="510">
      <c r="A510" s="47" t="n"/>
      <c r="B510" s="48" t="n"/>
      <c r="C510" s="47" t="n"/>
      <c r="D510" s="47" t="n"/>
      <c r="E510" s="47" t="n"/>
      <c r="F510" s="47" t="n"/>
      <c r="G510" s="47" t="n"/>
      <c r="H510" s="47" t="n"/>
      <c r="I510" s="47" t="n"/>
      <c r="J510" s="47" t="n"/>
      <c r="K510" s="47" t="n"/>
      <c r="L510" s="47" t="n"/>
      <c r="M510" s="47" t="n"/>
      <c r="N510" s="49">
        <f>IF(A510="","",COUNTIFS('潜水記録'!$S$5:$S$3004,A510,'潜水記録'!$T$5:$T$3004,1))</f>
        <v/>
      </c>
      <c r="O510" s="49">
        <f>IF(A510="","",COUNTIF('潜水記録'!$S$5:$S$3004,A510))</f>
        <v/>
      </c>
    </row>
    <row r="511">
      <c r="A511" s="47" t="n"/>
      <c r="B511" s="48" t="n"/>
      <c r="C511" s="47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  <c r="N511" s="49">
        <f>IF(A511="","",COUNTIFS('潜水記録'!$S$5:$S$3004,A511,'潜水記録'!$T$5:$T$3004,1))</f>
        <v/>
      </c>
      <c r="O511" s="49">
        <f>IF(A511="","",COUNTIF('潜水記録'!$S$5:$S$3004,A511))</f>
        <v/>
      </c>
    </row>
    <row r="512">
      <c r="A512" s="47" t="n"/>
      <c r="B512" s="48" t="n"/>
      <c r="C512" s="47" t="n"/>
      <c r="D512" s="47" t="n"/>
      <c r="E512" s="47" t="n"/>
      <c r="F512" s="47" t="n"/>
      <c r="G512" s="47" t="n"/>
      <c r="H512" s="47" t="n"/>
      <c r="I512" s="47" t="n"/>
      <c r="J512" s="47" t="n"/>
      <c r="K512" s="47" t="n"/>
      <c r="L512" s="47" t="n"/>
      <c r="M512" s="47" t="n"/>
      <c r="N512" s="49">
        <f>IF(A512="","",COUNTIFS('潜水記録'!$S$5:$S$3004,A512,'潜水記録'!$T$5:$T$3004,1))</f>
        <v/>
      </c>
      <c r="O512" s="49">
        <f>IF(A512="","",COUNTIF('潜水記録'!$S$5:$S$3004,A512))</f>
        <v/>
      </c>
    </row>
    <row r="513">
      <c r="A513" s="47" t="n"/>
      <c r="B513" s="48" t="n"/>
      <c r="C513" s="47" t="n"/>
      <c r="D513" s="47" t="n"/>
      <c r="E513" s="47" t="n"/>
      <c r="F513" s="47" t="n"/>
      <c r="G513" s="47" t="n"/>
      <c r="H513" s="47" t="n"/>
      <c r="I513" s="47" t="n"/>
      <c r="J513" s="47" t="n"/>
      <c r="K513" s="47" t="n"/>
      <c r="L513" s="47" t="n"/>
      <c r="M513" s="47" t="n"/>
      <c r="N513" s="49">
        <f>IF(A513="","",COUNTIFS('潜水記録'!$S$5:$S$3004,A513,'潜水記録'!$T$5:$T$3004,1))</f>
        <v/>
      </c>
      <c r="O513" s="49">
        <f>IF(A513="","",COUNTIF('潜水記録'!$S$5:$S$3004,A513))</f>
        <v/>
      </c>
    </row>
    <row r="514">
      <c r="A514" s="47" t="n"/>
      <c r="B514" s="48" t="n"/>
      <c r="C514" s="47" t="n"/>
      <c r="D514" s="47" t="n"/>
      <c r="E514" s="47" t="n"/>
      <c r="F514" s="47" t="n"/>
      <c r="G514" s="47" t="n"/>
      <c r="H514" s="47" t="n"/>
      <c r="I514" s="47" t="n"/>
      <c r="J514" s="47" t="n"/>
      <c r="K514" s="47" t="n"/>
      <c r="L514" s="47" t="n"/>
      <c r="M514" s="47" t="n"/>
      <c r="N514" s="49">
        <f>IF(A514="","",COUNTIFS('潜水記録'!$S$5:$S$3004,A514,'潜水記録'!$T$5:$T$3004,1))</f>
        <v/>
      </c>
      <c r="O514" s="49">
        <f>IF(A514="","",COUNTIF('潜水記録'!$S$5:$S$3004,A514))</f>
        <v/>
      </c>
    </row>
    <row r="515">
      <c r="A515" s="47" t="n"/>
      <c r="B515" s="48" t="n"/>
      <c r="C515" s="47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  <c r="N515" s="49">
        <f>IF(A515="","",COUNTIFS('潜水記録'!$S$5:$S$3004,A515,'潜水記録'!$T$5:$T$3004,1))</f>
        <v/>
      </c>
      <c r="O515" s="49">
        <f>IF(A515="","",COUNTIF('潜水記録'!$S$5:$S$3004,A515))</f>
        <v/>
      </c>
    </row>
    <row r="516">
      <c r="A516" s="47" t="n"/>
      <c r="B516" s="48" t="n"/>
      <c r="C516" s="47" t="n"/>
      <c r="D516" s="47" t="n"/>
      <c r="E516" s="47" t="n"/>
      <c r="F516" s="47" t="n"/>
      <c r="G516" s="47" t="n"/>
      <c r="H516" s="47" t="n"/>
      <c r="I516" s="47" t="n"/>
      <c r="J516" s="47" t="n"/>
      <c r="K516" s="47" t="n"/>
      <c r="L516" s="47" t="n"/>
      <c r="M516" s="47" t="n"/>
      <c r="N516" s="49">
        <f>IF(A516="","",COUNTIFS('潜水記録'!$S$5:$S$3004,A516,'潜水記録'!$T$5:$T$3004,1))</f>
        <v/>
      </c>
      <c r="O516" s="49">
        <f>IF(A516="","",COUNTIF('潜水記録'!$S$5:$S$3004,A516))</f>
        <v/>
      </c>
    </row>
    <row r="517">
      <c r="A517" s="47" t="n"/>
      <c r="B517" s="48" t="n"/>
      <c r="C517" s="47" t="n"/>
      <c r="D517" s="47" t="n"/>
      <c r="E517" s="47" t="n"/>
      <c r="F517" s="47" t="n"/>
      <c r="G517" s="47" t="n"/>
      <c r="H517" s="47" t="n"/>
      <c r="I517" s="47" t="n"/>
      <c r="J517" s="47" t="n"/>
      <c r="K517" s="47" t="n"/>
      <c r="L517" s="47" t="n"/>
      <c r="M517" s="47" t="n"/>
      <c r="N517" s="49">
        <f>IF(A517="","",COUNTIFS('潜水記録'!$S$5:$S$3004,A517,'潜水記録'!$T$5:$T$3004,1))</f>
        <v/>
      </c>
      <c r="O517" s="49">
        <f>IF(A517="","",COUNTIF('潜水記録'!$S$5:$S$3004,A517))</f>
        <v/>
      </c>
    </row>
    <row r="518">
      <c r="A518" s="47" t="n"/>
      <c r="B518" s="48" t="n"/>
      <c r="C518" s="47" t="n"/>
      <c r="D518" s="47" t="n"/>
      <c r="E518" s="47" t="n"/>
      <c r="F518" s="47" t="n"/>
      <c r="G518" s="47" t="n"/>
      <c r="H518" s="47" t="n"/>
      <c r="I518" s="47" t="n"/>
      <c r="J518" s="47" t="n"/>
      <c r="K518" s="47" t="n"/>
      <c r="L518" s="47" t="n"/>
      <c r="M518" s="47" t="n"/>
      <c r="N518" s="49">
        <f>IF(A518="","",COUNTIFS('潜水記録'!$S$5:$S$3004,A518,'潜水記録'!$T$5:$T$3004,1))</f>
        <v/>
      </c>
      <c r="O518" s="49">
        <f>IF(A518="","",COUNTIF('潜水記録'!$S$5:$S$3004,A518))</f>
        <v/>
      </c>
    </row>
    <row r="519">
      <c r="A519" s="47" t="n"/>
      <c r="B519" s="48" t="n"/>
      <c r="C519" s="47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  <c r="N519" s="49">
        <f>IF(A519="","",COUNTIFS('潜水記録'!$S$5:$S$3004,A519,'潜水記録'!$T$5:$T$3004,1))</f>
        <v/>
      </c>
      <c r="O519" s="49">
        <f>IF(A519="","",COUNTIF('潜水記録'!$S$5:$S$3004,A519))</f>
        <v/>
      </c>
    </row>
    <row r="520">
      <c r="A520" s="47" t="n"/>
      <c r="B520" s="48" t="n"/>
      <c r="C520" s="47" t="n"/>
      <c r="D520" s="47" t="n"/>
      <c r="E520" s="47" t="n"/>
      <c r="F520" s="47" t="n"/>
      <c r="G520" s="47" t="n"/>
      <c r="H520" s="47" t="n"/>
      <c r="I520" s="47" t="n"/>
      <c r="J520" s="47" t="n"/>
      <c r="K520" s="47" t="n"/>
      <c r="L520" s="47" t="n"/>
      <c r="M520" s="47" t="n"/>
      <c r="N520" s="49">
        <f>IF(A520="","",COUNTIFS('潜水記録'!$S$5:$S$3004,A520,'潜水記録'!$T$5:$T$3004,1))</f>
        <v/>
      </c>
      <c r="O520" s="49">
        <f>IF(A520="","",COUNTIF('潜水記録'!$S$5:$S$3004,A520))</f>
        <v/>
      </c>
    </row>
    <row r="521">
      <c r="A521" s="47" t="n"/>
      <c r="B521" s="48" t="n"/>
      <c r="C521" s="47" t="n"/>
      <c r="D521" s="47" t="n"/>
      <c r="E521" s="47" t="n"/>
      <c r="F521" s="47" t="n"/>
      <c r="G521" s="47" t="n"/>
      <c r="H521" s="47" t="n"/>
      <c r="I521" s="47" t="n"/>
      <c r="J521" s="47" t="n"/>
      <c r="K521" s="47" t="n"/>
      <c r="L521" s="47" t="n"/>
      <c r="M521" s="47" t="n"/>
      <c r="N521" s="49">
        <f>IF(A521="","",COUNTIFS('潜水記録'!$S$5:$S$3004,A521,'潜水記録'!$T$5:$T$3004,1))</f>
        <v/>
      </c>
      <c r="O521" s="49">
        <f>IF(A521="","",COUNTIF('潜水記録'!$S$5:$S$3004,A521))</f>
        <v/>
      </c>
    </row>
    <row r="522">
      <c r="A522" s="47" t="n"/>
      <c r="B522" s="48" t="n"/>
      <c r="C522" s="47" t="n"/>
      <c r="D522" s="47" t="n"/>
      <c r="E522" s="47" t="n"/>
      <c r="F522" s="47" t="n"/>
      <c r="G522" s="47" t="n"/>
      <c r="H522" s="47" t="n"/>
      <c r="I522" s="47" t="n"/>
      <c r="J522" s="47" t="n"/>
      <c r="K522" s="47" t="n"/>
      <c r="L522" s="47" t="n"/>
      <c r="M522" s="47" t="n"/>
      <c r="N522" s="49">
        <f>IF(A522="","",COUNTIFS('潜水記録'!$S$5:$S$3004,A522,'潜水記録'!$T$5:$T$3004,1))</f>
        <v/>
      </c>
      <c r="O522" s="49">
        <f>IF(A522="","",COUNTIF('潜水記録'!$S$5:$S$3004,A522))</f>
        <v/>
      </c>
    </row>
    <row r="523">
      <c r="A523" s="47" t="n"/>
      <c r="B523" s="48" t="n"/>
      <c r="C523" s="47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  <c r="N523" s="49">
        <f>IF(A523="","",COUNTIFS('潜水記録'!$S$5:$S$3004,A523,'潜水記録'!$T$5:$T$3004,1))</f>
        <v/>
      </c>
      <c r="O523" s="49">
        <f>IF(A523="","",COUNTIF('潜水記録'!$S$5:$S$3004,A523))</f>
        <v/>
      </c>
    </row>
    <row r="524">
      <c r="A524" s="47" t="n"/>
      <c r="B524" s="48" t="n"/>
      <c r="C524" s="47" t="n"/>
      <c r="D524" s="47" t="n"/>
      <c r="E524" s="47" t="n"/>
      <c r="F524" s="47" t="n"/>
      <c r="G524" s="47" t="n"/>
      <c r="H524" s="47" t="n"/>
      <c r="I524" s="47" t="n"/>
      <c r="J524" s="47" t="n"/>
      <c r="K524" s="47" t="n"/>
      <c r="L524" s="47" t="n"/>
      <c r="M524" s="47" t="n"/>
      <c r="N524" s="49">
        <f>IF(A524="","",COUNTIFS('潜水記録'!$S$5:$S$3004,A524,'潜水記録'!$T$5:$T$3004,1))</f>
        <v/>
      </c>
      <c r="O524" s="49">
        <f>IF(A524="","",COUNTIF('潜水記録'!$S$5:$S$3004,A524))</f>
        <v/>
      </c>
    </row>
    <row r="525">
      <c r="A525" s="47" t="n"/>
      <c r="B525" s="48" t="n"/>
      <c r="C525" s="47" t="n"/>
      <c r="D525" s="47" t="n"/>
      <c r="E525" s="47" t="n"/>
      <c r="F525" s="47" t="n"/>
      <c r="G525" s="47" t="n"/>
      <c r="H525" s="47" t="n"/>
      <c r="I525" s="47" t="n"/>
      <c r="J525" s="47" t="n"/>
      <c r="K525" s="47" t="n"/>
      <c r="L525" s="47" t="n"/>
      <c r="M525" s="47" t="n"/>
      <c r="N525" s="49">
        <f>IF(A525="","",COUNTIFS('潜水記録'!$S$5:$S$3004,A525,'潜水記録'!$T$5:$T$3004,1))</f>
        <v/>
      </c>
      <c r="O525" s="49">
        <f>IF(A525="","",COUNTIF('潜水記録'!$S$5:$S$3004,A525))</f>
        <v/>
      </c>
    </row>
    <row r="526">
      <c r="A526" s="47" t="n"/>
      <c r="B526" s="48" t="n"/>
      <c r="C526" s="47" t="n"/>
      <c r="D526" s="47" t="n"/>
      <c r="E526" s="47" t="n"/>
      <c r="F526" s="47" t="n"/>
      <c r="G526" s="47" t="n"/>
      <c r="H526" s="47" t="n"/>
      <c r="I526" s="47" t="n"/>
      <c r="J526" s="47" t="n"/>
      <c r="K526" s="47" t="n"/>
      <c r="L526" s="47" t="n"/>
      <c r="M526" s="47" t="n"/>
      <c r="N526" s="49">
        <f>IF(A526="","",COUNTIFS('潜水記録'!$S$5:$S$3004,A526,'潜水記録'!$T$5:$T$3004,1))</f>
        <v/>
      </c>
      <c r="O526" s="49">
        <f>IF(A526="","",COUNTIF('潜水記録'!$S$5:$S$3004,A526))</f>
        <v/>
      </c>
    </row>
    <row r="527">
      <c r="A527" s="47" t="n"/>
      <c r="B527" s="48" t="n"/>
      <c r="C527" s="47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  <c r="N527" s="49">
        <f>IF(A527="","",COUNTIFS('潜水記録'!$S$5:$S$3004,A527,'潜水記録'!$T$5:$T$3004,1))</f>
        <v/>
      </c>
      <c r="O527" s="49">
        <f>IF(A527="","",COUNTIF('潜水記録'!$S$5:$S$3004,A527))</f>
        <v/>
      </c>
    </row>
    <row r="528">
      <c r="A528" s="47" t="n"/>
      <c r="B528" s="48" t="n"/>
      <c r="C528" s="47" t="n"/>
      <c r="D528" s="47" t="n"/>
      <c r="E528" s="47" t="n"/>
      <c r="F528" s="47" t="n"/>
      <c r="G528" s="47" t="n"/>
      <c r="H528" s="47" t="n"/>
      <c r="I528" s="47" t="n"/>
      <c r="J528" s="47" t="n"/>
      <c r="K528" s="47" t="n"/>
      <c r="L528" s="47" t="n"/>
      <c r="M528" s="47" t="n"/>
      <c r="N528" s="49">
        <f>IF(A528="","",COUNTIFS('潜水記録'!$S$5:$S$3004,A528,'潜水記録'!$T$5:$T$3004,1))</f>
        <v/>
      </c>
      <c r="O528" s="49">
        <f>IF(A528="","",COUNTIF('潜水記録'!$S$5:$S$3004,A528))</f>
        <v/>
      </c>
    </row>
    <row r="529">
      <c r="A529" s="47" t="n"/>
      <c r="B529" s="48" t="n"/>
      <c r="C529" s="47" t="n"/>
      <c r="D529" s="47" t="n"/>
      <c r="E529" s="47" t="n"/>
      <c r="F529" s="47" t="n"/>
      <c r="G529" s="47" t="n"/>
      <c r="H529" s="47" t="n"/>
      <c r="I529" s="47" t="n"/>
      <c r="J529" s="47" t="n"/>
      <c r="K529" s="47" t="n"/>
      <c r="L529" s="47" t="n"/>
      <c r="M529" s="47" t="n"/>
      <c r="N529" s="49">
        <f>IF(A529="","",COUNTIFS('潜水記録'!$S$5:$S$3004,A529,'潜水記録'!$T$5:$T$3004,1))</f>
        <v/>
      </c>
      <c r="O529" s="49">
        <f>IF(A529="","",COUNTIF('潜水記録'!$S$5:$S$3004,A529))</f>
        <v/>
      </c>
    </row>
    <row r="530">
      <c r="A530" s="47" t="n"/>
      <c r="B530" s="48" t="n"/>
      <c r="C530" s="47" t="n"/>
      <c r="D530" s="47" t="n"/>
      <c r="E530" s="47" t="n"/>
      <c r="F530" s="47" t="n"/>
      <c r="G530" s="47" t="n"/>
      <c r="H530" s="47" t="n"/>
      <c r="I530" s="47" t="n"/>
      <c r="J530" s="47" t="n"/>
      <c r="K530" s="47" t="n"/>
      <c r="L530" s="47" t="n"/>
      <c r="M530" s="47" t="n"/>
      <c r="N530" s="49">
        <f>IF(A530="","",COUNTIFS('潜水記録'!$S$5:$S$3004,A530,'潜水記録'!$T$5:$T$3004,1))</f>
        <v/>
      </c>
      <c r="O530" s="49">
        <f>IF(A530="","",COUNTIF('潜水記録'!$S$5:$S$3004,A530))</f>
        <v/>
      </c>
    </row>
    <row r="531">
      <c r="A531" s="47" t="n"/>
      <c r="B531" s="48" t="n"/>
      <c r="C531" s="47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  <c r="N531" s="49">
        <f>IF(A531="","",COUNTIFS('潜水記録'!$S$5:$S$3004,A531,'潜水記録'!$T$5:$T$3004,1))</f>
        <v/>
      </c>
      <c r="O531" s="49">
        <f>IF(A531="","",COUNTIF('潜水記録'!$S$5:$S$3004,A531))</f>
        <v/>
      </c>
    </row>
    <row r="532">
      <c r="A532" s="47" t="n"/>
      <c r="B532" s="48" t="n"/>
      <c r="C532" s="47" t="n"/>
      <c r="D532" s="47" t="n"/>
      <c r="E532" s="47" t="n"/>
      <c r="F532" s="47" t="n"/>
      <c r="G532" s="47" t="n"/>
      <c r="H532" s="47" t="n"/>
      <c r="I532" s="47" t="n"/>
      <c r="J532" s="47" t="n"/>
      <c r="K532" s="47" t="n"/>
      <c r="L532" s="47" t="n"/>
      <c r="M532" s="47" t="n"/>
      <c r="N532" s="49">
        <f>IF(A532="","",COUNTIFS('潜水記録'!$S$5:$S$3004,A532,'潜水記録'!$T$5:$T$3004,1))</f>
        <v/>
      </c>
      <c r="O532" s="49">
        <f>IF(A532="","",COUNTIF('潜水記録'!$S$5:$S$3004,A532))</f>
        <v/>
      </c>
    </row>
    <row r="533">
      <c r="A533" s="47" t="n"/>
      <c r="B533" s="48" t="n"/>
      <c r="C533" s="47" t="n"/>
      <c r="D533" s="47" t="n"/>
      <c r="E533" s="47" t="n"/>
      <c r="F533" s="47" t="n"/>
      <c r="G533" s="47" t="n"/>
      <c r="H533" s="47" t="n"/>
      <c r="I533" s="47" t="n"/>
      <c r="J533" s="47" t="n"/>
      <c r="K533" s="47" t="n"/>
      <c r="L533" s="47" t="n"/>
      <c r="M533" s="47" t="n"/>
      <c r="N533" s="49">
        <f>IF(A533="","",COUNTIFS('潜水記録'!$S$5:$S$3004,A533,'潜水記録'!$T$5:$T$3004,1))</f>
        <v/>
      </c>
      <c r="O533" s="49">
        <f>IF(A533="","",COUNTIF('潜水記録'!$S$5:$S$3004,A533))</f>
        <v/>
      </c>
    </row>
    <row r="534">
      <c r="A534" s="47" t="n"/>
      <c r="B534" s="48" t="n"/>
      <c r="C534" s="47" t="n"/>
      <c r="D534" s="47" t="n"/>
      <c r="E534" s="47" t="n"/>
      <c r="F534" s="47" t="n"/>
      <c r="G534" s="47" t="n"/>
      <c r="H534" s="47" t="n"/>
      <c r="I534" s="47" t="n"/>
      <c r="J534" s="47" t="n"/>
      <c r="K534" s="47" t="n"/>
      <c r="L534" s="47" t="n"/>
      <c r="M534" s="47" t="n"/>
      <c r="N534" s="49">
        <f>IF(A534="","",COUNTIFS('潜水記録'!$S$5:$S$3004,A534,'潜水記録'!$T$5:$T$3004,1))</f>
        <v/>
      </c>
      <c r="O534" s="49">
        <f>IF(A534="","",COUNTIF('潜水記録'!$S$5:$S$3004,A534))</f>
        <v/>
      </c>
    </row>
    <row r="535">
      <c r="A535" s="47" t="n"/>
      <c r="B535" s="48" t="n"/>
      <c r="C535" s="47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  <c r="N535" s="49">
        <f>IF(A535="","",COUNTIFS('潜水記録'!$S$5:$S$3004,A535,'潜水記録'!$T$5:$T$3004,1))</f>
        <v/>
      </c>
      <c r="O535" s="49">
        <f>IF(A535="","",COUNTIF('潜水記録'!$S$5:$S$3004,A535))</f>
        <v/>
      </c>
    </row>
    <row r="536">
      <c r="A536" s="47" t="n"/>
      <c r="B536" s="48" t="n"/>
      <c r="C536" s="47" t="n"/>
      <c r="D536" s="47" t="n"/>
      <c r="E536" s="47" t="n"/>
      <c r="F536" s="47" t="n"/>
      <c r="G536" s="47" t="n"/>
      <c r="H536" s="47" t="n"/>
      <c r="I536" s="47" t="n"/>
      <c r="J536" s="47" t="n"/>
      <c r="K536" s="47" t="n"/>
      <c r="L536" s="47" t="n"/>
      <c r="M536" s="47" t="n"/>
      <c r="N536" s="49">
        <f>IF(A536="","",COUNTIFS('潜水記録'!$S$5:$S$3004,A536,'潜水記録'!$T$5:$T$3004,1))</f>
        <v/>
      </c>
      <c r="O536" s="49">
        <f>IF(A536="","",COUNTIF('潜水記録'!$S$5:$S$3004,A536))</f>
        <v/>
      </c>
    </row>
    <row r="537">
      <c r="A537" s="47" t="n"/>
      <c r="B537" s="48" t="n"/>
      <c r="C537" s="47" t="n"/>
      <c r="D537" s="47" t="n"/>
      <c r="E537" s="47" t="n"/>
      <c r="F537" s="47" t="n"/>
      <c r="G537" s="47" t="n"/>
      <c r="H537" s="47" t="n"/>
      <c r="I537" s="47" t="n"/>
      <c r="J537" s="47" t="n"/>
      <c r="K537" s="47" t="n"/>
      <c r="L537" s="47" t="n"/>
      <c r="M537" s="47" t="n"/>
      <c r="N537" s="49">
        <f>IF(A537="","",COUNTIFS('潜水記録'!$S$5:$S$3004,A537,'潜水記録'!$T$5:$T$3004,1))</f>
        <v/>
      </c>
      <c r="O537" s="49">
        <f>IF(A537="","",COUNTIF('潜水記録'!$S$5:$S$3004,A537))</f>
        <v/>
      </c>
    </row>
    <row r="538">
      <c r="A538" s="47" t="n"/>
      <c r="B538" s="48" t="n"/>
      <c r="C538" s="47" t="n"/>
      <c r="D538" s="47" t="n"/>
      <c r="E538" s="47" t="n"/>
      <c r="F538" s="47" t="n"/>
      <c r="G538" s="47" t="n"/>
      <c r="H538" s="47" t="n"/>
      <c r="I538" s="47" t="n"/>
      <c r="J538" s="47" t="n"/>
      <c r="K538" s="47" t="n"/>
      <c r="L538" s="47" t="n"/>
      <c r="M538" s="47" t="n"/>
      <c r="N538" s="49">
        <f>IF(A538="","",COUNTIFS('潜水記録'!$S$5:$S$3004,A538,'潜水記録'!$T$5:$T$3004,1))</f>
        <v/>
      </c>
      <c r="O538" s="49">
        <f>IF(A538="","",COUNTIF('潜水記録'!$S$5:$S$3004,A538))</f>
        <v/>
      </c>
    </row>
    <row r="539">
      <c r="A539" s="47" t="n"/>
      <c r="B539" s="48" t="n"/>
      <c r="C539" s="47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  <c r="N539" s="49">
        <f>IF(A539="","",COUNTIFS('潜水記録'!$S$5:$S$3004,A539,'潜水記録'!$T$5:$T$3004,1))</f>
        <v/>
      </c>
      <c r="O539" s="49">
        <f>IF(A539="","",COUNTIF('潜水記録'!$S$5:$S$3004,A539))</f>
        <v/>
      </c>
    </row>
    <row r="540">
      <c r="A540" s="47" t="n"/>
      <c r="B540" s="48" t="n"/>
      <c r="C540" s="47" t="n"/>
      <c r="D540" s="47" t="n"/>
      <c r="E540" s="47" t="n"/>
      <c r="F540" s="47" t="n"/>
      <c r="G540" s="47" t="n"/>
      <c r="H540" s="47" t="n"/>
      <c r="I540" s="47" t="n"/>
      <c r="J540" s="47" t="n"/>
      <c r="K540" s="47" t="n"/>
      <c r="L540" s="47" t="n"/>
      <c r="M540" s="47" t="n"/>
      <c r="N540" s="49">
        <f>IF(A540="","",COUNTIFS('潜水記録'!$S$5:$S$3004,A540,'潜水記録'!$T$5:$T$3004,1))</f>
        <v/>
      </c>
      <c r="O540" s="49">
        <f>IF(A540="","",COUNTIF('潜水記録'!$S$5:$S$3004,A540))</f>
        <v/>
      </c>
    </row>
    <row r="541">
      <c r="A541" s="47" t="n"/>
      <c r="B541" s="48" t="n"/>
      <c r="C541" s="47" t="n"/>
      <c r="D541" s="47" t="n"/>
      <c r="E541" s="47" t="n"/>
      <c r="F541" s="47" t="n"/>
      <c r="G541" s="47" t="n"/>
      <c r="H541" s="47" t="n"/>
      <c r="I541" s="47" t="n"/>
      <c r="J541" s="47" t="n"/>
      <c r="K541" s="47" t="n"/>
      <c r="L541" s="47" t="n"/>
      <c r="M541" s="47" t="n"/>
      <c r="N541" s="49">
        <f>IF(A541="","",COUNTIFS('潜水記録'!$S$5:$S$3004,A541,'潜水記録'!$T$5:$T$3004,1))</f>
        <v/>
      </c>
      <c r="O541" s="49">
        <f>IF(A541="","",COUNTIF('潜水記録'!$S$5:$S$3004,A541))</f>
        <v/>
      </c>
    </row>
    <row r="542">
      <c r="A542" s="47" t="n"/>
      <c r="B542" s="48" t="n"/>
      <c r="C542" s="47" t="n"/>
      <c r="D542" s="47" t="n"/>
      <c r="E542" s="47" t="n"/>
      <c r="F542" s="47" t="n"/>
      <c r="G542" s="47" t="n"/>
      <c r="H542" s="47" t="n"/>
      <c r="I542" s="47" t="n"/>
      <c r="J542" s="47" t="n"/>
      <c r="K542" s="47" t="n"/>
      <c r="L542" s="47" t="n"/>
      <c r="M542" s="47" t="n"/>
      <c r="N542" s="49">
        <f>IF(A542="","",COUNTIFS('潜水記録'!$S$5:$S$3004,A542,'潜水記録'!$T$5:$T$3004,1))</f>
        <v/>
      </c>
      <c r="O542" s="49">
        <f>IF(A542="","",COUNTIF('潜水記録'!$S$5:$S$3004,A542))</f>
        <v/>
      </c>
    </row>
    <row r="543">
      <c r="A543" s="47" t="n"/>
      <c r="B543" s="48" t="n"/>
      <c r="C543" s="47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  <c r="N543" s="49">
        <f>IF(A543="","",COUNTIFS('潜水記録'!$S$5:$S$3004,A543,'潜水記録'!$T$5:$T$3004,1))</f>
        <v/>
      </c>
      <c r="O543" s="49">
        <f>IF(A543="","",COUNTIF('潜水記録'!$S$5:$S$3004,A543))</f>
        <v/>
      </c>
    </row>
    <row r="544">
      <c r="A544" s="47" t="n"/>
      <c r="B544" s="48" t="n"/>
      <c r="C544" s="47" t="n"/>
      <c r="D544" s="47" t="n"/>
      <c r="E544" s="47" t="n"/>
      <c r="F544" s="47" t="n"/>
      <c r="G544" s="47" t="n"/>
      <c r="H544" s="47" t="n"/>
      <c r="I544" s="47" t="n"/>
      <c r="J544" s="47" t="n"/>
      <c r="K544" s="47" t="n"/>
      <c r="L544" s="47" t="n"/>
      <c r="M544" s="47" t="n"/>
      <c r="N544" s="49">
        <f>IF(A544="","",COUNTIFS('潜水記録'!$S$5:$S$3004,A544,'潜水記録'!$T$5:$T$3004,1))</f>
        <v/>
      </c>
      <c r="O544" s="49">
        <f>IF(A544="","",COUNTIF('潜水記録'!$S$5:$S$3004,A544))</f>
        <v/>
      </c>
    </row>
    <row r="545">
      <c r="A545" s="47" t="n"/>
      <c r="B545" s="48" t="n"/>
      <c r="C545" s="47" t="n"/>
      <c r="D545" s="47" t="n"/>
      <c r="E545" s="47" t="n"/>
      <c r="F545" s="47" t="n"/>
      <c r="G545" s="47" t="n"/>
      <c r="H545" s="47" t="n"/>
      <c r="I545" s="47" t="n"/>
      <c r="J545" s="47" t="n"/>
      <c r="K545" s="47" t="n"/>
      <c r="L545" s="47" t="n"/>
      <c r="M545" s="47" t="n"/>
      <c r="N545" s="49">
        <f>IF(A545="","",COUNTIFS('潜水記録'!$S$5:$S$3004,A545,'潜水記録'!$T$5:$T$3004,1))</f>
        <v/>
      </c>
      <c r="O545" s="49">
        <f>IF(A545="","",COUNTIF('潜水記録'!$S$5:$S$3004,A545))</f>
        <v/>
      </c>
    </row>
    <row r="546">
      <c r="A546" s="47" t="n"/>
      <c r="B546" s="48" t="n"/>
      <c r="C546" s="47" t="n"/>
      <c r="D546" s="47" t="n"/>
      <c r="E546" s="47" t="n"/>
      <c r="F546" s="47" t="n"/>
      <c r="G546" s="47" t="n"/>
      <c r="H546" s="47" t="n"/>
      <c r="I546" s="47" t="n"/>
      <c r="J546" s="47" t="n"/>
      <c r="K546" s="47" t="n"/>
      <c r="L546" s="47" t="n"/>
      <c r="M546" s="47" t="n"/>
      <c r="N546" s="49">
        <f>IF(A546="","",COUNTIFS('潜水記録'!$S$5:$S$3004,A546,'潜水記録'!$T$5:$T$3004,1))</f>
        <v/>
      </c>
      <c r="O546" s="49">
        <f>IF(A546="","",COUNTIF('潜水記録'!$S$5:$S$3004,A546))</f>
        <v/>
      </c>
    </row>
    <row r="547">
      <c r="A547" s="47" t="n"/>
      <c r="B547" s="48" t="n"/>
      <c r="C547" s="47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  <c r="N547" s="49">
        <f>IF(A547="","",COUNTIFS('潜水記録'!$S$5:$S$3004,A547,'潜水記録'!$T$5:$T$3004,1))</f>
        <v/>
      </c>
      <c r="O547" s="49">
        <f>IF(A547="","",COUNTIF('潜水記録'!$S$5:$S$3004,A547))</f>
        <v/>
      </c>
    </row>
    <row r="548">
      <c r="A548" s="47" t="n"/>
      <c r="B548" s="48" t="n"/>
      <c r="C548" s="47" t="n"/>
      <c r="D548" s="47" t="n"/>
      <c r="E548" s="47" t="n"/>
      <c r="F548" s="47" t="n"/>
      <c r="G548" s="47" t="n"/>
      <c r="H548" s="47" t="n"/>
      <c r="I548" s="47" t="n"/>
      <c r="J548" s="47" t="n"/>
      <c r="K548" s="47" t="n"/>
      <c r="L548" s="47" t="n"/>
      <c r="M548" s="47" t="n"/>
      <c r="N548" s="49">
        <f>IF(A548="","",COUNTIFS('潜水記録'!$S$5:$S$3004,A548,'潜水記録'!$T$5:$T$3004,1))</f>
        <v/>
      </c>
      <c r="O548" s="49">
        <f>IF(A548="","",COUNTIF('潜水記録'!$S$5:$S$3004,A548))</f>
        <v/>
      </c>
    </row>
    <row r="549">
      <c r="A549" s="47" t="n"/>
      <c r="B549" s="48" t="n"/>
      <c r="C549" s="47" t="n"/>
      <c r="D549" s="47" t="n"/>
      <c r="E549" s="47" t="n"/>
      <c r="F549" s="47" t="n"/>
      <c r="G549" s="47" t="n"/>
      <c r="H549" s="47" t="n"/>
      <c r="I549" s="47" t="n"/>
      <c r="J549" s="47" t="n"/>
      <c r="K549" s="47" t="n"/>
      <c r="L549" s="47" t="n"/>
      <c r="M549" s="47" t="n"/>
      <c r="N549" s="49">
        <f>IF(A549="","",COUNTIFS('潜水記録'!$S$5:$S$3004,A549,'潜水記録'!$T$5:$T$3004,1))</f>
        <v/>
      </c>
      <c r="O549" s="49">
        <f>IF(A549="","",COUNTIF('潜水記録'!$S$5:$S$3004,A549))</f>
        <v/>
      </c>
    </row>
    <row r="550">
      <c r="A550" s="47" t="n"/>
      <c r="B550" s="48" t="n"/>
      <c r="C550" s="47" t="n"/>
      <c r="D550" s="47" t="n"/>
      <c r="E550" s="47" t="n"/>
      <c r="F550" s="47" t="n"/>
      <c r="G550" s="47" t="n"/>
      <c r="H550" s="47" t="n"/>
      <c r="I550" s="47" t="n"/>
      <c r="J550" s="47" t="n"/>
      <c r="K550" s="47" t="n"/>
      <c r="L550" s="47" t="n"/>
      <c r="M550" s="47" t="n"/>
      <c r="N550" s="49">
        <f>IF(A550="","",COUNTIFS('潜水記録'!$S$5:$S$3004,A550,'潜水記録'!$T$5:$T$3004,1))</f>
        <v/>
      </c>
      <c r="O550" s="49">
        <f>IF(A550="","",COUNTIF('潜水記録'!$S$5:$S$3004,A550))</f>
        <v/>
      </c>
    </row>
    <row r="551">
      <c r="A551" s="47" t="n"/>
      <c r="B551" s="48" t="n"/>
      <c r="C551" s="47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  <c r="N551" s="49">
        <f>IF(A551="","",COUNTIFS('潜水記録'!$S$5:$S$3004,A551,'潜水記録'!$T$5:$T$3004,1))</f>
        <v/>
      </c>
      <c r="O551" s="49">
        <f>IF(A551="","",COUNTIF('潜水記録'!$S$5:$S$3004,A551))</f>
        <v/>
      </c>
    </row>
    <row r="552">
      <c r="A552" s="47" t="n"/>
      <c r="B552" s="48" t="n"/>
      <c r="C552" s="47" t="n"/>
      <c r="D552" s="47" t="n"/>
      <c r="E552" s="47" t="n"/>
      <c r="F552" s="47" t="n"/>
      <c r="G552" s="47" t="n"/>
      <c r="H552" s="47" t="n"/>
      <c r="I552" s="47" t="n"/>
      <c r="J552" s="47" t="n"/>
      <c r="K552" s="47" t="n"/>
      <c r="L552" s="47" t="n"/>
      <c r="M552" s="47" t="n"/>
      <c r="N552" s="49">
        <f>IF(A552="","",COUNTIFS('潜水記録'!$S$5:$S$3004,A552,'潜水記録'!$T$5:$T$3004,1))</f>
        <v/>
      </c>
      <c r="O552" s="49">
        <f>IF(A552="","",COUNTIF('潜水記録'!$S$5:$S$3004,A552))</f>
        <v/>
      </c>
    </row>
    <row r="553">
      <c r="A553" s="47" t="n"/>
      <c r="B553" s="48" t="n"/>
      <c r="C553" s="47" t="n"/>
      <c r="D553" s="47" t="n"/>
      <c r="E553" s="47" t="n"/>
      <c r="F553" s="47" t="n"/>
      <c r="G553" s="47" t="n"/>
      <c r="H553" s="47" t="n"/>
      <c r="I553" s="47" t="n"/>
      <c r="J553" s="47" t="n"/>
      <c r="K553" s="47" t="n"/>
      <c r="L553" s="47" t="n"/>
      <c r="M553" s="47" t="n"/>
      <c r="N553" s="49">
        <f>IF(A553="","",COUNTIFS('潜水記録'!$S$5:$S$3004,A553,'潜水記録'!$T$5:$T$3004,1))</f>
        <v/>
      </c>
      <c r="O553" s="49">
        <f>IF(A553="","",COUNTIF('潜水記録'!$S$5:$S$3004,A553))</f>
        <v/>
      </c>
    </row>
    <row r="554">
      <c r="A554" s="47" t="n"/>
      <c r="B554" s="48" t="n"/>
      <c r="C554" s="47" t="n"/>
      <c r="D554" s="47" t="n"/>
      <c r="E554" s="47" t="n"/>
      <c r="F554" s="47" t="n"/>
      <c r="G554" s="47" t="n"/>
      <c r="H554" s="47" t="n"/>
      <c r="I554" s="47" t="n"/>
      <c r="J554" s="47" t="n"/>
      <c r="K554" s="47" t="n"/>
      <c r="L554" s="47" t="n"/>
      <c r="M554" s="47" t="n"/>
      <c r="N554" s="49">
        <f>IF(A554="","",COUNTIFS('潜水記録'!$S$5:$S$3004,A554,'潜水記録'!$T$5:$T$3004,1))</f>
        <v/>
      </c>
      <c r="O554" s="49">
        <f>IF(A554="","",COUNTIF('潜水記録'!$S$5:$S$3004,A554))</f>
        <v/>
      </c>
    </row>
    <row r="555">
      <c r="A555" s="47" t="n"/>
      <c r="B555" s="48" t="n"/>
      <c r="C555" s="47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  <c r="N555" s="49">
        <f>IF(A555="","",COUNTIFS('潜水記録'!$S$5:$S$3004,A555,'潜水記録'!$T$5:$T$3004,1))</f>
        <v/>
      </c>
      <c r="O555" s="49">
        <f>IF(A555="","",COUNTIF('潜水記録'!$S$5:$S$3004,A555))</f>
        <v/>
      </c>
    </row>
    <row r="556">
      <c r="A556" s="47" t="n"/>
      <c r="B556" s="48" t="n"/>
      <c r="C556" s="47" t="n"/>
      <c r="D556" s="47" t="n"/>
      <c r="E556" s="47" t="n"/>
      <c r="F556" s="47" t="n"/>
      <c r="G556" s="47" t="n"/>
      <c r="H556" s="47" t="n"/>
      <c r="I556" s="47" t="n"/>
      <c r="J556" s="47" t="n"/>
      <c r="K556" s="47" t="n"/>
      <c r="L556" s="47" t="n"/>
      <c r="M556" s="47" t="n"/>
      <c r="N556" s="49">
        <f>IF(A556="","",COUNTIFS('潜水記録'!$S$5:$S$3004,A556,'潜水記録'!$T$5:$T$3004,1))</f>
        <v/>
      </c>
      <c r="O556" s="49">
        <f>IF(A556="","",COUNTIF('潜水記録'!$S$5:$S$3004,A556))</f>
        <v/>
      </c>
    </row>
    <row r="557">
      <c r="A557" s="47" t="n"/>
      <c r="B557" s="48" t="n"/>
      <c r="C557" s="47" t="n"/>
      <c r="D557" s="47" t="n"/>
      <c r="E557" s="47" t="n"/>
      <c r="F557" s="47" t="n"/>
      <c r="G557" s="47" t="n"/>
      <c r="H557" s="47" t="n"/>
      <c r="I557" s="47" t="n"/>
      <c r="J557" s="47" t="n"/>
      <c r="K557" s="47" t="n"/>
      <c r="L557" s="47" t="n"/>
      <c r="M557" s="47" t="n"/>
      <c r="N557" s="49">
        <f>IF(A557="","",COUNTIFS('潜水記録'!$S$5:$S$3004,A557,'潜水記録'!$T$5:$T$3004,1))</f>
        <v/>
      </c>
      <c r="O557" s="49">
        <f>IF(A557="","",COUNTIF('潜水記録'!$S$5:$S$3004,A557))</f>
        <v/>
      </c>
    </row>
    <row r="558">
      <c r="A558" s="47" t="n"/>
      <c r="B558" s="48" t="n"/>
      <c r="C558" s="47" t="n"/>
      <c r="D558" s="47" t="n"/>
      <c r="E558" s="47" t="n"/>
      <c r="F558" s="47" t="n"/>
      <c r="G558" s="47" t="n"/>
      <c r="H558" s="47" t="n"/>
      <c r="I558" s="47" t="n"/>
      <c r="J558" s="47" t="n"/>
      <c r="K558" s="47" t="n"/>
      <c r="L558" s="47" t="n"/>
      <c r="M558" s="47" t="n"/>
      <c r="N558" s="49">
        <f>IF(A558="","",COUNTIFS('潜水記録'!$S$5:$S$3004,A558,'潜水記録'!$T$5:$T$3004,1))</f>
        <v/>
      </c>
      <c r="O558" s="49">
        <f>IF(A558="","",COUNTIF('潜水記録'!$S$5:$S$3004,A558))</f>
        <v/>
      </c>
    </row>
    <row r="559">
      <c r="A559" s="47" t="n"/>
      <c r="B559" s="48" t="n"/>
      <c r="C559" s="47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  <c r="N559" s="49">
        <f>IF(A559="","",COUNTIFS('潜水記録'!$S$5:$S$3004,A559,'潜水記録'!$T$5:$T$3004,1))</f>
        <v/>
      </c>
      <c r="O559" s="49">
        <f>IF(A559="","",COUNTIF('潜水記録'!$S$5:$S$3004,A559))</f>
        <v/>
      </c>
    </row>
    <row r="560">
      <c r="A560" s="47" t="n"/>
      <c r="B560" s="48" t="n"/>
      <c r="C560" s="47" t="n"/>
      <c r="D560" s="47" t="n"/>
      <c r="E560" s="47" t="n"/>
      <c r="F560" s="47" t="n"/>
      <c r="G560" s="47" t="n"/>
      <c r="H560" s="47" t="n"/>
      <c r="I560" s="47" t="n"/>
      <c r="J560" s="47" t="n"/>
      <c r="K560" s="47" t="n"/>
      <c r="L560" s="47" t="n"/>
      <c r="M560" s="47" t="n"/>
      <c r="N560" s="49">
        <f>IF(A560="","",COUNTIFS('潜水記録'!$S$5:$S$3004,A560,'潜水記録'!$T$5:$T$3004,1))</f>
        <v/>
      </c>
      <c r="O560" s="49">
        <f>IF(A560="","",COUNTIF('潜水記録'!$S$5:$S$3004,A560))</f>
        <v/>
      </c>
    </row>
    <row r="561">
      <c r="A561" s="47" t="n"/>
      <c r="B561" s="48" t="n"/>
      <c r="C561" s="47" t="n"/>
      <c r="D561" s="47" t="n"/>
      <c r="E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  <c r="N561" s="49">
        <f>IF(A561="","",COUNTIFS('潜水記録'!$S$5:$S$3004,A561,'潜水記録'!$T$5:$T$3004,1))</f>
        <v/>
      </c>
      <c r="O561" s="49">
        <f>IF(A561="","",COUNTIF('潜水記録'!$S$5:$S$3004,A561))</f>
        <v/>
      </c>
    </row>
    <row r="562">
      <c r="A562" s="47" t="n"/>
      <c r="B562" s="48" t="n"/>
      <c r="C562" s="47" t="n"/>
      <c r="D562" s="47" t="n"/>
      <c r="E562" s="47" t="n"/>
      <c r="F562" s="47" t="n"/>
      <c r="G562" s="47" t="n"/>
      <c r="H562" s="47" t="n"/>
      <c r="I562" s="47" t="n"/>
      <c r="J562" s="47" t="n"/>
      <c r="K562" s="47" t="n"/>
      <c r="L562" s="47" t="n"/>
      <c r="M562" s="47" t="n"/>
      <c r="N562" s="49">
        <f>IF(A562="","",COUNTIFS('潜水記録'!$S$5:$S$3004,A562,'潜水記録'!$T$5:$T$3004,1))</f>
        <v/>
      </c>
      <c r="O562" s="49">
        <f>IF(A562="","",COUNTIF('潜水記録'!$S$5:$S$3004,A562))</f>
        <v/>
      </c>
    </row>
    <row r="563">
      <c r="A563" s="47" t="n"/>
      <c r="B563" s="48" t="n"/>
      <c r="C563" s="47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  <c r="N563" s="49">
        <f>IF(A563="","",COUNTIFS('潜水記録'!$S$5:$S$3004,A563,'潜水記録'!$T$5:$T$3004,1))</f>
        <v/>
      </c>
      <c r="O563" s="49">
        <f>IF(A563="","",COUNTIF('潜水記録'!$S$5:$S$3004,A563))</f>
        <v/>
      </c>
    </row>
    <row r="564">
      <c r="A564" s="47" t="n"/>
      <c r="B564" s="48" t="n"/>
      <c r="C564" s="47" t="n"/>
      <c r="D564" s="47" t="n"/>
      <c r="E564" s="47" t="n"/>
      <c r="F564" s="47" t="n"/>
      <c r="G564" s="47" t="n"/>
      <c r="H564" s="47" t="n"/>
      <c r="I564" s="47" t="n"/>
      <c r="J564" s="47" t="n"/>
      <c r="K564" s="47" t="n"/>
      <c r="L564" s="47" t="n"/>
      <c r="M564" s="47" t="n"/>
      <c r="N564" s="49">
        <f>IF(A564="","",COUNTIFS('潜水記録'!$S$5:$S$3004,A564,'潜水記録'!$T$5:$T$3004,1))</f>
        <v/>
      </c>
      <c r="O564" s="49">
        <f>IF(A564="","",COUNTIF('潜水記録'!$S$5:$S$3004,A564))</f>
        <v/>
      </c>
    </row>
    <row r="565">
      <c r="A565" s="47" t="n"/>
      <c r="B565" s="48" t="n"/>
      <c r="C565" s="47" t="n"/>
      <c r="D565" s="47" t="n"/>
      <c r="E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  <c r="N565" s="49">
        <f>IF(A565="","",COUNTIFS('潜水記録'!$S$5:$S$3004,A565,'潜水記録'!$T$5:$T$3004,1))</f>
        <v/>
      </c>
      <c r="O565" s="49">
        <f>IF(A565="","",COUNTIF('潜水記録'!$S$5:$S$3004,A565))</f>
        <v/>
      </c>
    </row>
    <row r="566">
      <c r="A566" s="47" t="n"/>
      <c r="B566" s="48" t="n"/>
      <c r="C566" s="47" t="n"/>
      <c r="D566" s="47" t="n"/>
      <c r="E566" s="47" t="n"/>
      <c r="F566" s="47" t="n"/>
      <c r="G566" s="47" t="n"/>
      <c r="H566" s="47" t="n"/>
      <c r="I566" s="47" t="n"/>
      <c r="J566" s="47" t="n"/>
      <c r="K566" s="47" t="n"/>
      <c r="L566" s="47" t="n"/>
      <c r="M566" s="47" t="n"/>
      <c r="N566" s="49">
        <f>IF(A566="","",COUNTIFS('潜水記録'!$S$5:$S$3004,A566,'潜水記録'!$T$5:$T$3004,1))</f>
        <v/>
      </c>
      <c r="O566" s="49">
        <f>IF(A566="","",COUNTIF('潜水記録'!$S$5:$S$3004,A566))</f>
        <v/>
      </c>
    </row>
    <row r="567">
      <c r="A567" s="47" t="n"/>
      <c r="B567" s="48" t="n"/>
      <c r="C567" s="47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  <c r="N567" s="49">
        <f>IF(A567="","",COUNTIFS('潜水記録'!$S$5:$S$3004,A567,'潜水記録'!$T$5:$T$3004,1))</f>
        <v/>
      </c>
      <c r="O567" s="49">
        <f>IF(A567="","",COUNTIF('潜水記録'!$S$5:$S$3004,A567))</f>
        <v/>
      </c>
    </row>
    <row r="568">
      <c r="A568" s="47" t="n"/>
      <c r="B568" s="48" t="n"/>
      <c r="C568" s="47" t="n"/>
      <c r="D568" s="47" t="n"/>
      <c r="E568" s="47" t="n"/>
      <c r="F568" s="47" t="n"/>
      <c r="G568" s="47" t="n"/>
      <c r="H568" s="47" t="n"/>
      <c r="I568" s="47" t="n"/>
      <c r="J568" s="47" t="n"/>
      <c r="K568" s="47" t="n"/>
      <c r="L568" s="47" t="n"/>
      <c r="M568" s="47" t="n"/>
      <c r="N568" s="49">
        <f>IF(A568="","",COUNTIFS('潜水記録'!$S$5:$S$3004,A568,'潜水記録'!$T$5:$T$3004,1))</f>
        <v/>
      </c>
      <c r="O568" s="49">
        <f>IF(A568="","",COUNTIF('潜水記録'!$S$5:$S$3004,A568))</f>
        <v/>
      </c>
    </row>
    <row r="569">
      <c r="A569" s="47" t="n"/>
      <c r="B569" s="48" t="n"/>
      <c r="C569" s="47" t="n"/>
      <c r="D569" s="47" t="n"/>
      <c r="E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  <c r="N569" s="49">
        <f>IF(A569="","",COUNTIFS('潜水記録'!$S$5:$S$3004,A569,'潜水記録'!$T$5:$T$3004,1))</f>
        <v/>
      </c>
      <c r="O569" s="49">
        <f>IF(A569="","",COUNTIF('潜水記録'!$S$5:$S$3004,A569))</f>
        <v/>
      </c>
    </row>
    <row r="570">
      <c r="A570" s="47" t="n"/>
      <c r="B570" s="48" t="n"/>
      <c r="C570" s="47" t="n"/>
      <c r="D570" s="47" t="n"/>
      <c r="E570" s="47" t="n"/>
      <c r="F570" s="47" t="n"/>
      <c r="G570" s="47" t="n"/>
      <c r="H570" s="47" t="n"/>
      <c r="I570" s="47" t="n"/>
      <c r="J570" s="47" t="n"/>
      <c r="K570" s="47" t="n"/>
      <c r="L570" s="47" t="n"/>
      <c r="M570" s="47" t="n"/>
      <c r="N570" s="49">
        <f>IF(A570="","",COUNTIFS('潜水記録'!$S$5:$S$3004,A570,'潜水記録'!$T$5:$T$3004,1))</f>
        <v/>
      </c>
      <c r="O570" s="49">
        <f>IF(A570="","",COUNTIF('潜水記録'!$S$5:$S$3004,A570))</f>
        <v/>
      </c>
    </row>
    <row r="571">
      <c r="A571" s="47" t="n"/>
      <c r="B571" s="48" t="n"/>
      <c r="C571" s="47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  <c r="N571" s="49">
        <f>IF(A571="","",COUNTIFS('潜水記録'!$S$5:$S$3004,A571,'潜水記録'!$T$5:$T$3004,1))</f>
        <v/>
      </c>
      <c r="O571" s="49">
        <f>IF(A571="","",COUNTIF('潜水記録'!$S$5:$S$3004,A571))</f>
        <v/>
      </c>
    </row>
    <row r="572">
      <c r="A572" s="47" t="n"/>
      <c r="B572" s="48" t="n"/>
      <c r="C572" s="47" t="n"/>
      <c r="D572" s="47" t="n"/>
      <c r="E572" s="47" t="n"/>
      <c r="F572" s="47" t="n"/>
      <c r="G572" s="47" t="n"/>
      <c r="H572" s="47" t="n"/>
      <c r="I572" s="47" t="n"/>
      <c r="J572" s="47" t="n"/>
      <c r="K572" s="47" t="n"/>
      <c r="L572" s="47" t="n"/>
      <c r="M572" s="47" t="n"/>
      <c r="N572" s="49">
        <f>IF(A572="","",COUNTIFS('潜水記録'!$S$5:$S$3004,A572,'潜水記録'!$T$5:$T$3004,1))</f>
        <v/>
      </c>
      <c r="O572" s="49">
        <f>IF(A572="","",COUNTIF('潜水記録'!$S$5:$S$3004,A572))</f>
        <v/>
      </c>
    </row>
    <row r="573">
      <c r="A573" s="47" t="n"/>
      <c r="B573" s="48" t="n"/>
      <c r="C573" s="47" t="n"/>
      <c r="D573" s="47" t="n"/>
      <c r="E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  <c r="N573" s="49">
        <f>IF(A573="","",COUNTIFS('潜水記録'!$S$5:$S$3004,A573,'潜水記録'!$T$5:$T$3004,1))</f>
        <v/>
      </c>
      <c r="O573" s="49">
        <f>IF(A573="","",COUNTIF('潜水記録'!$S$5:$S$3004,A573))</f>
        <v/>
      </c>
    </row>
    <row r="574">
      <c r="A574" s="47" t="n"/>
      <c r="B574" s="48" t="n"/>
      <c r="C574" s="47" t="n"/>
      <c r="D574" s="47" t="n"/>
      <c r="E574" s="47" t="n"/>
      <c r="F574" s="47" t="n"/>
      <c r="G574" s="47" t="n"/>
      <c r="H574" s="47" t="n"/>
      <c r="I574" s="47" t="n"/>
      <c r="J574" s="47" t="n"/>
      <c r="K574" s="47" t="n"/>
      <c r="L574" s="47" t="n"/>
      <c r="M574" s="47" t="n"/>
      <c r="N574" s="49">
        <f>IF(A574="","",COUNTIFS('潜水記録'!$S$5:$S$3004,A574,'潜水記録'!$T$5:$T$3004,1))</f>
        <v/>
      </c>
      <c r="O574" s="49">
        <f>IF(A574="","",COUNTIF('潜水記録'!$S$5:$S$3004,A574))</f>
        <v/>
      </c>
    </row>
    <row r="575">
      <c r="A575" s="47" t="n"/>
      <c r="B575" s="48" t="n"/>
      <c r="C575" s="47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  <c r="N575" s="49">
        <f>IF(A575="","",COUNTIFS('潜水記録'!$S$5:$S$3004,A575,'潜水記録'!$T$5:$T$3004,1))</f>
        <v/>
      </c>
      <c r="O575" s="49">
        <f>IF(A575="","",COUNTIF('潜水記録'!$S$5:$S$3004,A575))</f>
        <v/>
      </c>
    </row>
    <row r="576">
      <c r="A576" s="47" t="n"/>
      <c r="B576" s="48" t="n"/>
      <c r="C576" s="47" t="n"/>
      <c r="D576" s="47" t="n"/>
      <c r="E576" s="47" t="n"/>
      <c r="F576" s="47" t="n"/>
      <c r="G576" s="47" t="n"/>
      <c r="H576" s="47" t="n"/>
      <c r="I576" s="47" t="n"/>
      <c r="J576" s="47" t="n"/>
      <c r="K576" s="47" t="n"/>
      <c r="L576" s="47" t="n"/>
      <c r="M576" s="47" t="n"/>
      <c r="N576" s="49">
        <f>IF(A576="","",COUNTIFS('潜水記録'!$S$5:$S$3004,A576,'潜水記録'!$T$5:$T$3004,1))</f>
        <v/>
      </c>
      <c r="O576" s="49">
        <f>IF(A576="","",COUNTIF('潜水記録'!$S$5:$S$3004,A576))</f>
        <v/>
      </c>
    </row>
    <row r="577">
      <c r="A577" s="47" t="n"/>
      <c r="B577" s="48" t="n"/>
      <c r="C577" s="47" t="n"/>
      <c r="D577" s="47" t="n"/>
      <c r="E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  <c r="N577" s="49">
        <f>IF(A577="","",COUNTIFS('潜水記録'!$S$5:$S$3004,A577,'潜水記録'!$T$5:$T$3004,1))</f>
        <v/>
      </c>
      <c r="O577" s="49">
        <f>IF(A577="","",COUNTIF('潜水記録'!$S$5:$S$3004,A577))</f>
        <v/>
      </c>
    </row>
    <row r="578">
      <c r="A578" s="47" t="n"/>
      <c r="B578" s="48" t="n"/>
      <c r="C578" s="47" t="n"/>
      <c r="D578" s="47" t="n"/>
      <c r="E578" s="47" t="n"/>
      <c r="F578" s="47" t="n"/>
      <c r="G578" s="47" t="n"/>
      <c r="H578" s="47" t="n"/>
      <c r="I578" s="47" t="n"/>
      <c r="J578" s="47" t="n"/>
      <c r="K578" s="47" t="n"/>
      <c r="L578" s="47" t="n"/>
      <c r="M578" s="47" t="n"/>
      <c r="N578" s="49">
        <f>IF(A578="","",COUNTIFS('潜水記録'!$S$5:$S$3004,A578,'潜水記録'!$T$5:$T$3004,1))</f>
        <v/>
      </c>
      <c r="O578" s="49">
        <f>IF(A578="","",COUNTIF('潜水記録'!$S$5:$S$3004,A578))</f>
        <v/>
      </c>
    </row>
    <row r="579">
      <c r="A579" s="47" t="n"/>
      <c r="B579" s="48" t="n"/>
      <c r="C579" s="47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  <c r="N579" s="49">
        <f>IF(A579="","",COUNTIFS('潜水記録'!$S$5:$S$3004,A579,'潜水記録'!$T$5:$T$3004,1))</f>
        <v/>
      </c>
      <c r="O579" s="49">
        <f>IF(A579="","",COUNTIF('潜水記録'!$S$5:$S$3004,A579))</f>
        <v/>
      </c>
    </row>
    <row r="580">
      <c r="A580" s="47" t="n"/>
      <c r="B580" s="48" t="n"/>
      <c r="C580" s="47" t="n"/>
      <c r="D580" s="47" t="n"/>
      <c r="E580" s="47" t="n"/>
      <c r="F580" s="47" t="n"/>
      <c r="G580" s="47" t="n"/>
      <c r="H580" s="47" t="n"/>
      <c r="I580" s="47" t="n"/>
      <c r="J580" s="47" t="n"/>
      <c r="K580" s="47" t="n"/>
      <c r="L580" s="47" t="n"/>
      <c r="M580" s="47" t="n"/>
      <c r="N580" s="49">
        <f>IF(A580="","",COUNTIFS('潜水記録'!$S$5:$S$3004,A580,'潜水記録'!$T$5:$T$3004,1))</f>
        <v/>
      </c>
      <c r="O580" s="49">
        <f>IF(A580="","",COUNTIF('潜水記録'!$S$5:$S$3004,A580))</f>
        <v/>
      </c>
    </row>
    <row r="581">
      <c r="A581" s="47" t="n"/>
      <c r="B581" s="48" t="n"/>
      <c r="C581" s="47" t="n"/>
      <c r="D581" s="47" t="n"/>
      <c r="E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  <c r="N581" s="49">
        <f>IF(A581="","",COUNTIFS('潜水記録'!$S$5:$S$3004,A581,'潜水記録'!$T$5:$T$3004,1))</f>
        <v/>
      </c>
      <c r="O581" s="49">
        <f>IF(A581="","",COUNTIF('潜水記録'!$S$5:$S$3004,A581))</f>
        <v/>
      </c>
    </row>
    <row r="582">
      <c r="A582" s="47" t="n"/>
      <c r="B582" s="48" t="n"/>
      <c r="C582" s="47" t="n"/>
      <c r="D582" s="47" t="n"/>
      <c r="E582" s="47" t="n"/>
      <c r="F582" s="47" t="n"/>
      <c r="G582" s="47" t="n"/>
      <c r="H582" s="47" t="n"/>
      <c r="I582" s="47" t="n"/>
      <c r="J582" s="47" t="n"/>
      <c r="K582" s="47" t="n"/>
      <c r="L582" s="47" t="n"/>
      <c r="M582" s="47" t="n"/>
      <c r="N582" s="49">
        <f>IF(A582="","",COUNTIFS('潜水記録'!$S$5:$S$3004,A582,'潜水記録'!$T$5:$T$3004,1))</f>
        <v/>
      </c>
      <c r="O582" s="49">
        <f>IF(A582="","",COUNTIF('潜水記録'!$S$5:$S$3004,A582))</f>
        <v/>
      </c>
    </row>
    <row r="583">
      <c r="A583" s="47" t="n"/>
      <c r="B583" s="48" t="n"/>
      <c r="C583" s="47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  <c r="N583" s="49">
        <f>IF(A583="","",COUNTIFS('潜水記録'!$S$5:$S$3004,A583,'潜水記録'!$T$5:$T$3004,1))</f>
        <v/>
      </c>
      <c r="O583" s="49">
        <f>IF(A583="","",COUNTIF('潜水記録'!$S$5:$S$3004,A583))</f>
        <v/>
      </c>
    </row>
    <row r="584">
      <c r="A584" s="47" t="n"/>
      <c r="B584" s="48" t="n"/>
      <c r="C584" s="47" t="n"/>
      <c r="D584" s="47" t="n"/>
      <c r="E584" s="47" t="n"/>
      <c r="F584" s="47" t="n"/>
      <c r="G584" s="47" t="n"/>
      <c r="H584" s="47" t="n"/>
      <c r="I584" s="47" t="n"/>
      <c r="J584" s="47" t="n"/>
      <c r="K584" s="47" t="n"/>
      <c r="L584" s="47" t="n"/>
      <c r="M584" s="47" t="n"/>
      <c r="N584" s="49">
        <f>IF(A584="","",COUNTIFS('潜水記録'!$S$5:$S$3004,A584,'潜水記録'!$T$5:$T$3004,1))</f>
        <v/>
      </c>
      <c r="O584" s="49">
        <f>IF(A584="","",COUNTIF('潜水記録'!$S$5:$S$3004,A584))</f>
        <v/>
      </c>
    </row>
    <row r="585">
      <c r="A585" s="47" t="n"/>
      <c r="B585" s="48" t="n"/>
      <c r="C585" s="47" t="n"/>
      <c r="D585" s="47" t="n"/>
      <c r="E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  <c r="N585" s="49">
        <f>IF(A585="","",COUNTIFS('潜水記録'!$S$5:$S$3004,A585,'潜水記録'!$T$5:$T$3004,1))</f>
        <v/>
      </c>
      <c r="O585" s="49">
        <f>IF(A585="","",COUNTIF('潜水記録'!$S$5:$S$3004,A585))</f>
        <v/>
      </c>
    </row>
    <row r="586">
      <c r="A586" s="47" t="n"/>
      <c r="B586" s="48" t="n"/>
      <c r="C586" s="47" t="n"/>
      <c r="D586" s="47" t="n"/>
      <c r="E586" s="47" t="n"/>
      <c r="F586" s="47" t="n"/>
      <c r="G586" s="47" t="n"/>
      <c r="H586" s="47" t="n"/>
      <c r="I586" s="47" t="n"/>
      <c r="J586" s="47" t="n"/>
      <c r="K586" s="47" t="n"/>
      <c r="L586" s="47" t="n"/>
      <c r="M586" s="47" t="n"/>
      <c r="N586" s="49">
        <f>IF(A586="","",COUNTIFS('潜水記録'!$S$5:$S$3004,A586,'潜水記録'!$T$5:$T$3004,1))</f>
        <v/>
      </c>
      <c r="O586" s="49">
        <f>IF(A586="","",COUNTIF('潜水記録'!$S$5:$S$3004,A586))</f>
        <v/>
      </c>
    </row>
    <row r="587">
      <c r="A587" s="47" t="n"/>
      <c r="B587" s="48" t="n"/>
      <c r="C587" s="47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  <c r="N587" s="49">
        <f>IF(A587="","",COUNTIFS('潜水記録'!$S$5:$S$3004,A587,'潜水記録'!$T$5:$T$3004,1))</f>
        <v/>
      </c>
      <c r="O587" s="49">
        <f>IF(A587="","",COUNTIF('潜水記録'!$S$5:$S$3004,A587))</f>
        <v/>
      </c>
    </row>
    <row r="588">
      <c r="A588" s="47" t="n"/>
      <c r="B588" s="48" t="n"/>
      <c r="C588" s="47" t="n"/>
      <c r="D588" s="47" t="n"/>
      <c r="E588" s="47" t="n"/>
      <c r="F588" s="47" t="n"/>
      <c r="G588" s="47" t="n"/>
      <c r="H588" s="47" t="n"/>
      <c r="I588" s="47" t="n"/>
      <c r="J588" s="47" t="n"/>
      <c r="K588" s="47" t="n"/>
      <c r="L588" s="47" t="n"/>
      <c r="M588" s="47" t="n"/>
      <c r="N588" s="49">
        <f>IF(A588="","",COUNTIFS('潜水記録'!$S$5:$S$3004,A588,'潜水記録'!$T$5:$T$3004,1))</f>
        <v/>
      </c>
      <c r="O588" s="49">
        <f>IF(A588="","",COUNTIF('潜水記録'!$S$5:$S$3004,A588))</f>
        <v/>
      </c>
    </row>
    <row r="589">
      <c r="A589" s="47" t="n"/>
      <c r="B589" s="48" t="n"/>
      <c r="C589" s="47" t="n"/>
      <c r="D589" s="47" t="n"/>
      <c r="E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  <c r="N589" s="49">
        <f>IF(A589="","",COUNTIFS('潜水記録'!$S$5:$S$3004,A589,'潜水記録'!$T$5:$T$3004,1))</f>
        <v/>
      </c>
      <c r="O589" s="49">
        <f>IF(A589="","",COUNTIF('潜水記録'!$S$5:$S$3004,A589))</f>
        <v/>
      </c>
    </row>
    <row r="590">
      <c r="A590" s="47" t="n"/>
      <c r="B590" s="48" t="n"/>
      <c r="C590" s="47" t="n"/>
      <c r="D590" s="47" t="n"/>
      <c r="E590" s="47" t="n"/>
      <c r="F590" s="47" t="n"/>
      <c r="G590" s="47" t="n"/>
      <c r="H590" s="47" t="n"/>
      <c r="I590" s="47" t="n"/>
      <c r="J590" s="47" t="n"/>
      <c r="K590" s="47" t="n"/>
      <c r="L590" s="47" t="n"/>
      <c r="M590" s="47" t="n"/>
      <c r="N590" s="49">
        <f>IF(A590="","",COUNTIFS('潜水記録'!$S$5:$S$3004,A590,'潜水記録'!$T$5:$T$3004,1))</f>
        <v/>
      </c>
      <c r="O590" s="49">
        <f>IF(A590="","",COUNTIF('潜水記録'!$S$5:$S$3004,A590))</f>
        <v/>
      </c>
    </row>
    <row r="591">
      <c r="A591" s="47" t="n"/>
      <c r="B591" s="48" t="n"/>
      <c r="C591" s="47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  <c r="N591" s="49">
        <f>IF(A591="","",COUNTIFS('潜水記録'!$S$5:$S$3004,A591,'潜水記録'!$T$5:$T$3004,1))</f>
        <v/>
      </c>
      <c r="O591" s="49">
        <f>IF(A591="","",COUNTIF('潜水記録'!$S$5:$S$3004,A591))</f>
        <v/>
      </c>
    </row>
    <row r="592">
      <c r="A592" s="47" t="n"/>
      <c r="B592" s="48" t="n"/>
      <c r="C592" s="47" t="n"/>
      <c r="D592" s="47" t="n"/>
      <c r="E592" s="47" t="n"/>
      <c r="F592" s="47" t="n"/>
      <c r="G592" s="47" t="n"/>
      <c r="H592" s="47" t="n"/>
      <c r="I592" s="47" t="n"/>
      <c r="J592" s="47" t="n"/>
      <c r="K592" s="47" t="n"/>
      <c r="L592" s="47" t="n"/>
      <c r="M592" s="47" t="n"/>
      <c r="N592" s="49">
        <f>IF(A592="","",COUNTIFS('潜水記録'!$S$5:$S$3004,A592,'潜水記録'!$T$5:$T$3004,1))</f>
        <v/>
      </c>
      <c r="O592" s="49">
        <f>IF(A592="","",COUNTIF('潜水記録'!$S$5:$S$3004,A592))</f>
        <v/>
      </c>
    </row>
    <row r="593">
      <c r="A593" s="47" t="n"/>
      <c r="B593" s="48" t="n"/>
      <c r="C593" s="47" t="n"/>
      <c r="D593" s="47" t="n"/>
      <c r="E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  <c r="N593" s="49">
        <f>IF(A593="","",COUNTIFS('潜水記録'!$S$5:$S$3004,A593,'潜水記録'!$T$5:$T$3004,1))</f>
        <v/>
      </c>
      <c r="O593" s="49">
        <f>IF(A593="","",COUNTIF('潜水記録'!$S$5:$S$3004,A593))</f>
        <v/>
      </c>
    </row>
    <row r="594">
      <c r="A594" s="47" t="n"/>
      <c r="B594" s="48" t="n"/>
      <c r="C594" s="47" t="n"/>
      <c r="D594" s="47" t="n"/>
      <c r="E594" s="47" t="n"/>
      <c r="F594" s="47" t="n"/>
      <c r="G594" s="47" t="n"/>
      <c r="H594" s="47" t="n"/>
      <c r="I594" s="47" t="n"/>
      <c r="J594" s="47" t="n"/>
      <c r="K594" s="47" t="n"/>
      <c r="L594" s="47" t="n"/>
      <c r="M594" s="47" t="n"/>
      <c r="N594" s="49">
        <f>IF(A594="","",COUNTIFS('潜水記録'!$S$5:$S$3004,A594,'潜水記録'!$T$5:$T$3004,1))</f>
        <v/>
      </c>
      <c r="O594" s="49">
        <f>IF(A594="","",COUNTIF('潜水記録'!$S$5:$S$3004,A594))</f>
        <v/>
      </c>
    </row>
    <row r="595">
      <c r="A595" s="47" t="n"/>
      <c r="B595" s="48" t="n"/>
      <c r="C595" s="47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  <c r="N595" s="49">
        <f>IF(A595="","",COUNTIFS('潜水記録'!$S$5:$S$3004,A595,'潜水記録'!$T$5:$T$3004,1))</f>
        <v/>
      </c>
      <c r="O595" s="49">
        <f>IF(A595="","",COUNTIF('潜水記録'!$S$5:$S$3004,A595))</f>
        <v/>
      </c>
    </row>
    <row r="596">
      <c r="A596" s="47" t="n"/>
      <c r="B596" s="48" t="n"/>
      <c r="C596" s="47" t="n"/>
      <c r="D596" s="47" t="n"/>
      <c r="E596" s="47" t="n"/>
      <c r="F596" s="47" t="n"/>
      <c r="G596" s="47" t="n"/>
      <c r="H596" s="47" t="n"/>
      <c r="I596" s="47" t="n"/>
      <c r="J596" s="47" t="n"/>
      <c r="K596" s="47" t="n"/>
      <c r="L596" s="47" t="n"/>
      <c r="M596" s="47" t="n"/>
      <c r="N596" s="49">
        <f>IF(A596="","",COUNTIFS('潜水記録'!$S$5:$S$3004,A596,'潜水記録'!$T$5:$T$3004,1))</f>
        <v/>
      </c>
      <c r="O596" s="49">
        <f>IF(A596="","",COUNTIF('潜水記録'!$S$5:$S$3004,A596))</f>
        <v/>
      </c>
    </row>
    <row r="597">
      <c r="A597" s="47" t="n"/>
      <c r="B597" s="48" t="n"/>
      <c r="C597" s="47" t="n"/>
      <c r="D597" s="47" t="n"/>
      <c r="E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  <c r="N597" s="49">
        <f>IF(A597="","",COUNTIFS('潜水記録'!$S$5:$S$3004,A597,'潜水記録'!$T$5:$T$3004,1))</f>
        <v/>
      </c>
      <c r="O597" s="49">
        <f>IF(A597="","",COUNTIF('潜水記録'!$S$5:$S$3004,A597))</f>
        <v/>
      </c>
    </row>
    <row r="598">
      <c r="A598" s="47" t="n"/>
      <c r="B598" s="48" t="n"/>
      <c r="C598" s="47" t="n"/>
      <c r="D598" s="47" t="n"/>
      <c r="E598" s="47" t="n"/>
      <c r="F598" s="47" t="n"/>
      <c r="G598" s="47" t="n"/>
      <c r="H598" s="47" t="n"/>
      <c r="I598" s="47" t="n"/>
      <c r="J598" s="47" t="n"/>
      <c r="K598" s="47" t="n"/>
      <c r="L598" s="47" t="n"/>
      <c r="M598" s="47" t="n"/>
      <c r="N598" s="49">
        <f>IF(A598="","",COUNTIFS('潜水記録'!$S$5:$S$3004,A598,'潜水記録'!$T$5:$T$3004,1))</f>
        <v/>
      </c>
      <c r="O598" s="49">
        <f>IF(A598="","",COUNTIF('潜水記録'!$S$5:$S$3004,A598))</f>
        <v/>
      </c>
    </row>
    <row r="599">
      <c r="A599" s="47" t="n"/>
      <c r="B599" s="48" t="n"/>
      <c r="C599" s="47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  <c r="N599" s="49">
        <f>IF(A599="","",COUNTIFS('潜水記録'!$S$5:$S$3004,A599,'潜水記録'!$T$5:$T$3004,1))</f>
        <v/>
      </c>
      <c r="O599" s="49">
        <f>IF(A599="","",COUNTIF('潜水記録'!$S$5:$S$3004,A599))</f>
        <v/>
      </c>
    </row>
    <row r="600">
      <c r="A600" s="47" t="n"/>
      <c r="B600" s="48" t="n"/>
      <c r="C600" s="47" t="n"/>
      <c r="D600" s="47" t="n"/>
      <c r="E600" s="47" t="n"/>
      <c r="F600" s="47" t="n"/>
      <c r="G600" s="47" t="n"/>
      <c r="H600" s="47" t="n"/>
      <c r="I600" s="47" t="n"/>
      <c r="J600" s="47" t="n"/>
      <c r="K600" s="47" t="n"/>
      <c r="L600" s="47" t="n"/>
      <c r="M600" s="47" t="n"/>
      <c r="N600" s="49">
        <f>IF(A600="","",COUNTIFS('潜水記録'!$S$5:$S$3004,A600,'潜水記録'!$T$5:$T$3004,1))</f>
        <v/>
      </c>
      <c r="O600" s="49">
        <f>IF(A600="","",COUNTIF('潜水記録'!$S$5:$S$3004,A600))</f>
        <v/>
      </c>
    </row>
    <row r="601">
      <c r="A601" s="47" t="n"/>
      <c r="B601" s="48" t="n"/>
      <c r="C601" s="47" t="n"/>
      <c r="D601" s="47" t="n"/>
      <c r="E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  <c r="N601" s="49">
        <f>IF(A601="","",COUNTIFS('潜水記録'!$S$5:$S$3004,A601,'潜水記録'!$T$5:$T$3004,1))</f>
        <v/>
      </c>
      <c r="O601" s="49">
        <f>IF(A601="","",COUNTIF('潜水記録'!$S$5:$S$3004,A601))</f>
        <v/>
      </c>
    </row>
    <row r="602">
      <c r="A602" s="47" t="n"/>
      <c r="B602" s="48" t="n"/>
      <c r="C602" s="47" t="n"/>
      <c r="D602" s="47" t="n"/>
      <c r="E602" s="47" t="n"/>
      <c r="F602" s="47" t="n"/>
      <c r="G602" s="47" t="n"/>
      <c r="H602" s="47" t="n"/>
      <c r="I602" s="47" t="n"/>
      <c r="J602" s="47" t="n"/>
      <c r="K602" s="47" t="n"/>
      <c r="L602" s="47" t="n"/>
      <c r="M602" s="47" t="n"/>
      <c r="N602" s="49">
        <f>IF(A602="","",COUNTIFS('潜水記録'!$S$5:$S$3004,A602,'潜水記録'!$T$5:$T$3004,1))</f>
        <v/>
      </c>
      <c r="O602" s="49">
        <f>IF(A602="","",COUNTIF('潜水記録'!$S$5:$S$3004,A602))</f>
        <v/>
      </c>
    </row>
    <row r="603">
      <c r="A603" s="47" t="n"/>
      <c r="B603" s="48" t="n"/>
      <c r="C603" s="47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  <c r="N603" s="49">
        <f>IF(A603="","",COUNTIFS('潜水記録'!$S$5:$S$3004,A603,'潜水記録'!$T$5:$T$3004,1))</f>
        <v/>
      </c>
      <c r="O603" s="49">
        <f>IF(A603="","",COUNTIF('潜水記録'!$S$5:$S$3004,A603))</f>
        <v/>
      </c>
    </row>
    <row r="604">
      <c r="A604" s="47" t="n"/>
      <c r="B604" s="48" t="n"/>
      <c r="C604" s="47" t="n"/>
      <c r="D604" s="47" t="n"/>
      <c r="E604" s="47" t="n"/>
      <c r="F604" s="47" t="n"/>
      <c r="G604" s="47" t="n"/>
      <c r="H604" s="47" t="n"/>
      <c r="I604" s="47" t="n"/>
      <c r="J604" s="47" t="n"/>
      <c r="K604" s="47" t="n"/>
      <c r="L604" s="47" t="n"/>
      <c r="M604" s="47" t="n"/>
      <c r="N604" s="49">
        <f>IF(A604="","",COUNTIFS('潜水記録'!$S$5:$S$3004,A604,'潜水記録'!$T$5:$T$3004,1))</f>
        <v/>
      </c>
      <c r="O604" s="49">
        <f>IF(A604="","",COUNTIF('潜水記録'!$S$5:$S$3004,A604))</f>
        <v/>
      </c>
    </row>
    <row r="605">
      <c r="A605" s="47" t="n"/>
      <c r="B605" s="48" t="n"/>
      <c r="C605" s="47" t="n"/>
      <c r="D605" s="47" t="n"/>
      <c r="E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  <c r="N605" s="49">
        <f>IF(A605="","",COUNTIFS('潜水記録'!$S$5:$S$3004,A605,'潜水記録'!$T$5:$T$3004,1))</f>
        <v/>
      </c>
      <c r="O605" s="49">
        <f>IF(A605="","",COUNTIF('潜水記録'!$S$5:$S$3004,A605))</f>
        <v/>
      </c>
    </row>
    <row r="606">
      <c r="A606" s="47" t="n"/>
      <c r="B606" s="48" t="n"/>
      <c r="C606" s="47" t="n"/>
      <c r="D606" s="47" t="n"/>
      <c r="E606" s="47" t="n"/>
      <c r="F606" s="47" t="n"/>
      <c r="G606" s="47" t="n"/>
      <c r="H606" s="47" t="n"/>
      <c r="I606" s="47" t="n"/>
      <c r="J606" s="47" t="n"/>
      <c r="K606" s="47" t="n"/>
      <c r="L606" s="47" t="n"/>
      <c r="M606" s="47" t="n"/>
      <c r="N606" s="49">
        <f>IF(A606="","",COUNTIFS('潜水記録'!$S$5:$S$3004,A606,'潜水記録'!$T$5:$T$3004,1))</f>
        <v/>
      </c>
      <c r="O606" s="49">
        <f>IF(A606="","",COUNTIF('潜水記録'!$S$5:$S$3004,A606))</f>
        <v/>
      </c>
    </row>
    <row r="607">
      <c r="A607" s="47" t="n"/>
      <c r="B607" s="48" t="n"/>
      <c r="C607" s="47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  <c r="N607" s="49">
        <f>IF(A607="","",COUNTIFS('潜水記録'!$S$5:$S$3004,A607,'潜水記録'!$T$5:$T$3004,1))</f>
        <v/>
      </c>
      <c r="O607" s="49">
        <f>IF(A607="","",COUNTIF('潜水記録'!$S$5:$S$3004,A607))</f>
        <v/>
      </c>
    </row>
    <row r="608">
      <c r="A608" s="47" t="n"/>
      <c r="B608" s="48" t="n"/>
      <c r="C608" s="47" t="n"/>
      <c r="D608" s="47" t="n"/>
      <c r="E608" s="47" t="n"/>
      <c r="F608" s="47" t="n"/>
      <c r="G608" s="47" t="n"/>
      <c r="H608" s="47" t="n"/>
      <c r="I608" s="47" t="n"/>
      <c r="J608" s="47" t="n"/>
      <c r="K608" s="47" t="n"/>
      <c r="L608" s="47" t="n"/>
      <c r="M608" s="47" t="n"/>
      <c r="N608" s="49">
        <f>IF(A608="","",COUNTIFS('潜水記録'!$S$5:$S$3004,A608,'潜水記録'!$T$5:$T$3004,1))</f>
        <v/>
      </c>
      <c r="O608" s="49">
        <f>IF(A608="","",COUNTIF('潜水記録'!$S$5:$S$3004,A608))</f>
        <v/>
      </c>
    </row>
    <row r="609">
      <c r="A609" s="47" t="n"/>
      <c r="B609" s="48" t="n"/>
      <c r="C609" s="47" t="n"/>
      <c r="D609" s="47" t="n"/>
      <c r="E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  <c r="N609" s="49">
        <f>IF(A609="","",COUNTIFS('潜水記録'!$S$5:$S$3004,A609,'潜水記録'!$T$5:$T$3004,1))</f>
        <v/>
      </c>
      <c r="O609" s="49">
        <f>IF(A609="","",COUNTIF('潜水記録'!$S$5:$S$3004,A609))</f>
        <v/>
      </c>
    </row>
    <row r="610">
      <c r="A610" s="47" t="n"/>
      <c r="B610" s="48" t="n"/>
      <c r="C610" s="47" t="n"/>
      <c r="D610" s="47" t="n"/>
      <c r="E610" s="47" t="n"/>
      <c r="F610" s="47" t="n"/>
      <c r="G610" s="47" t="n"/>
      <c r="H610" s="47" t="n"/>
      <c r="I610" s="47" t="n"/>
      <c r="J610" s="47" t="n"/>
      <c r="K610" s="47" t="n"/>
      <c r="L610" s="47" t="n"/>
      <c r="M610" s="47" t="n"/>
      <c r="N610" s="49">
        <f>IF(A610="","",COUNTIFS('潜水記録'!$S$5:$S$3004,A610,'潜水記録'!$T$5:$T$3004,1))</f>
        <v/>
      </c>
      <c r="O610" s="49">
        <f>IF(A610="","",COUNTIF('潜水記録'!$S$5:$S$3004,A610))</f>
        <v/>
      </c>
    </row>
    <row r="611">
      <c r="A611" s="47" t="n"/>
      <c r="B611" s="48" t="n"/>
      <c r="C611" s="47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  <c r="N611" s="49">
        <f>IF(A611="","",COUNTIFS('潜水記録'!$S$5:$S$3004,A611,'潜水記録'!$T$5:$T$3004,1))</f>
        <v/>
      </c>
      <c r="O611" s="49">
        <f>IF(A611="","",COUNTIF('潜水記録'!$S$5:$S$3004,A611))</f>
        <v/>
      </c>
    </row>
    <row r="612">
      <c r="A612" s="47" t="n"/>
      <c r="B612" s="48" t="n"/>
      <c r="C612" s="47" t="n"/>
      <c r="D612" s="47" t="n"/>
      <c r="E612" s="47" t="n"/>
      <c r="F612" s="47" t="n"/>
      <c r="G612" s="47" t="n"/>
      <c r="H612" s="47" t="n"/>
      <c r="I612" s="47" t="n"/>
      <c r="J612" s="47" t="n"/>
      <c r="K612" s="47" t="n"/>
      <c r="L612" s="47" t="n"/>
      <c r="M612" s="47" t="n"/>
      <c r="N612" s="49">
        <f>IF(A612="","",COUNTIFS('潜水記録'!$S$5:$S$3004,A612,'潜水記録'!$T$5:$T$3004,1))</f>
        <v/>
      </c>
      <c r="O612" s="49">
        <f>IF(A612="","",COUNTIF('潜水記録'!$S$5:$S$3004,A612))</f>
        <v/>
      </c>
    </row>
    <row r="613">
      <c r="A613" s="47" t="n"/>
      <c r="B613" s="48" t="n"/>
      <c r="C613" s="47" t="n"/>
      <c r="D613" s="47" t="n"/>
      <c r="E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  <c r="N613" s="49">
        <f>IF(A613="","",COUNTIFS('潜水記録'!$S$5:$S$3004,A613,'潜水記録'!$T$5:$T$3004,1))</f>
        <v/>
      </c>
      <c r="O613" s="49">
        <f>IF(A613="","",COUNTIF('潜水記録'!$S$5:$S$3004,A613))</f>
        <v/>
      </c>
    </row>
    <row r="614">
      <c r="A614" s="47" t="n"/>
      <c r="B614" s="48" t="n"/>
      <c r="C614" s="47" t="n"/>
      <c r="D614" s="47" t="n"/>
      <c r="E614" s="47" t="n"/>
      <c r="F614" s="47" t="n"/>
      <c r="G614" s="47" t="n"/>
      <c r="H614" s="47" t="n"/>
      <c r="I614" s="47" t="n"/>
      <c r="J614" s="47" t="n"/>
      <c r="K614" s="47" t="n"/>
      <c r="L614" s="47" t="n"/>
      <c r="M614" s="47" t="n"/>
      <c r="N614" s="49">
        <f>IF(A614="","",COUNTIFS('潜水記録'!$S$5:$S$3004,A614,'潜水記録'!$T$5:$T$3004,1))</f>
        <v/>
      </c>
      <c r="O614" s="49">
        <f>IF(A614="","",COUNTIF('潜水記録'!$S$5:$S$3004,A614))</f>
        <v/>
      </c>
    </row>
    <row r="615">
      <c r="A615" s="47" t="n"/>
      <c r="B615" s="48" t="n"/>
      <c r="C615" s="47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  <c r="N615" s="49">
        <f>IF(A615="","",COUNTIFS('潜水記録'!$S$5:$S$3004,A615,'潜水記録'!$T$5:$T$3004,1))</f>
        <v/>
      </c>
      <c r="O615" s="49">
        <f>IF(A615="","",COUNTIF('潜水記録'!$S$5:$S$3004,A615))</f>
        <v/>
      </c>
    </row>
    <row r="616">
      <c r="A616" s="47" t="n"/>
      <c r="B616" s="48" t="n"/>
      <c r="C616" s="47" t="n"/>
      <c r="D616" s="47" t="n"/>
      <c r="E616" s="47" t="n"/>
      <c r="F616" s="47" t="n"/>
      <c r="G616" s="47" t="n"/>
      <c r="H616" s="47" t="n"/>
      <c r="I616" s="47" t="n"/>
      <c r="J616" s="47" t="n"/>
      <c r="K616" s="47" t="n"/>
      <c r="L616" s="47" t="n"/>
      <c r="M616" s="47" t="n"/>
      <c r="N616" s="49">
        <f>IF(A616="","",COUNTIFS('潜水記録'!$S$5:$S$3004,A616,'潜水記録'!$T$5:$T$3004,1))</f>
        <v/>
      </c>
      <c r="O616" s="49">
        <f>IF(A616="","",COUNTIF('潜水記録'!$S$5:$S$3004,A616))</f>
        <v/>
      </c>
    </row>
    <row r="617">
      <c r="A617" s="47" t="n"/>
      <c r="B617" s="48" t="n"/>
      <c r="C617" s="47" t="n"/>
      <c r="D617" s="47" t="n"/>
      <c r="E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  <c r="N617" s="49">
        <f>IF(A617="","",COUNTIFS('潜水記録'!$S$5:$S$3004,A617,'潜水記録'!$T$5:$T$3004,1))</f>
        <v/>
      </c>
      <c r="O617" s="49">
        <f>IF(A617="","",COUNTIF('潜水記録'!$S$5:$S$3004,A617))</f>
        <v/>
      </c>
    </row>
    <row r="618">
      <c r="A618" s="47" t="n"/>
      <c r="B618" s="48" t="n"/>
      <c r="C618" s="47" t="n"/>
      <c r="D618" s="47" t="n"/>
      <c r="E618" s="47" t="n"/>
      <c r="F618" s="47" t="n"/>
      <c r="G618" s="47" t="n"/>
      <c r="H618" s="47" t="n"/>
      <c r="I618" s="47" t="n"/>
      <c r="J618" s="47" t="n"/>
      <c r="K618" s="47" t="n"/>
      <c r="L618" s="47" t="n"/>
      <c r="M618" s="47" t="n"/>
      <c r="N618" s="49">
        <f>IF(A618="","",COUNTIFS('潜水記録'!$S$5:$S$3004,A618,'潜水記録'!$T$5:$T$3004,1))</f>
        <v/>
      </c>
      <c r="O618" s="49">
        <f>IF(A618="","",COUNTIF('潜水記録'!$S$5:$S$3004,A618))</f>
        <v/>
      </c>
    </row>
    <row r="619">
      <c r="A619" s="47" t="n"/>
      <c r="B619" s="48" t="n"/>
      <c r="C619" s="47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  <c r="N619" s="49">
        <f>IF(A619="","",COUNTIFS('潜水記録'!$S$5:$S$3004,A619,'潜水記録'!$T$5:$T$3004,1))</f>
        <v/>
      </c>
      <c r="O619" s="49">
        <f>IF(A619="","",COUNTIF('潜水記録'!$S$5:$S$3004,A619))</f>
        <v/>
      </c>
    </row>
    <row r="620">
      <c r="A620" s="47" t="n"/>
      <c r="B620" s="48" t="n"/>
      <c r="C620" s="47" t="n"/>
      <c r="D620" s="47" t="n"/>
      <c r="E620" s="47" t="n"/>
      <c r="F620" s="47" t="n"/>
      <c r="G620" s="47" t="n"/>
      <c r="H620" s="47" t="n"/>
      <c r="I620" s="47" t="n"/>
      <c r="J620" s="47" t="n"/>
      <c r="K620" s="47" t="n"/>
      <c r="L620" s="47" t="n"/>
      <c r="M620" s="47" t="n"/>
      <c r="N620" s="49">
        <f>IF(A620="","",COUNTIFS('潜水記録'!$S$5:$S$3004,A620,'潜水記録'!$T$5:$T$3004,1))</f>
        <v/>
      </c>
      <c r="O620" s="49">
        <f>IF(A620="","",COUNTIF('潜水記録'!$S$5:$S$3004,A620))</f>
        <v/>
      </c>
    </row>
    <row r="621">
      <c r="A621" s="47" t="n"/>
      <c r="B621" s="48" t="n"/>
      <c r="C621" s="47" t="n"/>
      <c r="D621" s="47" t="n"/>
      <c r="E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  <c r="N621" s="49">
        <f>IF(A621="","",COUNTIFS('潜水記録'!$S$5:$S$3004,A621,'潜水記録'!$T$5:$T$3004,1))</f>
        <v/>
      </c>
      <c r="O621" s="49">
        <f>IF(A621="","",COUNTIF('潜水記録'!$S$5:$S$3004,A621))</f>
        <v/>
      </c>
    </row>
    <row r="622">
      <c r="A622" s="47" t="n"/>
      <c r="B622" s="48" t="n"/>
      <c r="C622" s="47" t="n"/>
      <c r="D622" s="47" t="n"/>
      <c r="E622" s="47" t="n"/>
      <c r="F622" s="47" t="n"/>
      <c r="G622" s="47" t="n"/>
      <c r="H622" s="47" t="n"/>
      <c r="I622" s="47" t="n"/>
      <c r="J622" s="47" t="n"/>
      <c r="K622" s="47" t="n"/>
      <c r="L622" s="47" t="n"/>
      <c r="M622" s="47" t="n"/>
      <c r="N622" s="49">
        <f>IF(A622="","",COUNTIFS('潜水記録'!$S$5:$S$3004,A622,'潜水記録'!$T$5:$T$3004,1))</f>
        <v/>
      </c>
      <c r="O622" s="49">
        <f>IF(A622="","",COUNTIF('潜水記録'!$S$5:$S$3004,A622))</f>
        <v/>
      </c>
    </row>
    <row r="623">
      <c r="A623" s="47" t="n"/>
      <c r="B623" s="48" t="n"/>
      <c r="C623" s="47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  <c r="N623" s="49">
        <f>IF(A623="","",COUNTIFS('潜水記録'!$S$5:$S$3004,A623,'潜水記録'!$T$5:$T$3004,1))</f>
        <v/>
      </c>
      <c r="O623" s="49">
        <f>IF(A623="","",COUNTIF('潜水記録'!$S$5:$S$3004,A623))</f>
        <v/>
      </c>
    </row>
    <row r="624">
      <c r="A624" s="47" t="n"/>
      <c r="B624" s="48" t="n"/>
      <c r="C624" s="47" t="n"/>
      <c r="D624" s="47" t="n"/>
      <c r="E624" s="47" t="n"/>
      <c r="F624" s="47" t="n"/>
      <c r="G624" s="47" t="n"/>
      <c r="H624" s="47" t="n"/>
      <c r="I624" s="47" t="n"/>
      <c r="J624" s="47" t="n"/>
      <c r="K624" s="47" t="n"/>
      <c r="L624" s="47" t="n"/>
      <c r="M624" s="47" t="n"/>
      <c r="N624" s="49">
        <f>IF(A624="","",COUNTIFS('潜水記録'!$S$5:$S$3004,A624,'潜水記録'!$T$5:$T$3004,1))</f>
        <v/>
      </c>
      <c r="O624" s="49">
        <f>IF(A624="","",COUNTIF('潜水記録'!$S$5:$S$3004,A624))</f>
        <v/>
      </c>
    </row>
    <row r="625">
      <c r="A625" s="47" t="n"/>
      <c r="B625" s="48" t="n"/>
      <c r="C625" s="47" t="n"/>
      <c r="D625" s="47" t="n"/>
      <c r="E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  <c r="N625" s="49">
        <f>IF(A625="","",COUNTIFS('潜水記録'!$S$5:$S$3004,A625,'潜水記録'!$T$5:$T$3004,1))</f>
        <v/>
      </c>
      <c r="O625" s="49">
        <f>IF(A625="","",COUNTIF('潜水記録'!$S$5:$S$3004,A625))</f>
        <v/>
      </c>
    </row>
    <row r="626">
      <c r="A626" s="47" t="n"/>
      <c r="B626" s="48" t="n"/>
      <c r="C626" s="47" t="n"/>
      <c r="D626" s="47" t="n"/>
      <c r="E626" s="47" t="n"/>
      <c r="F626" s="47" t="n"/>
      <c r="G626" s="47" t="n"/>
      <c r="H626" s="47" t="n"/>
      <c r="I626" s="47" t="n"/>
      <c r="J626" s="47" t="n"/>
      <c r="K626" s="47" t="n"/>
      <c r="L626" s="47" t="n"/>
      <c r="M626" s="47" t="n"/>
      <c r="N626" s="49">
        <f>IF(A626="","",COUNTIFS('潜水記録'!$S$5:$S$3004,A626,'潜水記録'!$T$5:$T$3004,1))</f>
        <v/>
      </c>
      <c r="O626" s="49">
        <f>IF(A626="","",COUNTIF('潜水記録'!$S$5:$S$3004,A626))</f>
        <v/>
      </c>
    </row>
    <row r="627">
      <c r="A627" s="47" t="n"/>
      <c r="B627" s="48" t="n"/>
      <c r="C627" s="47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  <c r="N627" s="49">
        <f>IF(A627="","",COUNTIFS('潜水記録'!$S$5:$S$3004,A627,'潜水記録'!$T$5:$T$3004,1))</f>
        <v/>
      </c>
      <c r="O627" s="49">
        <f>IF(A627="","",COUNTIF('潜水記録'!$S$5:$S$3004,A627))</f>
        <v/>
      </c>
    </row>
    <row r="628">
      <c r="A628" s="47" t="n"/>
      <c r="B628" s="48" t="n"/>
      <c r="C628" s="47" t="n"/>
      <c r="D628" s="47" t="n"/>
      <c r="E628" s="47" t="n"/>
      <c r="F628" s="47" t="n"/>
      <c r="G628" s="47" t="n"/>
      <c r="H628" s="47" t="n"/>
      <c r="I628" s="47" t="n"/>
      <c r="J628" s="47" t="n"/>
      <c r="K628" s="47" t="n"/>
      <c r="L628" s="47" t="n"/>
      <c r="M628" s="47" t="n"/>
      <c r="N628" s="49">
        <f>IF(A628="","",COUNTIFS('潜水記録'!$S$5:$S$3004,A628,'潜水記録'!$T$5:$T$3004,1))</f>
        <v/>
      </c>
      <c r="O628" s="49">
        <f>IF(A628="","",COUNTIF('潜水記録'!$S$5:$S$3004,A628))</f>
        <v/>
      </c>
    </row>
    <row r="629">
      <c r="A629" s="47" t="n"/>
      <c r="B629" s="48" t="n"/>
      <c r="C629" s="47" t="n"/>
      <c r="D629" s="47" t="n"/>
      <c r="E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  <c r="N629" s="49">
        <f>IF(A629="","",COUNTIFS('潜水記録'!$S$5:$S$3004,A629,'潜水記録'!$T$5:$T$3004,1))</f>
        <v/>
      </c>
      <c r="O629" s="49">
        <f>IF(A629="","",COUNTIF('潜水記録'!$S$5:$S$3004,A629))</f>
        <v/>
      </c>
    </row>
    <row r="630">
      <c r="A630" s="47" t="n"/>
      <c r="B630" s="48" t="n"/>
      <c r="C630" s="47" t="n"/>
      <c r="D630" s="47" t="n"/>
      <c r="E630" s="47" t="n"/>
      <c r="F630" s="47" t="n"/>
      <c r="G630" s="47" t="n"/>
      <c r="H630" s="47" t="n"/>
      <c r="I630" s="47" t="n"/>
      <c r="J630" s="47" t="n"/>
      <c r="K630" s="47" t="n"/>
      <c r="L630" s="47" t="n"/>
      <c r="M630" s="47" t="n"/>
      <c r="N630" s="49">
        <f>IF(A630="","",COUNTIFS('潜水記録'!$S$5:$S$3004,A630,'潜水記録'!$T$5:$T$3004,1))</f>
        <v/>
      </c>
      <c r="O630" s="49">
        <f>IF(A630="","",COUNTIF('潜水記録'!$S$5:$S$3004,A630))</f>
        <v/>
      </c>
    </row>
    <row r="631">
      <c r="A631" s="47" t="n"/>
      <c r="B631" s="48" t="n"/>
      <c r="C631" s="47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  <c r="N631" s="49">
        <f>IF(A631="","",COUNTIFS('潜水記録'!$S$5:$S$3004,A631,'潜水記録'!$T$5:$T$3004,1))</f>
        <v/>
      </c>
      <c r="O631" s="49">
        <f>IF(A631="","",COUNTIF('潜水記録'!$S$5:$S$3004,A631))</f>
        <v/>
      </c>
    </row>
    <row r="632">
      <c r="A632" s="47" t="n"/>
      <c r="B632" s="48" t="n"/>
      <c r="C632" s="47" t="n"/>
      <c r="D632" s="47" t="n"/>
      <c r="E632" s="47" t="n"/>
      <c r="F632" s="47" t="n"/>
      <c r="G632" s="47" t="n"/>
      <c r="H632" s="47" t="n"/>
      <c r="I632" s="47" t="n"/>
      <c r="J632" s="47" t="n"/>
      <c r="K632" s="47" t="n"/>
      <c r="L632" s="47" t="n"/>
      <c r="M632" s="47" t="n"/>
      <c r="N632" s="49">
        <f>IF(A632="","",COUNTIFS('潜水記録'!$S$5:$S$3004,A632,'潜水記録'!$T$5:$T$3004,1))</f>
        <v/>
      </c>
      <c r="O632" s="49">
        <f>IF(A632="","",COUNTIF('潜水記録'!$S$5:$S$3004,A632))</f>
        <v/>
      </c>
    </row>
    <row r="633">
      <c r="A633" s="47" t="n"/>
      <c r="B633" s="48" t="n"/>
      <c r="C633" s="47" t="n"/>
      <c r="D633" s="47" t="n"/>
      <c r="E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  <c r="N633" s="49">
        <f>IF(A633="","",COUNTIFS('潜水記録'!$S$5:$S$3004,A633,'潜水記録'!$T$5:$T$3004,1))</f>
        <v/>
      </c>
      <c r="O633" s="49">
        <f>IF(A633="","",COUNTIF('潜水記録'!$S$5:$S$3004,A633))</f>
        <v/>
      </c>
    </row>
    <row r="634">
      <c r="A634" s="47" t="n"/>
      <c r="B634" s="48" t="n"/>
      <c r="C634" s="47" t="n"/>
      <c r="D634" s="47" t="n"/>
      <c r="E634" s="47" t="n"/>
      <c r="F634" s="47" t="n"/>
      <c r="G634" s="47" t="n"/>
      <c r="H634" s="47" t="n"/>
      <c r="I634" s="47" t="n"/>
      <c r="J634" s="47" t="n"/>
      <c r="K634" s="47" t="n"/>
      <c r="L634" s="47" t="n"/>
      <c r="M634" s="47" t="n"/>
      <c r="N634" s="49">
        <f>IF(A634="","",COUNTIFS('潜水記録'!$S$5:$S$3004,A634,'潜水記録'!$T$5:$T$3004,1))</f>
        <v/>
      </c>
      <c r="O634" s="49">
        <f>IF(A634="","",COUNTIF('潜水記録'!$S$5:$S$3004,A634))</f>
        <v/>
      </c>
    </row>
    <row r="635">
      <c r="A635" s="47" t="n"/>
      <c r="B635" s="48" t="n"/>
      <c r="C635" s="47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  <c r="N635" s="49">
        <f>IF(A635="","",COUNTIFS('潜水記録'!$S$5:$S$3004,A635,'潜水記録'!$T$5:$T$3004,1))</f>
        <v/>
      </c>
      <c r="O635" s="49">
        <f>IF(A635="","",COUNTIF('潜水記録'!$S$5:$S$3004,A635))</f>
        <v/>
      </c>
    </row>
    <row r="636">
      <c r="A636" s="47" t="n"/>
      <c r="B636" s="48" t="n"/>
      <c r="C636" s="47" t="n"/>
      <c r="D636" s="47" t="n"/>
      <c r="E636" s="47" t="n"/>
      <c r="F636" s="47" t="n"/>
      <c r="G636" s="47" t="n"/>
      <c r="H636" s="47" t="n"/>
      <c r="I636" s="47" t="n"/>
      <c r="J636" s="47" t="n"/>
      <c r="K636" s="47" t="n"/>
      <c r="L636" s="47" t="n"/>
      <c r="M636" s="47" t="n"/>
      <c r="N636" s="49">
        <f>IF(A636="","",COUNTIFS('潜水記録'!$S$5:$S$3004,A636,'潜水記録'!$T$5:$T$3004,1))</f>
        <v/>
      </c>
      <c r="O636" s="49">
        <f>IF(A636="","",COUNTIF('潜水記録'!$S$5:$S$3004,A636))</f>
        <v/>
      </c>
    </row>
    <row r="637">
      <c r="A637" s="47" t="n"/>
      <c r="B637" s="48" t="n"/>
      <c r="C637" s="47" t="n"/>
      <c r="D637" s="47" t="n"/>
      <c r="E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  <c r="N637" s="49">
        <f>IF(A637="","",COUNTIFS('潜水記録'!$S$5:$S$3004,A637,'潜水記録'!$T$5:$T$3004,1))</f>
        <v/>
      </c>
      <c r="O637" s="49">
        <f>IF(A637="","",COUNTIF('潜水記録'!$S$5:$S$3004,A637))</f>
        <v/>
      </c>
    </row>
    <row r="638">
      <c r="A638" s="47" t="n"/>
      <c r="B638" s="48" t="n"/>
      <c r="C638" s="47" t="n"/>
      <c r="D638" s="47" t="n"/>
      <c r="E638" s="47" t="n"/>
      <c r="F638" s="47" t="n"/>
      <c r="G638" s="47" t="n"/>
      <c r="H638" s="47" t="n"/>
      <c r="I638" s="47" t="n"/>
      <c r="J638" s="47" t="n"/>
      <c r="K638" s="47" t="n"/>
      <c r="L638" s="47" t="n"/>
      <c r="M638" s="47" t="n"/>
      <c r="N638" s="49">
        <f>IF(A638="","",COUNTIFS('潜水記録'!$S$5:$S$3004,A638,'潜水記録'!$T$5:$T$3004,1))</f>
        <v/>
      </c>
      <c r="O638" s="49">
        <f>IF(A638="","",COUNTIF('潜水記録'!$S$5:$S$3004,A638))</f>
        <v/>
      </c>
    </row>
    <row r="639">
      <c r="A639" s="47" t="n"/>
      <c r="B639" s="48" t="n"/>
      <c r="C639" s="47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  <c r="N639" s="49">
        <f>IF(A639="","",COUNTIFS('潜水記録'!$S$5:$S$3004,A639,'潜水記録'!$T$5:$T$3004,1))</f>
        <v/>
      </c>
      <c r="O639" s="49">
        <f>IF(A639="","",COUNTIF('潜水記録'!$S$5:$S$3004,A639))</f>
        <v/>
      </c>
    </row>
    <row r="640">
      <c r="A640" s="47" t="n"/>
      <c r="B640" s="48" t="n"/>
      <c r="C640" s="47" t="n"/>
      <c r="D640" s="47" t="n"/>
      <c r="E640" s="47" t="n"/>
      <c r="F640" s="47" t="n"/>
      <c r="G640" s="47" t="n"/>
      <c r="H640" s="47" t="n"/>
      <c r="I640" s="47" t="n"/>
      <c r="J640" s="47" t="n"/>
      <c r="K640" s="47" t="n"/>
      <c r="L640" s="47" t="n"/>
      <c r="M640" s="47" t="n"/>
      <c r="N640" s="49">
        <f>IF(A640="","",COUNTIFS('潜水記録'!$S$5:$S$3004,A640,'潜水記録'!$T$5:$T$3004,1))</f>
        <v/>
      </c>
      <c r="O640" s="49">
        <f>IF(A640="","",COUNTIF('潜水記録'!$S$5:$S$3004,A640))</f>
        <v/>
      </c>
    </row>
    <row r="641">
      <c r="A641" s="47" t="n"/>
      <c r="B641" s="48" t="n"/>
      <c r="C641" s="47" t="n"/>
      <c r="D641" s="47" t="n"/>
      <c r="E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  <c r="N641" s="49">
        <f>IF(A641="","",COUNTIFS('潜水記録'!$S$5:$S$3004,A641,'潜水記録'!$T$5:$T$3004,1))</f>
        <v/>
      </c>
      <c r="O641" s="49">
        <f>IF(A641="","",COUNTIF('潜水記録'!$S$5:$S$3004,A641))</f>
        <v/>
      </c>
    </row>
    <row r="642">
      <c r="A642" s="47" t="n"/>
      <c r="B642" s="48" t="n"/>
      <c r="C642" s="47" t="n"/>
      <c r="D642" s="47" t="n"/>
      <c r="E642" s="47" t="n"/>
      <c r="F642" s="47" t="n"/>
      <c r="G642" s="47" t="n"/>
      <c r="H642" s="47" t="n"/>
      <c r="I642" s="47" t="n"/>
      <c r="J642" s="47" t="n"/>
      <c r="K642" s="47" t="n"/>
      <c r="L642" s="47" t="n"/>
      <c r="M642" s="47" t="n"/>
      <c r="N642" s="49">
        <f>IF(A642="","",COUNTIFS('潜水記録'!$S$5:$S$3004,A642,'潜水記録'!$T$5:$T$3004,1))</f>
        <v/>
      </c>
      <c r="O642" s="49">
        <f>IF(A642="","",COUNTIF('潜水記録'!$S$5:$S$3004,A642))</f>
        <v/>
      </c>
    </row>
    <row r="643">
      <c r="A643" s="47" t="n"/>
      <c r="B643" s="48" t="n"/>
      <c r="C643" s="47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  <c r="N643" s="49">
        <f>IF(A643="","",COUNTIFS('潜水記録'!$S$5:$S$3004,A643,'潜水記録'!$T$5:$T$3004,1))</f>
        <v/>
      </c>
      <c r="O643" s="49">
        <f>IF(A643="","",COUNTIF('潜水記録'!$S$5:$S$3004,A643))</f>
        <v/>
      </c>
    </row>
    <row r="644">
      <c r="A644" s="47" t="n"/>
      <c r="B644" s="48" t="n"/>
      <c r="C644" s="47" t="n"/>
      <c r="D644" s="47" t="n"/>
      <c r="E644" s="47" t="n"/>
      <c r="F644" s="47" t="n"/>
      <c r="G644" s="47" t="n"/>
      <c r="H644" s="47" t="n"/>
      <c r="I644" s="47" t="n"/>
      <c r="J644" s="47" t="n"/>
      <c r="K644" s="47" t="n"/>
      <c r="L644" s="47" t="n"/>
      <c r="M644" s="47" t="n"/>
      <c r="N644" s="49">
        <f>IF(A644="","",COUNTIFS('潜水記録'!$S$5:$S$3004,A644,'潜水記録'!$T$5:$T$3004,1))</f>
        <v/>
      </c>
      <c r="O644" s="49">
        <f>IF(A644="","",COUNTIF('潜水記録'!$S$5:$S$3004,A644))</f>
        <v/>
      </c>
    </row>
    <row r="645">
      <c r="A645" s="47" t="n"/>
      <c r="B645" s="48" t="n"/>
      <c r="C645" s="47" t="n"/>
      <c r="D645" s="47" t="n"/>
      <c r="E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  <c r="N645" s="49">
        <f>IF(A645="","",COUNTIFS('潜水記録'!$S$5:$S$3004,A645,'潜水記録'!$T$5:$T$3004,1))</f>
        <v/>
      </c>
      <c r="O645" s="49">
        <f>IF(A645="","",COUNTIF('潜水記録'!$S$5:$S$3004,A645))</f>
        <v/>
      </c>
    </row>
    <row r="646">
      <c r="A646" s="47" t="n"/>
      <c r="B646" s="48" t="n"/>
      <c r="C646" s="47" t="n"/>
      <c r="D646" s="47" t="n"/>
      <c r="E646" s="47" t="n"/>
      <c r="F646" s="47" t="n"/>
      <c r="G646" s="47" t="n"/>
      <c r="H646" s="47" t="n"/>
      <c r="I646" s="47" t="n"/>
      <c r="J646" s="47" t="n"/>
      <c r="K646" s="47" t="n"/>
      <c r="L646" s="47" t="n"/>
      <c r="M646" s="47" t="n"/>
      <c r="N646" s="49">
        <f>IF(A646="","",COUNTIFS('潜水記録'!$S$5:$S$3004,A646,'潜水記録'!$T$5:$T$3004,1))</f>
        <v/>
      </c>
      <c r="O646" s="49">
        <f>IF(A646="","",COUNTIF('潜水記録'!$S$5:$S$3004,A646))</f>
        <v/>
      </c>
    </row>
    <row r="647">
      <c r="A647" s="47" t="n"/>
      <c r="B647" s="48" t="n"/>
      <c r="C647" s="47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  <c r="N647" s="49">
        <f>IF(A647="","",COUNTIFS('潜水記録'!$S$5:$S$3004,A647,'潜水記録'!$T$5:$T$3004,1))</f>
        <v/>
      </c>
      <c r="O647" s="49">
        <f>IF(A647="","",COUNTIF('潜水記録'!$S$5:$S$3004,A647))</f>
        <v/>
      </c>
    </row>
    <row r="648">
      <c r="A648" s="47" t="n"/>
      <c r="B648" s="48" t="n"/>
      <c r="C648" s="47" t="n"/>
      <c r="D648" s="47" t="n"/>
      <c r="E648" s="47" t="n"/>
      <c r="F648" s="47" t="n"/>
      <c r="G648" s="47" t="n"/>
      <c r="H648" s="47" t="n"/>
      <c r="I648" s="47" t="n"/>
      <c r="J648" s="47" t="n"/>
      <c r="K648" s="47" t="n"/>
      <c r="L648" s="47" t="n"/>
      <c r="M648" s="47" t="n"/>
      <c r="N648" s="49">
        <f>IF(A648="","",COUNTIFS('潜水記録'!$S$5:$S$3004,A648,'潜水記録'!$T$5:$T$3004,1))</f>
        <v/>
      </c>
      <c r="O648" s="49">
        <f>IF(A648="","",COUNTIF('潜水記録'!$S$5:$S$3004,A648))</f>
        <v/>
      </c>
    </row>
    <row r="649">
      <c r="A649" s="47" t="n"/>
      <c r="B649" s="48" t="n"/>
      <c r="C649" s="47" t="n"/>
      <c r="D649" s="47" t="n"/>
      <c r="E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  <c r="N649" s="49">
        <f>IF(A649="","",COUNTIFS('潜水記録'!$S$5:$S$3004,A649,'潜水記録'!$T$5:$T$3004,1))</f>
        <v/>
      </c>
      <c r="O649" s="49">
        <f>IF(A649="","",COUNTIF('潜水記録'!$S$5:$S$3004,A649))</f>
        <v/>
      </c>
    </row>
    <row r="650">
      <c r="A650" s="47" t="n"/>
      <c r="B650" s="48" t="n"/>
      <c r="C650" s="47" t="n"/>
      <c r="D650" s="47" t="n"/>
      <c r="E650" s="47" t="n"/>
      <c r="F650" s="47" t="n"/>
      <c r="G650" s="47" t="n"/>
      <c r="H650" s="47" t="n"/>
      <c r="I650" s="47" t="n"/>
      <c r="J650" s="47" t="n"/>
      <c r="K650" s="47" t="n"/>
      <c r="L650" s="47" t="n"/>
      <c r="M650" s="47" t="n"/>
      <c r="N650" s="49">
        <f>IF(A650="","",COUNTIFS('潜水記録'!$S$5:$S$3004,A650,'潜水記録'!$T$5:$T$3004,1))</f>
        <v/>
      </c>
      <c r="O650" s="49">
        <f>IF(A650="","",COUNTIF('潜水記録'!$S$5:$S$3004,A650))</f>
        <v/>
      </c>
    </row>
    <row r="651">
      <c r="A651" s="47" t="n"/>
      <c r="B651" s="48" t="n"/>
      <c r="C651" s="47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  <c r="N651" s="49">
        <f>IF(A651="","",COUNTIFS('潜水記録'!$S$5:$S$3004,A651,'潜水記録'!$T$5:$T$3004,1))</f>
        <v/>
      </c>
      <c r="O651" s="49">
        <f>IF(A651="","",COUNTIF('潜水記録'!$S$5:$S$3004,A651))</f>
        <v/>
      </c>
    </row>
    <row r="652">
      <c r="A652" s="47" t="n"/>
      <c r="B652" s="48" t="n"/>
      <c r="C652" s="47" t="n"/>
      <c r="D652" s="47" t="n"/>
      <c r="E652" s="47" t="n"/>
      <c r="F652" s="47" t="n"/>
      <c r="G652" s="47" t="n"/>
      <c r="H652" s="47" t="n"/>
      <c r="I652" s="47" t="n"/>
      <c r="J652" s="47" t="n"/>
      <c r="K652" s="47" t="n"/>
      <c r="L652" s="47" t="n"/>
      <c r="M652" s="47" t="n"/>
      <c r="N652" s="49">
        <f>IF(A652="","",COUNTIFS('潜水記録'!$S$5:$S$3004,A652,'潜水記録'!$T$5:$T$3004,1))</f>
        <v/>
      </c>
      <c r="O652" s="49">
        <f>IF(A652="","",COUNTIF('潜水記録'!$S$5:$S$3004,A652))</f>
        <v/>
      </c>
    </row>
    <row r="653">
      <c r="A653" s="47" t="n"/>
      <c r="B653" s="48" t="n"/>
      <c r="C653" s="47" t="n"/>
      <c r="D653" s="47" t="n"/>
      <c r="E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  <c r="N653" s="49">
        <f>IF(A653="","",COUNTIFS('潜水記録'!$S$5:$S$3004,A653,'潜水記録'!$T$5:$T$3004,1))</f>
        <v/>
      </c>
      <c r="O653" s="49">
        <f>IF(A653="","",COUNTIF('潜水記録'!$S$5:$S$3004,A653))</f>
        <v/>
      </c>
    </row>
    <row r="654">
      <c r="A654" s="47" t="n"/>
      <c r="B654" s="48" t="n"/>
      <c r="C654" s="47" t="n"/>
      <c r="D654" s="47" t="n"/>
      <c r="E654" s="47" t="n"/>
      <c r="F654" s="47" t="n"/>
      <c r="G654" s="47" t="n"/>
      <c r="H654" s="47" t="n"/>
      <c r="I654" s="47" t="n"/>
      <c r="J654" s="47" t="n"/>
      <c r="K654" s="47" t="n"/>
      <c r="L654" s="47" t="n"/>
      <c r="M654" s="47" t="n"/>
      <c r="N654" s="49">
        <f>IF(A654="","",COUNTIFS('潜水記録'!$S$5:$S$3004,A654,'潜水記録'!$T$5:$T$3004,1))</f>
        <v/>
      </c>
      <c r="O654" s="49">
        <f>IF(A654="","",COUNTIF('潜水記録'!$S$5:$S$3004,A654))</f>
        <v/>
      </c>
    </row>
    <row r="655">
      <c r="A655" s="47" t="n"/>
      <c r="B655" s="48" t="n"/>
      <c r="C655" s="47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  <c r="N655" s="49">
        <f>IF(A655="","",COUNTIFS('潜水記録'!$S$5:$S$3004,A655,'潜水記録'!$T$5:$T$3004,1))</f>
        <v/>
      </c>
      <c r="O655" s="49">
        <f>IF(A655="","",COUNTIF('潜水記録'!$S$5:$S$3004,A655))</f>
        <v/>
      </c>
    </row>
    <row r="656">
      <c r="A656" s="47" t="n"/>
      <c r="B656" s="48" t="n"/>
      <c r="C656" s="47" t="n"/>
      <c r="D656" s="47" t="n"/>
      <c r="E656" s="47" t="n"/>
      <c r="F656" s="47" t="n"/>
      <c r="G656" s="47" t="n"/>
      <c r="H656" s="47" t="n"/>
      <c r="I656" s="47" t="n"/>
      <c r="J656" s="47" t="n"/>
      <c r="K656" s="47" t="n"/>
      <c r="L656" s="47" t="n"/>
      <c r="M656" s="47" t="n"/>
      <c r="N656" s="49">
        <f>IF(A656="","",COUNTIFS('潜水記録'!$S$5:$S$3004,A656,'潜水記録'!$T$5:$T$3004,1))</f>
        <v/>
      </c>
      <c r="O656" s="49">
        <f>IF(A656="","",COUNTIF('潜水記録'!$S$5:$S$3004,A656))</f>
        <v/>
      </c>
    </row>
    <row r="657">
      <c r="A657" s="47" t="n"/>
      <c r="B657" s="48" t="n"/>
      <c r="C657" s="47" t="n"/>
      <c r="D657" s="47" t="n"/>
      <c r="E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  <c r="N657" s="49">
        <f>IF(A657="","",COUNTIFS('潜水記録'!$S$5:$S$3004,A657,'潜水記録'!$T$5:$T$3004,1))</f>
        <v/>
      </c>
      <c r="O657" s="49">
        <f>IF(A657="","",COUNTIF('潜水記録'!$S$5:$S$3004,A657))</f>
        <v/>
      </c>
    </row>
    <row r="658">
      <c r="A658" s="47" t="n"/>
      <c r="B658" s="48" t="n"/>
      <c r="C658" s="47" t="n"/>
      <c r="D658" s="47" t="n"/>
      <c r="E658" s="47" t="n"/>
      <c r="F658" s="47" t="n"/>
      <c r="G658" s="47" t="n"/>
      <c r="H658" s="47" t="n"/>
      <c r="I658" s="47" t="n"/>
      <c r="J658" s="47" t="n"/>
      <c r="K658" s="47" t="n"/>
      <c r="L658" s="47" t="n"/>
      <c r="M658" s="47" t="n"/>
      <c r="N658" s="49">
        <f>IF(A658="","",COUNTIFS('潜水記録'!$S$5:$S$3004,A658,'潜水記録'!$T$5:$T$3004,1))</f>
        <v/>
      </c>
      <c r="O658" s="49">
        <f>IF(A658="","",COUNTIF('潜水記録'!$S$5:$S$3004,A658))</f>
        <v/>
      </c>
    </row>
    <row r="659">
      <c r="A659" s="47" t="n"/>
      <c r="B659" s="48" t="n"/>
      <c r="C659" s="47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  <c r="N659" s="49">
        <f>IF(A659="","",COUNTIFS('潜水記録'!$S$5:$S$3004,A659,'潜水記録'!$T$5:$T$3004,1))</f>
        <v/>
      </c>
      <c r="O659" s="49">
        <f>IF(A659="","",COUNTIF('潜水記録'!$S$5:$S$3004,A659))</f>
        <v/>
      </c>
    </row>
    <row r="660">
      <c r="A660" s="47" t="n"/>
      <c r="B660" s="48" t="n"/>
      <c r="C660" s="47" t="n"/>
      <c r="D660" s="47" t="n"/>
      <c r="E660" s="47" t="n"/>
      <c r="F660" s="47" t="n"/>
      <c r="G660" s="47" t="n"/>
      <c r="H660" s="47" t="n"/>
      <c r="I660" s="47" t="n"/>
      <c r="J660" s="47" t="n"/>
      <c r="K660" s="47" t="n"/>
      <c r="L660" s="47" t="n"/>
      <c r="M660" s="47" t="n"/>
      <c r="N660" s="49">
        <f>IF(A660="","",COUNTIFS('潜水記録'!$S$5:$S$3004,A660,'潜水記録'!$T$5:$T$3004,1))</f>
        <v/>
      </c>
      <c r="O660" s="49">
        <f>IF(A660="","",COUNTIF('潜水記録'!$S$5:$S$3004,A660))</f>
        <v/>
      </c>
    </row>
    <row r="661">
      <c r="A661" s="47" t="n"/>
      <c r="B661" s="48" t="n"/>
      <c r="C661" s="47" t="n"/>
      <c r="D661" s="47" t="n"/>
      <c r="E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  <c r="N661" s="49">
        <f>IF(A661="","",COUNTIFS('潜水記録'!$S$5:$S$3004,A661,'潜水記録'!$T$5:$T$3004,1))</f>
        <v/>
      </c>
      <c r="O661" s="49">
        <f>IF(A661="","",COUNTIF('潜水記録'!$S$5:$S$3004,A661))</f>
        <v/>
      </c>
    </row>
    <row r="662">
      <c r="A662" s="47" t="n"/>
      <c r="B662" s="48" t="n"/>
      <c r="C662" s="47" t="n"/>
      <c r="D662" s="47" t="n"/>
      <c r="E662" s="47" t="n"/>
      <c r="F662" s="47" t="n"/>
      <c r="G662" s="47" t="n"/>
      <c r="H662" s="47" t="n"/>
      <c r="I662" s="47" t="n"/>
      <c r="J662" s="47" t="n"/>
      <c r="K662" s="47" t="n"/>
      <c r="L662" s="47" t="n"/>
      <c r="M662" s="47" t="n"/>
      <c r="N662" s="49">
        <f>IF(A662="","",COUNTIFS('潜水記録'!$S$5:$S$3004,A662,'潜水記録'!$T$5:$T$3004,1))</f>
        <v/>
      </c>
      <c r="O662" s="49">
        <f>IF(A662="","",COUNTIF('潜水記録'!$S$5:$S$3004,A662))</f>
        <v/>
      </c>
    </row>
    <row r="663">
      <c r="A663" s="47" t="n"/>
      <c r="B663" s="48" t="n"/>
      <c r="C663" s="47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  <c r="N663" s="49">
        <f>IF(A663="","",COUNTIFS('潜水記録'!$S$5:$S$3004,A663,'潜水記録'!$T$5:$T$3004,1))</f>
        <v/>
      </c>
      <c r="O663" s="49">
        <f>IF(A663="","",COUNTIF('潜水記録'!$S$5:$S$3004,A663))</f>
        <v/>
      </c>
    </row>
    <row r="664">
      <c r="A664" s="47" t="n"/>
      <c r="B664" s="48" t="n"/>
      <c r="C664" s="47" t="n"/>
      <c r="D664" s="47" t="n"/>
      <c r="E664" s="47" t="n"/>
      <c r="F664" s="47" t="n"/>
      <c r="G664" s="47" t="n"/>
      <c r="H664" s="47" t="n"/>
      <c r="I664" s="47" t="n"/>
      <c r="J664" s="47" t="n"/>
      <c r="K664" s="47" t="n"/>
      <c r="L664" s="47" t="n"/>
      <c r="M664" s="47" t="n"/>
      <c r="N664" s="49">
        <f>IF(A664="","",COUNTIFS('潜水記録'!$S$5:$S$3004,A664,'潜水記録'!$T$5:$T$3004,1))</f>
        <v/>
      </c>
      <c r="O664" s="49">
        <f>IF(A664="","",COUNTIF('潜水記録'!$S$5:$S$3004,A664))</f>
        <v/>
      </c>
    </row>
    <row r="665">
      <c r="A665" s="47" t="n"/>
      <c r="B665" s="48" t="n"/>
      <c r="C665" s="47" t="n"/>
      <c r="D665" s="47" t="n"/>
      <c r="E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  <c r="N665" s="49">
        <f>IF(A665="","",COUNTIFS('潜水記録'!$S$5:$S$3004,A665,'潜水記録'!$T$5:$T$3004,1))</f>
        <v/>
      </c>
      <c r="O665" s="49">
        <f>IF(A665="","",COUNTIF('潜水記録'!$S$5:$S$3004,A665))</f>
        <v/>
      </c>
    </row>
    <row r="666">
      <c r="A666" s="47" t="n"/>
      <c r="B666" s="48" t="n"/>
      <c r="C666" s="47" t="n"/>
      <c r="D666" s="47" t="n"/>
      <c r="E666" s="47" t="n"/>
      <c r="F666" s="47" t="n"/>
      <c r="G666" s="47" t="n"/>
      <c r="H666" s="47" t="n"/>
      <c r="I666" s="47" t="n"/>
      <c r="J666" s="47" t="n"/>
      <c r="K666" s="47" t="n"/>
      <c r="L666" s="47" t="n"/>
      <c r="M666" s="47" t="n"/>
      <c r="N666" s="49">
        <f>IF(A666="","",COUNTIFS('潜水記録'!$S$5:$S$3004,A666,'潜水記録'!$T$5:$T$3004,1))</f>
        <v/>
      </c>
      <c r="O666" s="49">
        <f>IF(A666="","",COUNTIF('潜水記録'!$S$5:$S$3004,A666))</f>
        <v/>
      </c>
    </row>
    <row r="667">
      <c r="A667" s="47" t="n"/>
      <c r="B667" s="48" t="n"/>
      <c r="C667" s="47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  <c r="N667" s="49">
        <f>IF(A667="","",COUNTIFS('潜水記録'!$S$5:$S$3004,A667,'潜水記録'!$T$5:$T$3004,1))</f>
        <v/>
      </c>
      <c r="O667" s="49">
        <f>IF(A667="","",COUNTIF('潜水記録'!$S$5:$S$3004,A667))</f>
        <v/>
      </c>
    </row>
    <row r="668">
      <c r="A668" s="47" t="n"/>
      <c r="B668" s="48" t="n"/>
      <c r="C668" s="47" t="n"/>
      <c r="D668" s="47" t="n"/>
      <c r="E668" s="47" t="n"/>
      <c r="F668" s="47" t="n"/>
      <c r="G668" s="47" t="n"/>
      <c r="H668" s="47" t="n"/>
      <c r="I668" s="47" t="n"/>
      <c r="J668" s="47" t="n"/>
      <c r="K668" s="47" t="n"/>
      <c r="L668" s="47" t="n"/>
      <c r="M668" s="47" t="n"/>
      <c r="N668" s="49">
        <f>IF(A668="","",COUNTIFS('潜水記録'!$S$5:$S$3004,A668,'潜水記録'!$T$5:$T$3004,1))</f>
        <v/>
      </c>
      <c r="O668" s="49">
        <f>IF(A668="","",COUNTIF('潜水記録'!$S$5:$S$3004,A668))</f>
        <v/>
      </c>
    </row>
    <row r="669">
      <c r="A669" s="47" t="n"/>
      <c r="B669" s="48" t="n"/>
      <c r="C669" s="47" t="n"/>
      <c r="D669" s="47" t="n"/>
      <c r="E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  <c r="N669" s="49">
        <f>IF(A669="","",COUNTIFS('潜水記録'!$S$5:$S$3004,A669,'潜水記録'!$T$5:$T$3004,1))</f>
        <v/>
      </c>
      <c r="O669" s="49">
        <f>IF(A669="","",COUNTIF('潜水記録'!$S$5:$S$3004,A669))</f>
        <v/>
      </c>
    </row>
    <row r="670">
      <c r="A670" s="47" t="n"/>
      <c r="B670" s="48" t="n"/>
      <c r="C670" s="47" t="n"/>
      <c r="D670" s="47" t="n"/>
      <c r="E670" s="47" t="n"/>
      <c r="F670" s="47" t="n"/>
      <c r="G670" s="47" t="n"/>
      <c r="H670" s="47" t="n"/>
      <c r="I670" s="47" t="n"/>
      <c r="J670" s="47" t="n"/>
      <c r="K670" s="47" t="n"/>
      <c r="L670" s="47" t="n"/>
      <c r="M670" s="47" t="n"/>
      <c r="N670" s="49">
        <f>IF(A670="","",COUNTIFS('潜水記録'!$S$5:$S$3004,A670,'潜水記録'!$T$5:$T$3004,1))</f>
        <v/>
      </c>
      <c r="O670" s="49">
        <f>IF(A670="","",COUNTIF('潜水記録'!$S$5:$S$3004,A670))</f>
        <v/>
      </c>
    </row>
    <row r="671">
      <c r="A671" s="47" t="n"/>
      <c r="B671" s="48" t="n"/>
      <c r="C671" s="47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  <c r="N671" s="49">
        <f>IF(A671="","",COUNTIFS('潜水記録'!$S$5:$S$3004,A671,'潜水記録'!$T$5:$T$3004,1))</f>
        <v/>
      </c>
      <c r="O671" s="49">
        <f>IF(A671="","",COUNTIF('潜水記録'!$S$5:$S$3004,A671))</f>
        <v/>
      </c>
    </row>
    <row r="672">
      <c r="A672" s="47" t="n"/>
      <c r="B672" s="48" t="n"/>
      <c r="C672" s="47" t="n"/>
      <c r="D672" s="47" t="n"/>
      <c r="E672" s="47" t="n"/>
      <c r="F672" s="47" t="n"/>
      <c r="G672" s="47" t="n"/>
      <c r="H672" s="47" t="n"/>
      <c r="I672" s="47" t="n"/>
      <c r="J672" s="47" t="n"/>
      <c r="K672" s="47" t="n"/>
      <c r="L672" s="47" t="n"/>
      <c r="M672" s="47" t="n"/>
      <c r="N672" s="49">
        <f>IF(A672="","",COUNTIFS('潜水記録'!$S$5:$S$3004,A672,'潜水記録'!$T$5:$T$3004,1))</f>
        <v/>
      </c>
      <c r="O672" s="49">
        <f>IF(A672="","",COUNTIF('潜水記録'!$S$5:$S$3004,A672))</f>
        <v/>
      </c>
    </row>
    <row r="673">
      <c r="A673" s="47" t="n"/>
      <c r="B673" s="48" t="n"/>
      <c r="C673" s="47" t="n"/>
      <c r="D673" s="47" t="n"/>
      <c r="E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  <c r="N673" s="49">
        <f>IF(A673="","",COUNTIFS('潜水記録'!$S$5:$S$3004,A673,'潜水記録'!$T$5:$T$3004,1))</f>
        <v/>
      </c>
      <c r="O673" s="49">
        <f>IF(A673="","",COUNTIF('潜水記録'!$S$5:$S$3004,A673))</f>
        <v/>
      </c>
    </row>
    <row r="674">
      <c r="A674" s="47" t="n"/>
      <c r="B674" s="48" t="n"/>
      <c r="C674" s="47" t="n"/>
      <c r="D674" s="47" t="n"/>
      <c r="E674" s="47" t="n"/>
      <c r="F674" s="47" t="n"/>
      <c r="G674" s="47" t="n"/>
      <c r="H674" s="47" t="n"/>
      <c r="I674" s="47" t="n"/>
      <c r="J674" s="47" t="n"/>
      <c r="K674" s="47" t="n"/>
      <c r="L674" s="47" t="n"/>
      <c r="M674" s="47" t="n"/>
      <c r="N674" s="49">
        <f>IF(A674="","",COUNTIFS('潜水記録'!$S$5:$S$3004,A674,'潜水記録'!$T$5:$T$3004,1))</f>
        <v/>
      </c>
      <c r="O674" s="49">
        <f>IF(A674="","",COUNTIF('潜水記録'!$S$5:$S$3004,A674))</f>
        <v/>
      </c>
    </row>
    <row r="675">
      <c r="A675" s="47" t="n"/>
      <c r="B675" s="48" t="n"/>
      <c r="C675" s="47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  <c r="N675" s="49">
        <f>IF(A675="","",COUNTIFS('潜水記録'!$S$5:$S$3004,A675,'潜水記録'!$T$5:$T$3004,1))</f>
        <v/>
      </c>
      <c r="O675" s="49">
        <f>IF(A675="","",COUNTIF('潜水記録'!$S$5:$S$3004,A675))</f>
        <v/>
      </c>
    </row>
    <row r="676">
      <c r="A676" s="47" t="n"/>
      <c r="B676" s="48" t="n"/>
      <c r="C676" s="47" t="n"/>
      <c r="D676" s="47" t="n"/>
      <c r="E676" s="47" t="n"/>
      <c r="F676" s="47" t="n"/>
      <c r="G676" s="47" t="n"/>
      <c r="H676" s="47" t="n"/>
      <c r="I676" s="47" t="n"/>
      <c r="J676" s="47" t="n"/>
      <c r="K676" s="47" t="n"/>
      <c r="L676" s="47" t="n"/>
      <c r="M676" s="47" t="n"/>
      <c r="N676" s="49">
        <f>IF(A676="","",COUNTIFS('潜水記録'!$S$5:$S$3004,A676,'潜水記録'!$T$5:$T$3004,1))</f>
        <v/>
      </c>
      <c r="O676" s="49">
        <f>IF(A676="","",COUNTIF('潜水記録'!$S$5:$S$3004,A676))</f>
        <v/>
      </c>
    </row>
    <row r="677">
      <c r="A677" s="47" t="n"/>
      <c r="B677" s="48" t="n"/>
      <c r="C677" s="47" t="n"/>
      <c r="D677" s="47" t="n"/>
      <c r="E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  <c r="N677" s="49">
        <f>IF(A677="","",COUNTIFS('潜水記録'!$S$5:$S$3004,A677,'潜水記録'!$T$5:$T$3004,1))</f>
        <v/>
      </c>
      <c r="O677" s="49">
        <f>IF(A677="","",COUNTIF('潜水記録'!$S$5:$S$3004,A677))</f>
        <v/>
      </c>
    </row>
    <row r="678">
      <c r="A678" s="47" t="n"/>
      <c r="B678" s="48" t="n"/>
      <c r="C678" s="47" t="n"/>
      <c r="D678" s="47" t="n"/>
      <c r="E678" s="47" t="n"/>
      <c r="F678" s="47" t="n"/>
      <c r="G678" s="47" t="n"/>
      <c r="H678" s="47" t="n"/>
      <c r="I678" s="47" t="n"/>
      <c r="J678" s="47" t="n"/>
      <c r="K678" s="47" t="n"/>
      <c r="L678" s="47" t="n"/>
      <c r="M678" s="47" t="n"/>
      <c r="N678" s="49">
        <f>IF(A678="","",COUNTIFS('潜水記録'!$S$5:$S$3004,A678,'潜水記録'!$T$5:$T$3004,1))</f>
        <v/>
      </c>
      <c r="O678" s="49">
        <f>IF(A678="","",COUNTIF('潜水記録'!$S$5:$S$3004,A678))</f>
        <v/>
      </c>
    </row>
    <row r="679">
      <c r="A679" s="47" t="n"/>
      <c r="B679" s="48" t="n"/>
      <c r="C679" s="47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  <c r="N679" s="49">
        <f>IF(A679="","",COUNTIFS('潜水記録'!$S$5:$S$3004,A679,'潜水記録'!$T$5:$T$3004,1))</f>
        <v/>
      </c>
      <c r="O679" s="49">
        <f>IF(A679="","",COUNTIF('潜水記録'!$S$5:$S$3004,A679))</f>
        <v/>
      </c>
    </row>
    <row r="680">
      <c r="A680" s="47" t="n"/>
      <c r="B680" s="48" t="n"/>
      <c r="C680" s="47" t="n"/>
      <c r="D680" s="47" t="n"/>
      <c r="E680" s="47" t="n"/>
      <c r="F680" s="47" t="n"/>
      <c r="G680" s="47" t="n"/>
      <c r="H680" s="47" t="n"/>
      <c r="I680" s="47" t="n"/>
      <c r="J680" s="47" t="n"/>
      <c r="K680" s="47" t="n"/>
      <c r="L680" s="47" t="n"/>
      <c r="M680" s="47" t="n"/>
      <c r="N680" s="49">
        <f>IF(A680="","",COUNTIFS('潜水記録'!$S$5:$S$3004,A680,'潜水記録'!$T$5:$T$3004,1))</f>
        <v/>
      </c>
      <c r="O680" s="49">
        <f>IF(A680="","",COUNTIF('潜水記録'!$S$5:$S$3004,A680))</f>
        <v/>
      </c>
    </row>
    <row r="681">
      <c r="A681" s="47" t="n"/>
      <c r="B681" s="48" t="n"/>
      <c r="C681" s="47" t="n"/>
      <c r="D681" s="47" t="n"/>
      <c r="E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  <c r="N681" s="49">
        <f>IF(A681="","",COUNTIFS('潜水記録'!$S$5:$S$3004,A681,'潜水記録'!$T$5:$T$3004,1))</f>
        <v/>
      </c>
      <c r="O681" s="49">
        <f>IF(A681="","",COUNTIF('潜水記録'!$S$5:$S$3004,A681))</f>
        <v/>
      </c>
    </row>
    <row r="682">
      <c r="A682" s="47" t="n"/>
      <c r="B682" s="48" t="n"/>
      <c r="C682" s="47" t="n"/>
      <c r="D682" s="47" t="n"/>
      <c r="E682" s="47" t="n"/>
      <c r="F682" s="47" t="n"/>
      <c r="G682" s="47" t="n"/>
      <c r="H682" s="47" t="n"/>
      <c r="I682" s="47" t="n"/>
      <c r="J682" s="47" t="n"/>
      <c r="K682" s="47" t="n"/>
      <c r="L682" s="47" t="n"/>
      <c r="M682" s="47" t="n"/>
      <c r="N682" s="49">
        <f>IF(A682="","",COUNTIFS('潜水記録'!$S$5:$S$3004,A682,'潜水記録'!$T$5:$T$3004,1))</f>
        <v/>
      </c>
      <c r="O682" s="49">
        <f>IF(A682="","",COUNTIF('潜水記録'!$S$5:$S$3004,A682))</f>
        <v/>
      </c>
    </row>
    <row r="683">
      <c r="A683" s="47" t="n"/>
      <c r="B683" s="48" t="n"/>
      <c r="C683" s="47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  <c r="N683" s="49">
        <f>IF(A683="","",COUNTIFS('潜水記録'!$S$5:$S$3004,A683,'潜水記録'!$T$5:$T$3004,1))</f>
        <v/>
      </c>
      <c r="O683" s="49">
        <f>IF(A683="","",COUNTIF('潜水記録'!$S$5:$S$3004,A683))</f>
        <v/>
      </c>
    </row>
    <row r="684">
      <c r="A684" s="47" t="n"/>
      <c r="B684" s="48" t="n"/>
      <c r="C684" s="47" t="n"/>
      <c r="D684" s="47" t="n"/>
      <c r="E684" s="47" t="n"/>
      <c r="F684" s="47" t="n"/>
      <c r="G684" s="47" t="n"/>
      <c r="H684" s="47" t="n"/>
      <c r="I684" s="47" t="n"/>
      <c r="J684" s="47" t="n"/>
      <c r="K684" s="47" t="n"/>
      <c r="L684" s="47" t="n"/>
      <c r="M684" s="47" t="n"/>
      <c r="N684" s="49">
        <f>IF(A684="","",COUNTIFS('潜水記録'!$S$5:$S$3004,A684,'潜水記録'!$T$5:$T$3004,1))</f>
        <v/>
      </c>
      <c r="O684" s="49">
        <f>IF(A684="","",COUNTIF('潜水記録'!$S$5:$S$3004,A684))</f>
        <v/>
      </c>
    </row>
    <row r="685">
      <c r="A685" s="47" t="n"/>
      <c r="B685" s="48" t="n"/>
      <c r="C685" s="47" t="n"/>
      <c r="D685" s="47" t="n"/>
      <c r="E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  <c r="N685" s="49">
        <f>IF(A685="","",COUNTIFS('潜水記録'!$S$5:$S$3004,A685,'潜水記録'!$T$5:$T$3004,1))</f>
        <v/>
      </c>
      <c r="O685" s="49">
        <f>IF(A685="","",COUNTIF('潜水記録'!$S$5:$S$3004,A685))</f>
        <v/>
      </c>
    </row>
    <row r="686">
      <c r="A686" s="47" t="n"/>
      <c r="B686" s="48" t="n"/>
      <c r="C686" s="47" t="n"/>
      <c r="D686" s="47" t="n"/>
      <c r="E686" s="47" t="n"/>
      <c r="F686" s="47" t="n"/>
      <c r="G686" s="47" t="n"/>
      <c r="H686" s="47" t="n"/>
      <c r="I686" s="47" t="n"/>
      <c r="J686" s="47" t="n"/>
      <c r="K686" s="47" t="n"/>
      <c r="L686" s="47" t="n"/>
      <c r="M686" s="47" t="n"/>
      <c r="N686" s="49">
        <f>IF(A686="","",COUNTIFS('潜水記録'!$S$5:$S$3004,A686,'潜水記録'!$T$5:$T$3004,1))</f>
        <v/>
      </c>
      <c r="O686" s="49">
        <f>IF(A686="","",COUNTIF('潜水記録'!$S$5:$S$3004,A686))</f>
        <v/>
      </c>
    </row>
    <row r="687">
      <c r="A687" s="47" t="n"/>
      <c r="B687" s="48" t="n"/>
      <c r="C687" s="47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  <c r="N687" s="49">
        <f>IF(A687="","",COUNTIFS('潜水記録'!$S$5:$S$3004,A687,'潜水記録'!$T$5:$T$3004,1))</f>
        <v/>
      </c>
      <c r="O687" s="49">
        <f>IF(A687="","",COUNTIF('潜水記録'!$S$5:$S$3004,A687))</f>
        <v/>
      </c>
    </row>
    <row r="688">
      <c r="A688" s="47" t="n"/>
      <c r="B688" s="48" t="n"/>
      <c r="C688" s="47" t="n"/>
      <c r="D688" s="47" t="n"/>
      <c r="E688" s="47" t="n"/>
      <c r="F688" s="47" t="n"/>
      <c r="G688" s="47" t="n"/>
      <c r="H688" s="47" t="n"/>
      <c r="I688" s="47" t="n"/>
      <c r="J688" s="47" t="n"/>
      <c r="K688" s="47" t="n"/>
      <c r="L688" s="47" t="n"/>
      <c r="M688" s="47" t="n"/>
      <c r="N688" s="49">
        <f>IF(A688="","",COUNTIFS('潜水記録'!$S$5:$S$3004,A688,'潜水記録'!$T$5:$T$3004,1))</f>
        <v/>
      </c>
      <c r="O688" s="49">
        <f>IF(A688="","",COUNTIF('潜水記録'!$S$5:$S$3004,A688))</f>
        <v/>
      </c>
    </row>
    <row r="689">
      <c r="A689" s="47" t="n"/>
      <c r="B689" s="48" t="n"/>
      <c r="C689" s="47" t="n"/>
      <c r="D689" s="47" t="n"/>
      <c r="E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  <c r="N689" s="49">
        <f>IF(A689="","",COUNTIFS('潜水記録'!$S$5:$S$3004,A689,'潜水記録'!$T$5:$T$3004,1))</f>
        <v/>
      </c>
      <c r="O689" s="49">
        <f>IF(A689="","",COUNTIF('潜水記録'!$S$5:$S$3004,A689))</f>
        <v/>
      </c>
    </row>
    <row r="690">
      <c r="A690" s="47" t="n"/>
      <c r="B690" s="48" t="n"/>
      <c r="C690" s="47" t="n"/>
      <c r="D690" s="47" t="n"/>
      <c r="E690" s="47" t="n"/>
      <c r="F690" s="47" t="n"/>
      <c r="G690" s="47" t="n"/>
      <c r="H690" s="47" t="n"/>
      <c r="I690" s="47" t="n"/>
      <c r="J690" s="47" t="n"/>
      <c r="K690" s="47" t="n"/>
      <c r="L690" s="47" t="n"/>
      <c r="M690" s="47" t="n"/>
      <c r="N690" s="49">
        <f>IF(A690="","",COUNTIFS('潜水記録'!$S$5:$S$3004,A690,'潜水記録'!$T$5:$T$3004,1))</f>
        <v/>
      </c>
      <c r="O690" s="49">
        <f>IF(A690="","",COUNTIF('潜水記録'!$S$5:$S$3004,A690))</f>
        <v/>
      </c>
    </row>
    <row r="691">
      <c r="A691" s="47" t="n"/>
      <c r="B691" s="48" t="n"/>
      <c r="C691" s="47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  <c r="N691" s="49">
        <f>IF(A691="","",COUNTIFS('潜水記録'!$S$5:$S$3004,A691,'潜水記録'!$T$5:$T$3004,1))</f>
        <v/>
      </c>
      <c r="O691" s="49">
        <f>IF(A691="","",COUNTIF('潜水記録'!$S$5:$S$3004,A691))</f>
        <v/>
      </c>
    </row>
    <row r="692">
      <c r="A692" s="47" t="n"/>
      <c r="B692" s="48" t="n"/>
      <c r="C692" s="47" t="n"/>
      <c r="D692" s="47" t="n"/>
      <c r="E692" s="47" t="n"/>
      <c r="F692" s="47" t="n"/>
      <c r="G692" s="47" t="n"/>
      <c r="H692" s="47" t="n"/>
      <c r="I692" s="47" t="n"/>
      <c r="J692" s="47" t="n"/>
      <c r="K692" s="47" t="n"/>
      <c r="L692" s="47" t="n"/>
      <c r="M692" s="47" t="n"/>
      <c r="N692" s="49">
        <f>IF(A692="","",COUNTIFS('潜水記録'!$S$5:$S$3004,A692,'潜水記録'!$T$5:$T$3004,1))</f>
        <v/>
      </c>
      <c r="O692" s="49">
        <f>IF(A692="","",COUNTIF('潜水記録'!$S$5:$S$3004,A692))</f>
        <v/>
      </c>
    </row>
    <row r="693">
      <c r="A693" s="47" t="n"/>
      <c r="B693" s="48" t="n"/>
      <c r="C693" s="47" t="n"/>
      <c r="D693" s="47" t="n"/>
      <c r="E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  <c r="N693" s="49">
        <f>IF(A693="","",COUNTIFS('潜水記録'!$S$5:$S$3004,A693,'潜水記録'!$T$5:$T$3004,1))</f>
        <v/>
      </c>
      <c r="O693" s="49">
        <f>IF(A693="","",COUNTIF('潜水記録'!$S$5:$S$3004,A693))</f>
        <v/>
      </c>
    </row>
    <row r="694">
      <c r="A694" s="47" t="n"/>
      <c r="B694" s="48" t="n"/>
      <c r="C694" s="47" t="n"/>
      <c r="D694" s="47" t="n"/>
      <c r="E694" s="47" t="n"/>
      <c r="F694" s="47" t="n"/>
      <c r="G694" s="47" t="n"/>
      <c r="H694" s="47" t="n"/>
      <c r="I694" s="47" t="n"/>
      <c r="J694" s="47" t="n"/>
      <c r="K694" s="47" t="n"/>
      <c r="L694" s="47" t="n"/>
      <c r="M694" s="47" t="n"/>
      <c r="N694" s="49">
        <f>IF(A694="","",COUNTIFS('潜水記録'!$S$5:$S$3004,A694,'潜水記録'!$T$5:$T$3004,1))</f>
        <v/>
      </c>
      <c r="O694" s="49">
        <f>IF(A694="","",COUNTIF('潜水記録'!$S$5:$S$3004,A694))</f>
        <v/>
      </c>
    </row>
    <row r="695">
      <c r="A695" s="47" t="n"/>
      <c r="B695" s="48" t="n"/>
      <c r="C695" s="47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  <c r="N695" s="49">
        <f>IF(A695="","",COUNTIFS('潜水記録'!$S$5:$S$3004,A695,'潜水記録'!$T$5:$T$3004,1))</f>
        <v/>
      </c>
      <c r="O695" s="49">
        <f>IF(A695="","",COUNTIF('潜水記録'!$S$5:$S$3004,A695))</f>
        <v/>
      </c>
    </row>
    <row r="696">
      <c r="A696" s="47" t="n"/>
      <c r="B696" s="48" t="n"/>
      <c r="C696" s="47" t="n"/>
      <c r="D696" s="47" t="n"/>
      <c r="E696" s="47" t="n"/>
      <c r="F696" s="47" t="n"/>
      <c r="G696" s="47" t="n"/>
      <c r="H696" s="47" t="n"/>
      <c r="I696" s="47" t="n"/>
      <c r="J696" s="47" t="n"/>
      <c r="K696" s="47" t="n"/>
      <c r="L696" s="47" t="n"/>
      <c r="M696" s="47" t="n"/>
      <c r="N696" s="49">
        <f>IF(A696="","",COUNTIFS('潜水記録'!$S$5:$S$3004,A696,'潜水記録'!$T$5:$T$3004,1))</f>
        <v/>
      </c>
      <c r="O696" s="49">
        <f>IF(A696="","",COUNTIF('潜水記録'!$S$5:$S$3004,A696))</f>
        <v/>
      </c>
    </row>
    <row r="697">
      <c r="A697" s="47" t="n"/>
      <c r="B697" s="48" t="n"/>
      <c r="C697" s="47" t="n"/>
      <c r="D697" s="47" t="n"/>
      <c r="E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  <c r="N697" s="49">
        <f>IF(A697="","",COUNTIFS('潜水記録'!$S$5:$S$3004,A697,'潜水記録'!$T$5:$T$3004,1))</f>
        <v/>
      </c>
      <c r="O697" s="49">
        <f>IF(A697="","",COUNTIF('潜水記録'!$S$5:$S$3004,A697))</f>
        <v/>
      </c>
    </row>
    <row r="698">
      <c r="A698" s="47" t="n"/>
      <c r="B698" s="48" t="n"/>
      <c r="C698" s="47" t="n"/>
      <c r="D698" s="47" t="n"/>
      <c r="E698" s="47" t="n"/>
      <c r="F698" s="47" t="n"/>
      <c r="G698" s="47" t="n"/>
      <c r="H698" s="47" t="n"/>
      <c r="I698" s="47" t="n"/>
      <c r="J698" s="47" t="n"/>
      <c r="K698" s="47" t="n"/>
      <c r="L698" s="47" t="n"/>
      <c r="M698" s="47" t="n"/>
      <c r="N698" s="49">
        <f>IF(A698="","",COUNTIFS('潜水記録'!$S$5:$S$3004,A698,'潜水記録'!$T$5:$T$3004,1))</f>
        <v/>
      </c>
      <c r="O698" s="49">
        <f>IF(A698="","",COUNTIF('潜水記録'!$S$5:$S$3004,A698))</f>
        <v/>
      </c>
    </row>
    <row r="699">
      <c r="A699" s="47" t="n"/>
      <c r="B699" s="48" t="n"/>
      <c r="C699" s="47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  <c r="N699" s="49">
        <f>IF(A699="","",COUNTIFS('潜水記録'!$S$5:$S$3004,A699,'潜水記録'!$T$5:$T$3004,1))</f>
        <v/>
      </c>
      <c r="O699" s="49">
        <f>IF(A699="","",COUNTIF('潜水記録'!$S$5:$S$3004,A699))</f>
        <v/>
      </c>
    </row>
    <row r="700">
      <c r="A700" s="47" t="n"/>
      <c r="B700" s="48" t="n"/>
      <c r="C700" s="47" t="n"/>
      <c r="D700" s="47" t="n"/>
      <c r="E700" s="47" t="n"/>
      <c r="F700" s="47" t="n"/>
      <c r="G700" s="47" t="n"/>
      <c r="H700" s="47" t="n"/>
      <c r="I700" s="47" t="n"/>
      <c r="J700" s="47" t="n"/>
      <c r="K700" s="47" t="n"/>
      <c r="L700" s="47" t="n"/>
      <c r="M700" s="47" t="n"/>
      <c r="N700" s="49">
        <f>IF(A700="","",COUNTIFS('潜水記録'!$S$5:$S$3004,A700,'潜水記録'!$T$5:$T$3004,1))</f>
        <v/>
      </c>
      <c r="O700" s="49">
        <f>IF(A700="","",COUNTIF('潜水記録'!$S$5:$S$3004,A700))</f>
        <v/>
      </c>
    </row>
    <row r="701">
      <c r="A701" s="47" t="n"/>
      <c r="B701" s="48" t="n"/>
      <c r="C701" s="47" t="n"/>
      <c r="D701" s="47" t="n"/>
      <c r="E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  <c r="N701" s="49">
        <f>IF(A701="","",COUNTIFS('潜水記録'!$S$5:$S$3004,A701,'潜水記録'!$T$5:$T$3004,1))</f>
        <v/>
      </c>
      <c r="O701" s="49">
        <f>IF(A701="","",COUNTIF('潜水記録'!$S$5:$S$3004,A701))</f>
        <v/>
      </c>
    </row>
    <row r="702">
      <c r="A702" s="47" t="n"/>
      <c r="B702" s="48" t="n"/>
      <c r="C702" s="47" t="n"/>
      <c r="D702" s="47" t="n"/>
      <c r="E702" s="47" t="n"/>
      <c r="F702" s="47" t="n"/>
      <c r="G702" s="47" t="n"/>
      <c r="H702" s="47" t="n"/>
      <c r="I702" s="47" t="n"/>
      <c r="J702" s="47" t="n"/>
      <c r="K702" s="47" t="n"/>
      <c r="L702" s="47" t="n"/>
      <c r="M702" s="47" t="n"/>
      <c r="N702" s="49">
        <f>IF(A702="","",COUNTIFS('潜水記録'!$S$5:$S$3004,A702,'潜水記録'!$T$5:$T$3004,1))</f>
        <v/>
      </c>
      <c r="O702" s="49">
        <f>IF(A702="","",COUNTIF('潜水記録'!$S$5:$S$3004,A702))</f>
        <v/>
      </c>
    </row>
    <row r="703">
      <c r="A703" s="47" t="n"/>
      <c r="B703" s="48" t="n"/>
      <c r="C703" s="47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  <c r="N703" s="49">
        <f>IF(A703="","",COUNTIFS('潜水記録'!$S$5:$S$3004,A703,'潜水記録'!$T$5:$T$3004,1))</f>
        <v/>
      </c>
      <c r="O703" s="49">
        <f>IF(A703="","",COUNTIF('潜水記録'!$S$5:$S$3004,A703))</f>
        <v/>
      </c>
    </row>
    <row r="704">
      <c r="A704" s="47" t="n"/>
      <c r="B704" s="48" t="n"/>
      <c r="C704" s="47" t="n"/>
      <c r="D704" s="47" t="n"/>
      <c r="E704" s="47" t="n"/>
      <c r="F704" s="47" t="n"/>
      <c r="G704" s="47" t="n"/>
      <c r="H704" s="47" t="n"/>
      <c r="I704" s="47" t="n"/>
      <c r="J704" s="47" t="n"/>
      <c r="K704" s="47" t="n"/>
      <c r="L704" s="47" t="n"/>
      <c r="M704" s="47" t="n"/>
      <c r="N704" s="49">
        <f>IF(A704="","",COUNTIFS('潜水記録'!$S$5:$S$3004,A704,'潜水記録'!$T$5:$T$3004,1))</f>
        <v/>
      </c>
      <c r="O704" s="49">
        <f>IF(A704="","",COUNTIF('潜水記録'!$S$5:$S$3004,A704))</f>
        <v/>
      </c>
    </row>
    <row r="705">
      <c r="A705" s="47" t="n"/>
      <c r="B705" s="48" t="n"/>
      <c r="C705" s="47" t="n"/>
      <c r="D705" s="47" t="n"/>
      <c r="E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  <c r="N705" s="49">
        <f>IF(A705="","",COUNTIFS('潜水記録'!$S$5:$S$3004,A705,'潜水記録'!$T$5:$T$3004,1))</f>
        <v/>
      </c>
      <c r="O705" s="49">
        <f>IF(A705="","",COUNTIF('潜水記録'!$S$5:$S$3004,A705))</f>
        <v/>
      </c>
    </row>
    <row r="706">
      <c r="A706" s="47" t="n"/>
      <c r="B706" s="48" t="n"/>
      <c r="C706" s="47" t="n"/>
      <c r="D706" s="47" t="n"/>
      <c r="E706" s="47" t="n"/>
      <c r="F706" s="47" t="n"/>
      <c r="G706" s="47" t="n"/>
      <c r="H706" s="47" t="n"/>
      <c r="I706" s="47" t="n"/>
      <c r="J706" s="47" t="n"/>
      <c r="K706" s="47" t="n"/>
      <c r="L706" s="47" t="n"/>
      <c r="M706" s="47" t="n"/>
      <c r="N706" s="49">
        <f>IF(A706="","",COUNTIFS('潜水記録'!$S$5:$S$3004,A706,'潜水記録'!$T$5:$T$3004,1))</f>
        <v/>
      </c>
      <c r="O706" s="49">
        <f>IF(A706="","",COUNTIF('潜水記録'!$S$5:$S$3004,A706))</f>
        <v/>
      </c>
    </row>
    <row r="707">
      <c r="A707" s="47" t="n"/>
      <c r="B707" s="48" t="n"/>
      <c r="C707" s="47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  <c r="N707" s="49">
        <f>IF(A707="","",COUNTIFS('潜水記録'!$S$5:$S$3004,A707,'潜水記録'!$T$5:$T$3004,1))</f>
        <v/>
      </c>
      <c r="O707" s="49">
        <f>IF(A707="","",COUNTIF('潜水記録'!$S$5:$S$3004,A707))</f>
        <v/>
      </c>
    </row>
    <row r="708">
      <c r="A708" s="47" t="n"/>
      <c r="B708" s="48" t="n"/>
      <c r="C708" s="47" t="n"/>
      <c r="D708" s="47" t="n"/>
      <c r="E708" s="47" t="n"/>
      <c r="F708" s="47" t="n"/>
      <c r="G708" s="47" t="n"/>
      <c r="H708" s="47" t="n"/>
      <c r="I708" s="47" t="n"/>
      <c r="J708" s="47" t="n"/>
      <c r="K708" s="47" t="n"/>
      <c r="L708" s="47" t="n"/>
      <c r="M708" s="47" t="n"/>
      <c r="N708" s="49">
        <f>IF(A708="","",COUNTIFS('潜水記録'!$S$5:$S$3004,A708,'潜水記録'!$T$5:$T$3004,1))</f>
        <v/>
      </c>
      <c r="O708" s="49">
        <f>IF(A708="","",COUNTIF('潜水記録'!$S$5:$S$3004,A708))</f>
        <v/>
      </c>
    </row>
    <row r="709">
      <c r="A709" s="47" t="n"/>
      <c r="B709" s="48" t="n"/>
      <c r="C709" s="47" t="n"/>
      <c r="D709" s="47" t="n"/>
      <c r="E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  <c r="N709" s="49">
        <f>IF(A709="","",COUNTIFS('潜水記録'!$S$5:$S$3004,A709,'潜水記録'!$T$5:$T$3004,1))</f>
        <v/>
      </c>
      <c r="O709" s="49">
        <f>IF(A709="","",COUNTIF('潜水記録'!$S$5:$S$3004,A709))</f>
        <v/>
      </c>
    </row>
    <row r="710">
      <c r="A710" s="47" t="n"/>
      <c r="B710" s="48" t="n"/>
      <c r="C710" s="47" t="n"/>
      <c r="D710" s="47" t="n"/>
      <c r="E710" s="47" t="n"/>
      <c r="F710" s="47" t="n"/>
      <c r="G710" s="47" t="n"/>
      <c r="H710" s="47" t="n"/>
      <c r="I710" s="47" t="n"/>
      <c r="J710" s="47" t="n"/>
      <c r="K710" s="47" t="n"/>
      <c r="L710" s="47" t="n"/>
      <c r="M710" s="47" t="n"/>
      <c r="N710" s="49">
        <f>IF(A710="","",COUNTIFS('潜水記録'!$S$5:$S$3004,A710,'潜水記録'!$T$5:$T$3004,1))</f>
        <v/>
      </c>
      <c r="O710" s="49">
        <f>IF(A710="","",COUNTIF('潜水記録'!$S$5:$S$3004,A710))</f>
        <v/>
      </c>
    </row>
    <row r="711">
      <c r="A711" s="47" t="n"/>
      <c r="B711" s="48" t="n"/>
      <c r="C711" s="47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  <c r="N711" s="49">
        <f>IF(A711="","",COUNTIFS('潜水記録'!$S$5:$S$3004,A711,'潜水記録'!$T$5:$T$3004,1))</f>
        <v/>
      </c>
      <c r="O711" s="49">
        <f>IF(A711="","",COUNTIF('潜水記録'!$S$5:$S$3004,A711))</f>
        <v/>
      </c>
    </row>
    <row r="712">
      <c r="A712" s="47" t="n"/>
      <c r="B712" s="48" t="n"/>
      <c r="C712" s="47" t="n"/>
      <c r="D712" s="47" t="n"/>
      <c r="E712" s="47" t="n"/>
      <c r="F712" s="47" t="n"/>
      <c r="G712" s="47" t="n"/>
      <c r="H712" s="47" t="n"/>
      <c r="I712" s="47" t="n"/>
      <c r="J712" s="47" t="n"/>
      <c r="K712" s="47" t="n"/>
      <c r="L712" s="47" t="n"/>
      <c r="M712" s="47" t="n"/>
      <c r="N712" s="49">
        <f>IF(A712="","",COUNTIFS('潜水記録'!$S$5:$S$3004,A712,'潜水記録'!$T$5:$T$3004,1))</f>
        <v/>
      </c>
      <c r="O712" s="49">
        <f>IF(A712="","",COUNTIF('潜水記録'!$S$5:$S$3004,A712))</f>
        <v/>
      </c>
    </row>
    <row r="713">
      <c r="A713" s="47" t="n"/>
      <c r="B713" s="48" t="n"/>
      <c r="C713" s="47" t="n"/>
      <c r="D713" s="47" t="n"/>
      <c r="E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  <c r="N713" s="49">
        <f>IF(A713="","",COUNTIFS('潜水記録'!$S$5:$S$3004,A713,'潜水記録'!$T$5:$T$3004,1))</f>
        <v/>
      </c>
      <c r="O713" s="49">
        <f>IF(A713="","",COUNTIF('潜水記録'!$S$5:$S$3004,A713))</f>
        <v/>
      </c>
    </row>
    <row r="714">
      <c r="A714" s="47" t="n"/>
      <c r="B714" s="48" t="n"/>
      <c r="C714" s="47" t="n"/>
      <c r="D714" s="47" t="n"/>
      <c r="E714" s="47" t="n"/>
      <c r="F714" s="47" t="n"/>
      <c r="G714" s="47" t="n"/>
      <c r="H714" s="47" t="n"/>
      <c r="I714" s="47" t="n"/>
      <c r="J714" s="47" t="n"/>
      <c r="K714" s="47" t="n"/>
      <c r="L714" s="47" t="n"/>
      <c r="M714" s="47" t="n"/>
      <c r="N714" s="49">
        <f>IF(A714="","",COUNTIFS('潜水記録'!$S$5:$S$3004,A714,'潜水記録'!$T$5:$T$3004,1))</f>
        <v/>
      </c>
      <c r="O714" s="49">
        <f>IF(A714="","",COUNTIF('潜水記録'!$S$5:$S$3004,A714))</f>
        <v/>
      </c>
    </row>
    <row r="715">
      <c r="A715" s="47" t="n"/>
      <c r="B715" s="48" t="n"/>
      <c r="C715" s="47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  <c r="N715" s="49">
        <f>IF(A715="","",COUNTIFS('潜水記録'!$S$5:$S$3004,A715,'潜水記録'!$T$5:$T$3004,1))</f>
        <v/>
      </c>
      <c r="O715" s="49">
        <f>IF(A715="","",COUNTIF('潜水記録'!$S$5:$S$3004,A715))</f>
        <v/>
      </c>
    </row>
    <row r="716">
      <c r="A716" s="47" t="n"/>
      <c r="B716" s="48" t="n"/>
      <c r="C716" s="47" t="n"/>
      <c r="D716" s="47" t="n"/>
      <c r="E716" s="47" t="n"/>
      <c r="F716" s="47" t="n"/>
      <c r="G716" s="47" t="n"/>
      <c r="H716" s="47" t="n"/>
      <c r="I716" s="47" t="n"/>
      <c r="J716" s="47" t="n"/>
      <c r="K716" s="47" t="n"/>
      <c r="L716" s="47" t="n"/>
      <c r="M716" s="47" t="n"/>
      <c r="N716" s="49">
        <f>IF(A716="","",COUNTIFS('潜水記録'!$S$5:$S$3004,A716,'潜水記録'!$T$5:$T$3004,1))</f>
        <v/>
      </c>
      <c r="O716" s="49">
        <f>IF(A716="","",COUNTIF('潜水記録'!$S$5:$S$3004,A716))</f>
        <v/>
      </c>
    </row>
    <row r="717">
      <c r="A717" s="47" t="n"/>
      <c r="B717" s="48" t="n"/>
      <c r="C717" s="47" t="n"/>
      <c r="D717" s="47" t="n"/>
      <c r="E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  <c r="N717" s="49">
        <f>IF(A717="","",COUNTIFS('潜水記録'!$S$5:$S$3004,A717,'潜水記録'!$T$5:$T$3004,1))</f>
        <v/>
      </c>
      <c r="O717" s="49">
        <f>IF(A717="","",COUNTIF('潜水記録'!$S$5:$S$3004,A717))</f>
        <v/>
      </c>
    </row>
    <row r="718">
      <c r="A718" s="47" t="n"/>
      <c r="B718" s="48" t="n"/>
      <c r="C718" s="47" t="n"/>
      <c r="D718" s="47" t="n"/>
      <c r="E718" s="47" t="n"/>
      <c r="F718" s="47" t="n"/>
      <c r="G718" s="47" t="n"/>
      <c r="H718" s="47" t="n"/>
      <c r="I718" s="47" t="n"/>
      <c r="J718" s="47" t="n"/>
      <c r="K718" s="47" t="n"/>
      <c r="L718" s="47" t="n"/>
      <c r="M718" s="47" t="n"/>
      <c r="N718" s="49">
        <f>IF(A718="","",COUNTIFS('潜水記録'!$S$5:$S$3004,A718,'潜水記録'!$T$5:$T$3004,1))</f>
        <v/>
      </c>
      <c r="O718" s="49">
        <f>IF(A718="","",COUNTIF('潜水記録'!$S$5:$S$3004,A718))</f>
        <v/>
      </c>
    </row>
    <row r="719">
      <c r="A719" s="47" t="n"/>
      <c r="B719" s="48" t="n"/>
      <c r="C719" s="47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  <c r="N719" s="49">
        <f>IF(A719="","",COUNTIFS('潜水記録'!$S$5:$S$3004,A719,'潜水記録'!$T$5:$T$3004,1))</f>
        <v/>
      </c>
      <c r="O719" s="49">
        <f>IF(A719="","",COUNTIF('潜水記録'!$S$5:$S$3004,A719))</f>
        <v/>
      </c>
    </row>
    <row r="720">
      <c r="A720" s="47" t="n"/>
      <c r="B720" s="48" t="n"/>
      <c r="C720" s="47" t="n"/>
      <c r="D720" s="47" t="n"/>
      <c r="E720" s="47" t="n"/>
      <c r="F720" s="47" t="n"/>
      <c r="G720" s="47" t="n"/>
      <c r="H720" s="47" t="n"/>
      <c r="I720" s="47" t="n"/>
      <c r="J720" s="47" t="n"/>
      <c r="K720" s="47" t="n"/>
      <c r="L720" s="47" t="n"/>
      <c r="M720" s="47" t="n"/>
      <c r="N720" s="49">
        <f>IF(A720="","",COUNTIFS('潜水記録'!$S$5:$S$3004,A720,'潜水記録'!$T$5:$T$3004,1))</f>
        <v/>
      </c>
      <c r="O720" s="49">
        <f>IF(A720="","",COUNTIF('潜水記録'!$S$5:$S$3004,A720))</f>
        <v/>
      </c>
    </row>
    <row r="721">
      <c r="A721" s="47" t="n"/>
      <c r="B721" s="48" t="n"/>
      <c r="C721" s="47" t="n"/>
      <c r="D721" s="47" t="n"/>
      <c r="E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  <c r="N721" s="49">
        <f>IF(A721="","",COUNTIFS('潜水記録'!$S$5:$S$3004,A721,'潜水記録'!$T$5:$T$3004,1))</f>
        <v/>
      </c>
      <c r="O721" s="49">
        <f>IF(A721="","",COUNTIF('潜水記録'!$S$5:$S$3004,A721))</f>
        <v/>
      </c>
    </row>
    <row r="722">
      <c r="A722" s="47" t="n"/>
      <c r="B722" s="48" t="n"/>
      <c r="C722" s="47" t="n"/>
      <c r="D722" s="47" t="n"/>
      <c r="E722" s="47" t="n"/>
      <c r="F722" s="47" t="n"/>
      <c r="G722" s="47" t="n"/>
      <c r="H722" s="47" t="n"/>
      <c r="I722" s="47" t="n"/>
      <c r="J722" s="47" t="n"/>
      <c r="K722" s="47" t="n"/>
      <c r="L722" s="47" t="n"/>
      <c r="M722" s="47" t="n"/>
      <c r="N722" s="49">
        <f>IF(A722="","",COUNTIFS('潜水記録'!$S$5:$S$3004,A722,'潜水記録'!$T$5:$T$3004,1))</f>
        <v/>
      </c>
      <c r="O722" s="49">
        <f>IF(A722="","",COUNTIF('潜水記録'!$S$5:$S$3004,A722))</f>
        <v/>
      </c>
    </row>
    <row r="723">
      <c r="A723" s="47" t="n"/>
      <c r="B723" s="48" t="n"/>
      <c r="C723" s="47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  <c r="N723" s="49">
        <f>IF(A723="","",COUNTIFS('潜水記録'!$S$5:$S$3004,A723,'潜水記録'!$T$5:$T$3004,1))</f>
        <v/>
      </c>
      <c r="O723" s="49">
        <f>IF(A723="","",COUNTIF('潜水記録'!$S$5:$S$3004,A723))</f>
        <v/>
      </c>
    </row>
    <row r="724">
      <c r="A724" s="47" t="n"/>
      <c r="B724" s="48" t="n"/>
      <c r="C724" s="47" t="n"/>
      <c r="D724" s="47" t="n"/>
      <c r="E724" s="47" t="n"/>
      <c r="F724" s="47" t="n"/>
      <c r="G724" s="47" t="n"/>
      <c r="H724" s="47" t="n"/>
      <c r="I724" s="47" t="n"/>
      <c r="J724" s="47" t="n"/>
      <c r="K724" s="47" t="n"/>
      <c r="L724" s="47" t="n"/>
      <c r="M724" s="47" t="n"/>
      <c r="N724" s="49">
        <f>IF(A724="","",COUNTIFS('潜水記録'!$S$5:$S$3004,A724,'潜水記録'!$T$5:$T$3004,1))</f>
        <v/>
      </c>
      <c r="O724" s="49">
        <f>IF(A724="","",COUNTIF('潜水記録'!$S$5:$S$3004,A724))</f>
        <v/>
      </c>
    </row>
    <row r="725">
      <c r="A725" s="47" t="n"/>
      <c r="B725" s="48" t="n"/>
      <c r="C725" s="47" t="n"/>
      <c r="D725" s="47" t="n"/>
      <c r="E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  <c r="N725" s="49">
        <f>IF(A725="","",COUNTIFS('潜水記録'!$S$5:$S$3004,A725,'潜水記録'!$T$5:$T$3004,1))</f>
        <v/>
      </c>
      <c r="O725" s="49">
        <f>IF(A725="","",COUNTIF('潜水記録'!$S$5:$S$3004,A725))</f>
        <v/>
      </c>
    </row>
    <row r="726">
      <c r="A726" s="47" t="n"/>
      <c r="B726" s="48" t="n"/>
      <c r="C726" s="47" t="n"/>
      <c r="D726" s="47" t="n"/>
      <c r="E726" s="47" t="n"/>
      <c r="F726" s="47" t="n"/>
      <c r="G726" s="47" t="n"/>
      <c r="H726" s="47" t="n"/>
      <c r="I726" s="47" t="n"/>
      <c r="J726" s="47" t="n"/>
      <c r="K726" s="47" t="n"/>
      <c r="L726" s="47" t="n"/>
      <c r="M726" s="47" t="n"/>
      <c r="N726" s="49">
        <f>IF(A726="","",COUNTIFS('潜水記録'!$S$5:$S$3004,A726,'潜水記録'!$T$5:$T$3004,1))</f>
        <v/>
      </c>
      <c r="O726" s="49">
        <f>IF(A726="","",COUNTIF('潜水記録'!$S$5:$S$3004,A726))</f>
        <v/>
      </c>
    </row>
    <row r="727">
      <c r="A727" s="47" t="n"/>
      <c r="B727" s="48" t="n"/>
      <c r="C727" s="47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  <c r="N727" s="49">
        <f>IF(A727="","",COUNTIFS('潜水記録'!$S$5:$S$3004,A727,'潜水記録'!$T$5:$T$3004,1))</f>
        <v/>
      </c>
      <c r="O727" s="49">
        <f>IF(A727="","",COUNTIF('潜水記録'!$S$5:$S$3004,A727))</f>
        <v/>
      </c>
    </row>
    <row r="728">
      <c r="A728" s="47" t="n"/>
      <c r="B728" s="48" t="n"/>
      <c r="C728" s="47" t="n"/>
      <c r="D728" s="47" t="n"/>
      <c r="E728" s="47" t="n"/>
      <c r="F728" s="47" t="n"/>
      <c r="G728" s="47" t="n"/>
      <c r="H728" s="47" t="n"/>
      <c r="I728" s="47" t="n"/>
      <c r="J728" s="47" t="n"/>
      <c r="K728" s="47" t="n"/>
      <c r="L728" s="47" t="n"/>
      <c r="M728" s="47" t="n"/>
      <c r="N728" s="49">
        <f>IF(A728="","",COUNTIFS('潜水記録'!$S$5:$S$3004,A728,'潜水記録'!$T$5:$T$3004,1))</f>
        <v/>
      </c>
      <c r="O728" s="49">
        <f>IF(A728="","",COUNTIF('潜水記録'!$S$5:$S$3004,A728))</f>
        <v/>
      </c>
    </row>
    <row r="729">
      <c r="A729" s="47" t="n"/>
      <c r="B729" s="48" t="n"/>
      <c r="C729" s="47" t="n"/>
      <c r="D729" s="47" t="n"/>
      <c r="E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  <c r="N729" s="49">
        <f>IF(A729="","",COUNTIFS('潜水記録'!$S$5:$S$3004,A729,'潜水記録'!$T$5:$T$3004,1))</f>
        <v/>
      </c>
      <c r="O729" s="49">
        <f>IF(A729="","",COUNTIF('潜水記録'!$S$5:$S$3004,A729))</f>
        <v/>
      </c>
    </row>
    <row r="730">
      <c r="A730" s="47" t="n"/>
      <c r="B730" s="48" t="n"/>
      <c r="C730" s="47" t="n"/>
      <c r="D730" s="47" t="n"/>
      <c r="E730" s="47" t="n"/>
      <c r="F730" s="47" t="n"/>
      <c r="G730" s="47" t="n"/>
      <c r="H730" s="47" t="n"/>
      <c r="I730" s="47" t="n"/>
      <c r="J730" s="47" t="n"/>
      <c r="K730" s="47" t="n"/>
      <c r="L730" s="47" t="n"/>
      <c r="M730" s="47" t="n"/>
      <c r="N730" s="49">
        <f>IF(A730="","",COUNTIFS('潜水記録'!$S$5:$S$3004,A730,'潜水記録'!$T$5:$T$3004,1))</f>
        <v/>
      </c>
      <c r="O730" s="49">
        <f>IF(A730="","",COUNTIF('潜水記録'!$S$5:$S$3004,A730))</f>
        <v/>
      </c>
    </row>
    <row r="731">
      <c r="A731" s="47" t="n"/>
      <c r="B731" s="48" t="n"/>
      <c r="C731" s="47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  <c r="N731" s="49">
        <f>IF(A731="","",COUNTIFS('潜水記録'!$S$5:$S$3004,A731,'潜水記録'!$T$5:$T$3004,1))</f>
        <v/>
      </c>
      <c r="O731" s="49">
        <f>IF(A731="","",COUNTIF('潜水記録'!$S$5:$S$3004,A731))</f>
        <v/>
      </c>
    </row>
    <row r="732">
      <c r="A732" s="47" t="n"/>
      <c r="B732" s="48" t="n"/>
      <c r="C732" s="47" t="n"/>
      <c r="D732" s="47" t="n"/>
      <c r="E732" s="47" t="n"/>
      <c r="F732" s="47" t="n"/>
      <c r="G732" s="47" t="n"/>
      <c r="H732" s="47" t="n"/>
      <c r="I732" s="47" t="n"/>
      <c r="J732" s="47" t="n"/>
      <c r="K732" s="47" t="n"/>
      <c r="L732" s="47" t="n"/>
      <c r="M732" s="47" t="n"/>
      <c r="N732" s="49">
        <f>IF(A732="","",COUNTIFS('潜水記録'!$S$5:$S$3004,A732,'潜水記録'!$T$5:$T$3004,1))</f>
        <v/>
      </c>
      <c r="O732" s="49">
        <f>IF(A732="","",COUNTIF('潜水記録'!$S$5:$S$3004,A732))</f>
        <v/>
      </c>
    </row>
    <row r="733">
      <c r="A733" s="47" t="n"/>
      <c r="B733" s="48" t="n"/>
      <c r="C733" s="47" t="n"/>
      <c r="D733" s="47" t="n"/>
      <c r="E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  <c r="N733" s="49">
        <f>IF(A733="","",COUNTIFS('潜水記録'!$S$5:$S$3004,A733,'潜水記録'!$T$5:$T$3004,1))</f>
        <v/>
      </c>
      <c r="O733" s="49">
        <f>IF(A733="","",COUNTIF('潜水記録'!$S$5:$S$3004,A733))</f>
        <v/>
      </c>
    </row>
    <row r="734">
      <c r="A734" s="47" t="n"/>
      <c r="B734" s="48" t="n"/>
      <c r="C734" s="47" t="n"/>
      <c r="D734" s="47" t="n"/>
      <c r="E734" s="47" t="n"/>
      <c r="F734" s="47" t="n"/>
      <c r="G734" s="47" t="n"/>
      <c r="H734" s="47" t="n"/>
      <c r="I734" s="47" t="n"/>
      <c r="J734" s="47" t="n"/>
      <c r="K734" s="47" t="n"/>
      <c r="L734" s="47" t="n"/>
      <c r="M734" s="47" t="n"/>
      <c r="N734" s="49">
        <f>IF(A734="","",COUNTIFS('潜水記録'!$S$5:$S$3004,A734,'潜水記録'!$T$5:$T$3004,1))</f>
        <v/>
      </c>
      <c r="O734" s="49">
        <f>IF(A734="","",COUNTIF('潜水記録'!$S$5:$S$3004,A734))</f>
        <v/>
      </c>
    </row>
    <row r="735">
      <c r="A735" s="47" t="n"/>
      <c r="B735" s="48" t="n"/>
      <c r="C735" s="47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  <c r="N735" s="49">
        <f>IF(A735="","",COUNTIFS('潜水記録'!$S$5:$S$3004,A735,'潜水記録'!$T$5:$T$3004,1))</f>
        <v/>
      </c>
      <c r="O735" s="49">
        <f>IF(A735="","",COUNTIF('潜水記録'!$S$5:$S$3004,A735))</f>
        <v/>
      </c>
    </row>
    <row r="736">
      <c r="A736" s="47" t="n"/>
      <c r="B736" s="48" t="n"/>
      <c r="C736" s="47" t="n"/>
      <c r="D736" s="47" t="n"/>
      <c r="E736" s="47" t="n"/>
      <c r="F736" s="47" t="n"/>
      <c r="G736" s="47" t="n"/>
      <c r="H736" s="47" t="n"/>
      <c r="I736" s="47" t="n"/>
      <c r="J736" s="47" t="n"/>
      <c r="K736" s="47" t="n"/>
      <c r="L736" s="47" t="n"/>
      <c r="M736" s="47" t="n"/>
      <c r="N736" s="49">
        <f>IF(A736="","",COUNTIFS('潜水記録'!$S$5:$S$3004,A736,'潜水記録'!$T$5:$T$3004,1))</f>
        <v/>
      </c>
      <c r="O736" s="49">
        <f>IF(A736="","",COUNTIF('潜水記録'!$S$5:$S$3004,A736))</f>
        <v/>
      </c>
    </row>
    <row r="737">
      <c r="A737" s="47" t="n"/>
      <c r="B737" s="48" t="n"/>
      <c r="C737" s="47" t="n"/>
      <c r="D737" s="47" t="n"/>
      <c r="E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  <c r="N737" s="49">
        <f>IF(A737="","",COUNTIFS('潜水記録'!$S$5:$S$3004,A737,'潜水記録'!$T$5:$T$3004,1))</f>
        <v/>
      </c>
      <c r="O737" s="49">
        <f>IF(A737="","",COUNTIF('潜水記録'!$S$5:$S$3004,A737))</f>
        <v/>
      </c>
    </row>
    <row r="738">
      <c r="A738" s="47" t="n"/>
      <c r="B738" s="48" t="n"/>
      <c r="C738" s="47" t="n"/>
      <c r="D738" s="47" t="n"/>
      <c r="E738" s="47" t="n"/>
      <c r="F738" s="47" t="n"/>
      <c r="G738" s="47" t="n"/>
      <c r="H738" s="47" t="n"/>
      <c r="I738" s="47" t="n"/>
      <c r="J738" s="47" t="n"/>
      <c r="K738" s="47" t="n"/>
      <c r="L738" s="47" t="n"/>
      <c r="M738" s="47" t="n"/>
      <c r="N738" s="49">
        <f>IF(A738="","",COUNTIFS('潜水記録'!$S$5:$S$3004,A738,'潜水記録'!$T$5:$T$3004,1))</f>
        <v/>
      </c>
      <c r="O738" s="49">
        <f>IF(A738="","",COUNTIF('潜水記録'!$S$5:$S$3004,A738))</f>
        <v/>
      </c>
    </row>
    <row r="739">
      <c r="A739" s="47" t="n"/>
      <c r="B739" s="48" t="n"/>
      <c r="C739" s="47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  <c r="N739" s="49">
        <f>IF(A739="","",COUNTIFS('潜水記録'!$S$5:$S$3004,A739,'潜水記録'!$T$5:$T$3004,1))</f>
        <v/>
      </c>
      <c r="O739" s="49">
        <f>IF(A739="","",COUNTIF('潜水記録'!$S$5:$S$3004,A739))</f>
        <v/>
      </c>
    </row>
    <row r="740">
      <c r="A740" s="47" t="n"/>
      <c r="B740" s="48" t="n"/>
      <c r="C740" s="47" t="n"/>
      <c r="D740" s="47" t="n"/>
      <c r="E740" s="47" t="n"/>
      <c r="F740" s="47" t="n"/>
      <c r="G740" s="47" t="n"/>
      <c r="H740" s="47" t="n"/>
      <c r="I740" s="47" t="n"/>
      <c r="J740" s="47" t="n"/>
      <c r="K740" s="47" t="n"/>
      <c r="L740" s="47" t="n"/>
      <c r="M740" s="47" t="n"/>
      <c r="N740" s="49">
        <f>IF(A740="","",COUNTIFS('潜水記録'!$S$5:$S$3004,A740,'潜水記録'!$T$5:$T$3004,1))</f>
        <v/>
      </c>
      <c r="O740" s="49">
        <f>IF(A740="","",COUNTIF('潜水記録'!$S$5:$S$3004,A740))</f>
        <v/>
      </c>
    </row>
    <row r="741">
      <c r="A741" s="47" t="n"/>
      <c r="B741" s="48" t="n"/>
      <c r="C741" s="47" t="n"/>
      <c r="D741" s="47" t="n"/>
      <c r="E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  <c r="N741" s="49">
        <f>IF(A741="","",COUNTIFS('潜水記録'!$S$5:$S$3004,A741,'潜水記録'!$T$5:$T$3004,1))</f>
        <v/>
      </c>
      <c r="O741" s="49">
        <f>IF(A741="","",COUNTIF('潜水記録'!$S$5:$S$3004,A741))</f>
        <v/>
      </c>
    </row>
    <row r="742">
      <c r="A742" s="47" t="n"/>
      <c r="B742" s="48" t="n"/>
      <c r="C742" s="47" t="n"/>
      <c r="D742" s="47" t="n"/>
      <c r="E742" s="47" t="n"/>
      <c r="F742" s="47" t="n"/>
      <c r="G742" s="47" t="n"/>
      <c r="H742" s="47" t="n"/>
      <c r="I742" s="47" t="n"/>
      <c r="J742" s="47" t="n"/>
      <c r="K742" s="47" t="n"/>
      <c r="L742" s="47" t="n"/>
      <c r="M742" s="47" t="n"/>
      <c r="N742" s="49">
        <f>IF(A742="","",COUNTIFS('潜水記録'!$S$5:$S$3004,A742,'潜水記録'!$T$5:$T$3004,1))</f>
        <v/>
      </c>
      <c r="O742" s="49">
        <f>IF(A742="","",COUNTIF('潜水記録'!$S$5:$S$3004,A742))</f>
        <v/>
      </c>
    </row>
    <row r="743">
      <c r="A743" s="47" t="n"/>
      <c r="B743" s="48" t="n"/>
      <c r="C743" s="47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  <c r="N743" s="49">
        <f>IF(A743="","",COUNTIFS('潜水記録'!$S$5:$S$3004,A743,'潜水記録'!$T$5:$T$3004,1))</f>
        <v/>
      </c>
      <c r="O743" s="49">
        <f>IF(A743="","",COUNTIF('潜水記録'!$S$5:$S$3004,A743))</f>
        <v/>
      </c>
    </row>
    <row r="744">
      <c r="A744" s="47" t="n"/>
      <c r="B744" s="48" t="n"/>
      <c r="C744" s="47" t="n"/>
      <c r="D744" s="47" t="n"/>
      <c r="E744" s="47" t="n"/>
      <c r="F744" s="47" t="n"/>
      <c r="G744" s="47" t="n"/>
      <c r="H744" s="47" t="n"/>
      <c r="I744" s="47" t="n"/>
      <c r="J744" s="47" t="n"/>
      <c r="K744" s="47" t="n"/>
      <c r="L744" s="47" t="n"/>
      <c r="M744" s="47" t="n"/>
      <c r="N744" s="49">
        <f>IF(A744="","",COUNTIFS('潜水記録'!$S$5:$S$3004,A744,'潜水記録'!$T$5:$T$3004,1))</f>
        <v/>
      </c>
      <c r="O744" s="49">
        <f>IF(A744="","",COUNTIF('潜水記録'!$S$5:$S$3004,A744))</f>
        <v/>
      </c>
    </row>
    <row r="745">
      <c r="A745" s="47" t="n"/>
      <c r="B745" s="48" t="n"/>
      <c r="C745" s="47" t="n"/>
      <c r="D745" s="47" t="n"/>
      <c r="E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  <c r="N745" s="49">
        <f>IF(A745="","",COUNTIFS('潜水記録'!$S$5:$S$3004,A745,'潜水記録'!$T$5:$T$3004,1))</f>
        <v/>
      </c>
      <c r="O745" s="49">
        <f>IF(A745="","",COUNTIF('潜水記録'!$S$5:$S$3004,A745))</f>
        <v/>
      </c>
    </row>
    <row r="746">
      <c r="A746" s="47" t="n"/>
      <c r="B746" s="48" t="n"/>
      <c r="C746" s="47" t="n"/>
      <c r="D746" s="47" t="n"/>
      <c r="E746" s="47" t="n"/>
      <c r="F746" s="47" t="n"/>
      <c r="G746" s="47" t="n"/>
      <c r="H746" s="47" t="n"/>
      <c r="I746" s="47" t="n"/>
      <c r="J746" s="47" t="n"/>
      <c r="K746" s="47" t="n"/>
      <c r="L746" s="47" t="n"/>
      <c r="M746" s="47" t="n"/>
      <c r="N746" s="49">
        <f>IF(A746="","",COUNTIFS('潜水記録'!$S$5:$S$3004,A746,'潜水記録'!$T$5:$T$3004,1))</f>
        <v/>
      </c>
      <c r="O746" s="49">
        <f>IF(A746="","",COUNTIF('潜水記録'!$S$5:$S$3004,A746))</f>
        <v/>
      </c>
    </row>
    <row r="747">
      <c r="A747" s="47" t="n"/>
      <c r="B747" s="48" t="n"/>
      <c r="C747" s="47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  <c r="N747" s="49">
        <f>IF(A747="","",COUNTIFS('潜水記録'!$S$5:$S$3004,A747,'潜水記録'!$T$5:$T$3004,1))</f>
        <v/>
      </c>
      <c r="O747" s="49">
        <f>IF(A747="","",COUNTIF('潜水記録'!$S$5:$S$3004,A747))</f>
        <v/>
      </c>
    </row>
    <row r="748">
      <c r="A748" s="47" t="n"/>
      <c r="B748" s="48" t="n"/>
      <c r="C748" s="47" t="n"/>
      <c r="D748" s="47" t="n"/>
      <c r="E748" s="47" t="n"/>
      <c r="F748" s="47" t="n"/>
      <c r="G748" s="47" t="n"/>
      <c r="H748" s="47" t="n"/>
      <c r="I748" s="47" t="n"/>
      <c r="J748" s="47" t="n"/>
      <c r="K748" s="47" t="n"/>
      <c r="L748" s="47" t="n"/>
      <c r="M748" s="47" t="n"/>
      <c r="N748" s="49">
        <f>IF(A748="","",COUNTIFS('潜水記録'!$S$5:$S$3004,A748,'潜水記録'!$T$5:$T$3004,1))</f>
        <v/>
      </c>
      <c r="O748" s="49">
        <f>IF(A748="","",COUNTIF('潜水記録'!$S$5:$S$3004,A748))</f>
        <v/>
      </c>
    </row>
    <row r="749">
      <c r="A749" s="47" t="n"/>
      <c r="B749" s="48" t="n"/>
      <c r="C749" s="47" t="n"/>
      <c r="D749" s="47" t="n"/>
      <c r="E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  <c r="N749" s="49">
        <f>IF(A749="","",COUNTIFS('潜水記録'!$S$5:$S$3004,A749,'潜水記録'!$T$5:$T$3004,1))</f>
        <v/>
      </c>
      <c r="O749" s="49">
        <f>IF(A749="","",COUNTIF('潜水記録'!$S$5:$S$3004,A749))</f>
        <v/>
      </c>
    </row>
    <row r="750">
      <c r="A750" s="47" t="n"/>
      <c r="B750" s="48" t="n"/>
      <c r="C750" s="47" t="n"/>
      <c r="D750" s="47" t="n"/>
      <c r="E750" s="47" t="n"/>
      <c r="F750" s="47" t="n"/>
      <c r="G750" s="47" t="n"/>
      <c r="H750" s="47" t="n"/>
      <c r="I750" s="47" t="n"/>
      <c r="J750" s="47" t="n"/>
      <c r="K750" s="47" t="n"/>
      <c r="L750" s="47" t="n"/>
      <c r="M750" s="47" t="n"/>
      <c r="N750" s="49">
        <f>IF(A750="","",COUNTIFS('潜水記録'!$S$5:$S$3004,A750,'潜水記録'!$T$5:$T$3004,1))</f>
        <v/>
      </c>
      <c r="O750" s="49">
        <f>IF(A750="","",COUNTIF('潜水記録'!$S$5:$S$3004,A750))</f>
        <v/>
      </c>
    </row>
    <row r="751">
      <c r="A751" s="47" t="n"/>
      <c r="B751" s="48" t="n"/>
      <c r="C751" s="47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  <c r="N751" s="49">
        <f>IF(A751="","",COUNTIFS('潜水記録'!$S$5:$S$3004,A751,'潜水記録'!$T$5:$T$3004,1))</f>
        <v/>
      </c>
      <c r="O751" s="49">
        <f>IF(A751="","",COUNTIF('潜水記録'!$S$5:$S$3004,A751))</f>
        <v/>
      </c>
    </row>
    <row r="752">
      <c r="A752" s="47" t="n"/>
      <c r="B752" s="48" t="n"/>
      <c r="C752" s="47" t="n"/>
      <c r="D752" s="47" t="n"/>
      <c r="E752" s="47" t="n"/>
      <c r="F752" s="47" t="n"/>
      <c r="G752" s="47" t="n"/>
      <c r="H752" s="47" t="n"/>
      <c r="I752" s="47" t="n"/>
      <c r="J752" s="47" t="n"/>
      <c r="K752" s="47" t="n"/>
      <c r="L752" s="47" t="n"/>
      <c r="M752" s="47" t="n"/>
      <c r="N752" s="49">
        <f>IF(A752="","",COUNTIFS('潜水記録'!$S$5:$S$3004,A752,'潜水記録'!$T$5:$T$3004,1))</f>
        <v/>
      </c>
      <c r="O752" s="49">
        <f>IF(A752="","",COUNTIF('潜水記録'!$S$5:$S$3004,A752))</f>
        <v/>
      </c>
    </row>
    <row r="753">
      <c r="A753" s="47" t="n"/>
      <c r="B753" s="48" t="n"/>
      <c r="C753" s="47" t="n"/>
      <c r="D753" s="47" t="n"/>
      <c r="E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  <c r="N753" s="49">
        <f>IF(A753="","",COUNTIFS('潜水記録'!$S$5:$S$3004,A753,'潜水記録'!$T$5:$T$3004,1))</f>
        <v/>
      </c>
      <c r="O753" s="49">
        <f>IF(A753="","",COUNTIF('潜水記録'!$S$5:$S$3004,A753))</f>
        <v/>
      </c>
    </row>
    <row r="754">
      <c r="A754" s="47" t="n"/>
      <c r="B754" s="48" t="n"/>
      <c r="C754" s="47" t="n"/>
      <c r="D754" s="47" t="n"/>
      <c r="E754" s="47" t="n"/>
      <c r="F754" s="47" t="n"/>
      <c r="G754" s="47" t="n"/>
      <c r="H754" s="47" t="n"/>
      <c r="I754" s="47" t="n"/>
      <c r="J754" s="47" t="n"/>
      <c r="K754" s="47" t="n"/>
      <c r="L754" s="47" t="n"/>
      <c r="M754" s="47" t="n"/>
      <c r="N754" s="49">
        <f>IF(A754="","",COUNTIFS('潜水記録'!$S$5:$S$3004,A754,'潜水記録'!$T$5:$T$3004,1))</f>
        <v/>
      </c>
      <c r="O754" s="49">
        <f>IF(A754="","",COUNTIF('潜水記録'!$S$5:$S$3004,A754))</f>
        <v/>
      </c>
    </row>
    <row r="755">
      <c r="A755" s="47" t="n"/>
      <c r="B755" s="48" t="n"/>
      <c r="C755" s="47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  <c r="N755" s="49">
        <f>IF(A755="","",COUNTIFS('潜水記録'!$S$5:$S$3004,A755,'潜水記録'!$T$5:$T$3004,1))</f>
        <v/>
      </c>
      <c r="O755" s="49">
        <f>IF(A755="","",COUNTIF('潜水記録'!$S$5:$S$3004,A755))</f>
        <v/>
      </c>
    </row>
    <row r="756">
      <c r="A756" s="47" t="n"/>
      <c r="B756" s="48" t="n"/>
      <c r="C756" s="47" t="n"/>
      <c r="D756" s="47" t="n"/>
      <c r="E756" s="47" t="n"/>
      <c r="F756" s="47" t="n"/>
      <c r="G756" s="47" t="n"/>
      <c r="H756" s="47" t="n"/>
      <c r="I756" s="47" t="n"/>
      <c r="J756" s="47" t="n"/>
      <c r="K756" s="47" t="n"/>
      <c r="L756" s="47" t="n"/>
      <c r="M756" s="47" t="n"/>
      <c r="N756" s="49">
        <f>IF(A756="","",COUNTIFS('潜水記録'!$S$5:$S$3004,A756,'潜水記録'!$T$5:$T$3004,1))</f>
        <v/>
      </c>
      <c r="O756" s="49">
        <f>IF(A756="","",COUNTIF('潜水記録'!$S$5:$S$3004,A756))</f>
        <v/>
      </c>
    </row>
    <row r="757">
      <c r="A757" s="47" t="n"/>
      <c r="B757" s="48" t="n"/>
      <c r="C757" s="47" t="n"/>
      <c r="D757" s="47" t="n"/>
      <c r="E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  <c r="N757" s="49">
        <f>IF(A757="","",COUNTIFS('潜水記録'!$S$5:$S$3004,A757,'潜水記録'!$T$5:$T$3004,1))</f>
        <v/>
      </c>
      <c r="O757" s="49">
        <f>IF(A757="","",COUNTIF('潜水記録'!$S$5:$S$3004,A757))</f>
        <v/>
      </c>
    </row>
    <row r="758">
      <c r="A758" s="47" t="n"/>
      <c r="B758" s="48" t="n"/>
      <c r="C758" s="47" t="n"/>
      <c r="D758" s="47" t="n"/>
      <c r="E758" s="47" t="n"/>
      <c r="F758" s="47" t="n"/>
      <c r="G758" s="47" t="n"/>
      <c r="H758" s="47" t="n"/>
      <c r="I758" s="47" t="n"/>
      <c r="J758" s="47" t="n"/>
      <c r="K758" s="47" t="n"/>
      <c r="L758" s="47" t="n"/>
      <c r="M758" s="47" t="n"/>
      <c r="N758" s="49">
        <f>IF(A758="","",COUNTIFS('潜水記録'!$S$5:$S$3004,A758,'潜水記録'!$T$5:$T$3004,1))</f>
        <v/>
      </c>
      <c r="O758" s="49">
        <f>IF(A758="","",COUNTIF('潜水記録'!$S$5:$S$3004,A758))</f>
        <v/>
      </c>
    </row>
    <row r="759">
      <c r="A759" s="47" t="n"/>
      <c r="B759" s="48" t="n"/>
      <c r="C759" s="47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  <c r="N759" s="49">
        <f>IF(A759="","",COUNTIFS('潜水記録'!$S$5:$S$3004,A759,'潜水記録'!$T$5:$T$3004,1))</f>
        <v/>
      </c>
      <c r="O759" s="49">
        <f>IF(A759="","",COUNTIF('潜水記録'!$S$5:$S$3004,A759))</f>
        <v/>
      </c>
    </row>
    <row r="760">
      <c r="A760" s="47" t="n"/>
      <c r="B760" s="48" t="n"/>
      <c r="C760" s="47" t="n"/>
      <c r="D760" s="47" t="n"/>
      <c r="E760" s="47" t="n"/>
      <c r="F760" s="47" t="n"/>
      <c r="G760" s="47" t="n"/>
      <c r="H760" s="47" t="n"/>
      <c r="I760" s="47" t="n"/>
      <c r="J760" s="47" t="n"/>
      <c r="K760" s="47" t="n"/>
      <c r="L760" s="47" t="n"/>
      <c r="M760" s="47" t="n"/>
      <c r="N760" s="49">
        <f>IF(A760="","",COUNTIFS('潜水記録'!$S$5:$S$3004,A760,'潜水記録'!$T$5:$T$3004,1))</f>
        <v/>
      </c>
      <c r="O760" s="49">
        <f>IF(A760="","",COUNTIF('潜水記録'!$S$5:$S$3004,A760))</f>
        <v/>
      </c>
    </row>
    <row r="761">
      <c r="A761" s="47" t="n"/>
      <c r="B761" s="48" t="n"/>
      <c r="C761" s="47" t="n"/>
      <c r="D761" s="47" t="n"/>
      <c r="E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  <c r="N761" s="49">
        <f>IF(A761="","",COUNTIFS('潜水記録'!$S$5:$S$3004,A761,'潜水記録'!$T$5:$T$3004,1))</f>
        <v/>
      </c>
      <c r="O761" s="49">
        <f>IF(A761="","",COUNTIF('潜水記録'!$S$5:$S$3004,A761))</f>
        <v/>
      </c>
    </row>
    <row r="762">
      <c r="A762" s="47" t="n"/>
      <c r="B762" s="48" t="n"/>
      <c r="C762" s="47" t="n"/>
      <c r="D762" s="47" t="n"/>
      <c r="E762" s="47" t="n"/>
      <c r="F762" s="47" t="n"/>
      <c r="G762" s="47" t="n"/>
      <c r="H762" s="47" t="n"/>
      <c r="I762" s="47" t="n"/>
      <c r="J762" s="47" t="n"/>
      <c r="K762" s="47" t="n"/>
      <c r="L762" s="47" t="n"/>
      <c r="M762" s="47" t="n"/>
      <c r="N762" s="49">
        <f>IF(A762="","",COUNTIFS('潜水記録'!$S$5:$S$3004,A762,'潜水記録'!$T$5:$T$3004,1))</f>
        <v/>
      </c>
      <c r="O762" s="49">
        <f>IF(A762="","",COUNTIF('潜水記録'!$S$5:$S$3004,A762))</f>
        <v/>
      </c>
    </row>
    <row r="763">
      <c r="A763" s="47" t="n"/>
      <c r="B763" s="48" t="n"/>
      <c r="C763" s="47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  <c r="N763" s="49">
        <f>IF(A763="","",COUNTIFS('潜水記録'!$S$5:$S$3004,A763,'潜水記録'!$T$5:$T$3004,1))</f>
        <v/>
      </c>
      <c r="O763" s="49">
        <f>IF(A763="","",COUNTIF('潜水記録'!$S$5:$S$3004,A763))</f>
        <v/>
      </c>
    </row>
    <row r="764">
      <c r="A764" s="47" t="n"/>
      <c r="B764" s="48" t="n"/>
      <c r="C764" s="47" t="n"/>
      <c r="D764" s="47" t="n"/>
      <c r="E764" s="47" t="n"/>
      <c r="F764" s="47" t="n"/>
      <c r="G764" s="47" t="n"/>
      <c r="H764" s="47" t="n"/>
      <c r="I764" s="47" t="n"/>
      <c r="J764" s="47" t="n"/>
      <c r="K764" s="47" t="n"/>
      <c r="L764" s="47" t="n"/>
      <c r="M764" s="47" t="n"/>
      <c r="N764" s="49">
        <f>IF(A764="","",COUNTIFS('潜水記録'!$S$5:$S$3004,A764,'潜水記録'!$T$5:$T$3004,1))</f>
        <v/>
      </c>
      <c r="O764" s="49">
        <f>IF(A764="","",COUNTIF('潜水記録'!$S$5:$S$3004,A764))</f>
        <v/>
      </c>
    </row>
    <row r="765">
      <c r="A765" s="47" t="n"/>
      <c r="B765" s="48" t="n"/>
      <c r="C765" s="47" t="n"/>
      <c r="D765" s="47" t="n"/>
      <c r="E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  <c r="N765" s="49">
        <f>IF(A765="","",COUNTIFS('潜水記録'!$S$5:$S$3004,A765,'潜水記録'!$T$5:$T$3004,1))</f>
        <v/>
      </c>
      <c r="O765" s="49">
        <f>IF(A765="","",COUNTIF('潜水記録'!$S$5:$S$3004,A765))</f>
        <v/>
      </c>
    </row>
    <row r="766">
      <c r="A766" s="47" t="n"/>
      <c r="B766" s="48" t="n"/>
      <c r="C766" s="47" t="n"/>
      <c r="D766" s="47" t="n"/>
      <c r="E766" s="47" t="n"/>
      <c r="F766" s="47" t="n"/>
      <c r="G766" s="47" t="n"/>
      <c r="H766" s="47" t="n"/>
      <c r="I766" s="47" t="n"/>
      <c r="J766" s="47" t="n"/>
      <c r="K766" s="47" t="n"/>
      <c r="L766" s="47" t="n"/>
      <c r="M766" s="47" t="n"/>
      <c r="N766" s="49">
        <f>IF(A766="","",COUNTIFS('潜水記録'!$S$5:$S$3004,A766,'潜水記録'!$T$5:$T$3004,1))</f>
        <v/>
      </c>
      <c r="O766" s="49">
        <f>IF(A766="","",COUNTIF('潜水記録'!$S$5:$S$3004,A766))</f>
        <v/>
      </c>
    </row>
    <row r="767">
      <c r="A767" s="47" t="n"/>
      <c r="B767" s="48" t="n"/>
      <c r="C767" s="47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  <c r="N767" s="49">
        <f>IF(A767="","",COUNTIFS('潜水記録'!$S$5:$S$3004,A767,'潜水記録'!$T$5:$T$3004,1))</f>
        <v/>
      </c>
      <c r="O767" s="49">
        <f>IF(A767="","",COUNTIF('潜水記録'!$S$5:$S$3004,A767))</f>
        <v/>
      </c>
    </row>
    <row r="768">
      <c r="A768" s="47" t="n"/>
      <c r="B768" s="48" t="n"/>
      <c r="C768" s="47" t="n"/>
      <c r="D768" s="47" t="n"/>
      <c r="E768" s="47" t="n"/>
      <c r="F768" s="47" t="n"/>
      <c r="G768" s="47" t="n"/>
      <c r="H768" s="47" t="n"/>
      <c r="I768" s="47" t="n"/>
      <c r="J768" s="47" t="n"/>
      <c r="K768" s="47" t="n"/>
      <c r="L768" s="47" t="n"/>
      <c r="M768" s="47" t="n"/>
      <c r="N768" s="49">
        <f>IF(A768="","",COUNTIFS('潜水記録'!$S$5:$S$3004,A768,'潜水記録'!$T$5:$T$3004,1))</f>
        <v/>
      </c>
      <c r="O768" s="49">
        <f>IF(A768="","",COUNTIF('潜水記録'!$S$5:$S$3004,A768))</f>
        <v/>
      </c>
    </row>
    <row r="769">
      <c r="A769" s="47" t="n"/>
      <c r="B769" s="48" t="n"/>
      <c r="C769" s="47" t="n"/>
      <c r="D769" s="47" t="n"/>
      <c r="E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  <c r="N769" s="49">
        <f>IF(A769="","",COUNTIFS('潜水記録'!$S$5:$S$3004,A769,'潜水記録'!$T$5:$T$3004,1))</f>
        <v/>
      </c>
      <c r="O769" s="49">
        <f>IF(A769="","",COUNTIF('潜水記録'!$S$5:$S$3004,A769))</f>
        <v/>
      </c>
    </row>
    <row r="770">
      <c r="A770" s="47" t="n"/>
      <c r="B770" s="48" t="n"/>
      <c r="C770" s="47" t="n"/>
      <c r="D770" s="47" t="n"/>
      <c r="E770" s="47" t="n"/>
      <c r="F770" s="47" t="n"/>
      <c r="G770" s="47" t="n"/>
      <c r="H770" s="47" t="n"/>
      <c r="I770" s="47" t="n"/>
      <c r="J770" s="47" t="n"/>
      <c r="K770" s="47" t="n"/>
      <c r="L770" s="47" t="n"/>
      <c r="M770" s="47" t="n"/>
      <c r="N770" s="49">
        <f>IF(A770="","",COUNTIFS('潜水記録'!$S$5:$S$3004,A770,'潜水記録'!$T$5:$T$3004,1))</f>
        <v/>
      </c>
      <c r="O770" s="49">
        <f>IF(A770="","",COUNTIF('潜水記録'!$S$5:$S$3004,A770))</f>
        <v/>
      </c>
    </row>
    <row r="771">
      <c r="A771" s="47" t="n"/>
      <c r="B771" s="48" t="n"/>
      <c r="C771" s="47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  <c r="N771" s="49">
        <f>IF(A771="","",COUNTIFS('潜水記録'!$S$5:$S$3004,A771,'潜水記録'!$T$5:$T$3004,1))</f>
        <v/>
      </c>
      <c r="O771" s="49">
        <f>IF(A771="","",COUNTIF('潜水記録'!$S$5:$S$3004,A771))</f>
        <v/>
      </c>
    </row>
    <row r="772">
      <c r="A772" s="47" t="n"/>
      <c r="B772" s="48" t="n"/>
      <c r="C772" s="47" t="n"/>
      <c r="D772" s="47" t="n"/>
      <c r="E772" s="47" t="n"/>
      <c r="F772" s="47" t="n"/>
      <c r="G772" s="47" t="n"/>
      <c r="H772" s="47" t="n"/>
      <c r="I772" s="47" t="n"/>
      <c r="J772" s="47" t="n"/>
      <c r="K772" s="47" t="n"/>
      <c r="L772" s="47" t="n"/>
      <c r="M772" s="47" t="n"/>
      <c r="N772" s="49">
        <f>IF(A772="","",COUNTIFS('潜水記録'!$S$5:$S$3004,A772,'潜水記録'!$T$5:$T$3004,1))</f>
        <v/>
      </c>
      <c r="O772" s="49">
        <f>IF(A772="","",COUNTIF('潜水記録'!$S$5:$S$3004,A772))</f>
        <v/>
      </c>
    </row>
    <row r="773">
      <c r="A773" s="47" t="n"/>
      <c r="B773" s="48" t="n"/>
      <c r="C773" s="47" t="n"/>
      <c r="D773" s="47" t="n"/>
      <c r="E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  <c r="N773" s="49">
        <f>IF(A773="","",COUNTIFS('潜水記録'!$S$5:$S$3004,A773,'潜水記録'!$T$5:$T$3004,1))</f>
        <v/>
      </c>
      <c r="O773" s="49">
        <f>IF(A773="","",COUNTIF('潜水記録'!$S$5:$S$3004,A773))</f>
        <v/>
      </c>
    </row>
    <row r="774">
      <c r="A774" s="47" t="n"/>
      <c r="B774" s="48" t="n"/>
      <c r="C774" s="47" t="n"/>
      <c r="D774" s="47" t="n"/>
      <c r="E774" s="47" t="n"/>
      <c r="F774" s="47" t="n"/>
      <c r="G774" s="47" t="n"/>
      <c r="H774" s="47" t="n"/>
      <c r="I774" s="47" t="n"/>
      <c r="J774" s="47" t="n"/>
      <c r="K774" s="47" t="n"/>
      <c r="L774" s="47" t="n"/>
      <c r="M774" s="47" t="n"/>
      <c r="N774" s="49">
        <f>IF(A774="","",COUNTIFS('潜水記録'!$S$5:$S$3004,A774,'潜水記録'!$T$5:$T$3004,1))</f>
        <v/>
      </c>
      <c r="O774" s="49">
        <f>IF(A774="","",COUNTIF('潜水記録'!$S$5:$S$3004,A774))</f>
        <v/>
      </c>
    </row>
    <row r="775">
      <c r="A775" s="47" t="n"/>
      <c r="B775" s="48" t="n"/>
      <c r="C775" s="47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  <c r="N775" s="49">
        <f>IF(A775="","",COUNTIFS('潜水記録'!$S$5:$S$3004,A775,'潜水記録'!$T$5:$T$3004,1))</f>
        <v/>
      </c>
      <c r="O775" s="49">
        <f>IF(A775="","",COUNTIF('潜水記録'!$S$5:$S$3004,A775))</f>
        <v/>
      </c>
    </row>
    <row r="776">
      <c r="A776" s="47" t="n"/>
      <c r="B776" s="48" t="n"/>
      <c r="C776" s="47" t="n"/>
      <c r="D776" s="47" t="n"/>
      <c r="E776" s="47" t="n"/>
      <c r="F776" s="47" t="n"/>
      <c r="G776" s="47" t="n"/>
      <c r="H776" s="47" t="n"/>
      <c r="I776" s="47" t="n"/>
      <c r="J776" s="47" t="n"/>
      <c r="K776" s="47" t="n"/>
      <c r="L776" s="47" t="n"/>
      <c r="M776" s="47" t="n"/>
      <c r="N776" s="49">
        <f>IF(A776="","",COUNTIFS('潜水記録'!$S$5:$S$3004,A776,'潜水記録'!$T$5:$T$3004,1))</f>
        <v/>
      </c>
      <c r="O776" s="49">
        <f>IF(A776="","",COUNTIF('潜水記録'!$S$5:$S$3004,A776))</f>
        <v/>
      </c>
    </row>
    <row r="777">
      <c r="A777" s="47" t="n"/>
      <c r="B777" s="48" t="n"/>
      <c r="C777" s="47" t="n"/>
      <c r="D777" s="47" t="n"/>
      <c r="E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  <c r="N777" s="49">
        <f>IF(A777="","",COUNTIFS('潜水記録'!$S$5:$S$3004,A777,'潜水記録'!$T$5:$T$3004,1))</f>
        <v/>
      </c>
      <c r="O777" s="49">
        <f>IF(A777="","",COUNTIF('潜水記録'!$S$5:$S$3004,A777))</f>
        <v/>
      </c>
    </row>
    <row r="778">
      <c r="A778" s="47" t="n"/>
      <c r="B778" s="48" t="n"/>
      <c r="C778" s="47" t="n"/>
      <c r="D778" s="47" t="n"/>
      <c r="E778" s="47" t="n"/>
      <c r="F778" s="47" t="n"/>
      <c r="G778" s="47" t="n"/>
      <c r="H778" s="47" t="n"/>
      <c r="I778" s="47" t="n"/>
      <c r="J778" s="47" t="n"/>
      <c r="K778" s="47" t="n"/>
      <c r="L778" s="47" t="n"/>
      <c r="M778" s="47" t="n"/>
      <c r="N778" s="49">
        <f>IF(A778="","",COUNTIFS('潜水記録'!$S$5:$S$3004,A778,'潜水記録'!$T$5:$T$3004,1))</f>
        <v/>
      </c>
      <c r="O778" s="49">
        <f>IF(A778="","",COUNTIF('潜水記録'!$S$5:$S$3004,A778))</f>
        <v/>
      </c>
    </row>
    <row r="779">
      <c r="A779" s="47" t="n"/>
      <c r="B779" s="48" t="n"/>
      <c r="C779" s="47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  <c r="N779" s="49">
        <f>IF(A779="","",COUNTIFS('潜水記録'!$S$5:$S$3004,A779,'潜水記録'!$T$5:$T$3004,1))</f>
        <v/>
      </c>
      <c r="O779" s="49">
        <f>IF(A779="","",COUNTIF('潜水記録'!$S$5:$S$3004,A779))</f>
        <v/>
      </c>
    </row>
    <row r="780">
      <c r="A780" s="47" t="n"/>
      <c r="B780" s="48" t="n"/>
      <c r="C780" s="47" t="n"/>
      <c r="D780" s="47" t="n"/>
      <c r="E780" s="47" t="n"/>
      <c r="F780" s="47" t="n"/>
      <c r="G780" s="47" t="n"/>
      <c r="H780" s="47" t="n"/>
      <c r="I780" s="47" t="n"/>
      <c r="J780" s="47" t="n"/>
      <c r="K780" s="47" t="n"/>
      <c r="L780" s="47" t="n"/>
      <c r="M780" s="47" t="n"/>
      <c r="N780" s="49">
        <f>IF(A780="","",COUNTIFS('潜水記録'!$S$5:$S$3004,A780,'潜水記録'!$T$5:$T$3004,1))</f>
        <v/>
      </c>
      <c r="O780" s="49">
        <f>IF(A780="","",COUNTIF('潜水記録'!$S$5:$S$3004,A780))</f>
        <v/>
      </c>
    </row>
    <row r="781">
      <c r="A781" s="47" t="n"/>
      <c r="B781" s="48" t="n"/>
      <c r="C781" s="47" t="n"/>
      <c r="D781" s="47" t="n"/>
      <c r="E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  <c r="N781" s="49">
        <f>IF(A781="","",COUNTIFS('潜水記録'!$S$5:$S$3004,A781,'潜水記録'!$T$5:$T$3004,1))</f>
        <v/>
      </c>
      <c r="O781" s="49">
        <f>IF(A781="","",COUNTIF('潜水記録'!$S$5:$S$3004,A781))</f>
        <v/>
      </c>
    </row>
    <row r="782">
      <c r="A782" s="47" t="n"/>
      <c r="B782" s="48" t="n"/>
      <c r="C782" s="47" t="n"/>
      <c r="D782" s="47" t="n"/>
      <c r="E782" s="47" t="n"/>
      <c r="F782" s="47" t="n"/>
      <c r="G782" s="47" t="n"/>
      <c r="H782" s="47" t="n"/>
      <c r="I782" s="47" t="n"/>
      <c r="J782" s="47" t="n"/>
      <c r="K782" s="47" t="n"/>
      <c r="L782" s="47" t="n"/>
      <c r="M782" s="47" t="n"/>
      <c r="N782" s="49">
        <f>IF(A782="","",COUNTIFS('潜水記録'!$S$5:$S$3004,A782,'潜水記録'!$T$5:$T$3004,1))</f>
        <v/>
      </c>
      <c r="O782" s="49">
        <f>IF(A782="","",COUNTIF('潜水記録'!$S$5:$S$3004,A782))</f>
        <v/>
      </c>
    </row>
    <row r="783">
      <c r="A783" s="47" t="n"/>
      <c r="B783" s="48" t="n"/>
      <c r="C783" s="47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  <c r="N783" s="49">
        <f>IF(A783="","",COUNTIFS('潜水記録'!$S$5:$S$3004,A783,'潜水記録'!$T$5:$T$3004,1))</f>
        <v/>
      </c>
      <c r="O783" s="49">
        <f>IF(A783="","",COUNTIF('潜水記録'!$S$5:$S$3004,A783))</f>
        <v/>
      </c>
    </row>
    <row r="784">
      <c r="A784" s="47" t="n"/>
      <c r="B784" s="48" t="n"/>
      <c r="C784" s="47" t="n"/>
      <c r="D784" s="47" t="n"/>
      <c r="E784" s="47" t="n"/>
      <c r="F784" s="47" t="n"/>
      <c r="G784" s="47" t="n"/>
      <c r="H784" s="47" t="n"/>
      <c r="I784" s="47" t="n"/>
      <c r="J784" s="47" t="n"/>
      <c r="K784" s="47" t="n"/>
      <c r="L784" s="47" t="n"/>
      <c r="M784" s="47" t="n"/>
      <c r="N784" s="49">
        <f>IF(A784="","",COUNTIFS('潜水記録'!$S$5:$S$3004,A784,'潜水記録'!$T$5:$T$3004,1))</f>
        <v/>
      </c>
      <c r="O784" s="49">
        <f>IF(A784="","",COUNTIF('潜水記録'!$S$5:$S$3004,A784))</f>
        <v/>
      </c>
    </row>
    <row r="785">
      <c r="A785" s="47" t="n"/>
      <c r="B785" s="48" t="n"/>
      <c r="C785" s="47" t="n"/>
      <c r="D785" s="47" t="n"/>
      <c r="E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  <c r="N785" s="49">
        <f>IF(A785="","",COUNTIFS('潜水記録'!$S$5:$S$3004,A785,'潜水記録'!$T$5:$T$3004,1))</f>
        <v/>
      </c>
      <c r="O785" s="49">
        <f>IF(A785="","",COUNTIF('潜水記録'!$S$5:$S$3004,A785))</f>
        <v/>
      </c>
    </row>
    <row r="786">
      <c r="A786" s="47" t="n"/>
      <c r="B786" s="48" t="n"/>
      <c r="C786" s="47" t="n"/>
      <c r="D786" s="47" t="n"/>
      <c r="E786" s="47" t="n"/>
      <c r="F786" s="47" t="n"/>
      <c r="G786" s="47" t="n"/>
      <c r="H786" s="47" t="n"/>
      <c r="I786" s="47" t="n"/>
      <c r="J786" s="47" t="n"/>
      <c r="K786" s="47" t="n"/>
      <c r="L786" s="47" t="n"/>
      <c r="M786" s="47" t="n"/>
      <c r="N786" s="49">
        <f>IF(A786="","",COUNTIFS('潜水記録'!$S$5:$S$3004,A786,'潜水記録'!$T$5:$T$3004,1))</f>
        <v/>
      </c>
      <c r="O786" s="49">
        <f>IF(A786="","",COUNTIF('潜水記録'!$S$5:$S$3004,A786))</f>
        <v/>
      </c>
    </row>
    <row r="787">
      <c r="A787" s="47" t="n"/>
      <c r="B787" s="48" t="n"/>
      <c r="C787" s="47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  <c r="N787" s="49">
        <f>IF(A787="","",COUNTIFS('潜水記録'!$S$5:$S$3004,A787,'潜水記録'!$T$5:$T$3004,1))</f>
        <v/>
      </c>
      <c r="O787" s="49">
        <f>IF(A787="","",COUNTIF('潜水記録'!$S$5:$S$3004,A787))</f>
        <v/>
      </c>
    </row>
    <row r="788">
      <c r="A788" s="47" t="n"/>
      <c r="B788" s="48" t="n"/>
      <c r="C788" s="47" t="n"/>
      <c r="D788" s="47" t="n"/>
      <c r="E788" s="47" t="n"/>
      <c r="F788" s="47" t="n"/>
      <c r="G788" s="47" t="n"/>
      <c r="H788" s="47" t="n"/>
      <c r="I788" s="47" t="n"/>
      <c r="J788" s="47" t="n"/>
      <c r="K788" s="47" t="n"/>
      <c r="L788" s="47" t="n"/>
      <c r="M788" s="47" t="n"/>
      <c r="N788" s="49">
        <f>IF(A788="","",COUNTIFS('潜水記録'!$S$5:$S$3004,A788,'潜水記録'!$T$5:$T$3004,1))</f>
        <v/>
      </c>
      <c r="O788" s="49">
        <f>IF(A788="","",COUNTIF('潜水記録'!$S$5:$S$3004,A788))</f>
        <v/>
      </c>
    </row>
    <row r="789">
      <c r="A789" s="47" t="n"/>
      <c r="B789" s="48" t="n"/>
      <c r="C789" s="47" t="n"/>
      <c r="D789" s="47" t="n"/>
      <c r="E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  <c r="N789" s="49">
        <f>IF(A789="","",COUNTIFS('潜水記録'!$S$5:$S$3004,A789,'潜水記録'!$T$5:$T$3004,1))</f>
        <v/>
      </c>
      <c r="O789" s="49">
        <f>IF(A789="","",COUNTIF('潜水記録'!$S$5:$S$3004,A789))</f>
        <v/>
      </c>
    </row>
    <row r="790">
      <c r="A790" s="47" t="n"/>
      <c r="B790" s="48" t="n"/>
      <c r="C790" s="47" t="n"/>
      <c r="D790" s="47" t="n"/>
      <c r="E790" s="47" t="n"/>
      <c r="F790" s="47" t="n"/>
      <c r="G790" s="47" t="n"/>
      <c r="H790" s="47" t="n"/>
      <c r="I790" s="47" t="n"/>
      <c r="J790" s="47" t="n"/>
      <c r="K790" s="47" t="n"/>
      <c r="L790" s="47" t="n"/>
      <c r="M790" s="47" t="n"/>
      <c r="N790" s="49">
        <f>IF(A790="","",COUNTIFS('潜水記録'!$S$5:$S$3004,A790,'潜水記録'!$T$5:$T$3004,1))</f>
        <v/>
      </c>
      <c r="O790" s="49">
        <f>IF(A790="","",COUNTIF('潜水記録'!$S$5:$S$3004,A790))</f>
        <v/>
      </c>
    </row>
    <row r="791">
      <c r="A791" s="47" t="n"/>
      <c r="B791" s="48" t="n"/>
      <c r="C791" s="47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  <c r="N791" s="49">
        <f>IF(A791="","",COUNTIFS('潜水記録'!$S$5:$S$3004,A791,'潜水記録'!$T$5:$T$3004,1))</f>
        <v/>
      </c>
      <c r="O791" s="49">
        <f>IF(A791="","",COUNTIF('潜水記録'!$S$5:$S$3004,A791))</f>
        <v/>
      </c>
    </row>
    <row r="792">
      <c r="A792" s="47" t="n"/>
      <c r="B792" s="48" t="n"/>
      <c r="C792" s="47" t="n"/>
      <c r="D792" s="47" t="n"/>
      <c r="E792" s="47" t="n"/>
      <c r="F792" s="47" t="n"/>
      <c r="G792" s="47" t="n"/>
      <c r="H792" s="47" t="n"/>
      <c r="I792" s="47" t="n"/>
      <c r="J792" s="47" t="n"/>
      <c r="K792" s="47" t="n"/>
      <c r="L792" s="47" t="n"/>
      <c r="M792" s="47" t="n"/>
      <c r="N792" s="49">
        <f>IF(A792="","",COUNTIFS('潜水記録'!$S$5:$S$3004,A792,'潜水記録'!$T$5:$T$3004,1))</f>
        <v/>
      </c>
      <c r="O792" s="49">
        <f>IF(A792="","",COUNTIF('潜水記録'!$S$5:$S$3004,A792))</f>
        <v/>
      </c>
    </row>
    <row r="793">
      <c r="A793" s="47" t="n"/>
      <c r="B793" s="48" t="n"/>
      <c r="C793" s="47" t="n"/>
      <c r="D793" s="47" t="n"/>
      <c r="E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  <c r="N793" s="49">
        <f>IF(A793="","",COUNTIFS('潜水記録'!$S$5:$S$3004,A793,'潜水記録'!$T$5:$T$3004,1))</f>
        <v/>
      </c>
      <c r="O793" s="49">
        <f>IF(A793="","",COUNTIF('潜水記録'!$S$5:$S$3004,A793))</f>
        <v/>
      </c>
    </row>
    <row r="794">
      <c r="A794" s="47" t="n"/>
      <c r="B794" s="48" t="n"/>
      <c r="C794" s="47" t="n"/>
      <c r="D794" s="47" t="n"/>
      <c r="E794" s="47" t="n"/>
      <c r="F794" s="47" t="n"/>
      <c r="G794" s="47" t="n"/>
      <c r="H794" s="47" t="n"/>
      <c r="I794" s="47" t="n"/>
      <c r="J794" s="47" t="n"/>
      <c r="K794" s="47" t="n"/>
      <c r="L794" s="47" t="n"/>
      <c r="M794" s="47" t="n"/>
      <c r="N794" s="49">
        <f>IF(A794="","",COUNTIFS('潜水記録'!$S$5:$S$3004,A794,'潜水記録'!$T$5:$T$3004,1))</f>
        <v/>
      </c>
      <c r="O794" s="49">
        <f>IF(A794="","",COUNTIF('潜水記録'!$S$5:$S$3004,A794))</f>
        <v/>
      </c>
    </row>
    <row r="795">
      <c r="A795" s="47" t="n"/>
      <c r="B795" s="48" t="n"/>
      <c r="C795" s="47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  <c r="N795" s="49">
        <f>IF(A795="","",COUNTIFS('潜水記録'!$S$5:$S$3004,A795,'潜水記録'!$T$5:$T$3004,1))</f>
        <v/>
      </c>
      <c r="O795" s="49">
        <f>IF(A795="","",COUNTIF('潜水記録'!$S$5:$S$3004,A795))</f>
        <v/>
      </c>
    </row>
    <row r="796">
      <c r="A796" s="47" t="n"/>
      <c r="B796" s="48" t="n"/>
      <c r="C796" s="47" t="n"/>
      <c r="D796" s="47" t="n"/>
      <c r="E796" s="47" t="n"/>
      <c r="F796" s="47" t="n"/>
      <c r="G796" s="47" t="n"/>
      <c r="H796" s="47" t="n"/>
      <c r="I796" s="47" t="n"/>
      <c r="J796" s="47" t="n"/>
      <c r="K796" s="47" t="n"/>
      <c r="L796" s="47" t="n"/>
      <c r="M796" s="47" t="n"/>
      <c r="N796" s="49">
        <f>IF(A796="","",COUNTIFS('潜水記録'!$S$5:$S$3004,A796,'潜水記録'!$T$5:$T$3004,1))</f>
        <v/>
      </c>
      <c r="O796" s="49">
        <f>IF(A796="","",COUNTIF('潜水記録'!$S$5:$S$3004,A796))</f>
        <v/>
      </c>
    </row>
    <row r="797">
      <c r="A797" s="47" t="n"/>
      <c r="B797" s="48" t="n"/>
      <c r="C797" s="47" t="n"/>
      <c r="D797" s="47" t="n"/>
      <c r="E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  <c r="N797" s="49">
        <f>IF(A797="","",COUNTIFS('潜水記録'!$S$5:$S$3004,A797,'潜水記録'!$T$5:$T$3004,1))</f>
        <v/>
      </c>
      <c r="O797" s="49">
        <f>IF(A797="","",COUNTIF('潜水記録'!$S$5:$S$3004,A797))</f>
        <v/>
      </c>
    </row>
    <row r="798">
      <c r="A798" s="47" t="n"/>
      <c r="B798" s="48" t="n"/>
      <c r="C798" s="47" t="n"/>
      <c r="D798" s="47" t="n"/>
      <c r="E798" s="47" t="n"/>
      <c r="F798" s="47" t="n"/>
      <c r="G798" s="47" t="n"/>
      <c r="H798" s="47" t="n"/>
      <c r="I798" s="47" t="n"/>
      <c r="J798" s="47" t="n"/>
      <c r="K798" s="47" t="n"/>
      <c r="L798" s="47" t="n"/>
      <c r="M798" s="47" t="n"/>
      <c r="N798" s="49">
        <f>IF(A798="","",COUNTIFS('潜水記録'!$S$5:$S$3004,A798,'潜水記録'!$T$5:$T$3004,1))</f>
        <v/>
      </c>
      <c r="O798" s="49">
        <f>IF(A798="","",COUNTIF('潜水記録'!$S$5:$S$3004,A798))</f>
        <v/>
      </c>
    </row>
    <row r="799">
      <c r="A799" s="47" t="n"/>
      <c r="B799" s="48" t="n"/>
      <c r="C799" s="47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  <c r="N799" s="49">
        <f>IF(A799="","",COUNTIFS('潜水記録'!$S$5:$S$3004,A799,'潜水記録'!$T$5:$T$3004,1))</f>
        <v/>
      </c>
      <c r="O799" s="49">
        <f>IF(A799="","",COUNTIF('潜水記録'!$S$5:$S$3004,A799))</f>
        <v/>
      </c>
    </row>
    <row r="800">
      <c r="A800" s="47" t="n"/>
      <c r="B800" s="48" t="n"/>
      <c r="C800" s="47" t="n"/>
      <c r="D800" s="47" t="n"/>
      <c r="E800" s="47" t="n"/>
      <c r="F800" s="47" t="n"/>
      <c r="G800" s="47" t="n"/>
      <c r="H800" s="47" t="n"/>
      <c r="I800" s="47" t="n"/>
      <c r="J800" s="47" t="n"/>
      <c r="K800" s="47" t="n"/>
      <c r="L800" s="47" t="n"/>
      <c r="M800" s="47" t="n"/>
      <c r="N800" s="49">
        <f>IF(A800="","",COUNTIFS('潜水記録'!$S$5:$S$3004,A800,'潜水記録'!$T$5:$T$3004,1))</f>
        <v/>
      </c>
      <c r="O800" s="49">
        <f>IF(A800="","",COUNTIF('潜水記録'!$S$5:$S$3004,A800))</f>
        <v/>
      </c>
    </row>
    <row r="801">
      <c r="A801" s="47" t="n"/>
      <c r="B801" s="48" t="n"/>
      <c r="C801" s="47" t="n"/>
      <c r="D801" s="47" t="n"/>
      <c r="E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  <c r="N801" s="49">
        <f>IF(A801="","",COUNTIFS('潜水記録'!$S$5:$S$3004,A801,'潜水記録'!$T$5:$T$3004,1))</f>
        <v/>
      </c>
      <c r="O801" s="49">
        <f>IF(A801="","",COUNTIF('潜水記録'!$S$5:$S$3004,A801))</f>
        <v/>
      </c>
    </row>
    <row r="802">
      <c r="A802" s="47" t="n"/>
      <c r="B802" s="48" t="n"/>
      <c r="C802" s="47" t="n"/>
      <c r="D802" s="47" t="n"/>
      <c r="E802" s="47" t="n"/>
      <c r="F802" s="47" t="n"/>
      <c r="G802" s="47" t="n"/>
      <c r="H802" s="47" t="n"/>
      <c r="I802" s="47" t="n"/>
      <c r="J802" s="47" t="n"/>
      <c r="K802" s="47" t="n"/>
      <c r="L802" s="47" t="n"/>
      <c r="M802" s="47" t="n"/>
      <c r="N802" s="49">
        <f>IF(A802="","",COUNTIFS('潜水記録'!$S$5:$S$3004,A802,'潜水記録'!$T$5:$T$3004,1))</f>
        <v/>
      </c>
      <c r="O802" s="49">
        <f>IF(A802="","",COUNTIF('潜水記録'!$S$5:$S$3004,A802))</f>
        <v/>
      </c>
    </row>
    <row r="803">
      <c r="A803" s="47" t="n"/>
      <c r="B803" s="48" t="n"/>
      <c r="C803" s="47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  <c r="N803" s="49">
        <f>IF(A803="","",COUNTIFS('潜水記録'!$S$5:$S$3004,A803,'潜水記録'!$T$5:$T$3004,1))</f>
        <v/>
      </c>
      <c r="O803" s="49">
        <f>IF(A803="","",COUNTIF('潜水記録'!$S$5:$S$3004,A803))</f>
        <v/>
      </c>
    </row>
    <row r="804">
      <c r="A804" s="47" t="n"/>
      <c r="B804" s="48" t="n"/>
      <c r="C804" s="47" t="n"/>
      <c r="D804" s="47" t="n"/>
      <c r="E804" s="47" t="n"/>
      <c r="F804" s="47" t="n"/>
      <c r="G804" s="47" t="n"/>
      <c r="H804" s="47" t="n"/>
      <c r="I804" s="47" t="n"/>
      <c r="J804" s="47" t="n"/>
      <c r="K804" s="47" t="n"/>
      <c r="L804" s="47" t="n"/>
      <c r="M804" s="47" t="n"/>
      <c r="N804" s="49">
        <f>IF(A804="","",COUNTIFS('潜水記録'!$S$5:$S$3004,A804,'潜水記録'!$T$5:$T$3004,1))</f>
        <v/>
      </c>
      <c r="O804" s="49">
        <f>IF(A804="","",COUNTIF('潜水記録'!$S$5:$S$3004,A804))</f>
        <v/>
      </c>
    </row>
    <row r="805">
      <c r="A805" s="47" t="n"/>
      <c r="B805" s="48" t="n"/>
      <c r="C805" s="47" t="n"/>
      <c r="D805" s="47" t="n"/>
      <c r="E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  <c r="N805" s="49">
        <f>IF(A805="","",COUNTIFS('潜水記録'!$S$5:$S$3004,A805,'潜水記録'!$T$5:$T$3004,1))</f>
        <v/>
      </c>
      <c r="O805" s="49">
        <f>IF(A805="","",COUNTIF('潜水記録'!$S$5:$S$3004,A805))</f>
        <v/>
      </c>
    </row>
    <row r="806">
      <c r="A806" s="47" t="n"/>
      <c r="B806" s="48" t="n"/>
      <c r="C806" s="47" t="n"/>
      <c r="D806" s="47" t="n"/>
      <c r="E806" s="47" t="n"/>
      <c r="F806" s="47" t="n"/>
      <c r="G806" s="47" t="n"/>
      <c r="H806" s="47" t="n"/>
      <c r="I806" s="47" t="n"/>
      <c r="J806" s="47" t="n"/>
      <c r="K806" s="47" t="n"/>
      <c r="L806" s="47" t="n"/>
      <c r="M806" s="47" t="n"/>
      <c r="N806" s="49">
        <f>IF(A806="","",COUNTIFS('潜水記録'!$S$5:$S$3004,A806,'潜水記録'!$T$5:$T$3004,1))</f>
        <v/>
      </c>
      <c r="O806" s="49">
        <f>IF(A806="","",COUNTIF('潜水記録'!$S$5:$S$3004,A806))</f>
        <v/>
      </c>
    </row>
    <row r="807">
      <c r="A807" s="47" t="n"/>
      <c r="B807" s="48" t="n"/>
      <c r="C807" s="47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  <c r="N807" s="49">
        <f>IF(A807="","",COUNTIFS('潜水記録'!$S$5:$S$3004,A807,'潜水記録'!$T$5:$T$3004,1))</f>
        <v/>
      </c>
      <c r="O807" s="49">
        <f>IF(A807="","",COUNTIF('潜水記録'!$S$5:$S$3004,A807))</f>
        <v/>
      </c>
    </row>
    <row r="808">
      <c r="A808" s="47" t="n"/>
      <c r="B808" s="48" t="n"/>
      <c r="C808" s="47" t="n"/>
      <c r="D808" s="47" t="n"/>
      <c r="E808" s="47" t="n"/>
      <c r="F808" s="47" t="n"/>
      <c r="G808" s="47" t="n"/>
      <c r="H808" s="47" t="n"/>
      <c r="I808" s="47" t="n"/>
      <c r="J808" s="47" t="n"/>
      <c r="K808" s="47" t="n"/>
      <c r="L808" s="47" t="n"/>
      <c r="M808" s="47" t="n"/>
      <c r="N808" s="49">
        <f>IF(A808="","",COUNTIFS('潜水記録'!$S$5:$S$3004,A808,'潜水記録'!$T$5:$T$3004,1))</f>
        <v/>
      </c>
      <c r="O808" s="49">
        <f>IF(A808="","",COUNTIF('潜水記録'!$S$5:$S$3004,A808))</f>
        <v/>
      </c>
    </row>
    <row r="809">
      <c r="A809" s="47" t="n"/>
      <c r="B809" s="48" t="n"/>
      <c r="C809" s="47" t="n"/>
      <c r="D809" s="47" t="n"/>
      <c r="E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  <c r="N809" s="49">
        <f>IF(A809="","",COUNTIFS('潜水記録'!$S$5:$S$3004,A809,'潜水記録'!$T$5:$T$3004,1))</f>
        <v/>
      </c>
      <c r="O809" s="49">
        <f>IF(A809="","",COUNTIF('潜水記録'!$S$5:$S$3004,A809))</f>
        <v/>
      </c>
    </row>
    <row r="810">
      <c r="A810" s="47" t="n"/>
      <c r="B810" s="48" t="n"/>
      <c r="C810" s="47" t="n"/>
      <c r="D810" s="47" t="n"/>
      <c r="E810" s="47" t="n"/>
      <c r="F810" s="47" t="n"/>
      <c r="G810" s="47" t="n"/>
      <c r="H810" s="47" t="n"/>
      <c r="I810" s="47" t="n"/>
      <c r="J810" s="47" t="n"/>
      <c r="K810" s="47" t="n"/>
      <c r="L810" s="47" t="n"/>
      <c r="M810" s="47" t="n"/>
      <c r="N810" s="49">
        <f>IF(A810="","",COUNTIFS('潜水記録'!$S$5:$S$3004,A810,'潜水記録'!$T$5:$T$3004,1))</f>
        <v/>
      </c>
      <c r="O810" s="49">
        <f>IF(A810="","",COUNTIF('潜水記録'!$S$5:$S$3004,A810))</f>
        <v/>
      </c>
    </row>
    <row r="811">
      <c r="A811" s="47" t="n"/>
      <c r="B811" s="48" t="n"/>
      <c r="C811" s="47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  <c r="N811" s="49">
        <f>IF(A811="","",COUNTIFS('潜水記録'!$S$5:$S$3004,A811,'潜水記録'!$T$5:$T$3004,1))</f>
        <v/>
      </c>
      <c r="O811" s="49">
        <f>IF(A811="","",COUNTIF('潜水記録'!$S$5:$S$3004,A811))</f>
        <v/>
      </c>
    </row>
    <row r="812">
      <c r="A812" s="47" t="n"/>
      <c r="B812" s="48" t="n"/>
      <c r="C812" s="47" t="n"/>
      <c r="D812" s="47" t="n"/>
      <c r="E812" s="47" t="n"/>
      <c r="F812" s="47" t="n"/>
      <c r="G812" s="47" t="n"/>
      <c r="H812" s="47" t="n"/>
      <c r="I812" s="47" t="n"/>
      <c r="J812" s="47" t="n"/>
      <c r="K812" s="47" t="n"/>
      <c r="L812" s="47" t="n"/>
      <c r="M812" s="47" t="n"/>
      <c r="N812" s="49">
        <f>IF(A812="","",COUNTIFS('潜水記録'!$S$5:$S$3004,A812,'潜水記録'!$T$5:$T$3004,1))</f>
        <v/>
      </c>
      <c r="O812" s="49">
        <f>IF(A812="","",COUNTIF('潜水記録'!$S$5:$S$3004,A812))</f>
        <v/>
      </c>
    </row>
    <row r="813">
      <c r="A813" s="47" t="n"/>
      <c r="B813" s="48" t="n"/>
      <c r="C813" s="47" t="n"/>
      <c r="D813" s="47" t="n"/>
      <c r="E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  <c r="N813" s="49">
        <f>IF(A813="","",COUNTIFS('潜水記録'!$S$5:$S$3004,A813,'潜水記録'!$T$5:$T$3004,1))</f>
        <v/>
      </c>
      <c r="O813" s="49">
        <f>IF(A813="","",COUNTIF('潜水記録'!$S$5:$S$3004,A813))</f>
        <v/>
      </c>
    </row>
    <row r="814">
      <c r="A814" s="47" t="n"/>
      <c r="B814" s="48" t="n"/>
      <c r="C814" s="47" t="n"/>
      <c r="D814" s="47" t="n"/>
      <c r="E814" s="47" t="n"/>
      <c r="F814" s="47" t="n"/>
      <c r="G814" s="47" t="n"/>
      <c r="H814" s="47" t="n"/>
      <c r="I814" s="47" t="n"/>
      <c r="J814" s="47" t="n"/>
      <c r="K814" s="47" t="n"/>
      <c r="L814" s="47" t="n"/>
      <c r="M814" s="47" t="n"/>
      <c r="N814" s="49">
        <f>IF(A814="","",COUNTIFS('潜水記録'!$S$5:$S$3004,A814,'潜水記録'!$T$5:$T$3004,1))</f>
        <v/>
      </c>
      <c r="O814" s="49">
        <f>IF(A814="","",COUNTIF('潜水記録'!$S$5:$S$3004,A814))</f>
        <v/>
      </c>
    </row>
    <row r="815">
      <c r="A815" s="47" t="n"/>
      <c r="B815" s="48" t="n"/>
      <c r="C815" s="47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  <c r="N815" s="49">
        <f>IF(A815="","",COUNTIFS('潜水記録'!$S$5:$S$3004,A815,'潜水記録'!$T$5:$T$3004,1))</f>
        <v/>
      </c>
      <c r="O815" s="49">
        <f>IF(A815="","",COUNTIF('潜水記録'!$S$5:$S$3004,A815))</f>
        <v/>
      </c>
    </row>
    <row r="816">
      <c r="A816" s="47" t="n"/>
      <c r="B816" s="48" t="n"/>
      <c r="C816" s="47" t="n"/>
      <c r="D816" s="47" t="n"/>
      <c r="E816" s="47" t="n"/>
      <c r="F816" s="47" t="n"/>
      <c r="G816" s="47" t="n"/>
      <c r="H816" s="47" t="n"/>
      <c r="I816" s="47" t="n"/>
      <c r="J816" s="47" t="n"/>
      <c r="K816" s="47" t="n"/>
      <c r="L816" s="47" t="n"/>
      <c r="M816" s="47" t="n"/>
      <c r="N816" s="49">
        <f>IF(A816="","",COUNTIFS('潜水記録'!$S$5:$S$3004,A816,'潜水記録'!$T$5:$T$3004,1))</f>
        <v/>
      </c>
      <c r="O816" s="49">
        <f>IF(A816="","",COUNTIF('潜水記録'!$S$5:$S$3004,A816))</f>
        <v/>
      </c>
    </row>
    <row r="817">
      <c r="A817" s="47" t="n"/>
      <c r="B817" s="48" t="n"/>
      <c r="C817" s="47" t="n"/>
      <c r="D817" s="47" t="n"/>
      <c r="E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  <c r="N817" s="49">
        <f>IF(A817="","",COUNTIFS('潜水記録'!$S$5:$S$3004,A817,'潜水記録'!$T$5:$T$3004,1))</f>
        <v/>
      </c>
      <c r="O817" s="49">
        <f>IF(A817="","",COUNTIF('潜水記録'!$S$5:$S$3004,A817))</f>
        <v/>
      </c>
    </row>
    <row r="818">
      <c r="A818" s="47" t="n"/>
      <c r="B818" s="48" t="n"/>
      <c r="C818" s="47" t="n"/>
      <c r="D818" s="47" t="n"/>
      <c r="E818" s="47" t="n"/>
      <c r="F818" s="47" t="n"/>
      <c r="G818" s="47" t="n"/>
      <c r="H818" s="47" t="n"/>
      <c r="I818" s="47" t="n"/>
      <c r="J818" s="47" t="n"/>
      <c r="K818" s="47" t="n"/>
      <c r="L818" s="47" t="n"/>
      <c r="M818" s="47" t="n"/>
      <c r="N818" s="49">
        <f>IF(A818="","",COUNTIFS('潜水記録'!$S$5:$S$3004,A818,'潜水記録'!$T$5:$T$3004,1))</f>
        <v/>
      </c>
      <c r="O818" s="49">
        <f>IF(A818="","",COUNTIF('潜水記録'!$S$5:$S$3004,A818))</f>
        <v/>
      </c>
    </row>
    <row r="819">
      <c r="A819" s="47" t="n"/>
      <c r="B819" s="48" t="n"/>
      <c r="C819" s="47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  <c r="N819" s="49">
        <f>IF(A819="","",COUNTIFS('潜水記録'!$S$5:$S$3004,A819,'潜水記録'!$T$5:$T$3004,1))</f>
        <v/>
      </c>
      <c r="O819" s="49">
        <f>IF(A819="","",COUNTIF('潜水記録'!$S$5:$S$3004,A819))</f>
        <v/>
      </c>
    </row>
    <row r="820">
      <c r="A820" s="47" t="n"/>
      <c r="B820" s="48" t="n"/>
      <c r="C820" s="47" t="n"/>
      <c r="D820" s="47" t="n"/>
      <c r="E820" s="47" t="n"/>
      <c r="F820" s="47" t="n"/>
      <c r="G820" s="47" t="n"/>
      <c r="H820" s="47" t="n"/>
      <c r="I820" s="47" t="n"/>
      <c r="J820" s="47" t="n"/>
      <c r="K820" s="47" t="n"/>
      <c r="L820" s="47" t="n"/>
      <c r="M820" s="47" t="n"/>
      <c r="N820" s="49">
        <f>IF(A820="","",COUNTIFS('潜水記録'!$S$5:$S$3004,A820,'潜水記録'!$T$5:$T$3004,1))</f>
        <v/>
      </c>
      <c r="O820" s="49">
        <f>IF(A820="","",COUNTIF('潜水記録'!$S$5:$S$3004,A820))</f>
        <v/>
      </c>
    </row>
    <row r="821">
      <c r="A821" s="47" t="n"/>
      <c r="B821" s="48" t="n"/>
      <c r="C821" s="47" t="n"/>
      <c r="D821" s="47" t="n"/>
      <c r="E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  <c r="N821" s="49">
        <f>IF(A821="","",COUNTIFS('潜水記録'!$S$5:$S$3004,A821,'潜水記録'!$T$5:$T$3004,1))</f>
        <v/>
      </c>
      <c r="O821" s="49">
        <f>IF(A821="","",COUNTIF('潜水記録'!$S$5:$S$3004,A821))</f>
        <v/>
      </c>
    </row>
    <row r="822">
      <c r="A822" s="47" t="n"/>
      <c r="B822" s="48" t="n"/>
      <c r="C822" s="47" t="n"/>
      <c r="D822" s="47" t="n"/>
      <c r="E822" s="47" t="n"/>
      <c r="F822" s="47" t="n"/>
      <c r="G822" s="47" t="n"/>
      <c r="H822" s="47" t="n"/>
      <c r="I822" s="47" t="n"/>
      <c r="J822" s="47" t="n"/>
      <c r="K822" s="47" t="n"/>
      <c r="L822" s="47" t="n"/>
      <c r="M822" s="47" t="n"/>
      <c r="N822" s="49">
        <f>IF(A822="","",COUNTIFS('潜水記録'!$S$5:$S$3004,A822,'潜水記録'!$T$5:$T$3004,1))</f>
        <v/>
      </c>
      <c r="O822" s="49">
        <f>IF(A822="","",COUNTIF('潜水記録'!$S$5:$S$3004,A822))</f>
        <v/>
      </c>
    </row>
    <row r="823">
      <c r="A823" s="47" t="n"/>
      <c r="B823" s="48" t="n"/>
      <c r="C823" s="47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  <c r="N823" s="49">
        <f>IF(A823="","",COUNTIFS('潜水記録'!$S$5:$S$3004,A823,'潜水記録'!$T$5:$T$3004,1))</f>
        <v/>
      </c>
      <c r="O823" s="49">
        <f>IF(A823="","",COUNTIF('潜水記録'!$S$5:$S$3004,A823))</f>
        <v/>
      </c>
    </row>
    <row r="824">
      <c r="A824" s="47" t="n"/>
      <c r="B824" s="48" t="n"/>
      <c r="C824" s="47" t="n"/>
      <c r="D824" s="47" t="n"/>
      <c r="E824" s="47" t="n"/>
      <c r="F824" s="47" t="n"/>
      <c r="G824" s="47" t="n"/>
      <c r="H824" s="47" t="n"/>
      <c r="I824" s="47" t="n"/>
      <c r="J824" s="47" t="n"/>
      <c r="K824" s="47" t="n"/>
      <c r="L824" s="47" t="n"/>
      <c r="M824" s="47" t="n"/>
      <c r="N824" s="49">
        <f>IF(A824="","",COUNTIFS('潜水記録'!$S$5:$S$3004,A824,'潜水記録'!$T$5:$T$3004,1))</f>
        <v/>
      </c>
      <c r="O824" s="49">
        <f>IF(A824="","",COUNTIF('潜水記録'!$S$5:$S$3004,A824))</f>
        <v/>
      </c>
    </row>
    <row r="825">
      <c r="A825" s="47" t="n"/>
      <c r="B825" s="48" t="n"/>
      <c r="C825" s="47" t="n"/>
      <c r="D825" s="47" t="n"/>
      <c r="E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  <c r="N825" s="49">
        <f>IF(A825="","",COUNTIFS('潜水記録'!$S$5:$S$3004,A825,'潜水記録'!$T$5:$T$3004,1))</f>
        <v/>
      </c>
      <c r="O825" s="49">
        <f>IF(A825="","",COUNTIF('潜水記録'!$S$5:$S$3004,A825))</f>
        <v/>
      </c>
    </row>
    <row r="826">
      <c r="A826" s="47" t="n"/>
      <c r="B826" s="48" t="n"/>
      <c r="C826" s="47" t="n"/>
      <c r="D826" s="47" t="n"/>
      <c r="E826" s="47" t="n"/>
      <c r="F826" s="47" t="n"/>
      <c r="G826" s="47" t="n"/>
      <c r="H826" s="47" t="n"/>
      <c r="I826" s="47" t="n"/>
      <c r="J826" s="47" t="n"/>
      <c r="K826" s="47" t="n"/>
      <c r="L826" s="47" t="n"/>
      <c r="M826" s="47" t="n"/>
      <c r="N826" s="49">
        <f>IF(A826="","",COUNTIFS('潜水記録'!$S$5:$S$3004,A826,'潜水記録'!$T$5:$T$3004,1))</f>
        <v/>
      </c>
      <c r="O826" s="49">
        <f>IF(A826="","",COUNTIF('潜水記録'!$S$5:$S$3004,A826))</f>
        <v/>
      </c>
    </row>
    <row r="827">
      <c r="A827" s="47" t="n"/>
      <c r="B827" s="48" t="n"/>
      <c r="C827" s="47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  <c r="N827" s="49">
        <f>IF(A827="","",COUNTIFS('潜水記録'!$S$5:$S$3004,A827,'潜水記録'!$T$5:$T$3004,1))</f>
        <v/>
      </c>
      <c r="O827" s="49">
        <f>IF(A827="","",COUNTIF('潜水記録'!$S$5:$S$3004,A827))</f>
        <v/>
      </c>
    </row>
    <row r="828">
      <c r="A828" s="47" t="n"/>
      <c r="B828" s="48" t="n"/>
      <c r="C828" s="47" t="n"/>
      <c r="D828" s="47" t="n"/>
      <c r="E828" s="47" t="n"/>
      <c r="F828" s="47" t="n"/>
      <c r="G828" s="47" t="n"/>
      <c r="H828" s="47" t="n"/>
      <c r="I828" s="47" t="n"/>
      <c r="J828" s="47" t="n"/>
      <c r="K828" s="47" t="n"/>
      <c r="L828" s="47" t="n"/>
      <c r="M828" s="47" t="n"/>
      <c r="N828" s="49">
        <f>IF(A828="","",COUNTIFS('潜水記録'!$S$5:$S$3004,A828,'潜水記録'!$T$5:$T$3004,1))</f>
        <v/>
      </c>
      <c r="O828" s="49">
        <f>IF(A828="","",COUNTIF('潜水記録'!$S$5:$S$3004,A828))</f>
        <v/>
      </c>
    </row>
    <row r="829">
      <c r="A829" s="47" t="n"/>
      <c r="B829" s="48" t="n"/>
      <c r="C829" s="47" t="n"/>
      <c r="D829" s="47" t="n"/>
      <c r="E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  <c r="N829" s="49">
        <f>IF(A829="","",COUNTIFS('潜水記録'!$S$5:$S$3004,A829,'潜水記録'!$T$5:$T$3004,1))</f>
        <v/>
      </c>
      <c r="O829" s="49">
        <f>IF(A829="","",COUNTIF('潜水記録'!$S$5:$S$3004,A829))</f>
        <v/>
      </c>
    </row>
    <row r="830">
      <c r="A830" s="47" t="n"/>
      <c r="B830" s="48" t="n"/>
      <c r="C830" s="47" t="n"/>
      <c r="D830" s="47" t="n"/>
      <c r="E830" s="47" t="n"/>
      <c r="F830" s="47" t="n"/>
      <c r="G830" s="47" t="n"/>
      <c r="H830" s="47" t="n"/>
      <c r="I830" s="47" t="n"/>
      <c r="J830" s="47" t="n"/>
      <c r="K830" s="47" t="n"/>
      <c r="L830" s="47" t="n"/>
      <c r="M830" s="47" t="n"/>
      <c r="N830" s="49">
        <f>IF(A830="","",COUNTIFS('潜水記録'!$S$5:$S$3004,A830,'潜水記録'!$T$5:$T$3004,1))</f>
        <v/>
      </c>
      <c r="O830" s="49">
        <f>IF(A830="","",COUNTIF('潜水記録'!$S$5:$S$3004,A830))</f>
        <v/>
      </c>
    </row>
    <row r="831">
      <c r="A831" s="47" t="n"/>
      <c r="B831" s="48" t="n"/>
      <c r="C831" s="47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  <c r="N831" s="49">
        <f>IF(A831="","",COUNTIFS('潜水記録'!$S$5:$S$3004,A831,'潜水記録'!$T$5:$T$3004,1))</f>
        <v/>
      </c>
      <c r="O831" s="49">
        <f>IF(A831="","",COUNTIF('潜水記録'!$S$5:$S$3004,A831))</f>
        <v/>
      </c>
    </row>
    <row r="832">
      <c r="A832" s="47" t="n"/>
      <c r="B832" s="48" t="n"/>
      <c r="C832" s="47" t="n"/>
      <c r="D832" s="47" t="n"/>
      <c r="E832" s="47" t="n"/>
      <c r="F832" s="47" t="n"/>
      <c r="G832" s="47" t="n"/>
      <c r="H832" s="47" t="n"/>
      <c r="I832" s="47" t="n"/>
      <c r="J832" s="47" t="n"/>
      <c r="K832" s="47" t="n"/>
      <c r="L832" s="47" t="n"/>
      <c r="M832" s="47" t="n"/>
      <c r="N832" s="49">
        <f>IF(A832="","",COUNTIFS('潜水記録'!$S$5:$S$3004,A832,'潜水記録'!$T$5:$T$3004,1))</f>
        <v/>
      </c>
      <c r="O832" s="49">
        <f>IF(A832="","",COUNTIF('潜水記録'!$S$5:$S$3004,A832))</f>
        <v/>
      </c>
    </row>
    <row r="833">
      <c r="A833" s="47" t="n"/>
      <c r="B833" s="48" t="n"/>
      <c r="C833" s="47" t="n"/>
      <c r="D833" s="47" t="n"/>
      <c r="E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  <c r="N833" s="49">
        <f>IF(A833="","",COUNTIFS('潜水記録'!$S$5:$S$3004,A833,'潜水記録'!$T$5:$T$3004,1))</f>
        <v/>
      </c>
      <c r="O833" s="49">
        <f>IF(A833="","",COUNTIF('潜水記録'!$S$5:$S$3004,A833))</f>
        <v/>
      </c>
    </row>
    <row r="834">
      <c r="A834" s="47" t="n"/>
      <c r="B834" s="48" t="n"/>
      <c r="C834" s="47" t="n"/>
      <c r="D834" s="47" t="n"/>
      <c r="E834" s="47" t="n"/>
      <c r="F834" s="47" t="n"/>
      <c r="G834" s="47" t="n"/>
      <c r="H834" s="47" t="n"/>
      <c r="I834" s="47" t="n"/>
      <c r="J834" s="47" t="n"/>
      <c r="K834" s="47" t="n"/>
      <c r="L834" s="47" t="n"/>
      <c r="M834" s="47" t="n"/>
      <c r="N834" s="49">
        <f>IF(A834="","",COUNTIFS('潜水記録'!$S$5:$S$3004,A834,'潜水記録'!$T$5:$T$3004,1))</f>
        <v/>
      </c>
      <c r="O834" s="49">
        <f>IF(A834="","",COUNTIF('潜水記録'!$S$5:$S$3004,A834))</f>
        <v/>
      </c>
    </row>
    <row r="835">
      <c r="A835" s="47" t="n"/>
      <c r="B835" s="48" t="n"/>
      <c r="C835" s="47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  <c r="N835" s="49">
        <f>IF(A835="","",COUNTIFS('潜水記録'!$S$5:$S$3004,A835,'潜水記録'!$T$5:$T$3004,1))</f>
        <v/>
      </c>
      <c r="O835" s="49">
        <f>IF(A835="","",COUNTIF('潜水記録'!$S$5:$S$3004,A835))</f>
        <v/>
      </c>
    </row>
    <row r="836">
      <c r="A836" s="47" t="n"/>
      <c r="B836" s="48" t="n"/>
      <c r="C836" s="47" t="n"/>
      <c r="D836" s="47" t="n"/>
      <c r="E836" s="47" t="n"/>
      <c r="F836" s="47" t="n"/>
      <c r="G836" s="47" t="n"/>
      <c r="H836" s="47" t="n"/>
      <c r="I836" s="47" t="n"/>
      <c r="J836" s="47" t="n"/>
      <c r="K836" s="47" t="n"/>
      <c r="L836" s="47" t="n"/>
      <c r="M836" s="47" t="n"/>
      <c r="N836" s="49">
        <f>IF(A836="","",COUNTIFS('潜水記録'!$S$5:$S$3004,A836,'潜水記録'!$T$5:$T$3004,1))</f>
        <v/>
      </c>
      <c r="O836" s="49">
        <f>IF(A836="","",COUNTIF('潜水記録'!$S$5:$S$3004,A836))</f>
        <v/>
      </c>
    </row>
    <row r="837">
      <c r="A837" s="47" t="n"/>
      <c r="B837" s="48" t="n"/>
      <c r="C837" s="47" t="n"/>
      <c r="D837" s="47" t="n"/>
      <c r="E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  <c r="N837" s="49">
        <f>IF(A837="","",COUNTIFS('潜水記録'!$S$5:$S$3004,A837,'潜水記録'!$T$5:$T$3004,1))</f>
        <v/>
      </c>
      <c r="O837" s="49">
        <f>IF(A837="","",COUNTIF('潜水記録'!$S$5:$S$3004,A837))</f>
        <v/>
      </c>
    </row>
    <row r="838">
      <c r="A838" s="47" t="n"/>
      <c r="B838" s="48" t="n"/>
      <c r="C838" s="47" t="n"/>
      <c r="D838" s="47" t="n"/>
      <c r="E838" s="47" t="n"/>
      <c r="F838" s="47" t="n"/>
      <c r="G838" s="47" t="n"/>
      <c r="H838" s="47" t="n"/>
      <c r="I838" s="47" t="n"/>
      <c r="J838" s="47" t="n"/>
      <c r="K838" s="47" t="n"/>
      <c r="L838" s="47" t="n"/>
      <c r="M838" s="47" t="n"/>
      <c r="N838" s="49">
        <f>IF(A838="","",COUNTIFS('潜水記録'!$S$5:$S$3004,A838,'潜水記録'!$T$5:$T$3004,1))</f>
        <v/>
      </c>
      <c r="O838" s="49">
        <f>IF(A838="","",COUNTIF('潜水記録'!$S$5:$S$3004,A838))</f>
        <v/>
      </c>
    </row>
    <row r="839">
      <c r="A839" s="47" t="n"/>
      <c r="B839" s="48" t="n"/>
      <c r="C839" s="47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  <c r="N839" s="49">
        <f>IF(A839="","",COUNTIFS('潜水記録'!$S$5:$S$3004,A839,'潜水記録'!$T$5:$T$3004,1))</f>
        <v/>
      </c>
      <c r="O839" s="49">
        <f>IF(A839="","",COUNTIF('潜水記録'!$S$5:$S$3004,A839))</f>
        <v/>
      </c>
    </row>
    <row r="840">
      <c r="A840" s="47" t="n"/>
      <c r="B840" s="48" t="n"/>
      <c r="C840" s="47" t="n"/>
      <c r="D840" s="47" t="n"/>
      <c r="E840" s="47" t="n"/>
      <c r="F840" s="47" t="n"/>
      <c r="G840" s="47" t="n"/>
      <c r="H840" s="47" t="n"/>
      <c r="I840" s="47" t="n"/>
      <c r="J840" s="47" t="n"/>
      <c r="K840" s="47" t="n"/>
      <c r="L840" s="47" t="n"/>
      <c r="M840" s="47" t="n"/>
      <c r="N840" s="49">
        <f>IF(A840="","",COUNTIFS('潜水記録'!$S$5:$S$3004,A840,'潜水記録'!$T$5:$T$3004,1))</f>
        <v/>
      </c>
      <c r="O840" s="49">
        <f>IF(A840="","",COUNTIF('潜水記録'!$S$5:$S$3004,A840))</f>
        <v/>
      </c>
    </row>
    <row r="841">
      <c r="A841" s="47" t="n"/>
      <c r="B841" s="48" t="n"/>
      <c r="C841" s="47" t="n"/>
      <c r="D841" s="47" t="n"/>
      <c r="E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  <c r="N841" s="49">
        <f>IF(A841="","",COUNTIFS('潜水記録'!$S$5:$S$3004,A841,'潜水記録'!$T$5:$T$3004,1))</f>
        <v/>
      </c>
      <c r="O841" s="49">
        <f>IF(A841="","",COUNTIF('潜水記録'!$S$5:$S$3004,A841))</f>
        <v/>
      </c>
    </row>
    <row r="842">
      <c r="A842" s="47" t="n"/>
      <c r="B842" s="48" t="n"/>
      <c r="C842" s="47" t="n"/>
      <c r="D842" s="47" t="n"/>
      <c r="E842" s="47" t="n"/>
      <c r="F842" s="47" t="n"/>
      <c r="G842" s="47" t="n"/>
      <c r="H842" s="47" t="n"/>
      <c r="I842" s="47" t="n"/>
      <c r="J842" s="47" t="n"/>
      <c r="K842" s="47" t="n"/>
      <c r="L842" s="47" t="n"/>
      <c r="M842" s="47" t="n"/>
      <c r="N842" s="49">
        <f>IF(A842="","",COUNTIFS('潜水記録'!$S$5:$S$3004,A842,'潜水記録'!$T$5:$T$3004,1))</f>
        <v/>
      </c>
      <c r="O842" s="49">
        <f>IF(A842="","",COUNTIF('潜水記録'!$S$5:$S$3004,A842))</f>
        <v/>
      </c>
    </row>
    <row r="843">
      <c r="A843" s="47" t="n"/>
      <c r="B843" s="48" t="n"/>
      <c r="C843" s="47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  <c r="N843" s="49">
        <f>IF(A843="","",COUNTIFS('潜水記録'!$S$5:$S$3004,A843,'潜水記録'!$T$5:$T$3004,1))</f>
        <v/>
      </c>
      <c r="O843" s="49">
        <f>IF(A843="","",COUNTIF('潜水記録'!$S$5:$S$3004,A843))</f>
        <v/>
      </c>
    </row>
    <row r="844">
      <c r="A844" s="47" t="n"/>
      <c r="B844" s="48" t="n"/>
      <c r="C844" s="47" t="n"/>
      <c r="D844" s="47" t="n"/>
      <c r="E844" s="47" t="n"/>
      <c r="F844" s="47" t="n"/>
      <c r="G844" s="47" t="n"/>
      <c r="H844" s="47" t="n"/>
      <c r="I844" s="47" t="n"/>
      <c r="J844" s="47" t="n"/>
      <c r="K844" s="47" t="n"/>
      <c r="L844" s="47" t="n"/>
      <c r="M844" s="47" t="n"/>
      <c r="N844" s="49">
        <f>IF(A844="","",COUNTIFS('潜水記録'!$S$5:$S$3004,A844,'潜水記録'!$T$5:$T$3004,1))</f>
        <v/>
      </c>
      <c r="O844" s="49">
        <f>IF(A844="","",COUNTIF('潜水記録'!$S$5:$S$3004,A844))</f>
        <v/>
      </c>
    </row>
    <row r="845">
      <c r="A845" s="47" t="n"/>
      <c r="B845" s="48" t="n"/>
      <c r="C845" s="47" t="n"/>
      <c r="D845" s="47" t="n"/>
      <c r="E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  <c r="N845" s="49">
        <f>IF(A845="","",COUNTIFS('潜水記録'!$S$5:$S$3004,A845,'潜水記録'!$T$5:$T$3004,1))</f>
        <v/>
      </c>
      <c r="O845" s="49">
        <f>IF(A845="","",COUNTIF('潜水記録'!$S$5:$S$3004,A845))</f>
        <v/>
      </c>
    </row>
    <row r="846">
      <c r="A846" s="47" t="n"/>
      <c r="B846" s="48" t="n"/>
      <c r="C846" s="47" t="n"/>
      <c r="D846" s="47" t="n"/>
      <c r="E846" s="47" t="n"/>
      <c r="F846" s="47" t="n"/>
      <c r="G846" s="47" t="n"/>
      <c r="H846" s="47" t="n"/>
      <c r="I846" s="47" t="n"/>
      <c r="J846" s="47" t="n"/>
      <c r="K846" s="47" t="n"/>
      <c r="L846" s="47" t="n"/>
      <c r="M846" s="47" t="n"/>
      <c r="N846" s="49">
        <f>IF(A846="","",COUNTIFS('潜水記録'!$S$5:$S$3004,A846,'潜水記録'!$T$5:$T$3004,1))</f>
        <v/>
      </c>
      <c r="O846" s="49">
        <f>IF(A846="","",COUNTIF('潜水記録'!$S$5:$S$3004,A846))</f>
        <v/>
      </c>
    </row>
    <row r="847">
      <c r="A847" s="47" t="n"/>
      <c r="B847" s="48" t="n"/>
      <c r="C847" s="47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  <c r="N847" s="49">
        <f>IF(A847="","",COUNTIFS('潜水記録'!$S$5:$S$3004,A847,'潜水記録'!$T$5:$T$3004,1))</f>
        <v/>
      </c>
      <c r="O847" s="49">
        <f>IF(A847="","",COUNTIF('潜水記録'!$S$5:$S$3004,A847))</f>
        <v/>
      </c>
    </row>
    <row r="848">
      <c r="A848" s="47" t="n"/>
      <c r="B848" s="48" t="n"/>
      <c r="C848" s="47" t="n"/>
      <c r="D848" s="47" t="n"/>
      <c r="E848" s="47" t="n"/>
      <c r="F848" s="47" t="n"/>
      <c r="G848" s="47" t="n"/>
      <c r="H848" s="47" t="n"/>
      <c r="I848" s="47" t="n"/>
      <c r="J848" s="47" t="n"/>
      <c r="K848" s="47" t="n"/>
      <c r="L848" s="47" t="n"/>
      <c r="M848" s="47" t="n"/>
      <c r="N848" s="49">
        <f>IF(A848="","",COUNTIFS('潜水記録'!$S$5:$S$3004,A848,'潜水記録'!$T$5:$T$3004,1))</f>
        <v/>
      </c>
      <c r="O848" s="49">
        <f>IF(A848="","",COUNTIF('潜水記録'!$S$5:$S$3004,A848))</f>
        <v/>
      </c>
    </row>
    <row r="849">
      <c r="A849" s="47" t="n"/>
      <c r="B849" s="48" t="n"/>
      <c r="C849" s="47" t="n"/>
      <c r="D849" s="47" t="n"/>
      <c r="E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  <c r="N849" s="49">
        <f>IF(A849="","",COUNTIFS('潜水記録'!$S$5:$S$3004,A849,'潜水記録'!$T$5:$T$3004,1))</f>
        <v/>
      </c>
      <c r="O849" s="49">
        <f>IF(A849="","",COUNTIF('潜水記録'!$S$5:$S$3004,A849))</f>
        <v/>
      </c>
    </row>
    <row r="850">
      <c r="A850" s="47" t="n"/>
      <c r="B850" s="48" t="n"/>
      <c r="C850" s="47" t="n"/>
      <c r="D850" s="47" t="n"/>
      <c r="E850" s="47" t="n"/>
      <c r="F850" s="47" t="n"/>
      <c r="G850" s="47" t="n"/>
      <c r="H850" s="47" t="n"/>
      <c r="I850" s="47" t="n"/>
      <c r="J850" s="47" t="n"/>
      <c r="K850" s="47" t="n"/>
      <c r="L850" s="47" t="n"/>
      <c r="M850" s="47" t="n"/>
      <c r="N850" s="49">
        <f>IF(A850="","",COUNTIFS('潜水記録'!$S$5:$S$3004,A850,'潜水記録'!$T$5:$T$3004,1))</f>
        <v/>
      </c>
      <c r="O850" s="49">
        <f>IF(A850="","",COUNTIF('潜水記録'!$S$5:$S$3004,A850))</f>
        <v/>
      </c>
    </row>
    <row r="851">
      <c r="A851" s="47" t="n"/>
      <c r="B851" s="48" t="n"/>
      <c r="C851" s="47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  <c r="N851" s="49">
        <f>IF(A851="","",COUNTIFS('潜水記録'!$S$5:$S$3004,A851,'潜水記録'!$T$5:$T$3004,1))</f>
        <v/>
      </c>
      <c r="O851" s="49">
        <f>IF(A851="","",COUNTIF('潜水記録'!$S$5:$S$3004,A851))</f>
        <v/>
      </c>
    </row>
    <row r="852">
      <c r="A852" s="47" t="n"/>
      <c r="B852" s="48" t="n"/>
      <c r="C852" s="47" t="n"/>
      <c r="D852" s="47" t="n"/>
      <c r="E852" s="47" t="n"/>
      <c r="F852" s="47" t="n"/>
      <c r="G852" s="47" t="n"/>
      <c r="H852" s="47" t="n"/>
      <c r="I852" s="47" t="n"/>
      <c r="J852" s="47" t="n"/>
      <c r="K852" s="47" t="n"/>
      <c r="L852" s="47" t="n"/>
      <c r="M852" s="47" t="n"/>
      <c r="N852" s="49">
        <f>IF(A852="","",COUNTIFS('潜水記録'!$S$5:$S$3004,A852,'潜水記録'!$T$5:$T$3004,1))</f>
        <v/>
      </c>
      <c r="O852" s="49">
        <f>IF(A852="","",COUNTIF('潜水記録'!$S$5:$S$3004,A852))</f>
        <v/>
      </c>
    </row>
    <row r="853">
      <c r="A853" s="47" t="n"/>
      <c r="B853" s="48" t="n"/>
      <c r="C853" s="47" t="n"/>
      <c r="D853" s="47" t="n"/>
      <c r="E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  <c r="N853" s="49">
        <f>IF(A853="","",COUNTIFS('潜水記録'!$S$5:$S$3004,A853,'潜水記録'!$T$5:$T$3004,1))</f>
        <v/>
      </c>
      <c r="O853" s="49">
        <f>IF(A853="","",COUNTIF('潜水記録'!$S$5:$S$3004,A853))</f>
        <v/>
      </c>
    </row>
    <row r="854">
      <c r="A854" s="47" t="n"/>
      <c r="B854" s="48" t="n"/>
      <c r="C854" s="47" t="n"/>
      <c r="D854" s="47" t="n"/>
      <c r="E854" s="47" t="n"/>
      <c r="F854" s="47" t="n"/>
      <c r="G854" s="47" t="n"/>
      <c r="H854" s="47" t="n"/>
      <c r="I854" s="47" t="n"/>
      <c r="J854" s="47" t="n"/>
      <c r="K854" s="47" t="n"/>
      <c r="L854" s="47" t="n"/>
      <c r="M854" s="47" t="n"/>
      <c r="N854" s="49">
        <f>IF(A854="","",COUNTIFS('潜水記録'!$S$5:$S$3004,A854,'潜水記録'!$T$5:$T$3004,1))</f>
        <v/>
      </c>
      <c r="O854" s="49">
        <f>IF(A854="","",COUNTIF('潜水記録'!$S$5:$S$3004,A854))</f>
        <v/>
      </c>
    </row>
    <row r="855">
      <c r="A855" s="47" t="n"/>
      <c r="B855" s="48" t="n"/>
      <c r="C855" s="47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  <c r="N855" s="49">
        <f>IF(A855="","",COUNTIFS('潜水記録'!$S$5:$S$3004,A855,'潜水記録'!$T$5:$T$3004,1))</f>
        <v/>
      </c>
      <c r="O855" s="49">
        <f>IF(A855="","",COUNTIF('潜水記録'!$S$5:$S$3004,A855))</f>
        <v/>
      </c>
    </row>
    <row r="856">
      <c r="A856" s="47" t="n"/>
      <c r="B856" s="48" t="n"/>
      <c r="C856" s="47" t="n"/>
      <c r="D856" s="47" t="n"/>
      <c r="E856" s="47" t="n"/>
      <c r="F856" s="47" t="n"/>
      <c r="G856" s="47" t="n"/>
      <c r="H856" s="47" t="n"/>
      <c r="I856" s="47" t="n"/>
      <c r="J856" s="47" t="n"/>
      <c r="K856" s="47" t="n"/>
      <c r="L856" s="47" t="n"/>
      <c r="M856" s="47" t="n"/>
      <c r="N856" s="49">
        <f>IF(A856="","",COUNTIFS('潜水記録'!$S$5:$S$3004,A856,'潜水記録'!$T$5:$T$3004,1))</f>
        <v/>
      </c>
      <c r="O856" s="49">
        <f>IF(A856="","",COUNTIF('潜水記録'!$S$5:$S$3004,A856))</f>
        <v/>
      </c>
    </row>
    <row r="857">
      <c r="A857" s="47" t="n"/>
      <c r="B857" s="48" t="n"/>
      <c r="C857" s="47" t="n"/>
      <c r="D857" s="47" t="n"/>
      <c r="E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  <c r="N857" s="49">
        <f>IF(A857="","",COUNTIFS('潜水記録'!$S$5:$S$3004,A857,'潜水記録'!$T$5:$T$3004,1))</f>
        <v/>
      </c>
      <c r="O857" s="49">
        <f>IF(A857="","",COUNTIF('潜水記録'!$S$5:$S$3004,A857))</f>
        <v/>
      </c>
    </row>
    <row r="858">
      <c r="A858" s="47" t="n"/>
      <c r="B858" s="48" t="n"/>
      <c r="C858" s="47" t="n"/>
      <c r="D858" s="47" t="n"/>
      <c r="E858" s="47" t="n"/>
      <c r="F858" s="47" t="n"/>
      <c r="G858" s="47" t="n"/>
      <c r="H858" s="47" t="n"/>
      <c r="I858" s="47" t="n"/>
      <c r="J858" s="47" t="n"/>
      <c r="K858" s="47" t="n"/>
      <c r="L858" s="47" t="n"/>
      <c r="M858" s="47" t="n"/>
      <c r="N858" s="49">
        <f>IF(A858="","",COUNTIFS('潜水記録'!$S$5:$S$3004,A858,'潜水記録'!$T$5:$T$3004,1))</f>
        <v/>
      </c>
      <c r="O858" s="49">
        <f>IF(A858="","",COUNTIF('潜水記録'!$S$5:$S$3004,A858))</f>
        <v/>
      </c>
    </row>
    <row r="859">
      <c r="A859" s="47" t="n"/>
      <c r="B859" s="48" t="n"/>
      <c r="C859" s="47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  <c r="N859" s="49">
        <f>IF(A859="","",COUNTIFS('潜水記録'!$S$5:$S$3004,A859,'潜水記録'!$T$5:$T$3004,1))</f>
        <v/>
      </c>
      <c r="O859" s="49">
        <f>IF(A859="","",COUNTIF('潜水記録'!$S$5:$S$3004,A859))</f>
        <v/>
      </c>
    </row>
    <row r="860">
      <c r="A860" s="47" t="n"/>
      <c r="B860" s="48" t="n"/>
      <c r="C860" s="47" t="n"/>
      <c r="D860" s="47" t="n"/>
      <c r="E860" s="47" t="n"/>
      <c r="F860" s="47" t="n"/>
      <c r="G860" s="47" t="n"/>
      <c r="H860" s="47" t="n"/>
      <c r="I860" s="47" t="n"/>
      <c r="J860" s="47" t="n"/>
      <c r="K860" s="47" t="n"/>
      <c r="L860" s="47" t="n"/>
      <c r="M860" s="47" t="n"/>
      <c r="N860" s="49">
        <f>IF(A860="","",COUNTIFS('潜水記録'!$S$5:$S$3004,A860,'潜水記録'!$T$5:$T$3004,1))</f>
        <v/>
      </c>
      <c r="O860" s="49">
        <f>IF(A860="","",COUNTIF('潜水記録'!$S$5:$S$3004,A860))</f>
        <v/>
      </c>
    </row>
    <row r="861">
      <c r="A861" s="47" t="n"/>
      <c r="B861" s="48" t="n"/>
      <c r="C861" s="47" t="n"/>
      <c r="D861" s="47" t="n"/>
      <c r="E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  <c r="N861" s="49">
        <f>IF(A861="","",COUNTIFS('潜水記録'!$S$5:$S$3004,A861,'潜水記録'!$T$5:$T$3004,1))</f>
        <v/>
      </c>
      <c r="O861" s="49">
        <f>IF(A861="","",COUNTIF('潜水記録'!$S$5:$S$3004,A861))</f>
        <v/>
      </c>
    </row>
    <row r="862">
      <c r="A862" s="47" t="n"/>
      <c r="B862" s="48" t="n"/>
      <c r="C862" s="47" t="n"/>
      <c r="D862" s="47" t="n"/>
      <c r="E862" s="47" t="n"/>
      <c r="F862" s="47" t="n"/>
      <c r="G862" s="47" t="n"/>
      <c r="H862" s="47" t="n"/>
      <c r="I862" s="47" t="n"/>
      <c r="J862" s="47" t="n"/>
      <c r="K862" s="47" t="n"/>
      <c r="L862" s="47" t="n"/>
      <c r="M862" s="47" t="n"/>
      <c r="N862" s="49">
        <f>IF(A862="","",COUNTIFS('潜水記録'!$S$5:$S$3004,A862,'潜水記録'!$T$5:$T$3004,1))</f>
        <v/>
      </c>
      <c r="O862" s="49">
        <f>IF(A862="","",COUNTIF('潜水記録'!$S$5:$S$3004,A862))</f>
        <v/>
      </c>
    </row>
    <row r="863">
      <c r="A863" s="47" t="n"/>
      <c r="B863" s="48" t="n"/>
      <c r="C863" s="47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  <c r="N863" s="49">
        <f>IF(A863="","",COUNTIFS('潜水記録'!$S$5:$S$3004,A863,'潜水記録'!$T$5:$T$3004,1))</f>
        <v/>
      </c>
      <c r="O863" s="49">
        <f>IF(A863="","",COUNTIF('潜水記録'!$S$5:$S$3004,A863))</f>
        <v/>
      </c>
    </row>
    <row r="864">
      <c r="A864" s="47" t="n"/>
      <c r="B864" s="48" t="n"/>
      <c r="C864" s="47" t="n"/>
      <c r="D864" s="47" t="n"/>
      <c r="E864" s="47" t="n"/>
      <c r="F864" s="47" t="n"/>
      <c r="G864" s="47" t="n"/>
      <c r="H864" s="47" t="n"/>
      <c r="I864" s="47" t="n"/>
      <c r="J864" s="47" t="n"/>
      <c r="K864" s="47" t="n"/>
      <c r="L864" s="47" t="n"/>
      <c r="M864" s="47" t="n"/>
      <c r="N864" s="49">
        <f>IF(A864="","",COUNTIFS('潜水記録'!$S$5:$S$3004,A864,'潜水記録'!$T$5:$T$3004,1))</f>
        <v/>
      </c>
      <c r="O864" s="49">
        <f>IF(A864="","",COUNTIF('潜水記録'!$S$5:$S$3004,A864))</f>
        <v/>
      </c>
    </row>
    <row r="865">
      <c r="A865" s="47" t="n"/>
      <c r="B865" s="48" t="n"/>
      <c r="C865" s="47" t="n"/>
      <c r="D865" s="47" t="n"/>
      <c r="E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  <c r="N865" s="49">
        <f>IF(A865="","",COUNTIFS('潜水記録'!$S$5:$S$3004,A865,'潜水記録'!$T$5:$T$3004,1))</f>
        <v/>
      </c>
      <c r="O865" s="49">
        <f>IF(A865="","",COUNTIF('潜水記録'!$S$5:$S$3004,A865))</f>
        <v/>
      </c>
    </row>
    <row r="866">
      <c r="A866" s="47" t="n"/>
      <c r="B866" s="48" t="n"/>
      <c r="C866" s="47" t="n"/>
      <c r="D866" s="47" t="n"/>
      <c r="E866" s="47" t="n"/>
      <c r="F866" s="47" t="n"/>
      <c r="G866" s="47" t="n"/>
      <c r="H866" s="47" t="n"/>
      <c r="I866" s="47" t="n"/>
      <c r="J866" s="47" t="n"/>
      <c r="K866" s="47" t="n"/>
      <c r="L866" s="47" t="n"/>
      <c r="M866" s="47" t="n"/>
      <c r="N866" s="49">
        <f>IF(A866="","",COUNTIFS('潜水記録'!$S$5:$S$3004,A866,'潜水記録'!$T$5:$T$3004,1))</f>
        <v/>
      </c>
      <c r="O866" s="49">
        <f>IF(A866="","",COUNTIF('潜水記録'!$S$5:$S$3004,A866))</f>
        <v/>
      </c>
    </row>
    <row r="867">
      <c r="A867" s="47" t="n"/>
      <c r="B867" s="48" t="n"/>
      <c r="C867" s="47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  <c r="N867" s="49">
        <f>IF(A867="","",COUNTIFS('潜水記録'!$S$5:$S$3004,A867,'潜水記録'!$T$5:$T$3004,1))</f>
        <v/>
      </c>
      <c r="O867" s="49">
        <f>IF(A867="","",COUNTIF('潜水記録'!$S$5:$S$3004,A867))</f>
        <v/>
      </c>
    </row>
    <row r="868">
      <c r="A868" s="47" t="n"/>
      <c r="B868" s="48" t="n"/>
      <c r="C868" s="47" t="n"/>
      <c r="D868" s="47" t="n"/>
      <c r="E868" s="47" t="n"/>
      <c r="F868" s="47" t="n"/>
      <c r="G868" s="47" t="n"/>
      <c r="H868" s="47" t="n"/>
      <c r="I868" s="47" t="n"/>
      <c r="J868" s="47" t="n"/>
      <c r="K868" s="47" t="n"/>
      <c r="L868" s="47" t="n"/>
      <c r="M868" s="47" t="n"/>
      <c r="N868" s="49">
        <f>IF(A868="","",COUNTIFS('潜水記録'!$S$5:$S$3004,A868,'潜水記録'!$T$5:$T$3004,1))</f>
        <v/>
      </c>
      <c r="O868" s="49">
        <f>IF(A868="","",COUNTIF('潜水記録'!$S$5:$S$3004,A868))</f>
        <v/>
      </c>
    </row>
    <row r="869">
      <c r="A869" s="47" t="n"/>
      <c r="B869" s="48" t="n"/>
      <c r="C869" s="47" t="n"/>
      <c r="D869" s="47" t="n"/>
      <c r="E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  <c r="N869" s="49">
        <f>IF(A869="","",COUNTIFS('潜水記録'!$S$5:$S$3004,A869,'潜水記録'!$T$5:$T$3004,1))</f>
        <v/>
      </c>
      <c r="O869" s="49">
        <f>IF(A869="","",COUNTIF('潜水記録'!$S$5:$S$3004,A869))</f>
        <v/>
      </c>
    </row>
    <row r="870">
      <c r="A870" s="47" t="n"/>
      <c r="B870" s="48" t="n"/>
      <c r="C870" s="47" t="n"/>
      <c r="D870" s="47" t="n"/>
      <c r="E870" s="47" t="n"/>
      <c r="F870" s="47" t="n"/>
      <c r="G870" s="47" t="n"/>
      <c r="H870" s="47" t="n"/>
      <c r="I870" s="47" t="n"/>
      <c r="J870" s="47" t="n"/>
      <c r="K870" s="47" t="n"/>
      <c r="L870" s="47" t="n"/>
      <c r="M870" s="47" t="n"/>
      <c r="N870" s="49">
        <f>IF(A870="","",COUNTIFS('潜水記録'!$S$5:$S$3004,A870,'潜水記録'!$T$5:$T$3004,1))</f>
        <v/>
      </c>
      <c r="O870" s="49">
        <f>IF(A870="","",COUNTIF('潜水記録'!$S$5:$S$3004,A870))</f>
        <v/>
      </c>
    </row>
    <row r="871">
      <c r="A871" s="47" t="n"/>
      <c r="B871" s="48" t="n"/>
      <c r="C871" s="47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  <c r="N871" s="49">
        <f>IF(A871="","",COUNTIFS('潜水記録'!$S$5:$S$3004,A871,'潜水記録'!$T$5:$T$3004,1))</f>
        <v/>
      </c>
      <c r="O871" s="49">
        <f>IF(A871="","",COUNTIF('潜水記録'!$S$5:$S$3004,A871))</f>
        <v/>
      </c>
    </row>
    <row r="872">
      <c r="A872" s="47" t="n"/>
      <c r="B872" s="48" t="n"/>
      <c r="C872" s="47" t="n"/>
      <c r="D872" s="47" t="n"/>
      <c r="E872" s="47" t="n"/>
      <c r="F872" s="47" t="n"/>
      <c r="G872" s="47" t="n"/>
      <c r="H872" s="47" t="n"/>
      <c r="I872" s="47" t="n"/>
      <c r="J872" s="47" t="n"/>
      <c r="K872" s="47" t="n"/>
      <c r="L872" s="47" t="n"/>
      <c r="M872" s="47" t="n"/>
      <c r="N872" s="49">
        <f>IF(A872="","",COUNTIFS('潜水記録'!$S$5:$S$3004,A872,'潜水記録'!$T$5:$T$3004,1))</f>
        <v/>
      </c>
      <c r="O872" s="49">
        <f>IF(A872="","",COUNTIF('潜水記録'!$S$5:$S$3004,A872))</f>
        <v/>
      </c>
    </row>
    <row r="873">
      <c r="A873" s="47" t="n"/>
      <c r="B873" s="48" t="n"/>
      <c r="C873" s="47" t="n"/>
      <c r="D873" s="47" t="n"/>
      <c r="E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  <c r="N873" s="49">
        <f>IF(A873="","",COUNTIFS('潜水記録'!$S$5:$S$3004,A873,'潜水記録'!$T$5:$T$3004,1))</f>
        <v/>
      </c>
      <c r="O873" s="49">
        <f>IF(A873="","",COUNTIF('潜水記録'!$S$5:$S$3004,A873))</f>
        <v/>
      </c>
    </row>
    <row r="874">
      <c r="A874" s="47" t="n"/>
      <c r="B874" s="48" t="n"/>
      <c r="C874" s="47" t="n"/>
      <c r="D874" s="47" t="n"/>
      <c r="E874" s="47" t="n"/>
      <c r="F874" s="47" t="n"/>
      <c r="G874" s="47" t="n"/>
      <c r="H874" s="47" t="n"/>
      <c r="I874" s="47" t="n"/>
      <c r="J874" s="47" t="n"/>
      <c r="K874" s="47" t="n"/>
      <c r="L874" s="47" t="n"/>
      <c r="M874" s="47" t="n"/>
      <c r="N874" s="49">
        <f>IF(A874="","",COUNTIFS('潜水記録'!$S$5:$S$3004,A874,'潜水記録'!$T$5:$T$3004,1))</f>
        <v/>
      </c>
      <c r="O874" s="49">
        <f>IF(A874="","",COUNTIF('潜水記録'!$S$5:$S$3004,A874))</f>
        <v/>
      </c>
    </row>
    <row r="875">
      <c r="A875" s="47" t="n"/>
      <c r="B875" s="48" t="n"/>
      <c r="C875" s="47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  <c r="N875" s="49">
        <f>IF(A875="","",COUNTIFS('潜水記録'!$S$5:$S$3004,A875,'潜水記録'!$T$5:$T$3004,1))</f>
        <v/>
      </c>
      <c r="O875" s="49">
        <f>IF(A875="","",COUNTIF('潜水記録'!$S$5:$S$3004,A875))</f>
        <v/>
      </c>
    </row>
    <row r="876">
      <c r="A876" s="47" t="n"/>
      <c r="B876" s="48" t="n"/>
      <c r="C876" s="47" t="n"/>
      <c r="D876" s="47" t="n"/>
      <c r="E876" s="47" t="n"/>
      <c r="F876" s="47" t="n"/>
      <c r="G876" s="47" t="n"/>
      <c r="H876" s="47" t="n"/>
      <c r="I876" s="47" t="n"/>
      <c r="J876" s="47" t="n"/>
      <c r="K876" s="47" t="n"/>
      <c r="L876" s="47" t="n"/>
      <c r="M876" s="47" t="n"/>
      <c r="N876" s="49">
        <f>IF(A876="","",COUNTIFS('潜水記録'!$S$5:$S$3004,A876,'潜水記録'!$T$5:$T$3004,1))</f>
        <v/>
      </c>
      <c r="O876" s="49">
        <f>IF(A876="","",COUNTIF('潜水記録'!$S$5:$S$3004,A876))</f>
        <v/>
      </c>
    </row>
    <row r="877">
      <c r="A877" s="47" t="n"/>
      <c r="B877" s="48" t="n"/>
      <c r="C877" s="47" t="n"/>
      <c r="D877" s="47" t="n"/>
      <c r="E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  <c r="N877" s="49">
        <f>IF(A877="","",COUNTIFS('潜水記録'!$S$5:$S$3004,A877,'潜水記録'!$T$5:$T$3004,1))</f>
        <v/>
      </c>
      <c r="O877" s="49">
        <f>IF(A877="","",COUNTIF('潜水記録'!$S$5:$S$3004,A877))</f>
        <v/>
      </c>
    </row>
    <row r="878">
      <c r="A878" s="47" t="n"/>
      <c r="B878" s="48" t="n"/>
      <c r="C878" s="47" t="n"/>
      <c r="D878" s="47" t="n"/>
      <c r="E878" s="47" t="n"/>
      <c r="F878" s="47" t="n"/>
      <c r="G878" s="47" t="n"/>
      <c r="H878" s="47" t="n"/>
      <c r="I878" s="47" t="n"/>
      <c r="J878" s="47" t="n"/>
      <c r="K878" s="47" t="n"/>
      <c r="L878" s="47" t="n"/>
      <c r="M878" s="47" t="n"/>
      <c r="N878" s="49">
        <f>IF(A878="","",COUNTIFS('潜水記録'!$S$5:$S$3004,A878,'潜水記録'!$T$5:$T$3004,1))</f>
        <v/>
      </c>
      <c r="O878" s="49">
        <f>IF(A878="","",COUNTIF('潜水記録'!$S$5:$S$3004,A878))</f>
        <v/>
      </c>
    </row>
    <row r="879">
      <c r="A879" s="47" t="n"/>
      <c r="B879" s="48" t="n"/>
      <c r="C879" s="47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  <c r="N879" s="49">
        <f>IF(A879="","",COUNTIFS('潜水記録'!$S$5:$S$3004,A879,'潜水記録'!$T$5:$T$3004,1))</f>
        <v/>
      </c>
      <c r="O879" s="49">
        <f>IF(A879="","",COUNTIF('潜水記録'!$S$5:$S$3004,A879))</f>
        <v/>
      </c>
    </row>
    <row r="880">
      <c r="A880" s="47" t="n"/>
      <c r="B880" s="48" t="n"/>
      <c r="C880" s="47" t="n"/>
      <c r="D880" s="47" t="n"/>
      <c r="E880" s="47" t="n"/>
      <c r="F880" s="47" t="n"/>
      <c r="G880" s="47" t="n"/>
      <c r="H880" s="47" t="n"/>
      <c r="I880" s="47" t="n"/>
      <c r="J880" s="47" t="n"/>
      <c r="K880" s="47" t="n"/>
      <c r="L880" s="47" t="n"/>
      <c r="M880" s="47" t="n"/>
      <c r="N880" s="49">
        <f>IF(A880="","",COUNTIFS('潜水記録'!$S$5:$S$3004,A880,'潜水記録'!$T$5:$T$3004,1))</f>
        <v/>
      </c>
      <c r="O880" s="49">
        <f>IF(A880="","",COUNTIF('潜水記録'!$S$5:$S$3004,A880))</f>
        <v/>
      </c>
    </row>
    <row r="881">
      <c r="A881" s="47" t="n"/>
      <c r="B881" s="48" t="n"/>
      <c r="C881" s="47" t="n"/>
      <c r="D881" s="47" t="n"/>
      <c r="E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  <c r="N881" s="49">
        <f>IF(A881="","",COUNTIFS('潜水記録'!$S$5:$S$3004,A881,'潜水記録'!$T$5:$T$3004,1))</f>
        <v/>
      </c>
      <c r="O881" s="49">
        <f>IF(A881="","",COUNTIF('潜水記録'!$S$5:$S$3004,A881))</f>
        <v/>
      </c>
    </row>
    <row r="882">
      <c r="A882" s="47" t="n"/>
      <c r="B882" s="48" t="n"/>
      <c r="C882" s="47" t="n"/>
      <c r="D882" s="47" t="n"/>
      <c r="E882" s="47" t="n"/>
      <c r="F882" s="47" t="n"/>
      <c r="G882" s="47" t="n"/>
      <c r="H882" s="47" t="n"/>
      <c r="I882" s="47" t="n"/>
      <c r="J882" s="47" t="n"/>
      <c r="K882" s="47" t="n"/>
      <c r="L882" s="47" t="n"/>
      <c r="M882" s="47" t="n"/>
      <c r="N882" s="49">
        <f>IF(A882="","",COUNTIFS('潜水記録'!$S$5:$S$3004,A882,'潜水記録'!$T$5:$T$3004,1))</f>
        <v/>
      </c>
      <c r="O882" s="49">
        <f>IF(A882="","",COUNTIF('潜水記録'!$S$5:$S$3004,A882))</f>
        <v/>
      </c>
    </row>
    <row r="883">
      <c r="A883" s="47" t="n"/>
      <c r="B883" s="48" t="n"/>
      <c r="C883" s="47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  <c r="N883" s="49">
        <f>IF(A883="","",COUNTIFS('潜水記録'!$S$5:$S$3004,A883,'潜水記録'!$T$5:$T$3004,1))</f>
        <v/>
      </c>
      <c r="O883" s="49">
        <f>IF(A883="","",COUNTIF('潜水記録'!$S$5:$S$3004,A883))</f>
        <v/>
      </c>
    </row>
    <row r="884">
      <c r="A884" s="47" t="n"/>
      <c r="B884" s="48" t="n"/>
      <c r="C884" s="47" t="n"/>
      <c r="D884" s="47" t="n"/>
      <c r="E884" s="47" t="n"/>
      <c r="F884" s="47" t="n"/>
      <c r="G884" s="47" t="n"/>
      <c r="H884" s="47" t="n"/>
      <c r="I884" s="47" t="n"/>
      <c r="J884" s="47" t="n"/>
      <c r="K884" s="47" t="n"/>
      <c r="L884" s="47" t="n"/>
      <c r="M884" s="47" t="n"/>
      <c r="N884" s="49">
        <f>IF(A884="","",COUNTIFS('潜水記録'!$S$5:$S$3004,A884,'潜水記録'!$T$5:$T$3004,1))</f>
        <v/>
      </c>
      <c r="O884" s="49">
        <f>IF(A884="","",COUNTIF('潜水記録'!$S$5:$S$3004,A884))</f>
        <v/>
      </c>
    </row>
    <row r="885">
      <c r="A885" s="47" t="n"/>
      <c r="B885" s="48" t="n"/>
      <c r="C885" s="47" t="n"/>
      <c r="D885" s="47" t="n"/>
      <c r="E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  <c r="N885" s="49">
        <f>IF(A885="","",COUNTIFS('潜水記録'!$S$5:$S$3004,A885,'潜水記録'!$T$5:$T$3004,1))</f>
        <v/>
      </c>
      <c r="O885" s="49">
        <f>IF(A885="","",COUNTIF('潜水記録'!$S$5:$S$3004,A885))</f>
        <v/>
      </c>
    </row>
    <row r="886">
      <c r="A886" s="47" t="n"/>
      <c r="B886" s="48" t="n"/>
      <c r="C886" s="47" t="n"/>
      <c r="D886" s="47" t="n"/>
      <c r="E886" s="47" t="n"/>
      <c r="F886" s="47" t="n"/>
      <c r="G886" s="47" t="n"/>
      <c r="H886" s="47" t="n"/>
      <c r="I886" s="47" t="n"/>
      <c r="J886" s="47" t="n"/>
      <c r="K886" s="47" t="n"/>
      <c r="L886" s="47" t="n"/>
      <c r="M886" s="47" t="n"/>
      <c r="N886" s="49">
        <f>IF(A886="","",COUNTIFS('潜水記録'!$S$5:$S$3004,A886,'潜水記録'!$T$5:$T$3004,1))</f>
        <v/>
      </c>
      <c r="O886" s="49">
        <f>IF(A886="","",COUNTIF('潜水記録'!$S$5:$S$3004,A886))</f>
        <v/>
      </c>
    </row>
    <row r="887">
      <c r="A887" s="47" t="n"/>
      <c r="B887" s="48" t="n"/>
      <c r="C887" s="47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  <c r="N887" s="49">
        <f>IF(A887="","",COUNTIFS('潜水記録'!$S$5:$S$3004,A887,'潜水記録'!$T$5:$T$3004,1))</f>
        <v/>
      </c>
      <c r="O887" s="49">
        <f>IF(A887="","",COUNTIF('潜水記録'!$S$5:$S$3004,A887))</f>
        <v/>
      </c>
    </row>
    <row r="888">
      <c r="A888" s="47" t="n"/>
      <c r="B888" s="48" t="n"/>
      <c r="C888" s="47" t="n"/>
      <c r="D888" s="47" t="n"/>
      <c r="E888" s="47" t="n"/>
      <c r="F888" s="47" t="n"/>
      <c r="G888" s="47" t="n"/>
      <c r="H888" s="47" t="n"/>
      <c r="I888" s="47" t="n"/>
      <c r="J888" s="47" t="n"/>
      <c r="K888" s="47" t="n"/>
      <c r="L888" s="47" t="n"/>
      <c r="M888" s="47" t="n"/>
      <c r="N888" s="49">
        <f>IF(A888="","",COUNTIFS('潜水記録'!$S$5:$S$3004,A888,'潜水記録'!$T$5:$T$3004,1))</f>
        <v/>
      </c>
      <c r="O888" s="49">
        <f>IF(A888="","",COUNTIF('潜水記録'!$S$5:$S$3004,A888))</f>
        <v/>
      </c>
    </row>
    <row r="889">
      <c r="A889" s="47" t="n"/>
      <c r="B889" s="48" t="n"/>
      <c r="C889" s="47" t="n"/>
      <c r="D889" s="47" t="n"/>
      <c r="E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  <c r="N889" s="49">
        <f>IF(A889="","",COUNTIFS('潜水記録'!$S$5:$S$3004,A889,'潜水記録'!$T$5:$T$3004,1))</f>
        <v/>
      </c>
      <c r="O889" s="49">
        <f>IF(A889="","",COUNTIF('潜水記録'!$S$5:$S$3004,A889))</f>
        <v/>
      </c>
    </row>
    <row r="890">
      <c r="A890" s="47" t="n"/>
      <c r="B890" s="48" t="n"/>
      <c r="C890" s="47" t="n"/>
      <c r="D890" s="47" t="n"/>
      <c r="E890" s="47" t="n"/>
      <c r="F890" s="47" t="n"/>
      <c r="G890" s="47" t="n"/>
      <c r="H890" s="47" t="n"/>
      <c r="I890" s="47" t="n"/>
      <c r="J890" s="47" t="n"/>
      <c r="K890" s="47" t="n"/>
      <c r="L890" s="47" t="n"/>
      <c r="M890" s="47" t="n"/>
      <c r="N890" s="49">
        <f>IF(A890="","",COUNTIFS('潜水記録'!$S$5:$S$3004,A890,'潜水記録'!$T$5:$T$3004,1))</f>
        <v/>
      </c>
      <c r="O890" s="49">
        <f>IF(A890="","",COUNTIF('潜水記録'!$S$5:$S$3004,A890))</f>
        <v/>
      </c>
    </row>
    <row r="891">
      <c r="A891" s="47" t="n"/>
      <c r="B891" s="48" t="n"/>
      <c r="C891" s="47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  <c r="N891" s="49">
        <f>IF(A891="","",COUNTIFS('潜水記録'!$S$5:$S$3004,A891,'潜水記録'!$T$5:$T$3004,1))</f>
        <v/>
      </c>
      <c r="O891" s="49">
        <f>IF(A891="","",COUNTIF('潜水記録'!$S$5:$S$3004,A891))</f>
        <v/>
      </c>
    </row>
    <row r="892">
      <c r="A892" s="47" t="n"/>
      <c r="B892" s="48" t="n"/>
      <c r="C892" s="47" t="n"/>
      <c r="D892" s="47" t="n"/>
      <c r="E892" s="47" t="n"/>
      <c r="F892" s="47" t="n"/>
      <c r="G892" s="47" t="n"/>
      <c r="H892" s="47" t="n"/>
      <c r="I892" s="47" t="n"/>
      <c r="J892" s="47" t="n"/>
      <c r="K892" s="47" t="n"/>
      <c r="L892" s="47" t="n"/>
      <c r="M892" s="47" t="n"/>
      <c r="N892" s="49">
        <f>IF(A892="","",COUNTIFS('潜水記録'!$S$5:$S$3004,A892,'潜水記録'!$T$5:$T$3004,1))</f>
        <v/>
      </c>
      <c r="O892" s="49">
        <f>IF(A892="","",COUNTIF('潜水記録'!$S$5:$S$3004,A892))</f>
        <v/>
      </c>
    </row>
    <row r="893">
      <c r="A893" s="47" t="n"/>
      <c r="B893" s="48" t="n"/>
      <c r="C893" s="47" t="n"/>
      <c r="D893" s="47" t="n"/>
      <c r="E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  <c r="N893" s="49">
        <f>IF(A893="","",COUNTIFS('潜水記録'!$S$5:$S$3004,A893,'潜水記録'!$T$5:$T$3004,1))</f>
        <v/>
      </c>
      <c r="O893" s="49">
        <f>IF(A893="","",COUNTIF('潜水記録'!$S$5:$S$3004,A893))</f>
        <v/>
      </c>
    </row>
    <row r="894">
      <c r="A894" s="47" t="n"/>
      <c r="B894" s="48" t="n"/>
      <c r="C894" s="47" t="n"/>
      <c r="D894" s="47" t="n"/>
      <c r="E894" s="47" t="n"/>
      <c r="F894" s="47" t="n"/>
      <c r="G894" s="47" t="n"/>
      <c r="H894" s="47" t="n"/>
      <c r="I894" s="47" t="n"/>
      <c r="J894" s="47" t="n"/>
      <c r="K894" s="47" t="n"/>
      <c r="L894" s="47" t="n"/>
      <c r="M894" s="47" t="n"/>
      <c r="N894" s="49">
        <f>IF(A894="","",COUNTIFS('潜水記録'!$S$5:$S$3004,A894,'潜水記録'!$T$5:$T$3004,1))</f>
        <v/>
      </c>
      <c r="O894" s="49">
        <f>IF(A894="","",COUNTIF('潜水記録'!$S$5:$S$3004,A894))</f>
        <v/>
      </c>
    </row>
    <row r="895">
      <c r="A895" s="47" t="n"/>
      <c r="B895" s="48" t="n"/>
      <c r="C895" s="47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  <c r="N895" s="49">
        <f>IF(A895="","",COUNTIFS('潜水記録'!$S$5:$S$3004,A895,'潜水記録'!$T$5:$T$3004,1))</f>
        <v/>
      </c>
      <c r="O895" s="49">
        <f>IF(A895="","",COUNTIF('潜水記録'!$S$5:$S$3004,A895))</f>
        <v/>
      </c>
    </row>
    <row r="896">
      <c r="A896" s="47" t="n"/>
      <c r="B896" s="48" t="n"/>
      <c r="C896" s="47" t="n"/>
      <c r="D896" s="47" t="n"/>
      <c r="E896" s="47" t="n"/>
      <c r="F896" s="47" t="n"/>
      <c r="G896" s="47" t="n"/>
      <c r="H896" s="47" t="n"/>
      <c r="I896" s="47" t="n"/>
      <c r="J896" s="47" t="n"/>
      <c r="K896" s="47" t="n"/>
      <c r="L896" s="47" t="n"/>
      <c r="M896" s="47" t="n"/>
      <c r="N896" s="49">
        <f>IF(A896="","",COUNTIFS('潜水記録'!$S$5:$S$3004,A896,'潜水記録'!$T$5:$T$3004,1))</f>
        <v/>
      </c>
      <c r="O896" s="49">
        <f>IF(A896="","",COUNTIF('潜水記録'!$S$5:$S$3004,A896))</f>
        <v/>
      </c>
    </row>
    <row r="897">
      <c r="A897" s="47" t="n"/>
      <c r="B897" s="48" t="n"/>
      <c r="C897" s="47" t="n"/>
      <c r="D897" s="47" t="n"/>
      <c r="E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  <c r="N897" s="49">
        <f>IF(A897="","",COUNTIFS('潜水記録'!$S$5:$S$3004,A897,'潜水記録'!$T$5:$T$3004,1))</f>
        <v/>
      </c>
      <c r="O897" s="49">
        <f>IF(A897="","",COUNTIF('潜水記録'!$S$5:$S$3004,A897))</f>
        <v/>
      </c>
    </row>
    <row r="898">
      <c r="A898" s="47" t="n"/>
      <c r="B898" s="48" t="n"/>
      <c r="C898" s="47" t="n"/>
      <c r="D898" s="47" t="n"/>
      <c r="E898" s="47" t="n"/>
      <c r="F898" s="47" t="n"/>
      <c r="G898" s="47" t="n"/>
      <c r="H898" s="47" t="n"/>
      <c r="I898" s="47" t="n"/>
      <c r="J898" s="47" t="n"/>
      <c r="K898" s="47" t="n"/>
      <c r="L898" s="47" t="n"/>
      <c r="M898" s="47" t="n"/>
      <c r="N898" s="49">
        <f>IF(A898="","",COUNTIFS('潜水記録'!$S$5:$S$3004,A898,'潜水記録'!$T$5:$T$3004,1))</f>
        <v/>
      </c>
      <c r="O898" s="49">
        <f>IF(A898="","",COUNTIF('潜水記録'!$S$5:$S$3004,A898))</f>
        <v/>
      </c>
    </row>
    <row r="899">
      <c r="A899" s="47" t="n"/>
      <c r="B899" s="48" t="n"/>
      <c r="C899" s="47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  <c r="N899" s="49">
        <f>IF(A899="","",COUNTIFS('潜水記録'!$S$5:$S$3004,A899,'潜水記録'!$T$5:$T$3004,1))</f>
        <v/>
      </c>
      <c r="O899" s="49">
        <f>IF(A899="","",COUNTIF('潜水記録'!$S$5:$S$3004,A899))</f>
        <v/>
      </c>
    </row>
    <row r="900">
      <c r="A900" s="47" t="n"/>
      <c r="B900" s="48" t="n"/>
      <c r="C900" s="47" t="n"/>
      <c r="D900" s="47" t="n"/>
      <c r="E900" s="47" t="n"/>
      <c r="F900" s="47" t="n"/>
      <c r="G900" s="47" t="n"/>
      <c r="H900" s="47" t="n"/>
      <c r="I900" s="47" t="n"/>
      <c r="J900" s="47" t="n"/>
      <c r="K900" s="47" t="n"/>
      <c r="L900" s="47" t="n"/>
      <c r="M900" s="47" t="n"/>
      <c r="N900" s="49">
        <f>IF(A900="","",COUNTIFS('潜水記録'!$S$5:$S$3004,A900,'潜水記録'!$T$5:$T$3004,1))</f>
        <v/>
      </c>
      <c r="O900" s="49">
        <f>IF(A900="","",COUNTIF('潜水記録'!$S$5:$S$3004,A900))</f>
        <v/>
      </c>
    </row>
    <row r="901">
      <c r="A901" s="47" t="n"/>
      <c r="B901" s="48" t="n"/>
      <c r="C901" s="47" t="n"/>
      <c r="D901" s="47" t="n"/>
      <c r="E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  <c r="N901" s="49">
        <f>IF(A901="","",COUNTIFS('潜水記録'!$S$5:$S$3004,A901,'潜水記録'!$T$5:$T$3004,1))</f>
        <v/>
      </c>
      <c r="O901" s="49">
        <f>IF(A901="","",COUNTIF('潜水記録'!$S$5:$S$3004,A901))</f>
        <v/>
      </c>
    </row>
    <row r="902">
      <c r="A902" s="47" t="n"/>
      <c r="B902" s="48" t="n"/>
      <c r="C902" s="47" t="n"/>
      <c r="D902" s="47" t="n"/>
      <c r="E902" s="47" t="n"/>
      <c r="F902" s="47" t="n"/>
      <c r="G902" s="47" t="n"/>
      <c r="H902" s="47" t="n"/>
      <c r="I902" s="47" t="n"/>
      <c r="J902" s="47" t="n"/>
      <c r="K902" s="47" t="n"/>
      <c r="L902" s="47" t="n"/>
      <c r="M902" s="47" t="n"/>
      <c r="N902" s="49">
        <f>IF(A902="","",COUNTIFS('潜水記録'!$S$5:$S$3004,A902,'潜水記録'!$T$5:$T$3004,1))</f>
        <v/>
      </c>
      <c r="O902" s="49">
        <f>IF(A902="","",COUNTIF('潜水記録'!$S$5:$S$3004,A902))</f>
        <v/>
      </c>
    </row>
    <row r="903">
      <c r="A903" s="47" t="n"/>
      <c r="B903" s="48" t="n"/>
      <c r="C903" s="47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  <c r="N903" s="49">
        <f>IF(A903="","",COUNTIFS('潜水記録'!$S$5:$S$3004,A903,'潜水記録'!$T$5:$T$3004,1))</f>
        <v/>
      </c>
      <c r="O903" s="49">
        <f>IF(A903="","",COUNTIF('潜水記録'!$S$5:$S$3004,A903))</f>
        <v/>
      </c>
    </row>
    <row r="904">
      <c r="A904" s="47" t="n"/>
      <c r="B904" s="48" t="n"/>
      <c r="C904" s="47" t="n"/>
      <c r="D904" s="47" t="n"/>
      <c r="E904" s="47" t="n"/>
      <c r="F904" s="47" t="n"/>
      <c r="G904" s="47" t="n"/>
      <c r="H904" s="47" t="n"/>
      <c r="I904" s="47" t="n"/>
      <c r="J904" s="47" t="n"/>
      <c r="K904" s="47" t="n"/>
      <c r="L904" s="47" t="n"/>
      <c r="M904" s="47" t="n"/>
      <c r="N904" s="49">
        <f>IF(A904="","",COUNTIFS('潜水記録'!$S$5:$S$3004,A904,'潜水記録'!$T$5:$T$3004,1))</f>
        <v/>
      </c>
      <c r="O904" s="49">
        <f>IF(A904="","",COUNTIF('潜水記録'!$S$5:$S$3004,A904))</f>
        <v/>
      </c>
    </row>
    <row r="905">
      <c r="A905" s="47" t="n"/>
      <c r="B905" s="48" t="n"/>
      <c r="C905" s="47" t="n"/>
      <c r="D905" s="47" t="n"/>
      <c r="E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  <c r="N905" s="49">
        <f>IF(A905="","",COUNTIFS('潜水記録'!$S$5:$S$3004,A905,'潜水記録'!$T$5:$T$3004,1))</f>
        <v/>
      </c>
      <c r="O905" s="49">
        <f>IF(A905="","",COUNTIF('潜水記録'!$S$5:$S$3004,A905))</f>
        <v/>
      </c>
    </row>
    <row r="906">
      <c r="A906" s="47" t="n"/>
      <c r="B906" s="48" t="n"/>
      <c r="C906" s="47" t="n"/>
      <c r="D906" s="47" t="n"/>
      <c r="E906" s="47" t="n"/>
      <c r="F906" s="47" t="n"/>
      <c r="G906" s="47" t="n"/>
      <c r="H906" s="47" t="n"/>
      <c r="I906" s="47" t="n"/>
      <c r="J906" s="47" t="n"/>
      <c r="K906" s="47" t="n"/>
      <c r="L906" s="47" t="n"/>
      <c r="M906" s="47" t="n"/>
      <c r="N906" s="49">
        <f>IF(A906="","",COUNTIFS('潜水記録'!$S$5:$S$3004,A906,'潜水記録'!$T$5:$T$3004,1))</f>
        <v/>
      </c>
      <c r="O906" s="49">
        <f>IF(A906="","",COUNTIF('潜水記録'!$S$5:$S$3004,A906))</f>
        <v/>
      </c>
    </row>
    <row r="907">
      <c r="A907" s="47" t="n"/>
      <c r="B907" s="48" t="n"/>
      <c r="C907" s="47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  <c r="N907" s="49">
        <f>IF(A907="","",COUNTIFS('潜水記録'!$S$5:$S$3004,A907,'潜水記録'!$T$5:$T$3004,1))</f>
        <v/>
      </c>
      <c r="O907" s="49">
        <f>IF(A907="","",COUNTIF('潜水記録'!$S$5:$S$3004,A907))</f>
        <v/>
      </c>
    </row>
    <row r="908">
      <c r="A908" s="47" t="n"/>
      <c r="B908" s="48" t="n"/>
      <c r="C908" s="47" t="n"/>
      <c r="D908" s="47" t="n"/>
      <c r="E908" s="47" t="n"/>
      <c r="F908" s="47" t="n"/>
      <c r="G908" s="47" t="n"/>
      <c r="H908" s="47" t="n"/>
      <c r="I908" s="47" t="n"/>
      <c r="J908" s="47" t="n"/>
      <c r="K908" s="47" t="n"/>
      <c r="L908" s="47" t="n"/>
      <c r="M908" s="47" t="n"/>
      <c r="N908" s="49">
        <f>IF(A908="","",COUNTIFS('潜水記録'!$S$5:$S$3004,A908,'潜水記録'!$T$5:$T$3004,1))</f>
        <v/>
      </c>
      <c r="O908" s="49">
        <f>IF(A908="","",COUNTIF('潜水記録'!$S$5:$S$3004,A908))</f>
        <v/>
      </c>
    </row>
    <row r="909">
      <c r="A909" s="47" t="n"/>
      <c r="B909" s="48" t="n"/>
      <c r="C909" s="47" t="n"/>
      <c r="D909" s="47" t="n"/>
      <c r="E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  <c r="N909" s="49">
        <f>IF(A909="","",COUNTIFS('潜水記録'!$S$5:$S$3004,A909,'潜水記録'!$T$5:$T$3004,1))</f>
        <v/>
      </c>
      <c r="O909" s="49">
        <f>IF(A909="","",COUNTIF('潜水記録'!$S$5:$S$3004,A909))</f>
        <v/>
      </c>
    </row>
    <row r="910">
      <c r="A910" s="47" t="n"/>
      <c r="B910" s="48" t="n"/>
      <c r="C910" s="47" t="n"/>
      <c r="D910" s="47" t="n"/>
      <c r="E910" s="47" t="n"/>
      <c r="F910" s="47" t="n"/>
      <c r="G910" s="47" t="n"/>
      <c r="H910" s="47" t="n"/>
      <c r="I910" s="47" t="n"/>
      <c r="J910" s="47" t="n"/>
      <c r="K910" s="47" t="n"/>
      <c r="L910" s="47" t="n"/>
      <c r="M910" s="47" t="n"/>
      <c r="N910" s="49">
        <f>IF(A910="","",COUNTIFS('潜水記録'!$S$5:$S$3004,A910,'潜水記録'!$T$5:$T$3004,1))</f>
        <v/>
      </c>
      <c r="O910" s="49">
        <f>IF(A910="","",COUNTIF('潜水記録'!$S$5:$S$3004,A910))</f>
        <v/>
      </c>
    </row>
    <row r="911">
      <c r="A911" s="47" t="n"/>
      <c r="B911" s="48" t="n"/>
      <c r="C911" s="47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  <c r="N911" s="49">
        <f>IF(A911="","",COUNTIFS('潜水記録'!$S$5:$S$3004,A911,'潜水記録'!$T$5:$T$3004,1))</f>
        <v/>
      </c>
      <c r="O911" s="49">
        <f>IF(A911="","",COUNTIF('潜水記録'!$S$5:$S$3004,A911))</f>
        <v/>
      </c>
    </row>
    <row r="912">
      <c r="A912" s="47" t="n"/>
      <c r="B912" s="48" t="n"/>
      <c r="C912" s="47" t="n"/>
      <c r="D912" s="47" t="n"/>
      <c r="E912" s="47" t="n"/>
      <c r="F912" s="47" t="n"/>
      <c r="G912" s="47" t="n"/>
      <c r="H912" s="47" t="n"/>
      <c r="I912" s="47" t="n"/>
      <c r="J912" s="47" t="n"/>
      <c r="K912" s="47" t="n"/>
      <c r="L912" s="47" t="n"/>
      <c r="M912" s="47" t="n"/>
      <c r="N912" s="49">
        <f>IF(A912="","",COUNTIFS('潜水記録'!$S$5:$S$3004,A912,'潜水記録'!$T$5:$T$3004,1))</f>
        <v/>
      </c>
      <c r="O912" s="49">
        <f>IF(A912="","",COUNTIF('潜水記録'!$S$5:$S$3004,A912))</f>
        <v/>
      </c>
    </row>
    <row r="913">
      <c r="A913" s="47" t="n"/>
      <c r="B913" s="48" t="n"/>
      <c r="C913" s="47" t="n"/>
      <c r="D913" s="47" t="n"/>
      <c r="E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  <c r="N913" s="49">
        <f>IF(A913="","",COUNTIFS('潜水記録'!$S$5:$S$3004,A913,'潜水記録'!$T$5:$T$3004,1))</f>
        <v/>
      </c>
      <c r="O913" s="49">
        <f>IF(A913="","",COUNTIF('潜水記録'!$S$5:$S$3004,A913))</f>
        <v/>
      </c>
    </row>
    <row r="914">
      <c r="A914" s="47" t="n"/>
      <c r="B914" s="48" t="n"/>
      <c r="C914" s="47" t="n"/>
      <c r="D914" s="47" t="n"/>
      <c r="E914" s="47" t="n"/>
      <c r="F914" s="47" t="n"/>
      <c r="G914" s="47" t="n"/>
      <c r="H914" s="47" t="n"/>
      <c r="I914" s="47" t="n"/>
      <c r="J914" s="47" t="n"/>
      <c r="K914" s="47" t="n"/>
      <c r="L914" s="47" t="n"/>
      <c r="M914" s="47" t="n"/>
      <c r="N914" s="49">
        <f>IF(A914="","",COUNTIFS('潜水記録'!$S$5:$S$3004,A914,'潜水記録'!$T$5:$T$3004,1))</f>
        <v/>
      </c>
      <c r="O914" s="49">
        <f>IF(A914="","",COUNTIF('潜水記録'!$S$5:$S$3004,A914))</f>
        <v/>
      </c>
    </row>
    <row r="915">
      <c r="A915" s="47" t="n"/>
      <c r="B915" s="48" t="n"/>
      <c r="C915" s="47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  <c r="N915" s="49">
        <f>IF(A915="","",COUNTIFS('潜水記録'!$S$5:$S$3004,A915,'潜水記録'!$T$5:$T$3004,1))</f>
        <v/>
      </c>
      <c r="O915" s="49">
        <f>IF(A915="","",COUNTIF('潜水記録'!$S$5:$S$3004,A915))</f>
        <v/>
      </c>
    </row>
    <row r="916">
      <c r="A916" s="47" t="n"/>
      <c r="B916" s="48" t="n"/>
      <c r="C916" s="47" t="n"/>
      <c r="D916" s="47" t="n"/>
      <c r="E916" s="47" t="n"/>
      <c r="F916" s="47" t="n"/>
      <c r="G916" s="47" t="n"/>
      <c r="H916" s="47" t="n"/>
      <c r="I916" s="47" t="n"/>
      <c r="J916" s="47" t="n"/>
      <c r="K916" s="47" t="n"/>
      <c r="L916" s="47" t="n"/>
      <c r="M916" s="47" t="n"/>
      <c r="N916" s="49">
        <f>IF(A916="","",COUNTIFS('潜水記録'!$S$5:$S$3004,A916,'潜水記録'!$T$5:$T$3004,1))</f>
        <v/>
      </c>
      <c r="O916" s="49">
        <f>IF(A916="","",COUNTIF('潜水記録'!$S$5:$S$3004,A916))</f>
        <v/>
      </c>
    </row>
    <row r="917">
      <c r="A917" s="47" t="n"/>
      <c r="B917" s="48" t="n"/>
      <c r="C917" s="47" t="n"/>
      <c r="D917" s="47" t="n"/>
      <c r="E917" s="47" t="n"/>
      <c r="F917" s="47" t="n"/>
      <c r="G917" s="47" t="n"/>
      <c r="H917" s="47" t="n"/>
      <c r="I917" s="47" t="n"/>
      <c r="J917" s="47" t="n"/>
      <c r="K917" s="47" t="n"/>
      <c r="L917" s="47" t="n"/>
      <c r="M917" s="47" t="n"/>
      <c r="N917" s="49">
        <f>IF(A917="","",COUNTIFS('潜水記録'!$S$5:$S$3004,A917,'潜水記録'!$T$5:$T$3004,1))</f>
        <v/>
      </c>
      <c r="O917" s="49">
        <f>IF(A917="","",COUNTIF('潜水記録'!$S$5:$S$3004,A917))</f>
        <v/>
      </c>
    </row>
    <row r="918">
      <c r="A918" s="47" t="n"/>
      <c r="B918" s="48" t="n"/>
      <c r="C918" s="47" t="n"/>
      <c r="D918" s="47" t="n"/>
      <c r="E918" s="47" t="n"/>
      <c r="F918" s="47" t="n"/>
      <c r="G918" s="47" t="n"/>
      <c r="H918" s="47" t="n"/>
      <c r="I918" s="47" t="n"/>
      <c r="J918" s="47" t="n"/>
      <c r="K918" s="47" t="n"/>
      <c r="L918" s="47" t="n"/>
      <c r="M918" s="47" t="n"/>
      <c r="N918" s="49">
        <f>IF(A918="","",COUNTIFS('潜水記録'!$S$5:$S$3004,A918,'潜水記録'!$T$5:$T$3004,1))</f>
        <v/>
      </c>
      <c r="O918" s="49">
        <f>IF(A918="","",COUNTIF('潜水記録'!$S$5:$S$3004,A918))</f>
        <v/>
      </c>
    </row>
    <row r="919">
      <c r="A919" s="47" t="n"/>
      <c r="B919" s="48" t="n"/>
      <c r="C919" s="47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  <c r="N919" s="49">
        <f>IF(A919="","",COUNTIFS('潜水記録'!$S$5:$S$3004,A919,'潜水記録'!$T$5:$T$3004,1))</f>
        <v/>
      </c>
      <c r="O919" s="49">
        <f>IF(A919="","",COUNTIF('潜水記録'!$S$5:$S$3004,A919))</f>
        <v/>
      </c>
    </row>
    <row r="920">
      <c r="A920" s="47" t="n"/>
      <c r="B920" s="48" t="n"/>
      <c r="C920" s="47" t="n"/>
      <c r="D920" s="47" t="n"/>
      <c r="E920" s="47" t="n"/>
      <c r="F920" s="47" t="n"/>
      <c r="G920" s="47" t="n"/>
      <c r="H920" s="47" t="n"/>
      <c r="I920" s="47" t="n"/>
      <c r="J920" s="47" t="n"/>
      <c r="K920" s="47" t="n"/>
      <c r="L920" s="47" t="n"/>
      <c r="M920" s="47" t="n"/>
      <c r="N920" s="49">
        <f>IF(A920="","",COUNTIFS('潜水記録'!$S$5:$S$3004,A920,'潜水記録'!$T$5:$T$3004,1))</f>
        <v/>
      </c>
      <c r="O920" s="49">
        <f>IF(A920="","",COUNTIF('潜水記録'!$S$5:$S$3004,A920))</f>
        <v/>
      </c>
    </row>
    <row r="921">
      <c r="A921" s="47" t="n"/>
      <c r="B921" s="48" t="n"/>
      <c r="C921" s="47" t="n"/>
      <c r="D921" s="47" t="n"/>
      <c r="E921" s="47" t="n"/>
      <c r="F921" s="47" t="n"/>
      <c r="G921" s="47" t="n"/>
      <c r="H921" s="47" t="n"/>
      <c r="I921" s="47" t="n"/>
      <c r="J921" s="47" t="n"/>
      <c r="K921" s="47" t="n"/>
      <c r="L921" s="47" t="n"/>
      <c r="M921" s="47" t="n"/>
      <c r="N921" s="49">
        <f>IF(A921="","",COUNTIFS('潜水記録'!$S$5:$S$3004,A921,'潜水記録'!$T$5:$T$3004,1))</f>
        <v/>
      </c>
      <c r="O921" s="49">
        <f>IF(A921="","",COUNTIF('潜水記録'!$S$5:$S$3004,A921))</f>
        <v/>
      </c>
    </row>
    <row r="922">
      <c r="A922" s="47" t="n"/>
      <c r="B922" s="48" t="n"/>
      <c r="C922" s="47" t="n"/>
      <c r="D922" s="47" t="n"/>
      <c r="E922" s="47" t="n"/>
      <c r="F922" s="47" t="n"/>
      <c r="G922" s="47" t="n"/>
      <c r="H922" s="47" t="n"/>
      <c r="I922" s="47" t="n"/>
      <c r="J922" s="47" t="n"/>
      <c r="K922" s="47" t="n"/>
      <c r="L922" s="47" t="n"/>
      <c r="M922" s="47" t="n"/>
      <c r="N922" s="49">
        <f>IF(A922="","",COUNTIFS('潜水記録'!$S$5:$S$3004,A922,'潜水記録'!$T$5:$T$3004,1))</f>
        <v/>
      </c>
      <c r="O922" s="49">
        <f>IF(A922="","",COUNTIF('潜水記録'!$S$5:$S$3004,A922))</f>
        <v/>
      </c>
    </row>
    <row r="923">
      <c r="A923" s="47" t="n"/>
      <c r="B923" s="48" t="n"/>
      <c r="C923" s="47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  <c r="N923" s="49">
        <f>IF(A923="","",COUNTIFS('潜水記録'!$S$5:$S$3004,A923,'潜水記録'!$T$5:$T$3004,1))</f>
        <v/>
      </c>
      <c r="O923" s="49">
        <f>IF(A923="","",COUNTIF('潜水記録'!$S$5:$S$3004,A923))</f>
        <v/>
      </c>
    </row>
    <row r="924">
      <c r="A924" s="47" t="n"/>
      <c r="B924" s="48" t="n"/>
      <c r="C924" s="47" t="n"/>
      <c r="D924" s="47" t="n"/>
      <c r="E924" s="47" t="n"/>
      <c r="F924" s="47" t="n"/>
      <c r="G924" s="47" t="n"/>
      <c r="H924" s="47" t="n"/>
      <c r="I924" s="47" t="n"/>
      <c r="J924" s="47" t="n"/>
      <c r="K924" s="47" t="n"/>
      <c r="L924" s="47" t="n"/>
      <c r="M924" s="47" t="n"/>
      <c r="N924" s="49">
        <f>IF(A924="","",COUNTIFS('潜水記録'!$S$5:$S$3004,A924,'潜水記録'!$T$5:$T$3004,1))</f>
        <v/>
      </c>
      <c r="O924" s="49">
        <f>IF(A924="","",COUNTIF('潜水記録'!$S$5:$S$3004,A924))</f>
        <v/>
      </c>
    </row>
    <row r="925">
      <c r="A925" s="47" t="n"/>
      <c r="B925" s="48" t="n"/>
      <c r="C925" s="47" t="n"/>
      <c r="D925" s="47" t="n"/>
      <c r="E925" s="47" t="n"/>
      <c r="F925" s="47" t="n"/>
      <c r="G925" s="47" t="n"/>
      <c r="H925" s="47" t="n"/>
      <c r="I925" s="47" t="n"/>
      <c r="J925" s="47" t="n"/>
      <c r="K925" s="47" t="n"/>
      <c r="L925" s="47" t="n"/>
      <c r="M925" s="47" t="n"/>
      <c r="N925" s="49">
        <f>IF(A925="","",COUNTIFS('潜水記録'!$S$5:$S$3004,A925,'潜水記録'!$T$5:$T$3004,1))</f>
        <v/>
      </c>
      <c r="O925" s="49">
        <f>IF(A925="","",COUNTIF('潜水記録'!$S$5:$S$3004,A925))</f>
        <v/>
      </c>
    </row>
    <row r="926">
      <c r="A926" s="47" t="n"/>
      <c r="B926" s="48" t="n"/>
      <c r="C926" s="47" t="n"/>
      <c r="D926" s="47" t="n"/>
      <c r="E926" s="47" t="n"/>
      <c r="F926" s="47" t="n"/>
      <c r="G926" s="47" t="n"/>
      <c r="H926" s="47" t="n"/>
      <c r="I926" s="47" t="n"/>
      <c r="J926" s="47" t="n"/>
      <c r="K926" s="47" t="n"/>
      <c r="L926" s="47" t="n"/>
      <c r="M926" s="47" t="n"/>
      <c r="N926" s="49">
        <f>IF(A926="","",COUNTIFS('潜水記録'!$S$5:$S$3004,A926,'潜水記録'!$T$5:$T$3004,1))</f>
        <v/>
      </c>
      <c r="O926" s="49">
        <f>IF(A926="","",COUNTIF('潜水記録'!$S$5:$S$3004,A926))</f>
        <v/>
      </c>
    </row>
    <row r="927">
      <c r="A927" s="47" t="n"/>
      <c r="B927" s="48" t="n"/>
      <c r="C927" s="47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  <c r="N927" s="49">
        <f>IF(A927="","",COUNTIFS('潜水記録'!$S$5:$S$3004,A927,'潜水記録'!$T$5:$T$3004,1))</f>
        <v/>
      </c>
      <c r="O927" s="49">
        <f>IF(A927="","",COUNTIF('潜水記録'!$S$5:$S$3004,A927))</f>
        <v/>
      </c>
    </row>
    <row r="928">
      <c r="A928" s="47" t="n"/>
      <c r="B928" s="48" t="n"/>
      <c r="C928" s="47" t="n"/>
      <c r="D928" s="47" t="n"/>
      <c r="E928" s="47" t="n"/>
      <c r="F928" s="47" t="n"/>
      <c r="G928" s="47" t="n"/>
      <c r="H928" s="47" t="n"/>
      <c r="I928" s="47" t="n"/>
      <c r="J928" s="47" t="n"/>
      <c r="K928" s="47" t="n"/>
      <c r="L928" s="47" t="n"/>
      <c r="M928" s="47" t="n"/>
      <c r="N928" s="49">
        <f>IF(A928="","",COUNTIFS('潜水記録'!$S$5:$S$3004,A928,'潜水記録'!$T$5:$T$3004,1))</f>
        <v/>
      </c>
      <c r="O928" s="49">
        <f>IF(A928="","",COUNTIF('潜水記録'!$S$5:$S$3004,A928))</f>
        <v/>
      </c>
    </row>
    <row r="929">
      <c r="A929" s="47" t="n"/>
      <c r="B929" s="48" t="n"/>
      <c r="C929" s="47" t="n"/>
      <c r="D929" s="47" t="n"/>
      <c r="E929" s="47" t="n"/>
      <c r="F929" s="47" t="n"/>
      <c r="G929" s="47" t="n"/>
      <c r="H929" s="47" t="n"/>
      <c r="I929" s="47" t="n"/>
      <c r="J929" s="47" t="n"/>
      <c r="K929" s="47" t="n"/>
      <c r="L929" s="47" t="n"/>
      <c r="M929" s="47" t="n"/>
      <c r="N929" s="49">
        <f>IF(A929="","",COUNTIFS('潜水記録'!$S$5:$S$3004,A929,'潜水記録'!$T$5:$T$3004,1))</f>
        <v/>
      </c>
      <c r="O929" s="49">
        <f>IF(A929="","",COUNTIF('潜水記録'!$S$5:$S$3004,A929))</f>
        <v/>
      </c>
    </row>
    <row r="930">
      <c r="A930" s="47" t="n"/>
      <c r="B930" s="48" t="n"/>
      <c r="C930" s="47" t="n"/>
      <c r="D930" s="47" t="n"/>
      <c r="E930" s="47" t="n"/>
      <c r="F930" s="47" t="n"/>
      <c r="G930" s="47" t="n"/>
      <c r="H930" s="47" t="n"/>
      <c r="I930" s="47" t="n"/>
      <c r="J930" s="47" t="n"/>
      <c r="K930" s="47" t="n"/>
      <c r="L930" s="47" t="n"/>
      <c r="M930" s="47" t="n"/>
      <c r="N930" s="49">
        <f>IF(A930="","",COUNTIFS('潜水記録'!$S$5:$S$3004,A930,'潜水記録'!$T$5:$T$3004,1))</f>
        <v/>
      </c>
      <c r="O930" s="49">
        <f>IF(A930="","",COUNTIF('潜水記録'!$S$5:$S$3004,A930))</f>
        <v/>
      </c>
    </row>
    <row r="931">
      <c r="A931" s="47" t="n"/>
      <c r="B931" s="48" t="n"/>
      <c r="C931" s="47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  <c r="N931" s="49">
        <f>IF(A931="","",COUNTIFS('潜水記録'!$S$5:$S$3004,A931,'潜水記録'!$T$5:$T$3004,1))</f>
        <v/>
      </c>
      <c r="O931" s="49">
        <f>IF(A931="","",COUNTIF('潜水記録'!$S$5:$S$3004,A931))</f>
        <v/>
      </c>
    </row>
    <row r="932">
      <c r="A932" s="47" t="n"/>
      <c r="B932" s="48" t="n"/>
      <c r="C932" s="47" t="n"/>
      <c r="D932" s="47" t="n"/>
      <c r="E932" s="47" t="n"/>
      <c r="F932" s="47" t="n"/>
      <c r="G932" s="47" t="n"/>
      <c r="H932" s="47" t="n"/>
      <c r="I932" s="47" t="n"/>
      <c r="J932" s="47" t="n"/>
      <c r="K932" s="47" t="n"/>
      <c r="L932" s="47" t="n"/>
      <c r="M932" s="47" t="n"/>
      <c r="N932" s="49">
        <f>IF(A932="","",COUNTIFS('潜水記録'!$S$5:$S$3004,A932,'潜水記録'!$T$5:$T$3004,1))</f>
        <v/>
      </c>
      <c r="O932" s="49">
        <f>IF(A932="","",COUNTIF('潜水記録'!$S$5:$S$3004,A932))</f>
        <v/>
      </c>
    </row>
    <row r="933">
      <c r="A933" s="47" t="n"/>
      <c r="B933" s="48" t="n"/>
      <c r="C933" s="47" t="n"/>
      <c r="D933" s="47" t="n"/>
      <c r="E933" s="47" t="n"/>
      <c r="F933" s="47" t="n"/>
      <c r="G933" s="47" t="n"/>
      <c r="H933" s="47" t="n"/>
      <c r="I933" s="47" t="n"/>
      <c r="J933" s="47" t="n"/>
      <c r="K933" s="47" t="n"/>
      <c r="L933" s="47" t="n"/>
      <c r="M933" s="47" t="n"/>
      <c r="N933" s="49">
        <f>IF(A933="","",COUNTIFS('潜水記録'!$S$5:$S$3004,A933,'潜水記録'!$T$5:$T$3004,1))</f>
        <v/>
      </c>
      <c r="O933" s="49">
        <f>IF(A933="","",COUNTIF('潜水記録'!$S$5:$S$3004,A933))</f>
        <v/>
      </c>
    </row>
    <row r="934">
      <c r="A934" s="47" t="n"/>
      <c r="B934" s="48" t="n"/>
      <c r="C934" s="47" t="n"/>
      <c r="D934" s="47" t="n"/>
      <c r="E934" s="47" t="n"/>
      <c r="F934" s="47" t="n"/>
      <c r="G934" s="47" t="n"/>
      <c r="H934" s="47" t="n"/>
      <c r="I934" s="47" t="n"/>
      <c r="J934" s="47" t="n"/>
      <c r="K934" s="47" t="n"/>
      <c r="L934" s="47" t="n"/>
      <c r="M934" s="47" t="n"/>
      <c r="N934" s="49">
        <f>IF(A934="","",COUNTIFS('潜水記録'!$S$5:$S$3004,A934,'潜水記録'!$T$5:$T$3004,1))</f>
        <v/>
      </c>
      <c r="O934" s="49">
        <f>IF(A934="","",COUNTIF('潜水記録'!$S$5:$S$3004,A934))</f>
        <v/>
      </c>
    </row>
    <row r="935">
      <c r="A935" s="47" t="n"/>
      <c r="B935" s="48" t="n"/>
      <c r="C935" s="47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  <c r="N935" s="49">
        <f>IF(A935="","",COUNTIFS('潜水記録'!$S$5:$S$3004,A935,'潜水記録'!$T$5:$T$3004,1))</f>
        <v/>
      </c>
      <c r="O935" s="49">
        <f>IF(A935="","",COUNTIF('潜水記録'!$S$5:$S$3004,A935))</f>
        <v/>
      </c>
    </row>
    <row r="936">
      <c r="A936" s="47" t="n"/>
      <c r="B936" s="48" t="n"/>
      <c r="C936" s="47" t="n"/>
      <c r="D936" s="47" t="n"/>
      <c r="E936" s="47" t="n"/>
      <c r="F936" s="47" t="n"/>
      <c r="G936" s="47" t="n"/>
      <c r="H936" s="47" t="n"/>
      <c r="I936" s="47" t="n"/>
      <c r="J936" s="47" t="n"/>
      <c r="K936" s="47" t="n"/>
      <c r="L936" s="47" t="n"/>
      <c r="M936" s="47" t="n"/>
      <c r="N936" s="49">
        <f>IF(A936="","",COUNTIFS('潜水記録'!$S$5:$S$3004,A936,'潜水記録'!$T$5:$T$3004,1))</f>
        <v/>
      </c>
      <c r="O936" s="49">
        <f>IF(A936="","",COUNTIF('潜水記録'!$S$5:$S$3004,A936))</f>
        <v/>
      </c>
    </row>
    <row r="937">
      <c r="A937" s="47" t="n"/>
      <c r="B937" s="48" t="n"/>
      <c r="C937" s="47" t="n"/>
      <c r="D937" s="47" t="n"/>
      <c r="E937" s="47" t="n"/>
      <c r="F937" s="47" t="n"/>
      <c r="G937" s="47" t="n"/>
      <c r="H937" s="47" t="n"/>
      <c r="I937" s="47" t="n"/>
      <c r="J937" s="47" t="n"/>
      <c r="K937" s="47" t="n"/>
      <c r="L937" s="47" t="n"/>
      <c r="M937" s="47" t="n"/>
      <c r="N937" s="49">
        <f>IF(A937="","",COUNTIFS('潜水記録'!$S$5:$S$3004,A937,'潜水記録'!$T$5:$T$3004,1))</f>
        <v/>
      </c>
      <c r="O937" s="49">
        <f>IF(A937="","",COUNTIF('潜水記録'!$S$5:$S$3004,A937))</f>
        <v/>
      </c>
    </row>
    <row r="938">
      <c r="A938" s="47" t="n"/>
      <c r="B938" s="48" t="n"/>
      <c r="C938" s="47" t="n"/>
      <c r="D938" s="47" t="n"/>
      <c r="E938" s="47" t="n"/>
      <c r="F938" s="47" t="n"/>
      <c r="G938" s="47" t="n"/>
      <c r="H938" s="47" t="n"/>
      <c r="I938" s="47" t="n"/>
      <c r="J938" s="47" t="n"/>
      <c r="K938" s="47" t="n"/>
      <c r="L938" s="47" t="n"/>
      <c r="M938" s="47" t="n"/>
      <c r="N938" s="49">
        <f>IF(A938="","",COUNTIFS('潜水記録'!$S$5:$S$3004,A938,'潜水記録'!$T$5:$T$3004,1))</f>
        <v/>
      </c>
      <c r="O938" s="49">
        <f>IF(A938="","",COUNTIF('潜水記録'!$S$5:$S$3004,A938))</f>
        <v/>
      </c>
    </row>
    <row r="939">
      <c r="A939" s="47" t="n"/>
      <c r="B939" s="48" t="n"/>
      <c r="C939" s="47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  <c r="N939" s="49">
        <f>IF(A939="","",COUNTIFS('潜水記録'!$S$5:$S$3004,A939,'潜水記録'!$T$5:$T$3004,1))</f>
        <v/>
      </c>
      <c r="O939" s="49">
        <f>IF(A939="","",COUNTIF('潜水記録'!$S$5:$S$3004,A939))</f>
        <v/>
      </c>
    </row>
    <row r="940">
      <c r="A940" s="47" t="n"/>
      <c r="B940" s="48" t="n"/>
      <c r="C940" s="47" t="n"/>
      <c r="D940" s="47" t="n"/>
      <c r="E940" s="47" t="n"/>
      <c r="F940" s="47" t="n"/>
      <c r="G940" s="47" t="n"/>
      <c r="H940" s="47" t="n"/>
      <c r="I940" s="47" t="n"/>
      <c r="J940" s="47" t="n"/>
      <c r="K940" s="47" t="n"/>
      <c r="L940" s="47" t="n"/>
      <c r="M940" s="47" t="n"/>
      <c r="N940" s="49">
        <f>IF(A940="","",COUNTIFS('潜水記録'!$S$5:$S$3004,A940,'潜水記録'!$T$5:$T$3004,1))</f>
        <v/>
      </c>
      <c r="O940" s="49">
        <f>IF(A940="","",COUNTIF('潜水記録'!$S$5:$S$3004,A940))</f>
        <v/>
      </c>
    </row>
    <row r="941">
      <c r="A941" s="47" t="n"/>
      <c r="B941" s="48" t="n"/>
      <c r="C941" s="47" t="n"/>
      <c r="D941" s="47" t="n"/>
      <c r="E941" s="47" t="n"/>
      <c r="F941" s="47" t="n"/>
      <c r="G941" s="47" t="n"/>
      <c r="H941" s="47" t="n"/>
      <c r="I941" s="47" t="n"/>
      <c r="J941" s="47" t="n"/>
      <c r="K941" s="47" t="n"/>
      <c r="L941" s="47" t="n"/>
      <c r="M941" s="47" t="n"/>
      <c r="N941" s="49">
        <f>IF(A941="","",COUNTIFS('潜水記録'!$S$5:$S$3004,A941,'潜水記録'!$T$5:$T$3004,1))</f>
        <v/>
      </c>
      <c r="O941" s="49">
        <f>IF(A941="","",COUNTIF('潜水記録'!$S$5:$S$3004,A941))</f>
        <v/>
      </c>
    </row>
    <row r="942">
      <c r="A942" s="47" t="n"/>
      <c r="B942" s="48" t="n"/>
      <c r="C942" s="47" t="n"/>
      <c r="D942" s="47" t="n"/>
      <c r="E942" s="47" t="n"/>
      <c r="F942" s="47" t="n"/>
      <c r="G942" s="47" t="n"/>
      <c r="H942" s="47" t="n"/>
      <c r="I942" s="47" t="n"/>
      <c r="J942" s="47" t="n"/>
      <c r="K942" s="47" t="n"/>
      <c r="L942" s="47" t="n"/>
      <c r="M942" s="47" t="n"/>
      <c r="N942" s="49">
        <f>IF(A942="","",COUNTIFS('潜水記録'!$S$5:$S$3004,A942,'潜水記録'!$T$5:$T$3004,1))</f>
        <v/>
      </c>
      <c r="O942" s="49">
        <f>IF(A942="","",COUNTIF('潜水記録'!$S$5:$S$3004,A942))</f>
        <v/>
      </c>
    </row>
    <row r="943">
      <c r="A943" s="47" t="n"/>
      <c r="B943" s="48" t="n"/>
      <c r="C943" s="47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  <c r="N943" s="49">
        <f>IF(A943="","",COUNTIFS('潜水記録'!$S$5:$S$3004,A943,'潜水記録'!$T$5:$T$3004,1))</f>
        <v/>
      </c>
      <c r="O943" s="49">
        <f>IF(A943="","",COUNTIF('潜水記録'!$S$5:$S$3004,A943))</f>
        <v/>
      </c>
    </row>
    <row r="944">
      <c r="A944" s="47" t="n"/>
      <c r="B944" s="48" t="n"/>
      <c r="C944" s="47" t="n"/>
      <c r="D944" s="47" t="n"/>
      <c r="E944" s="47" t="n"/>
      <c r="F944" s="47" t="n"/>
      <c r="G944" s="47" t="n"/>
      <c r="H944" s="47" t="n"/>
      <c r="I944" s="47" t="n"/>
      <c r="J944" s="47" t="n"/>
      <c r="K944" s="47" t="n"/>
      <c r="L944" s="47" t="n"/>
      <c r="M944" s="47" t="n"/>
      <c r="N944" s="49">
        <f>IF(A944="","",COUNTIFS('潜水記録'!$S$5:$S$3004,A944,'潜水記録'!$T$5:$T$3004,1))</f>
        <v/>
      </c>
      <c r="O944" s="49">
        <f>IF(A944="","",COUNTIF('潜水記録'!$S$5:$S$3004,A944))</f>
        <v/>
      </c>
    </row>
    <row r="945">
      <c r="A945" s="47" t="n"/>
      <c r="B945" s="48" t="n"/>
      <c r="C945" s="47" t="n"/>
      <c r="D945" s="47" t="n"/>
      <c r="E945" s="47" t="n"/>
      <c r="F945" s="47" t="n"/>
      <c r="G945" s="47" t="n"/>
      <c r="H945" s="47" t="n"/>
      <c r="I945" s="47" t="n"/>
      <c r="J945" s="47" t="n"/>
      <c r="K945" s="47" t="n"/>
      <c r="L945" s="47" t="n"/>
      <c r="M945" s="47" t="n"/>
      <c r="N945" s="49">
        <f>IF(A945="","",COUNTIFS('潜水記録'!$S$5:$S$3004,A945,'潜水記録'!$T$5:$T$3004,1))</f>
        <v/>
      </c>
      <c r="O945" s="49">
        <f>IF(A945="","",COUNTIF('潜水記録'!$S$5:$S$3004,A945))</f>
        <v/>
      </c>
    </row>
    <row r="946">
      <c r="A946" s="47" t="n"/>
      <c r="B946" s="48" t="n"/>
      <c r="C946" s="47" t="n"/>
      <c r="D946" s="47" t="n"/>
      <c r="E946" s="47" t="n"/>
      <c r="F946" s="47" t="n"/>
      <c r="G946" s="47" t="n"/>
      <c r="H946" s="47" t="n"/>
      <c r="I946" s="47" t="n"/>
      <c r="J946" s="47" t="n"/>
      <c r="K946" s="47" t="n"/>
      <c r="L946" s="47" t="n"/>
      <c r="M946" s="47" t="n"/>
      <c r="N946" s="49">
        <f>IF(A946="","",COUNTIFS('潜水記録'!$S$5:$S$3004,A946,'潜水記録'!$T$5:$T$3004,1))</f>
        <v/>
      </c>
      <c r="O946" s="49">
        <f>IF(A946="","",COUNTIF('潜水記録'!$S$5:$S$3004,A946))</f>
        <v/>
      </c>
    </row>
    <row r="947">
      <c r="A947" s="47" t="n"/>
      <c r="B947" s="48" t="n"/>
      <c r="C947" s="47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  <c r="N947" s="49">
        <f>IF(A947="","",COUNTIFS('潜水記録'!$S$5:$S$3004,A947,'潜水記録'!$T$5:$T$3004,1))</f>
        <v/>
      </c>
      <c r="O947" s="49">
        <f>IF(A947="","",COUNTIF('潜水記録'!$S$5:$S$3004,A947))</f>
        <v/>
      </c>
    </row>
    <row r="948">
      <c r="A948" s="47" t="n"/>
      <c r="B948" s="48" t="n"/>
      <c r="C948" s="47" t="n"/>
      <c r="D948" s="47" t="n"/>
      <c r="E948" s="47" t="n"/>
      <c r="F948" s="47" t="n"/>
      <c r="G948" s="47" t="n"/>
      <c r="H948" s="47" t="n"/>
      <c r="I948" s="47" t="n"/>
      <c r="J948" s="47" t="n"/>
      <c r="K948" s="47" t="n"/>
      <c r="L948" s="47" t="n"/>
      <c r="M948" s="47" t="n"/>
      <c r="N948" s="49">
        <f>IF(A948="","",COUNTIFS('潜水記録'!$S$5:$S$3004,A948,'潜水記録'!$T$5:$T$3004,1))</f>
        <v/>
      </c>
      <c r="O948" s="49">
        <f>IF(A948="","",COUNTIF('潜水記録'!$S$5:$S$3004,A948))</f>
        <v/>
      </c>
    </row>
    <row r="949">
      <c r="A949" s="47" t="n"/>
      <c r="B949" s="48" t="n"/>
      <c r="C949" s="47" t="n"/>
      <c r="D949" s="47" t="n"/>
      <c r="E949" s="47" t="n"/>
      <c r="F949" s="47" t="n"/>
      <c r="G949" s="47" t="n"/>
      <c r="H949" s="47" t="n"/>
      <c r="I949" s="47" t="n"/>
      <c r="J949" s="47" t="n"/>
      <c r="K949" s="47" t="n"/>
      <c r="L949" s="47" t="n"/>
      <c r="M949" s="47" t="n"/>
      <c r="N949" s="49">
        <f>IF(A949="","",COUNTIFS('潜水記録'!$S$5:$S$3004,A949,'潜水記録'!$T$5:$T$3004,1))</f>
        <v/>
      </c>
      <c r="O949" s="49">
        <f>IF(A949="","",COUNTIF('潜水記録'!$S$5:$S$3004,A949))</f>
        <v/>
      </c>
    </row>
    <row r="950">
      <c r="A950" s="47" t="n"/>
      <c r="B950" s="48" t="n"/>
      <c r="C950" s="47" t="n"/>
      <c r="D950" s="47" t="n"/>
      <c r="E950" s="47" t="n"/>
      <c r="F950" s="47" t="n"/>
      <c r="G950" s="47" t="n"/>
      <c r="H950" s="47" t="n"/>
      <c r="I950" s="47" t="n"/>
      <c r="J950" s="47" t="n"/>
      <c r="K950" s="47" t="n"/>
      <c r="L950" s="47" t="n"/>
      <c r="M950" s="47" t="n"/>
      <c r="N950" s="49">
        <f>IF(A950="","",COUNTIFS('潜水記録'!$S$5:$S$3004,A950,'潜水記録'!$T$5:$T$3004,1))</f>
        <v/>
      </c>
      <c r="O950" s="49">
        <f>IF(A950="","",COUNTIF('潜水記録'!$S$5:$S$3004,A950))</f>
        <v/>
      </c>
    </row>
    <row r="951">
      <c r="A951" s="47" t="n"/>
      <c r="B951" s="48" t="n"/>
      <c r="C951" s="47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  <c r="N951" s="49">
        <f>IF(A951="","",COUNTIFS('潜水記録'!$S$5:$S$3004,A951,'潜水記録'!$T$5:$T$3004,1))</f>
        <v/>
      </c>
      <c r="O951" s="49">
        <f>IF(A951="","",COUNTIF('潜水記録'!$S$5:$S$3004,A951))</f>
        <v/>
      </c>
    </row>
    <row r="952">
      <c r="A952" s="47" t="n"/>
      <c r="B952" s="48" t="n"/>
      <c r="C952" s="47" t="n"/>
      <c r="D952" s="47" t="n"/>
      <c r="E952" s="47" t="n"/>
      <c r="F952" s="47" t="n"/>
      <c r="G952" s="47" t="n"/>
      <c r="H952" s="47" t="n"/>
      <c r="I952" s="47" t="n"/>
      <c r="J952" s="47" t="n"/>
      <c r="K952" s="47" t="n"/>
      <c r="L952" s="47" t="n"/>
      <c r="M952" s="47" t="n"/>
      <c r="N952" s="49">
        <f>IF(A952="","",COUNTIFS('潜水記録'!$S$5:$S$3004,A952,'潜水記録'!$T$5:$T$3004,1))</f>
        <v/>
      </c>
      <c r="O952" s="49">
        <f>IF(A952="","",COUNTIF('潜水記録'!$S$5:$S$3004,A952))</f>
        <v/>
      </c>
    </row>
    <row r="953">
      <c r="A953" s="47" t="n"/>
      <c r="B953" s="48" t="n"/>
      <c r="C953" s="47" t="n"/>
      <c r="D953" s="47" t="n"/>
      <c r="E953" s="47" t="n"/>
      <c r="F953" s="47" t="n"/>
      <c r="G953" s="47" t="n"/>
      <c r="H953" s="47" t="n"/>
      <c r="I953" s="47" t="n"/>
      <c r="J953" s="47" t="n"/>
      <c r="K953" s="47" t="n"/>
      <c r="L953" s="47" t="n"/>
      <c r="M953" s="47" t="n"/>
      <c r="N953" s="49">
        <f>IF(A953="","",COUNTIFS('潜水記録'!$S$5:$S$3004,A953,'潜水記録'!$T$5:$T$3004,1))</f>
        <v/>
      </c>
      <c r="O953" s="49">
        <f>IF(A953="","",COUNTIF('潜水記録'!$S$5:$S$3004,A953))</f>
        <v/>
      </c>
    </row>
    <row r="954">
      <c r="A954" s="47" t="n"/>
      <c r="B954" s="48" t="n"/>
      <c r="C954" s="47" t="n"/>
      <c r="D954" s="47" t="n"/>
      <c r="E954" s="47" t="n"/>
      <c r="F954" s="47" t="n"/>
      <c r="G954" s="47" t="n"/>
      <c r="H954" s="47" t="n"/>
      <c r="I954" s="47" t="n"/>
      <c r="J954" s="47" t="n"/>
      <c r="K954" s="47" t="n"/>
      <c r="L954" s="47" t="n"/>
      <c r="M954" s="47" t="n"/>
      <c r="N954" s="49">
        <f>IF(A954="","",COUNTIFS('潜水記録'!$S$5:$S$3004,A954,'潜水記録'!$T$5:$T$3004,1))</f>
        <v/>
      </c>
      <c r="O954" s="49">
        <f>IF(A954="","",COUNTIF('潜水記録'!$S$5:$S$3004,A954))</f>
        <v/>
      </c>
    </row>
    <row r="955">
      <c r="A955" s="47" t="n"/>
      <c r="B955" s="48" t="n"/>
      <c r="C955" s="47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  <c r="N955" s="49">
        <f>IF(A955="","",COUNTIFS('潜水記録'!$S$5:$S$3004,A955,'潜水記録'!$T$5:$T$3004,1))</f>
        <v/>
      </c>
      <c r="O955" s="49">
        <f>IF(A955="","",COUNTIF('潜水記録'!$S$5:$S$3004,A955))</f>
        <v/>
      </c>
    </row>
    <row r="956">
      <c r="A956" s="47" t="n"/>
      <c r="B956" s="48" t="n"/>
      <c r="C956" s="47" t="n"/>
      <c r="D956" s="47" t="n"/>
      <c r="E956" s="47" t="n"/>
      <c r="F956" s="47" t="n"/>
      <c r="G956" s="47" t="n"/>
      <c r="H956" s="47" t="n"/>
      <c r="I956" s="47" t="n"/>
      <c r="J956" s="47" t="n"/>
      <c r="K956" s="47" t="n"/>
      <c r="L956" s="47" t="n"/>
      <c r="M956" s="47" t="n"/>
      <c r="N956" s="49">
        <f>IF(A956="","",COUNTIFS('潜水記録'!$S$5:$S$3004,A956,'潜水記録'!$T$5:$T$3004,1))</f>
        <v/>
      </c>
      <c r="O956" s="49">
        <f>IF(A956="","",COUNTIF('潜水記録'!$S$5:$S$3004,A956))</f>
        <v/>
      </c>
    </row>
    <row r="957">
      <c r="A957" s="47" t="n"/>
      <c r="B957" s="48" t="n"/>
      <c r="C957" s="47" t="n"/>
      <c r="D957" s="47" t="n"/>
      <c r="E957" s="47" t="n"/>
      <c r="F957" s="47" t="n"/>
      <c r="G957" s="47" t="n"/>
      <c r="H957" s="47" t="n"/>
      <c r="I957" s="47" t="n"/>
      <c r="J957" s="47" t="n"/>
      <c r="K957" s="47" t="n"/>
      <c r="L957" s="47" t="n"/>
      <c r="M957" s="47" t="n"/>
      <c r="N957" s="49">
        <f>IF(A957="","",COUNTIFS('潜水記録'!$S$5:$S$3004,A957,'潜水記録'!$T$5:$T$3004,1))</f>
        <v/>
      </c>
      <c r="O957" s="49">
        <f>IF(A957="","",COUNTIF('潜水記録'!$S$5:$S$3004,A957))</f>
        <v/>
      </c>
    </row>
    <row r="958">
      <c r="A958" s="47" t="n"/>
      <c r="B958" s="48" t="n"/>
      <c r="C958" s="47" t="n"/>
      <c r="D958" s="47" t="n"/>
      <c r="E958" s="47" t="n"/>
      <c r="F958" s="47" t="n"/>
      <c r="G958" s="47" t="n"/>
      <c r="H958" s="47" t="n"/>
      <c r="I958" s="47" t="n"/>
      <c r="J958" s="47" t="n"/>
      <c r="K958" s="47" t="n"/>
      <c r="L958" s="47" t="n"/>
      <c r="M958" s="47" t="n"/>
      <c r="N958" s="49">
        <f>IF(A958="","",COUNTIFS('潜水記録'!$S$5:$S$3004,A958,'潜水記録'!$T$5:$T$3004,1))</f>
        <v/>
      </c>
      <c r="O958" s="49">
        <f>IF(A958="","",COUNTIF('潜水記録'!$S$5:$S$3004,A958))</f>
        <v/>
      </c>
    </row>
    <row r="959">
      <c r="A959" s="47" t="n"/>
      <c r="B959" s="48" t="n"/>
      <c r="C959" s="47" t="n"/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  <c r="N959" s="49">
        <f>IF(A959="","",COUNTIFS('潜水記録'!$S$5:$S$3004,A959,'潜水記録'!$T$5:$T$3004,1))</f>
        <v/>
      </c>
      <c r="O959" s="49">
        <f>IF(A959="","",COUNTIF('潜水記録'!$S$5:$S$3004,A959))</f>
        <v/>
      </c>
    </row>
    <row r="960">
      <c r="A960" s="47" t="n"/>
      <c r="B960" s="48" t="n"/>
      <c r="C960" s="47" t="n"/>
      <c r="D960" s="47" t="n"/>
      <c r="E960" s="47" t="n"/>
      <c r="F960" s="47" t="n"/>
      <c r="G960" s="47" t="n"/>
      <c r="H960" s="47" t="n"/>
      <c r="I960" s="47" t="n"/>
      <c r="J960" s="47" t="n"/>
      <c r="K960" s="47" t="n"/>
      <c r="L960" s="47" t="n"/>
      <c r="M960" s="47" t="n"/>
      <c r="N960" s="49">
        <f>IF(A960="","",COUNTIFS('潜水記録'!$S$5:$S$3004,A960,'潜水記録'!$T$5:$T$3004,1))</f>
        <v/>
      </c>
      <c r="O960" s="49">
        <f>IF(A960="","",COUNTIF('潜水記録'!$S$5:$S$3004,A960))</f>
        <v/>
      </c>
    </row>
    <row r="961">
      <c r="A961" s="47" t="n"/>
      <c r="B961" s="48" t="n"/>
      <c r="C961" s="47" t="n"/>
      <c r="D961" s="47" t="n"/>
      <c r="E961" s="47" t="n"/>
      <c r="F961" s="47" t="n"/>
      <c r="G961" s="47" t="n"/>
      <c r="H961" s="47" t="n"/>
      <c r="I961" s="47" t="n"/>
      <c r="J961" s="47" t="n"/>
      <c r="K961" s="47" t="n"/>
      <c r="L961" s="47" t="n"/>
      <c r="M961" s="47" t="n"/>
      <c r="N961" s="49">
        <f>IF(A961="","",COUNTIFS('潜水記録'!$S$5:$S$3004,A961,'潜水記録'!$T$5:$T$3004,1))</f>
        <v/>
      </c>
      <c r="O961" s="49">
        <f>IF(A961="","",COUNTIF('潜水記録'!$S$5:$S$3004,A961))</f>
        <v/>
      </c>
    </row>
    <row r="962">
      <c r="A962" s="47" t="n"/>
      <c r="B962" s="48" t="n"/>
      <c r="C962" s="47" t="n"/>
      <c r="D962" s="47" t="n"/>
      <c r="E962" s="47" t="n"/>
      <c r="F962" s="47" t="n"/>
      <c r="G962" s="47" t="n"/>
      <c r="H962" s="47" t="n"/>
      <c r="I962" s="47" t="n"/>
      <c r="J962" s="47" t="n"/>
      <c r="K962" s="47" t="n"/>
      <c r="L962" s="47" t="n"/>
      <c r="M962" s="47" t="n"/>
      <c r="N962" s="49">
        <f>IF(A962="","",COUNTIFS('潜水記録'!$S$5:$S$3004,A962,'潜水記録'!$T$5:$T$3004,1))</f>
        <v/>
      </c>
      <c r="O962" s="49">
        <f>IF(A962="","",COUNTIF('潜水記録'!$S$5:$S$3004,A962))</f>
        <v/>
      </c>
    </row>
    <row r="963">
      <c r="A963" s="47" t="n"/>
      <c r="B963" s="48" t="n"/>
      <c r="C963" s="47" t="n"/>
      <c r="D963" s="47" t="n"/>
      <c r="E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  <c r="N963" s="49">
        <f>IF(A963="","",COUNTIFS('潜水記録'!$S$5:$S$3004,A963,'潜水記録'!$T$5:$T$3004,1))</f>
        <v/>
      </c>
      <c r="O963" s="49">
        <f>IF(A963="","",COUNTIF('潜水記録'!$S$5:$S$3004,A963))</f>
        <v/>
      </c>
    </row>
    <row r="964">
      <c r="A964" s="47" t="n"/>
      <c r="B964" s="48" t="n"/>
      <c r="C964" s="47" t="n"/>
      <c r="D964" s="47" t="n"/>
      <c r="E964" s="47" t="n"/>
      <c r="F964" s="47" t="n"/>
      <c r="G964" s="47" t="n"/>
      <c r="H964" s="47" t="n"/>
      <c r="I964" s="47" t="n"/>
      <c r="J964" s="47" t="n"/>
      <c r="K964" s="47" t="n"/>
      <c r="L964" s="47" t="n"/>
      <c r="M964" s="47" t="n"/>
      <c r="N964" s="49">
        <f>IF(A964="","",COUNTIFS('潜水記録'!$S$5:$S$3004,A964,'潜水記録'!$T$5:$T$3004,1))</f>
        <v/>
      </c>
      <c r="O964" s="49">
        <f>IF(A964="","",COUNTIF('潜水記録'!$S$5:$S$3004,A964))</f>
        <v/>
      </c>
    </row>
    <row r="965">
      <c r="A965" s="47" t="n"/>
      <c r="B965" s="48" t="n"/>
      <c r="C965" s="47" t="n"/>
      <c r="D965" s="47" t="n"/>
      <c r="E965" s="47" t="n"/>
      <c r="F965" s="47" t="n"/>
      <c r="G965" s="47" t="n"/>
      <c r="H965" s="47" t="n"/>
      <c r="I965" s="47" t="n"/>
      <c r="J965" s="47" t="n"/>
      <c r="K965" s="47" t="n"/>
      <c r="L965" s="47" t="n"/>
      <c r="M965" s="47" t="n"/>
      <c r="N965" s="49">
        <f>IF(A965="","",COUNTIFS('潜水記録'!$S$5:$S$3004,A965,'潜水記録'!$T$5:$T$3004,1))</f>
        <v/>
      </c>
      <c r="O965" s="49">
        <f>IF(A965="","",COUNTIF('潜水記録'!$S$5:$S$3004,A965))</f>
        <v/>
      </c>
    </row>
    <row r="966">
      <c r="A966" s="47" t="n"/>
      <c r="B966" s="48" t="n"/>
      <c r="C966" s="47" t="n"/>
      <c r="D966" s="47" t="n"/>
      <c r="E966" s="47" t="n"/>
      <c r="F966" s="47" t="n"/>
      <c r="G966" s="47" t="n"/>
      <c r="H966" s="47" t="n"/>
      <c r="I966" s="47" t="n"/>
      <c r="J966" s="47" t="n"/>
      <c r="K966" s="47" t="n"/>
      <c r="L966" s="47" t="n"/>
      <c r="M966" s="47" t="n"/>
      <c r="N966" s="49">
        <f>IF(A966="","",COUNTIFS('潜水記録'!$S$5:$S$3004,A966,'潜水記録'!$T$5:$T$3004,1))</f>
        <v/>
      </c>
      <c r="O966" s="49">
        <f>IF(A966="","",COUNTIF('潜水記録'!$S$5:$S$3004,A966))</f>
        <v/>
      </c>
    </row>
    <row r="967">
      <c r="A967" s="47" t="n"/>
      <c r="B967" s="48" t="n"/>
      <c r="C967" s="47" t="n"/>
      <c r="D967" s="47" t="n"/>
      <c r="E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  <c r="N967" s="49">
        <f>IF(A967="","",COUNTIFS('潜水記録'!$S$5:$S$3004,A967,'潜水記録'!$T$5:$T$3004,1))</f>
        <v/>
      </c>
      <c r="O967" s="49">
        <f>IF(A967="","",COUNTIF('潜水記録'!$S$5:$S$3004,A967))</f>
        <v/>
      </c>
    </row>
    <row r="968">
      <c r="A968" s="47" t="n"/>
      <c r="B968" s="48" t="n"/>
      <c r="C968" s="47" t="n"/>
      <c r="D968" s="47" t="n"/>
      <c r="E968" s="47" t="n"/>
      <c r="F968" s="47" t="n"/>
      <c r="G968" s="47" t="n"/>
      <c r="H968" s="47" t="n"/>
      <c r="I968" s="47" t="n"/>
      <c r="J968" s="47" t="n"/>
      <c r="K968" s="47" t="n"/>
      <c r="L968" s="47" t="n"/>
      <c r="M968" s="47" t="n"/>
      <c r="N968" s="49">
        <f>IF(A968="","",COUNTIFS('潜水記録'!$S$5:$S$3004,A968,'潜水記録'!$T$5:$T$3004,1))</f>
        <v/>
      </c>
      <c r="O968" s="49">
        <f>IF(A968="","",COUNTIF('潜水記録'!$S$5:$S$3004,A968))</f>
        <v/>
      </c>
    </row>
    <row r="969">
      <c r="A969" s="47" t="n"/>
      <c r="B969" s="48" t="n"/>
      <c r="C969" s="47" t="n"/>
      <c r="D969" s="47" t="n"/>
      <c r="E969" s="47" t="n"/>
      <c r="F969" s="47" t="n"/>
      <c r="G969" s="47" t="n"/>
      <c r="H969" s="47" t="n"/>
      <c r="I969" s="47" t="n"/>
      <c r="J969" s="47" t="n"/>
      <c r="K969" s="47" t="n"/>
      <c r="L969" s="47" t="n"/>
      <c r="M969" s="47" t="n"/>
      <c r="N969" s="49">
        <f>IF(A969="","",COUNTIFS('潜水記録'!$S$5:$S$3004,A969,'潜水記録'!$T$5:$T$3004,1))</f>
        <v/>
      </c>
      <c r="O969" s="49">
        <f>IF(A969="","",COUNTIF('潜水記録'!$S$5:$S$3004,A969))</f>
        <v/>
      </c>
    </row>
    <row r="970">
      <c r="A970" s="47" t="n"/>
      <c r="B970" s="48" t="n"/>
      <c r="C970" s="47" t="n"/>
      <c r="D970" s="47" t="n"/>
      <c r="E970" s="47" t="n"/>
      <c r="F970" s="47" t="n"/>
      <c r="G970" s="47" t="n"/>
      <c r="H970" s="47" t="n"/>
      <c r="I970" s="47" t="n"/>
      <c r="J970" s="47" t="n"/>
      <c r="K970" s="47" t="n"/>
      <c r="L970" s="47" t="n"/>
      <c r="M970" s="47" t="n"/>
      <c r="N970" s="49">
        <f>IF(A970="","",COUNTIFS('潜水記録'!$S$5:$S$3004,A970,'潜水記録'!$T$5:$T$3004,1))</f>
        <v/>
      </c>
      <c r="O970" s="49">
        <f>IF(A970="","",COUNTIF('潜水記録'!$S$5:$S$3004,A970))</f>
        <v/>
      </c>
    </row>
    <row r="971">
      <c r="A971" s="47" t="n"/>
      <c r="B971" s="48" t="n"/>
      <c r="C971" s="47" t="n"/>
      <c r="D971" s="47" t="n"/>
      <c r="E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  <c r="N971" s="49">
        <f>IF(A971="","",COUNTIFS('潜水記録'!$S$5:$S$3004,A971,'潜水記録'!$T$5:$T$3004,1))</f>
        <v/>
      </c>
      <c r="O971" s="49">
        <f>IF(A971="","",COUNTIF('潜水記録'!$S$5:$S$3004,A971))</f>
        <v/>
      </c>
    </row>
    <row r="972">
      <c r="A972" s="47" t="n"/>
      <c r="B972" s="48" t="n"/>
      <c r="C972" s="47" t="n"/>
      <c r="D972" s="47" t="n"/>
      <c r="E972" s="47" t="n"/>
      <c r="F972" s="47" t="n"/>
      <c r="G972" s="47" t="n"/>
      <c r="H972" s="47" t="n"/>
      <c r="I972" s="47" t="n"/>
      <c r="J972" s="47" t="n"/>
      <c r="K972" s="47" t="n"/>
      <c r="L972" s="47" t="n"/>
      <c r="M972" s="47" t="n"/>
      <c r="N972" s="49">
        <f>IF(A972="","",COUNTIFS('潜水記録'!$S$5:$S$3004,A972,'潜水記録'!$T$5:$T$3004,1))</f>
        <v/>
      </c>
      <c r="O972" s="49">
        <f>IF(A972="","",COUNTIF('潜水記録'!$S$5:$S$3004,A972))</f>
        <v/>
      </c>
    </row>
    <row r="973">
      <c r="A973" s="47" t="n"/>
      <c r="B973" s="48" t="n"/>
      <c r="C973" s="47" t="n"/>
      <c r="D973" s="47" t="n"/>
      <c r="E973" s="47" t="n"/>
      <c r="F973" s="47" t="n"/>
      <c r="G973" s="47" t="n"/>
      <c r="H973" s="47" t="n"/>
      <c r="I973" s="47" t="n"/>
      <c r="J973" s="47" t="n"/>
      <c r="K973" s="47" t="n"/>
      <c r="L973" s="47" t="n"/>
      <c r="M973" s="47" t="n"/>
      <c r="N973" s="49">
        <f>IF(A973="","",COUNTIFS('潜水記録'!$S$5:$S$3004,A973,'潜水記録'!$T$5:$T$3004,1))</f>
        <v/>
      </c>
      <c r="O973" s="49">
        <f>IF(A973="","",COUNTIF('潜水記録'!$S$5:$S$3004,A973))</f>
        <v/>
      </c>
    </row>
    <row r="974">
      <c r="A974" s="47" t="n"/>
      <c r="B974" s="48" t="n"/>
      <c r="C974" s="47" t="n"/>
      <c r="D974" s="47" t="n"/>
      <c r="E974" s="47" t="n"/>
      <c r="F974" s="47" t="n"/>
      <c r="G974" s="47" t="n"/>
      <c r="H974" s="47" t="n"/>
      <c r="I974" s="47" t="n"/>
      <c r="J974" s="47" t="n"/>
      <c r="K974" s="47" t="n"/>
      <c r="L974" s="47" t="n"/>
      <c r="M974" s="47" t="n"/>
      <c r="N974" s="49">
        <f>IF(A974="","",COUNTIFS('潜水記録'!$S$5:$S$3004,A974,'潜水記録'!$T$5:$T$3004,1))</f>
        <v/>
      </c>
      <c r="O974" s="49">
        <f>IF(A974="","",COUNTIF('潜水記録'!$S$5:$S$3004,A974))</f>
        <v/>
      </c>
    </row>
    <row r="975">
      <c r="A975" s="47" t="n"/>
      <c r="B975" s="48" t="n"/>
      <c r="C975" s="47" t="n"/>
      <c r="D975" s="47" t="n"/>
      <c r="E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  <c r="N975" s="49">
        <f>IF(A975="","",COUNTIFS('潜水記録'!$S$5:$S$3004,A975,'潜水記録'!$T$5:$T$3004,1))</f>
        <v/>
      </c>
      <c r="O975" s="49">
        <f>IF(A975="","",COUNTIF('潜水記録'!$S$5:$S$3004,A975))</f>
        <v/>
      </c>
    </row>
    <row r="976">
      <c r="A976" s="47" t="n"/>
      <c r="B976" s="48" t="n"/>
      <c r="C976" s="47" t="n"/>
      <c r="D976" s="47" t="n"/>
      <c r="E976" s="47" t="n"/>
      <c r="F976" s="47" t="n"/>
      <c r="G976" s="47" t="n"/>
      <c r="H976" s="47" t="n"/>
      <c r="I976" s="47" t="n"/>
      <c r="J976" s="47" t="n"/>
      <c r="K976" s="47" t="n"/>
      <c r="L976" s="47" t="n"/>
      <c r="M976" s="47" t="n"/>
      <c r="N976" s="49">
        <f>IF(A976="","",COUNTIFS('潜水記録'!$S$5:$S$3004,A976,'潜水記録'!$T$5:$T$3004,1))</f>
        <v/>
      </c>
      <c r="O976" s="49">
        <f>IF(A976="","",COUNTIF('潜水記録'!$S$5:$S$3004,A976))</f>
        <v/>
      </c>
    </row>
    <row r="977">
      <c r="A977" s="47" t="n"/>
      <c r="B977" s="48" t="n"/>
      <c r="C977" s="47" t="n"/>
      <c r="D977" s="47" t="n"/>
      <c r="E977" s="47" t="n"/>
      <c r="F977" s="47" t="n"/>
      <c r="G977" s="47" t="n"/>
      <c r="H977" s="47" t="n"/>
      <c r="I977" s="47" t="n"/>
      <c r="J977" s="47" t="n"/>
      <c r="K977" s="47" t="n"/>
      <c r="L977" s="47" t="n"/>
      <c r="M977" s="47" t="n"/>
      <c r="N977" s="49">
        <f>IF(A977="","",COUNTIFS('潜水記録'!$S$5:$S$3004,A977,'潜水記録'!$T$5:$T$3004,1))</f>
        <v/>
      </c>
      <c r="O977" s="49">
        <f>IF(A977="","",COUNTIF('潜水記録'!$S$5:$S$3004,A977))</f>
        <v/>
      </c>
    </row>
    <row r="978">
      <c r="A978" s="47" t="n"/>
      <c r="B978" s="48" t="n"/>
      <c r="C978" s="47" t="n"/>
      <c r="D978" s="47" t="n"/>
      <c r="E978" s="47" t="n"/>
      <c r="F978" s="47" t="n"/>
      <c r="G978" s="47" t="n"/>
      <c r="H978" s="47" t="n"/>
      <c r="I978" s="47" t="n"/>
      <c r="J978" s="47" t="n"/>
      <c r="K978" s="47" t="n"/>
      <c r="L978" s="47" t="n"/>
      <c r="M978" s="47" t="n"/>
      <c r="N978" s="49">
        <f>IF(A978="","",COUNTIFS('潜水記録'!$S$5:$S$3004,A978,'潜水記録'!$T$5:$T$3004,1))</f>
        <v/>
      </c>
      <c r="O978" s="49">
        <f>IF(A978="","",COUNTIF('潜水記録'!$S$5:$S$3004,A978))</f>
        <v/>
      </c>
    </row>
    <row r="979">
      <c r="A979" s="47" t="n"/>
      <c r="B979" s="48" t="n"/>
      <c r="C979" s="47" t="n"/>
      <c r="D979" s="47" t="n"/>
      <c r="E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  <c r="N979" s="49">
        <f>IF(A979="","",COUNTIFS('潜水記録'!$S$5:$S$3004,A979,'潜水記録'!$T$5:$T$3004,1))</f>
        <v/>
      </c>
      <c r="O979" s="49">
        <f>IF(A979="","",COUNTIF('潜水記録'!$S$5:$S$3004,A979))</f>
        <v/>
      </c>
    </row>
    <row r="980">
      <c r="A980" s="47" t="n"/>
      <c r="B980" s="48" t="n"/>
      <c r="C980" s="47" t="n"/>
      <c r="D980" s="47" t="n"/>
      <c r="E980" s="47" t="n"/>
      <c r="F980" s="47" t="n"/>
      <c r="G980" s="47" t="n"/>
      <c r="H980" s="47" t="n"/>
      <c r="I980" s="47" t="n"/>
      <c r="J980" s="47" t="n"/>
      <c r="K980" s="47" t="n"/>
      <c r="L980" s="47" t="n"/>
      <c r="M980" s="47" t="n"/>
      <c r="N980" s="49">
        <f>IF(A980="","",COUNTIFS('潜水記録'!$S$5:$S$3004,A980,'潜水記録'!$T$5:$T$3004,1))</f>
        <v/>
      </c>
      <c r="O980" s="49">
        <f>IF(A980="","",COUNTIF('潜水記録'!$S$5:$S$3004,A980))</f>
        <v/>
      </c>
    </row>
    <row r="981">
      <c r="A981" s="47" t="n"/>
      <c r="B981" s="48" t="n"/>
      <c r="C981" s="47" t="n"/>
      <c r="D981" s="47" t="n"/>
      <c r="E981" s="47" t="n"/>
      <c r="F981" s="47" t="n"/>
      <c r="G981" s="47" t="n"/>
      <c r="H981" s="47" t="n"/>
      <c r="I981" s="47" t="n"/>
      <c r="J981" s="47" t="n"/>
      <c r="K981" s="47" t="n"/>
      <c r="L981" s="47" t="n"/>
      <c r="M981" s="47" t="n"/>
      <c r="N981" s="49">
        <f>IF(A981="","",COUNTIFS('潜水記録'!$S$5:$S$3004,A981,'潜水記録'!$T$5:$T$3004,1))</f>
        <v/>
      </c>
      <c r="O981" s="49">
        <f>IF(A981="","",COUNTIF('潜水記録'!$S$5:$S$3004,A981))</f>
        <v/>
      </c>
    </row>
    <row r="982">
      <c r="A982" s="47" t="n"/>
      <c r="B982" s="48" t="n"/>
      <c r="C982" s="47" t="n"/>
      <c r="D982" s="47" t="n"/>
      <c r="E982" s="47" t="n"/>
      <c r="F982" s="47" t="n"/>
      <c r="G982" s="47" t="n"/>
      <c r="H982" s="47" t="n"/>
      <c r="I982" s="47" t="n"/>
      <c r="J982" s="47" t="n"/>
      <c r="K982" s="47" t="n"/>
      <c r="L982" s="47" t="n"/>
      <c r="M982" s="47" t="n"/>
      <c r="N982" s="49">
        <f>IF(A982="","",COUNTIFS('潜水記録'!$S$5:$S$3004,A982,'潜水記録'!$T$5:$T$3004,1))</f>
        <v/>
      </c>
      <c r="O982" s="49">
        <f>IF(A982="","",COUNTIF('潜水記録'!$S$5:$S$3004,A982))</f>
        <v/>
      </c>
    </row>
    <row r="983">
      <c r="A983" s="47" t="n"/>
      <c r="B983" s="48" t="n"/>
      <c r="C983" s="47" t="n"/>
      <c r="D983" s="47" t="n"/>
      <c r="E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  <c r="N983" s="49">
        <f>IF(A983="","",COUNTIFS('潜水記録'!$S$5:$S$3004,A983,'潜水記録'!$T$5:$T$3004,1))</f>
        <v/>
      </c>
      <c r="O983" s="49">
        <f>IF(A983="","",COUNTIF('潜水記録'!$S$5:$S$3004,A983))</f>
        <v/>
      </c>
    </row>
    <row r="984">
      <c r="A984" s="47" t="n"/>
      <c r="B984" s="48" t="n"/>
      <c r="C984" s="47" t="n"/>
      <c r="D984" s="47" t="n"/>
      <c r="E984" s="47" t="n"/>
      <c r="F984" s="47" t="n"/>
      <c r="G984" s="47" t="n"/>
      <c r="H984" s="47" t="n"/>
      <c r="I984" s="47" t="n"/>
      <c r="J984" s="47" t="n"/>
      <c r="K984" s="47" t="n"/>
      <c r="L984" s="47" t="n"/>
      <c r="M984" s="47" t="n"/>
      <c r="N984" s="49">
        <f>IF(A984="","",COUNTIFS('潜水記録'!$S$5:$S$3004,A984,'潜水記録'!$T$5:$T$3004,1))</f>
        <v/>
      </c>
      <c r="O984" s="49">
        <f>IF(A984="","",COUNTIF('潜水記録'!$S$5:$S$3004,A984))</f>
        <v/>
      </c>
    </row>
    <row r="985">
      <c r="A985" s="47" t="n"/>
      <c r="B985" s="48" t="n"/>
      <c r="C985" s="47" t="n"/>
      <c r="D985" s="47" t="n"/>
      <c r="E985" s="47" t="n"/>
      <c r="F985" s="47" t="n"/>
      <c r="G985" s="47" t="n"/>
      <c r="H985" s="47" t="n"/>
      <c r="I985" s="47" t="n"/>
      <c r="J985" s="47" t="n"/>
      <c r="K985" s="47" t="n"/>
      <c r="L985" s="47" t="n"/>
      <c r="M985" s="47" t="n"/>
      <c r="N985" s="49">
        <f>IF(A985="","",COUNTIFS('潜水記録'!$S$5:$S$3004,A985,'潜水記録'!$T$5:$T$3004,1))</f>
        <v/>
      </c>
      <c r="O985" s="49">
        <f>IF(A985="","",COUNTIF('潜水記録'!$S$5:$S$3004,A985))</f>
        <v/>
      </c>
    </row>
    <row r="986">
      <c r="A986" s="47" t="n"/>
      <c r="B986" s="48" t="n"/>
      <c r="C986" s="47" t="n"/>
      <c r="D986" s="47" t="n"/>
      <c r="E986" s="47" t="n"/>
      <c r="F986" s="47" t="n"/>
      <c r="G986" s="47" t="n"/>
      <c r="H986" s="47" t="n"/>
      <c r="I986" s="47" t="n"/>
      <c r="J986" s="47" t="n"/>
      <c r="K986" s="47" t="n"/>
      <c r="L986" s="47" t="n"/>
      <c r="M986" s="47" t="n"/>
      <c r="N986" s="49">
        <f>IF(A986="","",COUNTIFS('潜水記録'!$S$5:$S$3004,A986,'潜水記録'!$T$5:$T$3004,1))</f>
        <v/>
      </c>
      <c r="O986" s="49">
        <f>IF(A986="","",COUNTIF('潜水記録'!$S$5:$S$3004,A986))</f>
        <v/>
      </c>
    </row>
    <row r="987">
      <c r="A987" s="47" t="n"/>
      <c r="B987" s="48" t="n"/>
      <c r="C987" s="47" t="n"/>
      <c r="D987" s="47" t="n"/>
      <c r="E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  <c r="N987" s="49">
        <f>IF(A987="","",COUNTIFS('潜水記録'!$S$5:$S$3004,A987,'潜水記録'!$T$5:$T$3004,1))</f>
        <v/>
      </c>
      <c r="O987" s="49">
        <f>IF(A987="","",COUNTIF('潜水記録'!$S$5:$S$3004,A987))</f>
        <v/>
      </c>
    </row>
    <row r="988">
      <c r="A988" s="47" t="n"/>
      <c r="B988" s="48" t="n"/>
      <c r="C988" s="47" t="n"/>
      <c r="D988" s="47" t="n"/>
      <c r="E988" s="47" t="n"/>
      <c r="F988" s="47" t="n"/>
      <c r="G988" s="47" t="n"/>
      <c r="H988" s="47" t="n"/>
      <c r="I988" s="47" t="n"/>
      <c r="J988" s="47" t="n"/>
      <c r="K988" s="47" t="n"/>
      <c r="L988" s="47" t="n"/>
      <c r="M988" s="47" t="n"/>
      <c r="N988" s="49">
        <f>IF(A988="","",COUNTIFS('潜水記録'!$S$5:$S$3004,A988,'潜水記録'!$T$5:$T$3004,1))</f>
        <v/>
      </c>
      <c r="O988" s="49">
        <f>IF(A988="","",COUNTIF('潜水記録'!$S$5:$S$3004,A988))</f>
        <v/>
      </c>
    </row>
    <row r="989">
      <c r="A989" s="47" t="n"/>
      <c r="B989" s="48" t="n"/>
      <c r="C989" s="47" t="n"/>
      <c r="D989" s="47" t="n"/>
      <c r="E989" s="47" t="n"/>
      <c r="F989" s="47" t="n"/>
      <c r="G989" s="47" t="n"/>
      <c r="H989" s="47" t="n"/>
      <c r="I989" s="47" t="n"/>
      <c r="J989" s="47" t="n"/>
      <c r="K989" s="47" t="n"/>
      <c r="L989" s="47" t="n"/>
      <c r="M989" s="47" t="n"/>
      <c r="N989" s="49">
        <f>IF(A989="","",COUNTIFS('潜水記録'!$S$5:$S$3004,A989,'潜水記録'!$T$5:$T$3004,1))</f>
        <v/>
      </c>
      <c r="O989" s="49">
        <f>IF(A989="","",COUNTIF('潜水記録'!$S$5:$S$3004,A989))</f>
        <v/>
      </c>
    </row>
    <row r="990">
      <c r="A990" s="47" t="n"/>
      <c r="B990" s="48" t="n"/>
      <c r="C990" s="47" t="n"/>
      <c r="D990" s="47" t="n"/>
      <c r="E990" s="47" t="n"/>
      <c r="F990" s="47" t="n"/>
      <c r="G990" s="47" t="n"/>
      <c r="H990" s="47" t="n"/>
      <c r="I990" s="47" t="n"/>
      <c r="J990" s="47" t="n"/>
      <c r="K990" s="47" t="n"/>
      <c r="L990" s="47" t="n"/>
      <c r="M990" s="47" t="n"/>
      <c r="N990" s="49">
        <f>IF(A990="","",COUNTIFS('潜水記録'!$S$5:$S$3004,A990,'潜水記録'!$T$5:$T$3004,1))</f>
        <v/>
      </c>
      <c r="O990" s="49">
        <f>IF(A990="","",COUNTIF('潜水記録'!$S$5:$S$3004,A990))</f>
        <v/>
      </c>
    </row>
    <row r="991">
      <c r="A991" s="47" t="n"/>
      <c r="B991" s="48" t="n"/>
      <c r="C991" s="47" t="n"/>
      <c r="D991" s="47" t="n"/>
      <c r="E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  <c r="N991" s="49">
        <f>IF(A991="","",COUNTIFS('潜水記録'!$S$5:$S$3004,A991,'潜水記録'!$T$5:$T$3004,1))</f>
        <v/>
      </c>
      <c r="O991" s="49">
        <f>IF(A991="","",COUNTIF('潜水記録'!$S$5:$S$3004,A991))</f>
        <v/>
      </c>
    </row>
    <row r="992">
      <c r="A992" s="47" t="n"/>
      <c r="B992" s="48" t="n"/>
      <c r="C992" s="47" t="n"/>
      <c r="D992" s="47" t="n"/>
      <c r="E992" s="47" t="n"/>
      <c r="F992" s="47" t="n"/>
      <c r="G992" s="47" t="n"/>
      <c r="H992" s="47" t="n"/>
      <c r="I992" s="47" t="n"/>
      <c r="J992" s="47" t="n"/>
      <c r="K992" s="47" t="n"/>
      <c r="L992" s="47" t="n"/>
      <c r="M992" s="47" t="n"/>
      <c r="N992" s="49">
        <f>IF(A992="","",COUNTIFS('潜水記録'!$S$5:$S$3004,A992,'潜水記録'!$T$5:$T$3004,1))</f>
        <v/>
      </c>
      <c r="O992" s="49">
        <f>IF(A992="","",COUNTIF('潜水記録'!$S$5:$S$3004,A992))</f>
        <v/>
      </c>
    </row>
    <row r="993">
      <c r="A993" s="47" t="n"/>
      <c r="B993" s="48" t="n"/>
      <c r="C993" s="47" t="n"/>
      <c r="D993" s="47" t="n"/>
      <c r="E993" s="47" t="n"/>
      <c r="F993" s="47" t="n"/>
      <c r="G993" s="47" t="n"/>
      <c r="H993" s="47" t="n"/>
      <c r="I993" s="47" t="n"/>
      <c r="J993" s="47" t="n"/>
      <c r="K993" s="47" t="n"/>
      <c r="L993" s="47" t="n"/>
      <c r="M993" s="47" t="n"/>
      <c r="N993" s="49">
        <f>IF(A993="","",COUNTIFS('潜水記録'!$S$5:$S$3004,A993,'潜水記録'!$T$5:$T$3004,1))</f>
        <v/>
      </c>
      <c r="O993" s="49">
        <f>IF(A993="","",COUNTIF('潜水記録'!$S$5:$S$3004,A993))</f>
        <v/>
      </c>
    </row>
    <row r="994">
      <c r="A994" s="47" t="n"/>
      <c r="B994" s="48" t="n"/>
      <c r="C994" s="47" t="n"/>
      <c r="D994" s="47" t="n"/>
      <c r="E994" s="47" t="n"/>
      <c r="F994" s="47" t="n"/>
      <c r="G994" s="47" t="n"/>
      <c r="H994" s="47" t="n"/>
      <c r="I994" s="47" t="n"/>
      <c r="J994" s="47" t="n"/>
      <c r="K994" s="47" t="n"/>
      <c r="L994" s="47" t="n"/>
      <c r="M994" s="47" t="n"/>
      <c r="N994" s="49">
        <f>IF(A994="","",COUNTIFS('潜水記録'!$S$5:$S$3004,A994,'潜水記録'!$T$5:$T$3004,1))</f>
        <v/>
      </c>
      <c r="O994" s="49">
        <f>IF(A994="","",COUNTIF('潜水記録'!$S$5:$S$3004,A994))</f>
        <v/>
      </c>
    </row>
    <row r="995">
      <c r="A995" s="47" t="n"/>
      <c r="B995" s="48" t="n"/>
      <c r="C995" s="47" t="n"/>
      <c r="D995" s="47" t="n"/>
      <c r="E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  <c r="N995" s="49">
        <f>IF(A995="","",COUNTIFS('潜水記録'!$S$5:$S$3004,A995,'潜水記録'!$T$5:$T$3004,1))</f>
        <v/>
      </c>
      <c r="O995" s="49">
        <f>IF(A995="","",COUNTIF('潜水記録'!$S$5:$S$3004,A995))</f>
        <v/>
      </c>
    </row>
    <row r="996">
      <c r="A996" s="47" t="n"/>
      <c r="B996" s="48" t="n"/>
      <c r="C996" s="47" t="n"/>
      <c r="D996" s="47" t="n"/>
      <c r="E996" s="47" t="n"/>
      <c r="F996" s="47" t="n"/>
      <c r="G996" s="47" t="n"/>
      <c r="H996" s="47" t="n"/>
      <c r="I996" s="47" t="n"/>
      <c r="J996" s="47" t="n"/>
      <c r="K996" s="47" t="n"/>
      <c r="L996" s="47" t="n"/>
      <c r="M996" s="47" t="n"/>
      <c r="N996" s="49">
        <f>IF(A996="","",COUNTIFS('潜水記録'!$S$5:$S$3004,A996,'潜水記録'!$T$5:$T$3004,1))</f>
        <v/>
      </c>
      <c r="O996" s="49">
        <f>IF(A996="","",COUNTIF('潜水記録'!$S$5:$S$3004,A996))</f>
        <v/>
      </c>
    </row>
    <row r="997">
      <c r="A997" s="47" t="n"/>
      <c r="B997" s="48" t="n"/>
      <c r="C997" s="47" t="n"/>
      <c r="D997" s="47" t="n"/>
      <c r="E997" s="47" t="n"/>
      <c r="F997" s="47" t="n"/>
      <c r="G997" s="47" t="n"/>
      <c r="H997" s="47" t="n"/>
      <c r="I997" s="47" t="n"/>
      <c r="J997" s="47" t="n"/>
      <c r="K997" s="47" t="n"/>
      <c r="L997" s="47" t="n"/>
      <c r="M997" s="47" t="n"/>
      <c r="N997" s="49">
        <f>IF(A997="","",COUNTIFS('潜水記録'!$S$5:$S$3004,A997,'潜水記録'!$T$5:$T$3004,1))</f>
        <v/>
      </c>
      <c r="O997" s="49">
        <f>IF(A997="","",COUNTIF('潜水記録'!$S$5:$S$3004,A997))</f>
        <v/>
      </c>
    </row>
    <row r="998">
      <c r="A998" s="47" t="n"/>
      <c r="B998" s="48" t="n"/>
      <c r="C998" s="47" t="n"/>
      <c r="D998" s="47" t="n"/>
      <c r="E998" s="47" t="n"/>
      <c r="F998" s="47" t="n"/>
      <c r="G998" s="47" t="n"/>
      <c r="H998" s="47" t="n"/>
      <c r="I998" s="47" t="n"/>
      <c r="J998" s="47" t="n"/>
      <c r="K998" s="47" t="n"/>
      <c r="L998" s="47" t="n"/>
      <c r="M998" s="47" t="n"/>
      <c r="N998" s="49">
        <f>IF(A998="","",COUNTIFS('潜水記録'!$S$5:$S$3004,A998,'潜水記録'!$T$5:$T$3004,1))</f>
        <v/>
      </c>
      <c r="O998" s="49">
        <f>IF(A998="","",COUNTIF('潜水記録'!$S$5:$S$3004,A998))</f>
        <v/>
      </c>
    </row>
    <row r="999">
      <c r="A999" s="47" t="n"/>
      <c r="B999" s="48" t="n"/>
      <c r="C999" s="47" t="n"/>
      <c r="D999" s="47" t="n"/>
      <c r="E999" s="47" t="n"/>
      <c r="F999" s="47" t="n"/>
      <c r="G999" s="47" t="n"/>
      <c r="H999" s="47" t="n"/>
      <c r="I999" s="47" t="n"/>
      <c r="J999" s="47" t="n"/>
      <c r="K999" s="47" t="n"/>
      <c r="L999" s="47" t="n"/>
      <c r="M999" s="47" t="n"/>
      <c r="N999" s="49">
        <f>IF(A999="","",COUNTIFS('潜水記録'!$S$5:$S$3004,A999,'潜水記録'!$T$5:$T$3004,1))</f>
        <v/>
      </c>
      <c r="O999" s="49">
        <f>IF(A999="","",COUNTIF('潜水記録'!$S$5:$S$3004,A999))</f>
        <v/>
      </c>
    </row>
    <row r="1000">
      <c r="A1000" s="47" t="n"/>
      <c r="B1000" s="48" t="n"/>
      <c r="C1000" s="47" t="n"/>
      <c r="D1000" s="47" t="n"/>
      <c r="E1000" s="47" t="n"/>
      <c r="F1000" s="47" t="n"/>
      <c r="G1000" s="47" t="n"/>
      <c r="H1000" s="47" t="n"/>
      <c r="I1000" s="47" t="n"/>
      <c r="J1000" s="47" t="n"/>
      <c r="K1000" s="47" t="n"/>
      <c r="L1000" s="47" t="n"/>
      <c r="M1000" s="47" t="n"/>
      <c r="N1000" s="49">
        <f>IF(A1000="","",COUNTIFS('潜水記録'!$S$5:$S$3004,A1000,'潜水記録'!$T$5:$T$3004,1))</f>
        <v/>
      </c>
      <c r="O1000" s="49">
        <f>IF(A1000="","",COUNTIF('潜水記録'!$S$5:$S$3004,A1000))</f>
        <v/>
      </c>
    </row>
    <row r="1001">
      <c r="A1001" s="47" t="n"/>
      <c r="B1001" s="48" t="n"/>
      <c r="C1001" s="47" t="n"/>
      <c r="D1001" s="47" t="n"/>
      <c r="E1001" s="47" t="n"/>
      <c r="F1001" s="47" t="n"/>
      <c r="G1001" s="47" t="n"/>
      <c r="H1001" s="47" t="n"/>
      <c r="I1001" s="47" t="n"/>
      <c r="J1001" s="47" t="n"/>
      <c r="K1001" s="47" t="n"/>
      <c r="L1001" s="47" t="n"/>
      <c r="M1001" s="47" t="n"/>
      <c r="N1001" s="49">
        <f>IF(A1001="","",COUNTIFS('潜水記録'!$S$5:$S$3004,A1001,'潜水記録'!$T$5:$T$3004,1))</f>
        <v/>
      </c>
      <c r="O1001" s="49">
        <f>IF(A1001="","",COUNTIF('潜水記録'!$S$5:$S$3004,A1001))</f>
        <v/>
      </c>
    </row>
    <row r="1002">
      <c r="A1002" s="47" t="n"/>
      <c r="B1002" s="48" t="n"/>
      <c r="C1002" s="47" t="n"/>
      <c r="D1002" s="47" t="n"/>
      <c r="E1002" s="47" t="n"/>
      <c r="F1002" s="47" t="n"/>
      <c r="G1002" s="47" t="n"/>
      <c r="H1002" s="47" t="n"/>
      <c r="I1002" s="47" t="n"/>
      <c r="J1002" s="47" t="n"/>
      <c r="K1002" s="47" t="n"/>
      <c r="L1002" s="47" t="n"/>
      <c r="M1002" s="47" t="n"/>
      <c r="N1002" s="49">
        <f>IF(A1002="","",COUNTIFS('潜水記録'!$S$5:$S$3004,A1002,'潜水記録'!$T$5:$T$3004,1))</f>
        <v/>
      </c>
      <c r="O1002" s="49">
        <f>IF(A1002="","",COUNTIF('潜水記録'!$S$5:$S$3004,A1002))</f>
        <v/>
      </c>
    </row>
    <row r="1003">
      <c r="A1003" s="47" t="n"/>
      <c r="B1003" s="48" t="n"/>
      <c r="C1003" s="47" t="n"/>
      <c r="D1003" s="47" t="n"/>
      <c r="E1003" s="47" t="n"/>
      <c r="F1003" s="47" t="n"/>
      <c r="G1003" s="47" t="n"/>
      <c r="H1003" s="47" t="n"/>
      <c r="I1003" s="47" t="n"/>
      <c r="J1003" s="47" t="n"/>
      <c r="K1003" s="47" t="n"/>
      <c r="L1003" s="47" t="n"/>
      <c r="M1003" s="47" t="n"/>
      <c r="N1003" s="49">
        <f>IF(A1003="","",COUNTIFS('潜水記録'!$S$5:$S$3004,A1003,'潜水記録'!$T$5:$T$3004,1))</f>
        <v/>
      </c>
      <c r="O1003" s="49">
        <f>IF(A1003="","",COUNTIF('潜水記録'!$S$5:$S$3004,A1003))</f>
        <v/>
      </c>
    </row>
    <row r="1004">
      <c r="A1004" s="47" t="n"/>
      <c r="B1004" s="48" t="n"/>
      <c r="C1004" s="47" t="n"/>
      <c r="D1004" s="47" t="n"/>
      <c r="E1004" s="47" t="n"/>
      <c r="F1004" s="47" t="n"/>
      <c r="G1004" s="47" t="n"/>
      <c r="H1004" s="47" t="n"/>
      <c r="I1004" s="47" t="n"/>
      <c r="J1004" s="47" t="n"/>
      <c r="K1004" s="47" t="n"/>
      <c r="L1004" s="47" t="n"/>
      <c r="M1004" s="47" t="n"/>
      <c r="N1004" s="49">
        <f>IF(A1004="","",COUNTIFS('潜水記録'!$S$5:$S$3004,A1004,'潜水記録'!$T$5:$T$3004,1))</f>
        <v/>
      </c>
      <c r="O1004" s="49">
        <f>IF(A1004="","",COUNTIF('潜水記録'!$S$5:$S$3004,A1004))</f>
        <v/>
      </c>
    </row>
  </sheetData>
  <autoFilter ref="A4:P1004"/>
  <mergeCells count="1">
    <mergeCell ref="A1:E1"/>
  </mergeCells>
  <dataValidations count="2">
    <dataValidation sqref="C5:C1004" showDropDown="0" showInputMessage="0" showErrorMessage="0" allowBlank="1" errorTitle="入力できない値です" error="プルダウンから選んでください（選択肢シートで追加できます）" type="list">
      <formula1>=L_区分</formula1>
    </dataValidation>
    <dataValidation sqref="A5:A1004" showDropDown="0" showInputMessage="0" showErrorMessage="0" allowBlank="0" errorTitle="重複" error="同じ事案IDがすでにあります" type="custom">
      <formula1>=COUNTIF($A$5:$A$1004,A5)=1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3004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7" customWidth="1" min="4" max="4"/>
    <col width="20" customWidth="1" min="5" max="5"/>
    <col width="12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7" customWidth="1" min="13" max="13"/>
    <col width="7" customWidth="1" min="14" max="14"/>
    <col width="9" customWidth="1" min="15" max="15"/>
    <col width="7" customWidth="1" min="16" max="16"/>
    <col width="11" customWidth="1" min="17" max="17"/>
    <col width="22" customWidth="1" min="18" max="18"/>
    <col width="13" customWidth="1" min="19" max="19"/>
    <col width="6" customWidth="1" min="20" max="20"/>
    <col width="7" customWidth="1" min="21" max="21"/>
    <col width="7" customWidth="1" min="22" max="22"/>
    <col width="8" customWidth="1" min="23" max="23"/>
    <col width="7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8" customWidth="1" min="30" max="30"/>
    <col width="22" customWidth="1" min="31" max="31"/>
    <col hidden="1" outlineLevel="1" width="9" customWidth="1" min="32" max="32"/>
    <col hidden="1" outlineLevel="1" width="9" customWidth="1" min="33" max="33"/>
    <col hidden="1" outlineLevel="1" width="9" customWidth="1" min="34" max="34"/>
    <col hidden="1" outlineLevel="1" width="9" customWidth="1" min="35" max="35"/>
    <col hidden="1" outlineLevel="1" width="9" customWidth="1" min="36" max="36"/>
    <col hidden="1" outlineLevel="1" width="9" customWidth="1" min="37" max="37"/>
    <col width="22" customWidth="1" min="38" max="38"/>
    <col width="8" customWidth="1" min="39" max="39"/>
    <col width="8" customWidth="1" min="40" max="40"/>
    <col width="7" customWidth="1" min="41" max="41"/>
    <col width="8" customWidth="1" min="42" max="42"/>
    <col width="8" customWidth="1" min="43" max="43"/>
    <col width="9" customWidth="1" min="44" max="44"/>
    <col width="8" customWidth="1" min="45" max="45"/>
    <col width="11" customWidth="1" min="46" max="46"/>
    <col width="10" customWidth="1" min="47" max="47"/>
    <col width="22" customWidth="1" min="48" max="48"/>
    <col width="17" customWidth="1" min="49" max="49"/>
  </cols>
  <sheetData>
    <row r="1" ht="34" customHeight="1">
      <c r="A1" s="1" t="inlineStr">
        <is>
          <t>潜水記録</t>
        </is>
      </c>
      <c r="B1" s="2" t="n"/>
      <c r="C1" s="2" t="n"/>
      <c r="D1" s="2" t="n"/>
      <c r="E1" s="2" t="n"/>
    </row>
    <row r="2">
      <c r="A2" s="3" t="inlineStr">
        <is>
          <t>1人が1本潜るごとに1行。アプリのCSVは［アプリのCSVを取り込む］で入ります（同じ記録は二重に入らず、直した記録は上書き、アプリで削除した記録は行が空きます）。手で入力してもかまいません。</t>
        </is>
      </c>
    </row>
    <row r="3">
      <c r="S3" s="50" t="inlineStr">
        <is>
          <t>ここから右はアプリが計算した値</t>
        </is>
      </c>
      <c r="AL3" s="51" t="inlineStr">
        <is>
          <t>アプリの追加記録（ここから右。記録IDで同じ潜水かを見分けます）</t>
        </is>
      </c>
      <c r="AM3" s="38" t="n"/>
      <c r="AN3" s="38" t="n"/>
      <c r="AO3" s="38" t="n"/>
      <c r="AP3" s="38" t="n"/>
      <c r="AQ3" s="38" t="n"/>
      <c r="AR3" s="38" t="n"/>
      <c r="AS3" s="38" t="n"/>
      <c r="AT3" s="38" t="n"/>
      <c r="AU3" s="38" t="n"/>
      <c r="AV3" s="38" t="n"/>
      <c r="AW3" s="38" t="n"/>
    </row>
    <row r="4" ht="32" customHeight="1">
      <c r="A4" s="13" t="inlineStr">
        <is>
          <t>日付</t>
        </is>
      </c>
      <c r="B4" s="13" t="inlineStr">
        <is>
          <t>職員番号</t>
        </is>
      </c>
      <c r="C4" s="13" t="inlineStr">
        <is>
          <t>氏名（自動）</t>
        </is>
      </c>
      <c r="D4" s="13" t="inlineStr">
        <is>
          <t>区分</t>
        </is>
      </c>
      <c r="E4" s="13" t="inlineStr">
        <is>
          <t>事案・訓練名</t>
        </is>
      </c>
      <c r="F4" s="13" t="inlineStr">
        <is>
          <t>地点</t>
        </is>
      </c>
      <c r="G4" s="13" t="inlineStr">
        <is>
          <t>最大水深(m)</t>
        </is>
      </c>
      <c r="H4" s="13" t="inlineStr">
        <is>
          <t>潜水時間(分)</t>
        </is>
      </c>
      <c r="I4" s="13" t="inlineStr">
        <is>
          <t>前の潜水からの水面休息(分)</t>
        </is>
      </c>
      <c r="J4" s="13" t="inlineStr">
        <is>
          <t>タンク容量(L)</t>
        </is>
      </c>
      <c r="K4" s="13" t="inlineStr">
        <is>
          <t>開始圧(気圧)</t>
        </is>
      </c>
      <c r="L4" s="13" t="inlineStr">
        <is>
          <t>終了圧(気圧)</t>
        </is>
      </c>
      <c r="M4" s="13" t="inlineStr">
        <is>
          <t>水温(℃)</t>
        </is>
      </c>
      <c r="N4" s="13" t="inlineStr">
        <is>
          <t>透視度(m)</t>
        </is>
      </c>
      <c r="O4" s="13" t="inlineStr">
        <is>
          <t>減圧停止(表の判定)</t>
        </is>
      </c>
      <c r="P4" s="13" t="inlineStr">
        <is>
          <t>体調異常</t>
        </is>
      </c>
      <c r="Q4" s="13" t="inlineStr">
        <is>
          <t>指揮者</t>
        </is>
      </c>
      <c r="R4" s="13" t="inlineStr">
        <is>
          <t>備考</t>
        </is>
      </c>
      <c r="S4" s="13" t="inlineStr">
        <is>
          <t>事案ID</t>
        </is>
      </c>
      <c r="T4" s="13" t="inlineStr">
        <is>
          <t>本数</t>
        </is>
      </c>
      <c r="U4" s="13" t="inlineStr">
        <is>
          <t>潜降時刻</t>
        </is>
      </c>
      <c r="V4" s="13" t="inlineStr">
        <is>
          <t>浮上時刻</t>
        </is>
      </c>
      <c r="W4" s="13" t="inlineStr">
        <is>
          <t>表の水深(m)</t>
        </is>
      </c>
      <c r="X4" s="13" t="inlineStr">
        <is>
          <t>グループ</t>
        </is>
      </c>
      <c r="Y4" s="13" t="inlineStr">
        <is>
          <t>残留窒素時間(分)</t>
        </is>
      </c>
      <c r="Z4" s="13" t="inlineStr">
        <is>
          <t>合計窒素時間(分)</t>
        </is>
      </c>
      <c r="AA4" s="13" t="inlineStr">
        <is>
          <t>最大潜水時間(分)</t>
        </is>
      </c>
      <c r="AB4" s="13" t="inlineStr">
        <is>
          <t>修正最大潜水時間(分)</t>
        </is>
      </c>
      <c r="AC4" s="13" t="inlineStr">
        <is>
          <t>判定</t>
        </is>
      </c>
      <c r="AD4" s="13" t="inlineStr">
        <is>
          <t>5m減圧停止(分)</t>
        </is>
      </c>
      <c r="AE4" s="13" t="inlineStr">
        <is>
          <t>潜水表</t>
        </is>
      </c>
      <c r="AF4" s="13" t="inlineStr">
        <is>
          <t>年度（自動）</t>
        </is>
      </c>
      <c r="AG4" s="13" t="inlineStr">
        <is>
          <t>経歴簿用（自動）</t>
        </is>
      </c>
      <c r="AH4" s="13" t="inlineStr">
        <is>
          <t>抽出対象（自動）</t>
        </is>
      </c>
      <c r="AI4" s="13" t="inlineStr">
        <is>
          <t>抽出用（自動）</t>
        </is>
      </c>
      <c r="AJ4" s="13" t="inlineStr">
        <is>
          <t>報告書用（自動）</t>
        </is>
      </c>
      <c r="AK4" s="13" t="inlineStr">
        <is>
          <t>取込時の氏名</t>
        </is>
      </c>
      <c r="AL4" s="13" t="inlineStr">
        <is>
          <t>記録ID</t>
        </is>
      </c>
      <c r="AM4" s="13" t="inlineStr">
        <is>
          <t>予定水深(m)</t>
        </is>
      </c>
      <c r="AN4" s="13" t="inlineStr">
        <is>
          <t>浮上開始時刻</t>
        </is>
      </c>
      <c r="AO4" s="13" t="inlineStr">
        <is>
          <t>安全停止</t>
        </is>
      </c>
      <c r="AP4" s="13" t="inlineStr">
        <is>
          <t>浮上停止の水深(m)</t>
        </is>
      </c>
      <c r="AQ4" s="13" t="inlineStr">
        <is>
          <t>浮上停止の時間(分)</t>
        </is>
      </c>
      <c r="AR4" s="13" t="inlineStr">
        <is>
          <t>平均浮上速度(m/分)</t>
        </is>
      </c>
      <c r="AS4" s="13" t="inlineStr">
        <is>
          <t>呼吸ガス</t>
        </is>
      </c>
      <c r="AT4" s="13" t="inlineStr">
        <is>
          <t>監視員</t>
        </is>
      </c>
      <c r="AU4" s="13" t="inlineStr">
        <is>
          <t>1本目扱い</t>
        </is>
      </c>
      <c r="AV4" s="13" t="inlineStr">
        <is>
          <t>修正記録</t>
        </is>
      </c>
      <c r="AW4" s="13" t="inlineStr">
        <is>
          <t>記録更新日時</t>
        </is>
      </c>
    </row>
    <row r="5">
      <c r="A5" s="48" t="n">
        <v>45791</v>
      </c>
      <c r="B5" s="52" t="inlineStr">
        <is>
          <t>1001</t>
        </is>
      </c>
      <c r="C5" s="47">
        <f>IF(B5="","",IFERROR(INDEX('隊員マスタ'!$B$5:$B$204,MATCH(B5&amp;"",'隊員マスタ'!$F$5:$F$204,0)),IF(AK5="","番号なし",AK5)))</f>
        <v/>
      </c>
      <c r="D5" s="47" t="inlineStr">
        <is>
          <t>訓練</t>
        </is>
      </c>
      <c r="E5" s="47" t="inlineStr">
        <is>
          <t>定期潜水訓練</t>
        </is>
      </c>
      <c r="F5" s="47" t="inlineStr">
        <is>
          <t>平良港</t>
        </is>
      </c>
      <c r="G5" s="47" t="n">
        <v>9</v>
      </c>
      <c r="H5" s="47" t="n">
        <v>33</v>
      </c>
      <c r="I5" s="47" t="n"/>
      <c r="J5" s="47" t="n">
        <v>10</v>
      </c>
      <c r="K5" s="47" t="n">
        <v>200</v>
      </c>
      <c r="L5" s="47" t="n">
        <v>60</v>
      </c>
      <c r="M5" s="47" t="n">
        <v>24</v>
      </c>
      <c r="N5" s="47" t="n">
        <v>8</v>
      </c>
      <c r="O5" s="47" t="inlineStr">
        <is>
          <t>無</t>
        </is>
      </c>
      <c r="P5" s="47" t="inlineStr">
        <is>
          <t>無</t>
        </is>
      </c>
      <c r="Q5" s="47" t="inlineStr">
        <is>
          <t>見本 一郎</t>
        </is>
      </c>
      <c r="R5" s="47" t="n"/>
      <c r="S5" s="47" t="inlineStr">
        <is>
          <t>S-20250514</t>
        </is>
      </c>
      <c r="T5" s="47" t="n">
        <v>1</v>
      </c>
      <c r="U5" s="53" t="n">
        <v>0.3888888888888889</v>
      </c>
      <c r="V5" s="53" t="n">
        <v>0.4159722222222222</v>
      </c>
      <c r="W5" s="47" t="n">
        <v>9</v>
      </c>
      <c r="X5" s="47" t="inlineStr">
        <is>
          <t>C</t>
        </is>
      </c>
      <c r="Y5" s="47" t="n">
        <v>0</v>
      </c>
      <c r="Z5" s="47" t="n">
        <v>33</v>
      </c>
      <c r="AA5" s="47" t="n">
        <v>223</v>
      </c>
      <c r="AB5" s="47" t="n">
        <v>223</v>
      </c>
      <c r="AC5" s="47" t="inlineStr">
        <is>
          <t>無減圧</t>
        </is>
      </c>
      <c r="AD5" s="47" t="n"/>
      <c r="AE5" s="47" t="inlineStr">
        <is>
          <t>NAUI ダイブテーブル・2022年版</t>
        </is>
      </c>
      <c r="AF5" s="20">
        <f>IF(A5="","",YEAR(EDATE(A5,-3)))</f>
        <v/>
      </c>
      <c r="AG5" s="20">
        <f>IF(OR(B5="",'経歴簿'!$C$4=""),"",IF(B5&amp;""='経歴簿'!$C$4&amp;"",MAX($AG$4:AG4)+1,""))</f>
        <v/>
      </c>
      <c r="AH5" s="20">
        <f>IF(A5="",0,IF(AND(OR('CSV抽出'!$C$4="",A5&gt;='CSV抽出'!$C$4),OR('CSV抽出'!$C$5="",A5&lt;='CSV抽出'!$C$5),OR('CSV抽出'!$C$6="すべて",'CSV抽出'!$C$6="",D5='CSV抽出'!$C$6),OR('CSV抽出'!$C$7="",B5&amp;""='CSV抽出'!$C$7&amp;"")),1,0))</f>
        <v/>
      </c>
      <c r="AI5" s="20">
        <f>IF(AH5=1,SUM($AH$5:AH5),"")</f>
        <v/>
      </c>
      <c r="AJ5" s="20">
        <f>IF(OR(S5="",'報告書'!$C$4=""),"",IF(S5&amp;""='報告書'!$C$4&amp;"",COUNTIF($S$5:S5,'報告書'!$C$4),""))</f>
        <v/>
      </c>
      <c r="AK5" s="20" t="inlineStr">
        <is>
          <t>見本 一郎</t>
        </is>
      </c>
      <c r="AL5" s="47" t="inlineStr">
        <is>
          <t>smp-20250514-1001-1</t>
        </is>
      </c>
      <c r="AM5" s="47" t="n">
        <v>9</v>
      </c>
      <c r="AN5" s="53" t="n">
        <v>0.4118055555555555</v>
      </c>
      <c r="AO5" s="47" t="inlineStr">
        <is>
          <t>有</t>
        </is>
      </c>
      <c r="AP5" s="47" t="n">
        <v>5</v>
      </c>
      <c r="AQ5" s="47" t="n">
        <v>3</v>
      </c>
      <c r="AR5" s="47" t="n">
        <v>3</v>
      </c>
      <c r="AS5" s="47" t="inlineStr">
        <is>
          <t>空気</t>
        </is>
      </c>
      <c r="AT5" s="47" t="inlineStr">
        <is>
          <t>見本 八郎</t>
        </is>
      </c>
      <c r="AU5" s="47" t="n"/>
      <c r="AV5" s="47" t="n"/>
      <c r="AW5" s="52" t="inlineStr">
        <is>
          <t>2025/05/14 09:59:00</t>
        </is>
      </c>
    </row>
    <row r="6">
      <c r="A6" s="48" t="n">
        <v>45791</v>
      </c>
      <c r="B6" s="52" t="inlineStr">
        <is>
          <t>1002</t>
        </is>
      </c>
      <c r="C6" s="47">
        <f>IF(B6="","",IFERROR(INDEX('隊員マスタ'!$B$5:$B$204,MATCH(B6&amp;"",'隊員マスタ'!$F$5:$F$204,0)),IF(AK6="","番号なし",AK6)))</f>
        <v/>
      </c>
      <c r="D6" s="47" t="inlineStr">
        <is>
          <t>訓練</t>
        </is>
      </c>
      <c r="E6" s="47" t="inlineStr">
        <is>
          <t>定期潜水訓練</t>
        </is>
      </c>
      <c r="F6" s="47" t="inlineStr">
        <is>
          <t>平良港</t>
        </is>
      </c>
      <c r="G6" s="47" t="n">
        <v>9</v>
      </c>
      <c r="H6" s="47" t="n">
        <v>35</v>
      </c>
      <c r="I6" s="47" t="n"/>
      <c r="J6" s="47" t="n">
        <v>10</v>
      </c>
      <c r="K6" s="47" t="n">
        <v>200</v>
      </c>
      <c r="L6" s="47" t="n">
        <v>60</v>
      </c>
      <c r="M6" s="47" t="n">
        <v>24</v>
      </c>
      <c r="N6" s="47" t="n">
        <v>8</v>
      </c>
      <c r="O6" s="47" t="inlineStr">
        <is>
          <t>無</t>
        </is>
      </c>
      <c r="P6" s="47" t="inlineStr">
        <is>
          <t>無</t>
        </is>
      </c>
      <c r="Q6" s="47" t="inlineStr">
        <is>
          <t>見本 一郎</t>
        </is>
      </c>
      <c r="R6" s="47" t="n"/>
      <c r="S6" s="47" t="inlineStr">
        <is>
          <t>S-20250514</t>
        </is>
      </c>
      <c r="T6" s="47" t="n">
        <v>1</v>
      </c>
      <c r="U6" s="53" t="n">
        <v>0.3888888888888889</v>
      </c>
      <c r="V6" s="53" t="n">
        <v>0.4173611111111111</v>
      </c>
      <c r="W6" s="47" t="n">
        <v>9</v>
      </c>
      <c r="X6" s="47" t="inlineStr">
        <is>
          <t>C</t>
        </is>
      </c>
      <c r="Y6" s="47" t="n">
        <v>0</v>
      </c>
      <c r="Z6" s="47" t="n">
        <v>35</v>
      </c>
      <c r="AA6" s="47" t="n">
        <v>223</v>
      </c>
      <c r="AB6" s="47" t="n">
        <v>223</v>
      </c>
      <c r="AC6" s="47" t="inlineStr">
        <is>
          <t>無減圧</t>
        </is>
      </c>
      <c r="AD6" s="47" t="n"/>
      <c r="AE6" s="47" t="inlineStr">
        <is>
          <t>NAUI ダイブテーブル・2022年版</t>
        </is>
      </c>
      <c r="AF6" s="20">
        <f>IF(A6="","",YEAR(EDATE(A6,-3)))</f>
        <v/>
      </c>
      <c r="AG6" s="20">
        <f>IF(OR(B6="",'経歴簿'!$C$4=""),"",IF(B6&amp;""='経歴簿'!$C$4&amp;"",MAX($AG$4:AG5)+1,""))</f>
        <v/>
      </c>
      <c r="AH6" s="20">
        <f>IF(A6="",0,IF(AND(OR('CSV抽出'!$C$4="",A6&gt;='CSV抽出'!$C$4),OR('CSV抽出'!$C$5="",A6&lt;='CSV抽出'!$C$5),OR('CSV抽出'!$C$6="すべて",'CSV抽出'!$C$6="",D6='CSV抽出'!$C$6),OR('CSV抽出'!$C$7="",B6&amp;""='CSV抽出'!$C$7&amp;"")),1,0))</f>
        <v/>
      </c>
      <c r="AI6" s="20">
        <f>IF(AH6=1,SUM($AH$5:AH6),"")</f>
        <v/>
      </c>
      <c r="AJ6" s="20">
        <f>IF(OR(S6="",'報告書'!$C$4=""),"",IF(S6&amp;""='報告書'!$C$4&amp;"",COUNTIF($S$5:S6,'報告書'!$C$4),""))</f>
        <v/>
      </c>
      <c r="AK6" s="20" t="inlineStr">
        <is>
          <t>見本 二郎</t>
        </is>
      </c>
      <c r="AL6" s="47" t="inlineStr">
        <is>
          <t>smp-20250514-1002-1</t>
        </is>
      </c>
      <c r="AM6" s="47" t="n">
        <v>9</v>
      </c>
      <c r="AN6" s="53" t="n">
        <v>0.4131944444444444</v>
      </c>
      <c r="AO6" s="47" t="inlineStr">
        <is>
          <t>有</t>
        </is>
      </c>
      <c r="AP6" s="47" t="n">
        <v>5</v>
      </c>
      <c r="AQ6" s="47" t="n">
        <v>3</v>
      </c>
      <c r="AR6" s="47" t="n">
        <v>3</v>
      </c>
      <c r="AS6" s="47" t="inlineStr">
        <is>
          <t>空気</t>
        </is>
      </c>
      <c r="AT6" s="47" t="inlineStr">
        <is>
          <t>見本 八郎</t>
        </is>
      </c>
      <c r="AU6" s="47" t="n"/>
      <c r="AV6" s="47" t="n"/>
      <c r="AW6" s="52" t="inlineStr">
        <is>
          <t>2025/05/14 10:01:00</t>
        </is>
      </c>
    </row>
    <row r="7">
      <c r="A7" s="48" t="n">
        <v>45791</v>
      </c>
      <c r="B7" s="52" t="inlineStr">
        <is>
          <t>1002</t>
        </is>
      </c>
      <c r="C7" s="47">
        <f>IF(B7="","",IFERROR(INDEX('隊員マスタ'!$B$5:$B$204,MATCH(B7&amp;"",'隊員マスタ'!$F$5:$F$204,0)),IF(AK7="","番号なし",AK7)))</f>
        <v/>
      </c>
      <c r="D7" s="47" t="inlineStr">
        <is>
          <t>訓練</t>
        </is>
      </c>
      <c r="E7" s="47" t="inlineStr">
        <is>
          <t>定期潜水訓練</t>
        </is>
      </c>
      <c r="F7" s="47" t="inlineStr">
        <is>
          <t>平良港</t>
        </is>
      </c>
      <c r="G7" s="47" t="n">
        <v>6</v>
      </c>
      <c r="H7" s="47" t="n">
        <v>30</v>
      </c>
      <c r="I7" s="47" t="n">
        <v>49</v>
      </c>
      <c r="J7" s="47" t="n">
        <v>10</v>
      </c>
      <c r="K7" s="47" t="n">
        <v>200</v>
      </c>
      <c r="L7" s="47" t="n">
        <v>80</v>
      </c>
      <c r="M7" s="47" t="n">
        <v>24</v>
      </c>
      <c r="N7" s="47" t="n">
        <v>8</v>
      </c>
      <c r="O7" s="47" t="inlineStr">
        <is>
          <t>無</t>
        </is>
      </c>
      <c r="P7" s="47" t="inlineStr">
        <is>
          <t>無</t>
        </is>
      </c>
      <c r="Q7" s="47" t="inlineStr">
        <is>
          <t>見本 一郎</t>
        </is>
      </c>
      <c r="R7" s="47" t="n"/>
      <c r="S7" s="47" t="inlineStr">
        <is>
          <t>S-20250514</t>
        </is>
      </c>
      <c r="T7" s="47" t="n">
        <v>2</v>
      </c>
      <c r="U7" s="53" t="n">
        <v>0.4513888888888889</v>
      </c>
      <c r="V7" s="53" t="n">
        <v>0.4763888888888889</v>
      </c>
      <c r="W7" s="47" t="n">
        <v>6</v>
      </c>
      <c r="X7" s="47" t="inlineStr">
        <is>
          <t>E</t>
        </is>
      </c>
      <c r="Y7" s="47" t="n">
        <v>62</v>
      </c>
      <c r="Z7" s="47" t="n">
        <v>92</v>
      </c>
      <c r="AA7" s="47" t="n">
        <v>461</v>
      </c>
      <c r="AB7" s="47" t="n">
        <v>399</v>
      </c>
      <c r="AC7" s="47" t="inlineStr">
        <is>
          <t>無減圧</t>
        </is>
      </c>
      <c r="AD7" s="47" t="n"/>
      <c r="AE7" s="47" t="inlineStr">
        <is>
          <t>NAUI ダイブテーブル・2022年版</t>
        </is>
      </c>
      <c r="AF7" s="20">
        <f>IF(A7="","",YEAR(EDATE(A7,-3)))</f>
        <v/>
      </c>
      <c r="AG7" s="20">
        <f>IF(OR(B7="",'経歴簿'!$C$4=""),"",IF(B7&amp;""='経歴簿'!$C$4&amp;"",MAX($AG$4:AG6)+1,""))</f>
        <v/>
      </c>
      <c r="AH7" s="20">
        <f>IF(A7="",0,IF(AND(OR('CSV抽出'!$C$4="",A7&gt;='CSV抽出'!$C$4),OR('CSV抽出'!$C$5="",A7&lt;='CSV抽出'!$C$5),OR('CSV抽出'!$C$6="すべて",'CSV抽出'!$C$6="",D7='CSV抽出'!$C$6),OR('CSV抽出'!$C$7="",B7&amp;""='CSV抽出'!$C$7&amp;"")),1,0))</f>
        <v/>
      </c>
      <c r="AI7" s="20">
        <f>IF(AH7=1,SUM($AH$5:AH7),"")</f>
        <v/>
      </c>
      <c r="AJ7" s="20">
        <f>IF(OR(S7="",'報告書'!$C$4=""),"",IF(S7&amp;""='報告書'!$C$4&amp;"",COUNTIF($S$5:S7,'報告書'!$C$4),""))</f>
        <v/>
      </c>
      <c r="AK7" s="20" t="inlineStr">
        <is>
          <t>見本 二郎</t>
        </is>
      </c>
      <c r="AL7" s="47" t="inlineStr">
        <is>
          <t>smp-20250514-1002-2</t>
        </is>
      </c>
      <c r="AM7" s="47" t="n">
        <v>6</v>
      </c>
      <c r="AN7" s="53" t="n">
        <v>0.4722222222222222</v>
      </c>
      <c r="AO7" s="47" t="inlineStr">
        <is>
          <t>有</t>
        </is>
      </c>
      <c r="AP7" s="47" t="n">
        <v>5</v>
      </c>
      <c r="AQ7" s="47" t="n">
        <v>3</v>
      </c>
      <c r="AR7" s="47" t="n">
        <v>2</v>
      </c>
      <c r="AS7" s="47" t="inlineStr">
        <is>
          <t>空気</t>
        </is>
      </c>
      <c r="AT7" s="47" t="inlineStr">
        <is>
          <t>見本 八郎</t>
        </is>
      </c>
      <c r="AU7" s="47" t="n"/>
      <c r="AV7" s="47" t="n"/>
      <c r="AW7" s="52" t="inlineStr">
        <is>
          <t>2025/05/14 11:26:00</t>
        </is>
      </c>
    </row>
    <row r="8">
      <c r="A8" s="48" t="n">
        <v>45791</v>
      </c>
      <c r="B8" s="52" t="inlineStr">
        <is>
          <t>1003</t>
        </is>
      </c>
      <c r="C8" s="47">
        <f>IF(B8="","",IFERROR(INDEX('隊員マスタ'!$B$5:$B$204,MATCH(B8&amp;"",'隊員マスタ'!$F$5:$F$204,0)),IF(AK8="","番号なし",AK8)))</f>
        <v/>
      </c>
      <c r="D8" s="47" t="inlineStr">
        <is>
          <t>訓練</t>
        </is>
      </c>
      <c r="E8" s="47" t="inlineStr">
        <is>
          <t>定期潜水訓練</t>
        </is>
      </c>
      <c r="F8" s="47" t="inlineStr">
        <is>
          <t>平良港</t>
        </is>
      </c>
      <c r="G8" s="47" t="n">
        <v>8</v>
      </c>
      <c r="H8" s="47" t="n">
        <v>31</v>
      </c>
      <c r="I8" s="47" t="n"/>
      <c r="J8" s="47" t="n">
        <v>10</v>
      </c>
      <c r="K8" s="47" t="n">
        <v>200</v>
      </c>
      <c r="L8" s="47" t="n">
        <v>60</v>
      </c>
      <c r="M8" s="47" t="n">
        <v>24</v>
      </c>
      <c r="N8" s="47" t="n">
        <v>8</v>
      </c>
      <c r="O8" s="47" t="inlineStr">
        <is>
          <t>無</t>
        </is>
      </c>
      <c r="P8" s="47" t="inlineStr">
        <is>
          <t>無</t>
        </is>
      </c>
      <c r="Q8" s="47" t="inlineStr">
        <is>
          <t>見本 一郎</t>
        </is>
      </c>
      <c r="R8" s="47" t="n"/>
      <c r="S8" s="47" t="inlineStr">
        <is>
          <t>S-20250514</t>
        </is>
      </c>
      <c r="T8" s="47" t="n">
        <v>1</v>
      </c>
      <c r="U8" s="53" t="n">
        <v>0.3902777777777778</v>
      </c>
      <c r="V8" s="53" t="n">
        <v>0.4159722222222222</v>
      </c>
      <c r="W8" s="47" t="n">
        <v>9</v>
      </c>
      <c r="X8" s="47" t="inlineStr">
        <is>
          <t>C</t>
        </is>
      </c>
      <c r="Y8" s="47" t="n">
        <v>0</v>
      </c>
      <c r="Z8" s="47" t="n">
        <v>31</v>
      </c>
      <c r="AA8" s="47" t="n">
        <v>223</v>
      </c>
      <c r="AB8" s="47" t="n">
        <v>223</v>
      </c>
      <c r="AC8" s="47" t="inlineStr">
        <is>
          <t>無減圧</t>
        </is>
      </c>
      <c r="AD8" s="47" t="n"/>
      <c r="AE8" s="47" t="inlineStr">
        <is>
          <t>NAUI ダイブテーブル・2022年版</t>
        </is>
      </c>
      <c r="AF8" s="20">
        <f>IF(A8="","",YEAR(EDATE(A8,-3)))</f>
        <v/>
      </c>
      <c r="AG8" s="20">
        <f>IF(OR(B8="",'経歴簿'!$C$4=""),"",IF(B8&amp;""='経歴簿'!$C$4&amp;"",MAX($AG$4:AG7)+1,""))</f>
        <v/>
      </c>
      <c r="AH8" s="20">
        <f>IF(A8="",0,IF(AND(OR('CSV抽出'!$C$4="",A8&gt;='CSV抽出'!$C$4),OR('CSV抽出'!$C$5="",A8&lt;='CSV抽出'!$C$5),OR('CSV抽出'!$C$6="すべて",'CSV抽出'!$C$6="",D8='CSV抽出'!$C$6),OR('CSV抽出'!$C$7="",B8&amp;""='CSV抽出'!$C$7&amp;"")),1,0))</f>
        <v/>
      </c>
      <c r="AI8" s="20">
        <f>IF(AH8=1,SUM($AH$5:AH8),"")</f>
        <v/>
      </c>
      <c r="AJ8" s="20">
        <f>IF(OR(S8="",'報告書'!$C$4=""),"",IF(S8&amp;""='報告書'!$C$4&amp;"",COUNTIF($S$5:S8,'報告書'!$C$4),""))</f>
        <v/>
      </c>
      <c r="AK8" s="20" t="inlineStr">
        <is>
          <t>見本 三郎</t>
        </is>
      </c>
      <c r="AL8" s="47" t="inlineStr">
        <is>
          <t>smp-20250514-1003-1</t>
        </is>
      </c>
      <c r="AM8" s="47" t="n">
        <v>9</v>
      </c>
      <c r="AN8" s="53" t="n">
        <v>0.4118055555555555</v>
      </c>
      <c r="AO8" s="47" t="inlineStr">
        <is>
          <t>有</t>
        </is>
      </c>
      <c r="AP8" s="47" t="n">
        <v>5</v>
      </c>
      <c r="AQ8" s="47" t="n">
        <v>3</v>
      </c>
      <c r="AR8" s="47" t="n">
        <v>2.7</v>
      </c>
      <c r="AS8" s="47" t="inlineStr">
        <is>
          <t>空気</t>
        </is>
      </c>
      <c r="AT8" s="47" t="inlineStr">
        <is>
          <t>見本 八郎</t>
        </is>
      </c>
      <c r="AU8" s="47" t="n"/>
      <c r="AV8" s="47" t="n"/>
      <c r="AW8" s="52" t="inlineStr">
        <is>
          <t>2025/05/14 09:59:00</t>
        </is>
      </c>
    </row>
    <row r="9">
      <c r="A9" s="48" t="n">
        <v>45791</v>
      </c>
      <c r="B9" s="52" t="inlineStr">
        <is>
          <t>1005</t>
        </is>
      </c>
      <c r="C9" s="47">
        <f>IF(B9="","",IFERROR(INDEX('隊員マスタ'!$B$5:$B$204,MATCH(B9&amp;"",'隊員マスタ'!$F$5:$F$204,0)),IF(AK9="","番号なし",AK9)))</f>
        <v/>
      </c>
      <c r="D9" s="47" t="inlineStr">
        <is>
          <t>訓練</t>
        </is>
      </c>
      <c r="E9" s="47" t="inlineStr">
        <is>
          <t>定期潜水訓練</t>
        </is>
      </c>
      <c r="F9" s="47" t="inlineStr">
        <is>
          <t>平良港</t>
        </is>
      </c>
      <c r="G9" s="47" t="n">
        <v>9</v>
      </c>
      <c r="H9" s="47" t="n">
        <v>37</v>
      </c>
      <c r="I9" s="47" t="n"/>
      <c r="J9" s="47" t="n">
        <v>10</v>
      </c>
      <c r="K9" s="47" t="n">
        <v>200</v>
      </c>
      <c r="L9" s="47" t="n">
        <v>60</v>
      </c>
      <c r="M9" s="47" t="n">
        <v>24</v>
      </c>
      <c r="N9" s="47" t="n">
        <v>8</v>
      </c>
      <c r="O9" s="47" t="inlineStr">
        <is>
          <t>無</t>
        </is>
      </c>
      <c r="P9" s="47" t="inlineStr">
        <is>
          <t>無</t>
        </is>
      </c>
      <c r="Q9" s="47" t="inlineStr">
        <is>
          <t>見本 一郎</t>
        </is>
      </c>
      <c r="R9" s="47" t="n"/>
      <c r="S9" s="47" t="inlineStr">
        <is>
          <t>S-20250514</t>
        </is>
      </c>
      <c r="T9" s="47" t="n">
        <v>1</v>
      </c>
      <c r="U9" s="53" t="n">
        <v>0.3902777777777778</v>
      </c>
      <c r="V9" s="53" t="n">
        <v>0.4201388888888889</v>
      </c>
      <c r="W9" s="47" t="n">
        <v>9</v>
      </c>
      <c r="X9" s="47" t="inlineStr">
        <is>
          <t>C</t>
        </is>
      </c>
      <c r="Y9" s="47" t="n">
        <v>0</v>
      </c>
      <c r="Z9" s="47" t="n">
        <v>37</v>
      </c>
      <c r="AA9" s="47" t="n">
        <v>223</v>
      </c>
      <c r="AB9" s="47" t="n">
        <v>223</v>
      </c>
      <c r="AC9" s="47" t="inlineStr">
        <is>
          <t>無減圧</t>
        </is>
      </c>
      <c r="AD9" s="47" t="n"/>
      <c r="AE9" s="47" t="inlineStr">
        <is>
          <t>NAUI ダイブテーブル・2022年版</t>
        </is>
      </c>
      <c r="AF9" s="20">
        <f>IF(A9="","",YEAR(EDATE(A9,-3)))</f>
        <v/>
      </c>
      <c r="AG9" s="20">
        <f>IF(OR(B9="",'経歴簿'!$C$4=""),"",IF(B9&amp;""='経歴簿'!$C$4&amp;"",MAX($AG$4:AG8)+1,""))</f>
        <v/>
      </c>
      <c r="AH9" s="20">
        <f>IF(A9="",0,IF(AND(OR('CSV抽出'!$C$4="",A9&gt;='CSV抽出'!$C$4),OR('CSV抽出'!$C$5="",A9&lt;='CSV抽出'!$C$5),OR('CSV抽出'!$C$6="すべて",'CSV抽出'!$C$6="",D9='CSV抽出'!$C$6),OR('CSV抽出'!$C$7="",B9&amp;""='CSV抽出'!$C$7&amp;"")),1,0))</f>
        <v/>
      </c>
      <c r="AI9" s="20">
        <f>IF(AH9=1,SUM($AH$5:AH9),"")</f>
        <v/>
      </c>
      <c r="AJ9" s="20">
        <f>IF(OR(S9="",'報告書'!$C$4=""),"",IF(S9&amp;""='報告書'!$C$4&amp;"",COUNTIF($S$5:S9,'報告書'!$C$4),""))</f>
        <v/>
      </c>
      <c r="AK9" s="20" t="inlineStr">
        <is>
          <t>見本 五郎</t>
        </is>
      </c>
      <c r="AL9" s="47" t="inlineStr">
        <is>
          <t>smp-20250514-1005-1</t>
        </is>
      </c>
      <c r="AM9" s="47" t="n">
        <v>9</v>
      </c>
      <c r="AN9" s="53" t="n">
        <v>0.4159722222222222</v>
      </c>
      <c r="AO9" s="47" t="inlineStr">
        <is>
          <t>有</t>
        </is>
      </c>
      <c r="AP9" s="47" t="n">
        <v>5</v>
      </c>
      <c r="AQ9" s="47" t="n">
        <v>3</v>
      </c>
      <c r="AR9" s="47" t="n">
        <v>3</v>
      </c>
      <c r="AS9" s="47" t="inlineStr">
        <is>
          <t>空気</t>
        </is>
      </c>
      <c r="AT9" s="47" t="inlineStr">
        <is>
          <t>見本 八郎</t>
        </is>
      </c>
      <c r="AU9" s="47" t="n"/>
      <c r="AV9" s="47" t="n"/>
      <c r="AW9" s="52" t="inlineStr">
        <is>
          <t>2025/05/14 10:05:00</t>
        </is>
      </c>
    </row>
    <row r="10">
      <c r="A10" s="48" t="n">
        <v>45890</v>
      </c>
      <c r="B10" s="52" t="inlineStr">
        <is>
          <t>1001</t>
        </is>
      </c>
      <c r="C10" s="47">
        <f>IF(B10="","",IFERROR(INDEX('隊員マスタ'!$B$5:$B$204,MATCH(B10&amp;"",'隊員マスタ'!$F$5:$F$204,0)),IF(AK10="","番号なし",AK10)))</f>
        <v/>
      </c>
      <c r="D10" s="47" t="inlineStr">
        <is>
          <t>災害</t>
        </is>
      </c>
      <c r="E10" s="47" t="inlineStr">
        <is>
          <t>水難事故 水中検索</t>
        </is>
      </c>
      <c r="F10" s="47" t="inlineStr">
        <is>
          <t>渡口の浜</t>
        </is>
      </c>
      <c r="G10" s="47" t="n">
        <v>6</v>
      </c>
      <c r="H10" s="47" t="n">
        <v>38</v>
      </c>
      <c r="I10" s="47" t="n"/>
      <c r="J10" s="47" t="n">
        <v>10</v>
      </c>
      <c r="K10" s="47" t="n">
        <v>200</v>
      </c>
      <c r="L10" s="47" t="n">
        <v>60</v>
      </c>
      <c r="M10" s="47" t="n">
        <v>29</v>
      </c>
      <c r="N10" s="47" t="n">
        <v>15</v>
      </c>
      <c r="O10" s="47" t="inlineStr">
        <is>
          <t>無</t>
        </is>
      </c>
      <c r="P10" s="47" t="inlineStr">
        <is>
          <t>無</t>
        </is>
      </c>
      <c r="Q10" s="47" t="inlineStr">
        <is>
          <t>見本 二郎</t>
        </is>
      </c>
      <c r="R10" s="47" t="n"/>
      <c r="S10" s="47" t="inlineStr">
        <is>
          <t>S-20250821</t>
        </is>
      </c>
      <c r="T10" s="47" t="n">
        <v>1</v>
      </c>
      <c r="U10" s="53" t="n">
        <v>0.6041666666666666</v>
      </c>
      <c r="V10" s="53" t="n">
        <v>0.6347222222222222</v>
      </c>
      <c r="W10" s="47" t="n">
        <v>6</v>
      </c>
      <c r="X10" s="47" t="inlineStr">
        <is>
          <t>B</t>
        </is>
      </c>
      <c r="Y10" s="47" t="n">
        <v>0</v>
      </c>
      <c r="Z10" s="47" t="n">
        <v>38</v>
      </c>
      <c r="AA10" s="47" t="n">
        <v>461</v>
      </c>
      <c r="AB10" s="47" t="n">
        <v>461</v>
      </c>
      <c r="AC10" s="47" t="inlineStr">
        <is>
          <t>無減圧</t>
        </is>
      </c>
      <c r="AD10" s="47" t="n"/>
      <c r="AE10" s="47" t="inlineStr">
        <is>
          <t>NAUI ダイブテーブル・2022年版</t>
        </is>
      </c>
      <c r="AF10" s="20">
        <f>IF(A10="","",YEAR(EDATE(A10,-3)))</f>
        <v/>
      </c>
      <c r="AG10" s="20">
        <f>IF(OR(B10="",'経歴簿'!$C$4=""),"",IF(B10&amp;""='経歴簿'!$C$4&amp;"",MAX($AG$4:AG9)+1,""))</f>
        <v/>
      </c>
      <c r="AH10" s="20">
        <f>IF(A10="",0,IF(AND(OR('CSV抽出'!$C$4="",A10&gt;='CSV抽出'!$C$4),OR('CSV抽出'!$C$5="",A10&lt;='CSV抽出'!$C$5),OR('CSV抽出'!$C$6="すべて",'CSV抽出'!$C$6="",D10='CSV抽出'!$C$6),OR('CSV抽出'!$C$7="",B10&amp;""='CSV抽出'!$C$7&amp;"")),1,0))</f>
        <v/>
      </c>
      <c r="AI10" s="20">
        <f>IF(AH10=1,SUM($AH$5:AH10),"")</f>
        <v/>
      </c>
      <c r="AJ10" s="20">
        <f>IF(OR(S10="",'報告書'!$C$4=""),"",IF(S10&amp;""='報告書'!$C$4&amp;"",COUNTIF($S$5:S10,'報告書'!$C$4),""))</f>
        <v/>
      </c>
      <c r="AK10" s="20" t="inlineStr">
        <is>
          <t>見本 一郎</t>
        </is>
      </c>
      <c r="AL10" s="47" t="inlineStr">
        <is>
          <t>smp-20250821-1001-1</t>
        </is>
      </c>
      <c r="AM10" s="47" t="n">
        <v>6</v>
      </c>
      <c r="AN10" s="53" t="n">
        <v>0.6305555555555555</v>
      </c>
      <c r="AO10" s="47" t="inlineStr">
        <is>
          <t>有</t>
        </is>
      </c>
      <c r="AP10" s="47" t="n">
        <v>5</v>
      </c>
      <c r="AQ10" s="47" t="n">
        <v>3</v>
      </c>
      <c r="AR10" s="47" t="n">
        <v>2</v>
      </c>
      <c r="AS10" s="47" t="inlineStr">
        <is>
          <t>空気</t>
        </is>
      </c>
      <c r="AT10" s="47" t="inlineStr">
        <is>
          <t>見本 六郎</t>
        </is>
      </c>
      <c r="AU10" s="47" t="n"/>
      <c r="AV10" s="47" t="n"/>
      <c r="AW10" s="52" t="inlineStr">
        <is>
          <t>2025/08/21 15:14:00</t>
        </is>
      </c>
    </row>
    <row r="11">
      <c r="A11" s="48" t="n">
        <v>45890</v>
      </c>
      <c r="B11" s="52" t="inlineStr">
        <is>
          <t>1002</t>
        </is>
      </c>
      <c r="C11" s="47">
        <f>IF(B11="","",IFERROR(INDEX('隊員マスタ'!$B$5:$B$204,MATCH(B11&amp;"",'隊員マスタ'!$F$5:$F$204,0)),IF(AK11="","番号なし",AK11)))</f>
        <v/>
      </c>
      <c r="D11" s="47" t="inlineStr">
        <is>
          <t>災害</t>
        </is>
      </c>
      <c r="E11" s="47" t="inlineStr">
        <is>
          <t>水難事故 水中検索</t>
        </is>
      </c>
      <c r="F11" s="47" t="inlineStr">
        <is>
          <t>渡口の浜</t>
        </is>
      </c>
      <c r="G11" s="47" t="n">
        <v>6</v>
      </c>
      <c r="H11" s="47" t="n">
        <v>40</v>
      </c>
      <c r="I11" s="47" t="n"/>
      <c r="J11" s="47" t="n">
        <v>10</v>
      </c>
      <c r="K11" s="47" t="n">
        <v>200</v>
      </c>
      <c r="L11" s="47" t="n">
        <v>60</v>
      </c>
      <c r="M11" s="47" t="n">
        <v>29</v>
      </c>
      <c r="N11" s="47" t="n">
        <v>15</v>
      </c>
      <c r="O11" s="47" t="inlineStr">
        <is>
          <t>無</t>
        </is>
      </c>
      <c r="P11" s="47" t="inlineStr">
        <is>
          <t>無</t>
        </is>
      </c>
      <c r="Q11" s="47" t="inlineStr">
        <is>
          <t>見本 二郎</t>
        </is>
      </c>
      <c r="R11" s="47" t="n"/>
      <c r="S11" s="47" t="inlineStr">
        <is>
          <t>S-20250821</t>
        </is>
      </c>
      <c r="T11" s="47" t="n">
        <v>1</v>
      </c>
      <c r="U11" s="53" t="n">
        <v>0.6041666666666666</v>
      </c>
      <c r="V11" s="53" t="n">
        <v>0.6361111111111111</v>
      </c>
      <c r="W11" s="47" t="n">
        <v>6</v>
      </c>
      <c r="X11" s="47" t="inlineStr">
        <is>
          <t>B</t>
        </is>
      </c>
      <c r="Y11" s="47" t="n">
        <v>0</v>
      </c>
      <c r="Z11" s="47" t="n">
        <v>40</v>
      </c>
      <c r="AA11" s="47" t="n">
        <v>461</v>
      </c>
      <c r="AB11" s="47" t="n">
        <v>461</v>
      </c>
      <c r="AC11" s="47" t="inlineStr">
        <is>
          <t>無減圧</t>
        </is>
      </c>
      <c r="AD11" s="47" t="n"/>
      <c r="AE11" s="47" t="inlineStr">
        <is>
          <t>NAUI ダイブテーブル・2022年版</t>
        </is>
      </c>
      <c r="AF11" s="20">
        <f>IF(A11="","",YEAR(EDATE(A11,-3)))</f>
        <v/>
      </c>
      <c r="AG11" s="20">
        <f>IF(OR(B11="",'経歴簿'!$C$4=""),"",IF(B11&amp;""='経歴簿'!$C$4&amp;"",MAX($AG$4:AG10)+1,""))</f>
        <v/>
      </c>
      <c r="AH11" s="20">
        <f>IF(A11="",0,IF(AND(OR('CSV抽出'!$C$4="",A11&gt;='CSV抽出'!$C$4),OR('CSV抽出'!$C$5="",A11&lt;='CSV抽出'!$C$5),OR('CSV抽出'!$C$6="すべて",'CSV抽出'!$C$6="",D11='CSV抽出'!$C$6),OR('CSV抽出'!$C$7="",B11&amp;""='CSV抽出'!$C$7&amp;"")),1,0))</f>
        <v/>
      </c>
      <c r="AI11" s="20">
        <f>IF(AH11=1,SUM($AH$5:AH11),"")</f>
        <v/>
      </c>
      <c r="AJ11" s="20">
        <f>IF(OR(S11="",'報告書'!$C$4=""),"",IF(S11&amp;""='報告書'!$C$4&amp;"",COUNTIF($S$5:S11,'報告書'!$C$4),""))</f>
        <v/>
      </c>
      <c r="AK11" s="20" t="inlineStr">
        <is>
          <t>見本 二郎</t>
        </is>
      </c>
      <c r="AL11" s="47" t="inlineStr">
        <is>
          <t>smp-20250821-1002-1</t>
        </is>
      </c>
      <c r="AM11" s="47" t="n">
        <v>6</v>
      </c>
      <c r="AN11" s="53" t="n">
        <v>0.6319444444444444</v>
      </c>
      <c r="AO11" s="47" t="inlineStr">
        <is>
          <t>有</t>
        </is>
      </c>
      <c r="AP11" s="47" t="n">
        <v>5</v>
      </c>
      <c r="AQ11" s="47" t="n">
        <v>3</v>
      </c>
      <c r="AR11" s="47" t="n">
        <v>2</v>
      </c>
      <c r="AS11" s="47" t="inlineStr">
        <is>
          <t>空気</t>
        </is>
      </c>
      <c r="AT11" s="47" t="inlineStr">
        <is>
          <t>見本 六郎</t>
        </is>
      </c>
      <c r="AU11" s="47" t="n"/>
      <c r="AV11" s="47" t="n"/>
      <c r="AW11" s="52" t="inlineStr">
        <is>
          <t>2025/08/21 15:16:00</t>
        </is>
      </c>
    </row>
    <row r="12">
      <c r="A12" s="48" t="n">
        <v>45890</v>
      </c>
      <c r="B12" s="52" t="inlineStr">
        <is>
          <t>1004</t>
        </is>
      </c>
      <c r="C12" s="47">
        <f>IF(B12="","",IFERROR(INDEX('隊員マスタ'!$B$5:$B$204,MATCH(B12&amp;"",'隊員マスタ'!$F$5:$F$204,0)),IF(AK12="","番号なし",AK12)))</f>
        <v/>
      </c>
      <c r="D12" s="47" t="inlineStr">
        <is>
          <t>災害</t>
        </is>
      </c>
      <c r="E12" s="47" t="inlineStr">
        <is>
          <t>水難事故 水中検索</t>
        </is>
      </c>
      <c r="F12" s="47" t="inlineStr">
        <is>
          <t>渡口の浜</t>
        </is>
      </c>
      <c r="G12" s="47" t="n">
        <v>7</v>
      </c>
      <c r="H12" s="47" t="n">
        <v>36</v>
      </c>
      <c r="I12" s="47" t="n"/>
      <c r="J12" s="47" t="n">
        <v>10</v>
      </c>
      <c r="K12" s="47" t="n">
        <v>200</v>
      </c>
      <c r="L12" s="47" t="n">
        <v>60</v>
      </c>
      <c r="M12" s="47" t="n">
        <v>29</v>
      </c>
      <c r="N12" s="47" t="n">
        <v>15</v>
      </c>
      <c r="O12" s="47" t="inlineStr">
        <is>
          <t>無</t>
        </is>
      </c>
      <c r="P12" s="47" t="inlineStr">
        <is>
          <t>無</t>
        </is>
      </c>
      <c r="Q12" s="47" t="inlineStr">
        <is>
          <t>見本 二郎</t>
        </is>
      </c>
      <c r="R12" s="47" t="n"/>
      <c r="S12" s="47" t="inlineStr">
        <is>
          <t>S-20250821</t>
        </is>
      </c>
      <c r="T12" s="47" t="n">
        <v>1</v>
      </c>
      <c r="U12" s="53" t="n">
        <v>0.6055555555555555</v>
      </c>
      <c r="V12" s="53" t="n">
        <v>0.6347222222222222</v>
      </c>
      <c r="W12" s="47" t="n">
        <v>9</v>
      </c>
      <c r="X12" s="47" t="inlineStr">
        <is>
          <t>C</t>
        </is>
      </c>
      <c r="Y12" s="47" t="n">
        <v>0</v>
      </c>
      <c r="Z12" s="47" t="n">
        <v>36</v>
      </c>
      <c r="AA12" s="47" t="n">
        <v>223</v>
      </c>
      <c r="AB12" s="47" t="n">
        <v>223</v>
      </c>
      <c r="AC12" s="47" t="inlineStr">
        <is>
          <t>無減圧</t>
        </is>
      </c>
      <c r="AD12" s="47" t="n"/>
      <c r="AE12" s="47" t="inlineStr">
        <is>
          <t>NAUI ダイブテーブル・2022年版</t>
        </is>
      </c>
      <c r="AF12" s="20">
        <f>IF(A12="","",YEAR(EDATE(A12,-3)))</f>
        <v/>
      </c>
      <c r="AG12" s="20">
        <f>IF(OR(B12="",'経歴簿'!$C$4=""),"",IF(B12&amp;""='経歴簿'!$C$4&amp;"",MAX($AG$4:AG11)+1,""))</f>
        <v/>
      </c>
      <c r="AH12" s="20">
        <f>IF(A12="",0,IF(AND(OR('CSV抽出'!$C$4="",A12&gt;='CSV抽出'!$C$4),OR('CSV抽出'!$C$5="",A12&lt;='CSV抽出'!$C$5),OR('CSV抽出'!$C$6="すべて",'CSV抽出'!$C$6="",D12='CSV抽出'!$C$6),OR('CSV抽出'!$C$7="",B12&amp;""='CSV抽出'!$C$7&amp;"")),1,0))</f>
        <v/>
      </c>
      <c r="AI12" s="20">
        <f>IF(AH12=1,SUM($AH$5:AH12),"")</f>
        <v/>
      </c>
      <c r="AJ12" s="20">
        <f>IF(OR(S12="",'報告書'!$C$4=""),"",IF(S12&amp;""='報告書'!$C$4&amp;"",COUNTIF($S$5:S12,'報告書'!$C$4),""))</f>
        <v/>
      </c>
      <c r="AK12" s="20" t="inlineStr">
        <is>
          <t>見本 四郎</t>
        </is>
      </c>
      <c r="AL12" s="47" t="inlineStr">
        <is>
          <t>smp-20250821-1004-1</t>
        </is>
      </c>
      <c r="AM12" s="47" t="n">
        <v>9</v>
      </c>
      <c r="AN12" s="53" t="n">
        <v>0.6305555555555555</v>
      </c>
      <c r="AO12" s="47" t="inlineStr">
        <is>
          <t>有</t>
        </is>
      </c>
      <c r="AP12" s="47" t="n">
        <v>5</v>
      </c>
      <c r="AQ12" s="47" t="n">
        <v>3</v>
      </c>
      <c r="AR12" s="47" t="n">
        <v>2.3</v>
      </c>
      <c r="AS12" s="47" t="inlineStr">
        <is>
          <t>空気</t>
        </is>
      </c>
      <c r="AT12" s="47" t="inlineStr">
        <is>
          <t>見本 六郎</t>
        </is>
      </c>
      <c r="AU12" s="47" t="n"/>
      <c r="AV12" s="47" t="n"/>
      <c r="AW12" s="52" t="inlineStr">
        <is>
          <t>2025/08/21 15:14:00</t>
        </is>
      </c>
    </row>
    <row r="13">
      <c r="A13" s="48" t="n">
        <v>45890</v>
      </c>
      <c r="B13" s="52" t="inlineStr">
        <is>
          <t>1004</t>
        </is>
      </c>
      <c r="C13" s="47">
        <f>IF(B13="","",IFERROR(INDEX('隊員マスタ'!$B$5:$B$204,MATCH(B13&amp;"",'隊員マスタ'!$F$5:$F$204,0)),IF(AK13="","番号なし",AK13)))</f>
        <v/>
      </c>
      <c r="D13" s="47" t="inlineStr">
        <is>
          <t>災害</t>
        </is>
      </c>
      <c r="E13" s="47" t="inlineStr">
        <is>
          <t>水難事故 水中検索</t>
        </is>
      </c>
      <c r="F13" s="47" t="inlineStr">
        <is>
          <t>渡口の浜</t>
        </is>
      </c>
      <c r="G13" s="47" t="n">
        <v>6</v>
      </c>
      <c r="H13" s="47" t="n">
        <v>20</v>
      </c>
      <c r="I13" s="47" t="n">
        <v>26</v>
      </c>
      <c r="J13" s="47" t="n">
        <v>10</v>
      </c>
      <c r="K13" s="47" t="n">
        <v>200</v>
      </c>
      <c r="L13" s="47" t="n">
        <v>80</v>
      </c>
      <c r="M13" s="47" t="n">
        <v>29</v>
      </c>
      <c r="N13" s="47" t="n">
        <v>15</v>
      </c>
      <c r="O13" s="47" t="inlineStr">
        <is>
          <t>無</t>
        </is>
      </c>
      <c r="P13" s="47" t="inlineStr">
        <is>
          <t>無</t>
        </is>
      </c>
      <c r="Q13" s="47" t="inlineStr">
        <is>
          <t>見本 二郎</t>
        </is>
      </c>
      <c r="R13" s="47" t="n"/>
      <c r="S13" s="47" t="inlineStr">
        <is>
          <t>S-20250821</t>
        </is>
      </c>
      <c r="T13" s="47" t="n">
        <v>2</v>
      </c>
      <c r="U13" s="53" t="n">
        <v>0.6527777777777778</v>
      </c>
      <c r="V13" s="53" t="n">
        <v>0.6708333333333333</v>
      </c>
      <c r="W13" s="47" t="n">
        <v>6</v>
      </c>
      <c r="X13" s="47" t="inlineStr">
        <is>
          <t>D</t>
        </is>
      </c>
      <c r="Y13" s="47" t="n">
        <v>62</v>
      </c>
      <c r="Z13" s="47" t="n">
        <v>82</v>
      </c>
      <c r="AA13" s="47" t="n">
        <v>461</v>
      </c>
      <c r="AB13" s="47" t="n">
        <v>399</v>
      </c>
      <c r="AC13" s="47" t="inlineStr">
        <is>
          <t>無減圧</t>
        </is>
      </c>
      <c r="AD13" s="47" t="n"/>
      <c r="AE13" s="47" t="inlineStr">
        <is>
          <t>NAUI ダイブテーブル・2022年版</t>
        </is>
      </c>
      <c r="AF13" s="20">
        <f>IF(A13="","",YEAR(EDATE(A13,-3)))</f>
        <v/>
      </c>
      <c r="AG13" s="20">
        <f>IF(OR(B13="",'経歴簿'!$C$4=""),"",IF(B13&amp;""='経歴簿'!$C$4&amp;"",MAX($AG$4:AG12)+1,""))</f>
        <v/>
      </c>
      <c r="AH13" s="20">
        <f>IF(A13="",0,IF(AND(OR('CSV抽出'!$C$4="",A13&gt;='CSV抽出'!$C$4),OR('CSV抽出'!$C$5="",A13&lt;='CSV抽出'!$C$5),OR('CSV抽出'!$C$6="すべて",'CSV抽出'!$C$6="",D13='CSV抽出'!$C$6),OR('CSV抽出'!$C$7="",B13&amp;""='CSV抽出'!$C$7&amp;"")),1,0))</f>
        <v/>
      </c>
      <c r="AI13" s="20">
        <f>IF(AH13=1,SUM($AH$5:AH13),"")</f>
        <v/>
      </c>
      <c r="AJ13" s="20">
        <f>IF(OR(S13="",'報告書'!$C$4=""),"",IF(S13&amp;""='報告書'!$C$4&amp;"",COUNTIF($S$5:S13,'報告書'!$C$4),""))</f>
        <v/>
      </c>
      <c r="AK13" s="20" t="inlineStr">
        <is>
          <t>見本 四郎</t>
        </is>
      </c>
      <c r="AL13" s="47" t="inlineStr">
        <is>
          <t>smp-20250821-1004-2</t>
        </is>
      </c>
      <c r="AM13" s="47" t="n">
        <v>6</v>
      </c>
      <c r="AN13" s="53" t="n">
        <v>0.6666666666666666</v>
      </c>
      <c r="AO13" s="47" t="inlineStr">
        <is>
          <t>有</t>
        </is>
      </c>
      <c r="AP13" s="47" t="n">
        <v>5</v>
      </c>
      <c r="AQ13" s="47" t="n">
        <v>3</v>
      </c>
      <c r="AR13" s="47" t="n">
        <v>2</v>
      </c>
      <c r="AS13" s="47" t="inlineStr">
        <is>
          <t>空気</t>
        </is>
      </c>
      <c r="AT13" s="47" t="inlineStr">
        <is>
          <t>見本 六郎</t>
        </is>
      </c>
      <c r="AU13" s="47" t="n"/>
      <c r="AV13" s="47" t="n"/>
      <c r="AW13" s="52" t="inlineStr">
        <is>
          <t>2025/08/21 16:06:00</t>
        </is>
      </c>
    </row>
    <row r="14">
      <c r="A14" s="48" t="n">
        <v>46197</v>
      </c>
      <c r="B14" s="52" t="inlineStr">
        <is>
          <t>1001</t>
        </is>
      </c>
      <c r="C14" s="47">
        <f>IF(B14="","",IFERROR(INDEX('隊員マスタ'!$B$5:$B$204,MATCH(B14&amp;"",'隊員マスタ'!$F$5:$F$204,0)),IF(AK14="","番号なし",AK14)))</f>
        <v/>
      </c>
      <c r="D14" s="47" t="inlineStr">
        <is>
          <t>災害</t>
        </is>
      </c>
      <c r="E14" s="47" t="inlineStr">
        <is>
          <t>車両転落 水中検索</t>
        </is>
      </c>
      <c r="F14" s="47" t="inlineStr">
        <is>
          <t>平良港</t>
        </is>
      </c>
      <c r="G14" s="47" t="n">
        <v>12</v>
      </c>
      <c r="H14" s="47" t="n">
        <v>28</v>
      </c>
      <c r="I14" s="47" t="n"/>
      <c r="J14" s="47" t="n">
        <v>10</v>
      </c>
      <c r="K14" s="47" t="n">
        <v>200</v>
      </c>
      <c r="L14" s="47" t="n">
        <v>60</v>
      </c>
      <c r="M14" s="47" t="n">
        <v>27</v>
      </c>
      <c r="N14" s="47" t="n">
        <v>6</v>
      </c>
      <c r="O14" s="47" t="inlineStr">
        <is>
          <t>無</t>
        </is>
      </c>
      <c r="P14" s="47" t="inlineStr">
        <is>
          <t>無</t>
        </is>
      </c>
      <c r="Q14" s="47" t="inlineStr">
        <is>
          <t>見本 二郎</t>
        </is>
      </c>
      <c r="R14" s="47" t="n"/>
      <c r="S14" s="47" t="inlineStr">
        <is>
          <t>S-20260624</t>
        </is>
      </c>
      <c r="T14" s="47" t="n">
        <v>1</v>
      </c>
      <c r="U14" s="53" t="n">
        <v>0.4305555555555556</v>
      </c>
      <c r="V14" s="53" t="n">
        <v>0.4541666666666667</v>
      </c>
      <c r="W14" s="47" t="n">
        <v>12</v>
      </c>
      <c r="X14" s="47" t="inlineStr">
        <is>
          <t>D</t>
        </is>
      </c>
      <c r="Y14" s="47" t="n">
        <v>0</v>
      </c>
      <c r="Z14" s="47" t="n">
        <v>28</v>
      </c>
      <c r="AA14" s="47" t="n">
        <v>130</v>
      </c>
      <c r="AB14" s="47" t="n">
        <v>130</v>
      </c>
      <c r="AC14" s="47" t="inlineStr">
        <is>
          <t>無減圧</t>
        </is>
      </c>
      <c r="AD14" s="47" t="n"/>
      <c r="AE14" s="47" t="inlineStr">
        <is>
          <t>NAUI ダイブテーブル・2022年版</t>
        </is>
      </c>
      <c r="AF14" s="20">
        <f>IF(A14="","",YEAR(EDATE(A14,-3)))</f>
        <v/>
      </c>
      <c r="AG14" s="20">
        <f>IF(OR(B14="",'経歴簿'!$C$4=""),"",IF(B14&amp;""='経歴簿'!$C$4&amp;"",MAX($AG$4:AG13)+1,""))</f>
        <v/>
      </c>
      <c r="AH14" s="20">
        <f>IF(A14="",0,IF(AND(OR('CSV抽出'!$C$4="",A14&gt;='CSV抽出'!$C$4),OR('CSV抽出'!$C$5="",A14&lt;='CSV抽出'!$C$5),OR('CSV抽出'!$C$6="すべて",'CSV抽出'!$C$6="",D14='CSV抽出'!$C$6),OR('CSV抽出'!$C$7="",B14&amp;""='CSV抽出'!$C$7&amp;"")),1,0))</f>
        <v/>
      </c>
      <c r="AI14" s="20">
        <f>IF(AH14=1,SUM($AH$5:AH14),"")</f>
        <v/>
      </c>
      <c r="AJ14" s="20">
        <f>IF(OR(S14="",'報告書'!$C$4=""),"",IF(S14&amp;""='報告書'!$C$4&amp;"",COUNTIF($S$5:S14,'報告書'!$C$4),""))</f>
        <v/>
      </c>
      <c r="AK14" s="20" t="inlineStr">
        <is>
          <t>見本 一郎</t>
        </is>
      </c>
      <c r="AL14" s="47" t="inlineStr">
        <is>
          <t>smp-20260624-1001-1</t>
        </is>
      </c>
      <c r="AM14" s="47" t="n">
        <v>12</v>
      </c>
      <c r="AN14" s="53" t="n">
        <v>0.45</v>
      </c>
      <c r="AO14" s="47" t="inlineStr">
        <is>
          <t>有</t>
        </is>
      </c>
      <c r="AP14" s="47" t="n">
        <v>5</v>
      </c>
      <c r="AQ14" s="47" t="n">
        <v>3</v>
      </c>
      <c r="AR14" s="47" t="n">
        <v>4</v>
      </c>
      <c r="AS14" s="47" t="inlineStr">
        <is>
          <t>空気</t>
        </is>
      </c>
      <c r="AT14" s="47" t="inlineStr">
        <is>
          <t>見本 五郎</t>
        </is>
      </c>
      <c r="AU14" s="47" t="n"/>
      <c r="AV14" s="47" t="n"/>
      <c r="AW14" s="52" t="inlineStr">
        <is>
          <t>2026/06/24 10:54:00</t>
        </is>
      </c>
    </row>
    <row r="15">
      <c r="A15" s="48" t="n">
        <v>46197</v>
      </c>
      <c r="B15" s="52" t="inlineStr">
        <is>
          <t>1001</t>
        </is>
      </c>
      <c r="C15" s="47">
        <f>IF(B15="","",IFERROR(INDEX('隊員マスタ'!$B$5:$B$204,MATCH(B15&amp;"",'隊員マスタ'!$F$5:$F$204,0)),IF(AK15="","番号なし",AK15)))</f>
        <v/>
      </c>
      <c r="D15" s="47" t="inlineStr">
        <is>
          <t>災害</t>
        </is>
      </c>
      <c r="E15" s="47" t="inlineStr">
        <is>
          <t>車両転落 水中検索</t>
        </is>
      </c>
      <c r="F15" s="47" t="inlineStr">
        <is>
          <t>平良港</t>
        </is>
      </c>
      <c r="G15" s="47" t="n">
        <v>9</v>
      </c>
      <c r="H15" s="47" t="n">
        <v>20</v>
      </c>
      <c r="I15" s="47" t="n">
        <v>66</v>
      </c>
      <c r="J15" s="47" t="n">
        <v>10</v>
      </c>
      <c r="K15" s="47" t="n">
        <v>200</v>
      </c>
      <c r="L15" s="47" t="n">
        <v>80</v>
      </c>
      <c r="M15" s="47" t="n">
        <v>27</v>
      </c>
      <c r="N15" s="47" t="n">
        <v>6</v>
      </c>
      <c r="O15" s="47" t="inlineStr">
        <is>
          <t>無</t>
        </is>
      </c>
      <c r="P15" s="47" t="inlineStr">
        <is>
          <t>無</t>
        </is>
      </c>
      <c r="Q15" s="47" t="inlineStr">
        <is>
          <t>見本 二郎</t>
        </is>
      </c>
      <c r="R15" s="47" t="n"/>
      <c r="S15" s="47" t="inlineStr">
        <is>
          <t>S-20260624</t>
        </is>
      </c>
      <c r="T15" s="47" t="n">
        <v>2</v>
      </c>
      <c r="U15" s="53" t="n">
        <v>0.5</v>
      </c>
      <c r="V15" s="53" t="n">
        <v>0.5180555555555556</v>
      </c>
      <c r="W15" s="47" t="n">
        <v>9</v>
      </c>
      <c r="X15" s="47" t="inlineStr">
        <is>
          <t>E</t>
        </is>
      </c>
      <c r="Y15" s="47" t="n">
        <v>39</v>
      </c>
      <c r="Z15" s="47" t="n">
        <v>59</v>
      </c>
      <c r="AA15" s="47" t="n">
        <v>223</v>
      </c>
      <c r="AB15" s="47" t="n">
        <v>184</v>
      </c>
      <c r="AC15" s="47" t="inlineStr">
        <is>
          <t>無減圧</t>
        </is>
      </c>
      <c r="AD15" s="47" t="n"/>
      <c r="AE15" s="47" t="inlineStr">
        <is>
          <t>NAUI ダイブテーブル・2022年版</t>
        </is>
      </c>
      <c r="AF15" s="20">
        <f>IF(A15="","",YEAR(EDATE(A15,-3)))</f>
        <v/>
      </c>
      <c r="AG15" s="20">
        <f>IF(OR(B15="",'経歴簿'!$C$4=""),"",IF(B15&amp;""='経歴簿'!$C$4&amp;"",MAX($AG$4:AG14)+1,""))</f>
        <v/>
      </c>
      <c r="AH15" s="20">
        <f>IF(A15="",0,IF(AND(OR('CSV抽出'!$C$4="",A15&gt;='CSV抽出'!$C$4),OR('CSV抽出'!$C$5="",A15&lt;='CSV抽出'!$C$5),OR('CSV抽出'!$C$6="すべて",'CSV抽出'!$C$6="",D15='CSV抽出'!$C$6),OR('CSV抽出'!$C$7="",B15&amp;""='CSV抽出'!$C$7&amp;"")),1,0))</f>
        <v/>
      </c>
      <c r="AI15" s="20">
        <f>IF(AH15=1,SUM($AH$5:AH15),"")</f>
        <v/>
      </c>
      <c r="AJ15" s="20">
        <f>IF(OR(S15="",'報告書'!$C$4=""),"",IF(S15&amp;""='報告書'!$C$4&amp;"",COUNTIF($S$5:S15,'報告書'!$C$4),""))</f>
        <v/>
      </c>
      <c r="AK15" s="20" t="inlineStr">
        <is>
          <t>見本 一郎</t>
        </is>
      </c>
      <c r="AL15" s="47" t="inlineStr">
        <is>
          <t>smp-20260624-1001-2</t>
        </is>
      </c>
      <c r="AM15" s="47" t="n">
        <v>9</v>
      </c>
      <c r="AN15" s="53" t="n">
        <v>0.5138888888888888</v>
      </c>
      <c r="AO15" s="47" t="inlineStr">
        <is>
          <t>有</t>
        </is>
      </c>
      <c r="AP15" s="47" t="n">
        <v>5</v>
      </c>
      <c r="AQ15" s="47" t="n">
        <v>3</v>
      </c>
      <c r="AR15" s="47" t="n">
        <v>3</v>
      </c>
      <c r="AS15" s="47" t="inlineStr">
        <is>
          <t>空気</t>
        </is>
      </c>
      <c r="AT15" s="47" t="inlineStr">
        <is>
          <t>見本 五郎</t>
        </is>
      </c>
      <c r="AU15" s="47" t="n"/>
      <c r="AV15" s="47" t="n"/>
      <c r="AW15" s="52" t="inlineStr">
        <is>
          <t>2026/06/24 12:26:00</t>
        </is>
      </c>
    </row>
    <row r="16">
      <c r="A16" s="48" t="n">
        <v>46197</v>
      </c>
      <c r="B16" s="52" t="inlineStr">
        <is>
          <t>1003</t>
        </is>
      </c>
      <c r="C16" s="47">
        <f>IF(B16="","",IFERROR(INDEX('隊員マスタ'!$B$5:$B$204,MATCH(B16&amp;"",'隊員マスタ'!$F$5:$F$204,0)),IF(AK16="","番号なし",AK16)))</f>
        <v/>
      </c>
      <c r="D16" s="47" t="inlineStr">
        <is>
          <t>災害</t>
        </is>
      </c>
      <c r="E16" s="47" t="inlineStr">
        <is>
          <t>車両転落 水中検索</t>
        </is>
      </c>
      <c r="F16" s="47" t="inlineStr">
        <is>
          <t>平良港</t>
        </is>
      </c>
      <c r="G16" s="47" t="n">
        <v>11</v>
      </c>
      <c r="H16" s="47" t="n">
        <v>26</v>
      </c>
      <c r="I16" s="47" t="n"/>
      <c r="J16" s="47" t="n">
        <v>10</v>
      </c>
      <c r="K16" s="47" t="n">
        <v>200</v>
      </c>
      <c r="L16" s="47" t="n">
        <v>60</v>
      </c>
      <c r="M16" s="47" t="n">
        <v>27</v>
      </c>
      <c r="N16" s="47" t="n">
        <v>6</v>
      </c>
      <c r="O16" s="47" t="inlineStr">
        <is>
          <t>無</t>
        </is>
      </c>
      <c r="P16" s="47" t="inlineStr">
        <is>
          <t>無</t>
        </is>
      </c>
      <c r="Q16" s="47" t="inlineStr">
        <is>
          <t>見本 二郎</t>
        </is>
      </c>
      <c r="R16" s="47" t="n"/>
      <c r="S16" s="47" t="inlineStr">
        <is>
          <t>S-20260624</t>
        </is>
      </c>
      <c r="T16" s="47" t="n">
        <v>1</v>
      </c>
      <c r="U16" s="53" t="n">
        <v>0.4305555555555556</v>
      </c>
      <c r="V16" s="53" t="n">
        <v>0.4527777777777778</v>
      </c>
      <c r="W16" s="47" t="n">
        <v>12</v>
      </c>
      <c r="X16" s="47" t="inlineStr">
        <is>
          <t>C</t>
        </is>
      </c>
      <c r="Y16" s="47" t="n">
        <v>0</v>
      </c>
      <c r="Z16" s="47" t="n">
        <v>26</v>
      </c>
      <c r="AA16" s="47" t="n">
        <v>130</v>
      </c>
      <c r="AB16" s="47" t="n">
        <v>130</v>
      </c>
      <c r="AC16" s="47" t="inlineStr">
        <is>
          <t>無減圧</t>
        </is>
      </c>
      <c r="AD16" s="47" t="n"/>
      <c r="AE16" s="47" t="inlineStr">
        <is>
          <t>NAUI ダイブテーブル・2022年版</t>
        </is>
      </c>
      <c r="AF16" s="20">
        <f>IF(A16="","",YEAR(EDATE(A16,-3)))</f>
        <v/>
      </c>
      <c r="AG16" s="20">
        <f>IF(OR(B16="",'経歴簿'!$C$4=""),"",IF(B16&amp;""='経歴簿'!$C$4&amp;"",MAX($AG$4:AG15)+1,""))</f>
        <v/>
      </c>
      <c r="AH16" s="20">
        <f>IF(A16="",0,IF(AND(OR('CSV抽出'!$C$4="",A16&gt;='CSV抽出'!$C$4),OR('CSV抽出'!$C$5="",A16&lt;='CSV抽出'!$C$5),OR('CSV抽出'!$C$6="すべて",'CSV抽出'!$C$6="",D16='CSV抽出'!$C$6),OR('CSV抽出'!$C$7="",B16&amp;""='CSV抽出'!$C$7&amp;"")),1,0))</f>
        <v/>
      </c>
      <c r="AI16" s="20">
        <f>IF(AH16=1,SUM($AH$5:AH16),"")</f>
        <v/>
      </c>
      <c r="AJ16" s="20">
        <f>IF(OR(S16="",'報告書'!$C$4=""),"",IF(S16&amp;""='報告書'!$C$4&amp;"",COUNTIF($S$5:S16,'報告書'!$C$4),""))</f>
        <v/>
      </c>
      <c r="AK16" s="20" t="inlineStr">
        <is>
          <t>見本 三郎</t>
        </is>
      </c>
      <c r="AL16" s="47" t="inlineStr">
        <is>
          <t>smp-20260624-1003-1</t>
        </is>
      </c>
      <c r="AM16" s="47" t="n">
        <v>12</v>
      </c>
      <c r="AN16" s="53" t="n">
        <v>0.4486111111111111</v>
      </c>
      <c r="AO16" s="47" t="inlineStr">
        <is>
          <t>有</t>
        </is>
      </c>
      <c r="AP16" s="47" t="n">
        <v>5</v>
      </c>
      <c r="AQ16" s="47" t="n">
        <v>3</v>
      </c>
      <c r="AR16" s="47" t="n">
        <v>3.7</v>
      </c>
      <c r="AS16" s="47" t="inlineStr">
        <is>
          <t>空気</t>
        </is>
      </c>
      <c r="AT16" s="47" t="inlineStr">
        <is>
          <t>見本 五郎</t>
        </is>
      </c>
      <c r="AU16" s="47" t="n"/>
      <c r="AV16" s="47" t="n"/>
      <c r="AW16" s="52" t="inlineStr">
        <is>
          <t>2026/06/24 10:52:00</t>
        </is>
      </c>
    </row>
    <row r="17">
      <c r="A17" s="48" t="n">
        <v>46197</v>
      </c>
      <c r="B17" s="52" t="inlineStr">
        <is>
          <t>1004</t>
        </is>
      </c>
      <c r="C17" s="47">
        <f>IF(B17="","",IFERROR(INDEX('隊員マスタ'!$B$5:$B$204,MATCH(B17&amp;"",'隊員マスタ'!$F$5:$F$204,0)),IF(AK17="","番号なし",AK17)))</f>
        <v/>
      </c>
      <c r="D17" s="47" t="inlineStr">
        <is>
          <t>災害</t>
        </is>
      </c>
      <c r="E17" s="47" t="inlineStr">
        <is>
          <t>車両転落 水中検索</t>
        </is>
      </c>
      <c r="F17" s="47" t="inlineStr">
        <is>
          <t>平良港</t>
        </is>
      </c>
      <c r="G17" s="47" t="n">
        <v>12</v>
      </c>
      <c r="H17" s="47" t="n">
        <v>30</v>
      </c>
      <c r="I17" s="47" t="n"/>
      <c r="J17" s="47" t="n">
        <v>10</v>
      </c>
      <c r="K17" s="47" t="n">
        <v>200</v>
      </c>
      <c r="L17" s="47" t="n">
        <v>60</v>
      </c>
      <c r="M17" s="47" t="n">
        <v>27</v>
      </c>
      <c r="N17" s="47" t="n">
        <v>6</v>
      </c>
      <c r="O17" s="47" t="inlineStr">
        <is>
          <t>無</t>
        </is>
      </c>
      <c r="P17" s="47" t="inlineStr">
        <is>
          <t>無</t>
        </is>
      </c>
      <c r="Q17" s="47" t="inlineStr">
        <is>
          <t>見本 二郎</t>
        </is>
      </c>
      <c r="R17" s="47" t="n"/>
      <c r="S17" s="47" t="inlineStr">
        <is>
          <t>S-20260624</t>
        </is>
      </c>
      <c r="T17" s="47" t="n">
        <v>1</v>
      </c>
      <c r="U17" s="53" t="n">
        <v>0.4319444444444445</v>
      </c>
      <c r="V17" s="53" t="n">
        <v>0.4569444444444444</v>
      </c>
      <c r="W17" s="47" t="n">
        <v>12</v>
      </c>
      <c r="X17" s="47" t="inlineStr">
        <is>
          <t>D</t>
        </is>
      </c>
      <c r="Y17" s="47" t="n">
        <v>0</v>
      </c>
      <c r="Z17" s="47" t="n">
        <v>30</v>
      </c>
      <c r="AA17" s="47" t="n">
        <v>130</v>
      </c>
      <c r="AB17" s="47" t="n">
        <v>130</v>
      </c>
      <c r="AC17" s="47" t="inlineStr">
        <is>
          <t>無減圧</t>
        </is>
      </c>
      <c r="AD17" s="47" t="n"/>
      <c r="AE17" s="47" t="inlineStr">
        <is>
          <t>NAUI ダイブテーブル・2022年版</t>
        </is>
      </c>
      <c r="AF17" s="20">
        <f>IF(A17="","",YEAR(EDATE(A17,-3)))</f>
        <v/>
      </c>
      <c r="AG17" s="20">
        <f>IF(OR(B17="",'経歴簿'!$C$4=""),"",IF(B17&amp;""='経歴簿'!$C$4&amp;"",MAX($AG$4:AG16)+1,""))</f>
        <v/>
      </c>
      <c r="AH17" s="20">
        <f>IF(A17="",0,IF(AND(OR('CSV抽出'!$C$4="",A17&gt;='CSV抽出'!$C$4),OR('CSV抽出'!$C$5="",A17&lt;='CSV抽出'!$C$5),OR('CSV抽出'!$C$6="すべて",'CSV抽出'!$C$6="",D17='CSV抽出'!$C$6),OR('CSV抽出'!$C$7="",B17&amp;""='CSV抽出'!$C$7&amp;"")),1,0))</f>
        <v/>
      </c>
      <c r="AI17" s="20">
        <f>IF(AH17=1,SUM($AH$5:AH17),"")</f>
        <v/>
      </c>
      <c r="AJ17" s="20">
        <f>IF(OR(S17="",'報告書'!$C$4=""),"",IF(S17&amp;""='報告書'!$C$4&amp;"",COUNTIF($S$5:S17,'報告書'!$C$4),""))</f>
        <v/>
      </c>
      <c r="AK17" s="20" t="inlineStr">
        <is>
          <t>見本 四郎</t>
        </is>
      </c>
      <c r="AL17" s="47" t="inlineStr">
        <is>
          <t>smp-20260624-1004-1</t>
        </is>
      </c>
      <c r="AM17" s="47" t="n">
        <v>12</v>
      </c>
      <c r="AN17" s="53" t="n">
        <v>0.4527777777777778</v>
      </c>
      <c r="AO17" s="47" t="inlineStr">
        <is>
          <t>有</t>
        </is>
      </c>
      <c r="AP17" s="47" t="n">
        <v>5</v>
      </c>
      <c r="AQ17" s="47" t="n">
        <v>3</v>
      </c>
      <c r="AR17" s="47" t="n">
        <v>4</v>
      </c>
      <c r="AS17" s="47" t="inlineStr">
        <is>
          <t>空気</t>
        </is>
      </c>
      <c r="AT17" s="47" t="inlineStr">
        <is>
          <t>見本 五郎</t>
        </is>
      </c>
      <c r="AU17" s="47" t="n"/>
      <c r="AV17" s="47" t="n"/>
      <c r="AW17" s="52" t="inlineStr">
        <is>
          <t>2026/06/24 10:58:00</t>
        </is>
      </c>
    </row>
    <row r="18">
      <c r="A18" s="48" t="n">
        <v>46281</v>
      </c>
      <c r="B18" s="52" t="inlineStr">
        <is>
          <t>1002</t>
        </is>
      </c>
      <c r="C18" s="47">
        <f>IF(B18="","",IFERROR(INDEX('隊員マスタ'!$B$5:$B$204,MATCH(B18&amp;"",'隊員マスタ'!$F$5:$F$204,0)),IF(AK18="","番号なし",AK18)))</f>
        <v/>
      </c>
      <c r="D18" s="47" t="inlineStr">
        <is>
          <t>訓練</t>
        </is>
      </c>
      <c r="E18" s="47" t="inlineStr">
        <is>
          <t>定期潜水訓練</t>
        </is>
      </c>
      <c r="F18" s="47" t="inlineStr">
        <is>
          <t>佐良浜漁港</t>
        </is>
      </c>
      <c r="G18" s="47" t="n">
        <v>18</v>
      </c>
      <c r="H18" s="47" t="n">
        <v>20</v>
      </c>
      <c r="I18" s="47" t="n"/>
      <c r="J18" s="47" t="n">
        <v>10</v>
      </c>
      <c r="K18" s="47" t="n">
        <v>200</v>
      </c>
      <c r="L18" s="47" t="n">
        <v>60</v>
      </c>
      <c r="M18" s="47" t="n">
        <v>28</v>
      </c>
      <c r="N18" s="47" t="n">
        <v>20</v>
      </c>
      <c r="O18" s="47" t="inlineStr">
        <is>
          <t>無</t>
        </is>
      </c>
      <c r="P18" s="47" t="inlineStr">
        <is>
          <t>無</t>
        </is>
      </c>
      <c r="Q18" s="47" t="inlineStr">
        <is>
          <t>見本 一郎</t>
        </is>
      </c>
      <c r="R18" s="47" t="n"/>
      <c r="S18" s="47" t="inlineStr">
        <is>
          <t>S-20260916</t>
        </is>
      </c>
      <c r="T18" s="47" t="n">
        <v>1</v>
      </c>
      <c r="U18" s="53" t="n">
        <v>0.3854166666666667</v>
      </c>
      <c r="V18" s="53" t="n">
        <v>0.4034722222222222</v>
      </c>
      <c r="W18" s="47" t="n">
        <v>18</v>
      </c>
      <c r="X18" s="47" t="inlineStr">
        <is>
          <t>D</t>
        </is>
      </c>
      <c r="Y18" s="47" t="n">
        <v>0</v>
      </c>
      <c r="Z18" s="47" t="n">
        <v>20</v>
      </c>
      <c r="AA18" s="47" t="n">
        <v>50</v>
      </c>
      <c r="AB18" s="47" t="n">
        <v>50</v>
      </c>
      <c r="AC18" s="47" t="inlineStr">
        <is>
          <t>無減圧</t>
        </is>
      </c>
      <c r="AD18" s="47" t="n"/>
      <c r="AE18" s="47" t="inlineStr">
        <is>
          <t>NAUI ダイブテーブル・2022年版</t>
        </is>
      </c>
      <c r="AF18" s="20">
        <f>IF(A18="","",YEAR(EDATE(A18,-3)))</f>
        <v/>
      </c>
      <c r="AG18" s="20">
        <f>IF(OR(B18="",'経歴簿'!$C$4=""),"",IF(B18&amp;""='経歴簿'!$C$4&amp;"",MAX($AG$4:AG17)+1,""))</f>
        <v/>
      </c>
      <c r="AH18" s="20">
        <f>IF(A18="",0,IF(AND(OR('CSV抽出'!$C$4="",A18&gt;='CSV抽出'!$C$4),OR('CSV抽出'!$C$5="",A18&lt;='CSV抽出'!$C$5),OR('CSV抽出'!$C$6="すべて",'CSV抽出'!$C$6="",D18='CSV抽出'!$C$6),OR('CSV抽出'!$C$7="",B18&amp;""='CSV抽出'!$C$7&amp;"")),1,0))</f>
        <v/>
      </c>
      <c r="AI18" s="20">
        <f>IF(AH18=1,SUM($AH$5:AH18),"")</f>
        <v/>
      </c>
      <c r="AJ18" s="20">
        <f>IF(OR(S18="",'報告書'!$C$4=""),"",IF(S18&amp;""='報告書'!$C$4&amp;"",COUNTIF($S$5:S18,'報告書'!$C$4),""))</f>
        <v/>
      </c>
      <c r="AK18" s="20" t="inlineStr">
        <is>
          <t>見本 二郎</t>
        </is>
      </c>
      <c r="AL18" s="47" t="inlineStr">
        <is>
          <t>smp-20260916-1002-1</t>
        </is>
      </c>
      <c r="AM18" s="47" t="n">
        <v>18</v>
      </c>
      <c r="AN18" s="53" t="n">
        <v>0.3993055555555556</v>
      </c>
      <c r="AO18" s="47" t="inlineStr">
        <is>
          <t>有</t>
        </is>
      </c>
      <c r="AP18" s="47" t="n">
        <v>5</v>
      </c>
      <c r="AQ18" s="47" t="n">
        <v>3</v>
      </c>
      <c r="AR18" s="47" t="n">
        <v>6</v>
      </c>
      <c r="AS18" s="47" t="inlineStr">
        <is>
          <t>空気</t>
        </is>
      </c>
      <c r="AT18" s="47" t="inlineStr">
        <is>
          <t>見本 三郎</t>
        </is>
      </c>
      <c r="AU18" s="47" t="n"/>
      <c r="AV18" s="47" t="n"/>
      <c r="AW18" s="52" t="inlineStr">
        <is>
          <t>2026/09/16 09:41:00</t>
        </is>
      </c>
    </row>
    <row r="19">
      <c r="A19" s="48" t="n">
        <v>46281</v>
      </c>
      <c r="B19" s="52" t="inlineStr">
        <is>
          <t>1002</t>
        </is>
      </c>
      <c r="C19" s="47">
        <f>IF(B19="","",IFERROR(INDEX('隊員マスタ'!$B$5:$B$204,MATCH(B19&amp;"",'隊員マスタ'!$F$5:$F$204,0)),IF(AK19="","番号なし",AK19)))</f>
        <v/>
      </c>
      <c r="D19" s="47" t="inlineStr">
        <is>
          <t>訓練</t>
        </is>
      </c>
      <c r="E19" s="47" t="inlineStr">
        <is>
          <t>定期潜水訓練</t>
        </is>
      </c>
      <c r="F19" s="47" t="inlineStr">
        <is>
          <t>佐良浜漁港</t>
        </is>
      </c>
      <c r="G19" s="47" t="n">
        <v>15</v>
      </c>
      <c r="H19" s="47" t="n">
        <v>25</v>
      </c>
      <c r="I19" s="47" t="n">
        <v>64</v>
      </c>
      <c r="J19" s="47" t="n">
        <v>10</v>
      </c>
      <c r="K19" s="47" t="n">
        <v>200</v>
      </c>
      <c r="L19" s="47" t="n">
        <v>80</v>
      </c>
      <c r="M19" s="47" t="n">
        <v>28</v>
      </c>
      <c r="N19" s="47" t="n">
        <v>20</v>
      </c>
      <c r="O19" s="47" t="inlineStr">
        <is>
          <t>無</t>
        </is>
      </c>
      <c r="P19" s="47" t="inlineStr">
        <is>
          <t>無</t>
        </is>
      </c>
      <c r="Q19" s="47" t="inlineStr">
        <is>
          <t>見本 一郎</t>
        </is>
      </c>
      <c r="R19" s="47" t="n"/>
      <c r="S19" s="47" t="inlineStr">
        <is>
          <t>S-20260916</t>
        </is>
      </c>
      <c r="T19" s="47" t="n">
        <v>2</v>
      </c>
      <c r="U19" s="53" t="n">
        <v>0.4479166666666667</v>
      </c>
      <c r="V19" s="53" t="n">
        <v>0.4694444444444444</v>
      </c>
      <c r="W19" s="47" t="n">
        <v>15</v>
      </c>
      <c r="X19" s="47" t="inlineStr">
        <is>
          <t>G</t>
        </is>
      </c>
      <c r="Y19" s="47" t="n">
        <v>23</v>
      </c>
      <c r="Z19" s="47" t="n">
        <v>48</v>
      </c>
      <c r="AA19" s="47" t="n">
        <v>75</v>
      </c>
      <c r="AB19" s="47" t="n">
        <v>52</v>
      </c>
      <c r="AC19" s="47" t="inlineStr">
        <is>
          <t>無減圧</t>
        </is>
      </c>
      <c r="AD19" s="47" t="n"/>
      <c r="AE19" s="47" t="inlineStr">
        <is>
          <t>NAUI ダイブテーブル・2022年版</t>
        </is>
      </c>
      <c r="AF19" s="20">
        <f>IF(A19="","",YEAR(EDATE(A19,-3)))</f>
        <v/>
      </c>
      <c r="AG19" s="20">
        <f>IF(OR(B19="",'経歴簿'!$C$4=""),"",IF(B19&amp;""='経歴簿'!$C$4&amp;"",MAX($AG$4:AG18)+1,""))</f>
        <v/>
      </c>
      <c r="AH19" s="20">
        <f>IF(A19="",0,IF(AND(OR('CSV抽出'!$C$4="",A19&gt;='CSV抽出'!$C$4),OR('CSV抽出'!$C$5="",A19&lt;='CSV抽出'!$C$5),OR('CSV抽出'!$C$6="すべて",'CSV抽出'!$C$6="",D19='CSV抽出'!$C$6),OR('CSV抽出'!$C$7="",B19&amp;""='CSV抽出'!$C$7&amp;"")),1,0))</f>
        <v/>
      </c>
      <c r="AI19" s="20">
        <f>IF(AH19=1,SUM($AH$5:AH19),"")</f>
        <v/>
      </c>
      <c r="AJ19" s="20">
        <f>IF(OR(S19="",'報告書'!$C$4=""),"",IF(S19&amp;""='報告書'!$C$4&amp;"",COUNTIF($S$5:S19,'報告書'!$C$4),""))</f>
        <v/>
      </c>
      <c r="AK19" s="20" t="inlineStr">
        <is>
          <t>見本 二郎</t>
        </is>
      </c>
      <c r="AL19" s="47" t="inlineStr">
        <is>
          <t>smp-20260916-1002-2</t>
        </is>
      </c>
      <c r="AM19" s="47" t="n">
        <v>15</v>
      </c>
      <c r="AN19" s="53" t="n">
        <v>0.4652777777777778</v>
      </c>
      <c r="AO19" s="47" t="inlineStr">
        <is>
          <t>有</t>
        </is>
      </c>
      <c r="AP19" s="47" t="n">
        <v>5</v>
      </c>
      <c r="AQ19" s="47" t="n">
        <v>3</v>
      </c>
      <c r="AR19" s="47" t="n">
        <v>5</v>
      </c>
      <c r="AS19" s="47" t="inlineStr">
        <is>
          <t>空気</t>
        </is>
      </c>
      <c r="AT19" s="47" t="inlineStr">
        <is>
          <t>見本 三郎</t>
        </is>
      </c>
      <c r="AU19" s="47" t="n"/>
      <c r="AV19" s="47" t="n"/>
      <c r="AW19" s="52" t="inlineStr">
        <is>
          <t>2026/09/16 11:16:00</t>
        </is>
      </c>
    </row>
    <row r="20">
      <c r="A20" s="48" t="n">
        <v>46281</v>
      </c>
      <c r="B20" s="52" t="inlineStr">
        <is>
          <t>1004</t>
        </is>
      </c>
      <c r="C20" s="47">
        <f>IF(B20="","",IFERROR(INDEX('隊員マスタ'!$B$5:$B$204,MATCH(B20&amp;"",'隊員マスタ'!$F$5:$F$204,0)),IF(AK20="","番号なし",AK20)))</f>
        <v/>
      </c>
      <c r="D20" s="47" t="inlineStr">
        <is>
          <t>訓練</t>
        </is>
      </c>
      <c r="E20" s="47" t="inlineStr">
        <is>
          <t>定期潜水訓練</t>
        </is>
      </c>
      <c r="F20" s="47" t="inlineStr">
        <is>
          <t>佐良浜漁港</t>
        </is>
      </c>
      <c r="G20" s="47" t="n">
        <v>17</v>
      </c>
      <c r="H20" s="47" t="n">
        <v>22</v>
      </c>
      <c r="I20" s="47" t="n"/>
      <c r="J20" s="47" t="n">
        <v>10</v>
      </c>
      <c r="K20" s="47" t="n">
        <v>200</v>
      </c>
      <c r="L20" s="47" t="n">
        <v>60</v>
      </c>
      <c r="M20" s="47" t="n">
        <v>28</v>
      </c>
      <c r="N20" s="47" t="n">
        <v>20</v>
      </c>
      <c r="O20" s="47" t="inlineStr">
        <is>
          <t>無</t>
        </is>
      </c>
      <c r="P20" s="47" t="inlineStr">
        <is>
          <t>無</t>
        </is>
      </c>
      <c r="Q20" s="47" t="inlineStr">
        <is>
          <t>見本 一郎</t>
        </is>
      </c>
      <c r="R20" s="47" t="n"/>
      <c r="S20" s="47" t="inlineStr">
        <is>
          <t>S-20260916</t>
        </is>
      </c>
      <c r="T20" s="47" t="n">
        <v>1</v>
      </c>
      <c r="U20" s="53" t="n">
        <v>0.3854166666666667</v>
      </c>
      <c r="V20" s="53" t="n">
        <v>0.4048611111111111</v>
      </c>
      <c r="W20" s="47" t="n">
        <v>18</v>
      </c>
      <c r="X20" s="47" t="inlineStr">
        <is>
          <t>D</t>
        </is>
      </c>
      <c r="Y20" s="47" t="n">
        <v>0</v>
      </c>
      <c r="Z20" s="47" t="n">
        <v>22</v>
      </c>
      <c r="AA20" s="47" t="n">
        <v>50</v>
      </c>
      <c r="AB20" s="47" t="n">
        <v>50</v>
      </c>
      <c r="AC20" s="47" t="inlineStr">
        <is>
          <t>無減圧</t>
        </is>
      </c>
      <c r="AD20" s="47" t="n"/>
      <c r="AE20" s="47" t="inlineStr">
        <is>
          <t>NAUI ダイブテーブル・2022年版</t>
        </is>
      </c>
      <c r="AF20" s="20">
        <f>IF(A20="","",YEAR(EDATE(A20,-3)))</f>
        <v/>
      </c>
      <c r="AG20" s="20">
        <f>IF(OR(B20="",'経歴簿'!$C$4=""),"",IF(B20&amp;""='経歴簿'!$C$4&amp;"",MAX($AG$4:AG19)+1,""))</f>
        <v/>
      </c>
      <c r="AH20" s="20">
        <f>IF(A20="",0,IF(AND(OR('CSV抽出'!$C$4="",A20&gt;='CSV抽出'!$C$4),OR('CSV抽出'!$C$5="",A20&lt;='CSV抽出'!$C$5),OR('CSV抽出'!$C$6="すべて",'CSV抽出'!$C$6="",D20='CSV抽出'!$C$6),OR('CSV抽出'!$C$7="",B20&amp;""='CSV抽出'!$C$7&amp;"")),1,0))</f>
        <v/>
      </c>
      <c r="AI20" s="20">
        <f>IF(AH20=1,SUM($AH$5:AH20),"")</f>
        <v/>
      </c>
      <c r="AJ20" s="20">
        <f>IF(OR(S20="",'報告書'!$C$4=""),"",IF(S20&amp;""='報告書'!$C$4&amp;"",COUNTIF($S$5:S20,'報告書'!$C$4),""))</f>
        <v/>
      </c>
      <c r="AK20" s="20" t="inlineStr">
        <is>
          <t>見本 四郎</t>
        </is>
      </c>
      <c r="AL20" s="47" t="inlineStr">
        <is>
          <t>smp-20260916-1004-1</t>
        </is>
      </c>
      <c r="AM20" s="47" t="n">
        <v>18</v>
      </c>
      <c r="AN20" s="53" t="n">
        <v>0.4006944444444445</v>
      </c>
      <c r="AO20" s="47" t="inlineStr">
        <is>
          <t>有</t>
        </is>
      </c>
      <c r="AP20" s="47" t="n">
        <v>5</v>
      </c>
      <c r="AQ20" s="47" t="n">
        <v>3</v>
      </c>
      <c r="AR20" s="47" t="n">
        <v>5.7</v>
      </c>
      <c r="AS20" s="47" t="inlineStr">
        <is>
          <t>空気</t>
        </is>
      </c>
      <c r="AT20" s="47" t="inlineStr">
        <is>
          <t>見本 三郎</t>
        </is>
      </c>
      <c r="AU20" s="47" t="n"/>
      <c r="AV20" s="47" t="n"/>
      <c r="AW20" s="52" t="inlineStr">
        <is>
          <t>2026/09/16 09:43:00</t>
        </is>
      </c>
    </row>
    <row r="21">
      <c r="A21" s="48" t="n">
        <v>46281</v>
      </c>
      <c r="B21" s="52" t="inlineStr">
        <is>
          <t>1005</t>
        </is>
      </c>
      <c r="C21" s="47">
        <f>IF(B21="","",IFERROR(INDEX('隊員マスタ'!$B$5:$B$204,MATCH(B21&amp;"",'隊員マスタ'!$F$5:$F$204,0)),IF(AK21="","番号なし",AK21)))</f>
        <v/>
      </c>
      <c r="D21" s="47" t="inlineStr">
        <is>
          <t>訓練</t>
        </is>
      </c>
      <c r="E21" s="47" t="inlineStr">
        <is>
          <t>定期潜水訓練</t>
        </is>
      </c>
      <c r="F21" s="47" t="inlineStr">
        <is>
          <t>佐良浜漁港</t>
        </is>
      </c>
      <c r="G21" s="47" t="n">
        <v>18</v>
      </c>
      <c r="H21" s="47" t="n">
        <v>21</v>
      </c>
      <c r="I21" s="47" t="n"/>
      <c r="J21" s="47" t="n">
        <v>10</v>
      </c>
      <c r="K21" s="47" t="n">
        <v>200</v>
      </c>
      <c r="L21" s="47" t="n">
        <v>60</v>
      </c>
      <c r="M21" s="47" t="n">
        <v>28</v>
      </c>
      <c r="N21" s="47" t="n">
        <v>20</v>
      </c>
      <c r="O21" s="47" t="inlineStr">
        <is>
          <t>無</t>
        </is>
      </c>
      <c r="P21" s="47" t="inlineStr">
        <is>
          <t>無</t>
        </is>
      </c>
      <c r="Q21" s="47" t="inlineStr">
        <is>
          <t>見本 一郎</t>
        </is>
      </c>
      <c r="R21" s="47" t="n"/>
      <c r="S21" s="47" t="inlineStr">
        <is>
          <t>S-20260916</t>
        </is>
      </c>
      <c r="T21" s="47" t="n">
        <v>1</v>
      </c>
      <c r="U21" s="53" t="n">
        <v>0.3868055555555556</v>
      </c>
      <c r="V21" s="53" t="n">
        <v>0.4055555555555556</v>
      </c>
      <c r="W21" s="47" t="n">
        <v>18</v>
      </c>
      <c r="X21" s="47" t="inlineStr">
        <is>
          <t>D</t>
        </is>
      </c>
      <c r="Y21" s="47" t="n">
        <v>0</v>
      </c>
      <c r="Z21" s="47" t="n">
        <v>21</v>
      </c>
      <c r="AA21" s="47" t="n">
        <v>50</v>
      </c>
      <c r="AB21" s="47" t="n">
        <v>50</v>
      </c>
      <c r="AC21" s="47" t="inlineStr">
        <is>
          <t>無減圧</t>
        </is>
      </c>
      <c r="AD21" s="47" t="n"/>
      <c r="AE21" s="47" t="inlineStr">
        <is>
          <t>NAUI ダイブテーブル・2022年版</t>
        </is>
      </c>
      <c r="AF21" s="20">
        <f>IF(A21="","",YEAR(EDATE(A21,-3)))</f>
        <v/>
      </c>
      <c r="AG21" s="20">
        <f>IF(OR(B21="",'経歴簿'!$C$4=""),"",IF(B21&amp;""='経歴簿'!$C$4&amp;"",MAX($AG$4:AG20)+1,""))</f>
        <v/>
      </c>
      <c r="AH21" s="20">
        <f>IF(A21="",0,IF(AND(OR('CSV抽出'!$C$4="",A21&gt;='CSV抽出'!$C$4),OR('CSV抽出'!$C$5="",A21&lt;='CSV抽出'!$C$5),OR('CSV抽出'!$C$6="すべて",'CSV抽出'!$C$6="",D21='CSV抽出'!$C$6),OR('CSV抽出'!$C$7="",B21&amp;""='CSV抽出'!$C$7&amp;"")),1,0))</f>
        <v/>
      </c>
      <c r="AI21" s="20">
        <f>IF(AH21=1,SUM($AH$5:AH21),"")</f>
        <v/>
      </c>
      <c r="AJ21" s="20">
        <f>IF(OR(S21="",'報告書'!$C$4=""),"",IF(S21&amp;""='報告書'!$C$4&amp;"",COUNTIF($S$5:S21,'報告書'!$C$4),""))</f>
        <v/>
      </c>
      <c r="AK21" s="20" t="inlineStr">
        <is>
          <t>見本 五郎</t>
        </is>
      </c>
      <c r="AL21" s="47" t="inlineStr">
        <is>
          <t>smp-20260916-1005-1</t>
        </is>
      </c>
      <c r="AM21" s="47" t="n">
        <v>18</v>
      </c>
      <c r="AN21" s="53" t="n">
        <v>0.4013888888888889</v>
      </c>
      <c r="AO21" s="47" t="inlineStr">
        <is>
          <t>有</t>
        </is>
      </c>
      <c r="AP21" s="47" t="n">
        <v>5</v>
      </c>
      <c r="AQ21" s="47" t="n">
        <v>3</v>
      </c>
      <c r="AR21" s="47" t="n">
        <v>6</v>
      </c>
      <c r="AS21" s="47" t="inlineStr">
        <is>
          <t>空気</t>
        </is>
      </c>
      <c r="AT21" s="47" t="inlineStr">
        <is>
          <t>見本 三郎</t>
        </is>
      </c>
      <c r="AU21" s="47" t="n"/>
      <c r="AV21" s="47" t="n"/>
      <c r="AW21" s="52" t="inlineStr">
        <is>
          <t>2026/09/16 09:44:00</t>
        </is>
      </c>
    </row>
    <row r="22">
      <c r="A22" s="48" t="n">
        <v>46281</v>
      </c>
      <c r="B22" s="52" t="inlineStr">
        <is>
          <t>1006</t>
        </is>
      </c>
      <c r="C22" s="47">
        <f>IF(B22="","",IFERROR(INDEX('隊員マスタ'!$B$5:$B$204,MATCH(B22&amp;"",'隊員マスタ'!$F$5:$F$204,0)),IF(AK22="","番号なし",AK22)))</f>
        <v/>
      </c>
      <c r="D22" s="47" t="inlineStr">
        <is>
          <t>訓練</t>
        </is>
      </c>
      <c r="E22" s="47" t="inlineStr">
        <is>
          <t>定期潜水訓練</t>
        </is>
      </c>
      <c r="F22" s="47" t="inlineStr">
        <is>
          <t>佐良浜漁港</t>
        </is>
      </c>
      <c r="G22" s="47" t="n">
        <v>16</v>
      </c>
      <c r="H22" s="47" t="n">
        <v>24</v>
      </c>
      <c r="I22" s="47" t="n"/>
      <c r="J22" s="47" t="n">
        <v>10</v>
      </c>
      <c r="K22" s="47" t="n">
        <v>200</v>
      </c>
      <c r="L22" s="47" t="n">
        <v>60</v>
      </c>
      <c r="M22" s="47" t="n">
        <v>28</v>
      </c>
      <c r="N22" s="47" t="n">
        <v>20</v>
      </c>
      <c r="O22" s="47" t="inlineStr">
        <is>
          <t>無</t>
        </is>
      </c>
      <c r="P22" s="47" t="inlineStr">
        <is>
          <t>無</t>
        </is>
      </c>
      <c r="Q22" s="47" t="inlineStr">
        <is>
          <t>見本 一郎</t>
        </is>
      </c>
      <c r="R22" s="47" t="n"/>
      <c r="S22" s="47" t="inlineStr">
        <is>
          <t>S-20260916</t>
        </is>
      </c>
      <c r="T22" s="47" t="n">
        <v>1</v>
      </c>
      <c r="U22" s="53" t="n">
        <v>0.3868055555555556</v>
      </c>
      <c r="V22" s="53" t="n">
        <v>0.4076388888888889</v>
      </c>
      <c r="W22" s="47" t="n">
        <v>18</v>
      </c>
      <c r="X22" s="47" t="inlineStr">
        <is>
          <t>E</t>
        </is>
      </c>
      <c r="Y22" s="47" t="n">
        <v>0</v>
      </c>
      <c r="Z22" s="47" t="n">
        <v>24</v>
      </c>
      <c r="AA22" s="47" t="n">
        <v>50</v>
      </c>
      <c r="AB22" s="47" t="n">
        <v>50</v>
      </c>
      <c r="AC22" s="47" t="inlineStr">
        <is>
          <t>無減圧</t>
        </is>
      </c>
      <c r="AD22" s="47" t="n"/>
      <c r="AE22" s="47" t="inlineStr">
        <is>
          <t>NAUI ダイブテーブル・2022年版</t>
        </is>
      </c>
      <c r="AF22" s="20">
        <f>IF(A22="","",YEAR(EDATE(A22,-3)))</f>
        <v/>
      </c>
      <c r="AG22" s="20">
        <f>IF(OR(B22="",'経歴簿'!$C$4=""),"",IF(B22&amp;""='経歴簿'!$C$4&amp;"",MAX($AG$4:AG21)+1,""))</f>
        <v/>
      </c>
      <c r="AH22" s="20">
        <f>IF(A22="",0,IF(AND(OR('CSV抽出'!$C$4="",A22&gt;='CSV抽出'!$C$4),OR('CSV抽出'!$C$5="",A22&lt;='CSV抽出'!$C$5),OR('CSV抽出'!$C$6="すべて",'CSV抽出'!$C$6="",D22='CSV抽出'!$C$6),OR('CSV抽出'!$C$7="",B22&amp;""='CSV抽出'!$C$7&amp;"")),1,0))</f>
        <v/>
      </c>
      <c r="AI22" s="20">
        <f>IF(AH22=1,SUM($AH$5:AH22),"")</f>
        <v/>
      </c>
      <c r="AJ22" s="20">
        <f>IF(OR(S22="",'報告書'!$C$4=""),"",IF(S22&amp;""='報告書'!$C$4&amp;"",COUNTIF($S$5:S22,'報告書'!$C$4),""))</f>
        <v/>
      </c>
      <c r="AK22" s="20" t="inlineStr">
        <is>
          <t>見本 六郎</t>
        </is>
      </c>
      <c r="AL22" s="47" t="inlineStr">
        <is>
          <t>smp-20260916-1006-1</t>
        </is>
      </c>
      <c r="AM22" s="47" t="n">
        <v>18</v>
      </c>
      <c r="AN22" s="53" t="n">
        <v>0.4034722222222222</v>
      </c>
      <c r="AO22" s="47" t="inlineStr">
        <is>
          <t>有</t>
        </is>
      </c>
      <c r="AP22" s="47" t="n">
        <v>5</v>
      </c>
      <c r="AQ22" s="47" t="n">
        <v>3</v>
      </c>
      <c r="AR22" s="47" t="n">
        <v>5.3</v>
      </c>
      <c r="AS22" s="47" t="inlineStr">
        <is>
          <t>空気</t>
        </is>
      </c>
      <c r="AT22" s="47" t="inlineStr">
        <is>
          <t>見本 三郎</t>
        </is>
      </c>
      <c r="AU22" s="47" t="n"/>
      <c r="AV22" s="47" t="n"/>
      <c r="AW22" s="52" t="inlineStr">
        <is>
          <t>2026/09/16 09:47:00</t>
        </is>
      </c>
    </row>
    <row r="23">
      <c r="A23" s="48" t="n">
        <v>46281</v>
      </c>
      <c r="B23" s="52" t="inlineStr">
        <is>
          <t>1006</t>
        </is>
      </c>
      <c r="C23" s="47">
        <f>IF(B23="","",IFERROR(INDEX('隊員マスタ'!$B$5:$B$204,MATCH(B23&amp;"",'隊員マスタ'!$F$5:$F$204,0)),IF(AK23="","番号なし",AK23)))</f>
        <v/>
      </c>
      <c r="D23" s="47" t="inlineStr">
        <is>
          <t>訓練</t>
        </is>
      </c>
      <c r="E23" s="47" t="inlineStr">
        <is>
          <t>定期潜水訓練</t>
        </is>
      </c>
      <c r="F23" s="47" t="inlineStr">
        <is>
          <t>佐良浜漁港</t>
        </is>
      </c>
      <c r="G23" s="47" t="n">
        <v>12</v>
      </c>
      <c r="H23" s="47" t="n">
        <v>30</v>
      </c>
      <c r="I23" s="47" t="n">
        <v>63</v>
      </c>
      <c r="J23" s="47" t="n">
        <v>10</v>
      </c>
      <c r="K23" s="47" t="n">
        <v>200</v>
      </c>
      <c r="L23" s="47" t="n">
        <v>80</v>
      </c>
      <c r="M23" s="47" t="n">
        <v>28</v>
      </c>
      <c r="N23" s="47" t="n">
        <v>20</v>
      </c>
      <c r="O23" s="47" t="inlineStr">
        <is>
          <t>無</t>
        </is>
      </c>
      <c r="P23" s="47" t="inlineStr">
        <is>
          <t>有</t>
        </is>
      </c>
      <c r="Q23" s="47" t="inlineStr">
        <is>
          <t>見本 一郎</t>
        </is>
      </c>
      <c r="R23" s="47" t="inlineStr">
        <is>
          <t>右耳の違和感。浮上後に回復</t>
        </is>
      </c>
      <c r="S23" s="47" t="inlineStr">
        <is>
          <t>S-20260916</t>
        </is>
      </c>
      <c r="T23" s="47" t="n">
        <v>2</v>
      </c>
      <c r="U23" s="53" t="n">
        <v>0.4513888888888889</v>
      </c>
      <c r="V23" s="53" t="n">
        <v>0.4763888888888889</v>
      </c>
      <c r="W23" s="47" t="n">
        <v>12</v>
      </c>
      <c r="X23" s="47" t="inlineStr">
        <is>
          <t>H</t>
        </is>
      </c>
      <c r="Y23" s="47" t="n">
        <v>37</v>
      </c>
      <c r="Z23" s="47" t="n">
        <v>67</v>
      </c>
      <c r="AA23" s="47" t="n">
        <v>130</v>
      </c>
      <c r="AB23" s="47" t="n">
        <v>93</v>
      </c>
      <c r="AC23" s="47" t="inlineStr">
        <is>
          <t>無減圧</t>
        </is>
      </c>
      <c r="AD23" s="47" t="n"/>
      <c r="AE23" s="47" t="inlineStr">
        <is>
          <t>NAUI ダイブテーブル・2022年版</t>
        </is>
      </c>
      <c r="AF23" s="20">
        <f>IF(A23="","",YEAR(EDATE(A23,-3)))</f>
        <v/>
      </c>
      <c r="AG23" s="20">
        <f>IF(OR(B23="",'経歴簿'!$C$4=""),"",IF(B23&amp;""='経歴簿'!$C$4&amp;"",MAX($AG$4:AG22)+1,""))</f>
        <v/>
      </c>
      <c r="AH23" s="20">
        <f>IF(A23="",0,IF(AND(OR('CSV抽出'!$C$4="",A23&gt;='CSV抽出'!$C$4),OR('CSV抽出'!$C$5="",A23&lt;='CSV抽出'!$C$5),OR('CSV抽出'!$C$6="すべて",'CSV抽出'!$C$6="",D23='CSV抽出'!$C$6),OR('CSV抽出'!$C$7="",B23&amp;""='CSV抽出'!$C$7&amp;"")),1,0))</f>
        <v/>
      </c>
      <c r="AI23" s="20">
        <f>IF(AH23=1,SUM($AH$5:AH23),"")</f>
        <v/>
      </c>
      <c r="AJ23" s="20">
        <f>IF(OR(S23="",'報告書'!$C$4=""),"",IF(S23&amp;""='報告書'!$C$4&amp;"",COUNTIF($S$5:S23,'報告書'!$C$4),""))</f>
        <v/>
      </c>
      <c r="AK23" s="20" t="inlineStr">
        <is>
          <t>見本 六郎</t>
        </is>
      </c>
      <c r="AL23" s="47" t="inlineStr">
        <is>
          <t>smp-20260916-1006-2</t>
        </is>
      </c>
      <c r="AM23" s="47" t="n">
        <v>12</v>
      </c>
      <c r="AN23" s="53" t="n">
        <v>0.4722222222222222</v>
      </c>
      <c r="AO23" s="47" t="inlineStr">
        <is>
          <t>有</t>
        </is>
      </c>
      <c r="AP23" s="47" t="n">
        <v>5</v>
      </c>
      <c r="AQ23" s="47" t="n">
        <v>3</v>
      </c>
      <c r="AR23" s="47" t="n">
        <v>4</v>
      </c>
      <c r="AS23" s="47" t="inlineStr">
        <is>
          <t>空気</t>
        </is>
      </c>
      <c r="AT23" s="47" t="inlineStr">
        <is>
          <t>見本 三郎</t>
        </is>
      </c>
      <c r="AU23" s="47" t="n"/>
      <c r="AV23" s="47" t="inlineStr">
        <is>
          <t>1回・最終 2026/09/16 12:05</t>
        </is>
      </c>
      <c r="AW23" s="52" t="inlineStr">
        <is>
          <t>2026/09/16 12:05:00</t>
        </is>
      </c>
    </row>
    <row r="24">
      <c r="A24" s="48" t="n"/>
      <c r="B24" s="52" t="n"/>
      <c r="C24" s="47">
        <f>IF(B24="","",IFERROR(INDEX('隊員マスタ'!$B$5:$B$204,MATCH(B24&amp;"",'隊員マスタ'!$F$5:$F$204,0)),IF(AK24="","番号なし",AK24)))</f>
        <v/>
      </c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53" t="n"/>
      <c r="V24" s="53" t="n"/>
      <c r="W24" s="47" t="n"/>
      <c r="X24" s="47" t="n"/>
      <c r="Y24" s="47" t="n"/>
      <c r="Z24" s="47" t="n"/>
      <c r="AA24" s="47" t="n"/>
      <c r="AB24" s="47" t="n"/>
      <c r="AC24" s="47" t="n"/>
      <c r="AD24" s="47" t="n"/>
      <c r="AE24" s="47" t="n"/>
      <c r="AF24" s="20">
        <f>IF(A24="","",YEAR(EDATE(A24,-3)))</f>
        <v/>
      </c>
      <c r="AG24" s="20">
        <f>IF(OR(B24="",'経歴簿'!$C$4=""),"",IF(B24&amp;""='経歴簿'!$C$4&amp;"",MAX($AG$4:AG23)+1,""))</f>
        <v/>
      </c>
      <c r="AH24" s="20">
        <f>IF(A24="",0,IF(AND(OR('CSV抽出'!$C$4="",A24&gt;='CSV抽出'!$C$4),OR('CSV抽出'!$C$5="",A24&lt;='CSV抽出'!$C$5),OR('CSV抽出'!$C$6="すべて",'CSV抽出'!$C$6="",D24='CSV抽出'!$C$6),OR('CSV抽出'!$C$7="",B24&amp;""='CSV抽出'!$C$7&amp;"")),1,0))</f>
        <v/>
      </c>
      <c r="AI24" s="20">
        <f>IF(AH24=1,SUM($AH$5:AH24),"")</f>
        <v/>
      </c>
      <c r="AJ24" s="20">
        <f>IF(OR(S24="",'報告書'!$C$4=""),"",IF(S24&amp;""='報告書'!$C$4&amp;"",COUNTIF($S$5:S24,'報告書'!$C$4),""))</f>
        <v/>
      </c>
      <c r="AK24" s="20" t="n"/>
      <c r="AL24" s="47" t="n"/>
      <c r="AM24" s="47" t="n"/>
      <c r="AN24" s="53" t="n"/>
      <c r="AO24" s="47" t="n"/>
      <c r="AP24" s="47" t="n"/>
      <c r="AQ24" s="47" t="n"/>
      <c r="AR24" s="47" t="n"/>
      <c r="AS24" s="47" t="n"/>
      <c r="AT24" s="47" t="n"/>
      <c r="AU24" s="47" t="n"/>
      <c r="AV24" s="47" t="n"/>
      <c r="AW24" s="52" t="n"/>
    </row>
    <row r="25">
      <c r="A25" s="48" t="n"/>
      <c r="B25" s="52" t="n"/>
      <c r="C25" s="47">
        <f>IF(B25="","",IFERROR(INDEX('隊員マスタ'!$B$5:$B$204,MATCH(B25&amp;"",'隊員マスタ'!$F$5:$F$204,0)),IF(AK25="","番号なし",AK25)))</f>
        <v/>
      </c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47" t="n"/>
      <c r="T25" s="47" t="n"/>
      <c r="U25" s="53" t="n"/>
      <c r="V25" s="53" t="n"/>
      <c r="W25" s="47" t="n"/>
      <c r="X25" s="47" t="n"/>
      <c r="Y25" s="47" t="n"/>
      <c r="Z25" s="47" t="n"/>
      <c r="AA25" s="47" t="n"/>
      <c r="AB25" s="47" t="n"/>
      <c r="AC25" s="47" t="n"/>
      <c r="AD25" s="47" t="n"/>
      <c r="AE25" s="47" t="n"/>
      <c r="AF25" s="20">
        <f>IF(A25="","",YEAR(EDATE(A25,-3)))</f>
        <v/>
      </c>
      <c r="AG25" s="20">
        <f>IF(OR(B25="",'経歴簿'!$C$4=""),"",IF(B25&amp;""='経歴簿'!$C$4&amp;"",MAX($AG$4:AG24)+1,""))</f>
        <v/>
      </c>
      <c r="AH25" s="20">
        <f>IF(A25="",0,IF(AND(OR('CSV抽出'!$C$4="",A25&gt;='CSV抽出'!$C$4),OR('CSV抽出'!$C$5="",A25&lt;='CSV抽出'!$C$5),OR('CSV抽出'!$C$6="すべて",'CSV抽出'!$C$6="",D25='CSV抽出'!$C$6),OR('CSV抽出'!$C$7="",B25&amp;""='CSV抽出'!$C$7&amp;"")),1,0))</f>
        <v/>
      </c>
      <c r="AI25" s="20">
        <f>IF(AH25=1,SUM($AH$5:AH25),"")</f>
        <v/>
      </c>
      <c r="AJ25" s="20">
        <f>IF(OR(S25="",'報告書'!$C$4=""),"",IF(S25&amp;""='報告書'!$C$4&amp;"",COUNTIF($S$5:S25,'報告書'!$C$4),""))</f>
        <v/>
      </c>
      <c r="AK25" s="20" t="n"/>
      <c r="AL25" s="47" t="n"/>
      <c r="AM25" s="47" t="n"/>
      <c r="AN25" s="53" t="n"/>
      <c r="AO25" s="47" t="n"/>
      <c r="AP25" s="47" t="n"/>
      <c r="AQ25" s="47" t="n"/>
      <c r="AR25" s="47" t="n"/>
      <c r="AS25" s="47" t="n"/>
      <c r="AT25" s="47" t="n"/>
      <c r="AU25" s="47" t="n"/>
      <c r="AV25" s="47" t="n"/>
      <c r="AW25" s="52" t="n"/>
    </row>
    <row r="26">
      <c r="A26" s="48" t="n"/>
      <c r="B26" s="52" t="n"/>
      <c r="C26" s="47">
        <f>IF(B26="","",IFERROR(INDEX('隊員マスタ'!$B$5:$B$204,MATCH(B26&amp;"",'隊員マスタ'!$F$5:$F$204,0)),IF(AK26="","番号なし",AK26)))</f>
        <v/>
      </c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47" t="n"/>
      <c r="T26" s="47" t="n"/>
      <c r="U26" s="53" t="n"/>
      <c r="V26" s="53" t="n"/>
      <c r="W26" s="47" t="n"/>
      <c r="X26" s="47" t="n"/>
      <c r="Y26" s="47" t="n"/>
      <c r="Z26" s="47" t="n"/>
      <c r="AA26" s="47" t="n"/>
      <c r="AB26" s="47" t="n"/>
      <c r="AC26" s="47" t="n"/>
      <c r="AD26" s="47" t="n"/>
      <c r="AE26" s="47" t="n"/>
      <c r="AF26" s="20">
        <f>IF(A26="","",YEAR(EDATE(A26,-3)))</f>
        <v/>
      </c>
      <c r="AG26" s="20">
        <f>IF(OR(B26="",'経歴簿'!$C$4=""),"",IF(B26&amp;""='経歴簿'!$C$4&amp;"",MAX($AG$4:AG25)+1,""))</f>
        <v/>
      </c>
      <c r="AH26" s="20">
        <f>IF(A26="",0,IF(AND(OR('CSV抽出'!$C$4="",A26&gt;='CSV抽出'!$C$4),OR('CSV抽出'!$C$5="",A26&lt;='CSV抽出'!$C$5),OR('CSV抽出'!$C$6="すべて",'CSV抽出'!$C$6="",D26='CSV抽出'!$C$6),OR('CSV抽出'!$C$7="",B26&amp;""='CSV抽出'!$C$7&amp;"")),1,0))</f>
        <v/>
      </c>
      <c r="AI26" s="20">
        <f>IF(AH26=1,SUM($AH$5:AH26),"")</f>
        <v/>
      </c>
      <c r="AJ26" s="20">
        <f>IF(OR(S26="",'報告書'!$C$4=""),"",IF(S26&amp;""='報告書'!$C$4&amp;"",COUNTIF($S$5:S26,'報告書'!$C$4),""))</f>
        <v/>
      </c>
      <c r="AK26" s="20" t="n"/>
      <c r="AL26" s="47" t="n"/>
      <c r="AM26" s="47" t="n"/>
      <c r="AN26" s="53" t="n"/>
      <c r="AO26" s="47" t="n"/>
      <c r="AP26" s="47" t="n"/>
      <c r="AQ26" s="47" t="n"/>
      <c r="AR26" s="47" t="n"/>
      <c r="AS26" s="47" t="n"/>
      <c r="AT26" s="47" t="n"/>
      <c r="AU26" s="47" t="n"/>
      <c r="AV26" s="47" t="n"/>
      <c r="AW26" s="52" t="n"/>
    </row>
    <row r="27">
      <c r="A27" s="48" t="n"/>
      <c r="B27" s="52" t="n"/>
      <c r="C27" s="47">
        <f>IF(B27="","",IFERROR(INDEX('隊員マスタ'!$B$5:$B$204,MATCH(B27&amp;"",'隊員マスタ'!$F$5:$F$204,0)),IF(AK27="","番号なし",AK27)))</f>
        <v/>
      </c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47" t="n"/>
      <c r="T27" s="47" t="n"/>
      <c r="U27" s="53" t="n"/>
      <c r="V27" s="53" t="n"/>
      <c r="W27" s="47" t="n"/>
      <c r="X27" s="47" t="n"/>
      <c r="Y27" s="47" t="n"/>
      <c r="Z27" s="47" t="n"/>
      <c r="AA27" s="47" t="n"/>
      <c r="AB27" s="47" t="n"/>
      <c r="AC27" s="47" t="n"/>
      <c r="AD27" s="47" t="n"/>
      <c r="AE27" s="47" t="n"/>
      <c r="AF27" s="20">
        <f>IF(A27="","",YEAR(EDATE(A27,-3)))</f>
        <v/>
      </c>
      <c r="AG27" s="20">
        <f>IF(OR(B27="",'経歴簿'!$C$4=""),"",IF(B27&amp;""='経歴簿'!$C$4&amp;"",MAX($AG$4:AG26)+1,""))</f>
        <v/>
      </c>
      <c r="AH27" s="20">
        <f>IF(A27="",0,IF(AND(OR('CSV抽出'!$C$4="",A27&gt;='CSV抽出'!$C$4),OR('CSV抽出'!$C$5="",A27&lt;='CSV抽出'!$C$5),OR('CSV抽出'!$C$6="すべて",'CSV抽出'!$C$6="",D27='CSV抽出'!$C$6),OR('CSV抽出'!$C$7="",B27&amp;""='CSV抽出'!$C$7&amp;"")),1,0))</f>
        <v/>
      </c>
      <c r="AI27" s="20">
        <f>IF(AH27=1,SUM($AH$5:AH27),"")</f>
        <v/>
      </c>
      <c r="AJ27" s="20">
        <f>IF(OR(S27="",'報告書'!$C$4=""),"",IF(S27&amp;""='報告書'!$C$4&amp;"",COUNTIF($S$5:S27,'報告書'!$C$4),""))</f>
        <v/>
      </c>
      <c r="AK27" s="20" t="n"/>
      <c r="AL27" s="47" t="n"/>
      <c r="AM27" s="47" t="n"/>
      <c r="AN27" s="53" t="n"/>
      <c r="AO27" s="47" t="n"/>
      <c r="AP27" s="47" t="n"/>
      <c r="AQ27" s="47" t="n"/>
      <c r="AR27" s="47" t="n"/>
      <c r="AS27" s="47" t="n"/>
      <c r="AT27" s="47" t="n"/>
      <c r="AU27" s="47" t="n"/>
      <c r="AV27" s="47" t="n"/>
      <c r="AW27" s="52" t="n"/>
    </row>
    <row r="28">
      <c r="A28" s="48" t="n"/>
      <c r="B28" s="52" t="n"/>
      <c r="C28" s="47">
        <f>IF(B28="","",IFERROR(INDEX('隊員マスタ'!$B$5:$B$204,MATCH(B28&amp;"",'隊員マスタ'!$F$5:$F$204,0)),IF(AK28="","番号なし",AK28)))</f>
        <v/>
      </c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47" t="n"/>
      <c r="T28" s="47" t="n"/>
      <c r="U28" s="53" t="n"/>
      <c r="V28" s="53" t="n"/>
      <c r="W28" s="47" t="n"/>
      <c r="X28" s="47" t="n"/>
      <c r="Y28" s="47" t="n"/>
      <c r="Z28" s="47" t="n"/>
      <c r="AA28" s="47" t="n"/>
      <c r="AB28" s="47" t="n"/>
      <c r="AC28" s="47" t="n"/>
      <c r="AD28" s="47" t="n"/>
      <c r="AE28" s="47" t="n"/>
      <c r="AF28" s="20">
        <f>IF(A28="","",YEAR(EDATE(A28,-3)))</f>
        <v/>
      </c>
      <c r="AG28" s="20">
        <f>IF(OR(B28="",'経歴簿'!$C$4=""),"",IF(B28&amp;""='経歴簿'!$C$4&amp;"",MAX($AG$4:AG27)+1,""))</f>
        <v/>
      </c>
      <c r="AH28" s="20">
        <f>IF(A28="",0,IF(AND(OR('CSV抽出'!$C$4="",A28&gt;='CSV抽出'!$C$4),OR('CSV抽出'!$C$5="",A28&lt;='CSV抽出'!$C$5),OR('CSV抽出'!$C$6="すべて",'CSV抽出'!$C$6="",D28='CSV抽出'!$C$6),OR('CSV抽出'!$C$7="",B28&amp;""='CSV抽出'!$C$7&amp;"")),1,0))</f>
        <v/>
      </c>
      <c r="AI28" s="20">
        <f>IF(AH28=1,SUM($AH$5:AH28),"")</f>
        <v/>
      </c>
      <c r="AJ28" s="20">
        <f>IF(OR(S28="",'報告書'!$C$4=""),"",IF(S28&amp;""='報告書'!$C$4&amp;"",COUNTIF($S$5:S28,'報告書'!$C$4),""))</f>
        <v/>
      </c>
      <c r="AK28" s="20" t="n"/>
      <c r="AL28" s="47" t="n"/>
      <c r="AM28" s="47" t="n"/>
      <c r="AN28" s="53" t="n"/>
      <c r="AO28" s="47" t="n"/>
      <c r="AP28" s="47" t="n"/>
      <c r="AQ28" s="47" t="n"/>
      <c r="AR28" s="47" t="n"/>
      <c r="AS28" s="47" t="n"/>
      <c r="AT28" s="47" t="n"/>
      <c r="AU28" s="47" t="n"/>
      <c r="AV28" s="47" t="n"/>
      <c r="AW28" s="52" t="n"/>
    </row>
    <row r="29">
      <c r="A29" s="48" t="n"/>
      <c r="B29" s="52" t="n"/>
      <c r="C29" s="47">
        <f>IF(B29="","",IFERROR(INDEX('隊員マスタ'!$B$5:$B$204,MATCH(B29&amp;"",'隊員マスタ'!$F$5:$F$204,0)),IF(AK29="","番号なし",AK29)))</f>
        <v/>
      </c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53" t="n"/>
      <c r="V29" s="53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20">
        <f>IF(A29="","",YEAR(EDATE(A29,-3)))</f>
        <v/>
      </c>
      <c r="AG29" s="20">
        <f>IF(OR(B29="",'経歴簿'!$C$4=""),"",IF(B29&amp;""='経歴簿'!$C$4&amp;"",MAX($AG$4:AG28)+1,""))</f>
        <v/>
      </c>
      <c r="AH29" s="20">
        <f>IF(A29="",0,IF(AND(OR('CSV抽出'!$C$4="",A29&gt;='CSV抽出'!$C$4),OR('CSV抽出'!$C$5="",A29&lt;='CSV抽出'!$C$5),OR('CSV抽出'!$C$6="すべて",'CSV抽出'!$C$6="",D29='CSV抽出'!$C$6),OR('CSV抽出'!$C$7="",B29&amp;""='CSV抽出'!$C$7&amp;"")),1,0))</f>
        <v/>
      </c>
      <c r="AI29" s="20">
        <f>IF(AH29=1,SUM($AH$5:AH29),"")</f>
        <v/>
      </c>
      <c r="AJ29" s="20">
        <f>IF(OR(S29="",'報告書'!$C$4=""),"",IF(S29&amp;""='報告書'!$C$4&amp;"",COUNTIF($S$5:S29,'報告書'!$C$4),""))</f>
        <v/>
      </c>
      <c r="AK29" s="20" t="n"/>
      <c r="AL29" s="47" t="n"/>
      <c r="AM29" s="47" t="n"/>
      <c r="AN29" s="53" t="n"/>
      <c r="AO29" s="47" t="n"/>
      <c r="AP29" s="47" t="n"/>
      <c r="AQ29" s="47" t="n"/>
      <c r="AR29" s="47" t="n"/>
      <c r="AS29" s="47" t="n"/>
      <c r="AT29" s="47" t="n"/>
      <c r="AU29" s="47" t="n"/>
      <c r="AV29" s="47" t="n"/>
      <c r="AW29" s="52" t="n"/>
    </row>
    <row r="30">
      <c r="A30" s="48" t="n"/>
      <c r="B30" s="52" t="n"/>
      <c r="C30" s="47">
        <f>IF(B30="","",IFERROR(INDEX('隊員マスタ'!$B$5:$B$204,MATCH(B30&amp;"",'隊員マスタ'!$F$5:$F$204,0)),IF(AK30="","番号なし",AK30)))</f>
        <v/>
      </c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47" t="n"/>
      <c r="T30" s="47" t="n"/>
      <c r="U30" s="53" t="n"/>
      <c r="V30" s="53" t="n"/>
      <c r="W30" s="47" t="n"/>
      <c r="X30" s="47" t="n"/>
      <c r="Y30" s="47" t="n"/>
      <c r="Z30" s="47" t="n"/>
      <c r="AA30" s="47" t="n"/>
      <c r="AB30" s="47" t="n"/>
      <c r="AC30" s="47" t="n"/>
      <c r="AD30" s="47" t="n"/>
      <c r="AE30" s="47" t="n"/>
      <c r="AF30" s="20">
        <f>IF(A30="","",YEAR(EDATE(A30,-3)))</f>
        <v/>
      </c>
      <c r="AG30" s="20">
        <f>IF(OR(B30="",'経歴簿'!$C$4=""),"",IF(B30&amp;""='経歴簿'!$C$4&amp;"",MAX($AG$4:AG29)+1,""))</f>
        <v/>
      </c>
      <c r="AH30" s="20">
        <f>IF(A30="",0,IF(AND(OR('CSV抽出'!$C$4="",A30&gt;='CSV抽出'!$C$4),OR('CSV抽出'!$C$5="",A30&lt;='CSV抽出'!$C$5),OR('CSV抽出'!$C$6="すべて",'CSV抽出'!$C$6="",D30='CSV抽出'!$C$6),OR('CSV抽出'!$C$7="",B30&amp;""='CSV抽出'!$C$7&amp;"")),1,0))</f>
        <v/>
      </c>
      <c r="AI30" s="20">
        <f>IF(AH30=1,SUM($AH$5:AH30),"")</f>
        <v/>
      </c>
      <c r="AJ30" s="20">
        <f>IF(OR(S30="",'報告書'!$C$4=""),"",IF(S30&amp;""='報告書'!$C$4&amp;"",COUNTIF($S$5:S30,'報告書'!$C$4),""))</f>
        <v/>
      </c>
      <c r="AK30" s="20" t="n"/>
      <c r="AL30" s="47" t="n"/>
      <c r="AM30" s="47" t="n"/>
      <c r="AN30" s="53" t="n"/>
      <c r="AO30" s="47" t="n"/>
      <c r="AP30" s="47" t="n"/>
      <c r="AQ30" s="47" t="n"/>
      <c r="AR30" s="47" t="n"/>
      <c r="AS30" s="47" t="n"/>
      <c r="AT30" s="47" t="n"/>
      <c r="AU30" s="47" t="n"/>
      <c r="AV30" s="47" t="n"/>
      <c r="AW30" s="52" t="n"/>
    </row>
    <row r="31">
      <c r="A31" s="48" t="n"/>
      <c r="B31" s="52" t="n"/>
      <c r="C31" s="47">
        <f>IF(B31="","",IFERROR(INDEX('隊員マスタ'!$B$5:$B$204,MATCH(B31&amp;"",'隊員マスタ'!$F$5:$F$204,0)),IF(AK31="","番号なし",AK31)))</f>
        <v/>
      </c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47" t="n"/>
      <c r="T31" s="47" t="n"/>
      <c r="U31" s="53" t="n"/>
      <c r="V31" s="53" t="n"/>
      <c r="W31" s="47" t="n"/>
      <c r="X31" s="47" t="n"/>
      <c r="Y31" s="47" t="n"/>
      <c r="Z31" s="47" t="n"/>
      <c r="AA31" s="47" t="n"/>
      <c r="AB31" s="47" t="n"/>
      <c r="AC31" s="47" t="n"/>
      <c r="AD31" s="47" t="n"/>
      <c r="AE31" s="47" t="n"/>
      <c r="AF31" s="20">
        <f>IF(A31="","",YEAR(EDATE(A31,-3)))</f>
        <v/>
      </c>
      <c r="AG31" s="20">
        <f>IF(OR(B31="",'経歴簿'!$C$4=""),"",IF(B31&amp;""='経歴簿'!$C$4&amp;"",MAX($AG$4:AG30)+1,""))</f>
        <v/>
      </c>
      <c r="AH31" s="20">
        <f>IF(A31="",0,IF(AND(OR('CSV抽出'!$C$4="",A31&gt;='CSV抽出'!$C$4),OR('CSV抽出'!$C$5="",A31&lt;='CSV抽出'!$C$5),OR('CSV抽出'!$C$6="すべて",'CSV抽出'!$C$6="",D31='CSV抽出'!$C$6),OR('CSV抽出'!$C$7="",B31&amp;""='CSV抽出'!$C$7&amp;"")),1,0))</f>
        <v/>
      </c>
      <c r="AI31" s="20">
        <f>IF(AH31=1,SUM($AH$5:AH31),"")</f>
        <v/>
      </c>
      <c r="AJ31" s="20">
        <f>IF(OR(S31="",'報告書'!$C$4=""),"",IF(S31&amp;""='報告書'!$C$4&amp;"",COUNTIF($S$5:S31,'報告書'!$C$4),""))</f>
        <v/>
      </c>
      <c r="AK31" s="20" t="n"/>
      <c r="AL31" s="47" t="n"/>
      <c r="AM31" s="47" t="n"/>
      <c r="AN31" s="53" t="n"/>
      <c r="AO31" s="47" t="n"/>
      <c r="AP31" s="47" t="n"/>
      <c r="AQ31" s="47" t="n"/>
      <c r="AR31" s="47" t="n"/>
      <c r="AS31" s="47" t="n"/>
      <c r="AT31" s="47" t="n"/>
      <c r="AU31" s="47" t="n"/>
      <c r="AV31" s="47" t="n"/>
      <c r="AW31" s="52" t="n"/>
    </row>
    <row r="32">
      <c r="A32" s="48" t="n"/>
      <c r="B32" s="52" t="n"/>
      <c r="C32" s="47">
        <f>IF(B32="","",IFERROR(INDEX('隊員マスタ'!$B$5:$B$204,MATCH(B32&amp;"",'隊員マスタ'!$F$5:$F$204,0)),IF(AK32="","番号なし",AK32)))</f>
        <v/>
      </c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47" t="n"/>
      <c r="T32" s="47" t="n"/>
      <c r="U32" s="53" t="n"/>
      <c r="V32" s="53" t="n"/>
      <c r="W32" s="47" t="n"/>
      <c r="X32" s="47" t="n"/>
      <c r="Y32" s="47" t="n"/>
      <c r="Z32" s="47" t="n"/>
      <c r="AA32" s="47" t="n"/>
      <c r="AB32" s="47" t="n"/>
      <c r="AC32" s="47" t="n"/>
      <c r="AD32" s="47" t="n"/>
      <c r="AE32" s="47" t="n"/>
      <c r="AF32" s="20">
        <f>IF(A32="","",YEAR(EDATE(A32,-3)))</f>
        <v/>
      </c>
      <c r="AG32" s="20">
        <f>IF(OR(B32="",'経歴簿'!$C$4=""),"",IF(B32&amp;""='経歴簿'!$C$4&amp;"",MAX($AG$4:AG31)+1,""))</f>
        <v/>
      </c>
      <c r="AH32" s="20">
        <f>IF(A32="",0,IF(AND(OR('CSV抽出'!$C$4="",A32&gt;='CSV抽出'!$C$4),OR('CSV抽出'!$C$5="",A32&lt;='CSV抽出'!$C$5),OR('CSV抽出'!$C$6="すべて",'CSV抽出'!$C$6="",D32='CSV抽出'!$C$6),OR('CSV抽出'!$C$7="",B32&amp;""='CSV抽出'!$C$7&amp;"")),1,0))</f>
        <v/>
      </c>
      <c r="AI32" s="20">
        <f>IF(AH32=1,SUM($AH$5:AH32),"")</f>
        <v/>
      </c>
      <c r="AJ32" s="20">
        <f>IF(OR(S32="",'報告書'!$C$4=""),"",IF(S32&amp;""='報告書'!$C$4&amp;"",COUNTIF($S$5:S32,'報告書'!$C$4),""))</f>
        <v/>
      </c>
      <c r="AK32" s="20" t="n"/>
      <c r="AL32" s="47" t="n"/>
      <c r="AM32" s="47" t="n"/>
      <c r="AN32" s="53" t="n"/>
      <c r="AO32" s="47" t="n"/>
      <c r="AP32" s="47" t="n"/>
      <c r="AQ32" s="47" t="n"/>
      <c r="AR32" s="47" t="n"/>
      <c r="AS32" s="47" t="n"/>
      <c r="AT32" s="47" t="n"/>
      <c r="AU32" s="47" t="n"/>
      <c r="AV32" s="47" t="n"/>
      <c r="AW32" s="52" t="n"/>
    </row>
    <row r="33">
      <c r="A33" s="48" t="n"/>
      <c r="B33" s="52" t="n"/>
      <c r="C33" s="47">
        <f>IF(B33="","",IFERROR(INDEX('隊員マスタ'!$B$5:$B$204,MATCH(B33&amp;"",'隊員マスタ'!$F$5:$F$204,0)),IF(AK33="","番号なし",AK33)))</f>
        <v/>
      </c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47" t="n"/>
      <c r="T33" s="47" t="n"/>
      <c r="U33" s="53" t="n"/>
      <c r="V33" s="53" t="n"/>
      <c r="W33" s="47" t="n"/>
      <c r="X33" s="47" t="n"/>
      <c r="Y33" s="47" t="n"/>
      <c r="Z33" s="47" t="n"/>
      <c r="AA33" s="47" t="n"/>
      <c r="AB33" s="47" t="n"/>
      <c r="AC33" s="47" t="n"/>
      <c r="AD33" s="47" t="n"/>
      <c r="AE33" s="47" t="n"/>
      <c r="AF33" s="20">
        <f>IF(A33="","",YEAR(EDATE(A33,-3)))</f>
        <v/>
      </c>
      <c r="AG33" s="20">
        <f>IF(OR(B33="",'経歴簿'!$C$4=""),"",IF(B33&amp;""='経歴簿'!$C$4&amp;"",MAX($AG$4:AG32)+1,""))</f>
        <v/>
      </c>
      <c r="AH33" s="20">
        <f>IF(A33="",0,IF(AND(OR('CSV抽出'!$C$4="",A33&gt;='CSV抽出'!$C$4),OR('CSV抽出'!$C$5="",A33&lt;='CSV抽出'!$C$5),OR('CSV抽出'!$C$6="すべて",'CSV抽出'!$C$6="",D33='CSV抽出'!$C$6),OR('CSV抽出'!$C$7="",B33&amp;""='CSV抽出'!$C$7&amp;"")),1,0))</f>
        <v/>
      </c>
      <c r="AI33" s="20">
        <f>IF(AH33=1,SUM($AH$5:AH33),"")</f>
        <v/>
      </c>
      <c r="AJ33" s="20">
        <f>IF(OR(S33="",'報告書'!$C$4=""),"",IF(S33&amp;""='報告書'!$C$4&amp;"",COUNTIF($S$5:S33,'報告書'!$C$4),""))</f>
        <v/>
      </c>
      <c r="AK33" s="20" t="n"/>
      <c r="AL33" s="47" t="n"/>
      <c r="AM33" s="47" t="n"/>
      <c r="AN33" s="53" t="n"/>
      <c r="AO33" s="47" t="n"/>
      <c r="AP33" s="47" t="n"/>
      <c r="AQ33" s="47" t="n"/>
      <c r="AR33" s="47" t="n"/>
      <c r="AS33" s="47" t="n"/>
      <c r="AT33" s="47" t="n"/>
      <c r="AU33" s="47" t="n"/>
      <c r="AV33" s="47" t="n"/>
      <c r="AW33" s="52" t="n"/>
    </row>
    <row r="34">
      <c r="A34" s="48" t="n"/>
      <c r="B34" s="52" t="n"/>
      <c r="C34" s="47">
        <f>IF(B34="","",IFERROR(INDEX('隊員マスタ'!$B$5:$B$204,MATCH(B34&amp;"",'隊員マスタ'!$F$5:$F$204,0)),IF(AK34="","番号なし",AK34)))</f>
        <v/>
      </c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47" t="n"/>
      <c r="T34" s="47" t="n"/>
      <c r="U34" s="53" t="n"/>
      <c r="V34" s="53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20">
        <f>IF(A34="","",YEAR(EDATE(A34,-3)))</f>
        <v/>
      </c>
      <c r="AG34" s="20">
        <f>IF(OR(B34="",'経歴簿'!$C$4=""),"",IF(B34&amp;""='経歴簿'!$C$4&amp;"",MAX($AG$4:AG33)+1,""))</f>
        <v/>
      </c>
      <c r="AH34" s="20">
        <f>IF(A34="",0,IF(AND(OR('CSV抽出'!$C$4="",A34&gt;='CSV抽出'!$C$4),OR('CSV抽出'!$C$5="",A34&lt;='CSV抽出'!$C$5),OR('CSV抽出'!$C$6="すべて",'CSV抽出'!$C$6="",D34='CSV抽出'!$C$6),OR('CSV抽出'!$C$7="",B34&amp;""='CSV抽出'!$C$7&amp;"")),1,0))</f>
        <v/>
      </c>
      <c r="AI34" s="20">
        <f>IF(AH34=1,SUM($AH$5:AH34),"")</f>
        <v/>
      </c>
      <c r="AJ34" s="20">
        <f>IF(OR(S34="",'報告書'!$C$4=""),"",IF(S34&amp;""='報告書'!$C$4&amp;"",COUNTIF($S$5:S34,'報告書'!$C$4),""))</f>
        <v/>
      </c>
      <c r="AK34" s="20" t="n"/>
      <c r="AL34" s="47" t="n"/>
      <c r="AM34" s="47" t="n"/>
      <c r="AN34" s="53" t="n"/>
      <c r="AO34" s="47" t="n"/>
      <c r="AP34" s="47" t="n"/>
      <c r="AQ34" s="47" t="n"/>
      <c r="AR34" s="47" t="n"/>
      <c r="AS34" s="47" t="n"/>
      <c r="AT34" s="47" t="n"/>
      <c r="AU34" s="47" t="n"/>
      <c r="AV34" s="47" t="n"/>
      <c r="AW34" s="52" t="n"/>
    </row>
    <row r="35">
      <c r="A35" s="48" t="n"/>
      <c r="B35" s="52" t="n"/>
      <c r="C35" s="47">
        <f>IF(B35="","",IFERROR(INDEX('隊員マスタ'!$B$5:$B$204,MATCH(B35&amp;"",'隊員マスタ'!$F$5:$F$204,0)),IF(AK35="","番号なし",AK35)))</f>
        <v/>
      </c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53" t="n"/>
      <c r="V35" s="53" t="n"/>
      <c r="W35" s="47" t="n"/>
      <c r="X35" s="47" t="n"/>
      <c r="Y35" s="47" t="n"/>
      <c r="Z35" s="47" t="n"/>
      <c r="AA35" s="47" t="n"/>
      <c r="AB35" s="47" t="n"/>
      <c r="AC35" s="47" t="n"/>
      <c r="AD35" s="47" t="n"/>
      <c r="AE35" s="47" t="n"/>
      <c r="AF35" s="20">
        <f>IF(A35="","",YEAR(EDATE(A35,-3)))</f>
        <v/>
      </c>
      <c r="AG35" s="20">
        <f>IF(OR(B35="",'経歴簿'!$C$4=""),"",IF(B35&amp;""='経歴簿'!$C$4&amp;"",MAX($AG$4:AG34)+1,""))</f>
        <v/>
      </c>
      <c r="AH35" s="20">
        <f>IF(A35="",0,IF(AND(OR('CSV抽出'!$C$4="",A35&gt;='CSV抽出'!$C$4),OR('CSV抽出'!$C$5="",A35&lt;='CSV抽出'!$C$5),OR('CSV抽出'!$C$6="すべて",'CSV抽出'!$C$6="",D35='CSV抽出'!$C$6),OR('CSV抽出'!$C$7="",B35&amp;""='CSV抽出'!$C$7&amp;"")),1,0))</f>
        <v/>
      </c>
      <c r="AI35" s="20">
        <f>IF(AH35=1,SUM($AH$5:AH35),"")</f>
        <v/>
      </c>
      <c r="AJ35" s="20">
        <f>IF(OR(S35="",'報告書'!$C$4=""),"",IF(S35&amp;""='報告書'!$C$4&amp;"",COUNTIF($S$5:S35,'報告書'!$C$4),""))</f>
        <v/>
      </c>
      <c r="AK35" s="20" t="n"/>
      <c r="AL35" s="47" t="n"/>
      <c r="AM35" s="47" t="n"/>
      <c r="AN35" s="53" t="n"/>
      <c r="AO35" s="47" t="n"/>
      <c r="AP35" s="47" t="n"/>
      <c r="AQ35" s="47" t="n"/>
      <c r="AR35" s="47" t="n"/>
      <c r="AS35" s="47" t="n"/>
      <c r="AT35" s="47" t="n"/>
      <c r="AU35" s="47" t="n"/>
      <c r="AV35" s="47" t="n"/>
      <c r="AW35" s="52" t="n"/>
    </row>
    <row r="36">
      <c r="A36" s="48" t="n"/>
      <c r="B36" s="52" t="n"/>
      <c r="C36" s="47">
        <f>IF(B36="","",IFERROR(INDEX('隊員マスタ'!$B$5:$B$204,MATCH(B36&amp;"",'隊員マスタ'!$F$5:$F$204,0)),IF(AK36="","番号なし",AK36)))</f>
        <v/>
      </c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47" t="n"/>
      <c r="T36" s="47" t="n"/>
      <c r="U36" s="53" t="n"/>
      <c r="V36" s="53" t="n"/>
      <c r="W36" s="47" t="n"/>
      <c r="X36" s="47" t="n"/>
      <c r="Y36" s="47" t="n"/>
      <c r="Z36" s="47" t="n"/>
      <c r="AA36" s="47" t="n"/>
      <c r="AB36" s="47" t="n"/>
      <c r="AC36" s="47" t="n"/>
      <c r="AD36" s="47" t="n"/>
      <c r="AE36" s="47" t="n"/>
      <c r="AF36" s="20">
        <f>IF(A36="","",YEAR(EDATE(A36,-3)))</f>
        <v/>
      </c>
      <c r="AG36" s="20">
        <f>IF(OR(B36="",'経歴簿'!$C$4=""),"",IF(B36&amp;""='経歴簿'!$C$4&amp;"",MAX($AG$4:AG35)+1,""))</f>
        <v/>
      </c>
      <c r="AH36" s="20">
        <f>IF(A36="",0,IF(AND(OR('CSV抽出'!$C$4="",A36&gt;='CSV抽出'!$C$4),OR('CSV抽出'!$C$5="",A36&lt;='CSV抽出'!$C$5),OR('CSV抽出'!$C$6="すべて",'CSV抽出'!$C$6="",D36='CSV抽出'!$C$6),OR('CSV抽出'!$C$7="",B36&amp;""='CSV抽出'!$C$7&amp;"")),1,0))</f>
        <v/>
      </c>
      <c r="AI36" s="20">
        <f>IF(AH36=1,SUM($AH$5:AH36),"")</f>
        <v/>
      </c>
      <c r="AJ36" s="20">
        <f>IF(OR(S36="",'報告書'!$C$4=""),"",IF(S36&amp;""='報告書'!$C$4&amp;"",COUNTIF($S$5:S36,'報告書'!$C$4),""))</f>
        <v/>
      </c>
      <c r="AK36" s="20" t="n"/>
      <c r="AL36" s="47" t="n"/>
      <c r="AM36" s="47" t="n"/>
      <c r="AN36" s="53" t="n"/>
      <c r="AO36" s="47" t="n"/>
      <c r="AP36" s="47" t="n"/>
      <c r="AQ36" s="47" t="n"/>
      <c r="AR36" s="47" t="n"/>
      <c r="AS36" s="47" t="n"/>
      <c r="AT36" s="47" t="n"/>
      <c r="AU36" s="47" t="n"/>
      <c r="AV36" s="47" t="n"/>
      <c r="AW36" s="52" t="n"/>
    </row>
    <row r="37">
      <c r="A37" s="48" t="n"/>
      <c r="B37" s="52" t="n"/>
      <c r="C37" s="47">
        <f>IF(B37="","",IFERROR(INDEX('隊員マスタ'!$B$5:$B$204,MATCH(B37&amp;"",'隊員マスタ'!$F$5:$F$204,0)),IF(AK37="","番号なし",AK37)))</f>
        <v/>
      </c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47" t="n"/>
      <c r="T37" s="47" t="n"/>
      <c r="U37" s="53" t="n"/>
      <c r="V37" s="53" t="n"/>
      <c r="W37" s="47" t="n"/>
      <c r="X37" s="47" t="n"/>
      <c r="Y37" s="47" t="n"/>
      <c r="Z37" s="47" t="n"/>
      <c r="AA37" s="47" t="n"/>
      <c r="AB37" s="47" t="n"/>
      <c r="AC37" s="47" t="n"/>
      <c r="AD37" s="47" t="n"/>
      <c r="AE37" s="47" t="n"/>
      <c r="AF37" s="20">
        <f>IF(A37="","",YEAR(EDATE(A37,-3)))</f>
        <v/>
      </c>
      <c r="AG37" s="20">
        <f>IF(OR(B37="",'経歴簿'!$C$4=""),"",IF(B37&amp;""='経歴簿'!$C$4&amp;"",MAX($AG$4:AG36)+1,""))</f>
        <v/>
      </c>
      <c r="AH37" s="20">
        <f>IF(A37="",0,IF(AND(OR('CSV抽出'!$C$4="",A37&gt;='CSV抽出'!$C$4),OR('CSV抽出'!$C$5="",A37&lt;='CSV抽出'!$C$5),OR('CSV抽出'!$C$6="すべて",'CSV抽出'!$C$6="",D37='CSV抽出'!$C$6),OR('CSV抽出'!$C$7="",B37&amp;""='CSV抽出'!$C$7&amp;"")),1,0))</f>
        <v/>
      </c>
      <c r="AI37" s="20">
        <f>IF(AH37=1,SUM($AH$5:AH37),"")</f>
        <v/>
      </c>
      <c r="AJ37" s="20">
        <f>IF(OR(S37="",'報告書'!$C$4=""),"",IF(S37&amp;""='報告書'!$C$4&amp;"",COUNTIF($S$5:S37,'報告書'!$C$4),""))</f>
        <v/>
      </c>
      <c r="AK37" s="20" t="n"/>
      <c r="AL37" s="47" t="n"/>
      <c r="AM37" s="47" t="n"/>
      <c r="AN37" s="53" t="n"/>
      <c r="AO37" s="47" t="n"/>
      <c r="AP37" s="47" t="n"/>
      <c r="AQ37" s="47" t="n"/>
      <c r="AR37" s="47" t="n"/>
      <c r="AS37" s="47" t="n"/>
      <c r="AT37" s="47" t="n"/>
      <c r="AU37" s="47" t="n"/>
      <c r="AV37" s="47" t="n"/>
      <c r="AW37" s="52" t="n"/>
    </row>
    <row r="38">
      <c r="A38" s="48" t="n"/>
      <c r="B38" s="52" t="n"/>
      <c r="C38" s="47">
        <f>IF(B38="","",IFERROR(INDEX('隊員マスタ'!$B$5:$B$204,MATCH(B38&amp;"",'隊員マスタ'!$F$5:$F$204,0)),IF(AK38="","番号なし",AK38)))</f>
        <v/>
      </c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47" t="n"/>
      <c r="T38" s="47" t="n"/>
      <c r="U38" s="53" t="n"/>
      <c r="V38" s="53" t="n"/>
      <c r="W38" s="47" t="n"/>
      <c r="X38" s="47" t="n"/>
      <c r="Y38" s="47" t="n"/>
      <c r="Z38" s="47" t="n"/>
      <c r="AA38" s="47" t="n"/>
      <c r="AB38" s="47" t="n"/>
      <c r="AC38" s="47" t="n"/>
      <c r="AD38" s="47" t="n"/>
      <c r="AE38" s="47" t="n"/>
      <c r="AF38" s="20">
        <f>IF(A38="","",YEAR(EDATE(A38,-3)))</f>
        <v/>
      </c>
      <c r="AG38" s="20">
        <f>IF(OR(B38="",'経歴簿'!$C$4=""),"",IF(B38&amp;""='経歴簿'!$C$4&amp;"",MAX($AG$4:AG37)+1,""))</f>
        <v/>
      </c>
      <c r="AH38" s="20">
        <f>IF(A38="",0,IF(AND(OR('CSV抽出'!$C$4="",A38&gt;='CSV抽出'!$C$4),OR('CSV抽出'!$C$5="",A38&lt;='CSV抽出'!$C$5),OR('CSV抽出'!$C$6="すべて",'CSV抽出'!$C$6="",D38='CSV抽出'!$C$6),OR('CSV抽出'!$C$7="",B38&amp;""='CSV抽出'!$C$7&amp;"")),1,0))</f>
        <v/>
      </c>
      <c r="AI38" s="20">
        <f>IF(AH38=1,SUM($AH$5:AH38),"")</f>
        <v/>
      </c>
      <c r="AJ38" s="20">
        <f>IF(OR(S38="",'報告書'!$C$4=""),"",IF(S38&amp;""='報告書'!$C$4&amp;"",COUNTIF($S$5:S38,'報告書'!$C$4),""))</f>
        <v/>
      </c>
      <c r="AK38" s="20" t="n"/>
      <c r="AL38" s="47" t="n"/>
      <c r="AM38" s="47" t="n"/>
      <c r="AN38" s="53" t="n"/>
      <c r="AO38" s="47" t="n"/>
      <c r="AP38" s="47" t="n"/>
      <c r="AQ38" s="47" t="n"/>
      <c r="AR38" s="47" t="n"/>
      <c r="AS38" s="47" t="n"/>
      <c r="AT38" s="47" t="n"/>
      <c r="AU38" s="47" t="n"/>
      <c r="AV38" s="47" t="n"/>
      <c r="AW38" s="52" t="n"/>
    </row>
    <row r="39">
      <c r="A39" s="48" t="n"/>
      <c r="B39" s="52" t="n"/>
      <c r="C39" s="47">
        <f>IF(B39="","",IFERROR(INDEX('隊員マスタ'!$B$5:$B$204,MATCH(B39&amp;"",'隊員マスタ'!$F$5:$F$204,0)),IF(AK39="","番号なし",AK39)))</f>
        <v/>
      </c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47" t="n"/>
      <c r="T39" s="47" t="n"/>
      <c r="U39" s="53" t="n"/>
      <c r="V39" s="53" t="n"/>
      <c r="W39" s="47" t="n"/>
      <c r="X39" s="47" t="n"/>
      <c r="Y39" s="47" t="n"/>
      <c r="Z39" s="47" t="n"/>
      <c r="AA39" s="47" t="n"/>
      <c r="AB39" s="47" t="n"/>
      <c r="AC39" s="47" t="n"/>
      <c r="AD39" s="47" t="n"/>
      <c r="AE39" s="47" t="n"/>
      <c r="AF39" s="20">
        <f>IF(A39="","",YEAR(EDATE(A39,-3)))</f>
        <v/>
      </c>
      <c r="AG39" s="20">
        <f>IF(OR(B39="",'経歴簿'!$C$4=""),"",IF(B39&amp;""='経歴簿'!$C$4&amp;"",MAX($AG$4:AG38)+1,""))</f>
        <v/>
      </c>
      <c r="AH39" s="20">
        <f>IF(A39="",0,IF(AND(OR('CSV抽出'!$C$4="",A39&gt;='CSV抽出'!$C$4),OR('CSV抽出'!$C$5="",A39&lt;='CSV抽出'!$C$5),OR('CSV抽出'!$C$6="すべて",'CSV抽出'!$C$6="",D39='CSV抽出'!$C$6),OR('CSV抽出'!$C$7="",B39&amp;""='CSV抽出'!$C$7&amp;"")),1,0))</f>
        <v/>
      </c>
      <c r="AI39" s="20">
        <f>IF(AH39=1,SUM($AH$5:AH39),"")</f>
        <v/>
      </c>
      <c r="AJ39" s="20">
        <f>IF(OR(S39="",'報告書'!$C$4=""),"",IF(S39&amp;""='報告書'!$C$4&amp;"",COUNTIF($S$5:S39,'報告書'!$C$4),""))</f>
        <v/>
      </c>
      <c r="AK39" s="20" t="n"/>
      <c r="AL39" s="47" t="n"/>
      <c r="AM39" s="47" t="n"/>
      <c r="AN39" s="53" t="n"/>
      <c r="AO39" s="47" t="n"/>
      <c r="AP39" s="47" t="n"/>
      <c r="AQ39" s="47" t="n"/>
      <c r="AR39" s="47" t="n"/>
      <c r="AS39" s="47" t="n"/>
      <c r="AT39" s="47" t="n"/>
      <c r="AU39" s="47" t="n"/>
      <c r="AV39" s="47" t="n"/>
      <c r="AW39" s="52" t="n"/>
    </row>
    <row r="40">
      <c r="A40" s="48" t="n"/>
      <c r="B40" s="52" t="n"/>
      <c r="C40" s="47">
        <f>IF(B40="","",IFERROR(INDEX('隊員マスタ'!$B$5:$B$204,MATCH(B40&amp;"",'隊員マスタ'!$F$5:$F$204,0)),IF(AK40="","番号なし",AK40)))</f>
        <v/>
      </c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47" t="n"/>
      <c r="T40" s="47" t="n"/>
      <c r="U40" s="53" t="n"/>
      <c r="V40" s="53" t="n"/>
      <c r="W40" s="47" t="n"/>
      <c r="X40" s="47" t="n"/>
      <c r="Y40" s="47" t="n"/>
      <c r="Z40" s="47" t="n"/>
      <c r="AA40" s="47" t="n"/>
      <c r="AB40" s="47" t="n"/>
      <c r="AC40" s="47" t="n"/>
      <c r="AD40" s="47" t="n"/>
      <c r="AE40" s="47" t="n"/>
      <c r="AF40" s="20">
        <f>IF(A40="","",YEAR(EDATE(A40,-3)))</f>
        <v/>
      </c>
      <c r="AG40" s="20">
        <f>IF(OR(B40="",'経歴簿'!$C$4=""),"",IF(B40&amp;""='経歴簿'!$C$4&amp;"",MAX($AG$4:AG39)+1,""))</f>
        <v/>
      </c>
      <c r="AH40" s="20">
        <f>IF(A40="",0,IF(AND(OR('CSV抽出'!$C$4="",A40&gt;='CSV抽出'!$C$4),OR('CSV抽出'!$C$5="",A40&lt;='CSV抽出'!$C$5),OR('CSV抽出'!$C$6="すべて",'CSV抽出'!$C$6="",D40='CSV抽出'!$C$6),OR('CSV抽出'!$C$7="",B40&amp;""='CSV抽出'!$C$7&amp;"")),1,0))</f>
        <v/>
      </c>
      <c r="AI40" s="20">
        <f>IF(AH40=1,SUM($AH$5:AH40),"")</f>
        <v/>
      </c>
      <c r="AJ40" s="20">
        <f>IF(OR(S40="",'報告書'!$C$4=""),"",IF(S40&amp;""='報告書'!$C$4&amp;"",COUNTIF($S$5:S40,'報告書'!$C$4),""))</f>
        <v/>
      </c>
      <c r="AK40" s="20" t="n"/>
      <c r="AL40" s="47" t="n"/>
      <c r="AM40" s="47" t="n"/>
      <c r="AN40" s="53" t="n"/>
      <c r="AO40" s="47" t="n"/>
      <c r="AP40" s="47" t="n"/>
      <c r="AQ40" s="47" t="n"/>
      <c r="AR40" s="47" t="n"/>
      <c r="AS40" s="47" t="n"/>
      <c r="AT40" s="47" t="n"/>
      <c r="AU40" s="47" t="n"/>
      <c r="AV40" s="47" t="n"/>
      <c r="AW40" s="52" t="n"/>
    </row>
    <row r="41">
      <c r="A41" s="48" t="n"/>
      <c r="B41" s="52" t="n"/>
      <c r="C41" s="47">
        <f>IF(B41="","",IFERROR(INDEX('隊員マスタ'!$B$5:$B$204,MATCH(B41&amp;"",'隊員マスタ'!$F$5:$F$204,0)),IF(AK41="","番号なし",AK41)))</f>
        <v/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53" t="n"/>
      <c r="V41" s="53" t="n"/>
      <c r="W41" s="47" t="n"/>
      <c r="X41" s="47" t="n"/>
      <c r="Y41" s="47" t="n"/>
      <c r="Z41" s="47" t="n"/>
      <c r="AA41" s="47" t="n"/>
      <c r="AB41" s="47" t="n"/>
      <c r="AC41" s="47" t="n"/>
      <c r="AD41" s="47" t="n"/>
      <c r="AE41" s="47" t="n"/>
      <c r="AF41" s="20">
        <f>IF(A41="","",YEAR(EDATE(A41,-3)))</f>
        <v/>
      </c>
      <c r="AG41" s="20">
        <f>IF(OR(B41="",'経歴簿'!$C$4=""),"",IF(B41&amp;""='経歴簿'!$C$4&amp;"",MAX($AG$4:AG40)+1,""))</f>
        <v/>
      </c>
      <c r="AH41" s="20">
        <f>IF(A41="",0,IF(AND(OR('CSV抽出'!$C$4="",A41&gt;='CSV抽出'!$C$4),OR('CSV抽出'!$C$5="",A41&lt;='CSV抽出'!$C$5),OR('CSV抽出'!$C$6="すべて",'CSV抽出'!$C$6="",D41='CSV抽出'!$C$6),OR('CSV抽出'!$C$7="",B41&amp;""='CSV抽出'!$C$7&amp;"")),1,0))</f>
        <v/>
      </c>
      <c r="AI41" s="20">
        <f>IF(AH41=1,SUM($AH$5:AH41),"")</f>
        <v/>
      </c>
      <c r="AJ41" s="20">
        <f>IF(OR(S41="",'報告書'!$C$4=""),"",IF(S41&amp;""='報告書'!$C$4&amp;"",COUNTIF($S$5:S41,'報告書'!$C$4),""))</f>
        <v/>
      </c>
      <c r="AK41" s="20" t="n"/>
      <c r="AL41" s="47" t="n"/>
      <c r="AM41" s="47" t="n"/>
      <c r="AN41" s="53" t="n"/>
      <c r="AO41" s="47" t="n"/>
      <c r="AP41" s="47" t="n"/>
      <c r="AQ41" s="47" t="n"/>
      <c r="AR41" s="47" t="n"/>
      <c r="AS41" s="47" t="n"/>
      <c r="AT41" s="47" t="n"/>
      <c r="AU41" s="47" t="n"/>
      <c r="AV41" s="47" t="n"/>
      <c r="AW41" s="52" t="n"/>
    </row>
    <row r="42">
      <c r="A42" s="48" t="n"/>
      <c r="B42" s="52" t="n"/>
      <c r="C42" s="47">
        <f>IF(B42="","",IFERROR(INDEX('隊員マスタ'!$B$5:$B$204,MATCH(B42&amp;"",'隊員マスタ'!$F$5:$F$204,0)),IF(AK42="","番号なし",AK42)))</f>
        <v/>
      </c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53" t="n"/>
      <c r="V42" s="53" t="n"/>
      <c r="W42" s="47" t="n"/>
      <c r="X42" s="47" t="n"/>
      <c r="Y42" s="47" t="n"/>
      <c r="Z42" s="47" t="n"/>
      <c r="AA42" s="47" t="n"/>
      <c r="AB42" s="47" t="n"/>
      <c r="AC42" s="47" t="n"/>
      <c r="AD42" s="47" t="n"/>
      <c r="AE42" s="47" t="n"/>
      <c r="AF42" s="20">
        <f>IF(A42="","",YEAR(EDATE(A42,-3)))</f>
        <v/>
      </c>
      <c r="AG42" s="20">
        <f>IF(OR(B42="",'経歴簿'!$C$4=""),"",IF(B42&amp;""='経歴簿'!$C$4&amp;"",MAX($AG$4:AG41)+1,""))</f>
        <v/>
      </c>
      <c r="AH42" s="20">
        <f>IF(A42="",0,IF(AND(OR('CSV抽出'!$C$4="",A42&gt;='CSV抽出'!$C$4),OR('CSV抽出'!$C$5="",A42&lt;='CSV抽出'!$C$5),OR('CSV抽出'!$C$6="すべて",'CSV抽出'!$C$6="",D42='CSV抽出'!$C$6),OR('CSV抽出'!$C$7="",B42&amp;""='CSV抽出'!$C$7&amp;"")),1,0))</f>
        <v/>
      </c>
      <c r="AI42" s="20">
        <f>IF(AH42=1,SUM($AH$5:AH42),"")</f>
        <v/>
      </c>
      <c r="AJ42" s="20">
        <f>IF(OR(S42="",'報告書'!$C$4=""),"",IF(S42&amp;""='報告書'!$C$4&amp;"",COUNTIF($S$5:S42,'報告書'!$C$4),""))</f>
        <v/>
      </c>
      <c r="AK42" s="20" t="n"/>
      <c r="AL42" s="47" t="n"/>
      <c r="AM42" s="47" t="n"/>
      <c r="AN42" s="53" t="n"/>
      <c r="AO42" s="47" t="n"/>
      <c r="AP42" s="47" t="n"/>
      <c r="AQ42" s="47" t="n"/>
      <c r="AR42" s="47" t="n"/>
      <c r="AS42" s="47" t="n"/>
      <c r="AT42" s="47" t="n"/>
      <c r="AU42" s="47" t="n"/>
      <c r="AV42" s="47" t="n"/>
      <c r="AW42" s="52" t="n"/>
    </row>
    <row r="43">
      <c r="A43" s="48" t="n"/>
      <c r="B43" s="52" t="n"/>
      <c r="C43" s="47">
        <f>IF(B43="","",IFERROR(INDEX('隊員マスタ'!$B$5:$B$204,MATCH(B43&amp;"",'隊員マスタ'!$F$5:$F$204,0)),IF(AK43="","番号なし",AK43)))</f>
        <v/>
      </c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47" t="n"/>
      <c r="T43" s="47" t="n"/>
      <c r="U43" s="53" t="n"/>
      <c r="V43" s="53" t="n"/>
      <c r="W43" s="47" t="n"/>
      <c r="X43" s="47" t="n"/>
      <c r="Y43" s="47" t="n"/>
      <c r="Z43" s="47" t="n"/>
      <c r="AA43" s="47" t="n"/>
      <c r="AB43" s="47" t="n"/>
      <c r="AC43" s="47" t="n"/>
      <c r="AD43" s="47" t="n"/>
      <c r="AE43" s="47" t="n"/>
      <c r="AF43" s="20">
        <f>IF(A43="","",YEAR(EDATE(A43,-3)))</f>
        <v/>
      </c>
      <c r="AG43" s="20">
        <f>IF(OR(B43="",'経歴簿'!$C$4=""),"",IF(B43&amp;""='経歴簿'!$C$4&amp;"",MAX($AG$4:AG42)+1,""))</f>
        <v/>
      </c>
      <c r="AH43" s="20">
        <f>IF(A43="",0,IF(AND(OR('CSV抽出'!$C$4="",A43&gt;='CSV抽出'!$C$4),OR('CSV抽出'!$C$5="",A43&lt;='CSV抽出'!$C$5),OR('CSV抽出'!$C$6="すべて",'CSV抽出'!$C$6="",D43='CSV抽出'!$C$6),OR('CSV抽出'!$C$7="",B43&amp;""='CSV抽出'!$C$7&amp;"")),1,0))</f>
        <v/>
      </c>
      <c r="AI43" s="20">
        <f>IF(AH43=1,SUM($AH$5:AH43),"")</f>
        <v/>
      </c>
      <c r="AJ43" s="20">
        <f>IF(OR(S43="",'報告書'!$C$4=""),"",IF(S43&amp;""='報告書'!$C$4&amp;"",COUNTIF($S$5:S43,'報告書'!$C$4),""))</f>
        <v/>
      </c>
      <c r="AK43" s="20" t="n"/>
      <c r="AL43" s="47" t="n"/>
      <c r="AM43" s="47" t="n"/>
      <c r="AN43" s="53" t="n"/>
      <c r="AO43" s="47" t="n"/>
      <c r="AP43" s="47" t="n"/>
      <c r="AQ43" s="47" t="n"/>
      <c r="AR43" s="47" t="n"/>
      <c r="AS43" s="47" t="n"/>
      <c r="AT43" s="47" t="n"/>
      <c r="AU43" s="47" t="n"/>
      <c r="AV43" s="47" t="n"/>
      <c r="AW43" s="52" t="n"/>
    </row>
    <row r="44">
      <c r="A44" s="48" t="n"/>
      <c r="B44" s="52" t="n"/>
      <c r="C44" s="47">
        <f>IF(B44="","",IFERROR(INDEX('隊員マスタ'!$B$5:$B$204,MATCH(B44&amp;"",'隊員マスタ'!$F$5:$F$204,0)),IF(AK44="","番号なし",AK44)))</f>
        <v/>
      </c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47" t="n"/>
      <c r="T44" s="47" t="n"/>
      <c r="U44" s="53" t="n"/>
      <c r="V44" s="53" t="n"/>
      <c r="W44" s="47" t="n"/>
      <c r="X44" s="47" t="n"/>
      <c r="Y44" s="47" t="n"/>
      <c r="Z44" s="47" t="n"/>
      <c r="AA44" s="47" t="n"/>
      <c r="AB44" s="47" t="n"/>
      <c r="AC44" s="47" t="n"/>
      <c r="AD44" s="47" t="n"/>
      <c r="AE44" s="47" t="n"/>
      <c r="AF44" s="20">
        <f>IF(A44="","",YEAR(EDATE(A44,-3)))</f>
        <v/>
      </c>
      <c r="AG44" s="20">
        <f>IF(OR(B44="",'経歴簿'!$C$4=""),"",IF(B44&amp;""='経歴簿'!$C$4&amp;"",MAX($AG$4:AG43)+1,""))</f>
        <v/>
      </c>
      <c r="AH44" s="20">
        <f>IF(A44="",0,IF(AND(OR('CSV抽出'!$C$4="",A44&gt;='CSV抽出'!$C$4),OR('CSV抽出'!$C$5="",A44&lt;='CSV抽出'!$C$5),OR('CSV抽出'!$C$6="すべて",'CSV抽出'!$C$6="",D44='CSV抽出'!$C$6),OR('CSV抽出'!$C$7="",B44&amp;""='CSV抽出'!$C$7&amp;"")),1,0))</f>
        <v/>
      </c>
      <c r="AI44" s="20">
        <f>IF(AH44=1,SUM($AH$5:AH44),"")</f>
        <v/>
      </c>
      <c r="AJ44" s="20">
        <f>IF(OR(S44="",'報告書'!$C$4=""),"",IF(S44&amp;""='報告書'!$C$4&amp;"",COUNTIF($S$5:S44,'報告書'!$C$4),""))</f>
        <v/>
      </c>
      <c r="AK44" s="20" t="n"/>
      <c r="AL44" s="47" t="n"/>
      <c r="AM44" s="47" t="n"/>
      <c r="AN44" s="53" t="n"/>
      <c r="AO44" s="47" t="n"/>
      <c r="AP44" s="47" t="n"/>
      <c r="AQ44" s="47" t="n"/>
      <c r="AR44" s="47" t="n"/>
      <c r="AS44" s="47" t="n"/>
      <c r="AT44" s="47" t="n"/>
      <c r="AU44" s="47" t="n"/>
      <c r="AV44" s="47" t="n"/>
      <c r="AW44" s="52" t="n"/>
    </row>
    <row r="45">
      <c r="A45" s="48" t="n"/>
      <c r="B45" s="52" t="n"/>
      <c r="C45" s="47">
        <f>IF(B45="","",IFERROR(INDEX('隊員マスタ'!$B$5:$B$204,MATCH(B45&amp;"",'隊員マスタ'!$F$5:$F$204,0)),IF(AK45="","番号なし",AK45)))</f>
        <v/>
      </c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53" t="n"/>
      <c r="V45" s="53" t="n"/>
      <c r="W45" s="47" t="n"/>
      <c r="X45" s="47" t="n"/>
      <c r="Y45" s="47" t="n"/>
      <c r="Z45" s="47" t="n"/>
      <c r="AA45" s="47" t="n"/>
      <c r="AB45" s="47" t="n"/>
      <c r="AC45" s="47" t="n"/>
      <c r="AD45" s="47" t="n"/>
      <c r="AE45" s="47" t="n"/>
      <c r="AF45" s="20">
        <f>IF(A45="","",YEAR(EDATE(A45,-3)))</f>
        <v/>
      </c>
      <c r="AG45" s="20">
        <f>IF(OR(B45="",'経歴簿'!$C$4=""),"",IF(B45&amp;""='経歴簿'!$C$4&amp;"",MAX($AG$4:AG44)+1,""))</f>
        <v/>
      </c>
      <c r="AH45" s="20">
        <f>IF(A45="",0,IF(AND(OR('CSV抽出'!$C$4="",A45&gt;='CSV抽出'!$C$4),OR('CSV抽出'!$C$5="",A45&lt;='CSV抽出'!$C$5),OR('CSV抽出'!$C$6="すべて",'CSV抽出'!$C$6="",D45='CSV抽出'!$C$6),OR('CSV抽出'!$C$7="",B45&amp;""='CSV抽出'!$C$7&amp;"")),1,0))</f>
        <v/>
      </c>
      <c r="AI45" s="20">
        <f>IF(AH45=1,SUM($AH$5:AH45),"")</f>
        <v/>
      </c>
      <c r="AJ45" s="20">
        <f>IF(OR(S45="",'報告書'!$C$4=""),"",IF(S45&amp;""='報告書'!$C$4&amp;"",COUNTIF($S$5:S45,'報告書'!$C$4),""))</f>
        <v/>
      </c>
      <c r="AK45" s="20" t="n"/>
      <c r="AL45" s="47" t="n"/>
      <c r="AM45" s="47" t="n"/>
      <c r="AN45" s="53" t="n"/>
      <c r="AO45" s="47" t="n"/>
      <c r="AP45" s="47" t="n"/>
      <c r="AQ45" s="47" t="n"/>
      <c r="AR45" s="47" t="n"/>
      <c r="AS45" s="47" t="n"/>
      <c r="AT45" s="47" t="n"/>
      <c r="AU45" s="47" t="n"/>
      <c r="AV45" s="47" t="n"/>
      <c r="AW45" s="52" t="n"/>
    </row>
    <row r="46">
      <c r="A46" s="48" t="n"/>
      <c r="B46" s="52" t="n"/>
      <c r="C46" s="47">
        <f>IF(B46="","",IFERROR(INDEX('隊員マスタ'!$B$5:$B$204,MATCH(B46&amp;"",'隊員マスタ'!$F$5:$F$204,0)),IF(AK46="","番号なし",AK46)))</f>
        <v/>
      </c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53" t="n"/>
      <c r="V46" s="53" t="n"/>
      <c r="W46" s="47" t="n"/>
      <c r="X46" s="47" t="n"/>
      <c r="Y46" s="47" t="n"/>
      <c r="Z46" s="47" t="n"/>
      <c r="AA46" s="47" t="n"/>
      <c r="AB46" s="47" t="n"/>
      <c r="AC46" s="47" t="n"/>
      <c r="AD46" s="47" t="n"/>
      <c r="AE46" s="47" t="n"/>
      <c r="AF46" s="20">
        <f>IF(A46="","",YEAR(EDATE(A46,-3)))</f>
        <v/>
      </c>
      <c r="AG46" s="20">
        <f>IF(OR(B46="",'経歴簿'!$C$4=""),"",IF(B46&amp;""='経歴簿'!$C$4&amp;"",MAX($AG$4:AG45)+1,""))</f>
        <v/>
      </c>
      <c r="AH46" s="20">
        <f>IF(A46="",0,IF(AND(OR('CSV抽出'!$C$4="",A46&gt;='CSV抽出'!$C$4),OR('CSV抽出'!$C$5="",A46&lt;='CSV抽出'!$C$5),OR('CSV抽出'!$C$6="すべて",'CSV抽出'!$C$6="",D46='CSV抽出'!$C$6),OR('CSV抽出'!$C$7="",B46&amp;""='CSV抽出'!$C$7&amp;"")),1,0))</f>
        <v/>
      </c>
      <c r="AI46" s="20">
        <f>IF(AH46=1,SUM($AH$5:AH46),"")</f>
        <v/>
      </c>
      <c r="AJ46" s="20">
        <f>IF(OR(S46="",'報告書'!$C$4=""),"",IF(S46&amp;""='報告書'!$C$4&amp;"",COUNTIF($S$5:S46,'報告書'!$C$4),""))</f>
        <v/>
      </c>
      <c r="AK46" s="20" t="n"/>
      <c r="AL46" s="47" t="n"/>
      <c r="AM46" s="47" t="n"/>
      <c r="AN46" s="53" t="n"/>
      <c r="AO46" s="47" t="n"/>
      <c r="AP46" s="47" t="n"/>
      <c r="AQ46" s="47" t="n"/>
      <c r="AR46" s="47" t="n"/>
      <c r="AS46" s="47" t="n"/>
      <c r="AT46" s="47" t="n"/>
      <c r="AU46" s="47" t="n"/>
      <c r="AV46" s="47" t="n"/>
      <c r="AW46" s="52" t="n"/>
    </row>
    <row r="47">
      <c r="A47" s="48" t="n"/>
      <c r="B47" s="52" t="n"/>
      <c r="C47" s="47">
        <f>IF(B47="","",IFERROR(INDEX('隊員マスタ'!$B$5:$B$204,MATCH(B47&amp;"",'隊員マスタ'!$F$5:$F$204,0)),IF(AK47="","番号なし",AK47)))</f>
        <v/>
      </c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53" t="n"/>
      <c r="V47" s="53" t="n"/>
      <c r="W47" s="47" t="n"/>
      <c r="X47" s="47" t="n"/>
      <c r="Y47" s="47" t="n"/>
      <c r="Z47" s="47" t="n"/>
      <c r="AA47" s="47" t="n"/>
      <c r="AB47" s="47" t="n"/>
      <c r="AC47" s="47" t="n"/>
      <c r="AD47" s="47" t="n"/>
      <c r="AE47" s="47" t="n"/>
      <c r="AF47" s="20">
        <f>IF(A47="","",YEAR(EDATE(A47,-3)))</f>
        <v/>
      </c>
      <c r="AG47" s="20">
        <f>IF(OR(B47="",'経歴簿'!$C$4=""),"",IF(B47&amp;""='経歴簿'!$C$4&amp;"",MAX($AG$4:AG46)+1,""))</f>
        <v/>
      </c>
      <c r="AH47" s="20">
        <f>IF(A47="",0,IF(AND(OR('CSV抽出'!$C$4="",A47&gt;='CSV抽出'!$C$4),OR('CSV抽出'!$C$5="",A47&lt;='CSV抽出'!$C$5),OR('CSV抽出'!$C$6="すべて",'CSV抽出'!$C$6="",D47='CSV抽出'!$C$6),OR('CSV抽出'!$C$7="",B47&amp;""='CSV抽出'!$C$7&amp;"")),1,0))</f>
        <v/>
      </c>
      <c r="AI47" s="20">
        <f>IF(AH47=1,SUM($AH$5:AH47),"")</f>
        <v/>
      </c>
      <c r="AJ47" s="20">
        <f>IF(OR(S47="",'報告書'!$C$4=""),"",IF(S47&amp;""='報告書'!$C$4&amp;"",COUNTIF($S$5:S47,'報告書'!$C$4),""))</f>
        <v/>
      </c>
      <c r="AK47" s="20" t="n"/>
      <c r="AL47" s="47" t="n"/>
      <c r="AM47" s="47" t="n"/>
      <c r="AN47" s="53" t="n"/>
      <c r="AO47" s="47" t="n"/>
      <c r="AP47" s="47" t="n"/>
      <c r="AQ47" s="47" t="n"/>
      <c r="AR47" s="47" t="n"/>
      <c r="AS47" s="47" t="n"/>
      <c r="AT47" s="47" t="n"/>
      <c r="AU47" s="47" t="n"/>
      <c r="AV47" s="47" t="n"/>
      <c r="AW47" s="52" t="n"/>
    </row>
    <row r="48">
      <c r="A48" s="48" t="n"/>
      <c r="B48" s="52" t="n"/>
      <c r="C48" s="47">
        <f>IF(B48="","",IFERROR(INDEX('隊員マスタ'!$B$5:$B$204,MATCH(B48&amp;"",'隊員マスタ'!$F$5:$F$204,0)),IF(AK48="","番号なし",AK48)))</f>
        <v/>
      </c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53" t="n"/>
      <c r="V48" s="53" t="n"/>
      <c r="W48" s="47" t="n"/>
      <c r="X48" s="47" t="n"/>
      <c r="Y48" s="47" t="n"/>
      <c r="Z48" s="47" t="n"/>
      <c r="AA48" s="47" t="n"/>
      <c r="AB48" s="47" t="n"/>
      <c r="AC48" s="47" t="n"/>
      <c r="AD48" s="47" t="n"/>
      <c r="AE48" s="47" t="n"/>
      <c r="AF48" s="20">
        <f>IF(A48="","",YEAR(EDATE(A48,-3)))</f>
        <v/>
      </c>
      <c r="AG48" s="20">
        <f>IF(OR(B48="",'経歴簿'!$C$4=""),"",IF(B48&amp;""='経歴簿'!$C$4&amp;"",MAX($AG$4:AG47)+1,""))</f>
        <v/>
      </c>
      <c r="AH48" s="20">
        <f>IF(A48="",0,IF(AND(OR('CSV抽出'!$C$4="",A48&gt;='CSV抽出'!$C$4),OR('CSV抽出'!$C$5="",A48&lt;='CSV抽出'!$C$5),OR('CSV抽出'!$C$6="すべて",'CSV抽出'!$C$6="",D48='CSV抽出'!$C$6),OR('CSV抽出'!$C$7="",B48&amp;""='CSV抽出'!$C$7&amp;"")),1,0))</f>
        <v/>
      </c>
      <c r="AI48" s="20">
        <f>IF(AH48=1,SUM($AH$5:AH48),"")</f>
        <v/>
      </c>
      <c r="AJ48" s="20">
        <f>IF(OR(S48="",'報告書'!$C$4=""),"",IF(S48&amp;""='報告書'!$C$4&amp;"",COUNTIF($S$5:S48,'報告書'!$C$4),""))</f>
        <v/>
      </c>
      <c r="AK48" s="20" t="n"/>
      <c r="AL48" s="47" t="n"/>
      <c r="AM48" s="47" t="n"/>
      <c r="AN48" s="53" t="n"/>
      <c r="AO48" s="47" t="n"/>
      <c r="AP48" s="47" t="n"/>
      <c r="AQ48" s="47" t="n"/>
      <c r="AR48" s="47" t="n"/>
      <c r="AS48" s="47" t="n"/>
      <c r="AT48" s="47" t="n"/>
      <c r="AU48" s="47" t="n"/>
      <c r="AV48" s="47" t="n"/>
      <c r="AW48" s="52" t="n"/>
    </row>
    <row r="49">
      <c r="A49" s="48" t="n"/>
      <c r="B49" s="52" t="n"/>
      <c r="C49" s="47">
        <f>IF(B49="","",IFERROR(INDEX('隊員マスタ'!$B$5:$B$204,MATCH(B49&amp;"",'隊員マスタ'!$F$5:$F$204,0)),IF(AK49="","番号なし",AK49)))</f>
        <v/>
      </c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47" t="n"/>
      <c r="T49" s="47" t="n"/>
      <c r="U49" s="53" t="n"/>
      <c r="V49" s="53" t="n"/>
      <c r="W49" s="47" t="n"/>
      <c r="X49" s="47" t="n"/>
      <c r="Y49" s="47" t="n"/>
      <c r="Z49" s="47" t="n"/>
      <c r="AA49" s="47" t="n"/>
      <c r="AB49" s="47" t="n"/>
      <c r="AC49" s="47" t="n"/>
      <c r="AD49" s="47" t="n"/>
      <c r="AE49" s="47" t="n"/>
      <c r="AF49" s="20">
        <f>IF(A49="","",YEAR(EDATE(A49,-3)))</f>
        <v/>
      </c>
      <c r="AG49" s="20">
        <f>IF(OR(B49="",'経歴簿'!$C$4=""),"",IF(B49&amp;""='経歴簿'!$C$4&amp;"",MAX($AG$4:AG48)+1,""))</f>
        <v/>
      </c>
      <c r="AH49" s="20">
        <f>IF(A49="",0,IF(AND(OR('CSV抽出'!$C$4="",A49&gt;='CSV抽出'!$C$4),OR('CSV抽出'!$C$5="",A49&lt;='CSV抽出'!$C$5),OR('CSV抽出'!$C$6="すべて",'CSV抽出'!$C$6="",D49='CSV抽出'!$C$6),OR('CSV抽出'!$C$7="",B49&amp;""='CSV抽出'!$C$7&amp;"")),1,0))</f>
        <v/>
      </c>
      <c r="AI49" s="20">
        <f>IF(AH49=1,SUM($AH$5:AH49),"")</f>
        <v/>
      </c>
      <c r="AJ49" s="20">
        <f>IF(OR(S49="",'報告書'!$C$4=""),"",IF(S49&amp;""='報告書'!$C$4&amp;"",COUNTIF($S$5:S49,'報告書'!$C$4),""))</f>
        <v/>
      </c>
      <c r="AK49" s="20" t="n"/>
      <c r="AL49" s="47" t="n"/>
      <c r="AM49" s="47" t="n"/>
      <c r="AN49" s="53" t="n"/>
      <c r="AO49" s="47" t="n"/>
      <c r="AP49" s="47" t="n"/>
      <c r="AQ49" s="47" t="n"/>
      <c r="AR49" s="47" t="n"/>
      <c r="AS49" s="47" t="n"/>
      <c r="AT49" s="47" t="n"/>
      <c r="AU49" s="47" t="n"/>
      <c r="AV49" s="47" t="n"/>
      <c r="AW49" s="52" t="n"/>
    </row>
    <row r="50">
      <c r="A50" s="48" t="n"/>
      <c r="B50" s="52" t="n"/>
      <c r="C50" s="47">
        <f>IF(B50="","",IFERROR(INDEX('隊員マスタ'!$B$5:$B$204,MATCH(B50&amp;"",'隊員マスタ'!$F$5:$F$204,0)),IF(AK50="","番号なし",AK50)))</f>
        <v/>
      </c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47" t="n"/>
      <c r="T50" s="47" t="n"/>
      <c r="U50" s="53" t="n"/>
      <c r="V50" s="53" t="n"/>
      <c r="W50" s="47" t="n"/>
      <c r="X50" s="47" t="n"/>
      <c r="Y50" s="47" t="n"/>
      <c r="Z50" s="47" t="n"/>
      <c r="AA50" s="47" t="n"/>
      <c r="AB50" s="47" t="n"/>
      <c r="AC50" s="47" t="n"/>
      <c r="AD50" s="47" t="n"/>
      <c r="AE50" s="47" t="n"/>
      <c r="AF50" s="20">
        <f>IF(A50="","",YEAR(EDATE(A50,-3)))</f>
        <v/>
      </c>
      <c r="AG50" s="20">
        <f>IF(OR(B50="",'経歴簿'!$C$4=""),"",IF(B50&amp;""='経歴簿'!$C$4&amp;"",MAX($AG$4:AG49)+1,""))</f>
        <v/>
      </c>
      <c r="AH50" s="20">
        <f>IF(A50="",0,IF(AND(OR('CSV抽出'!$C$4="",A50&gt;='CSV抽出'!$C$4),OR('CSV抽出'!$C$5="",A50&lt;='CSV抽出'!$C$5),OR('CSV抽出'!$C$6="すべて",'CSV抽出'!$C$6="",D50='CSV抽出'!$C$6),OR('CSV抽出'!$C$7="",B50&amp;""='CSV抽出'!$C$7&amp;"")),1,0))</f>
        <v/>
      </c>
      <c r="AI50" s="20">
        <f>IF(AH50=1,SUM($AH$5:AH50),"")</f>
        <v/>
      </c>
      <c r="AJ50" s="20">
        <f>IF(OR(S50="",'報告書'!$C$4=""),"",IF(S50&amp;""='報告書'!$C$4&amp;"",COUNTIF($S$5:S50,'報告書'!$C$4),""))</f>
        <v/>
      </c>
      <c r="AK50" s="20" t="n"/>
      <c r="AL50" s="47" t="n"/>
      <c r="AM50" s="47" t="n"/>
      <c r="AN50" s="53" t="n"/>
      <c r="AO50" s="47" t="n"/>
      <c r="AP50" s="47" t="n"/>
      <c r="AQ50" s="47" t="n"/>
      <c r="AR50" s="47" t="n"/>
      <c r="AS50" s="47" t="n"/>
      <c r="AT50" s="47" t="n"/>
      <c r="AU50" s="47" t="n"/>
      <c r="AV50" s="47" t="n"/>
      <c r="AW50" s="52" t="n"/>
    </row>
    <row r="51">
      <c r="A51" s="48" t="n"/>
      <c r="B51" s="52" t="n"/>
      <c r="C51" s="47">
        <f>IF(B51="","",IFERROR(INDEX('隊員マスタ'!$B$5:$B$204,MATCH(B51&amp;"",'隊員マスタ'!$F$5:$F$204,0)),IF(AK51="","番号なし",AK51)))</f>
        <v/>
      </c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47" t="n"/>
      <c r="T51" s="47" t="n"/>
      <c r="U51" s="53" t="n"/>
      <c r="V51" s="53" t="n"/>
      <c r="W51" s="47" t="n"/>
      <c r="X51" s="47" t="n"/>
      <c r="Y51" s="47" t="n"/>
      <c r="Z51" s="47" t="n"/>
      <c r="AA51" s="47" t="n"/>
      <c r="AB51" s="47" t="n"/>
      <c r="AC51" s="47" t="n"/>
      <c r="AD51" s="47" t="n"/>
      <c r="AE51" s="47" t="n"/>
      <c r="AF51" s="20">
        <f>IF(A51="","",YEAR(EDATE(A51,-3)))</f>
        <v/>
      </c>
      <c r="AG51" s="20">
        <f>IF(OR(B51="",'経歴簿'!$C$4=""),"",IF(B51&amp;""='経歴簿'!$C$4&amp;"",MAX($AG$4:AG50)+1,""))</f>
        <v/>
      </c>
      <c r="AH51" s="20">
        <f>IF(A51="",0,IF(AND(OR('CSV抽出'!$C$4="",A51&gt;='CSV抽出'!$C$4),OR('CSV抽出'!$C$5="",A51&lt;='CSV抽出'!$C$5),OR('CSV抽出'!$C$6="すべて",'CSV抽出'!$C$6="",D51='CSV抽出'!$C$6),OR('CSV抽出'!$C$7="",B51&amp;""='CSV抽出'!$C$7&amp;"")),1,0))</f>
        <v/>
      </c>
      <c r="AI51" s="20">
        <f>IF(AH51=1,SUM($AH$5:AH51),"")</f>
        <v/>
      </c>
      <c r="AJ51" s="20">
        <f>IF(OR(S51="",'報告書'!$C$4=""),"",IF(S51&amp;""='報告書'!$C$4&amp;"",COUNTIF($S$5:S51,'報告書'!$C$4),""))</f>
        <v/>
      </c>
      <c r="AK51" s="20" t="n"/>
      <c r="AL51" s="47" t="n"/>
      <c r="AM51" s="47" t="n"/>
      <c r="AN51" s="53" t="n"/>
      <c r="AO51" s="47" t="n"/>
      <c r="AP51" s="47" t="n"/>
      <c r="AQ51" s="47" t="n"/>
      <c r="AR51" s="47" t="n"/>
      <c r="AS51" s="47" t="n"/>
      <c r="AT51" s="47" t="n"/>
      <c r="AU51" s="47" t="n"/>
      <c r="AV51" s="47" t="n"/>
      <c r="AW51" s="52" t="n"/>
    </row>
    <row r="52">
      <c r="A52" s="48" t="n"/>
      <c r="B52" s="52" t="n"/>
      <c r="C52" s="47">
        <f>IF(B52="","",IFERROR(INDEX('隊員マスタ'!$B$5:$B$204,MATCH(B52&amp;"",'隊員マスタ'!$F$5:$F$204,0)),IF(AK52="","番号なし",AK52)))</f>
        <v/>
      </c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47" t="n"/>
      <c r="T52" s="47" t="n"/>
      <c r="U52" s="53" t="n"/>
      <c r="V52" s="53" t="n"/>
      <c r="W52" s="47" t="n"/>
      <c r="X52" s="47" t="n"/>
      <c r="Y52" s="47" t="n"/>
      <c r="Z52" s="47" t="n"/>
      <c r="AA52" s="47" t="n"/>
      <c r="AB52" s="47" t="n"/>
      <c r="AC52" s="47" t="n"/>
      <c r="AD52" s="47" t="n"/>
      <c r="AE52" s="47" t="n"/>
      <c r="AF52" s="20">
        <f>IF(A52="","",YEAR(EDATE(A52,-3)))</f>
        <v/>
      </c>
      <c r="AG52" s="20">
        <f>IF(OR(B52="",'経歴簿'!$C$4=""),"",IF(B52&amp;""='経歴簿'!$C$4&amp;"",MAX($AG$4:AG51)+1,""))</f>
        <v/>
      </c>
      <c r="AH52" s="20">
        <f>IF(A52="",0,IF(AND(OR('CSV抽出'!$C$4="",A52&gt;='CSV抽出'!$C$4),OR('CSV抽出'!$C$5="",A52&lt;='CSV抽出'!$C$5),OR('CSV抽出'!$C$6="すべて",'CSV抽出'!$C$6="",D52='CSV抽出'!$C$6),OR('CSV抽出'!$C$7="",B52&amp;""='CSV抽出'!$C$7&amp;"")),1,0))</f>
        <v/>
      </c>
      <c r="AI52" s="20">
        <f>IF(AH52=1,SUM($AH$5:AH52),"")</f>
        <v/>
      </c>
      <c r="AJ52" s="20">
        <f>IF(OR(S52="",'報告書'!$C$4=""),"",IF(S52&amp;""='報告書'!$C$4&amp;"",COUNTIF($S$5:S52,'報告書'!$C$4),""))</f>
        <v/>
      </c>
      <c r="AK52" s="20" t="n"/>
      <c r="AL52" s="47" t="n"/>
      <c r="AM52" s="47" t="n"/>
      <c r="AN52" s="53" t="n"/>
      <c r="AO52" s="47" t="n"/>
      <c r="AP52" s="47" t="n"/>
      <c r="AQ52" s="47" t="n"/>
      <c r="AR52" s="47" t="n"/>
      <c r="AS52" s="47" t="n"/>
      <c r="AT52" s="47" t="n"/>
      <c r="AU52" s="47" t="n"/>
      <c r="AV52" s="47" t="n"/>
      <c r="AW52" s="52" t="n"/>
    </row>
    <row r="53">
      <c r="A53" s="48" t="n"/>
      <c r="B53" s="52" t="n"/>
      <c r="C53" s="47">
        <f>IF(B53="","",IFERROR(INDEX('隊員マスタ'!$B$5:$B$204,MATCH(B53&amp;"",'隊員マスタ'!$F$5:$F$204,0)),IF(AK53="","番号なし",AK53)))</f>
        <v/>
      </c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47" t="n"/>
      <c r="T53" s="47" t="n"/>
      <c r="U53" s="53" t="n"/>
      <c r="V53" s="53" t="n"/>
      <c r="W53" s="47" t="n"/>
      <c r="X53" s="47" t="n"/>
      <c r="Y53" s="47" t="n"/>
      <c r="Z53" s="47" t="n"/>
      <c r="AA53" s="47" t="n"/>
      <c r="AB53" s="47" t="n"/>
      <c r="AC53" s="47" t="n"/>
      <c r="AD53" s="47" t="n"/>
      <c r="AE53" s="47" t="n"/>
      <c r="AF53" s="20">
        <f>IF(A53="","",YEAR(EDATE(A53,-3)))</f>
        <v/>
      </c>
      <c r="AG53" s="20">
        <f>IF(OR(B53="",'経歴簿'!$C$4=""),"",IF(B53&amp;""='経歴簿'!$C$4&amp;"",MAX($AG$4:AG52)+1,""))</f>
        <v/>
      </c>
      <c r="AH53" s="20">
        <f>IF(A53="",0,IF(AND(OR('CSV抽出'!$C$4="",A53&gt;='CSV抽出'!$C$4),OR('CSV抽出'!$C$5="",A53&lt;='CSV抽出'!$C$5),OR('CSV抽出'!$C$6="すべて",'CSV抽出'!$C$6="",D53='CSV抽出'!$C$6),OR('CSV抽出'!$C$7="",B53&amp;""='CSV抽出'!$C$7&amp;"")),1,0))</f>
        <v/>
      </c>
      <c r="AI53" s="20">
        <f>IF(AH53=1,SUM($AH$5:AH53),"")</f>
        <v/>
      </c>
      <c r="AJ53" s="20">
        <f>IF(OR(S53="",'報告書'!$C$4=""),"",IF(S53&amp;""='報告書'!$C$4&amp;"",COUNTIF($S$5:S53,'報告書'!$C$4),""))</f>
        <v/>
      </c>
      <c r="AK53" s="20" t="n"/>
      <c r="AL53" s="47" t="n"/>
      <c r="AM53" s="47" t="n"/>
      <c r="AN53" s="53" t="n"/>
      <c r="AO53" s="47" t="n"/>
      <c r="AP53" s="47" t="n"/>
      <c r="AQ53" s="47" t="n"/>
      <c r="AR53" s="47" t="n"/>
      <c r="AS53" s="47" t="n"/>
      <c r="AT53" s="47" t="n"/>
      <c r="AU53" s="47" t="n"/>
      <c r="AV53" s="47" t="n"/>
      <c r="AW53" s="52" t="n"/>
    </row>
    <row r="54">
      <c r="A54" s="48" t="n"/>
      <c r="B54" s="52" t="n"/>
      <c r="C54" s="47">
        <f>IF(B54="","",IFERROR(INDEX('隊員マスタ'!$B$5:$B$204,MATCH(B54&amp;"",'隊員マスタ'!$F$5:$F$204,0)),IF(AK54="","番号なし",AK54)))</f>
        <v/>
      </c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47" t="n"/>
      <c r="T54" s="47" t="n"/>
      <c r="U54" s="53" t="n"/>
      <c r="V54" s="53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20">
        <f>IF(A54="","",YEAR(EDATE(A54,-3)))</f>
        <v/>
      </c>
      <c r="AG54" s="20">
        <f>IF(OR(B54="",'経歴簿'!$C$4=""),"",IF(B54&amp;""='経歴簿'!$C$4&amp;"",MAX($AG$4:AG53)+1,""))</f>
        <v/>
      </c>
      <c r="AH54" s="20">
        <f>IF(A54="",0,IF(AND(OR('CSV抽出'!$C$4="",A54&gt;='CSV抽出'!$C$4),OR('CSV抽出'!$C$5="",A54&lt;='CSV抽出'!$C$5),OR('CSV抽出'!$C$6="すべて",'CSV抽出'!$C$6="",D54='CSV抽出'!$C$6),OR('CSV抽出'!$C$7="",B54&amp;""='CSV抽出'!$C$7&amp;"")),1,0))</f>
        <v/>
      </c>
      <c r="AI54" s="20">
        <f>IF(AH54=1,SUM($AH$5:AH54),"")</f>
        <v/>
      </c>
      <c r="AJ54" s="20">
        <f>IF(OR(S54="",'報告書'!$C$4=""),"",IF(S54&amp;""='報告書'!$C$4&amp;"",COUNTIF($S$5:S54,'報告書'!$C$4),""))</f>
        <v/>
      </c>
      <c r="AK54" s="20" t="n"/>
      <c r="AL54" s="47" t="n"/>
      <c r="AM54" s="47" t="n"/>
      <c r="AN54" s="53" t="n"/>
      <c r="AO54" s="47" t="n"/>
      <c r="AP54" s="47" t="n"/>
      <c r="AQ54" s="47" t="n"/>
      <c r="AR54" s="47" t="n"/>
      <c r="AS54" s="47" t="n"/>
      <c r="AT54" s="47" t="n"/>
      <c r="AU54" s="47" t="n"/>
      <c r="AV54" s="47" t="n"/>
      <c r="AW54" s="52" t="n"/>
    </row>
    <row r="55">
      <c r="A55" s="48" t="n"/>
      <c r="B55" s="52" t="n"/>
      <c r="C55" s="47">
        <f>IF(B55="","",IFERROR(INDEX('隊員マスタ'!$B$5:$B$204,MATCH(B55&amp;"",'隊員マスタ'!$F$5:$F$204,0)),IF(AK55="","番号なし",AK55)))</f>
        <v/>
      </c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47" t="n"/>
      <c r="T55" s="47" t="n"/>
      <c r="U55" s="53" t="n"/>
      <c r="V55" s="53" t="n"/>
      <c r="W55" s="47" t="n"/>
      <c r="X55" s="47" t="n"/>
      <c r="Y55" s="47" t="n"/>
      <c r="Z55" s="47" t="n"/>
      <c r="AA55" s="47" t="n"/>
      <c r="AB55" s="47" t="n"/>
      <c r="AC55" s="47" t="n"/>
      <c r="AD55" s="47" t="n"/>
      <c r="AE55" s="47" t="n"/>
      <c r="AF55" s="20">
        <f>IF(A55="","",YEAR(EDATE(A55,-3)))</f>
        <v/>
      </c>
      <c r="AG55" s="20">
        <f>IF(OR(B55="",'経歴簿'!$C$4=""),"",IF(B55&amp;""='経歴簿'!$C$4&amp;"",MAX($AG$4:AG54)+1,""))</f>
        <v/>
      </c>
      <c r="AH55" s="20">
        <f>IF(A55="",0,IF(AND(OR('CSV抽出'!$C$4="",A55&gt;='CSV抽出'!$C$4),OR('CSV抽出'!$C$5="",A55&lt;='CSV抽出'!$C$5),OR('CSV抽出'!$C$6="すべて",'CSV抽出'!$C$6="",D55='CSV抽出'!$C$6),OR('CSV抽出'!$C$7="",B55&amp;""='CSV抽出'!$C$7&amp;"")),1,0))</f>
        <v/>
      </c>
      <c r="AI55" s="20">
        <f>IF(AH55=1,SUM($AH$5:AH55),"")</f>
        <v/>
      </c>
      <c r="AJ55" s="20">
        <f>IF(OR(S55="",'報告書'!$C$4=""),"",IF(S55&amp;""='報告書'!$C$4&amp;"",COUNTIF($S$5:S55,'報告書'!$C$4),""))</f>
        <v/>
      </c>
      <c r="AK55" s="20" t="n"/>
      <c r="AL55" s="47" t="n"/>
      <c r="AM55" s="47" t="n"/>
      <c r="AN55" s="53" t="n"/>
      <c r="AO55" s="47" t="n"/>
      <c r="AP55" s="47" t="n"/>
      <c r="AQ55" s="47" t="n"/>
      <c r="AR55" s="47" t="n"/>
      <c r="AS55" s="47" t="n"/>
      <c r="AT55" s="47" t="n"/>
      <c r="AU55" s="47" t="n"/>
      <c r="AV55" s="47" t="n"/>
      <c r="AW55" s="52" t="n"/>
    </row>
    <row r="56">
      <c r="A56" s="48" t="n"/>
      <c r="B56" s="52" t="n"/>
      <c r="C56" s="47">
        <f>IF(B56="","",IFERROR(INDEX('隊員マスタ'!$B$5:$B$204,MATCH(B56&amp;"",'隊員マスタ'!$F$5:$F$204,0)),IF(AK56="","番号なし",AK56)))</f>
        <v/>
      </c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47" t="n"/>
      <c r="T56" s="47" t="n"/>
      <c r="U56" s="53" t="n"/>
      <c r="V56" s="53" t="n"/>
      <c r="W56" s="47" t="n"/>
      <c r="X56" s="47" t="n"/>
      <c r="Y56" s="47" t="n"/>
      <c r="Z56" s="47" t="n"/>
      <c r="AA56" s="47" t="n"/>
      <c r="AB56" s="47" t="n"/>
      <c r="AC56" s="47" t="n"/>
      <c r="AD56" s="47" t="n"/>
      <c r="AE56" s="47" t="n"/>
      <c r="AF56" s="20">
        <f>IF(A56="","",YEAR(EDATE(A56,-3)))</f>
        <v/>
      </c>
      <c r="AG56" s="20">
        <f>IF(OR(B56="",'経歴簿'!$C$4=""),"",IF(B56&amp;""='経歴簿'!$C$4&amp;"",MAX($AG$4:AG55)+1,""))</f>
        <v/>
      </c>
      <c r="AH56" s="20">
        <f>IF(A56="",0,IF(AND(OR('CSV抽出'!$C$4="",A56&gt;='CSV抽出'!$C$4),OR('CSV抽出'!$C$5="",A56&lt;='CSV抽出'!$C$5),OR('CSV抽出'!$C$6="すべて",'CSV抽出'!$C$6="",D56='CSV抽出'!$C$6),OR('CSV抽出'!$C$7="",B56&amp;""='CSV抽出'!$C$7&amp;"")),1,0))</f>
        <v/>
      </c>
      <c r="AI56" s="20">
        <f>IF(AH56=1,SUM($AH$5:AH56),"")</f>
        <v/>
      </c>
      <c r="AJ56" s="20">
        <f>IF(OR(S56="",'報告書'!$C$4=""),"",IF(S56&amp;""='報告書'!$C$4&amp;"",COUNTIF($S$5:S56,'報告書'!$C$4),""))</f>
        <v/>
      </c>
      <c r="AK56" s="20" t="n"/>
      <c r="AL56" s="47" t="n"/>
      <c r="AM56" s="47" t="n"/>
      <c r="AN56" s="53" t="n"/>
      <c r="AO56" s="47" t="n"/>
      <c r="AP56" s="47" t="n"/>
      <c r="AQ56" s="47" t="n"/>
      <c r="AR56" s="47" t="n"/>
      <c r="AS56" s="47" t="n"/>
      <c r="AT56" s="47" t="n"/>
      <c r="AU56" s="47" t="n"/>
      <c r="AV56" s="47" t="n"/>
      <c r="AW56" s="52" t="n"/>
    </row>
    <row r="57">
      <c r="A57" s="48" t="n"/>
      <c r="B57" s="52" t="n"/>
      <c r="C57" s="47">
        <f>IF(B57="","",IFERROR(INDEX('隊員マスタ'!$B$5:$B$204,MATCH(B57&amp;"",'隊員マスタ'!$F$5:$F$204,0)),IF(AK57="","番号なし",AK57)))</f>
        <v/>
      </c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47" t="n"/>
      <c r="T57" s="47" t="n"/>
      <c r="U57" s="53" t="n"/>
      <c r="V57" s="53" t="n"/>
      <c r="W57" s="47" t="n"/>
      <c r="X57" s="47" t="n"/>
      <c r="Y57" s="47" t="n"/>
      <c r="Z57" s="47" t="n"/>
      <c r="AA57" s="47" t="n"/>
      <c r="AB57" s="47" t="n"/>
      <c r="AC57" s="47" t="n"/>
      <c r="AD57" s="47" t="n"/>
      <c r="AE57" s="47" t="n"/>
      <c r="AF57" s="20">
        <f>IF(A57="","",YEAR(EDATE(A57,-3)))</f>
        <v/>
      </c>
      <c r="AG57" s="20">
        <f>IF(OR(B57="",'経歴簿'!$C$4=""),"",IF(B57&amp;""='経歴簿'!$C$4&amp;"",MAX($AG$4:AG56)+1,""))</f>
        <v/>
      </c>
      <c r="AH57" s="20">
        <f>IF(A57="",0,IF(AND(OR('CSV抽出'!$C$4="",A57&gt;='CSV抽出'!$C$4),OR('CSV抽出'!$C$5="",A57&lt;='CSV抽出'!$C$5),OR('CSV抽出'!$C$6="すべて",'CSV抽出'!$C$6="",D57='CSV抽出'!$C$6),OR('CSV抽出'!$C$7="",B57&amp;""='CSV抽出'!$C$7&amp;"")),1,0))</f>
        <v/>
      </c>
      <c r="AI57" s="20">
        <f>IF(AH57=1,SUM($AH$5:AH57),"")</f>
        <v/>
      </c>
      <c r="AJ57" s="20">
        <f>IF(OR(S57="",'報告書'!$C$4=""),"",IF(S57&amp;""='報告書'!$C$4&amp;"",COUNTIF($S$5:S57,'報告書'!$C$4),""))</f>
        <v/>
      </c>
      <c r="AK57" s="20" t="n"/>
      <c r="AL57" s="47" t="n"/>
      <c r="AM57" s="47" t="n"/>
      <c r="AN57" s="53" t="n"/>
      <c r="AO57" s="47" t="n"/>
      <c r="AP57" s="47" t="n"/>
      <c r="AQ57" s="47" t="n"/>
      <c r="AR57" s="47" t="n"/>
      <c r="AS57" s="47" t="n"/>
      <c r="AT57" s="47" t="n"/>
      <c r="AU57" s="47" t="n"/>
      <c r="AV57" s="47" t="n"/>
      <c r="AW57" s="52" t="n"/>
    </row>
    <row r="58">
      <c r="A58" s="48" t="n"/>
      <c r="B58" s="52" t="n"/>
      <c r="C58" s="47">
        <f>IF(B58="","",IFERROR(INDEX('隊員マスタ'!$B$5:$B$204,MATCH(B58&amp;"",'隊員マスタ'!$F$5:$F$204,0)),IF(AK58="","番号なし",AK58)))</f>
        <v/>
      </c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47" t="n"/>
      <c r="T58" s="47" t="n"/>
      <c r="U58" s="53" t="n"/>
      <c r="V58" s="53" t="n"/>
      <c r="W58" s="47" t="n"/>
      <c r="X58" s="47" t="n"/>
      <c r="Y58" s="47" t="n"/>
      <c r="Z58" s="47" t="n"/>
      <c r="AA58" s="47" t="n"/>
      <c r="AB58" s="47" t="n"/>
      <c r="AC58" s="47" t="n"/>
      <c r="AD58" s="47" t="n"/>
      <c r="AE58" s="47" t="n"/>
      <c r="AF58" s="20">
        <f>IF(A58="","",YEAR(EDATE(A58,-3)))</f>
        <v/>
      </c>
      <c r="AG58" s="20">
        <f>IF(OR(B58="",'経歴簿'!$C$4=""),"",IF(B58&amp;""='経歴簿'!$C$4&amp;"",MAX($AG$4:AG57)+1,""))</f>
        <v/>
      </c>
      <c r="AH58" s="20">
        <f>IF(A58="",0,IF(AND(OR('CSV抽出'!$C$4="",A58&gt;='CSV抽出'!$C$4),OR('CSV抽出'!$C$5="",A58&lt;='CSV抽出'!$C$5),OR('CSV抽出'!$C$6="すべて",'CSV抽出'!$C$6="",D58='CSV抽出'!$C$6),OR('CSV抽出'!$C$7="",B58&amp;""='CSV抽出'!$C$7&amp;"")),1,0))</f>
        <v/>
      </c>
      <c r="AI58" s="20">
        <f>IF(AH58=1,SUM($AH$5:AH58),"")</f>
        <v/>
      </c>
      <c r="AJ58" s="20">
        <f>IF(OR(S58="",'報告書'!$C$4=""),"",IF(S58&amp;""='報告書'!$C$4&amp;"",COUNTIF($S$5:S58,'報告書'!$C$4),""))</f>
        <v/>
      </c>
      <c r="AK58" s="20" t="n"/>
      <c r="AL58" s="47" t="n"/>
      <c r="AM58" s="47" t="n"/>
      <c r="AN58" s="53" t="n"/>
      <c r="AO58" s="47" t="n"/>
      <c r="AP58" s="47" t="n"/>
      <c r="AQ58" s="47" t="n"/>
      <c r="AR58" s="47" t="n"/>
      <c r="AS58" s="47" t="n"/>
      <c r="AT58" s="47" t="n"/>
      <c r="AU58" s="47" t="n"/>
      <c r="AV58" s="47" t="n"/>
      <c r="AW58" s="52" t="n"/>
    </row>
    <row r="59">
      <c r="A59" s="48" t="n"/>
      <c r="B59" s="52" t="n"/>
      <c r="C59" s="47">
        <f>IF(B59="","",IFERROR(INDEX('隊員マスタ'!$B$5:$B$204,MATCH(B59&amp;"",'隊員マスタ'!$F$5:$F$204,0)),IF(AK59="","番号なし",AK59)))</f>
        <v/>
      </c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47" t="n"/>
      <c r="T59" s="47" t="n"/>
      <c r="U59" s="53" t="n"/>
      <c r="V59" s="53" t="n"/>
      <c r="W59" s="47" t="n"/>
      <c r="X59" s="47" t="n"/>
      <c r="Y59" s="47" t="n"/>
      <c r="Z59" s="47" t="n"/>
      <c r="AA59" s="47" t="n"/>
      <c r="AB59" s="47" t="n"/>
      <c r="AC59" s="47" t="n"/>
      <c r="AD59" s="47" t="n"/>
      <c r="AE59" s="47" t="n"/>
      <c r="AF59" s="20">
        <f>IF(A59="","",YEAR(EDATE(A59,-3)))</f>
        <v/>
      </c>
      <c r="AG59" s="20">
        <f>IF(OR(B59="",'経歴簿'!$C$4=""),"",IF(B59&amp;""='経歴簿'!$C$4&amp;"",MAX($AG$4:AG58)+1,""))</f>
        <v/>
      </c>
      <c r="AH59" s="20">
        <f>IF(A59="",0,IF(AND(OR('CSV抽出'!$C$4="",A59&gt;='CSV抽出'!$C$4),OR('CSV抽出'!$C$5="",A59&lt;='CSV抽出'!$C$5),OR('CSV抽出'!$C$6="すべて",'CSV抽出'!$C$6="",D59='CSV抽出'!$C$6),OR('CSV抽出'!$C$7="",B59&amp;""='CSV抽出'!$C$7&amp;"")),1,0))</f>
        <v/>
      </c>
      <c r="AI59" s="20">
        <f>IF(AH59=1,SUM($AH$5:AH59),"")</f>
        <v/>
      </c>
      <c r="AJ59" s="20">
        <f>IF(OR(S59="",'報告書'!$C$4=""),"",IF(S59&amp;""='報告書'!$C$4&amp;"",COUNTIF($S$5:S59,'報告書'!$C$4),""))</f>
        <v/>
      </c>
      <c r="AK59" s="20" t="n"/>
      <c r="AL59" s="47" t="n"/>
      <c r="AM59" s="47" t="n"/>
      <c r="AN59" s="53" t="n"/>
      <c r="AO59" s="47" t="n"/>
      <c r="AP59" s="47" t="n"/>
      <c r="AQ59" s="47" t="n"/>
      <c r="AR59" s="47" t="n"/>
      <c r="AS59" s="47" t="n"/>
      <c r="AT59" s="47" t="n"/>
      <c r="AU59" s="47" t="n"/>
      <c r="AV59" s="47" t="n"/>
      <c r="AW59" s="52" t="n"/>
    </row>
    <row r="60">
      <c r="A60" s="48" t="n"/>
      <c r="B60" s="52" t="n"/>
      <c r="C60" s="47">
        <f>IF(B60="","",IFERROR(INDEX('隊員マスタ'!$B$5:$B$204,MATCH(B60&amp;"",'隊員マスタ'!$F$5:$F$204,0)),IF(AK60="","番号なし",AK60)))</f>
        <v/>
      </c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47" t="n"/>
      <c r="T60" s="47" t="n"/>
      <c r="U60" s="53" t="n"/>
      <c r="V60" s="53" t="n"/>
      <c r="W60" s="47" t="n"/>
      <c r="X60" s="47" t="n"/>
      <c r="Y60" s="47" t="n"/>
      <c r="Z60" s="47" t="n"/>
      <c r="AA60" s="47" t="n"/>
      <c r="AB60" s="47" t="n"/>
      <c r="AC60" s="47" t="n"/>
      <c r="AD60" s="47" t="n"/>
      <c r="AE60" s="47" t="n"/>
      <c r="AF60" s="20">
        <f>IF(A60="","",YEAR(EDATE(A60,-3)))</f>
        <v/>
      </c>
      <c r="AG60" s="20">
        <f>IF(OR(B60="",'経歴簿'!$C$4=""),"",IF(B60&amp;""='経歴簿'!$C$4&amp;"",MAX($AG$4:AG59)+1,""))</f>
        <v/>
      </c>
      <c r="AH60" s="20">
        <f>IF(A60="",0,IF(AND(OR('CSV抽出'!$C$4="",A60&gt;='CSV抽出'!$C$4),OR('CSV抽出'!$C$5="",A60&lt;='CSV抽出'!$C$5),OR('CSV抽出'!$C$6="すべて",'CSV抽出'!$C$6="",D60='CSV抽出'!$C$6),OR('CSV抽出'!$C$7="",B60&amp;""='CSV抽出'!$C$7&amp;"")),1,0))</f>
        <v/>
      </c>
      <c r="AI60" s="20">
        <f>IF(AH60=1,SUM($AH$5:AH60),"")</f>
        <v/>
      </c>
      <c r="AJ60" s="20">
        <f>IF(OR(S60="",'報告書'!$C$4=""),"",IF(S60&amp;""='報告書'!$C$4&amp;"",COUNTIF($S$5:S60,'報告書'!$C$4),""))</f>
        <v/>
      </c>
      <c r="AK60" s="20" t="n"/>
      <c r="AL60" s="47" t="n"/>
      <c r="AM60" s="47" t="n"/>
      <c r="AN60" s="53" t="n"/>
      <c r="AO60" s="47" t="n"/>
      <c r="AP60" s="47" t="n"/>
      <c r="AQ60" s="47" t="n"/>
      <c r="AR60" s="47" t="n"/>
      <c r="AS60" s="47" t="n"/>
      <c r="AT60" s="47" t="n"/>
      <c r="AU60" s="47" t="n"/>
      <c r="AV60" s="47" t="n"/>
      <c r="AW60" s="52" t="n"/>
    </row>
    <row r="61">
      <c r="A61" s="48" t="n"/>
      <c r="B61" s="52" t="n"/>
      <c r="C61" s="47">
        <f>IF(B61="","",IFERROR(INDEX('隊員マスタ'!$B$5:$B$204,MATCH(B61&amp;"",'隊員マスタ'!$F$5:$F$204,0)),IF(AK61="","番号なし",AK61)))</f>
        <v/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47" t="n"/>
      <c r="T61" s="47" t="n"/>
      <c r="U61" s="53" t="n"/>
      <c r="V61" s="53" t="n"/>
      <c r="W61" s="47" t="n"/>
      <c r="X61" s="47" t="n"/>
      <c r="Y61" s="47" t="n"/>
      <c r="Z61" s="47" t="n"/>
      <c r="AA61" s="47" t="n"/>
      <c r="AB61" s="47" t="n"/>
      <c r="AC61" s="47" t="n"/>
      <c r="AD61" s="47" t="n"/>
      <c r="AE61" s="47" t="n"/>
      <c r="AF61" s="20">
        <f>IF(A61="","",YEAR(EDATE(A61,-3)))</f>
        <v/>
      </c>
      <c r="AG61" s="20">
        <f>IF(OR(B61="",'経歴簿'!$C$4=""),"",IF(B61&amp;""='経歴簿'!$C$4&amp;"",MAX($AG$4:AG60)+1,""))</f>
        <v/>
      </c>
      <c r="AH61" s="20">
        <f>IF(A61="",0,IF(AND(OR('CSV抽出'!$C$4="",A61&gt;='CSV抽出'!$C$4),OR('CSV抽出'!$C$5="",A61&lt;='CSV抽出'!$C$5),OR('CSV抽出'!$C$6="すべて",'CSV抽出'!$C$6="",D61='CSV抽出'!$C$6),OR('CSV抽出'!$C$7="",B61&amp;""='CSV抽出'!$C$7&amp;"")),1,0))</f>
        <v/>
      </c>
      <c r="AI61" s="20">
        <f>IF(AH61=1,SUM($AH$5:AH61),"")</f>
        <v/>
      </c>
      <c r="AJ61" s="20">
        <f>IF(OR(S61="",'報告書'!$C$4=""),"",IF(S61&amp;""='報告書'!$C$4&amp;"",COUNTIF($S$5:S61,'報告書'!$C$4),""))</f>
        <v/>
      </c>
      <c r="AK61" s="20" t="n"/>
      <c r="AL61" s="47" t="n"/>
      <c r="AM61" s="47" t="n"/>
      <c r="AN61" s="53" t="n"/>
      <c r="AO61" s="47" t="n"/>
      <c r="AP61" s="47" t="n"/>
      <c r="AQ61" s="47" t="n"/>
      <c r="AR61" s="47" t="n"/>
      <c r="AS61" s="47" t="n"/>
      <c r="AT61" s="47" t="n"/>
      <c r="AU61" s="47" t="n"/>
      <c r="AV61" s="47" t="n"/>
      <c r="AW61" s="52" t="n"/>
    </row>
    <row r="62">
      <c r="A62" s="48" t="n"/>
      <c r="B62" s="52" t="n"/>
      <c r="C62" s="47">
        <f>IF(B62="","",IFERROR(INDEX('隊員マスタ'!$B$5:$B$204,MATCH(B62&amp;"",'隊員マスタ'!$F$5:$F$204,0)),IF(AK62="","番号なし",AK62)))</f>
        <v/>
      </c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47" t="n"/>
      <c r="T62" s="47" t="n"/>
      <c r="U62" s="53" t="n"/>
      <c r="V62" s="53" t="n"/>
      <c r="W62" s="47" t="n"/>
      <c r="X62" s="47" t="n"/>
      <c r="Y62" s="47" t="n"/>
      <c r="Z62" s="47" t="n"/>
      <c r="AA62" s="47" t="n"/>
      <c r="AB62" s="47" t="n"/>
      <c r="AC62" s="47" t="n"/>
      <c r="AD62" s="47" t="n"/>
      <c r="AE62" s="47" t="n"/>
      <c r="AF62" s="20">
        <f>IF(A62="","",YEAR(EDATE(A62,-3)))</f>
        <v/>
      </c>
      <c r="AG62" s="20">
        <f>IF(OR(B62="",'経歴簿'!$C$4=""),"",IF(B62&amp;""='経歴簿'!$C$4&amp;"",MAX($AG$4:AG61)+1,""))</f>
        <v/>
      </c>
      <c r="AH62" s="20">
        <f>IF(A62="",0,IF(AND(OR('CSV抽出'!$C$4="",A62&gt;='CSV抽出'!$C$4),OR('CSV抽出'!$C$5="",A62&lt;='CSV抽出'!$C$5),OR('CSV抽出'!$C$6="すべて",'CSV抽出'!$C$6="",D62='CSV抽出'!$C$6),OR('CSV抽出'!$C$7="",B62&amp;""='CSV抽出'!$C$7&amp;"")),1,0))</f>
        <v/>
      </c>
      <c r="AI62" s="20">
        <f>IF(AH62=1,SUM($AH$5:AH62),"")</f>
        <v/>
      </c>
      <c r="AJ62" s="20">
        <f>IF(OR(S62="",'報告書'!$C$4=""),"",IF(S62&amp;""='報告書'!$C$4&amp;"",COUNTIF($S$5:S62,'報告書'!$C$4),""))</f>
        <v/>
      </c>
      <c r="AK62" s="20" t="n"/>
      <c r="AL62" s="47" t="n"/>
      <c r="AM62" s="47" t="n"/>
      <c r="AN62" s="53" t="n"/>
      <c r="AO62" s="47" t="n"/>
      <c r="AP62" s="47" t="n"/>
      <c r="AQ62" s="47" t="n"/>
      <c r="AR62" s="47" t="n"/>
      <c r="AS62" s="47" t="n"/>
      <c r="AT62" s="47" t="n"/>
      <c r="AU62" s="47" t="n"/>
      <c r="AV62" s="47" t="n"/>
      <c r="AW62" s="52" t="n"/>
    </row>
    <row r="63">
      <c r="A63" s="48" t="n"/>
      <c r="B63" s="52" t="n"/>
      <c r="C63" s="47">
        <f>IF(B63="","",IFERROR(INDEX('隊員マスタ'!$B$5:$B$204,MATCH(B63&amp;"",'隊員マスタ'!$F$5:$F$204,0)),IF(AK63="","番号なし",AK63)))</f>
        <v/>
      </c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47" t="n"/>
      <c r="T63" s="47" t="n"/>
      <c r="U63" s="53" t="n"/>
      <c r="V63" s="53" t="n"/>
      <c r="W63" s="47" t="n"/>
      <c r="X63" s="47" t="n"/>
      <c r="Y63" s="47" t="n"/>
      <c r="Z63" s="47" t="n"/>
      <c r="AA63" s="47" t="n"/>
      <c r="AB63" s="47" t="n"/>
      <c r="AC63" s="47" t="n"/>
      <c r="AD63" s="47" t="n"/>
      <c r="AE63" s="47" t="n"/>
      <c r="AF63" s="20">
        <f>IF(A63="","",YEAR(EDATE(A63,-3)))</f>
        <v/>
      </c>
      <c r="AG63" s="20">
        <f>IF(OR(B63="",'経歴簿'!$C$4=""),"",IF(B63&amp;""='経歴簿'!$C$4&amp;"",MAX($AG$4:AG62)+1,""))</f>
        <v/>
      </c>
      <c r="AH63" s="20">
        <f>IF(A63="",0,IF(AND(OR('CSV抽出'!$C$4="",A63&gt;='CSV抽出'!$C$4),OR('CSV抽出'!$C$5="",A63&lt;='CSV抽出'!$C$5),OR('CSV抽出'!$C$6="すべて",'CSV抽出'!$C$6="",D63='CSV抽出'!$C$6),OR('CSV抽出'!$C$7="",B63&amp;""='CSV抽出'!$C$7&amp;"")),1,0))</f>
        <v/>
      </c>
      <c r="AI63" s="20">
        <f>IF(AH63=1,SUM($AH$5:AH63),"")</f>
        <v/>
      </c>
      <c r="AJ63" s="20">
        <f>IF(OR(S63="",'報告書'!$C$4=""),"",IF(S63&amp;""='報告書'!$C$4&amp;"",COUNTIF($S$5:S63,'報告書'!$C$4),""))</f>
        <v/>
      </c>
      <c r="AK63" s="20" t="n"/>
      <c r="AL63" s="47" t="n"/>
      <c r="AM63" s="47" t="n"/>
      <c r="AN63" s="53" t="n"/>
      <c r="AO63" s="47" t="n"/>
      <c r="AP63" s="47" t="n"/>
      <c r="AQ63" s="47" t="n"/>
      <c r="AR63" s="47" t="n"/>
      <c r="AS63" s="47" t="n"/>
      <c r="AT63" s="47" t="n"/>
      <c r="AU63" s="47" t="n"/>
      <c r="AV63" s="47" t="n"/>
      <c r="AW63" s="52" t="n"/>
    </row>
    <row r="64">
      <c r="A64" s="48" t="n"/>
      <c r="B64" s="52" t="n"/>
      <c r="C64" s="47">
        <f>IF(B64="","",IFERROR(INDEX('隊員マスタ'!$B$5:$B$204,MATCH(B64&amp;"",'隊員マスタ'!$F$5:$F$204,0)),IF(AK64="","番号なし",AK64)))</f>
        <v/>
      </c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47" t="n"/>
      <c r="T64" s="47" t="n"/>
      <c r="U64" s="53" t="n"/>
      <c r="V64" s="53" t="n"/>
      <c r="W64" s="47" t="n"/>
      <c r="X64" s="47" t="n"/>
      <c r="Y64" s="47" t="n"/>
      <c r="Z64" s="47" t="n"/>
      <c r="AA64" s="47" t="n"/>
      <c r="AB64" s="47" t="n"/>
      <c r="AC64" s="47" t="n"/>
      <c r="AD64" s="47" t="n"/>
      <c r="AE64" s="47" t="n"/>
      <c r="AF64" s="20">
        <f>IF(A64="","",YEAR(EDATE(A64,-3)))</f>
        <v/>
      </c>
      <c r="AG64" s="20">
        <f>IF(OR(B64="",'経歴簿'!$C$4=""),"",IF(B64&amp;""='経歴簿'!$C$4&amp;"",MAX($AG$4:AG63)+1,""))</f>
        <v/>
      </c>
      <c r="AH64" s="20">
        <f>IF(A64="",0,IF(AND(OR('CSV抽出'!$C$4="",A64&gt;='CSV抽出'!$C$4),OR('CSV抽出'!$C$5="",A64&lt;='CSV抽出'!$C$5),OR('CSV抽出'!$C$6="すべて",'CSV抽出'!$C$6="",D64='CSV抽出'!$C$6),OR('CSV抽出'!$C$7="",B64&amp;""='CSV抽出'!$C$7&amp;"")),1,0))</f>
        <v/>
      </c>
      <c r="AI64" s="20">
        <f>IF(AH64=1,SUM($AH$5:AH64),"")</f>
        <v/>
      </c>
      <c r="AJ64" s="20">
        <f>IF(OR(S64="",'報告書'!$C$4=""),"",IF(S64&amp;""='報告書'!$C$4&amp;"",COUNTIF($S$5:S64,'報告書'!$C$4),""))</f>
        <v/>
      </c>
      <c r="AK64" s="20" t="n"/>
      <c r="AL64" s="47" t="n"/>
      <c r="AM64" s="47" t="n"/>
      <c r="AN64" s="53" t="n"/>
      <c r="AO64" s="47" t="n"/>
      <c r="AP64" s="47" t="n"/>
      <c r="AQ64" s="47" t="n"/>
      <c r="AR64" s="47" t="n"/>
      <c r="AS64" s="47" t="n"/>
      <c r="AT64" s="47" t="n"/>
      <c r="AU64" s="47" t="n"/>
      <c r="AV64" s="47" t="n"/>
      <c r="AW64" s="52" t="n"/>
    </row>
    <row r="65">
      <c r="A65" s="48" t="n"/>
      <c r="B65" s="52" t="n"/>
      <c r="C65" s="47">
        <f>IF(B65="","",IFERROR(INDEX('隊員マスタ'!$B$5:$B$204,MATCH(B65&amp;"",'隊員マスタ'!$F$5:$F$204,0)),IF(AK65="","番号なし",AK65)))</f>
        <v/>
      </c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47" t="n"/>
      <c r="T65" s="47" t="n"/>
      <c r="U65" s="53" t="n"/>
      <c r="V65" s="53" t="n"/>
      <c r="W65" s="47" t="n"/>
      <c r="X65" s="47" t="n"/>
      <c r="Y65" s="47" t="n"/>
      <c r="Z65" s="47" t="n"/>
      <c r="AA65" s="47" t="n"/>
      <c r="AB65" s="47" t="n"/>
      <c r="AC65" s="47" t="n"/>
      <c r="AD65" s="47" t="n"/>
      <c r="AE65" s="47" t="n"/>
      <c r="AF65" s="20">
        <f>IF(A65="","",YEAR(EDATE(A65,-3)))</f>
        <v/>
      </c>
      <c r="AG65" s="20">
        <f>IF(OR(B65="",'経歴簿'!$C$4=""),"",IF(B65&amp;""='経歴簿'!$C$4&amp;"",MAX($AG$4:AG64)+1,""))</f>
        <v/>
      </c>
      <c r="AH65" s="20">
        <f>IF(A65="",0,IF(AND(OR('CSV抽出'!$C$4="",A65&gt;='CSV抽出'!$C$4),OR('CSV抽出'!$C$5="",A65&lt;='CSV抽出'!$C$5),OR('CSV抽出'!$C$6="すべて",'CSV抽出'!$C$6="",D65='CSV抽出'!$C$6),OR('CSV抽出'!$C$7="",B65&amp;""='CSV抽出'!$C$7&amp;"")),1,0))</f>
        <v/>
      </c>
      <c r="AI65" s="20">
        <f>IF(AH65=1,SUM($AH$5:AH65),"")</f>
        <v/>
      </c>
      <c r="AJ65" s="20">
        <f>IF(OR(S65="",'報告書'!$C$4=""),"",IF(S65&amp;""='報告書'!$C$4&amp;"",COUNTIF($S$5:S65,'報告書'!$C$4),""))</f>
        <v/>
      </c>
      <c r="AK65" s="20" t="n"/>
      <c r="AL65" s="47" t="n"/>
      <c r="AM65" s="47" t="n"/>
      <c r="AN65" s="53" t="n"/>
      <c r="AO65" s="47" t="n"/>
      <c r="AP65" s="47" t="n"/>
      <c r="AQ65" s="47" t="n"/>
      <c r="AR65" s="47" t="n"/>
      <c r="AS65" s="47" t="n"/>
      <c r="AT65" s="47" t="n"/>
      <c r="AU65" s="47" t="n"/>
      <c r="AV65" s="47" t="n"/>
      <c r="AW65" s="52" t="n"/>
    </row>
    <row r="66">
      <c r="A66" s="48" t="n"/>
      <c r="B66" s="52" t="n"/>
      <c r="C66" s="47">
        <f>IF(B66="","",IFERROR(INDEX('隊員マスタ'!$B$5:$B$204,MATCH(B66&amp;"",'隊員マスタ'!$F$5:$F$204,0)),IF(AK66="","番号なし",AK66)))</f>
        <v/>
      </c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47" t="n"/>
      <c r="T66" s="47" t="n"/>
      <c r="U66" s="53" t="n"/>
      <c r="V66" s="53" t="n"/>
      <c r="W66" s="47" t="n"/>
      <c r="X66" s="47" t="n"/>
      <c r="Y66" s="47" t="n"/>
      <c r="Z66" s="47" t="n"/>
      <c r="AA66" s="47" t="n"/>
      <c r="AB66" s="47" t="n"/>
      <c r="AC66" s="47" t="n"/>
      <c r="AD66" s="47" t="n"/>
      <c r="AE66" s="47" t="n"/>
      <c r="AF66" s="20">
        <f>IF(A66="","",YEAR(EDATE(A66,-3)))</f>
        <v/>
      </c>
      <c r="AG66" s="20">
        <f>IF(OR(B66="",'経歴簿'!$C$4=""),"",IF(B66&amp;""='経歴簿'!$C$4&amp;"",MAX($AG$4:AG65)+1,""))</f>
        <v/>
      </c>
      <c r="AH66" s="20">
        <f>IF(A66="",0,IF(AND(OR('CSV抽出'!$C$4="",A66&gt;='CSV抽出'!$C$4),OR('CSV抽出'!$C$5="",A66&lt;='CSV抽出'!$C$5),OR('CSV抽出'!$C$6="すべて",'CSV抽出'!$C$6="",D66='CSV抽出'!$C$6),OR('CSV抽出'!$C$7="",B66&amp;""='CSV抽出'!$C$7&amp;"")),1,0))</f>
        <v/>
      </c>
      <c r="AI66" s="20">
        <f>IF(AH66=1,SUM($AH$5:AH66),"")</f>
        <v/>
      </c>
      <c r="AJ66" s="20">
        <f>IF(OR(S66="",'報告書'!$C$4=""),"",IF(S66&amp;""='報告書'!$C$4&amp;"",COUNTIF($S$5:S66,'報告書'!$C$4),""))</f>
        <v/>
      </c>
      <c r="AK66" s="20" t="n"/>
      <c r="AL66" s="47" t="n"/>
      <c r="AM66" s="47" t="n"/>
      <c r="AN66" s="53" t="n"/>
      <c r="AO66" s="47" t="n"/>
      <c r="AP66" s="47" t="n"/>
      <c r="AQ66" s="47" t="n"/>
      <c r="AR66" s="47" t="n"/>
      <c r="AS66" s="47" t="n"/>
      <c r="AT66" s="47" t="n"/>
      <c r="AU66" s="47" t="n"/>
      <c r="AV66" s="47" t="n"/>
      <c r="AW66" s="52" t="n"/>
    </row>
    <row r="67">
      <c r="A67" s="48" t="n"/>
      <c r="B67" s="52" t="n"/>
      <c r="C67" s="47">
        <f>IF(B67="","",IFERROR(INDEX('隊員マスタ'!$B$5:$B$204,MATCH(B67&amp;"",'隊員マスタ'!$F$5:$F$204,0)),IF(AK67="","番号なし",AK67)))</f>
        <v/>
      </c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47" t="n"/>
      <c r="T67" s="47" t="n"/>
      <c r="U67" s="53" t="n"/>
      <c r="V67" s="53" t="n"/>
      <c r="W67" s="47" t="n"/>
      <c r="X67" s="47" t="n"/>
      <c r="Y67" s="47" t="n"/>
      <c r="Z67" s="47" t="n"/>
      <c r="AA67" s="47" t="n"/>
      <c r="AB67" s="47" t="n"/>
      <c r="AC67" s="47" t="n"/>
      <c r="AD67" s="47" t="n"/>
      <c r="AE67" s="47" t="n"/>
      <c r="AF67" s="20">
        <f>IF(A67="","",YEAR(EDATE(A67,-3)))</f>
        <v/>
      </c>
      <c r="AG67" s="20">
        <f>IF(OR(B67="",'経歴簿'!$C$4=""),"",IF(B67&amp;""='経歴簿'!$C$4&amp;"",MAX($AG$4:AG66)+1,""))</f>
        <v/>
      </c>
      <c r="AH67" s="20">
        <f>IF(A67="",0,IF(AND(OR('CSV抽出'!$C$4="",A67&gt;='CSV抽出'!$C$4),OR('CSV抽出'!$C$5="",A67&lt;='CSV抽出'!$C$5),OR('CSV抽出'!$C$6="すべて",'CSV抽出'!$C$6="",D67='CSV抽出'!$C$6),OR('CSV抽出'!$C$7="",B67&amp;""='CSV抽出'!$C$7&amp;"")),1,0))</f>
        <v/>
      </c>
      <c r="AI67" s="20">
        <f>IF(AH67=1,SUM($AH$5:AH67),"")</f>
        <v/>
      </c>
      <c r="AJ67" s="20">
        <f>IF(OR(S67="",'報告書'!$C$4=""),"",IF(S67&amp;""='報告書'!$C$4&amp;"",COUNTIF($S$5:S67,'報告書'!$C$4),""))</f>
        <v/>
      </c>
      <c r="AK67" s="20" t="n"/>
      <c r="AL67" s="47" t="n"/>
      <c r="AM67" s="47" t="n"/>
      <c r="AN67" s="53" t="n"/>
      <c r="AO67" s="47" t="n"/>
      <c r="AP67" s="47" t="n"/>
      <c r="AQ67" s="47" t="n"/>
      <c r="AR67" s="47" t="n"/>
      <c r="AS67" s="47" t="n"/>
      <c r="AT67" s="47" t="n"/>
      <c r="AU67" s="47" t="n"/>
      <c r="AV67" s="47" t="n"/>
      <c r="AW67" s="52" t="n"/>
    </row>
    <row r="68">
      <c r="A68" s="48" t="n"/>
      <c r="B68" s="52" t="n"/>
      <c r="C68" s="47">
        <f>IF(B68="","",IFERROR(INDEX('隊員マスタ'!$B$5:$B$204,MATCH(B68&amp;"",'隊員マスタ'!$F$5:$F$204,0)),IF(AK68="","番号なし",AK68)))</f>
        <v/>
      </c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47" t="n"/>
      <c r="T68" s="47" t="n"/>
      <c r="U68" s="53" t="n"/>
      <c r="V68" s="53" t="n"/>
      <c r="W68" s="47" t="n"/>
      <c r="X68" s="47" t="n"/>
      <c r="Y68" s="47" t="n"/>
      <c r="Z68" s="47" t="n"/>
      <c r="AA68" s="47" t="n"/>
      <c r="AB68" s="47" t="n"/>
      <c r="AC68" s="47" t="n"/>
      <c r="AD68" s="47" t="n"/>
      <c r="AE68" s="47" t="n"/>
      <c r="AF68" s="20">
        <f>IF(A68="","",YEAR(EDATE(A68,-3)))</f>
        <v/>
      </c>
      <c r="AG68" s="20">
        <f>IF(OR(B68="",'経歴簿'!$C$4=""),"",IF(B68&amp;""='経歴簿'!$C$4&amp;"",MAX($AG$4:AG67)+1,""))</f>
        <v/>
      </c>
      <c r="AH68" s="20">
        <f>IF(A68="",0,IF(AND(OR('CSV抽出'!$C$4="",A68&gt;='CSV抽出'!$C$4),OR('CSV抽出'!$C$5="",A68&lt;='CSV抽出'!$C$5),OR('CSV抽出'!$C$6="すべて",'CSV抽出'!$C$6="",D68='CSV抽出'!$C$6),OR('CSV抽出'!$C$7="",B68&amp;""='CSV抽出'!$C$7&amp;"")),1,0))</f>
        <v/>
      </c>
      <c r="AI68" s="20">
        <f>IF(AH68=1,SUM($AH$5:AH68),"")</f>
        <v/>
      </c>
      <c r="AJ68" s="20">
        <f>IF(OR(S68="",'報告書'!$C$4=""),"",IF(S68&amp;""='報告書'!$C$4&amp;"",COUNTIF($S$5:S68,'報告書'!$C$4),""))</f>
        <v/>
      </c>
      <c r="AK68" s="20" t="n"/>
      <c r="AL68" s="47" t="n"/>
      <c r="AM68" s="47" t="n"/>
      <c r="AN68" s="53" t="n"/>
      <c r="AO68" s="47" t="n"/>
      <c r="AP68" s="47" t="n"/>
      <c r="AQ68" s="47" t="n"/>
      <c r="AR68" s="47" t="n"/>
      <c r="AS68" s="47" t="n"/>
      <c r="AT68" s="47" t="n"/>
      <c r="AU68" s="47" t="n"/>
      <c r="AV68" s="47" t="n"/>
      <c r="AW68" s="52" t="n"/>
    </row>
    <row r="69">
      <c r="A69" s="48" t="n"/>
      <c r="B69" s="52" t="n"/>
      <c r="C69" s="47">
        <f>IF(B69="","",IFERROR(INDEX('隊員マスタ'!$B$5:$B$204,MATCH(B69&amp;"",'隊員マスタ'!$F$5:$F$204,0)),IF(AK69="","番号なし",AK69)))</f>
        <v/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53" t="n"/>
      <c r="V69" s="53" t="n"/>
      <c r="W69" s="47" t="n"/>
      <c r="X69" s="47" t="n"/>
      <c r="Y69" s="47" t="n"/>
      <c r="Z69" s="47" t="n"/>
      <c r="AA69" s="47" t="n"/>
      <c r="AB69" s="47" t="n"/>
      <c r="AC69" s="47" t="n"/>
      <c r="AD69" s="47" t="n"/>
      <c r="AE69" s="47" t="n"/>
      <c r="AF69" s="20">
        <f>IF(A69="","",YEAR(EDATE(A69,-3)))</f>
        <v/>
      </c>
      <c r="AG69" s="20">
        <f>IF(OR(B69="",'経歴簿'!$C$4=""),"",IF(B69&amp;""='経歴簿'!$C$4&amp;"",MAX($AG$4:AG68)+1,""))</f>
        <v/>
      </c>
      <c r="AH69" s="20">
        <f>IF(A69="",0,IF(AND(OR('CSV抽出'!$C$4="",A69&gt;='CSV抽出'!$C$4),OR('CSV抽出'!$C$5="",A69&lt;='CSV抽出'!$C$5),OR('CSV抽出'!$C$6="すべて",'CSV抽出'!$C$6="",D69='CSV抽出'!$C$6),OR('CSV抽出'!$C$7="",B69&amp;""='CSV抽出'!$C$7&amp;"")),1,0))</f>
        <v/>
      </c>
      <c r="AI69" s="20">
        <f>IF(AH69=1,SUM($AH$5:AH69),"")</f>
        <v/>
      </c>
      <c r="AJ69" s="20">
        <f>IF(OR(S69="",'報告書'!$C$4=""),"",IF(S69&amp;""='報告書'!$C$4&amp;"",COUNTIF($S$5:S69,'報告書'!$C$4),""))</f>
        <v/>
      </c>
      <c r="AK69" s="20" t="n"/>
      <c r="AL69" s="47" t="n"/>
      <c r="AM69" s="47" t="n"/>
      <c r="AN69" s="53" t="n"/>
      <c r="AO69" s="47" t="n"/>
      <c r="AP69" s="47" t="n"/>
      <c r="AQ69" s="47" t="n"/>
      <c r="AR69" s="47" t="n"/>
      <c r="AS69" s="47" t="n"/>
      <c r="AT69" s="47" t="n"/>
      <c r="AU69" s="47" t="n"/>
      <c r="AV69" s="47" t="n"/>
      <c r="AW69" s="52" t="n"/>
    </row>
    <row r="70">
      <c r="A70" s="48" t="n"/>
      <c r="B70" s="52" t="n"/>
      <c r="C70" s="47">
        <f>IF(B70="","",IFERROR(INDEX('隊員マスタ'!$B$5:$B$204,MATCH(B70&amp;"",'隊員マスタ'!$F$5:$F$204,0)),IF(AK70="","番号なし",AK70)))</f>
        <v/>
      </c>
      <c r="D70" s="47" t="n"/>
      <c r="E70" s="47" t="n"/>
      <c r="F70" s="47" t="n"/>
      <c r="G70" s="47" t="n"/>
      <c r="H70" s="47" t="n"/>
      <c r="I70" s="47" t="n"/>
      <c r="J70" s="47" t="n"/>
      <c r="K70" s="47" t="n"/>
      <c r="L70" s="47" t="n"/>
      <c r="M70" s="47" t="n"/>
      <c r="N70" s="47" t="n"/>
      <c r="O70" s="47" t="n"/>
      <c r="P70" s="47" t="n"/>
      <c r="Q70" s="47" t="n"/>
      <c r="R70" s="47" t="n"/>
      <c r="S70" s="47" t="n"/>
      <c r="T70" s="47" t="n"/>
      <c r="U70" s="53" t="n"/>
      <c r="V70" s="53" t="n"/>
      <c r="W70" s="47" t="n"/>
      <c r="X70" s="47" t="n"/>
      <c r="Y70" s="47" t="n"/>
      <c r="Z70" s="47" t="n"/>
      <c r="AA70" s="47" t="n"/>
      <c r="AB70" s="47" t="n"/>
      <c r="AC70" s="47" t="n"/>
      <c r="AD70" s="47" t="n"/>
      <c r="AE70" s="47" t="n"/>
      <c r="AF70" s="20">
        <f>IF(A70="","",YEAR(EDATE(A70,-3)))</f>
        <v/>
      </c>
      <c r="AG70" s="20">
        <f>IF(OR(B70="",'経歴簿'!$C$4=""),"",IF(B70&amp;""='経歴簿'!$C$4&amp;"",MAX($AG$4:AG69)+1,""))</f>
        <v/>
      </c>
      <c r="AH70" s="20">
        <f>IF(A70="",0,IF(AND(OR('CSV抽出'!$C$4="",A70&gt;='CSV抽出'!$C$4),OR('CSV抽出'!$C$5="",A70&lt;='CSV抽出'!$C$5),OR('CSV抽出'!$C$6="すべて",'CSV抽出'!$C$6="",D70='CSV抽出'!$C$6),OR('CSV抽出'!$C$7="",B70&amp;""='CSV抽出'!$C$7&amp;"")),1,0))</f>
        <v/>
      </c>
      <c r="AI70" s="20">
        <f>IF(AH70=1,SUM($AH$5:AH70),"")</f>
        <v/>
      </c>
      <c r="AJ70" s="20">
        <f>IF(OR(S70="",'報告書'!$C$4=""),"",IF(S70&amp;""='報告書'!$C$4&amp;"",COUNTIF($S$5:S70,'報告書'!$C$4),""))</f>
        <v/>
      </c>
      <c r="AK70" s="20" t="n"/>
      <c r="AL70" s="47" t="n"/>
      <c r="AM70" s="47" t="n"/>
      <c r="AN70" s="53" t="n"/>
      <c r="AO70" s="47" t="n"/>
      <c r="AP70" s="47" t="n"/>
      <c r="AQ70" s="47" t="n"/>
      <c r="AR70" s="47" t="n"/>
      <c r="AS70" s="47" t="n"/>
      <c r="AT70" s="47" t="n"/>
      <c r="AU70" s="47" t="n"/>
      <c r="AV70" s="47" t="n"/>
      <c r="AW70" s="52" t="n"/>
    </row>
    <row r="71">
      <c r="A71" s="48" t="n"/>
      <c r="B71" s="52" t="n"/>
      <c r="C71" s="47">
        <f>IF(B71="","",IFERROR(INDEX('隊員マスタ'!$B$5:$B$204,MATCH(B71&amp;"",'隊員マスタ'!$F$5:$F$204,0)),IF(AK71="","番号なし",AK71)))</f>
        <v/>
      </c>
      <c r="D71" s="47" t="n"/>
      <c r="E71" s="47" t="n"/>
      <c r="F71" s="47" t="n"/>
      <c r="G71" s="47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  <c r="Q71" s="47" t="n"/>
      <c r="R71" s="47" t="n"/>
      <c r="S71" s="47" t="n"/>
      <c r="T71" s="47" t="n"/>
      <c r="U71" s="53" t="n"/>
      <c r="V71" s="53" t="n"/>
      <c r="W71" s="47" t="n"/>
      <c r="X71" s="47" t="n"/>
      <c r="Y71" s="47" t="n"/>
      <c r="Z71" s="47" t="n"/>
      <c r="AA71" s="47" t="n"/>
      <c r="AB71" s="47" t="n"/>
      <c r="AC71" s="47" t="n"/>
      <c r="AD71" s="47" t="n"/>
      <c r="AE71" s="47" t="n"/>
      <c r="AF71" s="20">
        <f>IF(A71="","",YEAR(EDATE(A71,-3)))</f>
        <v/>
      </c>
      <c r="AG71" s="20">
        <f>IF(OR(B71="",'経歴簿'!$C$4=""),"",IF(B71&amp;""='経歴簿'!$C$4&amp;"",MAX($AG$4:AG70)+1,""))</f>
        <v/>
      </c>
      <c r="AH71" s="20">
        <f>IF(A71="",0,IF(AND(OR('CSV抽出'!$C$4="",A71&gt;='CSV抽出'!$C$4),OR('CSV抽出'!$C$5="",A71&lt;='CSV抽出'!$C$5),OR('CSV抽出'!$C$6="すべて",'CSV抽出'!$C$6="",D71='CSV抽出'!$C$6),OR('CSV抽出'!$C$7="",B71&amp;""='CSV抽出'!$C$7&amp;"")),1,0))</f>
        <v/>
      </c>
      <c r="AI71" s="20">
        <f>IF(AH71=1,SUM($AH$5:AH71),"")</f>
        <v/>
      </c>
      <c r="AJ71" s="20">
        <f>IF(OR(S71="",'報告書'!$C$4=""),"",IF(S71&amp;""='報告書'!$C$4&amp;"",COUNTIF($S$5:S71,'報告書'!$C$4),""))</f>
        <v/>
      </c>
      <c r="AK71" s="20" t="n"/>
      <c r="AL71" s="47" t="n"/>
      <c r="AM71" s="47" t="n"/>
      <c r="AN71" s="53" t="n"/>
      <c r="AO71" s="47" t="n"/>
      <c r="AP71" s="47" t="n"/>
      <c r="AQ71" s="47" t="n"/>
      <c r="AR71" s="47" t="n"/>
      <c r="AS71" s="47" t="n"/>
      <c r="AT71" s="47" t="n"/>
      <c r="AU71" s="47" t="n"/>
      <c r="AV71" s="47" t="n"/>
      <c r="AW71" s="52" t="n"/>
    </row>
    <row r="72">
      <c r="A72" s="48" t="n"/>
      <c r="B72" s="52" t="n"/>
      <c r="C72" s="47">
        <f>IF(B72="","",IFERROR(INDEX('隊員マスタ'!$B$5:$B$204,MATCH(B72&amp;"",'隊員マスタ'!$F$5:$F$204,0)),IF(AK72="","番号なし",AK72)))</f>
        <v/>
      </c>
      <c r="D72" s="47" t="n"/>
      <c r="E72" s="47" t="n"/>
      <c r="F72" s="47" t="n"/>
      <c r="G72" s="47" t="n"/>
      <c r="H72" s="47" t="n"/>
      <c r="I72" s="47" t="n"/>
      <c r="J72" s="47" t="n"/>
      <c r="K72" s="47" t="n"/>
      <c r="L72" s="47" t="n"/>
      <c r="M72" s="47" t="n"/>
      <c r="N72" s="47" t="n"/>
      <c r="O72" s="47" t="n"/>
      <c r="P72" s="47" t="n"/>
      <c r="Q72" s="47" t="n"/>
      <c r="R72" s="47" t="n"/>
      <c r="S72" s="47" t="n"/>
      <c r="T72" s="47" t="n"/>
      <c r="U72" s="53" t="n"/>
      <c r="V72" s="53" t="n"/>
      <c r="W72" s="47" t="n"/>
      <c r="X72" s="47" t="n"/>
      <c r="Y72" s="47" t="n"/>
      <c r="Z72" s="47" t="n"/>
      <c r="AA72" s="47" t="n"/>
      <c r="AB72" s="47" t="n"/>
      <c r="AC72" s="47" t="n"/>
      <c r="AD72" s="47" t="n"/>
      <c r="AE72" s="47" t="n"/>
      <c r="AF72" s="20">
        <f>IF(A72="","",YEAR(EDATE(A72,-3)))</f>
        <v/>
      </c>
      <c r="AG72" s="20">
        <f>IF(OR(B72="",'経歴簿'!$C$4=""),"",IF(B72&amp;""='経歴簿'!$C$4&amp;"",MAX($AG$4:AG71)+1,""))</f>
        <v/>
      </c>
      <c r="AH72" s="20">
        <f>IF(A72="",0,IF(AND(OR('CSV抽出'!$C$4="",A72&gt;='CSV抽出'!$C$4),OR('CSV抽出'!$C$5="",A72&lt;='CSV抽出'!$C$5),OR('CSV抽出'!$C$6="すべて",'CSV抽出'!$C$6="",D72='CSV抽出'!$C$6),OR('CSV抽出'!$C$7="",B72&amp;""='CSV抽出'!$C$7&amp;"")),1,0))</f>
        <v/>
      </c>
      <c r="AI72" s="20">
        <f>IF(AH72=1,SUM($AH$5:AH72),"")</f>
        <v/>
      </c>
      <c r="AJ72" s="20">
        <f>IF(OR(S72="",'報告書'!$C$4=""),"",IF(S72&amp;""='報告書'!$C$4&amp;"",COUNTIF($S$5:S72,'報告書'!$C$4),""))</f>
        <v/>
      </c>
      <c r="AK72" s="20" t="n"/>
      <c r="AL72" s="47" t="n"/>
      <c r="AM72" s="47" t="n"/>
      <c r="AN72" s="53" t="n"/>
      <c r="AO72" s="47" t="n"/>
      <c r="AP72" s="47" t="n"/>
      <c r="AQ72" s="47" t="n"/>
      <c r="AR72" s="47" t="n"/>
      <c r="AS72" s="47" t="n"/>
      <c r="AT72" s="47" t="n"/>
      <c r="AU72" s="47" t="n"/>
      <c r="AV72" s="47" t="n"/>
      <c r="AW72" s="52" t="n"/>
    </row>
    <row r="73">
      <c r="A73" s="48" t="n"/>
      <c r="B73" s="52" t="n"/>
      <c r="C73" s="47">
        <f>IF(B73="","",IFERROR(INDEX('隊員マスタ'!$B$5:$B$204,MATCH(B73&amp;"",'隊員マスタ'!$F$5:$F$204,0)),IF(AK73="","番号なし",AK73)))</f>
        <v/>
      </c>
      <c r="D73" s="47" t="n"/>
      <c r="E73" s="47" t="n"/>
      <c r="F73" s="47" t="n"/>
      <c r="G73" s="47" t="n"/>
      <c r="H73" s="47" t="n"/>
      <c r="I73" s="47" t="n"/>
      <c r="J73" s="47" t="n"/>
      <c r="K73" s="47" t="n"/>
      <c r="L73" s="47" t="n"/>
      <c r="M73" s="47" t="n"/>
      <c r="N73" s="47" t="n"/>
      <c r="O73" s="47" t="n"/>
      <c r="P73" s="47" t="n"/>
      <c r="Q73" s="47" t="n"/>
      <c r="R73" s="47" t="n"/>
      <c r="S73" s="47" t="n"/>
      <c r="T73" s="47" t="n"/>
      <c r="U73" s="53" t="n"/>
      <c r="V73" s="53" t="n"/>
      <c r="W73" s="47" t="n"/>
      <c r="X73" s="47" t="n"/>
      <c r="Y73" s="47" t="n"/>
      <c r="Z73" s="47" t="n"/>
      <c r="AA73" s="47" t="n"/>
      <c r="AB73" s="47" t="n"/>
      <c r="AC73" s="47" t="n"/>
      <c r="AD73" s="47" t="n"/>
      <c r="AE73" s="47" t="n"/>
      <c r="AF73" s="20">
        <f>IF(A73="","",YEAR(EDATE(A73,-3)))</f>
        <v/>
      </c>
      <c r="AG73" s="20">
        <f>IF(OR(B73="",'経歴簿'!$C$4=""),"",IF(B73&amp;""='経歴簿'!$C$4&amp;"",MAX($AG$4:AG72)+1,""))</f>
        <v/>
      </c>
      <c r="AH73" s="20">
        <f>IF(A73="",0,IF(AND(OR('CSV抽出'!$C$4="",A73&gt;='CSV抽出'!$C$4),OR('CSV抽出'!$C$5="",A73&lt;='CSV抽出'!$C$5),OR('CSV抽出'!$C$6="すべて",'CSV抽出'!$C$6="",D73='CSV抽出'!$C$6),OR('CSV抽出'!$C$7="",B73&amp;""='CSV抽出'!$C$7&amp;"")),1,0))</f>
        <v/>
      </c>
      <c r="AI73" s="20">
        <f>IF(AH73=1,SUM($AH$5:AH73),"")</f>
        <v/>
      </c>
      <c r="AJ73" s="20">
        <f>IF(OR(S73="",'報告書'!$C$4=""),"",IF(S73&amp;""='報告書'!$C$4&amp;"",COUNTIF($S$5:S73,'報告書'!$C$4),""))</f>
        <v/>
      </c>
      <c r="AK73" s="20" t="n"/>
      <c r="AL73" s="47" t="n"/>
      <c r="AM73" s="47" t="n"/>
      <c r="AN73" s="53" t="n"/>
      <c r="AO73" s="47" t="n"/>
      <c r="AP73" s="47" t="n"/>
      <c r="AQ73" s="47" t="n"/>
      <c r="AR73" s="47" t="n"/>
      <c r="AS73" s="47" t="n"/>
      <c r="AT73" s="47" t="n"/>
      <c r="AU73" s="47" t="n"/>
      <c r="AV73" s="47" t="n"/>
      <c r="AW73" s="52" t="n"/>
    </row>
    <row r="74">
      <c r="A74" s="48" t="n"/>
      <c r="B74" s="52" t="n"/>
      <c r="C74" s="47">
        <f>IF(B74="","",IFERROR(INDEX('隊員マスタ'!$B$5:$B$204,MATCH(B74&amp;"",'隊員マスタ'!$F$5:$F$204,0)),IF(AK74="","番号なし",AK74)))</f>
        <v/>
      </c>
      <c r="D74" s="47" t="n"/>
      <c r="E74" s="47" t="n"/>
      <c r="F74" s="47" t="n"/>
      <c r="G74" s="47" t="n"/>
      <c r="H74" s="47" t="n"/>
      <c r="I74" s="47" t="n"/>
      <c r="J74" s="47" t="n"/>
      <c r="K74" s="47" t="n"/>
      <c r="L74" s="47" t="n"/>
      <c r="M74" s="47" t="n"/>
      <c r="N74" s="47" t="n"/>
      <c r="O74" s="47" t="n"/>
      <c r="P74" s="47" t="n"/>
      <c r="Q74" s="47" t="n"/>
      <c r="R74" s="47" t="n"/>
      <c r="S74" s="47" t="n"/>
      <c r="T74" s="47" t="n"/>
      <c r="U74" s="53" t="n"/>
      <c r="V74" s="53" t="n"/>
      <c r="W74" s="47" t="n"/>
      <c r="X74" s="47" t="n"/>
      <c r="Y74" s="47" t="n"/>
      <c r="Z74" s="47" t="n"/>
      <c r="AA74" s="47" t="n"/>
      <c r="AB74" s="47" t="n"/>
      <c r="AC74" s="47" t="n"/>
      <c r="AD74" s="47" t="n"/>
      <c r="AE74" s="47" t="n"/>
      <c r="AF74" s="20">
        <f>IF(A74="","",YEAR(EDATE(A74,-3)))</f>
        <v/>
      </c>
      <c r="AG74" s="20">
        <f>IF(OR(B74="",'経歴簿'!$C$4=""),"",IF(B74&amp;""='経歴簿'!$C$4&amp;"",MAX($AG$4:AG73)+1,""))</f>
        <v/>
      </c>
      <c r="AH74" s="20">
        <f>IF(A74="",0,IF(AND(OR('CSV抽出'!$C$4="",A74&gt;='CSV抽出'!$C$4),OR('CSV抽出'!$C$5="",A74&lt;='CSV抽出'!$C$5),OR('CSV抽出'!$C$6="すべて",'CSV抽出'!$C$6="",D74='CSV抽出'!$C$6),OR('CSV抽出'!$C$7="",B74&amp;""='CSV抽出'!$C$7&amp;"")),1,0))</f>
        <v/>
      </c>
      <c r="AI74" s="20">
        <f>IF(AH74=1,SUM($AH$5:AH74),"")</f>
        <v/>
      </c>
      <c r="AJ74" s="20">
        <f>IF(OR(S74="",'報告書'!$C$4=""),"",IF(S74&amp;""='報告書'!$C$4&amp;"",COUNTIF($S$5:S74,'報告書'!$C$4),""))</f>
        <v/>
      </c>
      <c r="AK74" s="20" t="n"/>
      <c r="AL74" s="47" t="n"/>
      <c r="AM74" s="47" t="n"/>
      <c r="AN74" s="53" t="n"/>
      <c r="AO74" s="47" t="n"/>
      <c r="AP74" s="47" t="n"/>
      <c r="AQ74" s="47" t="n"/>
      <c r="AR74" s="47" t="n"/>
      <c r="AS74" s="47" t="n"/>
      <c r="AT74" s="47" t="n"/>
      <c r="AU74" s="47" t="n"/>
      <c r="AV74" s="47" t="n"/>
      <c r="AW74" s="52" t="n"/>
    </row>
    <row r="75">
      <c r="A75" s="48" t="n"/>
      <c r="B75" s="52" t="n"/>
      <c r="C75" s="47">
        <f>IF(B75="","",IFERROR(INDEX('隊員マスタ'!$B$5:$B$204,MATCH(B75&amp;"",'隊員マスタ'!$F$5:$F$204,0)),IF(AK75="","番号なし",AK75)))</f>
        <v/>
      </c>
      <c r="D75" s="47" t="n"/>
      <c r="E75" s="47" t="n"/>
      <c r="F75" s="47" t="n"/>
      <c r="G75" s="47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  <c r="Q75" s="47" t="n"/>
      <c r="R75" s="47" t="n"/>
      <c r="S75" s="47" t="n"/>
      <c r="T75" s="47" t="n"/>
      <c r="U75" s="53" t="n"/>
      <c r="V75" s="53" t="n"/>
      <c r="W75" s="47" t="n"/>
      <c r="X75" s="47" t="n"/>
      <c r="Y75" s="47" t="n"/>
      <c r="Z75" s="47" t="n"/>
      <c r="AA75" s="47" t="n"/>
      <c r="AB75" s="47" t="n"/>
      <c r="AC75" s="47" t="n"/>
      <c r="AD75" s="47" t="n"/>
      <c r="AE75" s="47" t="n"/>
      <c r="AF75" s="20">
        <f>IF(A75="","",YEAR(EDATE(A75,-3)))</f>
        <v/>
      </c>
      <c r="AG75" s="20">
        <f>IF(OR(B75="",'経歴簿'!$C$4=""),"",IF(B75&amp;""='経歴簿'!$C$4&amp;"",MAX($AG$4:AG74)+1,""))</f>
        <v/>
      </c>
      <c r="AH75" s="20">
        <f>IF(A75="",0,IF(AND(OR('CSV抽出'!$C$4="",A75&gt;='CSV抽出'!$C$4),OR('CSV抽出'!$C$5="",A75&lt;='CSV抽出'!$C$5),OR('CSV抽出'!$C$6="すべて",'CSV抽出'!$C$6="",D75='CSV抽出'!$C$6),OR('CSV抽出'!$C$7="",B75&amp;""='CSV抽出'!$C$7&amp;"")),1,0))</f>
        <v/>
      </c>
      <c r="AI75" s="20">
        <f>IF(AH75=1,SUM($AH$5:AH75),"")</f>
        <v/>
      </c>
      <c r="AJ75" s="20">
        <f>IF(OR(S75="",'報告書'!$C$4=""),"",IF(S75&amp;""='報告書'!$C$4&amp;"",COUNTIF($S$5:S75,'報告書'!$C$4),""))</f>
        <v/>
      </c>
      <c r="AK75" s="20" t="n"/>
      <c r="AL75" s="47" t="n"/>
      <c r="AM75" s="47" t="n"/>
      <c r="AN75" s="53" t="n"/>
      <c r="AO75" s="47" t="n"/>
      <c r="AP75" s="47" t="n"/>
      <c r="AQ75" s="47" t="n"/>
      <c r="AR75" s="47" t="n"/>
      <c r="AS75" s="47" t="n"/>
      <c r="AT75" s="47" t="n"/>
      <c r="AU75" s="47" t="n"/>
      <c r="AV75" s="47" t="n"/>
      <c r="AW75" s="52" t="n"/>
    </row>
    <row r="76">
      <c r="A76" s="48" t="n"/>
      <c r="B76" s="52" t="n"/>
      <c r="C76" s="47">
        <f>IF(B76="","",IFERROR(INDEX('隊員マスタ'!$B$5:$B$204,MATCH(B76&amp;"",'隊員マスタ'!$F$5:$F$204,0)),IF(AK76="","番号なし",AK76)))</f>
        <v/>
      </c>
      <c r="D76" s="47" t="n"/>
      <c r="E76" s="47" t="n"/>
      <c r="F76" s="47" t="n"/>
      <c r="G76" s="47" t="n"/>
      <c r="H76" s="47" t="n"/>
      <c r="I76" s="47" t="n"/>
      <c r="J76" s="47" t="n"/>
      <c r="K76" s="47" t="n"/>
      <c r="L76" s="47" t="n"/>
      <c r="M76" s="47" t="n"/>
      <c r="N76" s="47" t="n"/>
      <c r="O76" s="47" t="n"/>
      <c r="P76" s="47" t="n"/>
      <c r="Q76" s="47" t="n"/>
      <c r="R76" s="47" t="n"/>
      <c r="S76" s="47" t="n"/>
      <c r="T76" s="47" t="n"/>
      <c r="U76" s="53" t="n"/>
      <c r="V76" s="53" t="n"/>
      <c r="W76" s="47" t="n"/>
      <c r="X76" s="47" t="n"/>
      <c r="Y76" s="47" t="n"/>
      <c r="Z76" s="47" t="n"/>
      <c r="AA76" s="47" t="n"/>
      <c r="AB76" s="47" t="n"/>
      <c r="AC76" s="47" t="n"/>
      <c r="AD76" s="47" t="n"/>
      <c r="AE76" s="47" t="n"/>
      <c r="AF76" s="20">
        <f>IF(A76="","",YEAR(EDATE(A76,-3)))</f>
        <v/>
      </c>
      <c r="AG76" s="20">
        <f>IF(OR(B76="",'経歴簿'!$C$4=""),"",IF(B76&amp;""='経歴簿'!$C$4&amp;"",MAX($AG$4:AG75)+1,""))</f>
        <v/>
      </c>
      <c r="AH76" s="20">
        <f>IF(A76="",0,IF(AND(OR('CSV抽出'!$C$4="",A76&gt;='CSV抽出'!$C$4),OR('CSV抽出'!$C$5="",A76&lt;='CSV抽出'!$C$5),OR('CSV抽出'!$C$6="すべて",'CSV抽出'!$C$6="",D76='CSV抽出'!$C$6),OR('CSV抽出'!$C$7="",B76&amp;""='CSV抽出'!$C$7&amp;"")),1,0))</f>
        <v/>
      </c>
      <c r="AI76" s="20">
        <f>IF(AH76=1,SUM($AH$5:AH76),"")</f>
        <v/>
      </c>
      <c r="AJ76" s="20">
        <f>IF(OR(S76="",'報告書'!$C$4=""),"",IF(S76&amp;""='報告書'!$C$4&amp;"",COUNTIF($S$5:S76,'報告書'!$C$4),""))</f>
        <v/>
      </c>
      <c r="AK76" s="20" t="n"/>
      <c r="AL76" s="47" t="n"/>
      <c r="AM76" s="47" t="n"/>
      <c r="AN76" s="53" t="n"/>
      <c r="AO76" s="47" t="n"/>
      <c r="AP76" s="47" t="n"/>
      <c r="AQ76" s="47" t="n"/>
      <c r="AR76" s="47" t="n"/>
      <c r="AS76" s="47" t="n"/>
      <c r="AT76" s="47" t="n"/>
      <c r="AU76" s="47" t="n"/>
      <c r="AV76" s="47" t="n"/>
      <c r="AW76" s="52" t="n"/>
    </row>
    <row r="77">
      <c r="A77" s="48" t="n"/>
      <c r="B77" s="52" t="n"/>
      <c r="C77" s="47">
        <f>IF(B77="","",IFERROR(INDEX('隊員マスタ'!$B$5:$B$204,MATCH(B77&amp;"",'隊員マスタ'!$F$5:$F$204,0)),IF(AK77="","番号なし",AK77)))</f>
        <v/>
      </c>
      <c r="D77" s="47" t="n"/>
      <c r="E77" s="47" t="n"/>
      <c r="F77" s="47" t="n"/>
      <c r="G77" s="47" t="n"/>
      <c r="H77" s="47" t="n"/>
      <c r="I77" s="47" t="n"/>
      <c r="J77" s="47" t="n"/>
      <c r="K77" s="47" t="n"/>
      <c r="L77" s="47" t="n"/>
      <c r="M77" s="47" t="n"/>
      <c r="N77" s="47" t="n"/>
      <c r="O77" s="47" t="n"/>
      <c r="P77" s="47" t="n"/>
      <c r="Q77" s="47" t="n"/>
      <c r="R77" s="47" t="n"/>
      <c r="S77" s="47" t="n"/>
      <c r="T77" s="47" t="n"/>
      <c r="U77" s="53" t="n"/>
      <c r="V77" s="53" t="n"/>
      <c r="W77" s="47" t="n"/>
      <c r="X77" s="47" t="n"/>
      <c r="Y77" s="47" t="n"/>
      <c r="Z77" s="47" t="n"/>
      <c r="AA77" s="47" t="n"/>
      <c r="AB77" s="47" t="n"/>
      <c r="AC77" s="47" t="n"/>
      <c r="AD77" s="47" t="n"/>
      <c r="AE77" s="47" t="n"/>
      <c r="AF77" s="20">
        <f>IF(A77="","",YEAR(EDATE(A77,-3)))</f>
        <v/>
      </c>
      <c r="AG77" s="20">
        <f>IF(OR(B77="",'経歴簿'!$C$4=""),"",IF(B77&amp;""='経歴簿'!$C$4&amp;"",MAX($AG$4:AG76)+1,""))</f>
        <v/>
      </c>
      <c r="AH77" s="20">
        <f>IF(A77="",0,IF(AND(OR('CSV抽出'!$C$4="",A77&gt;='CSV抽出'!$C$4),OR('CSV抽出'!$C$5="",A77&lt;='CSV抽出'!$C$5),OR('CSV抽出'!$C$6="すべて",'CSV抽出'!$C$6="",D77='CSV抽出'!$C$6),OR('CSV抽出'!$C$7="",B77&amp;""='CSV抽出'!$C$7&amp;"")),1,0))</f>
        <v/>
      </c>
      <c r="AI77" s="20">
        <f>IF(AH77=1,SUM($AH$5:AH77),"")</f>
        <v/>
      </c>
      <c r="AJ77" s="20">
        <f>IF(OR(S77="",'報告書'!$C$4=""),"",IF(S77&amp;""='報告書'!$C$4&amp;"",COUNTIF($S$5:S77,'報告書'!$C$4),""))</f>
        <v/>
      </c>
      <c r="AK77" s="20" t="n"/>
      <c r="AL77" s="47" t="n"/>
      <c r="AM77" s="47" t="n"/>
      <c r="AN77" s="53" t="n"/>
      <c r="AO77" s="47" t="n"/>
      <c r="AP77" s="47" t="n"/>
      <c r="AQ77" s="47" t="n"/>
      <c r="AR77" s="47" t="n"/>
      <c r="AS77" s="47" t="n"/>
      <c r="AT77" s="47" t="n"/>
      <c r="AU77" s="47" t="n"/>
      <c r="AV77" s="47" t="n"/>
      <c r="AW77" s="52" t="n"/>
    </row>
    <row r="78">
      <c r="A78" s="48" t="n"/>
      <c r="B78" s="52" t="n"/>
      <c r="C78" s="47">
        <f>IF(B78="","",IFERROR(INDEX('隊員マスタ'!$B$5:$B$204,MATCH(B78&amp;"",'隊員マスタ'!$F$5:$F$204,0)),IF(AK78="","番号なし",AK78)))</f>
        <v/>
      </c>
      <c r="D78" s="47" t="n"/>
      <c r="E78" s="47" t="n"/>
      <c r="F78" s="47" t="n"/>
      <c r="G78" s="47" t="n"/>
      <c r="H78" s="47" t="n"/>
      <c r="I78" s="47" t="n"/>
      <c r="J78" s="47" t="n"/>
      <c r="K78" s="47" t="n"/>
      <c r="L78" s="47" t="n"/>
      <c r="M78" s="47" t="n"/>
      <c r="N78" s="47" t="n"/>
      <c r="O78" s="47" t="n"/>
      <c r="P78" s="47" t="n"/>
      <c r="Q78" s="47" t="n"/>
      <c r="R78" s="47" t="n"/>
      <c r="S78" s="47" t="n"/>
      <c r="T78" s="47" t="n"/>
      <c r="U78" s="53" t="n"/>
      <c r="V78" s="53" t="n"/>
      <c r="W78" s="47" t="n"/>
      <c r="X78" s="47" t="n"/>
      <c r="Y78" s="47" t="n"/>
      <c r="Z78" s="47" t="n"/>
      <c r="AA78" s="47" t="n"/>
      <c r="AB78" s="47" t="n"/>
      <c r="AC78" s="47" t="n"/>
      <c r="AD78" s="47" t="n"/>
      <c r="AE78" s="47" t="n"/>
      <c r="AF78" s="20">
        <f>IF(A78="","",YEAR(EDATE(A78,-3)))</f>
        <v/>
      </c>
      <c r="AG78" s="20">
        <f>IF(OR(B78="",'経歴簿'!$C$4=""),"",IF(B78&amp;""='経歴簿'!$C$4&amp;"",MAX($AG$4:AG77)+1,""))</f>
        <v/>
      </c>
      <c r="AH78" s="20">
        <f>IF(A78="",0,IF(AND(OR('CSV抽出'!$C$4="",A78&gt;='CSV抽出'!$C$4),OR('CSV抽出'!$C$5="",A78&lt;='CSV抽出'!$C$5),OR('CSV抽出'!$C$6="すべて",'CSV抽出'!$C$6="",D78='CSV抽出'!$C$6),OR('CSV抽出'!$C$7="",B78&amp;""='CSV抽出'!$C$7&amp;"")),1,0))</f>
        <v/>
      </c>
      <c r="AI78" s="20">
        <f>IF(AH78=1,SUM($AH$5:AH78),"")</f>
        <v/>
      </c>
      <c r="AJ78" s="20">
        <f>IF(OR(S78="",'報告書'!$C$4=""),"",IF(S78&amp;""='報告書'!$C$4&amp;"",COUNTIF($S$5:S78,'報告書'!$C$4),""))</f>
        <v/>
      </c>
      <c r="AK78" s="20" t="n"/>
      <c r="AL78" s="47" t="n"/>
      <c r="AM78" s="47" t="n"/>
      <c r="AN78" s="53" t="n"/>
      <c r="AO78" s="47" t="n"/>
      <c r="AP78" s="47" t="n"/>
      <c r="AQ78" s="47" t="n"/>
      <c r="AR78" s="47" t="n"/>
      <c r="AS78" s="47" t="n"/>
      <c r="AT78" s="47" t="n"/>
      <c r="AU78" s="47" t="n"/>
      <c r="AV78" s="47" t="n"/>
      <c r="AW78" s="52" t="n"/>
    </row>
    <row r="79">
      <c r="A79" s="48" t="n"/>
      <c r="B79" s="52" t="n"/>
      <c r="C79" s="47">
        <f>IF(B79="","",IFERROR(INDEX('隊員マスタ'!$B$5:$B$204,MATCH(B79&amp;"",'隊員マスタ'!$F$5:$F$204,0)),IF(AK79="","番号なし",AK79)))</f>
        <v/>
      </c>
      <c r="D79" s="47" t="n"/>
      <c r="E79" s="47" t="n"/>
      <c r="F79" s="47" t="n"/>
      <c r="G79" s="47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  <c r="Q79" s="47" t="n"/>
      <c r="R79" s="47" t="n"/>
      <c r="S79" s="47" t="n"/>
      <c r="T79" s="47" t="n"/>
      <c r="U79" s="53" t="n"/>
      <c r="V79" s="53" t="n"/>
      <c r="W79" s="47" t="n"/>
      <c r="X79" s="47" t="n"/>
      <c r="Y79" s="47" t="n"/>
      <c r="Z79" s="47" t="n"/>
      <c r="AA79" s="47" t="n"/>
      <c r="AB79" s="47" t="n"/>
      <c r="AC79" s="47" t="n"/>
      <c r="AD79" s="47" t="n"/>
      <c r="AE79" s="47" t="n"/>
      <c r="AF79" s="20">
        <f>IF(A79="","",YEAR(EDATE(A79,-3)))</f>
        <v/>
      </c>
      <c r="AG79" s="20">
        <f>IF(OR(B79="",'経歴簿'!$C$4=""),"",IF(B79&amp;""='経歴簿'!$C$4&amp;"",MAX($AG$4:AG78)+1,""))</f>
        <v/>
      </c>
      <c r="AH79" s="20">
        <f>IF(A79="",0,IF(AND(OR('CSV抽出'!$C$4="",A79&gt;='CSV抽出'!$C$4),OR('CSV抽出'!$C$5="",A79&lt;='CSV抽出'!$C$5),OR('CSV抽出'!$C$6="すべて",'CSV抽出'!$C$6="",D79='CSV抽出'!$C$6),OR('CSV抽出'!$C$7="",B79&amp;""='CSV抽出'!$C$7&amp;"")),1,0))</f>
        <v/>
      </c>
      <c r="AI79" s="20">
        <f>IF(AH79=1,SUM($AH$5:AH79),"")</f>
        <v/>
      </c>
      <c r="AJ79" s="20">
        <f>IF(OR(S79="",'報告書'!$C$4=""),"",IF(S79&amp;""='報告書'!$C$4&amp;"",COUNTIF($S$5:S79,'報告書'!$C$4),""))</f>
        <v/>
      </c>
      <c r="AK79" s="20" t="n"/>
      <c r="AL79" s="47" t="n"/>
      <c r="AM79" s="47" t="n"/>
      <c r="AN79" s="53" t="n"/>
      <c r="AO79" s="47" t="n"/>
      <c r="AP79" s="47" t="n"/>
      <c r="AQ79" s="47" t="n"/>
      <c r="AR79" s="47" t="n"/>
      <c r="AS79" s="47" t="n"/>
      <c r="AT79" s="47" t="n"/>
      <c r="AU79" s="47" t="n"/>
      <c r="AV79" s="47" t="n"/>
      <c r="AW79" s="52" t="n"/>
    </row>
    <row r="80">
      <c r="A80" s="48" t="n"/>
      <c r="B80" s="52" t="n"/>
      <c r="C80" s="47">
        <f>IF(B80="","",IFERROR(INDEX('隊員マスタ'!$B$5:$B$204,MATCH(B80&amp;"",'隊員マスタ'!$F$5:$F$204,0)),IF(AK80="","番号なし",AK80)))</f>
        <v/>
      </c>
      <c r="D80" s="47" t="n"/>
      <c r="E80" s="47" t="n"/>
      <c r="F80" s="47" t="n"/>
      <c r="G80" s="47" t="n"/>
      <c r="H80" s="47" t="n"/>
      <c r="I80" s="47" t="n"/>
      <c r="J80" s="47" t="n"/>
      <c r="K80" s="47" t="n"/>
      <c r="L80" s="47" t="n"/>
      <c r="M80" s="47" t="n"/>
      <c r="N80" s="47" t="n"/>
      <c r="O80" s="47" t="n"/>
      <c r="P80" s="47" t="n"/>
      <c r="Q80" s="47" t="n"/>
      <c r="R80" s="47" t="n"/>
      <c r="S80" s="47" t="n"/>
      <c r="T80" s="47" t="n"/>
      <c r="U80" s="53" t="n"/>
      <c r="V80" s="53" t="n"/>
      <c r="W80" s="47" t="n"/>
      <c r="X80" s="47" t="n"/>
      <c r="Y80" s="47" t="n"/>
      <c r="Z80" s="47" t="n"/>
      <c r="AA80" s="47" t="n"/>
      <c r="AB80" s="47" t="n"/>
      <c r="AC80" s="47" t="n"/>
      <c r="AD80" s="47" t="n"/>
      <c r="AE80" s="47" t="n"/>
      <c r="AF80" s="20">
        <f>IF(A80="","",YEAR(EDATE(A80,-3)))</f>
        <v/>
      </c>
      <c r="AG80" s="20">
        <f>IF(OR(B80="",'経歴簿'!$C$4=""),"",IF(B80&amp;""='経歴簿'!$C$4&amp;"",MAX($AG$4:AG79)+1,""))</f>
        <v/>
      </c>
      <c r="AH80" s="20">
        <f>IF(A80="",0,IF(AND(OR('CSV抽出'!$C$4="",A80&gt;='CSV抽出'!$C$4),OR('CSV抽出'!$C$5="",A80&lt;='CSV抽出'!$C$5),OR('CSV抽出'!$C$6="すべて",'CSV抽出'!$C$6="",D80='CSV抽出'!$C$6),OR('CSV抽出'!$C$7="",B80&amp;""='CSV抽出'!$C$7&amp;"")),1,0))</f>
        <v/>
      </c>
      <c r="AI80" s="20">
        <f>IF(AH80=1,SUM($AH$5:AH80),"")</f>
        <v/>
      </c>
      <c r="AJ80" s="20">
        <f>IF(OR(S80="",'報告書'!$C$4=""),"",IF(S80&amp;""='報告書'!$C$4&amp;"",COUNTIF($S$5:S80,'報告書'!$C$4),""))</f>
        <v/>
      </c>
      <c r="AK80" s="20" t="n"/>
      <c r="AL80" s="47" t="n"/>
      <c r="AM80" s="47" t="n"/>
      <c r="AN80" s="53" t="n"/>
      <c r="AO80" s="47" t="n"/>
      <c r="AP80" s="47" t="n"/>
      <c r="AQ80" s="47" t="n"/>
      <c r="AR80" s="47" t="n"/>
      <c r="AS80" s="47" t="n"/>
      <c r="AT80" s="47" t="n"/>
      <c r="AU80" s="47" t="n"/>
      <c r="AV80" s="47" t="n"/>
      <c r="AW80" s="52" t="n"/>
    </row>
    <row r="81">
      <c r="A81" s="48" t="n"/>
      <c r="B81" s="52" t="n"/>
      <c r="C81" s="47">
        <f>IF(B81="","",IFERROR(INDEX('隊員マスタ'!$B$5:$B$204,MATCH(B81&amp;"",'隊員マスタ'!$F$5:$F$204,0)),IF(AK81="","番号なし",AK81)))</f>
        <v/>
      </c>
      <c r="D81" s="47" t="n"/>
      <c r="E81" s="47" t="n"/>
      <c r="F81" s="47" t="n"/>
      <c r="G81" s="47" t="n"/>
      <c r="H81" s="47" t="n"/>
      <c r="I81" s="47" t="n"/>
      <c r="J81" s="47" t="n"/>
      <c r="K81" s="47" t="n"/>
      <c r="L81" s="47" t="n"/>
      <c r="M81" s="47" t="n"/>
      <c r="N81" s="47" t="n"/>
      <c r="O81" s="47" t="n"/>
      <c r="P81" s="47" t="n"/>
      <c r="Q81" s="47" t="n"/>
      <c r="R81" s="47" t="n"/>
      <c r="S81" s="47" t="n"/>
      <c r="T81" s="47" t="n"/>
      <c r="U81" s="53" t="n"/>
      <c r="V81" s="53" t="n"/>
      <c r="W81" s="47" t="n"/>
      <c r="X81" s="47" t="n"/>
      <c r="Y81" s="47" t="n"/>
      <c r="Z81" s="47" t="n"/>
      <c r="AA81" s="47" t="n"/>
      <c r="AB81" s="47" t="n"/>
      <c r="AC81" s="47" t="n"/>
      <c r="AD81" s="47" t="n"/>
      <c r="AE81" s="47" t="n"/>
      <c r="AF81" s="20">
        <f>IF(A81="","",YEAR(EDATE(A81,-3)))</f>
        <v/>
      </c>
      <c r="AG81" s="20">
        <f>IF(OR(B81="",'経歴簿'!$C$4=""),"",IF(B81&amp;""='経歴簿'!$C$4&amp;"",MAX($AG$4:AG80)+1,""))</f>
        <v/>
      </c>
      <c r="AH81" s="20">
        <f>IF(A81="",0,IF(AND(OR('CSV抽出'!$C$4="",A81&gt;='CSV抽出'!$C$4),OR('CSV抽出'!$C$5="",A81&lt;='CSV抽出'!$C$5),OR('CSV抽出'!$C$6="すべて",'CSV抽出'!$C$6="",D81='CSV抽出'!$C$6),OR('CSV抽出'!$C$7="",B81&amp;""='CSV抽出'!$C$7&amp;"")),1,0))</f>
        <v/>
      </c>
      <c r="AI81" s="20">
        <f>IF(AH81=1,SUM($AH$5:AH81),"")</f>
        <v/>
      </c>
      <c r="AJ81" s="20">
        <f>IF(OR(S81="",'報告書'!$C$4=""),"",IF(S81&amp;""='報告書'!$C$4&amp;"",COUNTIF($S$5:S81,'報告書'!$C$4),""))</f>
        <v/>
      </c>
      <c r="AK81" s="20" t="n"/>
      <c r="AL81" s="47" t="n"/>
      <c r="AM81" s="47" t="n"/>
      <c r="AN81" s="53" t="n"/>
      <c r="AO81" s="47" t="n"/>
      <c r="AP81" s="47" t="n"/>
      <c r="AQ81" s="47" t="n"/>
      <c r="AR81" s="47" t="n"/>
      <c r="AS81" s="47" t="n"/>
      <c r="AT81" s="47" t="n"/>
      <c r="AU81" s="47" t="n"/>
      <c r="AV81" s="47" t="n"/>
      <c r="AW81" s="52" t="n"/>
    </row>
    <row r="82">
      <c r="A82" s="48" t="n"/>
      <c r="B82" s="52" t="n"/>
      <c r="C82" s="47">
        <f>IF(B82="","",IFERROR(INDEX('隊員マスタ'!$B$5:$B$204,MATCH(B82&amp;"",'隊員マスタ'!$F$5:$F$204,0)),IF(AK82="","番号なし",AK82)))</f>
        <v/>
      </c>
      <c r="D82" s="47" t="n"/>
      <c r="E82" s="47" t="n"/>
      <c r="F82" s="47" t="n"/>
      <c r="G82" s="47" t="n"/>
      <c r="H82" s="47" t="n"/>
      <c r="I82" s="47" t="n"/>
      <c r="J82" s="47" t="n"/>
      <c r="K82" s="47" t="n"/>
      <c r="L82" s="47" t="n"/>
      <c r="M82" s="47" t="n"/>
      <c r="N82" s="47" t="n"/>
      <c r="O82" s="47" t="n"/>
      <c r="P82" s="47" t="n"/>
      <c r="Q82" s="47" t="n"/>
      <c r="R82" s="47" t="n"/>
      <c r="S82" s="47" t="n"/>
      <c r="T82" s="47" t="n"/>
      <c r="U82" s="53" t="n"/>
      <c r="V82" s="53" t="n"/>
      <c r="W82" s="47" t="n"/>
      <c r="X82" s="47" t="n"/>
      <c r="Y82" s="47" t="n"/>
      <c r="Z82" s="47" t="n"/>
      <c r="AA82" s="47" t="n"/>
      <c r="AB82" s="47" t="n"/>
      <c r="AC82" s="47" t="n"/>
      <c r="AD82" s="47" t="n"/>
      <c r="AE82" s="47" t="n"/>
      <c r="AF82" s="20">
        <f>IF(A82="","",YEAR(EDATE(A82,-3)))</f>
        <v/>
      </c>
      <c r="AG82" s="20">
        <f>IF(OR(B82="",'経歴簿'!$C$4=""),"",IF(B82&amp;""='経歴簿'!$C$4&amp;"",MAX($AG$4:AG81)+1,""))</f>
        <v/>
      </c>
      <c r="AH82" s="20">
        <f>IF(A82="",0,IF(AND(OR('CSV抽出'!$C$4="",A82&gt;='CSV抽出'!$C$4),OR('CSV抽出'!$C$5="",A82&lt;='CSV抽出'!$C$5),OR('CSV抽出'!$C$6="すべて",'CSV抽出'!$C$6="",D82='CSV抽出'!$C$6),OR('CSV抽出'!$C$7="",B82&amp;""='CSV抽出'!$C$7&amp;"")),1,0))</f>
        <v/>
      </c>
      <c r="AI82" s="20">
        <f>IF(AH82=1,SUM($AH$5:AH82),"")</f>
        <v/>
      </c>
      <c r="AJ82" s="20">
        <f>IF(OR(S82="",'報告書'!$C$4=""),"",IF(S82&amp;""='報告書'!$C$4&amp;"",COUNTIF($S$5:S82,'報告書'!$C$4),""))</f>
        <v/>
      </c>
      <c r="AK82" s="20" t="n"/>
      <c r="AL82" s="47" t="n"/>
      <c r="AM82" s="47" t="n"/>
      <c r="AN82" s="53" t="n"/>
      <c r="AO82" s="47" t="n"/>
      <c r="AP82" s="47" t="n"/>
      <c r="AQ82" s="47" t="n"/>
      <c r="AR82" s="47" t="n"/>
      <c r="AS82" s="47" t="n"/>
      <c r="AT82" s="47" t="n"/>
      <c r="AU82" s="47" t="n"/>
      <c r="AV82" s="47" t="n"/>
      <c r="AW82" s="52" t="n"/>
    </row>
    <row r="83">
      <c r="A83" s="48" t="n"/>
      <c r="B83" s="52" t="n"/>
      <c r="C83" s="47">
        <f>IF(B83="","",IFERROR(INDEX('隊員マスタ'!$B$5:$B$204,MATCH(B83&amp;"",'隊員マスタ'!$F$5:$F$204,0)),IF(AK83="","番号なし",AK83)))</f>
        <v/>
      </c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7" t="n"/>
      <c r="O83" s="47" t="n"/>
      <c r="P83" s="47" t="n"/>
      <c r="Q83" s="47" t="n"/>
      <c r="R83" s="47" t="n"/>
      <c r="S83" s="47" t="n"/>
      <c r="T83" s="47" t="n"/>
      <c r="U83" s="53" t="n"/>
      <c r="V83" s="53" t="n"/>
      <c r="W83" s="47" t="n"/>
      <c r="X83" s="47" t="n"/>
      <c r="Y83" s="47" t="n"/>
      <c r="Z83" s="47" t="n"/>
      <c r="AA83" s="47" t="n"/>
      <c r="AB83" s="47" t="n"/>
      <c r="AC83" s="47" t="n"/>
      <c r="AD83" s="47" t="n"/>
      <c r="AE83" s="47" t="n"/>
      <c r="AF83" s="20">
        <f>IF(A83="","",YEAR(EDATE(A83,-3)))</f>
        <v/>
      </c>
      <c r="AG83" s="20">
        <f>IF(OR(B83="",'経歴簿'!$C$4=""),"",IF(B83&amp;""='経歴簿'!$C$4&amp;"",MAX($AG$4:AG82)+1,""))</f>
        <v/>
      </c>
      <c r="AH83" s="20">
        <f>IF(A83="",0,IF(AND(OR('CSV抽出'!$C$4="",A83&gt;='CSV抽出'!$C$4),OR('CSV抽出'!$C$5="",A83&lt;='CSV抽出'!$C$5),OR('CSV抽出'!$C$6="すべて",'CSV抽出'!$C$6="",D83='CSV抽出'!$C$6),OR('CSV抽出'!$C$7="",B83&amp;""='CSV抽出'!$C$7&amp;"")),1,0))</f>
        <v/>
      </c>
      <c r="AI83" s="20">
        <f>IF(AH83=1,SUM($AH$5:AH83),"")</f>
        <v/>
      </c>
      <c r="AJ83" s="20">
        <f>IF(OR(S83="",'報告書'!$C$4=""),"",IF(S83&amp;""='報告書'!$C$4&amp;"",COUNTIF($S$5:S83,'報告書'!$C$4),""))</f>
        <v/>
      </c>
      <c r="AK83" s="20" t="n"/>
      <c r="AL83" s="47" t="n"/>
      <c r="AM83" s="47" t="n"/>
      <c r="AN83" s="53" t="n"/>
      <c r="AO83" s="47" t="n"/>
      <c r="AP83" s="47" t="n"/>
      <c r="AQ83" s="47" t="n"/>
      <c r="AR83" s="47" t="n"/>
      <c r="AS83" s="47" t="n"/>
      <c r="AT83" s="47" t="n"/>
      <c r="AU83" s="47" t="n"/>
      <c r="AV83" s="47" t="n"/>
      <c r="AW83" s="52" t="n"/>
    </row>
    <row r="84">
      <c r="A84" s="48" t="n"/>
      <c r="B84" s="52" t="n"/>
      <c r="C84" s="47">
        <f>IF(B84="","",IFERROR(INDEX('隊員マスタ'!$B$5:$B$204,MATCH(B84&amp;"",'隊員マスタ'!$F$5:$F$204,0)),IF(AK84="","番号なし",AK84)))</f>
        <v/>
      </c>
      <c r="D84" s="47" t="n"/>
      <c r="E84" s="47" t="n"/>
      <c r="F84" s="47" t="n"/>
      <c r="G84" s="47" t="n"/>
      <c r="H84" s="47" t="n"/>
      <c r="I84" s="47" t="n"/>
      <c r="J84" s="47" t="n"/>
      <c r="K84" s="47" t="n"/>
      <c r="L84" s="47" t="n"/>
      <c r="M84" s="47" t="n"/>
      <c r="N84" s="47" t="n"/>
      <c r="O84" s="47" t="n"/>
      <c r="P84" s="47" t="n"/>
      <c r="Q84" s="47" t="n"/>
      <c r="R84" s="47" t="n"/>
      <c r="S84" s="47" t="n"/>
      <c r="T84" s="47" t="n"/>
      <c r="U84" s="53" t="n"/>
      <c r="V84" s="53" t="n"/>
      <c r="W84" s="47" t="n"/>
      <c r="X84" s="47" t="n"/>
      <c r="Y84" s="47" t="n"/>
      <c r="Z84" s="47" t="n"/>
      <c r="AA84" s="47" t="n"/>
      <c r="AB84" s="47" t="n"/>
      <c r="AC84" s="47" t="n"/>
      <c r="AD84" s="47" t="n"/>
      <c r="AE84" s="47" t="n"/>
      <c r="AF84" s="20">
        <f>IF(A84="","",YEAR(EDATE(A84,-3)))</f>
        <v/>
      </c>
      <c r="AG84" s="20">
        <f>IF(OR(B84="",'経歴簿'!$C$4=""),"",IF(B84&amp;""='経歴簿'!$C$4&amp;"",MAX($AG$4:AG83)+1,""))</f>
        <v/>
      </c>
      <c r="AH84" s="20">
        <f>IF(A84="",0,IF(AND(OR('CSV抽出'!$C$4="",A84&gt;='CSV抽出'!$C$4),OR('CSV抽出'!$C$5="",A84&lt;='CSV抽出'!$C$5),OR('CSV抽出'!$C$6="すべて",'CSV抽出'!$C$6="",D84='CSV抽出'!$C$6),OR('CSV抽出'!$C$7="",B84&amp;""='CSV抽出'!$C$7&amp;"")),1,0))</f>
        <v/>
      </c>
      <c r="AI84" s="20">
        <f>IF(AH84=1,SUM($AH$5:AH84),"")</f>
        <v/>
      </c>
      <c r="AJ84" s="20">
        <f>IF(OR(S84="",'報告書'!$C$4=""),"",IF(S84&amp;""='報告書'!$C$4&amp;"",COUNTIF($S$5:S84,'報告書'!$C$4),""))</f>
        <v/>
      </c>
      <c r="AK84" s="20" t="n"/>
      <c r="AL84" s="47" t="n"/>
      <c r="AM84" s="47" t="n"/>
      <c r="AN84" s="53" t="n"/>
      <c r="AO84" s="47" t="n"/>
      <c r="AP84" s="47" t="n"/>
      <c r="AQ84" s="47" t="n"/>
      <c r="AR84" s="47" t="n"/>
      <c r="AS84" s="47" t="n"/>
      <c r="AT84" s="47" t="n"/>
      <c r="AU84" s="47" t="n"/>
      <c r="AV84" s="47" t="n"/>
      <c r="AW84" s="52" t="n"/>
    </row>
    <row r="85">
      <c r="A85" s="48" t="n"/>
      <c r="B85" s="52" t="n"/>
      <c r="C85" s="47">
        <f>IF(B85="","",IFERROR(INDEX('隊員マスタ'!$B$5:$B$204,MATCH(B85&amp;"",'隊員マスタ'!$F$5:$F$204,0)),IF(AK85="","番号なし",AK85)))</f>
        <v/>
      </c>
      <c r="D85" s="47" t="n"/>
      <c r="E85" s="47" t="n"/>
      <c r="F85" s="47" t="n"/>
      <c r="G85" s="47" t="n"/>
      <c r="H85" s="47" t="n"/>
      <c r="I85" s="47" t="n"/>
      <c r="J85" s="47" t="n"/>
      <c r="K85" s="47" t="n"/>
      <c r="L85" s="47" t="n"/>
      <c r="M85" s="47" t="n"/>
      <c r="N85" s="47" t="n"/>
      <c r="O85" s="47" t="n"/>
      <c r="P85" s="47" t="n"/>
      <c r="Q85" s="47" t="n"/>
      <c r="R85" s="47" t="n"/>
      <c r="S85" s="47" t="n"/>
      <c r="T85" s="47" t="n"/>
      <c r="U85" s="53" t="n"/>
      <c r="V85" s="53" t="n"/>
      <c r="W85" s="47" t="n"/>
      <c r="X85" s="47" t="n"/>
      <c r="Y85" s="47" t="n"/>
      <c r="Z85" s="47" t="n"/>
      <c r="AA85" s="47" t="n"/>
      <c r="AB85" s="47" t="n"/>
      <c r="AC85" s="47" t="n"/>
      <c r="AD85" s="47" t="n"/>
      <c r="AE85" s="47" t="n"/>
      <c r="AF85" s="20">
        <f>IF(A85="","",YEAR(EDATE(A85,-3)))</f>
        <v/>
      </c>
      <c r="AG85" s="20">
        <f>IF(OR(B85="",'経歴簿'!$C$4=""),"",IF(B85&amp;""='経歴簿'!$C$4&amp;"",MAX($AG$4:AG84)+1,""))</f>
        <v/>
      </c>
      <c r="AH85" s="20">
        <f>IF(A85="",0,IF(AND(OR('CSV抽出'!$C$4="",A85&gt;='CSV抽出'!$C$4),OR('CSV抽出'!$C$5="",A85&lt;='CSV抽出'!$C$5),OR('CSV抽出'!$C$6="すべて",'CSV抽出'!$C$6="",D85='CSV抽出'!$C$6),OR('CSV抽出'!$C$7="",B85&amp;""='CSV抽出'!$C$7&amp;"")),1,0))</f>
        <v/>
      </c>
      <c r="AI85" s="20">
        <f>IF(AH85=1,SUM($AH$5:AH85),"")</f>
        <v/>
      </c>
      <c r="AJ85" s="20">
        <f>IF(OR(S85="",'報告書'!$C$4=""),"",IF(S85&amp;""='報告書'!$C$4&amp;"",COUNTIF($S$5:S85,'報告書'!$C$4),""))</f>
        <v/>
      </c>
      <c r="AK85" s="20" t="n"/>
      <c r="AL85" s="47" t="n"/>
      <c r="AM85" s="47" t="n"/>
      <c r="AN85" s="53" t="n"/>
      <c r="AO85" s="47" t="n"/>
      <c r="AP85" s="47" t="n"/>
      <c r="AQ85" s="47" t="n"/>
      <c r="AR85" s="47" t="n"/>
      <c r="AS85" s="47" t="n"/>
      <c r="AT85" s="47" t="n"/>
      <c r="AU85" s="47" t="n"/>
      <c r="AV85" s="47" t="n"/>
      <c r="AW85" s="52" t="n"/>
    </row>
    <row r="86">
      <c r="A86" s="48" t="n"/>
      <c r="B86" s="52" t="n"/>
      <c r="C86" s="47">
        <f>IF(B86="","",IFERROR(INDEX('隊員マスタ'!$B$5:$B$204,MATCH(B86&amp;"",'隊員マスタ'!$F$5:$F$204,0)),IF(AK86="","番号なし",AK86)))</f>
        <v/>
      </c>
      <c r="D86" s="47" t="n"/>
      <c r="E86" s="47" t="n"/>
      <c r="F86" s="47" t="n"/>
      <c r="G86" s="47" t="n"/>
      <c r="H86" s="47" t="n"/>
      <c r="I86" s="47" t="n"/>
      <c r="J86" s="47" t="n"/>
      <c r="K86" s="47" t="n"/>
      <c r="L86" s="47" t="n"/>
      <c r="M86" s="47" t="n"/>
      <c r="N86" s="47" t="n"/>
      <c r="O86" s="47" t="n"/>
      <c r="P86" s="47" t="n"/>
      <c r="Q86" s="47" t="n"/>
      <c r="R86" s="47" t="n"/>
      <c r="S86" s="47" t="n"/>
      <c r="T86" s="47" t="n"/>
      <c r="U86" s="53" t="n"/>
      <c r="V86" s="53" t="n"/>
      <c r="W86" s="47" t="n"/>
      <c r="X86" s="47" t="n"/>
      <c r="Y86" s="47" t="n"/>
      <c r="Z86" s="47" t="n"/>
      <c r="AA86" s="47" t="n"/>
      <c r="AB86" s="47" t="n"/>
      <c r="AC86" s="47" t="n"/>
      <c r="AD86" s="47" t="n"/>
      <c r="AE86" s="47" t="n"/>
      <c r="AF86" s="20">
        <f>IF(A86="","",YEAR(EDATE(A86,-3)))</f>
        <v/>
      </c>
      <c r="AG86" s="20">
        <f>IF(OR(B86="",'経歴簿'!$C$4=""),"",IF(B86&amp;""='経歴簿'!$C$4&amp;"",MAX($AG$4:AG85)+1,""))</f>
        <v/>
      </c>
      <c r="AH86" s="20">
        <f>IF(A86="",0,IF(AND(OR('CSV抽出'!$C$4="",A86&gt;='CSV抽出'!$C$4),OR('CSV抽出'!$C$5="",A86&lt;='CSV抽出'!$C$5),OR('CSV抽出'!$C$6="すべて",'CSV抽出'!$C$6="",D86='CSV抽出'!$C$6),OR('CSV抽出'!$C$7="",B86&amp;""='CSV抽出'!$C$7&amp;"")),1,0))</f>
        <v/>
      </c>
      <c r="AI86" s="20">
        <f>IF(AH86=1,SUM($AH$5:AH86),"")</f>
        <v/>
      </c>
      <c r="AJ86" s="20">
        <f>IF(OR(S86="",'報告書'!$C$4=""),"",IF(S86&amp;""='報告書'!$C$4&amp;"",COUNTIF($S$5:S86,'報告書'!$C$4),""))</f>
        <v/>
      </c>
      <c r="AK86" s="20" t="n"/>
      <c r="AL86" s="47" t="n"/>
      <c r="AM86" s="47" t="n"/>
      <c r="AN86" s="53" t="n"/>
      <c r="AO86" s="47" t="n"/>
      <c r="AP86" s="47" t="n"/>
      <c r="AQ86" s="47" t="n"/>
      <c r="AR86" s="47" t="n"/>
      <c r="AS86" s="47" t="n"/>
      <c r="AT86" s="47" t="n"/>
      <c r="AU86" s="47" t="n"/>
      <c r="AV86" s="47" t="n"/>
      <c r="AW86" s="52" t="n"/>
    </row>
    <row r="87">
      <c r="A87" s="48" t="n"/>
      <c r="B87" s="52" t="n"/>
      <c r="C87" s="47">
        <f>IF(B87="","",IFERROR(INDEX('隊員マスタ'!$B$5:$B$204,MATCH(B87&amp;"",'隊員マスタ'!$F$5:$F$204,0)),IF(AK87="","番号なし",AK87)))</f>
        <v/>
      </c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47" t="n"/>
      <c r="Q87" s="47" t="n"/>
      <c r="R87" s="47" t="n"/>
      <c r="S87" s="47" t="n"/>
      <c r="T87" s="47" t="n"/>
      <c r="U87" s="53" t="n"/>
      <c r="V87" s="53" t="n"/>
      <c r="W87" s="47" t="n"/>
      <c r="X87" s="47" t="n"/>
      <c r="Y87" s="47" t="n"/>
      <c r="Z87" s="47" t="n"/>
      <c r="AA87" s="47" t="n"/>
      <c r="AB87" s="47" t="n"/>
      <c r="AC87" s="47" t="n"/>
      <c r="AD87" s="47" t="n"/>
      <c r="AE87" s="47" t="n"/>
      <c r="AF87" s="20">
        <f>IF(A87="","",YEAR(EDATE(A87,-3)))</f>
        <v/>
      </c>
      <c r="AG87" s="20">
        <f>IF(OR(B87="",'経歴簿'!$C$4=""),"",IF(B87&amp;""='経歴簿'!$C$4&amp;"",MAX($AG$4:AG86)+1,""))</f>
        <v/>
      </c>
      <c r="AH87" s="20">
        <f>IF(A87="",0,IF(AND(OR('CSV抽出'!$C$4="",A87&gt;='CSV抽出'!$C$4),OR('CSV抽出'!$C$5="",A87&lt;='CSV抽出'!$C$5),OR('CSV抽出'!$C$6="すべて",'CSV抽出'!$C$6="",D87='CSV抽出'!$C$6),OR('CSV抽出'!$C$7="",B87&amp;""='CSV抽出'!$C$7&amp;"")),1,0))</f>
        <v/>
      </c>
      <c r="AI87" s="20">
        <f>IF(AH87=1,SUM($AH$5:AH87),"")</f>
        <v/>
      </c>
      <c r="AJ87" s="20">
        <f>IF(OR(S87="",'報告書'!$C$4=""),"",IF(S87&amp;""='報告書'!$C$4&amp;"",COUNTIF($S$5:S87,'報告書'!$C$4),""))</f>
        <v/>
      </c>
      <c r="AK87" s="20" t="n"/>
      <c r="AL87" s="47" t="n"/>
      <c r="AM87" s="47" t="n"/>
      <c r="AN87" s="53" t="n"/>
      <c r="AO87" s="47" t="n"/>
      <c r="AP87" s="47" t="n"/>
      <c r="AQ87" s="47" t="n"/>
      <c r="AR87" s="47" t="n"/>
      <c r="AS87" s="47" t="n"/>
      <c r="AT87" s="47" t="n"/>
      <c r="AU87" s="47" t="n"/>
      <c r="AV87" s="47" t="n"/>
      <c r="AW87" s="52" t="n"/>
    </row>
    <row r="88">
      <c r="A88" s="48" t="n"/>
      <c r="B88" s="52" t="n"/>
      <c r="C88" s="47">
        <f>IF(B88="","",IFERROR(INDEX('隊員マスタ'!$B$5:$B$204,MATCH(B88&amp;"",'隊員マスタ'!$F$5:$F$204,0)),IF(AK88="","番号なし",AK88)))</f>
        <v/>
      </c>
      <c r="D88" s="47" t="n"/>
      <c r="E88" s="47" t="n"/>
      <c r="F88" s="47" t="n"/>
      <c r="G88" s="47" t="n"/>
      <c r="H88" s="47" t="n"/>
      <c r="I88" s="47" t="n"/>
      <c r="J88" s="47" t="n"/>
      <c r="K88" s="47" t="n"/>
      <c r="L88" s="47" t="n"/>
      <c r="M88" s="47" t="n"/>
      <c r="N88" s="47" t="n"/>
      <c r="O88" s="47" t="n"/>
      <c r="P88" s="47" t="n"/>
      <c r="Q88" s="47" t="n"/>
      <c r="R88" s="47" t="n"/>
      <c r="S88" s="47" t="n"/>
      <c r="T88" s="47" t="n"/>
      <c r="U88" s="53" t="n"/>
      <c r="V88" s="53" t="n"/>
      <c r="W88" s="47" t="n"/>
      <c r="X88" s="47" t="n"/>
      <c r="Y88" s="47" t="n"/>
      <c r="Z88" s="47" t="n"/>
      <c r="AA88" s="47" t="n"/>
      <c r="AB88" s="47" t="n"/>
      <c r="AC88" s="47" t="n"/>
      <c r="AD88" s="47" t="n"/>
      <c r="AE88" s="47" t="n"/>
      <c r="AF88" s="20">
        <f>IF(A88="","",YEAR(EDATE(A88,-3)))</f>
        <v/>
      </c>
      <c r="AG88" s="20">
        <f>IF(OR(B88="",'経歴簿'!$C$4=""),"",IF(B88&amp;""='経歴簿'!$C$4&amp;"",MAX($AG$4:AG87)+1,""))</f>
        <v/>
      </c>
      <c r="AH88" s="20">
        <f>IF(A88="",0,IF(AND(OR('CSV抽出'!$C$4="",A88&gt;='CSV抽出'!$C$4),OR('CSV抽出'!$C$5="",A88&lt;='CSV抽出'!$C$5),OR('CSV抽出'!$C$6="すべて",'CSV抽出'!$C$6="",D88='CSV抽出'!$C$6),OR('CSV抽出'!$C$7="",B88&amp;""='CSV抽出'!$C$7&amp;"")),1,0))</f>
        <v/>
      </c>
      <c r="AI88" s="20">
        <f>IF(AH88=1,SUM($AH$5:AH88),"")</f>
        <v/>
      </c>
      <c r="AJ88" s="20">
        <f>IF(OR(S88="",'報告書'!$C$4=""),"",IF(S88&amp;""='報告書'!$C$4&amp;"",COUNTIF($S$5:S88,'報告書'!$C$4),""))</f>
        <v/>
      </c>
      <c r="AK88" s="20" t="n"/>
      <c r="AL88" s="47" t="n"/>
      <c r="AM88" s="47" t="n"/>
      <c r="AN88" s="53" t="n"/>
      <c r="AO88" s="47" t="n"/>
      <c r="AP88" s="47" t="n"/>
      <c r="AQ88" s="47" t="n"/>
      <c r="AR88" s="47" t="n"/>
      <c r="AS88" s="47" t="n"/>
      <c r="AT88" s="47" t="n"/>
      <c r="AU88" s="47" t="n"/>
      <c r="AV88" s="47" t="n"/>
      <c r="AW88" s="52" t="n"/>
    </row>
    <row r="89">
      <c r="A89" s="48" t="n"/>
      <c r="B89" s="52" t="n"/>
      <c r="C89" s="47">
        <f>IF(B89="","",IFERROR(INDEX('隊員マスタ'!$B$5:$B$204,MATCH(B89&amp;"",'隊員マスタ'!$F$5:$F$204,0)),IF(AK89="","番号なし",AK89)))</f>
        <v/>
      </c>
      <c r="D89" s="47" t="n"/>
      <c r="E89" s="47" t="n"/>
      <c r="F89" s="47" t="n"/>
      <c r="G89" s="47" t="n"/>
      <c r="H89" s="47" t="n"/>
      <c r="I89" s="47" t="n"/>
      <c r="J89" s="47" t="n"/>
      <c r="K89" s="47" t="n"/>
      <c r="L89" s="47" t="n"/>
      <c r="M89" s="47" t="n"/>
      <c r="N89" s="47" t="n"/>
      <c r="O89" s="47" t="n"/>
      <c r="P89" s="47" t="n"/>
      <c r="Q89" s="47" t="n"/>
      <c r="R89" s="47" t="n"/>
      <c r="S89" s="47" t="n"/>
      <c r="T89" s="47" t="n"/>
      <c r="U89" s="53" t="n"/>
      <c r="V89" s="53" t="n"/>
      <c r="W89" s="47" t="n"/>
      <c r="X89" s="47" t="n"/>
      <c r="Y89" s="47" t="n"/>
      <c r="Z89" s="47" t="n"/>
      <c r="AA89" s="47" t="n"/>
      <c r="AB89" s="47" t="n"/>
      <c r="AC89" s="47" t="n"/>
      <c r="AD89" s="47" t="n"/>
      <c r="AE89" s="47" t="n"/>
      <c r="AF89" s="20">
        <f>IF(A89="","",YEAR(EDATE(A89,-3)))</f>
        <v/>
      </c>
      <c r="AG89" s="20">
        <f>IF(OR(B89="",'経歴簿'!$C$4=""),"",IF(B89&amp;""='経歴簿'!$C$4&amp;"",MAX($AG$4:AG88)+1,""))</f>
        <v/>
      </c>
      <c r="AH89" s="20">
        <f>IF(A89="",0,IF(AND(OR('CSV抽出'!$C$4="",A89&gt;='CSV抽出'!$C$4),OR('CSV抽出'!$C$5="",A89&lt;='CSV抽出'!$C$5),OR('CSV抽出'!$C$6="すべて",'CSV抽出'!$C$6="",D89='CSV抽出'!$C$6),OR('CSV抽出'!$C$7="",B89&amp;""='CSV抽出'!$C$7&amp;"")),1,0))</f>
        <v/>
      </c>
      <c r="AI89" s="20">
        <f>IF(AH89=1,SUM($AH$5:AH89),"")</f>
        <v/>
      </c>
      <c r="AJ89" s="20">
        <f>IF(OR(S89="",'報告書'!$C$4=""),"",IF(S89&amp;""='報告書'!$C$4&amp;"",COUNTIF($S$5:S89,'報告書'!$C$4),""))</f>
        <v/>
      </c>
      <c r="AK89" s="20" t="n"/>
      <c r="AL89" s="47" t="n"/>
      <c r="AM89" s="47" t="n"/>
      <c r="AN89" s="53" t="n"/>
      <c r="AO89" s="47" t="n"/>
      <c r="AP89" s="47" t="n"/>
      <c r="AQ89" s="47" t="n"/>
      <c r="AR89" s="47" t="n"/>
      <c r="AS89" s="47" t="n"/>
      <c r="AT89" s="47" t="n"/>
      <c r="AU89" s="47" t="n"/>
      <c r="AV89" s="47" t="n"/>
      <c r="AW89" s="52" t="n"/>
    </row>
    <row r="90">
      <c r="A90" s="48" t="n"/>
      <c r="B90" s="52" t="n"/>
      <c r="C90" s="47">
        <f>IF(B90="","",IFERROR(INDEX('隊員マスタ'!$B$5:$B$204,MATCH(B90&amp;"",'隊員マスタ'!$F$5:$F$204,0)),IF(AK90="","番号なし",AK90)))</f>
        <v/>
      </c>
      <c r="D90" s="47" t="n"/>
      <c r="E90" s="47" t="n"/>
      <c r="F90" s="47" t="n"/>
      <c r="G90" s="47" t="n"/>
      <c r="H90" s="47" t="n"/>
      <c r="I90" s="47" t="n"/>
      <c r="J90" s="47" t="n"/>
      <c r="K90" s="47" t="n"/>
      <c r="L90" s="47" t="n"/>
      <c r="M90" s="47" t="n"/>
      <c r="N90" s="47" t="n"/>
      <c r="O90" s="47" t="n"/>
      <c r="P90" s="47" t="n"/>
      <c r="Q90" s="47" t="n"/>
      <c r="R90" s="47" t="n"/>
      <c r="S90" s="47" t="n"/>
      <c r="T90" s="47" t="n"/>
      <c r="U90" s="53" t="n"/>
      <c r="V90" s="53" t="n"/>
      <c r="W90" s="47" t="n"/>
      <c r="X90" s="47" t="n"/>
      <c r="Y90" s="47" t="n"/>
      <c r="Z90" s="47" t="n"/>
      <c r="AA90" s="47" t="n"/>
      <c r="AB90" s="47" t="n"/>
      <c r="AC90" s="47" t="n"/>
      <c r="AD90" s="47" t="n"/>
      <c r="AE90" s="47" t="n"/>
      <c r="AF90" s="20">
        <f>IF(A90="","",YEAR(EDATE(A90,-3)))</f>
        <v/>
      </c>
      <c r="AG90" s="20">
        <f>IF(OR(B90="",'経歴簿'!$C$4=""),"",IF(B90&amp;""='経歴簿'!$C$4&amp;"",MAX($AG$4:AG89)+1,""))</f>
        <v/>
      </c>
      <c r="AH90" s="20">
        <f>IF(A90="",0,IF(AND(OR('CSV抽出'!$C$4="",A90&gt;='CSV抽出'!$C$4),OR('CSV抽出'!$C$5="",A90&lt;='CSV抽出'!$C$5),OR('CSV抽出'!$C$6="すべて",'CSV抽出'!$C$6="",D90='CSV抽出'!$C$6),OR('CSV抽出'!$C$7="",B90&amp;""='CSV抽出'!$C$7&amp;"")),1,0))</f>
        <v/>
      </c>
      <c r="AI90" s="20">
        <f>IF(AH90=1,SUM($AH$5:AH90),"")</f>
        <v/>
      </c>
      <c r="AJ90" s="20">
        <f>IF(OR(S90="",'報告書'!$C$4=""),"",IF(S90&amp;""='報告書'!$C$4&amp;"",COUNTIF($S$5:S90,'報告書'!$C$4),""))</f>
        <v/>
      </c>
      <c r="AK90" s="20" t="n"/>
      <c r="AL90" s="47" t="n"/>
      <c r="AM90" s="47" t="n"/>
      <c r="AN90" s="53" t="n"/>
      <c r="AO90" s="47" t="n"/>
      <c r="AP90" s="47" t="n"/>
      <c r="AQ90" s="47" t="n"/>
      <c r="AR90" s="47" t="n"/>
      <c r="AS90" s="47" t="n"/>
      <c r="AT90" s="47" t="n"/>
      <c r="AU90" s="47" t="n"/>
      <c r="AV90" s="47" t="n"/>
      <c r="AW90" s="52" t="n"/>
    </row>
    <row r="91">
      <c r="A91" s="48" t="n"/>
      <c r="B91" s="52" t="n"/>
      <c r="C91" s="47">
        <f>IF(B91="","",IFERROR(INDEX('隊員マスタ'!$B$5:$B$204,MATCH(B91&amp;"",'隊員マスタ'!$F$5:$F$204,0)),IF(AK91="","番号なし",AK91)))</f>
        <v/>
      </c>
      <c r="D91" s="47" t="n"/>
      <c r="E91" s="47" t="n"/>
      <c r="F91" s="47" t="n"/>
      <c r="G91" s="47" t="n"/>
      <c r="H91" s="47" t="n"/>
      <c r="I91" s="47" t="n"/>
      <c r="J91" s="47" t="n"/>
      <c r="K91" s="47" t="n"/>
      <c r="L91" s="47" t="n"/>
      <c r="M91" s="47" t="n"/>
      <c r="N91" s="47" t="n"/>
      <c r="O91" s="47" t="n"/>
      <c r="P91" s="47" t="n"/>
      <c r="Q91" s="47" t="n"/>
      <c r="R91" s="47" t="n"/>
      <c r="S91" s="47" t="n"/>
      <c r="T91" s="47" t="n"/>
      <c r="U91" s="53" t="n"/>
      <c r="V91" s="53" t="n"/>
      <c r="W91" s="47" t="n"/>
      <c r="X91" s="47" t="n"/>
      <c r="Y91" s="47" t="n"/>
      <c r="Z91" s="47" t="n"/>
      <c r="AA91" s="47" t="n"/>
      <c r="AB91" s="47" t="n"/>
      <c r="AC91" s="47" t="n"/>
      <c r="AD91" s="47" t="n"/>
      <c r="AE91" s="47" t="n"/>
      <c r="AF91" s="20">
        <f>IF(A91="","",YEAR(EDATE(A91,-3)))</f>
        <v/>
      </c>
      <c r="AG91" s="20">
        <f>IF(OR(B91="",'経歴簿'!$C$4=""),"",IF(B91&amp;""='経歴簿'!$C$4&amp;"",MAX($AG$4:AG90)+1,""))</f>
        <v/>
      </c>
      <c r="AH91" s="20">
        <f>IF(A91="",0,IF(AND(OR('CSV抽出'!$C$4="",A91&gt;='CSV抽出'!$C$4),OR('CSV抽出'!$C$5="",A91&lt;='CSV抽出'!$C$5),OR('CSV抽出'!$C$6="すべて",'CSV抽出'!$C$6="",D91='CSV抽出'!$C$6),OR('CSV抽出'!$C$7="",B91&amp;""='CSV抽出'!$C$7&amp;"")),1,0))</f>
        <v/>
      </c>
      <c r="AI91" s="20">
        <f>IF(AH91=1,SUM($AH$5:AH91),"")</f>
        <v/>
      </c>
      <c r="AJ91" s="20">
        <f>IF(OR(S91="",'報告書'!$C$4=""),"",IF(S91&amp;""='報告書'!$C$4&amp;"",COUNTIF($S$5:S91,'報告書'!$C$4),""))</f>
        <v/>
      </c>
      <c r="AK91" s="20" t="n"/>
      <c r="AL91" s="47" t="n"/>
      <c r="AM91" s="47" t="n"/>
      <c r="AN91" s="53" t="n"/>
      <c r="AO91" s="47" t="n"/>
      <c r="AP91" s="47" t="n"/>
      <c r="AQ91" s="47" t="n"/>
      <c r="AR91" s="47" t="n"/>
      <c r="AS91" s="47" t="n"/>
      <c r="AT91" s="47" t="n"/>
      <c r="AU91" s="47" t="n"/>
      <c r="AV91" s="47" t="n"/>
      <c r="AW91" s="52" t="n"/>
    </row>
    <row r="92">
      <c r="A92" s="48" t="n"/>
      <c r="B92" s="52" t="n"/>
      <c r="C92" s="47">
        <f>IF(B92="","",IFERROR(INDEX('隊員マスタ'!$B$5:$B$204,MATCH(B92&amp;"",'隊員マスタ'!$F$5:$F$204,0)),IF(AK92="","番号なし",AK92)))</f>
        <v/>
      </c>
      <c r="D92" s="47" t="n"/>
      <c r="E92" s="47" t="n"/>
      <c r="F92" s="47" t="n"/>
      <c r="G92" s="47" t="n"/>
      <c r="H92" s="47" t="n"/>
      <c r="I92" s="47" t="n"/>
      <c r="J92" s="47" t="n"/>
      <c r="K92" s="47" t="n"/>
      <c r="L92" s="47" t="n"/>
      <c r="M92" s="47" t="n"/>
      <c r="N92" s="47" t="n"/>
      <c r="O92" s="47" t="n"/>
      <c r="P92" s="47" t="n"/>
      <c r="Q92" s="47" t="n"/>
      <c r="R92" s="47" t="n"/>
      <c r="S92" s="47" t="n"/>
      <c r="T92" s="47" t="n"/>
      <c r="U92" s="53" t="n"/>
      <c r="V92" s="53" t="n"/>
      <c r="W92" s="47" t="n"/>
      <c r="X92" s="47" t="n"/>
      <c r="Y92" s="47" t="n"/>
      <c r="Z92" s="47" t="n"/>
      <c r="AA92" s="47" t="n"/>
      <c r="AB92" s="47" t="n"/>
      <c r="AC92" s="47" t="n"/>
      <c r="AD92" s="47" t="n"/>
      <c r="AE92" s="47" t="n"/>
      <c r="AF92" s="20">
        <f>IF(A92="","",YEAR(EDATE(A92,-3)))</f>
        <v/>
      </c>
      <c r="AG92" s="20">
        <f>IF(OR(B92="",'経歴簿'!$C$4=""),"",IF(B92&amp;""='経歴簿'!$C$4&amp;"",MAX($AG$4:AG91)+1,""))</f>
        <v/>
      </c>
      <c r="AH92" s="20">
        <f>IF(A92="",0,IF(AND(OR('CSV抽出'!$C$4="",A92&gt;='CSV抽出'!$C$4),OR('CSV抽出'!$C$5="",A92&lt;='CSV抽出'!$C$5),OR('CSV抽出'!$C$6="すべて",'CSV抽出'!$C$6="",D92='CSV抽出'!$C$6),OR('CSV抽出'!$C$7="",B92&amp;""='CSV抽出'!$C$7&amp;"")),1,0))</f>
        <v/>
      </c>
      <c r="AI92" s="20">
        <f>IF(AH92=1,SUM($AH$5:AH92),"")</f>
        <v/>
      </c>
      <c r="AJ92" s="20">
        <f>IF(OR(S92="",'報告書'!$C$4=""),"",IF(S92&amp;""='報告書'!$C$4&amp;"",COUNTIF($S$5:S92,'報告書'!$C$4),""))</f>
        <v/>
      </c>
      <c r="AK92" s="20" t="n"/>
      <c r="AL92" s="47" t="n"/>
      <c r="AM92" s="47" t="n"/>
      <c r="AN92" s="53" t="n"/>
      <c r="AO92" s="47" t="n"/>
      <c r="AP92" s="47" t="n"/>
      <c r="AQ92" s="47" t="n"/>
      <c r="AR92" s="47" t="n"/>
      <c r="AS92" s="47" t="n"/>
      <c r="AT92" s="47" t="n"/>
      <c r="AU92" s="47" t="n"/>
      <c r="AV92" s="47" t="n"/>
      <c r="AW92" s="52" t="n"/>
    </row>
    <row r="93">
      <c r="A93" s="48" t="n"/>
      <c r="B93" s="52" t="n"/>
      <c r="C93" s="47">
        <f>IF(B93="","",IFERROR(INDEX('隊員マスタ'!$B$5:$B$204,MATCH(B93&amp;"",'隊員マスタ'!$F$5:$F$204,0)),IF(AK93="","番号なし",AK93)))</f>
        <v/>
      </c>
      <c r="D93" s="47" t="n"/>
      <c r="E93" s="47" t="n"/>
      <c r="F93" s="47" t="n"/>
      <c r="G93" s="47" t="n"/>
      <c r="H93" s="47" t="n"/>
      <c r="I93" s="47" t="n"/>
      <c r="J93" s="47" t="n"/>
      <c r="K93" s="47" t="n"/>
      <c r="L93" s="47" t="n"/>
      <c r="M93" s="47" t="n"/>
      <c r="N93" s="47" t="n"/>
      <c r="O93" s="47" t="n"/>
      <c r="P93" s="47" t="n"/>
      <c r="Q93" s="47" t="n"/>
      <c r="R93" s="47" t="n"/>
      <c r="S93" s="47" t="n"/>
      <c r="T93" s="47" t="n"/>
      <c r="U93" s="53" t="n"/>
      <c r="V93" s="53" t="n"/>
      <c r="W93" s="47" t="n"/>
      <c r="X93" s="47" t="n"/>
      <c r="Y93" s="47" t="n"/>
      <c r="Z93" s="47" t="n"/>
      <c r="AA93" s="47" t="n"/>
      <c r="AB93" s="47" t="n"/>
      <c r="AC93" s="47" t="n"/>
      <c r="AD93" s="47" t="n"/>
      <c r="AE93" s="47" t="n"/>
      <c r="AF93" s="20">
        <f>IF(A93="","",YEAR(EDATE(A93,-3)))</f>
        <v/>
      </c>
      <c r="AG93" s="20">
        <f>IF(OR(B93="",'経歴簿'!$C$4=""),"",IF(B93&amp;""='経歴簿'!$C$4&amp;"",MAX($AG$4:AG92)+1,""))</f>
        <v/>
      </c>
      <c r="AH93" s="20">
        <f>IF(A93="",0,IF(AND(OR('CSV抽出'!$C$4="",A93&gt;='CSV抽出'!$C$4),OR('CSV抽出'!$C$5="",A93&lt;='CSV抽出'!$C$5),OR('CSV抽出'!$C$6="すべて",'CSV抽出'!$C$6="",D93='CSV抽出'!$C$6),OR('CSV抽出'!$C$7="",B93&amp;""='CSV抽出'!$C$7&amp;"")),1,0))</f>
        <v/>
      </c>
      <c r="AI93" s="20">
        <f>IF(AH93=1,SUM($AH$5:AH93),"")</f>
        <v/>
      </c>
      <c r="AJ93" s="20">
        <f>IF(OR(S93="",'報告書'!$C$4=""),"",IF(S93&amp;""='報告書'!$C$4&amp;"",COUNTIF($S$5:S93,'報告書'!$C$4),""))</f>
        <v/>
      </c>
      <c r="AK93" s="20" t="n"/>
      <c r="AL93" s="47" t="n"/>
      <c r="AM93" s="47" t="n"/>
      <c r="AN93" s="53" t="n"/>
      <c r="AO93" s="47" t="n"/>
      <c r="AP93" s="47" t="n"/>
      <c r="AQ93" s="47" t="n"/>
      <c r="AR93" s="47" t="n"/>
      <c r="AS93" s="47" t="n"/>
      <c r="AT93" s="47" t="n"/>
      <c r="AU93" s="47" t="n"/>
      <c r="AV93" s="47" t="n"/>
      <c r="AW93" s="52" t="n"/>
    </row>
    <row r="94">
      <c r="A94" s="48" t="n"/>
      <c r="B94" s="52" t="n"/>
      <c r="C94" s="47">
        <f>IF(B94="","",IFERROR(INDEX('隊員マスタ'!$B$5:$B$204,MATCH(B94&amp;"",'隊員マスタ'!$F$5:$F$204,0)),IF(AK94="","番号なし",AK94)))</f>
        <v/>
      </c>
      <c r="D94" s="47" t="n"/>
      <c r="E94" s="47" t="n"/>
      <c r="F94" s="47" t="n"/>
      <c r="G94" s="47" t="n"/>
      <c r="H94" s="47" t="n"/>
      <c r="I94" s="47" t="n"/>
      <c r="J94" s="47" t="n"/>
      <c r="K94" s="47" t="n"/>
      <c r="L94" s="47" t="n"/>
      <c r="M94" s="47" t="n"/>
      <c r="N94" s="47" t="n"/>
      <c r="O94" s="47" t="n"/>
      <c r="P94" s="47" t="n"/>
      <c r="Q94" s="47" t="n"/>
      <c r="R94" s="47" t="n"/>
      <c r="S94" s="47" t="n"/>
      <c r="T94" s="47" t="n"/>
      <c r="U94" s="53" t="n"/>
      <c r="V94" s="53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20">
        <f>IF(A94="","",YEAR(EDATE(A94,-3)))</f>
        <v/>
      </c>
      <c r="AG94" s="20">
        <f>IF(OR(B94="",'経歴簿'!$C$4=""),"",IF(B94&amp;""='経歴簿'!$C$4&amp;"",MAX($AG$4:AG93)+1,""))</f>
        <v/>
      </c>
      <c r="AH94" s="20">
        <f>IF(A94="",0,IF(AND(OR('CSV抽出'!$C$4="",A94&gt;='CSV抽出'!$C$4),OR('CSV抽出'!$C$5="",A94&lt;='CSV抽出'!$C$5),OR('CSV抽出'!$C$6="すべて",'CSV抽出'!$C$6="",D94='CSV抽出'!$C$6),OR('CSV抽出'!$C$7="",B94&amp;""='CSV抽出'!$C$7&amp;"")),1,0))</f>
        <v/>
      </c>
      <c r="AI94" s="20">
        <f>IF(AH94=1,SUM($AH$5:AH94),"")</f>
        <v/>
      </c>
      <c r="AJ94" s="20">
        <f>IF(OR(S94="",'報告書'!$C$4=""),"",IF(S94&amp;""='報告書'!$C$4&amp;"",COUNTIF($S$5:S94,'報告書'!$C$4),""))</f>
        <v/>
      </c>
      <c r="AK94" s="20" t="n"/>
      <c r="AL94" s="47" t="n"/>
      <c r="AM94" s="47" t="n"/>
      <c r="AN94" s="53" t="n"/>
      <c r="AO94" s="47" t="n"/>
      <c r="AP94" s="47" t="n"/>
      <c r="AQ94" s="47" t="n"/>
      <c r="AR94" s="47" t="n"/>
      <c r="AS94" s="47" t="n"/>
      <c r="AT94" s="47" t="n"/>
      <c r="AU94" s="47" t="n"/>
      <c r="AV94" s="47" t="n"/>
      <c r="AW94" s="52" t="n"/>
    </row>
    <row r="95">
      <c r="A95" s="48" t="n"/>
      <c r="B95" s="52" t="n"/>
      <c r="C95" s="47">
        <f>IF(B95="","",IFERROR(INDEX('隊員マスタ'!$B$5:$B$204,MATCH(B95&amp;"",'隊員マスタ'!$F$5:$F$204,0)),IF(AK95="","番号なし",AK95)))</f>
        <v/>
      </c>
      <c r="D95" s="47" t="n"/>
      <c r="E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  <c r="Q95" s="47" t="n"/>
      <c r="R95" s="47" t="n"/>
      <c r="S95" s="47" t="n"/>
      <c r="T95" s="47" t="n"/>
      <c r="U95" s="53" t="n"/>
      <c r="V95" s="53" t="n"/>
      <c r="W95" s="47" t="n"/>
      <c r="X95" s="47" t="n"/>
      <c r="Y95" s="47" t="n"/>
      <c r="Z95" s="47" t="n"/>
      <c r="AA95" s="47" t="n"/>
      <c r="AB95" s="47" t="n"/>
      <c r="AC95" s="47" t="n"/>
      <c r="AD95" s="47" t="n"/>
      <c r="AE95" s="47" t="n"/>
      <c r="AF95" s="20">
        <f>IF(A95="","",YEAR(EDATE(A95,-3)))</f>
        <v/>
      </c>
      <c r="AG95" s="20">
        <f>IF(OR(B95="",'経歴簿'!$C$4=""),"",IF(B95&amp;""='経歴簿'!$C$4&amp;"",MAX($AG$4:AG94)+1,""))</f>
        <v/>
      </c>
      <c r="AH95" s="20">
        <f>IF(A95="",0,IF(AND(OR('CSV抽出'!$C$4="",A95&gt;='CSV抽出'!$C$4),OR('CSV抽出'!$C$5="",A95&lt;='CSV抽出'!$C$5),OR('CSV抽出'!$C$6="すべて",'CSV抽出'!$C$6="",D95='CSV抽出'!$C$6),OR('CSV抽出'!$C$7="",B95&amp;""='CSV抽出'!$C$7&amp;"")),1,0))</f>
        <v/>
      </c>
      <c r="AI95" s="20">
        <f>IF(AH95=1,SUM($AH$5:AH95),"")</f>
        <v/>
      </c>
      <c r="AJ95" s="20">
        <f>IF(OR(S95="",'報告書'!$C$4=""),"",IF(S95&amp;""='報告書'!$C$4&amp;"",COUNTIF($S$5:S95,'報告書'!$C$4),""))</f>
        <v/>
      </c>
      <c r="AK95" s="20" t="n"/>
      <c r="AL95" s="47" t="n"/>
      <c r="AM95" s="47" t="n"/>
      <c r="AN95" s="53" t="n"/>
      <c r="AO95" s="47" t="n"/>
      <c r="AP95" s="47" t="n"/>
      <c r="AQ95" s="47" t="n"/>
      <c r="AR95" s="47" t="n"/>
      <c r="AS95" s="47" t="n"/>
      <c r="AT95" s="47" t="n"/>
      <c r="AU95" s="47" t="n"/>
      <c r="AV95" s="47" t="n"/>
      <c r="AW95" s="52" t="n"/>
    </row>
    <row r="96">
      <c r="A96" s="48" t="n"/>
      <c r="B96" s="52" t="n"/>
      <c r="C96" s="47">
        <f>IF(B96="","",IFERROR(INDEX('隊員マスタ'!$B$5:$B$204,MATCH(B96&amp;"",'隊員マスタ'!$F$5:$F$204,0)),IF(AK96="","番号なし",AK96)))</f>
        <v/>
      </c>
      <c r="D96" s="47" t="n"/>
      <c r="E96" s="47" t="n"/>
      <c r="F96" s="47" t="n"/>
      <c r="G96" s="47" t="n"/>
      <c r="H96" s="47" t="n"/>
      <c r="I96" s="47" t="n"/>
      <c r="J96" s="47" t="n"/>
      <c r="K96" s="47" t="n"/>
      <c r="L96" s="47" t="n"/>
      <c r="M96" s="47" t="n"/>
      <c r="N96" s="47" t="n"/>
      <c r="O96" s="47" t="n"/>
      <c r="P96" s="47" t="n"/>
      <c r="Q96" s="47" t="n"/>
      <c r="R96" s="47" t="n"/>
      <c r="S96" s="47" t="n"/>
      <c r="T96" s="47" t="n"/>
      <c r="U96" s="53" t="n"/>
      <c r="V96" s="53" t="n"/>
      <c r="W96" s="47" t="n"/>
      <c r="X96" s="47" t="n"/>
      <c r="Y96" s="47" t="n"/>
      <c r="Z96" s="47" t="n"/>
      <c r="AA96" s="47" t="n"/>
      <c r="AB96" s="47" t="n"/>
      <c r="AC96" s="47" t="n"/>
      <c r="AD96" s="47" t="n"/>
      <c r="AE96" s="47" t="n"/>
      <c r="AF96" s="20">
        <f>IF(A96="","",YEAR(EDATE(A96,-3)))</f>
        <v/>
      </c>
      <c r="AG96" s="20">
        <f>IF(OR(B96="",'経歴簿'!$C$4=""),"",IF(B96&amp;""='経歴簿'!$C$4&amp;"",MAX($AG$4:AG95)+1,""))</f>
        <v/>
      </c>
      <c r="AH96" s="20">
        <f>IF(A96="",0,IF(AND(OR('CSV抽出'!$C$4="",A96&gt;='CSV抽出'!$C$4),OR('CSV抽出'!$C$5="",A96&lt;='CSV抽出'!$C$5),OR('CSV抽出'!$C$6="すべて",'CSV抽出'!$C$6="",D96='CSV抽出'!$C$6),OR('CSV抽出'!$C$7="",B96&amp;""='CSV抽出'!$C$7&amp;"")),1,0))</f>
        <v/>
      </c>
      <c r="AI96" s="20">
        <f>IF(AH96=1,SUM($AH$5:AH96),"")</f>
        <v/>
      </c>
      <c r="AJ96" s="20">
        <f>IF(OR(S96="",'報告書'!$C$4=""),"",IF(S96&amp;""='報告書'!$C$4&amp;"",COUNTIF($S$5:S96,'報告書'!$C$4),""))</f>
        <v/>
      </c>
      <c r="AK96" s="20" t="n"/>
      <c r="AL96" s="47" t="n"/>
      <c r="AM96" s="47" t="n"/>
      <c r="AN96" s="53" t="n"/>
      <c r="AO96" s="47" t="n"/>
      <c r="AP96" s="47" t="n"/>
      <c r="AQ96" s="47" t="n"/>
      <c r="AR96" s="47" t="n"/>
      <c r="AS96" s="47" t="n"/>
      <c r="AT96" s="47" t="n"/>
      <c r="AU96" s="47" t="n"/>
      <c r="AV96" s="47" t="n"/>
      <c r="AW96" s="52" t="n"/>
    </row>
    <row r="97">
      <c r="A97" s="48" t="n"/>
      <c r="B97" s="52" t="n"/>
      <c r="C97" s="47">
        <f>IF(B97="","",IFERROR(INDEX('隊員マスタ'!$B$5:$B$204,MATCH(B97&amp;"",'隊員マスタ'!$F$5:$F$204,0)),IF(AK97="","番号なし",AK97)))</f>
        <v/>
      </c>
      <c r="D97" s="47" t="n"/>
      <c r="E97" s="47" t="n"/>
      <c r="F97" s="47" t="n"/>
      <c r="G97" s="47" t="n"/>
      <c r="H97" s="47" t="n"/>
      <c r="I97" s="47" t="n"/>
      <c r="J97" s="47" t="n"/>
      <c r="K97" s="47" t="n"/>
      <c r="L97" s="47" t="n"/>
      <c r="M97" s="47" t="n"/>
      <c r="N97" s="47" t="n"/>
      <c r="O97" s="47" t="n"/>
      <c r="P97" s="47" t="n"/>
      <c r="Q97" s="47" t="n"/>
      <c r="R97" s="47" t="n"/>
      <c r="S97" s="47" t="n"/>
      <c r="T97" s="47" t="n"/>
      <c r="U97" s="53" t="n"/>
      <c r="V97" s="53" t="n"/>
      <c r="W97" s="47" t="n"/>
      <c r="X97" s="47" t="n"/>
      <c r="Y97" s="47" t="n"/>
      <c r="Z97" s="47" t="n"/>
      <c r="AA97" s="47" t="n"/>
      <c r="AB97" s="47" t="n"/>
      <c r="AC97" s="47" t="n"/>
      <c r="AD97" s="47" t="n"/>
      <c r="AE97" s="47" t="n"/>
      <c r="AF97" s="20">
        <f>IF(A97="","",YEAR(EDATE(A97,-3)))</f>
        <v/>
      </c>
      <c r="AG97" s="20">
        <f>IF(OR(B97="",'経歴簿'!$C$4=""),"",IF(B97&amp;""='経歴簿'!$C$4&amp;"",MAX($AG$4:AG96)+1,""))</f>
        <v/>
      </c>
      <c r="AH97" s="20">
        <f>IF(A97="",0,IF(AND(OR('CSV抽出'!$C$4="",A97&gt;='CSV抽出'!$C$4),OR('CSV抽出'!$C$5="",A97&lt;='CSV抽出'!$C$5),OR('CSV抽出'!$C$6="すべて",'CSV抽出'!$C$6="",D97='CSV抽出'!$C$6),OR('CSV抽出'!$C$7="",B97&amp;""='CSV抽出'!$C$7&amp;"")),1,0))</f>
        <v/>
      </c>
      <c r="AI97" s="20">
        <f>IF(AH97=1,SUM($AH$5:AH97),"")</f>
        <v/>
      </c>
      <c r="AJ97" s="20">
        <f>IF(OR(S97="",'報告書'!$C$4=""),"",IF(S97&amp;""='報告書'!$C$4&amp;"",COUNTIF($S$5:S97,'報告書'!$C$4),""))</f>
        <v/>
      </c>
      <c r="AK97" s="20" t="n"/>
      <c r="AL97" s="47" t="n"/>
      <c r="AM97" s="47" t="n"/>
      <c r="AN97" s="53" t="n"/>
      <c r="AO97" s="47" t="n"/>
      <c r="AP97" s="47" t="n"/>
      <c r="AQ97" s="47" t="n"/>
      <c r="AR97" s="47" t="n"/>
      <c r="AS97" s="47" t="n"/>
      <c r="AT97" s="47" t="n"/>
      <c r="AU97" s="47" t="n"/>
      <c r="AV97" s="47" t="n"/>
      <c r="AW97" s="52" t="n"/>
    </row>
    <row r="98">
      <c r="A98" s="48" t="n"/>
      <c r="B98" s="52" t="n"/>
      <c r="C98" s="47">
        <f>IF(B98="","",IFERROR(INDEX('隊員マスタ'!$B$5:$B$204,MATCH(B98&amp;"",'隊員マスタ'!$F$5:$F$204,0)),IF(AK98="","番号なし",AK98)))</f>
        <v/>
      </c>
      <c r="D98" s="47" t="n"/>
      <c r="E98" s="47" t="n"/>
      <c r="F98" s="47" t="n"/>
      <c r="G98" s="47" t="n"/>
      <c r="H98" s="47" t="n"/>
      <c r="I98" s="47" t="n"/>
      <c r="J98" s="47" t="n"/>
      <c r="K98" s="47" t="n"/>
      <c r="L98" s="47" t="n"/>
      <c r="M98" s="47" t="n"/>
      <c r="N98" s="47" t="n"/>
      <c r="O98" s="47" t="n"/>
      <c r="P98" s="47" t="n"/>
      <c r="Q98" s="47" t="n"/>
      <c r="R98" s="47" t="n"/>
      <c r="S98" s="47" t="n"/>
      <c r="T98" s="47" t="n"/>
      <c r="U98" s="53" t="n"/>
      <c r="V98" s="53" t="n"/>
      <c r="W98" s="47" t="n"/>
      <c r="X98" s="47" t="n"/>
      <c r="Y98" s="47" t="n"/>
      <c r="Z98" s="47" t="n"/>
      <c r="AA98" s="47" t="n"/>
      <c r="AB98" s="47" t="n"/>
      <c r="AC98" s="47" t="n"/>
      <c r="AD98" s="47" t="n"/>
      <c r="AE98" s="47" t="n"/>
      <c r="AF98" s="20">
        <f>IF(A98="","",YEAR(EDATE(A98,-3)))</f>
        <v/>
      </c>
      <c r="AG98" s="20">
        <f>IF(OR(B98="",'経歴簿'!$C$4=""),"",IF(B98&amp;""='経歴簿'!$C$4&amp;"",MAX($AG$4:AG97)+1,""))</f>
        <v/>
      </c>
      <c r="AH98" s="20">
        <f>IF(A98="",0,IF(AND(OR('CSV抽出'!$C$4="",A98&gt;='CSV抽出'!$C$4),OR('CSV抽出'!$C$5="",A98&lt;='CSV抽出'!$C$5),OR('CSV抽出'!$C$6="すべて",'CSV抽出'!$C$6="",D98='CSV抽出'!$C$6),OR('CSV抽出'!$C$7="",B98&amp;""='CSV抽出'!$C$7&amp;"")),1,0))</f>
        <v/>
      </c>
      <c r="AI98" s="20">
        <f>IF(AH98=1,SUM($AH$5:AH98),"")</f>
        <v/>
      </c>
      <c r="AJ98" s="20">
        <f>IF(OR(S98="",'報告書'!$C$4=""),"",IF(S98&amp;""='報告書'!$C$4&amp;"",COUNTIF($S$5:S98,'報告書'!$C$4),""))</f>
        <v/>
      </c>
      <c r="AK98" s="20" t="n"/>
      <c r="AL98" s="47" t="n"/>
      <c r="AM98" s="47" t="n"/>
      <c r="AN98" s="53" t="n"/>
      <c r="AO98" s="47" t="n"/>
      <c r="AP98" s="47" t="n"/>
      <c r="AQ98" s="47" t="n"/>
      <c r="AR98" s="47" t="n"/>
      <c r="AS98" s="47" t="n"/>
      <c r="AT98" s="47" t="n"/>
      <c r="AU98" s="47" t="n"/>
      <c r="AV98" s="47" t="n"/>
      <c r="AW98" s="52" t="n"/>
    </row>
    <row r="99">
      <c r="A99" s="48" t="n"/>
      <c r="B99" s="52" t="n"/>
      <c r="C99" s="47">
        <f>IF(B99="","",IFERROR(INDEX('隊員マスタ'!$B$5:$B$204,MATCH(B99&amp;"",'隊員マスタ'!$F$5:$F$204,0)),IF(AK99="","番号なし",AK99)))</f>
        <v/>
      </c>
      <c r="D99" s="47" t="n"/>
      <c r="E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  <c r="Q99" s="47" t="n"/>
      <c r="R99" s="47" t="n"/>
      <c r="S99" s="47" t="n"/>
      <c r="T99" s="47" t="n"/>
      <c r="U99" s="53" t="n"/>
      <c r="V99" s="53" t="n"/>
      <c r="W99" s="47" t="n"/>
      <c r="X99" s="47" t="n"/>
      <c r="Y99" s="47" t="n"/>
      <c r="Z99" s="47" t="n"/>
      <c r="AA99" s="47" t="n"/>
      <c r="AB99" s="47" t="n"/>
      <c r="AC99" s="47" t="n"/>
      <c r="AD99" s="47" t="n"/>
      <c r="AE99" s="47" t="n"/>
      <c r="AF99" s="20">
        <f>IF(A99="","",YEAR(EDATE(A99,-3)))</f>
        <v/>
      </c>
      <c r="AG99" s="20">
        <f>IF(OR(B99="",'経歴簿'!$C$4=""),"",IF(B99&amp;""='経歴簿'!$C$4&amp;"",MAX($AG$4:AG98)+1,""))</f>
        <v/>
      </c>
      <c r="AH99" s="20">
        <f>IF(A99="",0,IF(AND(OR('CSV抽出'!$C$4="",A99&gt;='CSV抽出'!$C$4),OR('CSV抽出'!$C$5="",A99&lt;='CSV抽出'!$C$5),OR('CSV抽出'!$C$6="すべて",'CSV抽出'!$C$6="",D99='CSV抽出'!$C$6),OR('CSV抽出'!$C$7="",B99&amp;""='CSV抽出'!$C$7&amp;"")),1,0))</f>
        <v/>
      </c>
      <c r="AI99" s="20">
        <f>IF(AH99=1,SUM($AH$5:AH99),"")</f>
        <v/>
      </c>
      <c r="AJ99" s="20">
        <f>IF(OR(S99="",'報告書'!$C$4=""),"",IF(S99&amp;""='報告書'!$C$4&amp;"",COUNTIF($S$5:S99,'報告書'!$C$4),""))</f>
        <v/>
      </c>
      <c r="AK99" s="20" t="n"/>
      <c r="AL99" s="47" t="n"/>
      <c r="AM99" s="47" t="n"/>
      <c r="AN99" s="53" t="n"/>
      <c r="AO99" s="47" t="n"/>
      <c r="AP99" s="47" t="n"/>
      <c r="AQ99" s="47" t="n"/>
      <c r="AR99" s="47" t="n"/>
      <c r="AS99" s="47" t="n"/>
      <c r="AT99" s="47" t="n"/>
      <c r="AU99" s="47" t="n"/>
      <c r="AV99" s="47" t="n"/>
      <c r="AW99" s="52" t="n"/>
    </row>
    <row r="100">
      <c r="A100" s="48" t="n"/>
      <c r="B100" s="52" t="n"/>
      <c r="C100" s="47">
        <f>IF(B100="","",IFERROR(INDEX('隊員マスタ'!$B$5:$B$204,MATCH(B100&amp;"",'隊員マスタ'!$F$5:$F$204,0)),IF(AK100="","番号なし",AK100)))</f>
        <v/>
      </c>
      <c r="D100" s="47" t="n"/>
      <c r="E100" s="47" t="n"/>
      <c r="F100" s="47" t="n"/>
      <c r="G100" s="47" t="n"/>
      <c r="H100" s="47" t="n"/>
      <c r="I100" s="47" t="n"/>
      <c r="J100" s="47" t="n"/>
      <c r="K100" s="47" t="n"/>
      <c r="L100" s="47" t="n"/>
      <c r="M100" s="47" t="n"/>
      <c r="N100" s="47" t="n"/>
      <c r="O100" s="47" t="n"/>
      <c r="P100" s="47" t="n"/>
      <c r="Q100" s="47" t="n"/>
      <c r="R100" s="47" t="n"/>
      <c r="S100" s="47" t="n"/>
      <c r="T100" s="47" t="n"/>
      <c r="U100" s="53" t="n"/>
      <c r="V100" s="53" t="n"/>
      <c r="W100" s="47" t="n"/>
      <c r="X100" s="47" t="n"/>
      <c r="Y100" s="47" t="n"/>
      <c r="Z100" s="47" t="n"/>
      <c r="AA100" s="47" t="n"/>
      <c r="AB100" s="47" t="n"/>
      <c r="AC100" s="47" t="n"/>
      <c r="AD100" s="47" t="n"/>
      <c r="AE100" s="47" t="n"/>
      <c r="AF100" s="20">
        <f>IF(A100="","",YEAR(EDATE(A100,-3)))</f>
        <v/>
      </c>
      <c r="AG100" s="20">
        <f>IF(OR(B100="",'経歴簿'!$C$4=""),"",IF(B100&amp;""='経歴簿'!$C$4&amp;"",MAX($AG$4:AG99)+1,""))</f>
        <v/>
      </c>
      <c r="AH100" s="20">
        <f>IF(A100="",0,IF(AND(OR('CSV抽出'!$C$4="",A100&gt;='CSV抽出'!$C$4),OR('CSV抽出'!$C$5="",A100&lt;='CSV抽出'!$C$5),OR('CSV抽出'!$C$6="すべて",'CSV抽出'!$C$6="",D100='CSV抽出'!$C$6),OR('CSV抽出'!$C$7="",B100&amp;""='CSV抽出'!$C$7&amp;"")),1,0))</f>
        <v/>
      </c>
      <c r="AI100" s="20">
        <f>IF(AH100=1,SUM($AH$5:AH100),"")</f>
        <v/>
      </c>
      <c r="AJ100" s="20">
        <f>IF(OR(S100="",'報告書'!$C$4=""),"",IF(S100&amp;""='報告書'!$C$4&amp;"",COUNTIF($S$5:S100,'報告書'!$C$4),""))</f>
        <v/>
      </c>
      <c r="AK100" s="20" t="n"/>
      <c r="AL100" s="47" t="n"/>
      <c r="AM100" s="47" t="n"/>
      <c r="AN100" s="53" t="n"/>
      <c r="AO100" s="47" t="n"/>
      <c r="AP100" s="47" t="n"/>
      <c r="AQ100" s="47" t="n"/>
      <c r="AR100" s="47" t="n"/>
      <c r="AS100" s="47" t="n"/>
      <c r="AT100" s="47" t="n"/>
      <c r="AU100" s="47" t="n"/>
      <c r="AV100" s="47" t="n"/>
      <c r="AW100" s="52" t="n"/>
    </row>
    <row r="101">
      <c r="A101" s="48" t="n"/>
      <c r="B101" s="52" t="n"/>
      <c r="C101" s="47">
        <f>IF(B101="","",IFERROR(INDEX('隊員マスタ'!$B$5:$B$204,MATCH(B101&amp;"",'隊員マスタ'!$F$5:$F$204,0)),IF(AK101="","番号なし",AK101)))</f>
        <v/>
      </c>
      <c r="D101" s="47" t="n"/>
      <c r="E101" s="47" t="n"/>
      <c r="F101" s="47" t="n"/>
      <c r="G101" s="47" t="n"/>
      <c r="H101" s="47" t="n"/>
      <c r="I101" s="47" t="n"/>
      <c r="J101" s="47" t="n"/>
      <c r="K101" s="47" t="n"/>
      <c r="L101" s="47" t="n"/>
      <c r="M101" s="47" t="n"/>
      <c r="N101" s="47" t="n"/>
      <c r="O101" s="47" t="n"/>
      <c r="P101" s="47" t="n"/>
      <c r="Q101" s="47" t="n"/>
      <c r="R101" s="47" t="n"/>
      <c r="S101" s="47" t="n"/>
      <c r="T101" s="47" t="n"/>
      <c r="U101" s="53" t="n"/>
      <c r="V101" s="53" t="n"/>
      <c r="W101" s="47" t="n"/>
      <c r="X101" s="47" t="n"/>
      <c r="Y101" s="47" t="n"/>
      <c r="Z101" s="47" t="n"/>
      <c r="AA101" s="47" t="n"/>
      <c r="AB101" s="47" t="n"/>
      <c r="AC101" s="47" t="n"/>
      <c r="AD101" s="47" t="n"/>
      <c r="AE101" s="47" t="n"/>
      <c r="AF101" s="20">
        <f>IF(A101="","",YEAR(EDATE(A101,-3)))</f>
        <v/>
      </c>
      <c r="AG101" s="20">
        <f>IF(OR(B101="",'経歴簿'!$C$4=""),"",IF(B101&amp;""='経歴簿'!$C$4&amp;"",MAX($AG$4:AG100)+1,""))</f>
        <v/>
      </c>
      <c r="AH101" s="20">
        <f>IF(A101="",0,IF(AND(OR('CSV抽出'!$C$4="",A101&gt;='CSV抽出'!$C$4),OR('CSV抽出'!$C$5="",A101&lt;='CSV抽出'!$C$5),OR('CSV抽出'!$C$6="すべて",'CSV抽出'!$C$6="",D101='CSV抽出'!$C$6),OR('CSV抽出'!$C$7="",B101&amp;""='CSV抽出'!$C$7&amp;"")),1,0))</f>
        <v/>
      </c>
      <c r="AI101" s="20">
        <f>IF(AH101=1,SUM($AH$5:AH101),"")</f>
        <v/>
      </c>
      <c r="AJ101" s="20">
        <f>IF(OR(S101="",'報告書'!$C$4=""),"",IF(S101&amp;""='報告書'!$C$4&amp;"",COUNTIF($S$5:S101,'報告書'!$C$4),""))</f>
        <v/>
      </c>
      <c r="AK101" s="20" t="n"/>
      <c r="AL101" s="47" t="n"/>
      <c r="AM101" s="47" t="n"/>
      <c r="AN101" s="53" t="n"/>
      <c r="AO101" s="47" t="n"/>
      <c r="AP101" s="47" t="n"/>
      <c r="AQ101" s="47" t="n"/>
      <c r="AR101" s="47" t="n"/>
      <c r="AS101" s="47" t="n"/>
      <c r="AT101" s="47" t="n"/>
      <c r="AU101" s="47" t="n"/>
      <c r="AV101" s="47" t="n"/>
      <c r="AW101" s="52" t="n"/>
    </row>
    <row r="102">
      <c r="A102" s="48" t="n"/>
      <c r="B102" s="52" t="n"/>
      <c r="C102" s="47">
        <f>IF(B102="","",IFERROR(INDEX('隊員マスタ'!$B$5:$B$204,MATCH(B102&amp;"",'隊員マスタ'!$F$5:$F$204,0)),IF(AK102="","番号なし",AK102)))</f>
        <v/>
      </c>
      <c r="D102" s="47" t="n"/>
      <c r="E102" s="47" t="n"/>
      <c r="F102" s="47" t="n"/>
      <c r="G102" s="47" t="n"/>
      <c r="H102" s="47" t="n"/>
      <c r="I102" s="47" t="n"/>
      <c r="J102" s="47" t="n"/>
      <c r="K102" s="47" t="n"/>
      <c r="L102" s="47" t="n"/>
      <c r="M102" s="47" t="n"/>
      <c r="N102" s="47" t="n"/>
      <c r="O102" s="47" t="n"/>
      <c r="P102" s="47" t="n"/>
      <c r="Q102" s="47" t="n"/>
      <c r="R102" s="47" t="n"/>
      <c r="S102" s="47" t="n"/>
      <c r="T102" s="47" t="n"/>
      <c r="U102" s="53" t="n"/>
      <c r="V102" s="53" t="n"/>
      <c r="W102" s="47" t="n"/>
      <c r="X102" s="47" t="n"/>
      <c r="Y102" s="47" t="n"/>
      <c r="Z102" s="47" t="n"/>
      <c r="AA102" s="47" t="n"/>
      <c r="AB102" s="47" t="n"/>
      <c r="AC102" s="47" t="n"/>
      <c r="AD102" s="47" t="n"/>
      <c r="AE102" s="47" t="n"/>
      <c r="AF102" s="20">
        <f>IF(A102="","",YEAR(EDATE(A102,-3)))</f>
        <v/>
      </c>
      <c r="AG102" s="20">
        <f>IF(OR(B102="",'経歴簿'!$C$4=""),"",IF(B102&amp;""='経歴簿'!$C$4&amp;"",MAX($AG$4:AG101)+1,""))</f>
        <v/>
      </c>
      <c r="AH102" s="20">
        <f>IF(A102="",0,IF(AND(OR('CSV抽出'!$C$4="",A102&gt;='CSV抽出'!$C$4),OR('CSV抽出'!$C$5="",A102&lt;='CSV抽出'!$C$5),OR('CSV抽出'!$C$6="すべて",'CSV抽出'!$C$6="",D102='CSV抽出'!$C$6),OR('CSV抽出'!$C$7="",B102&amp;""='CSV抽出'!$C$7&amp;"")),1,0))</f>
        <v/>
      </c>
      <c r="AI102" s="20">
        <f>IF(AH102=1,SUM($AH$5:AH102),"")</f>
        <v/>
      </c>
      <c r="AJ102" s="20">
        <f>IF(OR(S102="",'報告書'!$C$4=""),"",IF(S102&amp;""='報告書'!$C$4&amp;"",COUNTIF($S$5:S102,'報告書'!$C$4),""))</f>
        <v/>
      </c>
      <c r="AK102" s="20" t="n"/>
      <c r="AL102" s="47" t="n"/>
      <c r="AM102" s="47" t="n"/>
      <c r="AN102" s="53" t="n"/>
      <c r="AO102" s="47" t="n"/>
      <c r="AP102" s="47" t="n"/>
      <c r="AQ102" s="47" t="n"/>
      <c r="AR102" s="47" t="n"/>
      <c r="AS102" s="47" t="n"/>
      <c r="AT102" s="47" t="n"/>
      <c r="AU102" s="47" t="n"/>
      <c r="AV102" s="47" t="n"/>
      <c r="AW102" s="52" t="n"/>
    </row>
    <row r="103">
      <c r="A103" s="48" t="n"/>
      <c r="B103" s="52" t="n"/>
      <c r="C103" s="47">
        <f>IF(B103="","",IFERROR(INDEX('隊員マスタ'!$B$5:$B$204,MATCH(B103&amp;"",'隊員マスタ'!$F$5:$F$204,0)),IF(AK103="","番号なし",AK103)))</f>
        <v/>
      </c>
      <c r="D103" s="47" t="n"/>
      <c r="E103" s="47" t="n"/>
      <c r="F103" s="47" t="n"/>
      <c r="G103" s="47" t="n"/>
      <c r="H103" s="47" t="n"/>
      <c r="I103" s="47" t="n"/>
      <c r="J103" s="47" t="n"/>
      <c r="K103" s="47" t="n"/>
      <c r="L103" s="47" t="n"/>
      <c r="M103" s="47" t="n"/>
      <c r="N103" s="47" t="n"/>
      <c r="O103" s="47" t="n"/>
      <c r="P103" s="47" t="n"/>
      <c r="Q103" s="47" t="n"/>
      <c r="R103" s="47" t="n"/>
      <c r="S103" s="47" t="n"/>
      <c r="T103" s="47" t="n"/>
      <c r="U103" s="53" t="n"/>
      <c r="V103" s="53" t="n"/>
      <c r="W103" s="47" t="n"/>
      <c r="X103" s="47" t="n"/>
      <c r="Y103" s="47" t="n"/>
      <c r="Z103" s="47" t="n"/>
      <c r="AA103" s="47" t="n"/>
      <c r="AB103" s="47" t="n"/>
      <c r="AC103" s="47" t="n"/>
      <c r="AD103" s="47" t="n"/>
      <c r="AE103" s="47" t="n"/>
      <c r="AF103" s="20">
        <f>IF(A103="","",YEAR(EDATE(A103,-3)))</f>
        <v/>
      </c>
      <c r="AG103" s="20">
        <f>IF(OR(B103="",'経歴簿'!$C$4=""),"",IF(B103&amp;""='経歴簿'!$C$4&amp;"",MAX($AG$4:AG102)+1,""))</f>
        <v/>
      </c>
      <c r="AH103" s="20">
        <f>IF(A103="",0,IF(AND(OR('CSV抽出'!$C$4="",A103&gt;='CSV抽出'!$C$4),OR('CSV抽出'!$C$5="",A103&lt;='CSV抽出'!$C$5),OR('CSV抽出'!$C$6="すべて",'CSV抽出'!$C$6="",D103='CSV抽出'!$C$6),OR('CSV抽出'!$C$7="",B103&amp;""='CSV抽出'!$C$7&amp;"")),1,0))</f>
        <v/>
      </c>
      <c r="AI103" s="20">
        <f>IF(AH103=1,SUM($AH$5:AH103),"")</f>
        <v/>
      </c>
      <c r="AJ103" s="20">
        <f>IF(OR(S103="",'報告書'!$C$4=""),"",IF(S103&amp;""='報告書'!$C$4&amp;"",COUNTIF($S$5:S103,'報告書'!$C$4),""))</f>
        <v/>
      </c>
      <c r="AK103" s="20" t="n"/>
      <c r="AL103" s="47" t="n"/>
      <c r="AM103" s="47" t="n"/>
      <c r="AN103" s="53" t="n"/>
      <c r="AO103" s="47" t="n"/>
      <c r="AP103" s="47" t="n"/>
      <c r="AQ103" s="47" t="n"/>
      <c r="AR103" s="47" t="n"/>
      <c r="AS103" s="47" t="n"/>
      <c r="AT103" s="47" t="n"/>
      <c r="AU103" s="47" t="n"/>
      <c r="AV103" s="47" t="n"/>
      <c r="AW103" s="52" t="n"/>
    </row>
    <row r="104">
      <c r="A104" s="48" t="n"/>
      <c r="B104" s="52" t="n"/>
      <c r="C104" s="47">
        <f>IF(B104="","",IFERROR(INDEX('隊員マスタ'!$B$5:$B$204,MATCH(B104&amp;"",'隊員マスタ'!$F$5:$F$204,0)),IF(AK104="","番号なし",AK104)))</f>
        <v/>
      </c>
      <c r="D104" s="47" t="n"/>
      <c r="E104" s="47" t="n"/>
      <c r="F104" s="47" t="n"/>
      <c r="G104" s="47" t="n"/>
      <c r="H104" s="47" t="n"/>
      <c r="I104" s="47" t="n"/>
      <c r="J104" s="47" t="n"/>
      <c r="K104" s="47" t="n"/>
      <c r="L104" s="47" t="n"/>
      <c r="M104" s="47" t="n"/>
      <c r="N104" s="47" t="n"/>
      <c r="O104" s="47" t="n"/>
      <c r="P104" s="47" t="n"/>
      <c r="Q104" s="47" t="n"/>
      <c r="R104" s="47" t="n"/>
      <c r="S104" s="47" t="n"/>
      <c r="T104" s="47" t="n"/>
      <c r="U104" s="53" t="n"/>
      <c r="V104" s="53" t="n"/>
      <c r="W104" s="47" t="n"/>
      <c r="X104" s="47" t="n"/>
      <c r="Y104" s="47" t="n"/>
      <c r="Z104" s="47" t="n"/>
      <c r="AA104" s="47" t="n"/>
      <c r="AB104" s="47" t="n"/>
      <c r="AC104" s="47" t="n"/>
      <c r="AD104" s="47" t="n"/>
      <c r="AE104" s="47" t="n"/>
      <c r="AF104" s="20">
        <f>IF(A104="","",YEAR(EDATE(A104,-3)))</f>
        <v/>
      </c>
      <c r="AG104" s="20">
        <f>IF(OR(B104="",'経歴簿'!$C$4=""),"",IF(B104&amp;""='経歴簿'!$C$4&amp;"",MAX($AG$4:AG103)+1,""))</f>
        <v/>
      </c>
      <c r="AH104" s="20">
        <f>IF(A104="",0,IF(AND(OR('CSV抽出'!$C$4="",A104&gt;='CSV抽出'!$C$4),OR('CSV抽出'!$C$5="",A104&lt;='CSV抽出'!$C$5),OR('CSV抽出'!$C$6="すべて",'CSV抽出'!$C$6="",D104='CSV抽出'!$C$6),OR('CSV抽出'!$C$7="",B104&amp;""='CSV抽出'!$C$7&amp;"")),1,0))</f>
        <v/>
      </c>
      <c r="AI104" s="20">
        <f>IF(AH104=1,SUM($AH$5:AH104),"")</f>
        <v/>
      </c>
      <c r="AJ104" s="20">
        <f>IF(OR(S104="",'報告書'!$C$4=""),"",IF(S104&amp;""='報告書'!$C$4&amp;"",COUNTIF($S$5:S104,'報告書'!$C$4),""))</f>
        <v/>
      </c>
      <c r="AK104" s="20" t="n"/>
      <c r="AL104" s="47" t="n"/>
      <c r="AM104" s="47" t="n"/>
      <c r="AN104" s="53" t="n"/>
      <c r="AO104" s="47" t="n"/>
      <c r="AP104" s="47" t="n"/>
      <c r="AQ104" s="47" t="n"/>
      <c r="AR104" s="47" t="n"/>
      <c r="AS104" s="47" t="n"/>
      <c r="AT104" s="47" t="n"/>
      <c r="AU104" s="47" t="n"/>
      <c r="AV104" s="47" t="n"/>
      <c r="AW104" s="52" t="n"/>
    </row>
    <row r="105">
      <c r="A105" s="48" t="n"/>
      <c r="B105" s="52" t="n"/>
      <c r="C105" s="47">
        <f>IF(B105="","",IFERROR(INDEX('隊員マスタ'!$B$5:$B$204,MATCH(B105&amp;"",'隊員マスタ'!$F$5:$F$204,0)),IF(AK105="","番号なし",AK105)))</f>
        <v/>
      </c>
      <c r="D105" s="47" t="n"/>
      <c r="E105" s="47" t="n"/>
      <c r="F105" s="47" t="n"/>
      <c r="G105" s="47" t="n"/>
      <c r="H105" s="47" t="n"/>
      <c r="I105" s="47" t="n"/>
      <c r="J105" s="47" t="n"/>
      <c r="K105" s="47" t="n"/>
      <c r="L105" s="47" t="n"/>
      <c r="M105" s="47" t="n"/>
      <c r="N105" s="47" t="n"/>
      <c r="O105" s="47" t="n"/>
      <c r="P105" s="47" t="n"/>
      <c r="Q105" s="47" t="n"/>
      <c r="R105" s="47" t="n"/>
      <c r="S105" s="47" t="n"/>
      <c r="T105" s="47" t="n"/>
      <c r="U105" s="53" t="n"/>
      <c r="V105" s="53" t="n"/>
      <c r="W105" s="47" t="n"/>
      <c r="X105" s="47" t="n"/>
      <c r="Y105" s="47" t="n"/>
      <c r="Z105" s="47" t="n"/>
      <c r="AA105" s="47" t="n"/>
      <c r="AB105" s="47" t="n"/>
      <c r="AC105" s="47" t="n"/>
      <c r="AD105" s="47" t="n"/>
      <c r="AE105" s="47" t="n"/>
      <c r="AF105" s="20">
        <f>IF(A105="","",YEAR(EDATE(A105,-3)))</f>
        <v/>
      </c>
      <c r="AG105" s="20">
        <f>IF(OR(B105="",'経歴簿'!$C$4=""),"",IF(B105&amp;""='経歴簿'!$C$4&amp;"",MAX($AG$4:AG104)+1,""))</f>
        <v/>
      </c>
      <c r="AH105" s="20">
        <f>IF(A105="",0,IF(AND(OR('CSV抽出'!$C$4="",A105&gt;='CSV抽出'!$C$4),OR('CSV抽出'!$C$5="",A105&lt;='CSV抽出'!$C$5),OR('CSV抽出'!$C$6="すべて",'CSV抽出'!$C$6="",D105='CSV抽出'!$C$6),OR('CSV抽出'!$C$7="",B105&amp;""='CSV抽出'!$C$7&amp;"")),1,0))</f>
        <v/>
      </c>
      <c r="AI105" s="20">
        <f>IF(AH105=1,SUM($AH$5:AH105),"")</f>
        <v/>
      </c>
      <c r="AJ105" s="20">
        <f>IF(OR(S105="",'報告書'!$C$4=""),"",IF(S105&amp;""='報告書'!$C$4&amp;"",COUNTIF($S$5:S105,'報告書'!$C$4),""))</f>
        <v/>
      </c>
      <c r="AK105" s="20" t="n"/>
      <c r="AL105" s="47" t="n"/>
      <c r="AM105" s="47" t="n"/>
      <c r="AN105" s="53" t="n"/>
      <c r="AO105" s="47" t="n"/>
      <c r="AP105" s="47" t="n"/>
      <c r="AQ105" s="47" t="n"/>
      <c r="AR105" s="47" t="n"/>
      <c r="AS105" s="47" t="n"/>
      <c r="AT105" s="47" t="n"/>
      <c r="AU105" s="47" t="n"/>
      <c r="AV105" s="47" t="n"/>
      <c r="AW105" s="52" t="n"/>
    </row>
    <row r="106">
      <c r="A106" s="48" t="n"/>
      <c r="B106" s="52" t="n"/>
      <c r="C106" s="47">
        <f>IF(B106="","",IFERROR(INDEX('隊員マスタ'!$B$5:$B$204,MATCH(B106&amp;"",'隊員マスタ'!$F$5:$F$204,0)),IF(AK106="","番号なし",AK106)))</f>
        <v/>
      </c>
      <c r="D106" s="47" t="n"/>
      <c r="E106" s="47" t="n"/>
      <c r="F106" s="47" t="n"/>
      <c r="G106" s="47" t="n"/>
      <c r="H106" s="47" t="n"/>
      <c r="I106" s="47" t="n"/>
      <c r="J106" s="47" t="n"/>
      <c r="K106" s="47" t="n"/>
      <c r="L106" s="47" t="n"/>
      <c r="M106" s="47" t="n"/>
      <c r="N106" s="47" t="n"/>
      <c r="O106" s="47" t="n"/>
      <c r="P106" s="47" t="n"/>
      <c r="Q106" s="47" t="n"/>
      <c r="R106" s="47" t="n"/>
      <c r="S106" s="47" t="n"/>
      <c r="T106" s="47" t="n"/>
      <c r="U106" s="53" t="n"/>
      <c r="V106" s="53" t="n"/>
      <c r="W106" s="47" t="n"/>
      <c r="X106" s="47" t="n"/>
      <c r="Y106" s="47" t="n"/>
      <c r="Z106" s="47" t="n"/>
      <c r="AA106" s="47" t="n"/>
      <c r="AB106" s="47" t="n"/>
      <c r="AC106" s="47" t="n"/>
      <c r="AD106" s="47" t="n"/>
      <c r="AE106" s="47" t="n"/>
      <c r="AF106" s="20">
        <f>IF(A106="","",YEAR(EDATE(A106,-3)))</f>
        <v/>
      </c>
      <c r="AG106" s="20">
        <f>IF(OR(B106="",'経歴簿'!$C$4=""),"",IF(B106&amp;""='経歴簿'!$C$4&amp;"",MAX($AG$4:AG105)+1,""))</f>
        <v/>
      </c>
      <c r="AH106" s="20">
        <f>IF(A106="",0,IF(AND(OR('CSV抽出'!$C$4="",A106&gt;='CSV抽出'!$C$4),OR('CSV抽出'!$C$5="",A106&lt;='CSV抽出'!$C$5),OR('CSV抽出'!$C$6="すべて",'CSV抽出'!$C$6="",D106='CSV抽出'!$C$6),OR('CSV抽出'!$C$7="",B106&amp;""='CSV抽出'!$C$7&amp;"")),1,0))</f>
        <v/>
      </c>
      <c r="AI106" s="20">
        <f>IF(AH106=1,SUM($AH$5:AH106),"")</f>
        <v/>
      </c>
      <c r="AJ106" s="20">
        <f>IF(OR(S106="",'報告書'!$C$4=""),"",IF(S106&amp;""='報告書'!$C$4&amp;"",COUNTIF($S$5:S106,'報告書'!$C$4),""))</f>
        <v/>
      </c>
      <c r="AK106" s="20" t="n"/>
      <c r="AL106" s="47" t="n"/>
      <c r="AM106" s="47" t="n"/>
      <c r="AN106" s="53" t="n"/>
      <c r="AO106" s="47" t="n"/>
      <c r="AP106" s="47" t="n"/>
      <c r="AQ106" s="47" t="n"/>
      <c r="AR106" s="47" t="n"/>
      <c r="AS106" s="47" t="n"/>
      <c r="AT106" s="47" t="n"/>
      <c r="AU106" s="47" t="n"/>
      <c r="AV106" s="47" t="n"/>
      <c r="AW106" s="52" t="n"/>
    </row>
    <row r="107">
      <c r="A107" s="48" t="n"/>
      <c r="B107" s="52" t="n"/>
      <c r="C107" s="47">
        <f>IF(B107="","",IFERROR(INDEX('隊員マスタ'!$B$5:$B$204,MATCH(B107&amp;"",'隊員マスタ'!$F$5:$F$204,0)),IF(AK107="","番号なし",AK107)))</f>
        <v/>
      </c>
      <c r="D107" s="47" t="n"/>
      <c r="E107" s="47" t="n"/>
      <c r="F107" s="47" t="n"/>
      <c r="G107" s="47" t="n"/>
      <c r="H107" s="47" t="n"/>
      <c r="I107" s="47" t="n"/>
      <c r="J107" s="47" t="n"/>
      <c r="K107" s="47" t="n"/>
      <c r="L107" s="47" t="n"/>
      <c r="M107" s="47" t="n"/>
      <c r="N107" s="47" t="n"/>
      <c r="O107" s="47" t="n"/>
      <c r="P107" s="47" t="n"/>
      <c r="Q107" s="47" t="n"/>
      <c r="R107" s="47" t="n"/>
      <c r="S107" s="47" t="n"/>
      <c r="T107" s="47" t="n"/>
      <c r="U107" s="53" t="n"/>
      <c r="V107" s="53" t="n"/>
      <c r="W107" s="47" t="n"/>
      <c r="X107" s="47" t="n"/>
      <c r="Y107" s="47" t="n"/>
      <c r="Z107" s="47" t="n"/>
      <c r="AA107" s="47" t="n"/>
      <c r="AB107" s="47" t="n"/>
      <c r="AC107" s="47" t="n"/>
      <c r="AD107" s="47" t="n"/>
      <c r="AE107" s="47" t="n"/>
      <c r="AF107" s="20">
        <f>IF(A107="","",YEAR(EDATE(A107,-3)))</f>
        <v/>
      </c>
      <c r="AG107" s="20">
        <f>IF(OR(B107="",'経歴簿'!$C$4=""),"",IF(B107&amp;""='経歴簿'!$C$4&amp;"",MAX($AG$4:AG106)+1,""))</f>
        <v/>
      </c>
      <c r="AH107" s="20">
        <f>IF(A107="",0,IF(AND(OR('CSV抽出'!$C$4="",A107&gt;='CSV抽出'!$C$4),OR('CSV抽出'!$C$5="",A107&lt;='CSV抽出'!$C$5),OR('CSV抽出'!$C$6="すべて",'CSV抽出'!$C$6="",D107='CSV抽出'!$C$6),OR('CSV抽出'!$C$7="",B107&amp;""='CSV抽出'!$C$7&amp;"")),1,0))</f>
        <v/>
      </c>
      <c r="AI107" s="20">
        <f>IF(AH107=1,SUM($AH$5:AH107),"")</f>
        <v/>
      </c>
      <c r="AJ107" s="20">
        <f>IF(OR(S107="",'報告書'!$C$4=""),"",IF(S107&amp;""='報告書'!$C$4&amp;"",COUNTIF($S$5:S107,'報告書'!$C$4),""))</f>
        <v/>
      </c>
      <c r="AK107" s="20" t="n"/>
      <c r="AL107" s="47" t="n"/>
      <c r="AM107" s="47" t="n"/>
      <c r="AN107" s="53" t="n"/>
      <c r="AO107" s="47" t="n"/>
      <c r="AP107" s="47" t="n"/>
      <c r="AQ107" s="47" t="n"/>
      <c r="AR107" s="47" t="n"/>
      <c r="AS107" s="47" t="n"/>
      <c r="AT107" s="47" t="n"/>
      <c r="AU107" s="47" t="n"/>
      <c r="AV107" s="47" t="n"/>
      <c r="AW107" s="52" t="n"/>
    </row>
    <row r="108">
      <c r="A108" s="48" t="n"/>
      <c r="B108" s="52" t="n"/>
      <c r="C108" s="47">
        <f>IF(B108="","",IFERROR(INDEX('隊員マスタ'!$B$5:$B$204,MATCH(B108&amp;"",'隊員マスタ'!$F$5:$F$204,0)),IF(AK108="","番号なし",AK108)))</f>
        <v/>
      </c>
      <c r="D108" s="47" t="n"/>
      <c r="E108" s="47" t="n"/>
      <c r="F108" s="47" t="n"/>
      <c r="G108" s="47" t="n"/>
      <c r="H108" s="47" t="n"/>
      <c r="I108" s="47" t="n"/>
      <c r="J108" s="47" t="n"/>
      <c r="K108" s="47" t="n"/>
      <c r="L108" s="47" t="n"/>
      <c r="M108" s="47" t="n"/>
      <c r="N108" s="47" t="n"/>
      <c r="O108" s="47" t="n"/>
      <c r="P108" s="47" t="n"/>
      <c r="Q108" s="47" t="n"/>
      <c r="R108" s="47" t="n"/>
      <c r="S108" s="47" t="n"/>
      <c r="T108" s="47" t="n"/>
      <c r="U108" s="53" t="n"/>
      <c r="V108" s="53" t="n"/>
      <c r="W108" s="47" t="n"/>
      <c r="X108" s="47" t="n"/>
      <c r="Y108" s="47" t="n"/>
      <c r="Z108" s="47" t="n"/>
      <c r="AA108" s="47" t="n"/>
      <c r="AB108" s="47" t="n"/>
      <c r="AC108" s="47" t="n"/>
      <c r="AD108" s="47" t="n"/>
      <c r="AE108" s="47" t="n"/>
      <c r="AF108" s="20">
        <f>IF(A108="","",YEAR(EDATE(A108,-3)))</f>
        <v/>
      </c>
      <c r="AG108" s="20">
        <f>IF(OR(B108="",'経歴簿'!$C$4=""),"",IF(B108&amp;""='経歴簿'!$C$4&amp;"",MAX($AG$4:AG107)+1,""))</f>
        <v/>
      </c>
      <c r="AH108" s="20">
        <f>IF(A108="",0,IF(AND(OR('CSV抽出'!$C$4="",A108&gt;='CSV抽出'!$C$4),OR('CSV抽出'!$C$5="",A108&lt;='CSV抽出'!$C$5),OR('CSV抽出'!$C$6="すべて",'CSV抽出'!$C$6="",D108='CSV抽出'!$C$6),OR('CSV抽出'!$C$7="",B108&amp;""='CSV抽出'!$C$7&amp;"")),1,0))</f>
        <v/>
      </c>
      <c r="AI108" s="20">
        <f>IF(AH108=1,SUM($AH$5:AH108),"")</f>
        <v/>
      </c>
      <c r="AJ108" s="20">
        <f>IF(OR(S108="",'報告書'!$C$4=""),"",IF(S108&amp;""='報告書'!$C$4&amp;"",COUNTIF($S$5:S108,'報告書'!$C$4),""))</f>
        <v/>
      </c>
      <c r="AK108" s="20" t="n"/>
      <c r="AL108" s="47" t="n"/>
      <c r="AM108" s="47" t="n"/>
      <c r="AN108" s="53" t="n"/>
      <c r="AO108" s="47" t="n"/>
      <c r="AP108" s="47" t="n"/>
      <c r="AQ108" s="47" t="n"/>
      <c r="AR108" s="47" t="n"/>
      <c r="AS108" s="47" t="n"/>
      <c r="AT108" s="47" t="n"/>
      <c r="AU108" s="47" t="n"/>
      <c r="AV108" s="47" t="n"/>
      <c r="AW108" s="52" t="n"/>
    </row>
    <row r="109">
      <c r="A109" s="48" t="n"/>
      <c r="B109" s="52" t="n"/>
      <c r="C109" s="47">
        <f>IF(B109="","",IFERROR(INDEX('隊員マスタ'!$B$5:$B$204,MATCH(B109&amp;"",'隊員マスタ'!$F$5:$F$204,0)),IF(AK109="","番号なし",AK109)))</f>
        <v/>
      </c>
      <c r="D109" s="47" t="n"/>
      <c r="E109" s="47" t="n"/>
      <c r="F109" s="47" t="n"/>
      <c r="G109" s="47" t="n"/>
      <c r="H109" s="47" t="n"/>
      <c r="I109" s="47" t="n"/>
      <c r="J109" s="47" t="n"/>
      <c r="K109" s="47" t="n"/>
      <c r="L109" s="47" t="n"/>
      <c r="M109" s="47" t="n"/>
      <c r="N109" s="47" t="n"/>
      <c r="O109" s="47" t="n"/>
      <c r="P109" s="47" t="n"/>
      <c r="Q109" s="47" t="n"/>
      <c r="R109" s="47" t="n"/>
      <c r="S109" s="47" t="n"/>
      <c r="T109" s="47" t="n"/>
      <c r="U109" s="53" t="n"/>
      <c r="V109" s="53" t="n"/>
      <c r="W109" s="47" t="n"/>
      <c r="X109" s="47" t="n"/>
      <c r="Y109" s="47" t="n"/>
      <c r="Z109" s="47" t="n"/>
      <c r="AA109" s="47" t="n"/>
      <c r="AB109" s="47" t="n"/>
      <c r="AC109" s="47" t="n"/>
      <c r="AD109" s="47" t="n"/>
      <c r="AE109" s="47" t="n"/>
      <c r="AF109" s="20">
        <f>IF(A109="","",YEAR(EDATE(A109,-3)))</f>
        <v/>
      </c>
      <c r="AG109" s="20">
        <f>IF(OR(B109="",'経歴簿'!$C$4=""),"",IF(B109&amp;""='経歴簿'!$C$4&amp;"",MAX($AG$4:AG108)+1,""))</f>
        <v/>
      </c>
      <c r="AH109" s="20">
        <f>IF(A109="",0,IF(AND(OR('CSV抽出'!$C$4="",A109&gt;='CSV抽出'!$C$4),OR('CSV抽出'!$C$5="",A109&lt;='CSV抽出'!$C$5),OR('CSV抽出'!$C$6="すべて",'CSV抽出'!$C$6="",D109='CSV抽出'!$C$6),OR('CSV抽出'!$C$7="",B109&amp;""='CSV抽出'!$C$7&amp;"")),1,0))</f>
        <v/>
      </c>
      <c r="AI109" s="20">
        <f>IF(AH109=1,SUM($AH$5:AH109),"")</f>
        <v/>
      </c>
      <c r="AJ109" s="20">
        <f>IF(OR(S109="",'報告書'!$C$4=""),"",IF(S109&amp;""='報告書'!$C$4&amp;"",COUNTIF($S$5:S109,'報告書'!$C$4),""))</f>
        <v/>
      </c>
      <c r="AK109" s="20" t="n"/>
      <c r="AL109" s="47" t="n"/>
      <c r="AM109" s="47" t="n"/>
      <c r="AN109" s="53" t="n"/>
      <c r="AO109" s="47" t="n"/>
      <c r="AP109" s="47" t="n"/>
      <c r="AQ109" s="47" t="n"/>
      <c r="AR109" s="47" t="n"/>
      <c r="AS109" s="47" t="n"/>
      <c r="AT109" s="47" t="n"/>
      <c r="AU109" s="47" t="n"/>
      <c r="AV109" s="47" t="n"/>
      <c r="AW109" s="52" t="n"/>
    </row>
    <row r="110">
      <c r="A110" s="48" t="n"/>
      <c r="B110" s="52" t="n"/>
      <c r="C110" s="47">
        <f>IF(B110="","",IFERROR(INDEX('隊員マスタ'!$B$5:$B$204,MATCH(B110&amp;"",'隊員マスタ'!$F$5:$F$204,0)),IF(AK110="","番号なし",AK110)))</f>
        <v/>
      </c>
      <c r="D110" s="47" t="n"/>
      <c r="E110" s="47" t="n"/>
      <c r="F110" s="47" t="n"/>
      <c r="G110" s="47" t="n"/>
      <c r="H110" s="47" t="n"/>
      <c r="I110" s="47" t="n"/>
      <c r="J110" s="47" t="n"/>
      <c r="K110" s="47" t="n"/>
      <c r="L110" s="47" t="n"/>
      <c r="M110" s="47" t="n"/>
      <c r="N110" s="47" t="n"/>
      <c r="O110" s="47" t="n"/>
      <c r="P110" s="47" t="n"/>
      <c r="Q110" s="47" t="n"/>
      <c r="R110" s="47" t="n"/>
      <c r="S110" s="47" t="n"/>
      <c r="T110" s="47" t="n"/>
      <c r="U110" s="53" t="n"/>
      <c r="V110" s="53" t="n"/>
      <c r="W110" s="47" t="n"/>
      <c r="X110" s="47" t="n"/>
      <c r="Y110" s="47" t="n"/>
      <c r="Z110" s="47" t="n"/>
      <c r="AA110" s="47" t="n"/>
      <c r="AB110" s="47" t="n"/>
      <c r="AC110" s="47" t="n"/>
      <c r="AD110" s="47" t="n"/>
      <c r="AE110" s="47" t="n"/>
      <c r="AF110" s="20">
        <f>IF(A110="","",YEAR(EDATE(A110,-3)))</f>
        <v/>
      </c>
      <c r="AG110" s="20">
        <f>IF(OR(B110="",'経歴簿'!$C$4=""),"",IF(B110&amp;""='経歴簿'!$C$4&amp;"",MAX($AG$4:AG109)+1,""))</f>
        <v/>
      </c>
      <c r="AH110" s="20">
        <f>IF(A110="",0,IF(AND(OR('CSV抽出'!$C$4="",A110&gt;='CSV抽出'!$C$4),OR('CSV抽出'!$C$5="",A110&lt;='CSV抽出'!$C$5),OR('CSV抽出'!$C$6="すべて",'CSV抽出'!$C$6="",D110='CSV抽出'!$C$6),OR('CSV抽出'!$C$7="",B110&amp;""='CSV抽出'!$C$7&amp;"")),1,0))</f>
        <v/>
      </c>
      <c r="AI110" s="20">
        <f>IF(AH110=1,SUM($AH$5:AH110),"")</f>
        <v/>
      </c>
      <c r="AJ110" s="20">
        <f>IF(OR(S110="",'報告書'!$C$4=""),"",IF(S110&amp;""='報告書'!$C$4&amp;"",COUNTIF($S$5:S110,'報告書'!$C$4),""))</f>
        <v/>
      </c>
      <c r="AK110" s="20" t="n"/>
      <c r="AL110" s="47" t="n"/>
      <c r="AM110" s="47" t="n"/>
      <c r="AN110" s="53" t="n"/>
      <c r="AO110" s="47" t="n"/>
      <c r="AP110" s="47" t="n"/>
      <c r="AQ110" s="47" t="n"/>
      <c r="AR110" s="47" t="n"/>
      <c r="AS110" s="47" t="n"/>
      <c r="AT110" s="47" t="n"/>
      <c r="AU110" s="47" t="n"/>
      <c r="AV110" s="47" t="n"/>
      <c r="AW110" s="52" t="n"/>
    </row>
    <row r="111">
      <c r="A111" s="48" t="n"/>
      <c r="B111" s="52" t="n"/>
      <c r="C111" s="47">
        <f>IF(B111="","",IFERROR(INDEX('隊員マスタ'!$B$5:$B$204,MATCH(B111&amp;"",'隊員マスタ'!$F$5:$F$204,0)),IF(AK111="","番号なし",AK111)))</f>
        <v/>
      </c>
      <c r="D111" s="47" t="n"/>
      <c r="E111" s="47" t="n"/>
      <c r="F111" s="47" t="n"/>
      <c r="G111" s="47" t="n"/>
      <c r="H111" s="47" t="n"/>
      <c r="I111" s="47" t="n"/>
      <c r="J111" s="47" t="n"/>
      <c r="K111" s="47" t="n"/>
      <c r="L111" s="47" t="n"/>
      <c r="M111" s="47" t="n"/>
      <c r="N111" s="47" t="n"/>
      <c r="O111" s="47" t="n"/>
      <c r="P111" s="47" t="n"/>
      <c r="Q111" s="47" t="n"/>
      <c r="R111" s="47" t="n"/>
      <c r="S111" s="47" t="n"/>
      <c r="T111" s="47" t="n"/>
      <c r="U111" s="53" t="n"/>
      <c r="V111" s="53" t="n"/>
      <c r="W111" s="47" t="n"/>
      <c r="X111" s="47" t="n"/>
      <c r="Y111" s="47" t="n"/>
      <c r="Z111" s="47" t="n"/>
      <c r="AA111" s="47" t="n"/>
      <c r="AB111" s="47" t="n"/>
      <c r="AC111" s="47" t="n"/>
      <c r="AD111" s="47" t="n"/>
      <c r="AE111" s="47" t="n"/>
      <c r="AF111" s="20">
        <f>IF(A111="","",YEAR(EDATE(A111,-3)))</f>
        <v/>
      </c>
      <c r="AG111" s="20">
        <f>IF(OR(B111="",'経歴簿'!$C$4=""),"",IF(B111&amp;""='経歴簿'!$C$4&amp;"",MAX($AG$4:AG110)+1,""))</f>
        <v/>
      </c>
      <c r="AH111" s="20">
        <f>IF(A111="",0,IF(AND(OR('CSV抽出'!$C$4="",A111&gt;='CSV抽出'!$C$4),OR('CSV抽出'!$C$5="",A111&lt;='CSV抽出'!$C$5),OR('CSV抽出'!$C$6="すべて",'CSV抽出'!$C$6="",D111='CSV抽出'!$C$6),OR('CSV抽出'!$C$7="",B111&amp;""='CSV抽出'!$C$7&amp;"")),1,0))</f>
        <v/>
      </c>
      <c r="AI111" s="20">
        <f>IF(AH111=1,SUM($AH$5:AH111),"")</f>
        <v/>
      </c>
      <c r="AJ111" s="20">
        <f>IF(OR(S111="",'報告書'!$C$4=""),"",IF(S111&amp;""='報告書'!$C$4&amp;"",COUNTIF($S$5:S111,'報告書'!$C$4),""))</f>
        <v/>
      </c>
      <c r="AK111" s="20" t="n"/>
      <c r="AL111" s="47" t="n"/>
      <c r="AM111" s="47" t="n"/>
      <c r="AN111" s="53" t="n"/>
      <c r="AO111" s="47" t="n"/>
      <c r="AP111" s="47" t="n"/>
      <c r="AQ111" s="47" t="n"/>
      <c r="AR111" s="47" t="n"/>
      <c r="AS111" s="47" t="n"/>
      <c r="AT111" s="47" t="n"/>
      <c r="AU111" s="47" t="n"/>
      <c r="AV111" s="47" t="n"/>
      <c r="AW111" s="52" t="n"/>
    </row>
    <row r="112">
      <c r="A112" s="48" t="n"/>
      <c r="B112" s="52" t="n"/>
      <c r="C112" s="47">
        <f>IF(B112="","",IFERROR(INDEX('隊員マスタ'!$B$5:$B$204,MATCH(B112&amp;"",'隊員マスタ'!$F$5:$F$204,0)),IF(AK112="","番号なし",AK112)))</f>
        <v/>
      </c>
      <c r="D112" s="47" t="n"/>
      <c r="E112" s="47" t="n"/>
      <c r="F112" s="47" t="n"/>
      <c r="G112" s="47" t="n"/>
      <c r="H112" s="47" t="n"/>
      <c r="I112" s="47" t="n"/>
      <c r="J112" s="47" t="n"/>
      <c r="K112" s="47" t="n"/>
      <c r="L112" s="47" t="n"/>
      <c r="M112" s="47" t="n"/>
      <c r="N112" s="47" t="n"/>
      <c r="O112" s="47" t="n"/>
      <c r="P112" s="47" t="n"/>
      <c r="Q112" s="47" t="n"/>
      <c r="R112" s="47" t="n"/>
      <c r="S112" s="47" t="n"/>
      <c r="T112" s="47" t="n"/>
      <c r="U112" s="53" t="n"/>
      <c r="V112" s="53" t="n"/>
      <c r="W112" s="47" t="n"/>
      <c r="X112" s="47" t="n"/>
      <c r="Y112" s="47" t="n"/>
      <c r="Z112" s="47" t="n"/>
      <c r="AA112" s="47" t="n"/>
      <c r="AB112" s="47" t="n"/>
      <c r="AC112" s="47" t="n"/>
      <c r="AD112" s="47" t="n"/>
      <c r="AE112" s="47" t="n"/>
      <c r="AF112" s="20">
        <f>IF(A112="","",YEAR(EDATE(A112,-3)))</f>
        <v/>
      </c>
      <c r="AG112" s="20">
        <f>IF(OR(B112="",'経歴簿'!$C$4=""),"",IF(B112&amp;""='経歴簿'!$C$4&amp;"",MAX($AG$4:AG111)+1,""))</f>
        <v/>
      </c>
      <c r="AH112" s="20">
        <f>IF(A112="",0,IF(AND(OR('CSV抽出'!$C$4="",A112&gt;='CSV抽出'!$C$4),OR('CSV抽出'!$C$5="",A112&lt;='CSV抽出'!$C$5),OR('CSV抽出'!$C$6="すべて",'CSV抽出'!$C$6="",D112='CSV抽出'!$C$6),OR('CSV抽出'!$C$7="",B112&amp;""='CSV抽出'!$C$7&amp;"")),1,0))</f>
        <v/>
      </c>
      <c r="AI112" s="20">
        <f>IF(AH112=1,SUM($AH$5:AH112),"")</f>
        <v/>
      </c>
      <c r="AJ112" s="20">
        <f>IF(OR(S112="",'報告書'!$C$4=""),"",IF(S112&amp;""='報告書'!$C$4&amp;"",COUNTIF($S$5:S112,'報告書'!$C$4),""))</f>
        <v/>
      </c>
      <c r="AK112" s="20" t="n"/>
      <c r="AL112" s="47" t="n"/>
      <c r="AM112" s="47" t="n"/>
      <c r="AN112" s="53" t="n"/>
      <c r="AO112" s="47" t="n"/>
      <c r="AP112" s="47" t="n"/>
      <c r="AQ112" s="47" t="n"/>
      <c r="AR112" s="47" t="n"/>
      <c r="AS112" s="47" t="n"/>
      <c r="AT112" s="47" t="n"/>
      <c r="AU112" s="47" t="n"/>
      <c r="AV112" s="47" t="n"/>
      <c r="AW112" s="52" t="n"/>
    </row>
    <row r="113">
      <c r="A113" s="48" t="n"/>
      <c r="B113" s="52" t="n"/>
      <c r="C113" s="47">
        <f>IF(B113="","",IFERROR(INDEX('隊員マスタ'!$B$5:$B$204,MATCH(B113&amp;"",'隊員マスタ'!$F$5:$F$204,0)),IF(AK113="","番号なし",AK113)))</f>
        <v/>
      </c>
      <c r="D113" s="47" t="n"/>
      <c r="E113" s="47" t="n"/>
      <c r="F113" s="47" t="n"/>
      <c r="G113" s="47" t="n"/>
      <c r="H113" s="47" t="n"/>
      <c r="I113" s="47" t="n"/>
      <c r="J113" s="47" t="n"/>
      <c r="K113" s="47" t="n"/>
      <c r="L113" s="47" t="n"/>
      <c r="M113" s="47" t="n"/>
      <c r="N113" s="47" t="n"/>
      <c r="O113" s="47" t="n"/>
      <c r="P113" s="47" t="n"/>
      <c r="Q113" s="47" t="n"/>
      <c r="R113" s="47" t="n"/>
      <c r="S113" s="47" t="n"/>
      <c r="T113" s="47" t="n"/>
      <c r="U113" s="53" t="n"/>
      <c r="V113" s="53" t="n"/>
      <c r="W113" s="47" t="n"/>
      <c r="X113" s="47" t="n"/>
      <c r="Y113" s="47" t="n"/>
      <c r="Z113" s="47" t="n"/>
      <c r="AA113" s="47" t="n"/>
      <c r="AB113" s="47" t="n"/>
      <c r="AC113" s="47" t="n"/>
      <c r="AD113" s="47" t="n"/>
      <c r="AE113" s="47" t="n"/>
      <c r="AF113" s="20">
        <f>IF(A113="","",YEAR(EDATE(A113,-3)))</f>
        <v/>
      </c>
      <c r="AG113" s="20">
        <f>IF(OR(B113="",'経歴簿'!$C$4=""),"",IF(B113&amp;""='経歴簿'!$C$4&amp;"",MAX($AG$4:AG112)+1,""))</f>
        <v/>
      </c>
      <c r="AH113" s="20">
        <f>IF(A113="",0,IF(AND(OR('CSV抽出'!$C$4="",A113&gt;='CSV抽出'!$C$4),OR('CSV抽出'!$C$5="",A113&lt;='CSV抽出'!$C$5),OR('CSV抽出'!$C$6="すべて",'CSV抽出'!$C$6="",D113='CSV抽出'!$C$6),OR('CSV抽出'!$C$7="",B113&amp;""='CSV抽出'!$C$7&amp;"")),1,0))</f>
        <v/>
      </c>
      <c r="AI113" s="20">
        <f>IF(AH113=1,SUM($AH$5:AH113),"")</f>
        <v/>
      </c>
      <c r="AJ113" s="20">
        <f>IF(OR(S113="",'報告書'!$C$4=""),"",IF(S113&amp;""='報告書'!$C$4&amp;"",COUNTIF($S$5:S113,'報告書'!$C$4),""))</f>
        <v/>
      </c>
      <c r="AK113" s="20" t="n"/>
      <c r="AL113" s="47" t="n"/>
      <c r="AM113" s="47" t="n"/>
      <c r="AN113" s="53" t="n"/>
      <c r="AO113" s="47" t="n"/>
      <c r="AP113" s="47" t="n"/>
      <c r="AQ113" s="47" t="n"/>
      <c r="AR113" s="47" t="n"/>
      <c r="AS113" s="47" t="n"/>
      <c r="AT113" s="47" t="n"/>
      <c r="AU113" s="47" t="n"/>
      <c r="AV113" s="47" t="n"/>
      <c r="AW113" s="52" t="n"/>
    </row>
    <row r="114">
      <c r="A114" s="48" t="n"/>
      <c r="B114" s="52" t="n"/>
      <c r="C114" s="47">
        <f>IF(B114="","",IFERROR(INDEX('隊員マスタ'!$B$5:$B$204,MATCH(B114&amp;"",'隊員マスタ'!$F$5:$F$204,0)),IF(AK114="","番号なし",AK114)))</f>
        <v/>
      </c>
      <c r="D114" s="47" t="n"/>
      <c r="E114" s="47" t="n"/>
      <c r="F114" s="47" t="n"/>
      <c r="G114" s="47" t="n"/>
      <c r="H114" s="47" t="n"/>
      <c r="I114" s="47" t="n"/>
      <c r="J114" s="47" t="n"/>
      <c r="K114" s="47" t="n"/>
      <c r="L114" s="47" t="n"/>
      <c r="M114" s="47" t="n"/>
      <c r="N114" s="47" t="n"/>
      <c r="O114" s="47" t="n"/>
      <c r="P114" s="47" t="n"/>
      <c r="Q114" s="47" t="n"/>
      <c r="R114" s="47" t="n"/>
      <c r="S114" s="47" t="n"/>
      <c r="T114" s="47" t="n"/>
      <c r="U114" s="53" t="n"/>
      <c r="V114" s="53" t="n"/>
      <c r="W114" s="47" t="n"/>
      <c r="X114" s="47" t="n"/>
      <c r="Y114" s="47" t="n"/>
      <c r="Z114" s="47" t="n"/>
      <c r="AA114" s="47" t="n"/>
      <c r="AB114" s="47" t="n"/>
      <c r="AC114" s="47" t="n"/>
      <c r="AD114" s="47" t="n"/>
      <c r="AE114" s="47" t="n"/>
      <c r="AF114" s="20">
        <f>IF(A114="","",YEAR(EDATE(A114,-3)))</f>
        <v/>
      </c>
      <c r="AG114" s="20">
        <f>IF(OR(B114="",'経歴簿'!$C$4=""),"",IF(B114&amp;""='経歴簿'!$C$4&amp;"",MAX($AG$4:AG113)+1,""))</f>
        <v/>
      </c>
      <c r="AH114" s="20">
        <f>IF(A114="",0,IF(AND(OR('CSV抽出'!$C$4="",A114&gt;='CSV抽出'!$C$4),OR('CSV抽出'!$C$5="",A114&lt;='CSV抽出'!$C$5),OR('CSV抽出'!$C$6="すべて",'CSV抽出'!$C$6="",D114='CSV抽出'!$C$6),OR('CSV抽出'!$C$7="",B114&amp;""='CSV抽出'!$C$7&amp;"")),1,0))</f>
        <v/>
      </c>
      <c r="AI114" s="20">
        <f>IF(AH114=1,SUM($AH$5:AH114),"")</f>
        <v/>
      </c>
      <c r="AJ114" s="20">
        <f>IF(OR(S114="",'報告書'!$C$4=""),"",IF(S114&amp;""='報告書'!$C$4&amp;"",COUNTIF($S$5:S114,'報告書'!$C$4),""))</f>
        <v/>
      </c>
      <c r="AK114" s="20" t="n"/>
      <c r="AL114" s="47" t="n"/>
      <c r="AM114" s="47" t="n"/>
      <c r="AN114" s="53" t="n"/>
      <c r="AO114" s="47" t="n"/>
      <c r="AP114" s="47" t="n"/>
      <c r="AQ114" s="47" t="n"/>
      <c r="AR114" s="47" t="n"/>
      <c r="AS114" s="47" t="n"/>
      <c r="AT114" s="47" t="n"/>
      <c r="AU114" s="47" t="n"/>
      <c r="AV114" s="47" t="n"/>
      <c r="AW114" s="52" t="n"/>
    </row>
    <row r="115">
      <c r="A115" s="48" t="n"/>
      <c r="B115" s="52" t="n"/>
      <c r="C115" s="47">
        <f>IF(B115="","",IFERROR(INDEX('隊員マスタ'!$B$5:$B$204,MATCH(B115&amp;"",'隊員マスタ'!$F$5:$F$204,0)),IF(AK115="","番号なし",AK115)))</f>
        <v/>
      </c>
      <c r="D115" s="47" t="n"/>
      <c r="E115" s="47" t="n"/>
      <c r="F115" s="47" t="n"/>
      <c r="G115" s="47" t="n"/>
      <c r="H115" s="47" t="n"/>
      <c r="I115" s="47" t="n"/>
      <c r="J115" s="47" t="n"/>
      <c r="K115" s="47" t="n"/>
      <c r="L115" s="47" t="n"/>
      <c r="M115" s="47" t="n"/>
      <c r="N115" s="47" t="n"/>
      <c r="O115" s="47" t="n"/>
      <c r="P115" s="47" t="n"/>
      <c r="Q115" s="47" t="n"/>
      <c r="R115" s="47" t="n"/>
      <c r="S115" s="47" t="n"/>
      <c r="T115" s="47" t="n"/>
      <c r="U115" s="53" t="n"/>
      <c r="V115" s="53" t="n"/>
      <c r="W115" s="47" t="n"/>
      <c r="X115" s="47" t="n"/>
      <c r="Y115" s="47" t="n"/>
      <c r="Z115" s="47" t="n"/>
      <c r="AA115" s="47" t="n"/>
      <c r="AB115" s="47" t="n"/>
      <c r="AC115" s="47" t="n"/>
      <c r="AD115" s="47" t="n"/>
      <c r="AE115" s="47" t="n"/>
      <c r="AF115" s="20">
        <f>IF(A115="","",YEAR(EDATE(A115,-3)))</f>
        <v/>
      </c>
      <c r="AG115" s="20">
        <f>IF(OR(B115="",'経歴簿'!$C$4=""),"",IF(B115&amp;""='経歴簿'!$C$4&amp;"",MAX($AG$4:AG114)+1,""))</f>
        <v/>
      </c>
      <c r="AH115" s="20">
        <f>IF(A115="",0,IF(AND(OR('CSV抽出'!$C$4="",A115&gt;='CSV抽出'!$C$4),OR('CSV抽出'!$C$5="",A115&lt;='CSV抽出'!$C$5),OR('CSV抽出'!$C$6="すべて",'CSV抽出'!$C$6="",D115='CSV抽出'!$C$6),OR('CSV抽出'!$C$7="",B115&amp;""='CSV抽出'!$C$7&amp;"")),1,0))</f>
        <v/>
      </c>
      <c r="AI115" s="20">
        <f>IF(AH115=1,SUM($AH$5:AH115),"")</f>
        <v/>
      </c>
      <c r="AJ115" s="20">
        <f>IF(OR(S115="",'報告書'!$C$4=""),"",IF(S115&amp;""='報告書'!$C$4&amp;"",COUNTIF($S$5:S115,'報告書'!$C$4),""))</f>
        <v/>
      </c>
      <c r="AK115" s="20" t="n"/>
      <c r="AL115" s="47" t="n"/>
      <c r="AM115" s="47" t="n"/>
      <c r="AN115" s="53" t="n"/>
      <c r="AO115" s="47" t="n"/>
      <c r="AP115" s="47" t="n"/>
      <c r="AQ115" s="47" t="n"/>
      <c r="AR115" s="47" t="n"/>
      <c r="AS115" s="47" t="n"/>
      <c r="AT115" s="47" t="n"/>
      <c r="AU115" s="47" t="n"/>
      <c r="AV115" s="47" t="n"/>
      <c r="AW115" s="52" t="n"/>
    </row>
    <row r="116">
      <c r="A116" s="48" t="n"/>
      <c r="B116" s="52" t="n"/>
      <c r="C116" s="47">
        <f>IF(B116="","",IFERROR(INDEX('隊員マスタ'!$B$5:$B$204,MATCH(B116&amp;"",'隊員マスタ'!$F$5:$F$204,0)),IF(AK116="","番号なし",AK116)))</f>
        <v/>
      </c>
      <c r="D116" s="47" t="n"/>
      <c r="E116" s="47" t="n"/>
      <c r="F116" s="47" t="n"/>
      <c r="G116" s="47" t="n"/>
      <c r="H116" s="47" t="n"/>
      <c r="I116" s="47" t="n"/>
      <c r="J116" s="47" t="n"/>
      <c r="K116" s="47" t="n"/>
      <c r="L116" s="47" t="n"/>
      <c r="M116" s="47" t="n"/>
      <c r="N116" s="47" t="n"/>
      <c r="O116" s="47" t="n"/>
      <c r="P116" s="47" t="n"/>
      <c r="Q116" s="47" t="n"/>
      <c r="R116" s="47" t="n"/>
      <c r="S116" s="47" t="n"/>
      <c r="T116" s="47" t="n"/>
      <c r="U116" s="53" t="n"/>
      <c r="V116" s="53" t="n"/>
      <c r="W116" s="47" t="n"/>
      <c r="X116" s="47" t="n"/>
      <c r="Y116" s="47" t="n"/>
      <c r="Z116" s="47" t="n"/>
      <c r="AA116" s="47" t="n"/>
      <c r="AB116" s="47" t="n"/>
      <c r="AC116" s="47" t="n"/>
      <c r="AD116" s="47" t="n"/>
      <c r="AE116" s="47" t="n"/>
      <c r="AF116" s="20">
        <f>IF(A116="","",YEAR(EDATE(A116,-3)))</f>
        <v/>
      </c>
      <c r="AG116" s="20">
        <f>IF(OR(B116="",'経歴簿'!$C$4=""),"",IF(B116&amp;""='経歴簿'!$C$4&amp;"",MAX($AG$4:AG115)+1,""))</f>
        <v/>
      </c>
      <c r="AH116" s="20">
        <f>IF(A116="",0,IF(AND(OR('CSV抽出'!$C$4="",A116&gt;='CSV抽出'!$C$4),OR('CSV抽出'!$C$5="",A116&lt;='CSV抽出'!$C$5),OR('CSV抽出'!$C$6="すべて",'CSV抽出'!$C$6="",D116='CSV抽出'!$C$6),OR('CSV抽出'!$C$7="",B116&amp;""='CSV抽出'!$C$7&amp;"")),1,0))</f>
        <v/>
      </c>
      <c r="AI116" s="20">
        <f>IF(AH116=1,SUM($AH$5:AH116),"")</f>
        <v/>
      </c>
      <c r="AJ116" s="20">
        <f>IF(OR(S116="",'報告書'!$C$4=""),"",IF(S116&amp;""='報告書'!$C$4&amp;"",COUNTIF($S$5:S116,'報告書'!$C$4),""))</f>
        <v/>
      </c>
      <c r="AK116" s="20" t="n"/>
      <c r="AL116" s="47" t="n"/>
      <c r="AM116" s="47" t="n"/>
      <c r="AN116" s="53" t="n"/>
      <c r="AO116" s="47" t="n"/>
      <c r="AP116" s="47" t="n"/>
      <c r="AQ116" s="47" t="n"/>
      <c r="AR116" s="47" t="n"/>
      <c r="AS116" s="47" t="n"/>
      <c r="AT116" s="47" t="n"/>
      <c r="AU116" s="47" t="n"/>
      <c r="AV116" s="47" t="n"/>
      <c r="AW116" s="52" t="n"/>
    </row>
    <row r="117">
      <c r="A117" s="48" t="n"/>
      <c r="B117" s="52" t="n"/>
      <c r="C117" s="47">
        <f>IF(B117="","",IFERROR(INDEX('隊員マスタ'!$B$5:$B$204,MATCH(B117&amp;"",'隊員マスタ'!$F$5:$F$204,0)),IF(AK117="","番号なし",AK117)))</f>
        <v/>
      </c>
      <c r="D117" s="47" t="n"/>
      <c r="E117" s="47" t="n"/>
      <c r="F117" s="47" t="n"/>
      <c r="G117" s="47" t="n"/>
      <c r="H117" s="47" t="n"/>
      <c r="I117" s="47" t="n"/>
      <c r="J117" s="47" t="n"/>
      <c r="K117" s="47" t="n"/>
      <c r="L117" s="47" t="n"/>
      <c r="M117" s="47" t="n"/>
      <c r="N117" s="47" t="n"/>
      <c r="O117" s="47" t="n"/>
      <c r="P117" s="47" t="n"/>
      <c r="Q117" s="47" t="n"/>
      <c r="R117" s="47" t="n"/>
      <c r="S117" s="47" t="n"/>
      <c r="T117" s="47" t="n"/>
      <c r="U117" s="53" t="n"/>
      <c r="V117" s="53" t="n"/>
      <c r="W117" s="47" t="n"/>
      <c r="X117" s="47" t="n"/>
      <c r="Y117" s="47" t="n"/>
      <c r="Z117" s="47" t="n"/>
      <c r="AA117" s="47" t="n"/>
      <c r="AB117" s="47" t="n"/>
      <c r="AC117" s="47" t="n"/>
      <c r="AD117" s="47" t="n"/>
      <c r="AE117" s="47" t="n"/>
      <c r="AF117" s="20">
        <f>IF(A117="","",YEAR(EDATE(A117,-3)))</f>
        <v/>
      </c>
      <c r="AG117" s="20">
        <f>IF(OR(B117="",'経歴簿'!$C$4=""),"",IF(B117&amp;""='経歴簿'!$C$4&amp;"",MAX($AG$4:AG116)+1,""))</f>
        <v/>
      </c>
      <c r="AH117" s="20">
        <f>IF(A117="",0,IF(AND(OR('CSV抽出'!$C$4="",A117&gt;='CSV抽出'!$C$4),OR('CSV抽出'!$C$5="",A117&lt;='CSV抽出'!$C$5),OR('CSV抽出'!$C$6="すべて",'CSV抽出'!$C$6="",D117='CSV抽出'!$C$6),OR('CSV抽出'!$C$7="",B117&amp;""='CSV抽出'!$C$7&amp;"")),1,0))</f>
        <v/>
      </c>
      <c r="AI117" s="20">
        <f>IF(AH117=1,SUM($AH$5:AH117),"")</f>
        <v/>
      </c>
      <c r="AJ117" s="20">
        <f>IF(OR(S117="",'報告書'!$C$4=""),"",IF(S117&amp;""='報告書'!$C$4&amp;"",COUNTIF($S$5:S117,'報告書'!$C$4),""))</f>
        <v/>
      </c>
      <c r="AK117" s="20" t="n"/>
      <c r="AL117" s="47" t="n"/>
      <c r="AM117" s="47" t="n"/>
      <c r="AN117" s="53" t="n"/>
      <c r="AO117" s="47" t="n"/>
      <c r="AP117" s="47" t="n"/>
      <c r="AQ117" s="47" t="n"/>
      <c r="AR117" s="47" t="n"/>
      <c r="AS117" s="47" t="n"/>
      <c r="AT117" s="47" t="n"/>
      <c r="AU117" s="47" t="n"/>
      <c r="AV117" s="47" t="n"/>
      <c r="AW117" s="52" t="n"/>
    </row>
    <row r="118">
      <c r="A118" s="48" t="n"/>
      <c r="B118" s="52" t="n"/>
      <c r="C118" s="47">
        <f>IF(B118="","",IFERROR(INDEX('隊員マスタ'!$B$5:$B$204,MATCH(B118&amp;"",'隊員マスタ'!$F$5:$F$204,0)),IF(AK118="","番号なし",AK118)))</f>
        <v/>
      </c>
      <c r="D118" s="47" t="n"/>
      <c r="E118" s="47" t="n"/>
      <c r="F118" s="47" t="n"/>
      <c r="G118" s="47" t="n"/>
      <c r="H118" s="47" t="n"/>
      <c r="I118" s="47" t="n"/>
      <c r="J118" s="47" t="n"/>
      <c r="K118" s="47" t="n"/>
      <c r="L118" s="47" t="n"/>
      <c r="M118" s="47" t="n"/>
      <c r="N118" s="47" t="n"/>
      <c r="O118" s="47" t="n"/>
      <c r="P118" s="47" t="n"/>
      <c r="Q118" s="47" t="n"/>
      <c r="R118" s="47" t="n"/>
      <c r="S118" s="47" t="n"/>
      <c r="T118" s="47" t="n"/>
      <c r="U118" s="53" t="n"/>
      <c r="V118" s="53" t="n"/>
      <c r="W118" s="47" t="n"/>
      <c r="X118" s="47" t="n"/>
      <c r="Y118" s="47" t="n"/>
      <c r="Z118" s="47" t="n"/>
      <c r="AA118" s="47" t="n"/>
      <c r="AB118" s="47" t="n"/>
      <c r="AC118" s="47" t="n"/>
      <c r="AD118" s="47" t="n"/>
      <c r="AE118" s="47" t="n"/>
      <c r="AF118" s="20">
        <f>IF(A118="","",YEAR(EDATE(A118,-3)))</f>
        <v/>
      </c>
      <c r="AG118" s="20">
        <f>IF(OR(B118="",'経歴簿'!$C$4=""),"",IF(B118&amp;""='経歴簿'!$C$4&amp;"",MAX($AG$4:AG117)+1,""))</f>
        <v/>
      </c>
      <c r="AH118" s="20">
        <f>IF(A118="",0,IF(AND(OR('CSV抽出'!$C$4="",A118&gt;='CSV抽出'!$C$4),OR('CSV抽出'!$C$5="",A118&lt;='CSV抽出'!$C$5),OR('CSV抽出'!$C$6="すべて",'CSV抽出'!$C$6="",D118='CSV抽出'!$C$6),OR('CSV抽出'!$C$7="",B118&amp;""='CSV抽出'!$C$7&amp;"")),1,0))</f>
        <v/>
      </c>
      <c r="AI118" s="20">
        <f>IF(AH118=1,SUM($AH$5:AH118),"")</f>
        <v/>
      </c>
      <c r="AJ118" s="20">
        <f>IF(OR(S118="",'報告書'!$C$4=""),"",IF(S118&amp;""='報告書'!$C$4&amp;"",COUNTIF($S$5:S118,'報告書'!$C$4),""))</f>
        <v/>
      </c>
      <c r="AK118" s="20" t="n"/>
      <c r="AL118" s="47" t="n"/>
      <c r="AM118" s="47" t="n"/>
      <c r="AN118" s="53" t="n"/>
      <c r="AO118" s="47" t="n"/>
      <c r="AP118" s="47" t="n"/>
      <c r="AQ118" s="47" t="n"/>
      <c r="AR118" s="47" t="n"/>
      <c r="AS118" s="47" t="n"/>
      <c r="AT118" s="47" t="n"/>
      <c r="AU118" s="47" t="n"/>
      <c r="AV118" s="47" t="n"/>
      <c r="AW118" s="52" t="n"/>
    </row>
    <row r="119">
      <c r="A119" s="48" t="n"/>
      <c r="B119" s="52" t="n"/>
      <c r="C119" s="47">
        <f>IF(B119="","",IFERROR(INDEX('隊員マスタ'!$B$5:$B$204,MATCH(B119&amp;"",'隊員マスタ'!$F$5:$F$204,0)),IF(AK119="","番号なし",AK119)))</f>
        <v/>
      </c>
      <c r="D119" s="47" t="n"/>
      <c r="E119" s="47" t="n"/>
      <c r="F119" s="47" t="n"/>
      <c r="G119" s="47" t="n"/>
      <c r="H119" s="47" t="n"/>
      <c r="I119" s="47" t="n"/>
      <c r="J119" s="47" t="n"/>
      <c r="K119" s="47" t="n"/>
      <c r="L119" s="47" t="n"/>
      <c r="M119" s="47" t="n"/>
      <c r="N119" s="47" t="n"/>
      <c r="O119" s="47" t="n"/>
      <c r="P119" s="47" t="n"/>
      <c r="Q119" s="47" t="n"/>
      <c r="R119" s="47" t="n"/>
      <c r="S119" s="47" t="n"/>
      <c r="T119" s="47" t="n"/>
      <c r="U119" s="53" t="n"/>
      <c r="V119" s="53" t="n"/>
      <c r="W119" s="47" t="n"/>
      <c r="X119" s="47" t="n"/>
      <c r="Y119" s="47" t="n"/>
      <c r="Z119" s="47" t="n"/>
      <c r="AA119" s="47" t="n"/>
      <c r="AB119" s="47" t="n"/>
      <c r="AC119" s="47" t="n"/>
      <c r="AD119" s="47" t="n"/>
      <c r="AE119" s="47" t="n"/>
      <c r="AF119" s="20">
        <f>IF(A119="","",YEAR(EDATE(A119,-3)))</f>
        <v/>
      </c>
      <c r="AG119" s="20">
        <f>IF(OR(B119="",'経歴簿'!$C$4=""),"",IF(B119&amp;""='経歴簿'!$C$4&amp;"",MAX($AG$4:AG118)+1,""))</f>
        <v/>
      </c>
      <c r="AH119" s="20">
        <f>IF(A119="",0,IF(AND(OR('CSV抽出'!$C$4="",A119&gt;='CSV抽出'!$C$4),OR('CSV抽出'!$C$5="",A119&lt;='CSV抽出'!$C$5),OR('CSV抽出'!$C$6="すべて",'CSV抽出'!$C$6="",D119='CSV抽出'!$C$6),OR('CSV抽出'!$C$7="",B119&amp;""='CSV抽出'!$C$7&amp;"")),1,0))</f>
        <v/>
      </c>
      <c r="AI119" s="20">
        <f>IF(AH119=1,SUM($AH$5:AH119),"")</f>
        <v/>
      </c>
      <c r="AJ119" s="20">
        <f>IF(OR(S119="",'報告書'!$C$4=""),"",IF(S119&amp;""='報告書'!$C$4&amp;"",COUNTIF($S$5:S119,'報告書'!$C$4),""))</f>
        <v/>
      </c>
      <c r="AK119" s="20" t="n"/>
      <c r="AL119" s="47" t="n"/>
      <c r="AM119" s="47" t="n"/>
      <c r="AN119" s="53" t="n"/>
      <c r="AO119" s="47" t="n"/>
      <c r="AP119" s="47" t="n"/>
      <c r="AQ119" s="47" t="n"/>
      <c r="AR119" s="47" t="n"/>
      <c r="AS119" s="47" t="n"/>
      <c r="AT119" s="47" t="n"/>
      <c r="AU119" s="47" t="n"/>
      <c r="AV119" s="47" t="n"/>
      <c r="AW119" s="52" t="n"/>
    </row>
    <row r="120">
      <c r="A120" s="48" t="n"/>
      <c r="B120" s="52" t="n"/>
      <c r="C120" s="47">
        <f>IF(B120="","",IFERROR(INDEX('隊員マスタ'!$B$5:$B$204,MATCH(B120&amp;"",'隊員マスタ'!$F$5:$F$204,0)),IF(AK120="","番号なし",AK120)))</f>
        <v/>
      </c>
      <c r="D120" s="47" t="n"/>
      <c r="E120" s="47" t="n"/>
      <c r="F120" s="47" t="n"/>
      <c r="G120" s="47" t="n"/>
      <c r="H120" s="47" t="n"/>
      <c r="I120" s="47" t="n"/>
      <c r="J120" s="47" t="n"/>
      <c r="K120" s="47" t="n"/>
      <c r="L120" s="47" t="n"/>
      <c r="M120" s="47" t="n"/>
      <c r="N120" s="47" t="n"/>
      <c r="O120" s="47" t="n"/>
      <c r="P120" s="47" t="n"/>
      <c r="Q120" s="47" t="n"/>
      <c r="R120" s="47" t="n"/>
      <c r="S120" s="47" t="n"/>
      <c r="T120" s="47" t="n"/>
      <c r="U120" s="53" t="n"/>
      <c r="V120" s="53" t="n"/>
      <c r="W120" s="47" t="n"/>
      <c r="X120" s="47" t="n"/>
      <c r="Y120" s="47" t="n"/>
      <c r="Z120" s="47" t="n"/>
      <c r="AA120" s="47" t="n"/>
      <c r="AB120" s="47" t="n"/>
      <c r="AC120" s="47" t="n"/>
      <c r="AD120" s="47" t="n"/>
      <c r="AE120" s="47" t="n"/>
      <c r="AF120" s="20">
        <f>IF(A120="","",YEAR(EDATE(A120,-3)))</f>
        <v/>
      </c>
      <c r="AG120" s="20">
        <f>IF(OR(B120="",'経歴簿'!$C$4=""),"",IF(B120&amp;""='経歴簿'!$C$4&amp;"",MAX($AG$4:AG119)+1,""))</f>
        <v/>
      </c>
      <c r="AH120" s="20">
        <f>IF(A120="",0,IF(AND(OR('CSV抽出'!$C$4="",A120&gt;='CSV抽出'!$C$4),OR('CSV抽出'!$C$5="",A120&lt;='CSV抽出'!$C$5),OR('CSV抽出'!$C$6="すべて",'CSV抽出'!$C$6="",D120='CSV抽出'!$C$6),OR('CSV抽出'!$C$7="",B120&amp;""='CSV抽出'!$C$7&amp;"")),1,0))</f>
        <v/>
      </c>
      <c r="AI120" s="20">
        <f>IF(AH120=1,SUM($AH$5:AH120),"")</f>
        <v/>
      </c>
      <c r="AJ120" s="20">
        <f>IF(OR(S120="",'報告書'!$C$4=""),"",IF(S120&amp;""='報告書'!$C$4&amp;"",COUNTIF($S$5:S120,'報告書'!$C$4),""))</f>
        <v/>
      </c>
      <c r="AK120" s="20" t="n"/>
      <c r="AL120" s="47" t="n"/>
      <c r="AM120" s="47" t="n"/>
      <c r="AN120" s="53" t="n"/>
      <c r="AO120" s="47" t="n"/>
      <c r="AP120" s="47" t="n"/>
      <c r="AQ120" s="47" t="n"/>
      <c r="AR120" s="47" t="n"/>
      <c r="AS120" s="47" t="n"/>
      <c r="AT120" s="47" t="n"/>
      <c r="AU120" s="47" t="n"/>
      <c r="AV120" s="47" t="n"/>
      <c r="AW120" s="52" t="n"/>
    </row>
    <row r="121">
      <c r="A121" s="48" t="n"/>
      <c r="B121" s="52" t="n"/>
      <c r="C121" s="47">
        <f>IF(B121="","",IFERROR(INDEX('隊員マスタ'!$B$5:$B$204,MATCH(B121&amp;"",'隊員マスタ'!$F$5:$F$204,0)),IF(AK121="","番号なし",AK121)))</f>
        <v/>
      </c>
      <c r="D121" s="47" t="n"/>
      <c r="E121" s="47" t="n"/>
      <c r="F121" s="47" t="n"/>
      <c r="G121" s="47" t="n"/>
      <c r="H121" s="47" t="n"/>
      <c r="I121" s="47" t="n"/>
      <c r="J121" s="47" t="n"/>
      <c r="K121" s="47" t="n"/>
      <c r="L121" s="47" t="n"/>
      <c r="M121" s="47" t="n"/>
      <c r="N121" s="47" t="n"/>
      <c r="O121" s="47" t="n"/>
      <c r="P121" s="47" t="n"/>
      <c r="Q121" s="47" t="n"/>
      <c r="R121" s="47" t="n"/>
      <c r="S121" s="47" t="n"/>
      <c r="T121" s="47" t="n"/>
      <c r="U121" s="53" t="n"/>
      <c r="V121" s="53" t="n"/>
      <c r="W121" s="47" t="n"/>
      <c r="X121" s="47" t="n"/>
      <c r="Y121" s="47" t="n"/>
      <c r="Z121" s="47" t="n"/>
      <c r="AA121" s="47" t="n"/>
      <c r="AB121" s="47" t="n"/>
      <c r="AC121" s="47" t="n"/>
      <c r="AD121" s="47" t="n"/>
      <c r="AE121" s="47" t="n"/>
      <c r="AF121" s="20">
        <f>IF(A121="","",YEAR(EDATE(A121,-3)))</f>
        <v/>
      </c>
      <c r="AG121" s="20">
        <f>IF(OR(B121="",'経歴簿'!$C$4=""),"",IF(B121&amp;""='経歴簿'!$C$4&amp;"",MAX($AG$4:AG120)+1,""))</f>
        <v/>
      </c>
      <c r="AH121" s="20">
        <f>IF(A121="",0,IF(AND(OR('CSV抽出'!$C$4="",A121&gt;='CSV抽出'!$C$4),OR('CSV抽出'!$C$5="",A121&lt;='CSV抽出'!$C$5),OR('CSV抽出'!$C$6="すべて",'CSV抽出'!$C$6="",D121='CSV抽出'!$C$6),OR('CSV抽出'!$C$7="",B121&amp;""='CSV抽出'!$C$7&amp;"")),1,0))</f>
        <v/>
      </c>
      <c r="AI121" s="20">
        <f>IF(AH121=1,SUM($AH$5:AH121),"")</f>
        <v/>
      </c>
      <c r="AJ121" s="20">
        <f>IF(OR(S121="",'報告書'!$C$4=""),"",IF(S121&amp;""='報告書'!$C$4&amp;"",COUNTIF($S$5:S121,'報告書'!$C$4),""))</f>
        <v/>
      </c>
      <c r="AK121" s="20" t="n"/>
      <c r="AL121" s="47" t="n"/>
      <c r="AM121" s="47" t="n"/>
      <c r="AN121" s="53" t="n"/>
      <c r="AO121" s="47" t="n"/>
      <c r="AP121" s="47" t="n"/>
      <c r="AQ121" s="47" t="n"/>
      <c r="AR121" s="47" t="n"/>
      <c r="AS121" s="47" t="n"/>
      <c r="AT121" s="47" t="n"/>
      <c r="AU121" s="47" t="n"/>
      <c r="AV121" s="47" t="n"/>
      <c r="AW121" s="52" t="n"/>
    </row>
    <row r="122">
      <c r="A122" s="48" t="n"/>
      <c r="B122" s="52" t="n"/>
      <c r="C122" s="47">
        <f>IF(B122="","",IFERROR(INDEX('隊員マスタ'!$B$5:$B$204,MATCH(B122&amp;"",'隊員マスタ'!$F$5:$F$204,0)),IF(AK122="","番号なし",AK122)))</f>
        <v/>
      </c>
      <c r="D122" s="47" t="n"/>
      <c r="E122" s="47" t="n"/>
      <c r="F122" s="47" t="n"/>
      <c r="G122" s="47" t="n"/>
      <c r="H122" s="47" t="n"/>
      <c r="I122" s="47" t="n"/>
      <c r="J122" s="47" t="n"/>
      <c r="K122" s="47" t="n"/>
      <c r="L122" s="47" t="n"/>
      <c r="M122" s="47" t="n"/>
      <c r="N122" s="47" t="n"/>
      <c r="O122" s="47" t="n"/>
      <c r="P122" s="47" t="n"/>
      <c r="Q122" s="47" t="n"/>
      <c r="R122" s="47" t="n"/>
      <c r="S122" s="47" t="n"/>
      <c r="T122" s="47" t="n"/>
      <c r="U122" s="53" t="n"/>
      <c r="V122" s="53" t="n"/>
      <c r="W122" s="47" t="n"/>
      <c r="X122" s="47" t="n"/>
      <c r="Y122" s="47" t="n"/>
      <c r="Z122" s="47" t="n"/>
      <c r="AA122" s="47" t="n"/>
      <c r="AB122" s="47" t="n"/>
      <c r="AC122" s="47" t="n"/>
      <c r="AD122" s="47" t="n"/>
      <c r="AE122" s="47" t="n"/>
      <c r="AF122" s="20">
        <f>IF(A122="","",YEAR(EDATE(A122,-3)))</f>
        <v/>
      </c>
      <c r="AG122" s="20">
        <f>IF(OR(B122="",'経歴簿'!$C$4=""),"",IF(B122&amp;""='経歴簿'!$C$4&amp;"",MAX($AG$4:AG121)+1,""))</f>
        <v/>
      </c>
      <c r="AH122" s="20">
        <f>IF(A122="",0,IF(AND(OR('CSV抽出'!$C$4="",A122&gt;='CSV抽出'!$C$4),OR('CSV抽出'!$C$5="",A122&lt;='CSV抽出'!$C$5),OR('CSV抽出'!$C$6="すべて",'CSV抽出'!$C$6="",D122='CSV抽出'!$C$6),OR('CSV抽出'!$C$7="",B122&amp;""='CSV抽出'!$C$7&amp;"")),1,0))</f>
        <v/>
      </c>
      <c r="AI122" s="20">
        <f>IF(AH122=1,SUM($AH$5:AH122),"")</f>
        <v/>
      </c>
      <c r="AJ122" s="20">
        <f>IF(OR(S122="",'報告書'!$C$4=""),"",IF(S122&amp;""='報告書'!$C$4&amp;"",COUNTIF($S$5:S122,'報告書'!$C$4),""))</f>
        <v/>
      </c>
      <c r="AK122" s="20" t="n"/>
      <c r="AL122" s="47" t="n"/>
      <c r="AM122" s="47" t="n"/>
      <c r="AN122" s="53" t="n"/>
      <c r="AO122" s="47" t="n"/>
      <c r="AP122" s="47" t="n"/>
      <c r="AQ122" s="47" t="n"/>
      <c r="AR122" s="47" t="n"/>
      <c r="AS122" s="47" t="n"/>
      <c r="AT122" s="47" t="n"/>
      <c r="AU122" s="47" t="n"/>
      <c r="AV122" s="47" t="n"/>
      <c r="AW122" s="52" t="n"/>
    </row>
    <row r="123">
      <c r="A123" s="48" t="n"/>
      <c r="B123" s="52" t="n"/>
      <c r="C123" s="47">
        <f>IF(B123="","",IFERROR(INDEX('隊員マスタ'!$B$5:$B$204,MATCH(B123&amp;"",'隊員マスタ'!$F$5:$F$204,0)),IF(AK123="","番号なし",AK123)))</f>
        <v/>
      </c>
      <c r="D123" s="47" t="n"/>
      <c r="E123" s="47" t="n"/>
      <c r="F123" s="47" t="n"/>
      <c r="G123" s="47" t="n"/>
      <c r="H123" s="47" t="n"/>
      <c r="I123" s="47" t="n"/>
      <c r="J123" s="47" t="n"/>
      <c r="K123" s="47" t="n"/>
      <c r="L123" s="47" t="n"/>
      <c r="M123" s="47" t="n"/>
      <c r="N123" s="47" t="n"/>
      <c r="O123" s="47" t="n"/>
      <c r="P123" s="47" t="n"/>
      <c r="Q123" s="47" t="n"/>
      <c r="R123" s="47" t="n"/>
      <c r="S123" s="47" t="n"/>
      <c r="T123" s="47" t="n"/>
      <c r="U123" s="53" t="n"/>
      <c r="V123" s="53" t="n"/>
      <c r="W123" s="47" t="n"/>
      <c r="X123" s="47" t="n"/>
      <c r="Y123" s="47" t="n"/>
      <c r="Z123" s="47" t="n"/>
      <c r="AA123" s="47" t="n"/>
      <c r="AB123" s="47" t="n"/>
      <c r="AC123" s="47" t="n"/>
      <c r="AD123" s="47" t="n"/>
      <c r="AE123" s="47" t="n"/>
      <c r="AF123" s="20">
        <f>IF(A123="","",YEAR(EDATE(A123,-3)))</f>
        <v/>
      </c>
      <c r="AG123" s="20">
        <f>IF(OR(B123="",'経歴簿'!$C$4=""),"",IF(B123&amp;""='経歴簿'!$C$4&amp;"",MAX($AG$4:AG122)+1,""))</f>
        <v/>
      </c>
      <c r="AH123" s="20">
        <f>IF(A123="",0,IF(AND(OR('CSV抽出'!$C$4="",A123&gt;='CSV抽出'!$C$4),OR('CSV抽出'!$C$5="",A123&lt;='CSV抽出'!$C$5),OR('CSV抽出'!$C$6="すべて",'CSV抽出'!$C$6="",D123='CSV抽出'!$C$6),OR('CSV抽出'!$C$7="",B123&amp;""='CSV抽出'!$C$7&amp;"")),1,0))</f>
        <v/>
      </c>
      <c r="AI123" s="20">
        <f>IF(AH123=1,SUM($AH$5:AH123),"")</f>
        <v/>
      </c>
      <c r="AJ123" s="20">
        <f>IF(OR(S123="",'報告書'!$C$4=""),"",IF(S123&amp;""='報告書'!$C$4&amp;"",COUNTIF($S$5:S123,'報告書'!$C$4),""))</f>
        <v/>
      </c>
      <c r="AK123" s="20" t="n"/>
      <c r="AL123" s="47" t="n"/>
      <c r="AM123" s="47" t="n"/>
      <c r="AN123" s="53" t="n"/>
      <c r="AO123" s="47" t="n"/>
      <c r="AP123" s="47" t="n"/>
      <c r="AQ123" s="47" t="n"/>
      <c r="AR123" s="47" t="n"/>
      <c r="AS123" s="47" t="n"/>
      <c r="AT123" s="47" t="n"/>
      <c r="AU123" s="47" t="n"/>
      <c r="AV123" s="47" t="n"/>
      <c r="AW123" s="52" t="n"/>
    </row>
    <row r="124">
      <c r="A124" s="48" t="n"/>
      <c r="B124" s="52" t="n"/>
      <c r="C124" s="47">
        <f>IF(B124="","",IFERROR(INDEX('隊員マスタ'!$B$5:$B$204,MATCH(B124&amp;"",'隊員マスタ'!$F$5:$F$204,0)),IF(AK124="","番号なし",AK124)))</f>
        <v/>
      </c>
      <c r="D124" s="47" t="n"/>
      <c r="E124" s="47" t="n"/>
      <c r="F124" s="47" t="n"/>
      <c r="G124" s="47" t="n"/>
      <c r="H124" s="47" t="n"/>
      <c r="I124" s="47" t="n"/>
      <c r="J124" s="47" t="n"/>
      <c r="K124" s="47" t="n"/>
      <c r="L124" s="47" t="n"/>
      <c r="M124" s="47" t="n"/>
      <c r="N124" s="47" t="n"/>
      <c r="O124" s="47" t="n"/>
      <c r="P124" s="47" t="n"/>
      <c r="Q124" s="47" t="n"/>
      <c r="R124" s="47" t="n"/>
      <c r="S124" s="47" t="n"/>
      <c r="T124" s="47" t="n"/>
      <c r="U124" s="53" t="n"/>
      <c r="V124" s="53" t="n"/>
      <c r="W124" s="47" t="n"/>
      <c r="X124" s="47" t="n"/>
      <c r="Y124" s="47" t="n"/>
      <c r="Z124" s="47" t="n"/>
      <c r="AA124" s="47" t="n"/>
      <c r="AB124" s="47" t="n"/>
      <c r="AC124" s="47" t="n"/>
      <c r="AD124" s="47" t="n"/>
      <c r="AE124" s="47" t="n"/>
      <c r="AF124" s="20">
        <f>IF(A124="","",YEAR(EDATE(A124,-3)))</f>
        <v/>
      </c>
      <c r="AG124" s="20">
        <f>IF(OR(B124="",'経歴簿'!$C$4=""),"",IF(B124&amp;""='経歴簿'!$C$4&amp;"",MAX($AG$4:AG123)+1,""))</f>
        <v/>
      </c>
      <c r="AH124" s="20">
        <f>IF(A124="",0,IF(AND(OR('CSV抽出'!$C$4="",A124&gt;='CSV抽出'!$C$4),OR('CSV抽出'!$C$5="",A124&lt;='CSV抽出'!$C$5),OR('CSV抽出'!$C$6="すべて",'CSV抽出'!$C$6="",D124='CSV抽出'!$C$6),OR('CSV抽出'!$C$7="",B124&amp;""='CSV抽出'!$C$7&amp;"")),1,0))</f>
        <v/>
      </c>
      <c r="AI124" s="20">
        <f>IF(AH124=1,SUM($AH$5:AH124),"")</f>
        <v/>
      </c>
      <c r="AJ124" s="20">
        <f>IF(OR(S124="",'報告書'!$C$4=""),"",IF(S124&amp;""='報告書'!$C$4&amp;"",COUNTIF($S$5:S124,'報告書'!$C$4),""))</f>
        <v/>
      </c>
      <c r="AK124" s="20" t="n"/>
      <c r="AL124" s="47" t="n"/>
      <c r="AM124" s="47" t="n"/>
      <c r="AN124" s="53" t="n"/>
      <c r="AO124" s="47" t="n"/>
      <c r="AP124" s="47" t="n"/>
      <c r="AQ124" s="47" t="n"/>
      <c r="AR124" s="47" t="n"/>
      <c r="AS124" s="47" t="n"/>
      <c r="AT124" s="47" t="n"/>
      <c r="AU124" s="47" t="n"/>
      <c r="AV124" s="47" t="n"/>
      <c r="AW124" s="52" t="n"/>
    </row>
    <row r="125">
      <c r="A125" s="48" t="n"/>
      <c r="B125" s="52" t="n"/>
      <c r="C125" s="47">
        <f>IF(B125="","",IFERROR(INDEX('隊員マスタ'!$B$5:$B$204,MATCH(B125&amp;"",'隊員マスタ'!$F$5:$F$204,0)),IF(AK125="","番号なし",AK125)))</f>
        <v/>
      </c>
      <c r="D125" s="47" t="n"/>
      <c r="E125" s="47" t="n"/>
      <c r="F125" s="47" t="n"/>
      <c r="G125" s="47" t="n"/>
      <c r="H125" s="47" t="n"/>
      <c r="I125" s="47" t="n"/>
      <c r="J125" s="47" t="n"/>
      <c r="K125" s="47" t="n"/>
      <c r="L125" s="47" t="n"/>
      <c r="M125" s="47" t="n"/>
      <c r="N125" s="47" t="n"/>
      <c r="O125" s="47" t="n"/>
      <c r="P125" s="47" t="n"/>
      <c r="Q125" s="47" t="n"/>
      <c r="R125" s="47" t="n"/>
      <c r="S125" s="47" t="n"/>
      <c r="T125" s="47" t="n"/>
      <c r="U125" s="53" t="n"/>
      <c r="V125" s="53" t="n"/>
      <c r="W125" s="47" t="n"/>
      <c r="X125" s="47" t="n"/>
      <c r="Y125" s="47" t="n"/>
      <c r="Z125" s="47" t="n"/>
      <c r="AA125" s="47" t="n"/>
      <c r="AB125" s="47" t="n"/>
      <c r="AC125" s="47" t="n"/>
      <c r="AD125" s="47" t="n"/>
      <c r="AE125" s="47" t="n"/>
      <c r="AF125" s="20">
        <f>IF(A125="","",YEAR(EDATE(A125,-3)))</f>
        <v/>
      </c>
      <c r="AG125" s="20">
        <f>IF(OR(B125="",'経歴簿'!$C$4=""),"",IF(B125&amp;""='経歴簿'!$C$4&amp;"",MAX($AG$4:AG124)+1,""))</f>
        <v/>
      </c>
      <c r="AH125" s="20">
        <f>IF(A125="",0,IF(AND(OR('CSV抽出'!$C$4="",A125&gt;='CSV抽出'!$C$4),OR('CSV抽出'!$C$5="",A125&lt;='CSV抽出'!$C$5),OR('CSV抽出'!$C$6="すべて",'CSV抽出'!$C$6="",D125='CSV抽出'!$C$6),OR('CSV抽出'!$C$7="",B125&amp;""='CSV抽出'!$C$7&amp;"")),1,0))</f>
        <v/>
      </c>
      <c r="AI125" s="20">
        <f>IF(AH125=1,SUM($AH$5:AH125),"")</f>
        <v/>
      </c>
      <c r="AJ125" s="20">
        <f>IF(OR(S125="",'報告書'!$C$4=""),"",IF(S125&amp;""='報告書'!$C$4&amp;"",COUNTIF($S$5:S125,'報告書'!$C$4),""))</f>
        <v/>
      </c>
      <c r="AK125" s="20" t="n"/>
      <c r="AL125" s="47" t="n"/>
      <c r="AM125" s="47" t="n"/>
      <c r="AN125" s="53" t="n"/>
      <c r="AO125" s="47" t="n"/>
      <c r="AP125" s="47" t="n"/>
      <c r="AQ125" s="47" t="n"/>
      <c r="AR125" s="47" t="n"/>
      <c r="AS125" s="47" t="n"/>
      <c r="AT125" s="47" t="n"/>
      <c r="AU125" s="47" t="n"/>
      <c r="AV125" s="47" t="n"/>
      <c r="AW125" s="52" t="n"/>
    </row>
    <row r="126">
      <c r="A126" s="48" t="n"/>
      <c r="B126" s="52" t="n"/>
      <c r="C126" s="47">
        <f>IF(B126="","",IFERROR(INDEX('隊員マスタ'!$B$5:$B$204,MATCH(B126&amp;"",'隊員マスタ'!$F$5:$F$204,0)),IF(AK126="","番号なし",AK126)))</f>
        <v/>
      </c>
      <c r="D126" s="47" t="n"/>
      <c r="E126" s="47" t="n"/>
      <c r="F126" s="47" t="n"/>
      <c r="G126" s="47" t="n"/>
      <c r="H126" s="47" t="n"/>
      <c r="I126" s="47" t="n"/>
      <c r="J126" s="47" t="n"/>
      <c r="K126" s="47" t="n"/>
      <c r="L126" s="47" t="n"/>
      <c r="M126" s="47" t="n"/>
      <c r="N126" s="47" t="n"/>
      <c r="O126" s="47" t="n"/>
      <c r="P126" s="47" t="n"/>
      <c r="Q126" s="47" t="n"/>
      <c r="R126" s="47" t="n"/>
      <c r="S126" s="47" t="n"/>
      <c r="T126" s="47" t="n"/>
      <c r="U126" s="53" t="n"/>
      <c r="V126" s="53" t="n"/>
      <c r="W126" s="47" t="n"/>
      <c r="X126" s="47" t="n"/>
      <c r="Y126" s="47" t="n"/>
      <c r="Z126" s="47" t="n"/>
      <c r="AA126" s="47" t="n"/>
      <c r="AB126" s="47" t="n"/>
      <c r="AC126" s="47" t="n"/>
      <c r="AD126" s="47" t="n"/>
      <c r="AE126" s="47" t="n"/>
      <c r="AF126" s="20">
        <f>IF(A126="","",YEAR(EDATE(A126,-3)))</f>
        <v/>
      </c>
      <c r="AG126" s="20">
        <f>IF(OR(B126="",'経歴簿'!$C$4=""),"",IF(B126&amp;""='経歴簿'!$C$4&amp;"",MAX($AG$4:AG125)+1,""))</f>
        <v/>
      </c>
      <c r="AH126" s="20">
        <f>IF(A126="",0,IF(AND(OR('CSV抽出'!$C$4="",A126&gt;='CSV抽出'!$C$4),OR('CSV抽出'!$C$5="",A126&lt;='CSV抽出'!$C$5),OR('CSV抽出'!$C$6="すべて",'CSV抽出'!$C$6="",D126='CSV抽出'!$C$6),OR('CSV抽出'!$C$7="",B126&amp;""='CSV抽出'!$C$7&amp;"")),1,0))</f>
        <v/>
      </c>
      <c r="AI126" s="20">
        <f>IF(AH126=1,SUM($AH$5:AH126),"")</f>
        <v/>
      </c>
      <c r="AJ126" s="20">
        <f>IF(OR(S126="",'報告書'!$C$4=""),"",IF(S126&amp;""='報告書'!$C$4&amp;"",COUNTIF($S$5:S126,'報告書'!$C$4),""))</f>
        <v/>
      </c>
      <c r="AK126" s="20" t="n"/>
      <c r="AL126" s="47" t="n"/>
      <c r="AM126" s="47" t="n"/>
      <c r="AN126" s="53" t="n"/>
      <c r="AO126" s="47" t="n"/>
      <c r="AP126" s="47" t="n"/>
      <c r="AQ126" s="47" t="n"/>
      <c r="AR126" s="47" t="n"/>
      <c r="AS126" s="47" t="n"/>
      <c r="AT126" s="47" t="n"/>
      <c r="AU126" s="47" t="n"/>
      <c r="AV126" s="47" t="n"/>
      <c r="AW126" s="52" t="n"/>
    </row>
    <row r="127">
      <c r="A127" s="48" t="n"/>
      <c r="B127" s="52" t="n"/>
      <c r="C127" s="47">
        <f>IF(B127="","",IFERROR(INDEX('隊員マスタ'!$B$5:$B$204,MATCH(B127&amp;"",'隊員マスタ'!$F$5:$F$204,0)),IF(AK127="","番号なし",AK127)))</f>
        <v/>
      </c>
      <c r="D127" s="47" t="n"/>
      <c r="E127" s="47" t="n"/>
      <c r="F127" s="47" t="n"/>
      <c r="G127" s="47" t="n"/>
      <c r="H127" s="47" t="n"/>
      <c r="I127" s="47" t="n"/>
      <c r="J127" s="47" t="n"/>
      <c r="K127" s="47" t="n"/>
      <c r="L127" s="47" t="n"/>
      <c r="M127" s="47" t="n"/>
      <c r="N127" s="47" t="n"/>
      <c r="O127" s="47" t="n"/>
      <c r="P127" s="47" t="n"/>
      <c r="Q127" s="47" t="n"/>
      <c r="R127" s="47" t="n"/>
      <c r="S127" s="47" t="n"/>
      <c r="T127" s="47" t="n"/>
      <c r="U127" s="53" t="n"/>
      <c r="V127" s="53" t="n"/>
      <c r="W127" s="47" t="n"/>
      <c r="X127" s="47" t="n"/>
      <c r="Y127" s="47" t="n"/>
      <c r="Z127" s="47" t="n"/>
      <c r="AA127" s="47" t="n"/>
      <c r="AB127" s="47" t="n"/>
      <c r="AC127" s="47" t="n"/>
      <c r="AD127" s="47" t="n"/>
      <c r="AE127" s="47" t="n"/>
      <c r="AF127" s="20">
        <f>IF(A127="","",YEAR(EDATE(A127,-3)))</f>
        <v/>
      </c>
      <c r="AG127" s="20">
        <f>IF(OR(B127="",'経歴簿'!$C$4=""),"",IF(B127&amp;""='経歴簿'!$C$4&amp;"",MAX($AG$4:AG126)+1,""))</f>
        <v/>
      </c>
      <c r="AH127" s="20">
        <f>IF(A127="",0,IF(AND(OR('CSV抽出'!$C$4="",A127&gt;='CSV抽出'!$C$4),OR('CSV抽出'!$C$5="",A127&lt;='CSV抽出'!$C$5),OR('CSV抽出'!$C$6="すべて",'CSV抽出'!$C$6="",D127='CSV抽出'!$C$6),OR('CSV抽出'!$C$7="",B127&amp;""='CSV抽出'!$C$7&amp;"")),1,0))</f>
        <v/>
      </c>
      <c r="AI127" s="20">
        <f>IF(AH127=1,SUM($AH$5:AH127),"")</f>
        <v/>
      </c>
      <c r="AJ127" s="20">
        <f>IF(OR(S127="",'報告書'!$C$4=""),"",IF(S127&amp;""='報告書'!$C$4&amp;"",COUNTIF($S$5:S127,'報告書'!$C$4),""))</f>
        <v/>
      </c>
      <c r="AK127" s="20" t="n"/>
      <c r="AL127" s="47" t="n"/>
      <c r="AM127" s="47" t="n"/>
      <c r="AN127" s="53" t="n"/>
      <c r="AO127" s="47" t="n"/>
      <c r="AP127" s="47" t="n"/>
      <c r="AQ127" s="47" t="n"/>
      <c r="AR127" s="47" t="n"/>
      <c r="AS127" s="47" t="n"/>
      <c r="AT127" s="47" t="n"/>
      <c r="AU127" s="47" t="n"/>
      <c r="AV127" s="47" t="n"/>
      <c r="AW127" s="52" t="n"/>
    </row>
    <row r="128">
      <c r="A128" s="48" t="n"/>
      <c r="B128" s="52" t="n"/>
      <c r="C128" s="47">
        <f>IF(B128="","",IFERROR(INDEX('隊員マスタ'!$B$5:$B$204,MATCH(B128&amp;"",'隊員マスタ'!$F$5:$F$204,0)),IF(AK128="","番号なし",AK128)))</f>
        <v/>
      </c>
      <c r="D128" s="47" t="n"/>
      <c r="E128" s="47" t="n"/>
      <c r="F128" s="47" t="n"/>
      <c r="G128" s="47" t="n"/>
      <c r="H128" s="47" t="n"/>
      <c r="I128" s="47" t="n"/>
      <c r="J128" s="47" t="n"/>
      <c r="K128" s="47" t="n"/>
      <c r="L128" s="47" t="n"/>
      <c r="M128" s="47" t="n"/>
      <c r="N128" s="47" t="n"/>
      <c r="O128" s="47" t="n"/>
      <c r="P128" s="47" t="n"/>
      <c r="Q128" s="47" t="n"/>
      <c r="R128" s="47" t="n"/>
      <c r="S128" s="47" t="n"/>
      <c r="T128" s="47" t="n"/>
      <c r="U128" s="53" t="n"/>
      <c r="V128" s="53" t="n"/>
      <c r="W128" s="47" t="n"/>
      <c r="X128" s="47" t="n"/>
      <c r="Y128" s="47" t="n"/>
      <c r="Z128" s="47" t="n"/>
      <c r="AA128" s="47" t="n"/>
      <c r="AB128" s="47" t="n"/>
      <c r="AC128" s="47" t="n"/>
      <c r="AD128" s="47" t="n"/>
      <c r="AE128" s="47" t="n"/>
      <c r="AF128" s="20">
        <f>IF(A128="","",YEAR(EDATE(A128,-3)))</f>
        <v/>
      </c>
      <c r="AG128" s="20">
        <f>IF(OR(B128="",'経歴簿'!$C$4=""),"",IF(B128&amp;""='経歴簿'!$C$4&amp;"",MAX($AG$4:AG127)+1,""))</f>
        <v/>
      </c>
      <c r="AH128" s="20">
        <f>IF(A128="",0,IF(AND(OR('CSV抽出'!$C$4="",A128&gt;='CSV抽出'!$C$4),OR('CSV抽出'!$C$5="",A128&lt;='CSV抽出'!$C$5),OR('CSV抽出'!$C$6="すべて",'CSV抽出'!$C$6="",D128='CSV抽出'!$C$6),OR('CSV抽出'!$C$7="",B128&amp;""='CSV抽出'!$C$7&amp;"")),1,0))</f>
        <v/>
      </c>
      <c r="AI128" s="20">
        <f>IF(AH128=1,SUM($AH$5:AH128),"")</f>
        <v/>
      </c>
      <c r="AJ128" s="20">
        <f>IF(OR(S128="",'報告書'!$C$4=""),"",IF(S128&amp;""='報告書'!$C$4&amp;"",COUNTIF($S$5:S128,'報告書'!$C$4),""))</f>
        <v/>
      </c>
      <c r="AK128" s="20" t="n"/>
      <c r="AL128" s="47" t="n"/>
      <c r="AM128" s="47" t="n"/>
      <c r="AN128" s="53" t="n"/>
      <c r="AO128" s="47" t="n"/>
      <c r="AP128" s="47" t="n"/>
      <c r="AQ128" s="47" t="n"/>
      <c r="AR128" s="47" t="n"/>
      <c r="AS128" s="47" t="n"/>
      <c r="AT128" s="47" t="n"/>
      <c r="AU128" s="47" t="n"/>
      <c r="AV128" s="47" t="n"/>
      <c r="AW128" s="52" t="n"/>
    </row>
    <row r="129">
      <c r="A129" s="48" t="n"/>
      <c r="B129" s="52" t="n"/>
      <c r="C129" s="47">
        <f>IF(B129="","",IFERROR(INDEX('隊員マスタ'!$B$5:$B$204,MATCH(B129&amp;"",'隊員マスタ'!$F$5:$F$204,0)),IF(AK129="","番号なし",AK129)))</f>
        <v/>
      </c>
      <c r="D129" s="47" t="n"/>
      <c r="E129" s="47" t="n"/>
      <c r="F129" s="47" t="n"/>
      <c r="G129" s="47" t="n"/>
      <c r="H129" s="47" t="n"/>
      <c r="I129" s="47" t="n"/>
      <c r="J129" s="47" t="n"/>
      <c r="K129" s="47" t="n"/>
      <c r="L129" s="47" t="n"/>
      <c r="M129" s="47" t="n"/>
      <c r="N129" s="47" t="n"/>
      <c r="O129" s="47" t="n"/>
      <c r="P129" s="47" t="n"/>
      <c r="Q129" s="47" t="n"/>
      <c r="R129" s="47" t="n"/>
      <c r="S129" s="47" t="n"/>
      <c r="T129" s="47" t="n"/>
      <c r="U129" s="53" t="n"/>
      <c r="V129" s="53" t="n"/>
      <c r="W129" s="47" t="n"/>
      <c r="X129" s="47" t="n"/>
      <c r="Y129" s="47" t="n"/>
      <c r="Z129" s="47" t="n"/>
      <c r="AA129" s="47" t="n"/>
      <c r="AB129" s="47" t="n"/>
      <c r="AC129" s="47" t="n"/>
      <c r="AD129" s="47" t="n"/>
      <c r="AE129" s="47" t="n"/>
      <c r="AF129" s="20">
        <f>IF(A129="","",YEAR(EDATE(A129,-3)))</f>
        <v/>
      </c>
      <c r="AG129" s="20">
        <f>IF(OR(B129="",'経歴簿'!$C$4=""),"",IF(B129&amp;""='経歴簿'!$C$4&amp;"",MAX($AG$4:AG128)+1,""))</f>
        <v/>
      </c>
      <c r="AH129" s="20">
        <f>IF(A129="",0,IF(AND(OR('CSV抽出'!$C$4="",A129&gt;='CSV抽出'!$C$4),OR('CSV抽出'!$C$5="",A129&lt;='CSV抽出'!$C$5),OR('CSV抽出'!$C$6="すべて",'CSV抽出'!$C$6="",D129='CSV抽出'!$C$6),OR('CSV抽出'!$C$7="",B129&amp;""='CSV抽出'!$C$7&amp;"")),1,0))</f>
        <v/>
      </c>
      <c r="AI129" s="20">
        <f>IF(AH129=1,SUM($AH$5:AH129),"")</f>
        <v/>
      </c>
      <c r="AJ129" s="20">
        <f>IF(OR(S129="",'報告書'!$C$4=""),"",IF(S129&amp;""='報告書'!$C$4&amp;"",COUNTIF($S$5:S129,'報告書'!$C$4),""))</f>
        <v/>
      </c>
      <c r="AK129" s="20" t="n"/>
      <c r="AL129" s="47" t="n"/>
      <c r="AM129" s="47" t="n"/>
      <c r="AN129" s="53" t="n"/>
      <c r="AO129" s="47" t="n"/>
      <c r="AP129" s="47" t="n"/>
      <c r="AQ129" s="47" t="n"/>
      <c r="AR129" s="47" t="n"/>
      <c r="AS129" s="47" t="n"/>
      <c r="AT129" s="47" t="n"/>
      <c r="AU129" s="47" t="n"/>
      <c r="AV129" s="47" t="n"/>
      <c r="AW129" s="52" t="n"/>
    </row>
    <row r="130">
      <c r="A130" s="48" t="n"/>
      <c r="B130" s="52" t="n"/>
      <c r="C130" s="47">
        <f>IF(B130="","",IFERROR(INDEX('隊員マスタ'!$B$5:$B$204,MATCH(B130&amp;"",'隊員マスタ'!$F$5:$F$204,0)),IF(AK130="","番号なし",AK130)))</f>
        <v/>
      </c>
      <c r="D130" s="47" t="n"/>
      <c r="E130" s="47" t="n"/>
      <c r="F130" s="47" t="n"/>
      <c r="G130" s="47" t="n"/>
      <c r="H130" s="47" t="n"/>
      <c r="I130" s="47" t="n"/>
      <c r="J130" s="47" t="n"/>
      <c r="K130" s="47" t="n"/>
      <c r="L130" s="47" t="n"/>
      <c r="M130" s="47" t="n"/>
      <c r="N130" s="47" t="n"/>
      <c r="O130" s="47" t="n"/>
      <c r="P130" s="47" t="n"/>
      <c r="Q130" s="47" t="n"/>
      <c r="R130" s="47" t="n"/>
      <c r="S130" s="47" t="n"/>
      <c r="T130" s="47" t="n"/>
      <c r="U130" s="53" t="n"/>
      <c r="V130" s="53" t="n"/>
      <c r="W130" s="47" t="n"/>
      <c r="X130" s="47" t="n"/>
      <c r="Y130" s="47" t="n"/>
      <c r="Z130" s="47" t="n"/>
      <c r="AA130" s="47" t="n"/>
      <c r="AB130" s="47" t="n"/>
      <c r="AC130" s="47" t="n"/>
      <c r="AD130" s="47" t="n"/>
      <c r="AE130" s="47" t="n"/>
      <c r="AF130" s="20">
        <f>IF(A130="","",YEAR(EDATE(A130,-3)))</f>
        <v/>
      </c>
      <c r="AG130" s="20">
        <f>IF(OR(B130="",'経歴簿'!$C$4=""),"",IF(B130&amp;""='経歴簿'!$C$4&amp;"",MAX($AG$4:AG129)+1,""))</f>
        <v/>
      </c>
      <c r="AH130" s="20">
        <f>IF(A130="",0,IF(AND(OR('CSV抽出'!$C$4="",A130&gt;='CSV抽出'!$C$4),OR('CSV抽出'!$C$5="",A130&lt;='CSV抽出'!$C$5),OR('CSV抽出'!$C$6="すべて",'CSV抽出'!$C$6="",D130='CSV抽出'!$C$6),OR('CSV抽出'!$C$7="",B130&amp;""='CSV抽出'!$C$7&amp;"")),1,0))</f>
        <v/>
      </c>
      <c r="AI130" s="20">
        <f>IF(AH130=1,SUM($AH$5:AH130),"")</f>
        <v/>
      </c>
      <c r="AJ130" s="20">
        <f>IF(OR(S130="",'報告書'!$C$4=""),"",IF(S130&amp;""='報告書'!$C$4&amp;"",COUNTIF($S$5:S130,'報告書'!$C$4),""))</f>
        <v/>
      </c>
      <c r="AK130" s="20" t="n"/>
      <c r="AL130" s="47" t="n"/>
      <c r="AM130" s="47" t="n"/>
      <c r="AN130" s="53" t="n"/>
      <c r="AO130" s="47" t="n"/>
      <c r="AP130" s="47" t="n"/>
      <c r="AQ130" s="47" t="n"/>
      <c r="AR130" s="47" t="n"/>
      <c r="AS130" s="47" t="n"/>
      <c r="AT130" s="47" t="n"/>
      <c r="AU130" s="47" t="n"/>
      <c r="AV130" s="47" t="n"/>
      <c r="AW130" s="52" t="n"/>
    </row>
    <row r="131">
      <c r="A131" s="48" t="n"/>
      <c r="B131" s="52" t="n"/>
      <c r="C131" s="47">
        <f>IF(B131="","",IFERROR(INDEX('隊員マスタ'!$B$5:$B$204,MATCH(B131&amp;"",'隊員マスタ'!$F$5:$F$204,0)),IF(AK131="","番号なし",AK131)))</f>
        <v/>
      </c>
      <c r="D131" s="47" t="n"/>
      <c r="E131" s="47" t="n"/>
      <c r="F131" s="47" t="n"/>
      <c r="G131" s="47" t="n"/>
      <c r="H131" s="47" t="n"/>
      <c r="I131" s="47" t="n"/>
      <c r="J131" s="47" t="n"/>
      <c r="K131" s="47" t="n"/>
      <c r="L131" s="47" t="n"/>
      <c r="M131" s="47" t="n"/>
      <c r="N131" s="47" t="n"/>
      <c r="O131" s="47" t="n"/>
      <c r="P131" s="47" t="n"/>
      <c r="Q131" s="47" t="n"/>
      <c r="R131" s="47" t="n"/>
      <c r="S131" s="47" t="n"/>
      <c r="T131" s="47" t="n"/>
      <c r="U131" s="53" t="n"/>
      <c r="V131" s="53" t="n"/>
      <c r="W131" s="47" t="n"/>
      <c r="X131" s="47" t="n"/>
      <c r="Y131" s="47" t="n"/>
      <c r="Z131" s="47" t="n"/>
      <c r="AA131" s="47" t="n"/>
      <c r="AB131" s="47" t="n"/>
      <c r="AC131" s="47" t="n"/>
      <c r="AD131" s="47" t="n"/>
      <c r="AE131" s="47" t="n"/>
      <c r="AF131" s="20">
        <f>IF(A131="","",YEAR(EDATE(A131,-3)))</f>
        <v/>
      </c>
      <c r="AG131" s="20">
        <f>IF(OR(B131="",'経歴簿'!$C$4=""),"",IF(B131&amp;""='経歴簿'!$C$4&amp;"",MAX($AG$4:AG130)+1,""))</f>
        <v/>
      </c>
      <c r="AH131" s="20">
        <f>IF(A131="",0,IF(AND(OR('CSV抽出'!$C$4="",A131&gt;='CSV抽出'!$C$4),OR('CSV抽出'!$C$5="",A131&lt;='CSV抽出'!$C$5),OR('CSV抽出'!$C$6="すべて",'CSV抽出'!$C$6="",D131='CSV抽出'!$C$6),OR('CSV抽出'!$C$7="",B131&amp;""='CSV抽出'!$C$7&amp;"")),1,0))</f>
        <v/>
      </c>
      <c r="AI131" s="20">
        <f>IF(AH131=1,SUM($AH$5:AH131),"")</f>
        <v/>
      </c>
      <c r="AJ131" s="20">
        <f>IF(OR(S131="",'報告書'!$C$4=""),"",IF(S131&amp;""='報告書'!$C$4&amp;"",COUNTIF($S$5:S131,'報告書'!$C$4),""))</f>
        <v/>
      </c>
      <c r="AK131" s="20" t="n"/>
      <c r="AL131" s="47" t="n"/>
      <c r="AM131" s="47" t="n"/>
      <c r="AN131" s="53" t="n"/>
      <c r="AO131" s="47" t="n"/>
      <c r="AP131" s="47" t="n"/>
      <c r="AQ131" s="47" t="n"/>
      <c r="AR131" s="47" t="n"/>
      <c r="AS131" s="47" t="n"/>
      <c r="AT131" s="47" t="n"/>
      <c r="AU131" s="47" t="n"/>
      <c r="AV131" s="47" t="n"/>
      <c r="AW131" s="52" t="n"/>
    </row>
    <row r="132">
      <c r="A132" s="48" t="n"/>
      <c r="B132" s="52" t="n"/>
      <c r="C132" s="47">
        <f>IF(B132="","",IFERROR(INDEX('隊員マスタ'!$B$5:$B$204,MATCH(B132&amp;"",'隊員マスタ'!$F$5:$F$204,0)),IF(AK132="","番号なし",AK132)))</f>
        <v/>
      </c>
      <c r="D132" s="47" t="n"/>
      <c r="E132" s="47" t="n"/>
      <c r="F132" s="47" t="n"/>
      <c r="G132" s="47" t="n"/>
      <c r="H132" s="47" t="n"/>
      <c r="I132" s="47" t="n"/>
      <c r="J132" s="47" t="n"/>
      <c r="K132" s="47" t="n"/>
      <c r="L132" s="47" t="n"/>
      <c r="M132" s="47" t="n"/>
      <c r="N132" s="47" t="n"/>
      <c r="O132" s="47" t="n"/>
      <c r="P132" s="47" t="n"/>
      <c r="Q132" s="47" t="n"/>
      <c r="R132" s="47" t="n"/>
      <c r="S132" s="47" t="n"/>
      <c r="T132" s="47" t="n"/>
      <c r="U132" s="53" t="n"/>
      <c r="V132" s="53" t="n"/>
      <c r="W132" s="47" t="n"/>
      <c r="X132" s="47" t="n"/>
      <c r="Y132" s="47" t="n"/>
      <c r="Z132" s="47" t="n"/>
      <c r="AA132" s="47" t="n"/>
      <c r="AB132" s="47" t="n"/>
      <c r="AC132" s="47" t="n"/>
      <c r="AD132" s="47" t="n"/>
      <c r="AE132" s="47" t="n"/>
      <c r="AF132" s="20">
        <f>IF(A132="","",YEAR(EDATE(A132,-3)))</f>
        <v/>
      </c>
      <c r="AG132" s="20">
        <f>IF(OR(B132="",'経歴簿'!$C$4=""),"",IF(B132&amp;""='経歴簿'!$C$4&amp;"",MAX($AG$4:AG131)+1,""))</f>
        <v/>
      </c>
      <c r="AH132" s="20">
        <f>IF(A132="",0,IF(AND(OR('CSV抽出'!$C$4="",A132&gt;='CSV抽出'!$C$4),OR('CSV抽出'!$C$5="",A132&lt;='CSV抽出'!$C$5),OR('CSV抽出'!$C$6="すべて",'CSV抽出'!$C$6="",D132='CSV抽出'!$C$6),OR('CSV抽出'!$C$7="",B132&amp;""='CSV抽出'!$C$7&amp;"")),1,0))</f>
        <v/>
      </c>
      <c r="AI132" s="20">
        <f>IF(AH132=1,SUM($AH$5:AH132),"")</f>
        <v/>
      </c>
      <c r="AJ132" s="20">
        <f>IF(OR(S132="",'報告書'!$C$4=""),"",IF(S132&amp;""='報告書'!$C$4&amp;"",COUNTIF($S$5:S132,'報告書'!$C$4),""))</f>
        <v/>
      </c>
      <c r="AK132" s="20" t="n"/>
      <c r="AL132" s="47" t="n"/>
      <c r="AM132" s="47" t="n"/>
      <c r="AN132" s="53" t="n"/>
      <c r="AO132" s="47" t="n"/>
      <c r="AP132" s="47" t="n"/>
      <c r="AQ132" s="47" t="n"/>
      <c r="AR132" s="47" t="n"/>
      <c r="AS132" s="47" t="n"/>
      <c r="AT132" s="47" t="n"/>
      <c r="AU132" s="47" t="n"/>
      <c r="AV132" s="47" t="n"/>
      <c r="AW132" s="52" t="n"/>
    </row>
    <row r="133">
      <c r="A133" s="48" t="n"/>
      <c r="B133" s="52" t="n"/>
      <c r="C133" s="47">
        <f>IF(B133="","",IFERROR(INDEX('隊員マスタ'!$B$5:$B$204,MATCH(B133&amp;"",'隊員マスタ'!$F$5:$F$204,0)),IF(AK133="","番号なし",AK133)))</f>
        <v/>
      </c>
      <c r="D133" s="47" t="n"/>
      <c r="E133" s="47" t="n"/>
      <c r="F133" s="47" t="n"/>
      <c r="G133" s="47" t="n"/>
      <c r="H133" s="47" t="n"/>
      <c r="I133" s="47" t="n"/>
      <c r="J133" s="47" t="n"/>
      <c r="K133" s="47" t="n"/>
      <c r="L133" s="47" t="n"/>
      <c r="M133" s="47" t="n"/>
      <c r="N133" s="47" t="n"/>
      <c r="O133" s="47" t="n"/>
      <c r="P133" s="47" t="n"/>
      <c r="Q133" s="47" t="n"/>
      <c r="R133" s="47" t="n"/>
      <c r="S133" s="47" t="n"/>
      <c r="T133" s="47" t="n"/>
      <c r="U133" s="53" t="n"/>
      <c r="V133" s="53" t="n"/>
      <c r="W133" s="47" t="n"/>
      <c r="X133" s="47" t="n"/>
      <c r="Y133" s="47" t="n"/>
      <c r="Z133" s="47" t="n"/>
      <c r="AA133" s="47" t="n"/>
      <c r="AB133" s="47" t="n"/>
      <c r="AC133" s="47" t="n"/>
      <c r="AD133" s="47" t="n"/>
      <c r="AE133" s="47" t="n"/>
      <c r="AF133" s="20">
        <f>IF(A133="","",YEAR(EDATE(A133,-3)))</f>
        <v/>
      </c>
      <c r="AG133" s="20">
        <f>IF(OR(B133="",'経歴簿'!$C$4=""),"",IF(B133&amp;""='経歴簿'!$C$4&amp;"",MAX($AG$4:AG132)+1,""))</f>
        <v/>
      </c>
      <c r="AH133" s="20">
        <f>IF(A133="",0,IF(AND(OR('CSV抽出'!$C$4="",A133&gt;='CSV抽出'!$C$4),OR('CSV抽出'!$C$5="",A133&lt;='CSV抽出'!$C$5),OR('CSV抽出'!$C$6="すべて",'CSV抽出'!$C$6="",D133='CSV抽出'!$C$6),OR('CSV抽出'!$C$7="",B133&amp;""='CSV抽出'!$C$7&amp;"")),1,0))</f>
        <v/>
      </c>
      <c r="AI133" s="20">
        <f>IF(AH133=1,SUM($AH$5:AH133),"")</f>
        <v/>
      </c>
      <c r="AJ133" s="20">
        <f>IF(OR(S133="",'報告書'!$C$4=""),"",IF(S133&amp;""='報告書'!$C$4&amp;"",COUNTIF($S$5:S133,'報告書'!$C$4),""))</f>
        <v/>
      </c>
      <c r="AK133" s="20" t="n"/>
      <c r="AL133" s="47" t="n"/>
      <c r="AM133" s="47" t="n"/>
      <c r="AN133" s="53" t="n"/>
      <c r="AO133" s="47" t="n"/>
      <c r="AP133" s="47" t="n"/>
      <c r="AQ133" s="47" t="n"/>
      <c r="AR133" s="47" t="n"/>
      <c r="AS133" s="47" t="n"/>
      <c r="AT133" s="47" t="n"/>
      <c r="AU133" s="47" t="n"/>
      <c r="AV133" s="47" t="n"/>
      <c r="AW133" s="52" t="n"/>
    </row>
    <row r="134">
      <c r="A134" s="48" t="n"/>
      <c r="B134" s="52" t="n"/>
      <c r="C134" s="47">
        <f>IF(B134="","",IFERROR(INDEX('隊員マスタ'!$B$5:$B$204,MATCH(B134&amp;"",'隊員マスタ'!$F$5:$F$204,0)),IF(AK134="","番号なし",AK134)))</f>
        <v/>
      </c>
      <c r="D134" s="47" t="n"/>
      <c r="E134" s="47" t="n"/>
      <c r="F134" s="47" t="n"/>
      <c r="G134" s="47" t="n"/>
      <c r="H134" s="47" t="n"/>
      <c r="I134" s="47" t="n"/>
      <c r="J134" s="47" t="n"/>
      <c r="K134" s="47" t="n"/>
      <c r="L134" s="47" t="n"/>
      <c r="M134" s="47" t="n"/>
      <c r="N134" s="47" t="n"/>
      <c r="O134" s="47" t="n"/>
      <c r="P134" s="47" t="n"/>
      <c r="Q134" s="47" t="n"/>
      <c r="R134" s="47" t="n"/>
      <c r="S134" s="47" t="n"/>
      <c r="T134" s="47" t="n"/>
      <c r="U134" s="53" t="n"/>
      <c r="V134" s="53" t="n"/>
      <c r="W134" s="47" t="n"/>
      <c r="X134" s="47" t="n"/>
      <c r="Y134" s="47" t="n"/>
      <c r="Z134" s="47" t="n"/>
      <c r="AA134" s="47" t="n"/>
      <c r="AB134" s="47" t="n"/>
      <c r="AC134" s="47" t="n"/>
      <c r="AD134" s="47" t="n"/>
      <c r="AE134" s="47" t="n"/>
      <c r="AF134" s="20">
        <f>IF(A134="","",YEAR(EDATE(A134,-3)))</f>
        <v/>
      </c>
      <c r="AG134" s="20">
        <f>IF(OR(B134="",'経歴簿'!$C$4=""),"",IF(B134&amp;""='経歴簿'!$C$4&amp;"",MAX($AG$4:AG133)+1,""))</f>
        <v/>
      </c>
      <c r="AH134" s="20">
        <f>IF(A134="",0,IF(AND(OR('CSV抽出'!$C$4="",A134&gt;='CSV抽出'!$C$4),OR('CSV抽出'!$C$5="",A134&lt;='CSV抽出'!$C$5),OR('CSV抽出'!$C$6="すべて",'CSV抽出'!$C$6="",D134='CSV抽出'!$C$6),OR('CSV抽出'!$C$7="",B134&amp;""='CSV抽出'!$C$7&amp;"")),1,0))</f>
        <v/>
      </c>
      <c r="AI134" s="20">
        <f>IF(AH134=1,SUM($AH$5:AH134),"")</f>
        <v/>
      </c>
      <c r="AJ134" s="20">
        <f>IF(OR(S134="",'報告書'!$C$4=""),"",IF(S134&amp;""='報告書'!$C$4&amp;"",COUNTIF($S$5:S134,'報告書'!$C$4),""))</f>
        <v/>
      </c>
      <c r="AK134" s="20" t="n"/>
      <c r="AL134" s="47" t="n"/>
      <c r="AM134" s="47" t="n"/>
      <c r="AN134" s="53" t="n"/>
      <c r="AO134" s="47" t="n"/>
      <c r="AP134" s="47" t="n"/>
      <c r="AQ134" s="47" t="n"/>
      <c r="AR134" s="47" t="n"/>
      <c r="AS134" s="47" t="n"/>
      <c r="AT134" s="47" t="n"/>
      <c r="AU134" s="47" t="n"/>
      <c r="AV134" s="47" t="n"/>
      <c r="AW134" s="52" t="n"/>
    </row>
    <row r="135">
      <c r="A135" s="48" t="n"/>
      <c r="B135" s="52" t="n"/>
      <c r="C135" s="47">
        <f>IF(B135="","",IFERROR(INDEX('隊員マスタ'!$B$5:$B$204,MATCH(B135&amp;"",'隊員マスタ'!$F$5:$F$204,0)),IF(AK135="","番号なし",AK135)))</f>
        <v/>
      </c>
      <c r="D135" s="47" t="n"/>
      <c r="E135" s="47" t="n"/>
      <c r="F135" s="47" t="n"/>
      <c r="G135" s="47" t="n"/>
      <c r="H135" s="47" t="n"/>
      <c r="I135" s="47" t="n"/>
      <c r="J135" s="47" t="n"/>
      <c r="K135" s="47" t="n"/>
      <c r="L135" s="47" t="n"/>
      <c r="M135" s="47" t="n"/>
      <c r="N135" s="47" t="n"/>
      <c r="O135" s="47" t="n"/>
      <c r="P135" s="47" t="n"/>
      <c r="Q135" s="47" t="n"/>
      <c r="R135" s="47" t="n"/>
      <c r="S135" s="47" t="n"/>
      <c r="T135" s="47" t="n"/>
      <c r="U135" s="53" t="n"/>
      <c r="V135" s="53" t="n"/>
      <c r="W135" s="47" t="n"/>
      <c r="X135" s="47" t="n"/>
      <c r="Y135" s="47" t="n"/>
      <c r="Z135" s="47" t="n"/>
      <c r="AA135" s="47" t="n"/>
      <c r="AB135" s="47" t="n"/>
      <c r="AC135" s="47" t="n"/>
      <c r="AD135" s="47" t="n"/>
      <c r="AE135" s="47" t="n"/>
      <c r="AF135" s="20">
        <f>IF(A135="","",YEAR(EDATE(A135,-3)))</f>
        <v/>
      </c>
      <c r="AG135" s="20">
        <f>IF(OR(B135="",'経歴簿'!$C$4=""),"",IF(B135&amp;""='経歴簿'!$C$4&amp;"",MAX($AG$4:AG134)+1,""))</f>
        <v/>
      </c>
      <c r="AH135" s="20">
        <f>IF(A135="",0,IF(AND(OR('CSV抽出'!$C$4="",A135&gt;='CSV抽出'!$C$4),OR('CSV抽出'!$C$5="",A135&lt;='CSV抽出'!$C$5),OR('CSV抽出'!$C$6="すべて",'CSV抽出'!$C$6="",D135='CSV抽出'!$C$6),OR('CSV抽出'!$C$7="",B135&amp;""='CSV抽出'!$C$7&amp;"")),1,0))</f>
        <v/>
      </c>
      <c r="AI135" s="20">
        <f>IF(AH135=1,SUM($AH$5:AH135),"")</f>
        <v/>
      </c>
      <c r="AJ135" s="20">
        <f>IF(OR(S135="",'報告書'!$C$4=""),"",IF(S135&amp;""='報告書'!$C$4&amp;"",COUNTIF($S$5:S135,'報告書'!$C$4),""))</f>
        <v/>
      </c>
      <c r="AK135" s="20" t="n"/>
      <c r="AL135" s="47" t="n"/>
      <c r="AM135" s="47" t="n"/>
      <c r="AN135" s="53" t="n"/>
      <c r="AO135" s="47" t="n"/>
      <c r="AP135" s="47" t="n"/>
      <c r="AQ135" s="47" t="n"/>
      <c r="AR135" s="47" t="n"/>
      <c r="AS135" s="47" t="n"/>
      <c r="AT135" s="47" t="n"/>
      <c r="AU135" s="47" t="n"/>
      <c r="AV135" s="47" t="n"/>
      <c r="AW135" s="52" t="n"/>
    </row>
    <row r="136">
      <c r="A136" s="48" t="n"/>
      <c r="B136" s="52" t="n"/>
      <c r="C136" s="47">
        <f>IF(B136="","",IFERROR(INDEX('隊員マスタ'!$B$5:$B$204,MATCH(B136&amp;"",'隊員マスタ'!$F$5:$F$204,0)),IF(AK136="","番号なし",AK136)))</f>
        <v/>
      </c>
      <c r="D136" s="47" t="n"/>
      <c r="E136" s="47" t="n"/>
      <c r="F136" s="47" t="n"/>
      <c r="G136" s="47" t="n"/>
      <c r="H136" s="47" t="n"/>
      <c r="I136" s="47" t="n"/>
      <c r="J136" s="47" t="n"/>
      <c r="K136" s="47" t="n"/>
      <c r="L136" s="47" t="n"/>
      <c r="M136" s="47" t="n"/>
      <c r="N136" s="47" t="n"/>
      <c r="O136" s="47" t="n"/>
      <c r="P136" s="47" t="n"/>
      <c r="Q136" s="47" t="n"/>
      <c r="R136" s="47" t="n"/>
      <c r="S136" s="47" t="n"/>
      <c r="T136" s="47" t="n"/>
      <c r="U136" s="53" t="n"/>
      <c r="V136" s="53" t="n"/>
      <c r="W136" s="47" t="n"/>
      <c r="X136" s="47" t="n"/>
      <c r="Y136" s="47" t="n"/>
      <c r="Z136" s="47" t="n"/>
      <c r="AA136" s="47" t="n"/>
      <c r="AB136" s="47" t="n"/>
      <c r="AC136" s="47" t="n"/>
      <c r="AD136" s="47" t="n"/>
      <c r="AE136" s="47" t="n"/>
      <c r="AF136" s="20">
        <f>IF(A136="","",YEAR(EDATE(A136,-3)))</f>
        <v/>
      </c>
      <c r="AG136" s="20">
        <f>IF(OR(B136="",'経歴簿'!$C$4=""),"",IF(B136&amp;""='経歴簿'!$C$4&amp;"",MAX($AG$4:AG135)+1,""))</f>
        <v/>
      </c>
      <c r="AH136" s="20">
        <f>IF(A136="",0,IF(AND(OR('CSV抽出'!$C$4="",A136&gt;='CSV抽出'!$C$4),OR('CSV抽出'!$C$5="",A136&lt;='CSV抽出'!$C$5),OR('CSV抽出'!$C$6="すべて",'CSV抽出'!$C$6="",D136='CSV抽出'!$C$6),OR('CSV抽出'!$C$7="",B136&amp;""='CSV抽出'!$C$7&amp;"")),1,0))</f>
        <v/>
      </c>
      <c r="AI136" s="20">
        <f>IF(AH136=1,SUM($AH$5:AH136),"")</f>
        <v/>
      </c>
      <c r="AJ136" s="20">
        <f>IF(OR(S136="",'報告書'!$C$4=""),"",IF(S136&amp;""='報告書'!$C$4&amp;"",COUNTIF($S$5:S136,'報告書'!$C$4),""))</f>
        <v/>
      </c>
      <c r="AK136" s="20" t="n"/>
      <c r="AL136" s="47" t="n"/>
      <c r="AM136" s="47" t="n"/>
      <c r="AN136" s="53" t="n"/>
      <c r="AO136" s="47" t="n"/>
      <c r="AP136" s="47" t="n"/>
      <c r="AQ136" s="47" t="n"/>
      <c r="AR136" s="47" t="n"/>
      <c r="AS136" s="47" t="n"/>
      <c r="AT136" s="47" t="n"/>
      <c r="AU136" s="47" t="n"/>
      <c r="AV136" s="47" t="n"/>
      <c r="AW136" s="52" t="n"/>
    </row>
    <row r="137">
      <c r="A137" s="48" t="n"/>
      <c r="B137" s="52" t="n"/>
      <c r="C137" s="47">
        <f>IF(B137="","",IFERROR(INDEX('隊員マスタ'!$B$5:$B$204,MATCH(B137&amp;"",'隊員マスタ'!$F$5:$F$204,0)),IF(AK137="","番号なし",AK137)))</f>
        <v/>
      </c>
      <c r="D137" s="47" t="n"/>
      <c r="E137" s="47" t="n"/>
      <c r="F137" s="47" t="n"/>
      <c r="G137" s="47" t="n"/>
      <c r="H137" s="47" t="n"/>
      <c r="I137" s="47" t="n"/>
      <c r="J137" s="47" t="n"/>
      <c r="K137" s="47" t="n"/>
      <c r="L137" s="47" t="n"/>
      <c r="M137" s="47" t="n"/>
      <c r="N137" s="47" t="n"/>
      <c r="O137" s="47" t="n"/>
      <c r="P137" s="47" t="n"/>
      <c r="Q137" s="47" t="n"/>
      <c r="R137" s="47" t="n"/>
      <c r="S137" s="47" t="n"/>
      <c r="T137" s="47" t="n"/>
      <c r="U137" s="53" t="n"/>
      <c r="V137" s="53" t="n"/>
      <c r="W137" s="47" t="n"/>
      <c r="X137" s="47" t="n"/>
      <c r="Y137" s="47" t="n"/>
      <c r="Z137" s="47" t="n"/>
      <c r="AA137" s="47" t="n"/>
      <c r="AB137" s="47" t="n"/>
      <c r="AC137" s="47" t="n"/>
      <c r="AD137" s="47" t="n"/>
      <c r="AE137" s="47" t="n"/>
      <c r="AF137" s="20">
        <f>IF(A137="","",YEAR(EDATE(A137,-3)))</f>
        <v/>
      </c>
      <c r="AG137" s="20">
        <f>IF(OR(B137="",'経歴簿'!$C$4=""),"",IF(B137&amp;""='経歴簿'!$C$4&amp;"",MAX($AG$4:AG136)+1,""))</f>
        <v/>
      </c>
      <c r="AH137" s="20">
        <f>IF(A137="",0,IF(AND(OR('CSV抽出'!$C$4="",A137&gt;='CSV抽出'!$C$4),OR('CSV抽出'!$C$5="",A137&lt;='CSV抽出'!$C$5),OR('CSV抽出'!$C$6="すべて",'CSV抽出'!$C$6="",D137='CSV抽出'!$C$6),OR('CSV抽出'!$C$7="",B137&amp;""='CSV抽出'!$C$7&amp;"")),1,0))</f>
        <v/>
      </c>
      <c r="AI137" s="20">
        <f>IF(AH137=1,SUM($AH$5:AH137),"")</f>
        <v/>
      </c>
      <c r="AJ137" s="20">
        <f>IF(OR(S137="",'報告書'!$C$4=""),"",IF(S137&amp;""='報告書'!$C$4&amp;"",COUNTIF($S$5:S137,'報告書'!$C$4),""))</f>
        <v/>
      </c>
      <c r="AK137" s="20" t="n"/>
      <c r="AL137" s="47" t="n"/>
      <c r="AM137" s="47" t="n"/>
      <c r="AN137" s="53" t="n"/>
      <c r="AO137" s="47" t="n"/>
      <c r="AP137" s="47" t="n"/>
      <c r="AQ137" s="47" t="n"/>
      <c r="AR137" s="47" t="n"/>
      <c r="AS137" s="47" t="n"/>
      <c r="AT137" s="47" t="n"/>
      <c r="AU137" s="47" t="n"/>
      <c r="AV137" s="47" t="n"/>
      <c r="AW137" s="52" t="n"/>
    </row>
    <row r="138">
      <c r="A138" s="48" t="n"/>
      <c r="B138" s="52" t="n"/>
      <c r="C138" s="47">
        <f>IF(B138="","",IFERROR(INDEX('隊員マスタ'!$B$5:$B$204,MATCH(B138&amp;"",'隊員マスタ'!$F$5:$F$204,0)),IF(AK138="","番号なし",AK138)))</f>
        <v/>
      </c>
      <c r="D138" s="47" t="n"/>
      <c r="E138" s="47" t="n"/>
      <c r="F138" s="47" t="n"/>
      <c r="G138" s="47" t="n"/>
      <c r="H138" s="47" t="n"/>
      <c r="I138" s="47" t="n"/>
      <c r="J138" s="47" t="n"/>
      <c r="K138" s="47" t="n"/>
      <c r="L138" s="47" t="n"/>
      <c r="M138" s="47" t="n"/>
      <c r="N138" s="47" t="n"/>
      <c r="O138" s="47" t="n"/>
      <c r="P138" s="47" t="n"/>
      <c r="Q138" s="47" t="n"/>
      <c r="R138" s="47" t="n"/>
      <c r="S138" s="47" t="n"/>
      <c r="T138" s="47" t="n"/>
      <c r="U138" s="53" t="n"/>
      <c r="V138" s="53" t="n"/>
      <c r="W138" s="47" t="n"/>
      <c r="X138" s="47" t="n"/>
      <c r="Y138" s="47" t="n"/>
      <c r="Z138" s="47" t="n"/>
      <c r="AA138" s="47" t="n"/>
      <c r="AB138" s="47" t="n"/>
      <c r="AC138" s="47" t="n"/>
      <c r="AD138" s="47" t="n"/>
      <c r="AE138" s="47" t="n"/>
      <c r="AF138" s="20">
        <f>IF(A138="","",YEAR(EDATE(A138,-3)))</f>
        <v/>
      </c>
      <c r="AG138" s="20">
        <f>IF(OR(B138="",'経歴簿'!$C$4=""),"",IF(B138&amp;""='経歴簿'!$C$4&amp;"",MAX($AG$4:AG137)+1,""))</f>
        <v/>
      </c>
      <c r="AH138" s="20">
        <f>IF(A138="",0,IF(AND(OR('CSV抽出'!$C$4="",A138&gt;='CSV抽出'!$C$4),OR('CSV抽出'!$C$5="",A138&lt;='CSV抽出'!$C$5),OR('CSV抽出'!$C$6="すべて",'CSV抽出'!$C$6="",D138='CSV抽出'!$C$6),OR('CSV抽出'!$C$7="",B138&amp;""='CSV抽出'!$C$7&amp;"")),1,0))</f>
        <v/>
      </c>
      <c r="AI138" s="20">
        <f>IF(AH138=1,SUM($AH$5:AH138),"")</f>
        <v/>
      </c>
      <c r="AJ138" s="20">
        <f>IF(OR(S138="",'報告書'!$C$4=""),"",IF(S138&amp;""='報告書'!$C$4&amp;"",COUNTIF($S$5:S138,'報告書'!$C$4),""))</f>
        <v/>
      </c>
      <c r="AK138" s="20" t="n"/>
      <c r="AL138" s="47" t="n"/>
      <c r="AM138" s="47" t="n"/>
      <c r="AN138" s="53" t="n"/>
      <c r="AO138" s="47" t="n"/>
      <c r="AP138" s="47" t="n"/>
      <c r="AQ138" s="47" t="n"/>
      <c r="AR138" s="47" t="n"/>
      <c r="AS138" s="47" t="n"/>
      <c r="AT138" s="47" t="n"/>
      <c r="AU138" s="47" t="n"/>
      <c r="AV138" s="47" t="n"/>
      <c r="AW138" s="52" t="n"/>
    </row>
    <row r="139">
      <c r="A139" s="48" t="n"/>
      <c r="B139" s="52" t="n"/>
      <c r="C139" s="47">
        <f>IF(B139="","",IFERROR(INDEX('隊員マスタ'!$B$5:$B$204,MATCH(B139&amp;"",'隊員マスタ'!$F$5:$F$204,0)),IF(AK139="","番号なし",AK139)))</f>
        <v/>
      </c>
      <c r="D139" s="47" t="n"/>
      <c r="E139" s="47" t="n"/>
      <c r="F139" s="47" t="n"/>
      <c r="G139" s="47" t="n"/>
      <c r="H139" s="47" t="n"/>
      <c r="I139" s="47" t="n"/>
      <c r="J139" s="47" t="n"/>
      <c r="K139" s="47" t="n"/>
      <c r="L139" s="47" t="n"/>
      <c r="M139" s="47" t="n"/>
      <c r="N139" s="47" t="n"/>
      <c r="O139" s="47" t="n"/>
      <c r="P139" s="47" t="n"/>
      <c r="Q139" s="47" t="n"/>
      <c r="R139" s="47" t="n"/>
      <c r="S139" s="47" t="n"/>
      <c r="T139" s="47" t="n"/>
      <c r="U139" s="53" t="n"/>
      <c r="V139" s="53" t="n"/>
      <c r="W139" s="47" t="n"/>
      <c r="X139" s="47" t="n"/>
      <c r="Y139" s="47" t="n"/>
      <c r="Z139" s="47" t="n"/>
      <c r="AA139" s="47" t="n"/>
      <c r="AB139" s="47" t="n"/>
      <c r="AC139" s="47" t="n"/>
      <c r="AD139" s="47" t="n"/>
      <c r="AE139" s="47" t="n"/>
      <c r="AF139" s="20">
        <f>IF(A139="","",YEAR(EDATE(A139,-3)))</f>
        <v/>
      </c>
      <c r="AG139" s="20">
        <f>IF(OR(B139="",'経歴簿'!$C$4=""),"",IF(B139&amp;""='経歴簿'!$C$4&amp;"",MAX($AG$4:AG138)+1,""))</f>
        <v/>
      </c>
      <c r="AH139" s="20">
        <f>IF(A139="",0,IF(AND(OR('CSV抽出'!$C$4="",A139&gt;='CSV抽出'!$C$4),OR('CSV抽出'!$C$5="",A139&lt;='CSV抽出'!$C$5),OR('CSV抽出'!$C$6="すべて",'CSV抽出'!$C$6="",D139='CSV抽出'!$C$6),OR('CSV抽出'!$C$7="",B139&amp;""='CSV抽出'!$C$7&amp;"")),1,0))</f>
        <v/>
      </c>
      <c r="AI139" s="20">
        <f>IF(AH139=1,SUM($AH$5:AH139),"")</f>
        <v/>
      </c>
      <c r="AJ139" s="20">
        <f>IF(OR(S139="",'報告書'!$C$4=""),"",IF(S139&amp;""='報告書'!$C$4&amp;"",COUNTIF($S$5:S139,'報告書'!$C$4),""))</f>
        <v/>
      </c>
      <c r="AK139" s="20" t="n"/>
      <c r="AL139" s="47" t="n"/>
      <c r="AM139" s="47" t="n"/>
      <c r="AN139" s="53" t="n"/>
      <c r="AO139" s="47" t="n"/>
      <c r="AP139" s="47" t="n"/>
      <c r="AQ139" s="47" t="n"/>
      <c r="AR139" s="47" t="n"/>
      <c r="AS139" s="47" t="n"/>
      <c r="AT139" s="47" t="n"/>
      <c r="AU139" s="47" t="n"/>
      <c r="AV139" s="47" t="n"/>
      <c r="AW139" s="52" t="n"/>
    </row>
    <row r="140">
      <c r="A140" s="48" t="n"/>
      <c r="B140" s="52" t="n"/>
      <c r="C140" s="47">
        <f>IF(B140="","",IFERROR(INDEX('隊員マスタ'!$B$5:$B$204,MATCH(B140&amp;"",'隊員マスタ'!$F$5:$F$204,0)),IF(AK140="","番号なし",AK140)))</f>
        <v/>
      </c>
      <c r="D140" s="47" t="n"/>
      <c r="E140" s="47" t="n"/>
      <c r="F140" s="47" t="n"/>
      <c r="G140" s="47" t="n"/>
      <c r="H140" s="47" t="n"/>
      <c r="I140" s="47" t="n"/>
      <c r="J140" s="47" t="n"/>
      <c r="K140" s="47" t="n"/>
      <c r="L140" s="47" t="n"/>
      <c r="M140" s="47" t="n"/>
      <c r="N140" s="47" t="n"/>
      <c r="O140" s="47" t="n"/>
      <c r="P140" s="47" t="n"/>
      <c r="Q140" s="47" t="n"/>
      <c r="R140" s="47" t="n"/>
      <c r="S140" s="47" t="n"/>
      <c r="T140" s="47" t="n"/>
      <c r="U140" s="53" t="n"/>
      <c r="V140" s="53" t="n"/>
      <c r="W140" s="47" t="n"/>
      <c r="X140" s="47" t="n"/>
      <c r="Y140" s="47" t="n"/>
      <c r="Z140" s="47" t="n"/>
      <c r="AA140" s="47" t="n"/>
      <c r="AB140" s="47" t="n"/>
      <c r="AC140" s="47" t="n"/>
      <c r="AD140" s="47" t="n"/>
      <c r="AE140" s="47" t="n"/>
      <c r="AF140" s="20">
        <f>IF(A140="","",YEAR(EDATE(A140,-3)))</f>
        <v/>
      </c>
      <c r="AG140" s="20">
        <f>IF(OR(B140="",'経歴簿'!$C$4=""),"",IF(B140&amp;""='経歴簿'!$C$4&amp;"",MAX($AG$4:AG139)+1,""))</f>
        <v/>
      </c>
      <c r="AH140" s="20">
        <f>IF(A140="",0,IF(AND(OR('CSV抽出'!$C$4="",A140&gt;='CSV抽出'!$C$4),OR('CSV抽出'!$C$5="",A140&lt;='CSV抽出'!$C$5),OR('CSV抽出'!$C$6="すべて",'CSV抽出'!$C$6="",D140='CSV抽出'!$C$6),OR('CSV抽出'!$C$7="",B140&amp;""='CSV抽出'!$C$7&amp;"")),1,0))</f>
        <v/>
      </c>
      <c r="AI140" s="20">
        <f>IF(AH140=1,SUM($AH$5:AH140),"")</f>
        <v/>
      </c>
      <c r="AJ140" s="20">
        <f>IF(OR(S140="",'報告書'!$C$4=""),"",IF(S140&amp;""='報告書'!$C$4&amp;"",COUNTIF($S$5:S140,'報告書'!$C$4),""))</f>
        <v/>
      </c>
      <c r="AK140" s="20" t="n"/>
      <c r="AL140" s="47" t="n"/>
      <c r="AM140" s="47" t="n"/>
      <c r="AN140" s="53" t="n"/>
      <c r="AO140" s="47" t="n"/>
      <c r="AP140" s="47" t="n"/>
      <c r="AQ140" s="47" t="n"/>
      <c r="AR140" s="47" t="n"/>
      <c r="AS140" s="47" t="n"/>
      <c r="AT140" s="47" t="n"/>
      <c r="AU140" s="47" t="n"/>
      <c r="AV140" s="47" t="n"/>
      <c r="AW140" s="52" t="n"/>
    </row>
    <row r="141">
      <c r="A141" s="48" t="n"/>
      <c r="B141" s="52" t="n"/>
      <c r="C141" s="47">
        <f>IF(B141="","",IFERROR(INDEX('隊員マスタ'!$B$5:$B$204,MATCH(B141&amp;"",'隊員マスタ'!$F$5:$F$204,0)),IF(AK141="","番号なし",AK141)))</f>
        <v/>
      </c>
      <c r="D141" s="47" t="n"/>
      <c r="E141" s="47" t="n"/>
      <c r="F141" s="47" t="n"/>
      <c r="G141" s="47" t="n"/>
      <c r="H141" s="47" t="n"/>
      <c r="I141" s="47" t="n"/>
      <c r="J141" s="47" t="n"/>
      <c r="K141" s="47" t="n"/>
      <c r="L141" s="47" t="n"/>
      <c r="M141" s="47" t="n"/>
      <c r="N141" s="47" t="n"/>
      <c r="O141" s="47" t="n"/>
      <c r="P141" s="47" t="n"/>
      <c r="Q141" s="47" t="n"/>
      <c r="R141" s="47" t="n"/>
      <c r="S141" s="47" t="n"/>
      <c r="T141" s="47" t="n"/>
      <c r="U141" s="53" t="n"/>
      <c r="V141" s="53" t="n"/>
      <c r="W141" s="47" t="n"/>
      <c r="X141" s="47" t="n"/>
      <c r="Y141" s="47" t="n"/>
      <c r="Z141" s="47" t="n"/>
      <c r="AA141" s="47" t="n"/>
      <c r="AB141" s="47" t="n"/>
      <c r="AC141" s="47" t="n"/>
      <c r="AD141" s="47" t="n"/>
      <c r="AE141" s="47" t="n"/>
      <c r="AF141" s="20">
        <f>IF(A141="","",YEAR(EDATE(A141,-3)))</f>
        <v/>
      </c>
      <c r="AG141" s="20">
        <f>IF(OR(B141="",'経歴簿'!$C$4=""),"",IF(B141&amp;""='経歴簿'!$C$4&amp;"",MAX($AG$4:AG140)+1,""))</f>
        <v/>
      </c>
      <c r="AH141" s="20">
        <f>IF(A141="",0,IF(AND(OR('CSV抽出'!$C$4="",A141&gt;='CSV抽出'!$C$4),OR('CSV抽出'!$C$5="",A141&lt;='CSV抽出'!$C$5),OR('CSV抽出'!$C$6="すべて",'CSV抽出'!$C$6="",D141='CSV抽出'!$C$6),OR('CSV抽出'!$C$7="",B141&amp;""='CSV抽出'!$C$7&amp;"")),1,0))</f>
        <v/>
      </c>
      <c r="AI141" s="20">
        <f>IF(AH141=1,SUM($AH$5:AH141),"")</f>
        <v/>
      </c>
      <c r="AJ141" s="20">
        <f>IF(OR(S141="",'報告書'!$C$4=""),"",IF(S141&amp;""='報告書'!$C$4&amp;"",COUNTIF($S$5:S141,'報告書'!$C$4),""))</f>
        <v/>
      </c>
      <c r="AK141" s="20" t="n"/>
      <c r="AL141" s="47" t="n"/>
      <c r="AM141" s="47" t="n"/>
      <c r="AN141" s="53" t="n"/>
      <c r="AO141" s="47" t="n"/>
      <c r="AP141" s="47" t="n"/>
      <c r="AQ141" s="47" t="n"/>
      <c r="AR141" s="47" t="n"/>
      <c r="AS141" s="47" t="n"/>
      <c r="AT141" s="47" t="n"/>
      <c r="AU141" s="47" t="n"/>
      <c r="AV141" s="47" t="n"/>
      <c r="AW141" s="52" t="n"/>
    </row>
    <row r="142">
      <c r="A142" s="48" t="n"/>
      <c r="B142" s="52" t="n"/>
      <c r="C142" s="47">
        <f>IF(B142="","",IFERROR(INDEX('隊員マスタ'!$B$5:$B$204,MATCH(B142&amp;"",'隊員マスタ'!$F$5:$F$204,0)),IF(AK142="","番号なし",AK142)))</f>
        <v/>
      </c>
      <c r="D142" s="47" t="n"/>
      <c r="E142" s="47" t="n"/>
      <c r="F142" s="47" t="n"/>
      <c r="G142" s="47" t="n"/>
      <c r="H142" s="47" t="n"/>
      <c r="I142" s="47" t="n"/>
      <c r="J142" s="47" t="n"/>
      <c r="K142" s="47" t="n"/>
      <c r="L142" s="47" t="n"/>
      <c r="M142" s="47" t="n"/>
      <c r="N142" s="47" t="n"/>
      <c r="O142" s="47" t="n"/>
      <c r="P142" s="47" t="n"/>
      <c r="Q142" s="47" t="n"/>
      <c r="R142" s="47" t="n"/>
      <c r="S142" s="47" t="n"/>
      <c r="T142" s="47" t="n"/>
      <c r="U142" s="53" t="n"/>
      <c r="V142" s="53" t="n"/>
      <c r="W142" s="47" t="n"/>
      <c r="X142" s="47" t="n"/>
      <c r="Y142" s="47" t="n"/>
      <c r="Z142" s="47" t="n"/>
      <c r="AA142" s="47" t="n"/>
      <c r="AB142" s="47" t="n"/>
      <c r="AC142" s="47" t="n"/>
      <c r="AD142" s="47" t="n"/>
      <c r="AE142" s="47" t="n"/>
      <c r="AF142" s="20">
        <f>IF(A142="","",YEAR(EDATE(A142,-3)))</f>
        <v/>
      </c>
      <c r="AG142" s="20">
        <f>IF(OR(B142="",'経歴簿'!$C$4=""),"",IF(B142&amp;""='経歴簿'!$C$4&amp;"",MAX($AG$4:AG141)+1,""))</f>
        <v/>
      </c>
      <c r="AH142" s="20">
        <f>IF(A142="",0,IF(AND(OR('CSV抽出'!$C$4="",A142&gt;='CSV抽出'!$C$4),OR('CSV抽出'!$C$5="",A142&lt;='CSV抽出'!$C$5),OR('CSV抽出'!$C$6="すべて",'CSV抽出'!$C$6="",D142='CSV抽出'!$C$6),OR('CSV抽出'!$C$7="",B142&amp;""='CSV抽出'!$C$7&amp;"")),1,0))</f>
        <v/>
      </c>
      <c r="AI142" s="20">
        <f>IF(AH142=1,SUM($AH$5:AH142),"")</f>
        <v/>
      </c>
      <c r="AJ142" s="20">
        <f>IF(OR(S142="",'報告書'!$C$4=""),"",IF(S142&amp;""='報告書'!$C$4&amp;"",COUNTIF($S$5:S142,'報告書'!$C$4),""))</f>
        <v/>
      </c>
      <c r="AK142" s="20" t="n"/>
      <c r="AL142" s="47" t="n"/>
      <c r="AM142" s="47" t="n"/>
      <c r="AN142" s="53" t="n"/>
      <c r="AO142" s="47" t="n"/>
      <c r="AP142" s="47" t="n"/>
      <c r="AQ142" s="47" t="n"/>
      <c r="AR142" s="47" t="n"/>
      <c r="AS142" s="47" t="n"/>
      <c r="AT142" s="47" t="n"/>
      <c r="AU142" s="47" t="n"/>
      <c r="AV142" s="47" t="n"/>
      <c r="AW142" s="52" t="n"/>
    </row>
    <row r="143">
      <c r="A143" s="48" t="n"/>
      <c r="B143" s="52" t="n"/>
      <c r="C143" s="47">
        <f>IF(B143="","",IFERROR(INDEX('隊員マスタ'!$B$5:$B$204,MATCH(B143&amp;"",'隊員マスタ'!$F$5:$F$204,0)),IF(AK143="","番号なし",AK143)))</f>
        <v/>
      </c>
      <c r="D143" s="47" t="n"/>
      <c r="E143" s="47" t="n"/>
      <c r="F143" s="47" t="n"/>
      <c r="G143" s="47" t="n"/>
      <c r="H143" s="47" t="n"/>
      <c r="I143" s="47" t="n"/>
      <c r="J143" s="47" t="n"/>
      <c r="K143" s="47" t="n"/>
      <c r="L143" s="47" t="n"/>
      <c r="M143" s="47" t="n"/>
      <c r="N143" s="47" t="n"/>
      <c r="O143" s="47" t="n"/>
      <c r="P143" s="47" t="n"/>
      <c r="Q143" s="47" t="n"/>
      <c r="R143" s="47" t="n"/>
      <c r="S143" s="47" t="n"/>
      <c r="T143" s="47" t="n"/>
      <c r="U143" s="53" t="n"/>
      <c r="V143" s="53" t="n"/>
      <c r="W143" s="47" t="n"/>
      <c r="X143" s="47" t="n"/>
      <c r="Y143" s="47" t="n"/>
      <c r="Z143" s="47" t="n"/>
      <c r="AA143" s="47" t="n"/>
      <c r="AB143" s="47" t="n"/>
      <c r="AC143" s="47" t="n"/>
      <c r="AD143" s="47" t="n"/>
      <c r="AE143" s="47" t="n"/>
      <c r="AF143" s="20">
        <f>IF(A143="","",YEAR(EDATE(A143,-3)))</f>
        <v/>
      </c>
      <c r="AG143" s="20">
        <f>IF(OR(B143="",'経歴簿'!$C$4=""),"",IF(B143&amp;""='経歴簿'!$C$4&amp;"",MAX($AG$4:AG142)+1,""))</f>
        <v/>
      </c>
      <c r="AH143" s="20">
        <f>IF(A143="",0,IF(AND(OR('CSV抽出'!$C$4="",A143&gt;='CSV抽出'!$C$4),OR('CSV抽出'!$C$5="",A143&lt;='CSV抽出'!$C$5),OR('CSV抽出'!$C$6="すべて",'CSV抽出'!$C$6="",D143='CSV抽出'!$C$6),OR('CSV抽出'!$C$7="",B143&amp;""='CSV抽出'!$C$7&amp;"")),1,0))</f>
        <v/>
      </c>
      <c r="AI143" s="20">
        <f>IF(AH143=1,SUM($AH$5:AH143),"")</f>
        <v/>
      </c>
      <c r="AJ143" s="20">
        <f>IF(OR(S143="",'報告書'!$C$4=""),"",IF(S143&amp;""='報告書'!$C$4&amp;"",COUNTIF($S$5:S143,'報告書'!$C$4),""))</f>
        <v/>
      </c>
      <c r="AK143" s="20" t="n"/>
      <c r="AL143" s="47" t="n"/>
      <c r="AM143" s="47" t="n"/>
      <c r="AN143" s="53" t="n"/>
      <c r="AO143" s="47" t="n"/>
      <c r="AP143" s="47" t="n"/>
      <c r="AQ143" s="47" t="n"/>
      <c r="AR143" s="47" t="n"/>
      <c r="AS143" s="47" t="n"/>
      <c r="AT143" s="47" t="n"/>
      <c r="AU143" s="47" t="n"/>
      <c r="AV143" s="47" t="n"/>
      <c r="AW143" s="52" t="n"/>
    </row>
    <row r="144">
      <c r="A144" s="48" t="n"/>
      <c r="B144" s="52" t="n"/>
      <c r="C144" s="47">
        <f>IF(B144="","",IFERROR(INDEX('隊員マスタ'!$B$5:$B$204,MATCH(B144&amp;"",'隊員マスタ'!$F$5:$F$204,0)),IF(AK144="","番号なし",AK144)))</f>
        <v/>
      </c>
      <c r="D144" s="47" t="n"/>
      <c r="E144" s="47" t="n"/>
      <c r="F144" s="47" t="n"/>
      <c r="G144" s="47" t="n"/>
      <c r="H144" s="47" t="n"/>
      <c r="I144" s="47" t="n"/>
      <c r="J144" s="47" t="n"/>
      <c r="K144" s="47" t="n"/>
      <c r="L144" s="47" t="n"/>
      <c r="M144" s="47" t="n"/>
      <c r="N144" s="47" t="n"/>
      <c r="O144" s="47" t="n"/>
      <c r="P144" s="47" t="n"/>
      <c r="Q144" s="47" t="n"/>
      <c r="R144" s="47" t="n"/>
      <c r="S144" s="47" t="n"/>
      <c r="T144" s="47" t="n"/>
      <c r="U144" s="53" t="n"/>
      <c r="V144" s="53" t="n"/>
      <c r="W144" s="47" t="n"/>
      <c r="X144" s="47" t="n"/>
      <c r="Y144" s="47" t="n"/>
      <c r="Z144" s="47" t="n"/>
      <c r="AA144" s="47" t="n"/>
      <c r="AB144" s="47" t="n"/>
      <c r="AC144" s="47" t="n"/>
      <c r="AD144" s="47" t="n"/>
      <c r="AE144" s="47" t="n"/>
      <c r="AF144" s="20">
        <f>IF(A144="","",YEAR(EDATE(A144,-3)))</f>
        <v/>
      </c>
      <c r="AG144" s="20">
        <f>IF(OR(B144="",'経歴簿'!$C$4=""),"",IF(B144&amp;""='経歴簿'!$C$4&amp;"",MAX($AG$4:AG143)+1,""))</f>
        <v/>
      </c>
      <c r="AH144" s="20">
        <f>IF(A144="",0,IF(AND(OR('CSV抽出'!$C$4="",A144&gt;='CSV抽出'!$C$4),OR('CSV抽出'!$C$5="",A144&lt;='CSV抽出'!$C$5),OR('CSV抽出'!$C$6="すべて",'CSV抽出'!$C$6="",D144='CSV抽出'!$C$6),OR('CSV抽出'!$C$7="",B144&amp;""='CSV抽出'!$C$7&amp;"")),1,0))</f>
        <v/>
      </c>
      <c r="AI144" s="20">
        <f>IF(AH144=1,SUM($AH$5:AH144),"")</f>
        <v/>
      </c>
      <c r="AJ144" s="20">
        <f>IF(OR(S144="",'報告書'!$C$4=""),"",IF(S144&amp;""='報告書'!$C$4&amp;"",COUNTIF($S$5:S144,'報告書'!$C$4),""))</f>
        <v/>
      </c>
      <c r="AK144" s="20" t="n"/>
      <c r="AL144" s="47" t="n"/>
      <c r="AM144" s="47" t="n"/>
      <c r="AN144" s="53" t="n"/>
      <c r="AO144" s="47" t="n"/>
      <c r="AP144" s="47" t="n"/>
      <c r="AQ144" s="47" t="n"/>
      <c r="AR144" s="47" t="n"/>
      <c r="AS144" s="47" t="n"/>
      <c r="AT144" s="47" t="n"/>
      <c r="AU144" s="47" t="n"/>
      <c r="AV144" s="47" t="n"/>
      <c r="AW144" s="52" t="n"/>
    </row>
    <row r="145">
      <c r="A145" s="48" t="n"/>
      <c r="B145" s="52" t="n"/>
      <c r="C145" s="47">
        <f>IF(B145="","",IFERROR(INDEX('隊員マスタ'!$B$5:$B$204,MATCH(B145&amp;"",'隊員マスタ'!$F$5:$F$204,0)),IF(AK145="","番号なし",AK145)))</f>
        <v/>
      </c>
      <c r="D145" s="47" t="n"/>
      <c r="E145" s="47" t="n"/>
      <c r="F145" s="47" t="n"/>
      <c r="G145" s="47" t="n"/>
      <c r="H145" s="47" t="n"/>
      <c r="I145" s="47" t="n"/>
      <c r="J145" s="47" t="n"/>
      <c r="K145" s="47" t="n"/>
      <c r="L145" s="47" t="n"/>
      <c r="M145" s="47" t="n"/>
      <c r="N145" s="47" t="n"/>
      <c r="O145" s="47" t="n"/>
      <c r="P145" s="47" t="n"/>
      <c r="Q145" s="47" t="n"/>
      <c r="R145" s="47" t="n"/>
      <c r="S145" s="47" t="n"/>
      <c r="T145" s="47" t="n"/>
      <c r="U145" s="53" t="n"/>
      <c r="V145" s="53" t="n"/>
      <c r="W145" s="47" t="n"/>
      <c r="X145" s="47" t="n"/>
      <c r="Y145" s="47" t="n"/>
      <c r="Z145" s="47" t="n"/>
      <c r="AA145" s="47" t="n"/>
      <c r="AB145" s="47" t="n"/>
      <c r="AC145" s="47" t="n"/>
      <c r="AD145" s="47" t="n"/>
      <c r="AE145" s="47" t="n"/>
      <c r="AF145" s="20">
        <f>IF(A145="","",YEAR(EDATE(A145,-3)))</f>
        <v/>
      </c>
      <c r="AG145" s="20">
        <f>IF(OR(B145="",'経歴簿'!$C$4=""),"",IF(B145&amp;""='経歴簿'!$C$4&amp;"",MAX($AG$4:AG144)+1,""))</f>
        <v/>
      </c>
      <c r="AH145" s="20">
        <f>IF(A145="",0,IF(AND(OR('CSV抽出'!$C$4="",A145&gt;='CSV抽出'!$C$4),OR('CSV抽出'!$C$5="",A145&lt;='CSV抽出'!$C$5),OR('CSV抽出'!$C$6="すべて",'CSV抽出'!$C$6="",D145='CSV抽出'!$C$6),OR('CSV抽出'!$C$7="",B145&amp;""='CSV抽出'!$C$7&amp;"")),1,0))</f>
        <v/>
      </c>
      <c r="AI145" s="20">
        <f>IF(AH145=1,SUM($AH$5:AH145),"")</f>
        <v/>
      </c>
      <c r="AJ145" s="20">
        <f>IF(OR(S145="",'報告書'!$C$4=""),"",IF(S145&amp;""='報告書'!$C$4&amp;"",COUNTIF($S$5:S145,'報告書'!$C$4),""))</f>
        <v/>
      </c>
      <c r="AK145" s="20" t="n"/>
      <c r="AL145" s="47" t="n"/>
      <c r="AM145" s="47" t="n"/>
      <c r="AN145" s="53" t="n"/>
      <c r="AO145" s="47" t="n"/>
      <c r="AP145" s="47" t="n"/>
      <c r="AQ145" s="47" t="n"/>
      <c r="AR145" s="47" t="n"/>
      <c r="AS145" s="47" t="n"/>
      <c r="AT145" s="47" t="n"/>
      <c r="AU145" s="47" t="n"/>
      <c r="AV145" s="47" t="n"/>
      <c r="AW145" s="52" t="n"/>
    </row>
    <row r="146">
      <c r="A146" s="48" t="n"/>
      <c r="B146" s="52" t="n"/>
      <c r="C146" s="47">
        <f>IF(B146="","",IFERROR(INDEX('隊員マスタ'!$B$5:$B$204,MATCH(B146&amp;"",'隊員マスタ'!$F$5:$F$204,0)),IF(AK146="","番号なし",AK146)))</f>
        <v/>
      </c>
      <c r="D146" s="47" t="n"/>
      <c r="E146" s="47" t="n"/>
      <c r="F146" s="47" t="n"/>
      <c r="G146" s="47" t="n"/>
      <c r="H146" s="47" t="n"/>
      <c r="I146" s="47" t="n"/>
      <c r="J146" s="47" t="n"/>
      <c r="K146" s="47" t="n"/>
      <c r="L146" s="47" t="n"/>
      <c r="M146" s="47" t="n"/>
      <c r="N146" s="47" t="n"/>
      <c r="O146" s="47" t="n"/>
      <c r="P146" s="47" t="n"/>
      <c r="Q146" s="47" t="n"/>
      <c r="R146" s="47" t="n"/>
      <c r="S146" s="47" t="n"/>
      <c r="T146" s="47" t="n"/>
      <c r="U146" s="53" t="n"/>
      <c r="V146" s="53" t="n"/>
      <c r="W146" s="47" t="n"/>
      <c r="X146" s="47" t="n"/>
      <c r="Y146" s="47" t="n"/>
      <c r="Z146" s="47" t="n"/>
      <c r="AA146" s="47" t="n"/>
      <c r="AB146" s="47" t="n"/>
      <c r="AC146" s="47" t="n"/>
      <c r="AD146" s="47" t="n"/>
      <c r="AE146" s="47" t="n"/>
      <c r="AF146" s="20">
        <f>IF(A146="","",YEAR(EDATE(A146,-3)))</f>
        <v/>
      </c>
      <c r="AG146" s="20">
        <f>IF(OR(B146="",'経歴簿'!$C$4=""),"",IF(B146&amp;""='経歴簿'!$C$4&amp;"",MAX($AG$4:AG145)+1,""))</f>
        <v/>
      </c>
      <c r="AH146" s="20">
        <f>IF(A146="",0,IF(AND(OR('CSV抽出'!$C$4="",A146&gt;='CSV抽出'!$C$4),OR('CSV抽出'!$C$5="",A146&lt;='CSV抽出'!$C$5),OR('CSV抽出'!$C$6="すべて",'CSV抽出'!$C$6="",D146='CSV抽出'!$C$6),OR('CSV抽出'!$C$7="",B146&amp;""='CSV抽出'!$C$7&amp;"")),1,0))</f>
        <v/>
      </c>
      <c r="AI146" s="20">
        <f>IF(AH146=1,SUM($AH$5:AH146),"")</f>
        <v/>
      </c>
      <c r="AJ146" s="20">
        <f>IF(OR(S146="",'報告書'!$C$4=""),"",IF(S146&amp;""='報告書'!$C$4&amp;"",COUNTIF($S$5:S146,'報告書'!$C$4),""))</f>
        <v/>
      </c>
      <c r="AK146" s="20" t="n"/>
      <c r="AL146" s="47" t="n"/>
      <c r="AM146" s="47" t="n"/>
      <c r="AN146" s="53" t="n"/>
      <c r="AO146" s="47" t="n"/>
      <c r="AP146" s="47" t="n"/>
      <c r="AQ146" s="47" t="n"/>
      <c r="AR146" s="47" t="n"/>
      <c r="AS146" s="47" t="n"/>
      <c r="AT146" s="47" t="n"/>
      <c r="AU146" s="47" t="n"/>
      <c r="AV146" s="47" t="n"/>
      <c r="AW146" s="52" t="n"/>
    </row>
    <row r="147">
      <c r="A147" s="48" t="n"/>
      <c r="B147" s="52" t="n"/>
      <c r="C147" s="47">
        <f>IF(B147="","",IFERROR(INDEX('隊員マスタ'!$B$5:$B$204,MATCH(B147&amp;"",'隊員マスタ'!$F$5:$F$204,0)),IF(AK147="","番号なし",AK147)))</f>
        <v/>
      </c>
      <c r="D147" s="47" t="n"/>
      <c r="E147" s="47" t="n"/>
      <c r="F147" s="47" t="n"/>
      <c r="G147" s="47" t="n"/>
      <c r="H147" s="47" t="n"/>
      <c r="I147" s="47" t="n"/>
      <c r="J147" s="47" t="n"/>
      <c r="K147" s="47" t="n"/>
      <c r="L147" s="47" t="n"/>
      <c r="M147" s="47" t="n"/>
      <c r="N147" s="47" t="n"/>
      <c r="O147" s="47" t="n"/>
      <c r="P147" s="47" t="n"/>
      <c r="Q147" s="47" t="n"/>
      <c r="R147" s="47" t="n"/>
      <c r="S147" s="47" t="n"/>
      <c r="T147" s="47" t="n"/>
      <c r="U147" s="53" t="n"/>
      <c r="V147" s="53" t="n"/>
      <c r="W147" s="47" t="n"/>
      <c r="X147" s="47" t="n"/>
      <c r="Y147" s="47" t="n"/>
      <c r="Z147" s="47" t="n"/>
      <c r="AA147" s="47" t="n"/>
      <c r="AB147" s="47" t="n"/>
      <c r="AC147" s="47" t="n"/>
      <c r="AD147" s="47" t="n"/>
      <c r="AE147" s="47" t="n"/>
      <c r="AF147" s="20">
        <f>IF(A147="","",YEAR(EDATE(A147,-3)))</f>
        <v/>
      </c>
      <c r="AG147" s="20">
        <f>IF(OR(B147="",'経歴簿'!$C$4=""),"",IF(B147&amp;""='経歴簿'!$C$4&amp;"",MAX($AG$4:AG146)+1,""))</f>
        <v/>
      </c>
      <c r="AH147" s="20">
        <f>IF(A147="",0,IF(AND(OR('CSV抽出'!$C$4="",A147&gt;='CSV抽出'!$C$4),OR('CSV抽出'!$C$5="",A147&lt;='CSV抽出'!$C$5),OR('CSV抽出'!$C$6="すべて",'CSV抽出'!$C$6="",D147='CSV抽出'!$C$6),OR('CSV抽出'!$C$7="",B147&amp;""='CSV抽出'!$C$7&amp;"")),1,0))</f>
        <v/>
      </c>
      <c r="AI147" s="20">
        <f>IF(AH147=1,SUM($AH$5:AH147),"")</f>
        <v/>
      </c>
      <c r="AJ147" s="20">
        <f>IF(OR(S147="",'報告書'!$C$4=""),"",IF(S147&amp;""='報告書'!$C$4&amp;"",COUNTIF($S$5:S147,'報告書'!$C$4),""))</f>
        <v/>
      </c>
      <c r="AK147" s="20" t="n"/>
      <c r="AL147" s="47" t="n"/>
      <c r="AM147" s="47" t="n"/>
      <c r="AN147" s="53" t="n"/>
      <c r="AO147" s="47" t="n"/>
      <c r="AP147" s="47" t="n"/>
      <c r="AQ147" s="47" t="n"/>
      <c r="AR147" s="47" t="n"/>
      <c r="AS147" s="47" t="n"/>
      <c r="AT147" s="47" t="n"/>
      <c r="AU147" s="47" t="n"/>
      <c r="AV147" s="47" t="n"/>
      <c r="AW147" s="52" t="n"/>
    </row>
    <row r="148">
      <c r="A148" s="48" t="n"/>
      <c r="B148" s="52" t="n"/>
      <c r="C148" s="47">
        <f>IF(B148="","",IFERROR(INDEX('隊員マスタ'!$B$5:$B$204,MATCH(B148&amp;"",'隊員マスタ'!$F$5:$F$204,0)),IF(AK148="","番号なし",AK148)))</f>
        <v/>
      </c>
      <c r="D148" s="47" t="n"/>
      <c r="E148" s="47" t="n"/>
      <c r="F148" s="47" t="n"/>
      <c r="G148" s="47" t="n"/>
      <c r="H148" s="47" t="n"/>
      <c r="I148" s="47" t="n"/>
      <c r="J148" s="47" t="n"/>
      <c r="K148" s="47" t="n"/>
      <c r="L148" s="47" t="n"/>
      <c r="M148" s="47" t="n"/>
      <c r="N148" s="47" t="n"/>
      <c r="O148" s="47" t="n"/>
      <c r="P148" s="47" t="n"/>
      <c r="Q148" s="47" t="n"/>
      <c r="R148" s="47" t="n"/>
      <c r="S148" s="47" t="n"/>
      <c r="T148" s="47" t="n"/>
      <c r="U148" s="53" t="n"/>
      <c r="V148" s="53" t="n"/>
      <c r="W148" s="47" t="n"/>
      <c r="X148" s="47" t="n"/>
      <c r="Y148" s="47" t="n"/>
      <c r="Z148" s="47" t="n"/>
      <c r="AA148" s="47" t="n"/>
      <c r="AB148" s="47" t="n"/>
      <c r="AC148" s="47" t="n"/>
      <c r="AD148" s="47" t="n"/>
      <c r="AE148" s="47" t="n"/>
      <c r="AF148" s="20">
        <f>IF(A148="","",YEAR(EDATE(A148,-3)))</f>
        <v/>
      </c>
      <c r="AG148" s="20">
        <f>IF(OR(B148="",'経歴簿'!$C$4=""),"",IF(B148&amp;""='経歴簿'!$C$4&amp;"",MAX($AG$4:AG147)+1,""))</f>
        <v/>
      </c>
      <c r="AH148" s="20">
        <f>IF(A148="",0,IF(AND(OR('CSV抽出'!$C$4="",A148&gt;='CSV抽出'!$C$4),OR('CSV抽出'!$C$5="",A148&lt;='CSV抽出'!$C$5),OR('CSV抽出'!$C$6="すべて",'CSV抽出'!$C$6="",D148='CSV抽出'!$C$6),OR('CSV抽出'!$C$7="",B148&amp;""='CSV抽出'!$C$7&amp;"")),1,0))</f>
        <v/>
      </c>
      <c r="AI148" s="20">
        <f>IF(AH148=1,SUM($AH$5:AH148),"")</f>
        <v/>
      </c>
      <c r="AJ148" s="20">
        <f>IF(OR(S148="",'報告書'!$C$4=""),"",IF(S148&amp;""='報告書'!$C$4&amp;"",COUNTIF($S$5:S148,'報告書'!$C$4),""))</f>
        <v/>
      </c>
      <c r="AK148" s="20" t="n"/>
      <c r="AL148" s="47" t="n"/>
      <c r="AM148" s="47" t="n"/>
      <c r="AN148" s="53" t="n"/>
      <c r="AO148" s="47" t="n"/>
      <c r="AP148" s="47" t="n"/>
      <c r="AQ148" s="47" t="n"/>
      <c r="AR148" s="47" t="n"/>
      <c r="AS148" s="47" t="n"/>
      <c r="AT148" s="47" t="n"/>
      <c r="AU148" s="47" t="n"/>
      <c r="AV148" s="47" t="n"/>
      <c r="AW148" s="52" t="n"/>
    </row>
    <row r="149">
      <c r="A149" s="48" t="n"/>
      <c r="B149" s="52" t="n"/>
      <c r="C149" s="47">
        <f>IF(B149="","",IFERROR(INDEX('隊員マスタ'!$B$5:$B$204,MATCH(B149&amp;"",'隊員マスタ'!$F$5:$F$204,0)),IF(AK149="","番号なし",AK149)))</f>
        <v/>
      </c>
      <c r="D149" s="47" t="n"/>
      <c r="E149" s="47" t="n"/>
      <c r="F149" s="47" t="n"/>
      <c r="G149" s="47" t="n"/>
      <c r="H149" s="47" t="n"/>
      <c r="I149" s="47" t="n"/>
      <c r="J149" s="47" t="n"/>
      <c r="K149" s="47" t="n"/>
      <c r="L149" s="47" t="n"/>
      <c r="M149" s="47" t="n"/>
      <c r="N149" s="47" t="n"/>
      <c r="O149" s="47" t="n"/>
      <c r="P149" s="47" t="n"/>
      <c r="Q149" s="47" t="n"/>
      <c r="R149" s="47" t="n"/>
      <c r="S149" s="47" t="n"/>
      <c r="T149" s="47" t="n"/>
      <c r="U149" s="53" t="n"/>
      <c r="V149" s="53" t="n"/>
      <c r="W149" s="47" t="n"/>
      <c r="X149" s="47" t="n"/>
      <c r="Y149" s="47" t="n"/>
      <c r="Z149" s="47" t="n"/>
      <c r="AA149" s="47" t="n"/>
      <c r="AB149" s="47" t="n"/>
      <c r="AC149" s="47" t="n"/>
      <c r="AD149" s="47" t="n"/>
      <c r="AE149" s="47" t="n"/>
      <c r="AF149" s="20">
        <f>IF(A149="","",YEAR(EDATE(A149,-3)))</f>
        <v/>
      </c>
      <c r="AG149" s="20">
        <f>IF(OR(B149="",'経歴簿'!$C$4=""),"",IF(B149&amp;""='経歴簿'!$C$4&amp;"",MAX($AG$4:AG148)+1,""))</f>
        <v/>
      </c>
      <c r="AH149" s="20">
        <f>IF(A149="",0,IF(AND(OR('CSV抽出'!$C$4="",A149&gt;='CSV抽出'!$C$4),OR('CSV抽出'!$C$5="",A149&lt;='CSV抽出'!$C$5),OR('CSV抽出'!$C$6="すべて",'CSV抽出'!$C$6="",D149='CSV抽出'!$C$6),OR('CSV抽出'!$C$7="",B149&amp;""='CSV抽出'!$C$7&amp;"")),1,0))</f>
        <v/>
      </c>
      <c r="AI149" s="20">
        <f>IF(AH149=1,SUM($AH$5:AH149),"")</f>
        <v/>
      </c>
      <c r="AJ149" s="20">
        <f>IF(OR(S149="",'報告書'!$C$4=""),"",IF(S149&amp;""='報告書'!$C$4&amp;"",COUNTIF($S$5:S149,'報告書'!$C$4),""))</f>
        <v/>
      </c>
      <c r="AK149" s="20" t="n"/>
      <c r="AL149" s="47" t="n"/>
      <c r="AM149" s="47" t="n"/>
      <c r="AN149" s="53" t="n"/>
      <c r="AO149" s="47" t="n"/>
      <c r="AP149" s="47" t="n"/>
      <c r="AQ149" s="47" t="n"/>
      <c r="AR149" s="47" t="n"/>
      <c r="AS149" s="47" t="n"/>
      <c r="AT149" s="47" t="n"/>
      <c r="AU149" s="47" t="n"/>
      <c r="AV149" s="47" t="n"/>
      <c r="AW149" s="52" t="n"/>
    </row>
    <row r="150">
      <c r="A150" s="48" t="n"/>
      <c r="B150" s="52" t="n"/>
      <c r="C150" s="47">
        <f>IF(B150="","",IFERROR(INDEX('隊員マスタ'!$B$5:$B$204,MATCH(B150&amp;"",'隊員マスタ'!$F$5:$F$204,0)),IF(AK150="","番号なし",AK150)))</f>
        <v/>
      </c>
      <c r="D150" s="47" t="n"/>
      <c r="E150" s="47" t="n"/>
      <c r="F150" s="47" t="n"/>
      <c r="G150" s="47" t="n"/>
      <c r="H150" s="47" t="n"/>
      <c r="I150" s="47" t="n"/>
      <c r="J150" s="47" t="n"/>
      <c r="K150" s="47" t="n"/>
      <c r="L150" s="47" t="n"/>
      <c r="M150" s="47" t="n"/>
      <c r="N150" s="47" t="n"/>
      <c r="O150" s="47" t="n"/>
      <c r="P150" s="47" t="n"/>
      <c r="Q150" s="47" t="n"/>
      <c r="R150" s="47" t="n"/>
      <c r="S150" s="47" t="n"/>
      <c r="T150" s="47" t="n"/>
      <c r="U150" s="53" t="n"/>
      <c r="V150" s="53" t="n"/>
      <c r="W150" s="47" t="n"/>
      <c r="X150" s="47" t="n"/>
      <c r="Y150" s="47" t="n"/>
      <c r="Z150" s="47" t="n"/>
      <c r="AA150" s="47" t="n"/>
      <c r="AB150" s="47" t="n"/>
      <c r="AC150" s="47" t="n"/>
      <c r="AD150" s="47" t="n"/>
      <c r="AE150" s="47" t="n"/>
      <c r="AF150" s="20">
        <f>IF(A150="","",YEAR(EDATE(A150,-3)))</f>
        <v/>
      </c>
      <c r="AG150" s="20">
        <f>IF(OR(B150="",'経歴簿'!$C$4=""),"",IF(B150&amp;""='経歴簿'!$C$4&amp;"",MAX($AG$4:AG149)+1,""))</f>
        <v/>
      </c>
      <c r="AH150" s="20">
        <f>IF(A150="",0,IF(AND(OR('CSV抽出'!$C$4="",A150&gt;='CSV抽出'!$C$4),OR('CSV抽出'!$C$5="",A150&lt;='CSV抽出'!$C$5),OR('CSV抽出'!$C$6="すべて",'CSV抽出'!$C$6="",D150='CSV抽出'!$C$6),OR('CSV抽出'!$C$7="",B150&amp;""='CSV抽出'!$C$7&amp;"")),1,0))</f>
        <v/>
      </c>
      <c r="AI150" s="20">
        <f>IF(AH150=1,SUM($AH$5:AH150),"")</f>
        <v/>
      </c>
      <c r="AJ150" s="20">
        <f>IF(OR(S150="",'報告書'!$C$4=""),"",IF(S150&amp;""='報告書'!$C$4&amp;"",COUNTIF($S$5:S150,'報告書'!$C$4),""))</f>
        <v/>
      </c>
      <c r="AK150" s="20" t="n"/>
      <c r="AL150" s="47" t="n"/>
      <c r="AM150" s="47" t="n"/>
      <c r="AN150" s="53" t="n"/>
      <c r="AO150" s="47" t="n"/>
      <c r="AP150" s="47" t="n"/>
      <c r="AQ150" s="47" t="n"/>
      <c r="AR150" s="47" t="n"/>
      <c r="AS150" s="47" t="n"/>
      <c r="AT150" s="47" t="n"/>
      <c r="AU150" s="47" t="n"/>
      <c r="AV150" s="47" t="n"/>
      <c r="AW150" s="52" t="n"/>
    </row>
    <row r="151">
      <c r="A151" s="48" t="n"/>
      <c r="B151" s="52" t="n"/>
      <c r="C151" s="47">
        <f>IF(B151="","",IFERROR(INDEX('隊員マスタ'!$B$5:$B$204,MATCH(B151&amp;"",'隊員マスタ'!$F$5:$F$204,0)),IF(AK151="","番号なし",AK151)))</f>
        <v/>
      </c>
      <c r="D151" s="47" t="n"/>
      <c r="E151" s="47" t="n"/>
      <c r="F151" s="47" t="n"/>
      <c r="G151" s="47" t="n"/>
      <c r="H151" s="47" t="n"/>
      <c r="I151" s="47" t="n"/>
      <c r="J151" s="47" t="n"/>
      <c r="K151" s="47" t="n"/>
      <c r="L151" s="47" t="n"/>
      <c r="M151" s="47" t="n"/>
      <c r="N151" s="47" t="n"/>
      <c r="O151" s="47" t="n"/>
      <c r="P151" s="47" t="n"/>
      <c r="Q151" s="47" t="n"/>
      <c r="R151" s="47" t="n"/>
      <c r="S151" s="47" t="n"/>
      <c r="T151" s="47" t="n"/>
      <c r="U151" s="53" t="n"/>
      <c r="V151" s="53" t="n"/>
      <c r="W151" s="47" t="n"/>
      <c r="X151" s="47" t="n"/>
      <c r="Y151" s="47" t="n"/>
      <c r="Z151" s="47" t="n"/>
      <c r="AA151" s="47" t="n"/>
      <c r="AB151" s="47" t="n"/>
      <c r="AC151" s="47" t="n"/>
      <c r="AD151" s="47" t="n"/>
      <c r="AE151" s="47" t="n"/>
      <c r="AF151" s="20">
        <f>IF(A151="","",YEAR(EDATE(A151,-3)))</f>
        <v/>
      </c>
      <c r="AG151" s="20">
        <f>IF(OR(B151="",'経歴簿'!$C$4=""),"",IF(B151&amp;""='経歴簿'!$C$4&amp;"",MAX($AG$4:AG150)+1,""))</f>
        <v/>
      </c>
      <c r="AH151" s="20">
        <f>IF(A151="",0,IF(AND(OR('CSV抽出'!$C$4="",A151&gt;='CSV抽出'!$C$4),OR('CSV抽出'!$C$5="",A151&lt;='CSV抽出'!$C$5),OR('CSV抽出'!$C$6="すべて",'CSV抽出'!$C$6="",D151='CSV抽出'!$C$6),OR('CSV抽出'!$C$7="",B151&amp;""='CSV抽出'!$C$7&amp;"")),1,0))</f>
        <v/>
      </c>
      <c r="AI151" s="20">
        <f>IF(AH151=1,SUM($AH$5:AH151),"")</f>
        <v/>
      </c>
      <c r="AJ151" s="20">
        <f>IF(OR(S151="",'報告書'!$C$4=""),"",IF(S151&amp;""='報告書'!$C$4&amp;"",COUNTIF($S$5:S151,'報告書'!$C$4),""))</f>
        <v/>
      </c>
      <c r="AK151" s="20" t="n"/>
      <c r="AL151" s="47" t="n"/>
      <c r="AM151" s="47" t="n"/>
      <c r="AN151" s="53" t="n"/>
      <c r="AO151" s="47" t="n"/>
      <c r="AP151" s="47" t="n"/>
      <c r="AQ151" s="47" t="n"/>
      <c r="AR151" s="47" t="n"/>
      <c r="AS151" s="47" t="n"/>
      <c r="AT151" s="47" t="n"/>
      <c r="AU151" s="47" t="n"/>
      <c r="AV151" s="47" t="n"/>
      <c r="AW151" s="52" t="n"/>
    </row>
    <row r="152">
      <c r="A152" s="48" t="n"/>
      <c r="B152" s="52" t="n"/>
      <c r="C152" s="47">
        <f>IF(B152="","",IFERROR(INDEX('隊員マスタ'!$B$5:$B$204,MATCH(B152&amp;"",'隊員マスタ'!$F$5:$F$204,0)),IF(AK152="","番号なし",AK152)))</f>
        <v/>
      </c>
      <c r="D152" s="47" t="n"/>
      <c r="E152" s="47" t="n"/>
      <c r="F152" s="47" t="n"/>
      <c r="G152" s="47" t="n"/>
      <c r="H152" s="47" t="n"/>
      <c r="I152" s="47" t="n"/>
      <c r="J152" s="47" t="n"/>
      <c r="K152" s="47" t="n"/>
      <c r="L152" s="47" t="n"/>
      <c r="M152" s="47" t="n"/>
      <c r="N152" s="47" t="n"/>
      <c r="O152" s="47" t="n"/>
      <c r="P152" s="47" t="n"/>
      <c r="Q152" s="47" t="n"/>
      <c r="R152" s="47" t="n"/>
      <c r="S152" s="47" t="n"/>
      <c r="T152" s="47" t="n"/>
      <c r="U152" s="53" t="n"/>
      <c r="V152" s="53" t="n"/>
      <c r="W152" s="47" t="n"/>
      <c r="X152" s="47" t="n"/>
      <c r="Y152" s="47" t="n"/>
      <c r="Z152" s="47" t="n"/>
      <c r="AA152" s="47" t="n"/>
      <c r="AB152" s="47" t="n"/>
      <c r="AC152" s="47" t="n"/>
      <c r="AD152" s="47" t="n"/>
      <c r="AE152" s="47" t="n"/>
      <c r="AF152" s="20">
        <f>IF(A152="","",YEAR(EDATE(A152,-3)))</f>
        <v/>
      </c>
      <c r="AG152" s="20">
        <f>IF(OR(B152="",'経歴簿'!$C$4=""),"",IF(B152&amp;""='経歴簿'!$C$4&amp;"",MAX($AG$4:AG151)+1,""))</f>
        <v/>
      </c>
      <c r="AH152" s="20">
        <f>IF(A152="",0,IF(AND(OR('CSV抽出'!$C$4="",A152&gt;='CSV抽出'!$C$4),OR('CSV抽出'!$C$5="",A152&lt;='CSV抽出'!$C$5),OR('CSV抽出'!$C$6="すべて",'CSV抽出'!$C$6="",D152='CSV抽出'!$C$6),OR('CSV抽出'!$C$7="",B152&amp;""='CSV抽出'!$C$7&amp;"")),1,0))</f>
        <v/>
      </c>
      <c r="AI152" s="20">
        <f>IF(AH152=1,SUM($AH$5:AH152),"")</f>
        <v/>
      </c>
      <c r="AJ152" s="20">
        <f>IF(OR(S152="",'報告書'!$C$4=""),"",IF(S152&amp;""='報告書'!$C$4&amp;"",COUNTIF($S$5:S152,'報告書'!$C$4),""))</f>
        <v/>
      </c>
      <c r="AK152" s="20" t="n"/>
      <c r="AL152" s="47" t="n"/>
      <c r="AM152" s="47" t="n"/>
      <c r="AN152" s="53" t="n"/>
      <c r="AO152" s="47" t="n"/>
      <c r="AP152" s="47" t="n"/>
      <c r="AQ152" s="47" t="n"/>
      <c r="AR152" s="47" t="n"/>
      <c r="AS152" s="47" t="n"/>
      <c r="AT152" s="47" t="n"/>
      <c r="AU152" s="47" t="n"/>
      <c r="AV152" s="47" t="n"/>
      <c r="AW152" s="52" t="n"/>
    </row>
    <row r="153">
      <c r="A153" s="48" t="n"/>
      <c r="B153" s="52" t="n"/>
      <c r="C153" s="47">
        <f>IF(B153="","",IFERROR(INDEX('隊員マスタ'!$B$5:$B$204,MATCH(B153&amp;"",'隊員マスタ'!$F$5:$F$204,0)),IF(AK153="","番号なし",AK153)))</f>
        <v/>
      </c>
      <c r="D153" s="47" t="n"/>
      <c r="E153" s="47" t="n"/>
      <c r="F153" s="47" t="n"/>
      <c r="G153" s="47" t="n"/>
      <c r="H153" s="47" t="n"/>
      <c r="I153" s="47" t="n"/>
      <c r="J153" s="47" t="n"/>
      <c r="K153" s="47" t="n"/>
      <c r="L153" s="47" t="n"/>
      <c r="M153" s="47" t="n"/>
      <c r="N153" s="47" t="n"/>
      <c r="O153" s="47" t="n"/>
      <c r="P153" s="47" t="n"/>
      <c r="Q153" s="47" t="n"/>
      <c r="R153" s="47" t="n"/>
      <c r="S153" s="47" t="n"/>
      <c r="T153" s="47" t="n"/>
      <c r="U153" s="53" t="n"/>
      <c r="V153" s="53" t="n"/>
      <c r="W153" s="47" t="n"/>
      <c r="X153" s="47" t="n"/>
      <c r="Y153" s="47" t="n"/>
      <c r="Z153" s="47" t="n"/>
      <c r="AA153" s="47" t="n"/>
      <c r="AB153" s="47" t="n"/>
      <c r="AC153" s="47" t="n"/>
      <c r="AD153" s="47" t="n"/>
      <c r="AE153" s="47" t="n"/>
      <c r="AF153" s="20">
        <f>IF(A153="","",YEAR(EDATE(A153,-3)))</f>
        <v/>
      </c>
      <c r="AG153" s="20">
        <f>IF(OR(B153="",'経歴簿'!$C$4=""),"",IF(B153&amp;""='経歴簿'!$C$4&amp;"",MAX($AG$4:AG152)+1,""))</f>
        <v/>
      </c>
      <c r="AH153" s="20">
        <f>IF(A153="",0,IF(AND(OR('CSV抽出'!$C$4="",A153&gt;='CSV抽出'!$C$4),OR('CSV抽出'!$C$5="",A153&lt;='CSV抽出'!$C$5),OR('CSV抽出'!$C$6="すべて",'CSV抽出'!$C$6="",D153='CSV抽出'!$C$6),OR('CSV抽出'!$C$7="",B153&amp;""='CSV抽出'!$C$7&amp;"")),1,0))</f>
        <v/>
      </c>
      <c r="AI153" s="20">
        <f>IF(AH153=1,SUM($AH$5:AH153),"")</f>
        <v/>
      </c>
      <c r="AJ153" s="20">
        <f>IF(OR(S153="",'報告書'!$C$4=""),"",IF(S153&amp;""='報告書'!$C$4&amp;"",COUNTIF($S$5:S153,'報告書'!$C$4),""))</f>
        <v/>
      </c>
      <c r="AK153" s="20" t="n"/>
      <c r="AL153" s="47" t="n"/>
      <c r="AM153" s="47" t="n"/>
      <c r="AN153" s="53" t="n"/>
      <c r="AO153" s="47" t="n"/>
      <c r="AP153" s="47" t="n"/>
      <c r="AQ153" s="47" t="n"/>
      <c r="AR153" s="47" t="n"/>
      <c r="AS153" s="47" t="n"/>
      <c r="AT153" s="47" t="n"/>
      <c r="AU153" s="47" t="n"/>
      <c r="AV153" s="47" t="n"/>
      <c r="AW153" s="52" t="n"/>
    </row>
    <row r="154">
      <c r="A154" s="48" t="n"/>
      <c r="B154" s="52" t="n"/>
      <c r="C154" s="47">
        <f>IF(B154="","",IFERROR(INDEX('隊員マスタ'!$B$5:$B$204,MATCH(B154&amp;"",'隊員マスタ'!$F$5:$F$204,0)),IF(AK154="","番号なし",AK154)))</f>
        <v/>
      </c>
      <c r="D154" s="47" t="n"/>
      <c r="E154" s="47" t="n"/>
      <c r="F154" s="47" t="n"/>
      <c r="G154" s="47" t="n"/>
      <c r="H154" s="47" t="n"/>
      <c r="I154" s="47" t="n"/>
      <c r="J154" s="47" t="n"/>
      <c r="K154" s="47" t="n"/>
      <c r="L154" s="47" t="n"/>
      <c r="M154" s="47" t="n"/>
      <c r="N154" s="47" t="n"/>
      <c r="O154" s="47" t="n"/>
      <c r="P154" s="47" t="n"/>
      <c r="Q154" s="47" t="n"/>
      <c r="R154" s="47" t="n"/>
      <c r="S154" s="47" t="n"/>
      <c r="T154" s="47" t="n"/>
      <c r="U154" s="53" t="n"/>
      <c r="V154" s="53" t="n"/>
      <c r="W154" s="47" t="n"/>
      <c r="X154" s="47" t="n"/>
      <c r="Y154" s="47" t="n"/>
      <c r="Z154" s="47" t="n"/>
      <c r="AA154" s="47" t="n"/>
      <c r="AB154" s="47" t="n"/>
      <c r="AC154" s="47" t="n"/>
      <c r="AD154" s="47" t="n"/>
      <c r="AE154" s="47" t="n"/>
      <c r="AF154" s="20">
        <f>IF(A154="","",YEAR(EDATE(A154,-3)))</f>
        <v/>
      </c>
      <c r="AG154" s="20">
        <f>IF(OR(B154="",'経歴簿'!$C$4=""),"",IF(B154&amp;""='経歴簿'!$C$4&amp;"",MAX($AG$4:AG153)+1,""))</f>
        <v/>
      </c>
      <c r="AH154" s="20">
        <f>IF(A154="",0,IF(AND(OR('CSV抽出'!$C$4="",A154&gt;='CSV抽出'!$C$4),OR('CSV抽出'!$C$5="",A154&lt;='CSV抽出'!$C$5),OR('CSV抽出'!$C$6="すべて",'CSV抽出'!$C$6="",D154='CSV抽出'!$C$6),OR('CSV抽出'!$C$7="",B154&amp;""='CSV抽出'!$C$7&amp;"")),1,0))</f>
        <v/>
      </c>
      <c r="AI154" s="20">
        <f>IF(AH154=1,SUM($AH$5:AH154),"")</f>
        <v/>
      </c>
      <c r="AJ154" s="20">
        <f>IF(OR(S154="",'報告書'!$C$4=""),"",IF(S154&amp;""='報告書'!$C$4&amp;"",COUNTIF($S$5:S154,'報告書'!$C$4),""))</f>
        <v/>
      </c>
      <c r="AK154" s="20" t="n"/>
      <c r="AL154" s="47" t="n"/>
      <c r="AM154" s="47" t="n"/>
      <c r="AN154" s="53" t="n"/>
      <c r="AO154" s="47" t="n"/>
      <c r="AP154" s="47" t="n"/>
      <c r="AQ154" s="47" t="n"/>
      <c r="AR154" s="47" t="n"/>
      <c r="AS154" s="47" t="n"/>
      <c r="AT154" s="47" t="n"/>
      <c r="AU154" s="47" t="n"/>
      <c r="AV154" s="47" t="n"/>
      <c r="AW154" s="52" t="n"/>
    </row>
    <row r="155">
      <c r="A155" s="48" t="n"/>
      <c r="B155" s="52" t="n"/>
      <c r="C155" s="47">
        <f>IF(B155="","",IFERROR(INDEX('隊員マスタ'!$B$5:$B$204,MATCH(B155&amp;"",'隊員マスタ'!$F$5:$F$204,0)),IF(AK155="","番号なし",AK155)))</f>
        <v/>
      </c>
      <c r="D155" s="47" t="n"/>
      <c r="E155" s="47" t="n"/>
      <c r="F155" s="47" t="n"/>
      <c r="G155" s="47" t="n"/>
      <c r="H155" s="47" t="n"/>
      <c r="I155" s="47" t="n"/>
      <c r="J155" s="47" t="n"/>
      <c r="K155" s="47" t="n"/>
      <c r="L155" s="47" t="n"/>
      <c r="M155" s="47" t="n"/>
      <c r="N155" s="47" t="n"/>
      <c r="O155" s="47" t="n"/>
      <c r="P155" s="47" t="n"/>
      <c r="Q155" s="47" t="n"/>
      <c r="R155" s="47" t="n"/>
      <c r="S155" s="47" t="n"/>
      <c r="T155" s="47" t="n"/>
      <c r="U155" s="53" t="n"/>
      <c r="V155" s="53" t="n"/>
      <c r="W155" s="47" t="n"/>
      <c r="X155" s="47" t="n"/>
      <c r="Y155" s="47" t="n"/>
      <c r="Z155" s="47" t="n"/>
      <c r="AA155" s="47" t="n"/>
      <c r="AB155" s="47" t="n"/>
      <c r="AC155" s="47" t="n"/>
      <c r="AD155" s="47" t="n"/>
      <c r="AE155" s="47" t="n"/>
      <c r="AF155" s="20">
        <f>IF(A155="","",YEAR(EDATE(A155,-3)))</f>
        <v/>
      </c>
      <c r="AG155" s="20">
        <f>IF(OR(B155="",'経歴簿'!$C$4=""),"",IF(B155&amp;""='経歴簿'!$C$4&amp;"",MAX($AG$4:AG154)+1,""))</f>
        <v/>
      </c>
      <c r="AH155" s="20">
        <f>IF(A155="",0,IF(AND(OR('CSV抽出'!$C$4="",A155&gt;='CSV抽出'!$C$4),OR('CSV抽出'!$C$5="",A155&lt;='CSV抽出'!$C$5),OR('CSV抽出'!$C$6="すべて",'CSV抽出'!$C$6="",D155='CSV抽出'!$C$6),OR('CSV抽出'!$C$7="",B155&amp;""='CSV抽出'!$C$7&amp;"")),1,0))</f>
        <v/>
      </c>
      <c r="AI155" s="20">
        <f>IF(AH155=1,SUM($AH$5:AH155),"")</f>
        <v/>
      </c>
      <c r="AJ155" s="20">
        <f>IF(OR(S155="",'報告書'!$C$4=""),"",IF(S155&amp;""='報告書'!$C$4&amp;"",COUNTIF($S$5:S155,'報告書'!$C$4),""))</f>
        <v/>
      </c>
      <c r="AK155" s="20" t="n"/>
      <c r="AL155" s="47" t="n"/>
      <c r="AM155" s="47" t="n"/>
      <c r="AN155" s="53" t="n"/>
      <c r="AO155" s="47" t="n"/>
      <c r="AP155" s="47" t="n"/>
      <c r="AQ155" s="47" t="n"/>
      <c r="AR155" s="47" t="n"/>
      <c r="AS155" s="47" t="n"/>
      <c r="AT155" s="47" t="n"/>
      <c r="AU155" s="47" t="n"/>
      <c r="AV155" s="47" t="n"/>
      <c r="AW155" s="52" t="n"/>
    </row>
    <row r="156">
      <c r="A156" s="48" t="n"/>
      <c r="B156" s="52" t="n"/>
      <c r="C156" s="47">
        <f>IF(B156="","",IFERROR(INDEX('隊員マスタ'!$B$5:$B$204,MATCH(B156&amp;"",'隊員マスタ'!$F$5:$F$204,0)),IF(AK156="","番号なし",AK156)))</f>
        <v/>
      </c>
      <c r="D156" s="47" t="n"/>
      <c r="E156" s="47" t="n"/>
      <c r="F156" s="47" t="n"/>
      <c r="G156" s="47" t="n"/>
      <c r="H156" s="47" t="n"/>
      <c r="I156" s="47" t="n"/>
      <c r="J156" s="47" t="n"/>
      <c r="K156" s="47" t="n"/>
      <c r="L156" s="47" t="n"/>
      <c r="M156" s="47" t="n"/>
      <c r="N156" s="47" t="n"/>
      <c r="O156" s="47" t="n"/>
      <c r="P156" s="47" t="n"/>
      <c r="Q156" s="47" t="n"/>
      <c r="R156" s="47" t="n"/>
      <c r="S156" s="47" t="n"/>
      <c r="T156" s="47" t="n"/>
      <c r="U156" s="53" t="n"/>
      <c r="V156" s="53" t="n"/>
      <c r="W156" s="47" t="n"/>
      <c r="X156" s="47" t="n"/>
      <c r="Y156" s="47" t="n"/>
      <c r="Z156" s="47" t="n"/>
      <c r="AA156" s="47" t="n"/>
      <c r="AB156" s="47" t="n"/>
      <c r="AC156" s="47" t="n"/>
      <c r="AD156" s="47" t="n"/>
      <c r="AE156" s="47" t="n"/>
      <c r="AF156" s="20">
        <f>IF(A156="","",YEAR(EDATE(A156,-3)))</f>
        <v/>
      </c>
      <c r="AG156" s="20">
        <f>IF(OR(B156="",'経歴簿'!$C$4=""),"",IF(B156&amp;""='経歴簿'!$C$4&amp;"",MAX($AG$4:AG155)+1,""))</f>
        <v/>
      </c>
      <c r="AH156" s="20">
        <f>IF(A156="",0,IF(AND(OR('CSV抽出'!$C$4="",A156&gt;='CSV抽出'!$C$4),OR('CSV抽出'!$C$5="",A156&lt;='CSV抽出'!$C$5),OR('CSV抽出'!$C$6="すべて",'CSV抽出'!$C$6="",D156='CSV抽出'!$C$6),OR('CSV抽出'!$C$7="",B156&amp;""='CSV抽出'!$C$7&amp;"")),1,0))</f>
        <v/>
      </c>
      <c r="AI156" s="20">
        <f>IF(AH156=1,SUM($AH$5:AH156),"")</f>
        <v/>
      </c>
      <c r="AJ156" s="20">
        <f>IF(OR(S156="",'報告書'!$C$4=""),"",IF(S156&amp;""='報告書'!$C$4&amp;"",COUNTIF($S$5:S156,'報告書'!$C$4),""))</f>
        <v/>
      </c>
      <c r="AK156" s="20" t="n"/>
      <c r="AL156" s="47" t="n"/>
      <c r="AM156" s="47" t="n"/>
      <c r="AN156" s="53" t="n"/>
      <c r="AO156" s="47" t="n"/>
      <c r="AP156" s="47" t="n"/>
      <c r="AQ156" s="47" t="n"/>
      <c r="AR156" s="47" t="n"/>
      <c r="AS156" s="47" t="n"/>
      <c r="AT156" s="47" t="n"/>
      <c r="AU156" s="47" t="n"/>
      <c r="AV156" s="47" t="n"/>
      <c r="AW156" s="52" t="n"/>
    </row>
    <row r="157">
      <c r="A157" s="48" t="n"/>
      <c r="B157" s="52" t="n"/>
      <c r="C157" s="47">
        <f>IF(B157="","",IFERROR(INDEX('隊員マスタ'!$B$5:$B$204,MATCH(B157&amp;"",'隊員マスタ'!$F$5:$F$204,0)),IF(AK157="","番号なし",AK157)))</f>
        <v/>
      </c>
      <c r="D157" s="47" t="n"/>
      <c r="E157" s="47" t="n"/>
      <c r="F157" s="47" t="n"/>
      <c r="G157" s="47" t="n"/>
      <c r="H157" s="47" t="n"/>
      <c r="I157" s="47" t="n"/>
      <c r="J157" s="47" t="n"/>
      <c r="K157" s="47" t="n"/>
      <c r="L157" s="47" t="n"/>
      <c r="M157" s="47" t="n"/>
      <c r="N157" s="47" t="n"/>
      <c r="O157" s="47" t="n"/>
      <c r="P157" s="47" t="n"/>
      <c r="Q157" s="47" t="n"/>
      <c r="R157" s="47" t="n"/>
      <c r="S157" s="47" t="n"/>
      <c r="T157" s="47" t="n"/>
      <c r="U157" s="53" t="n"/>
      <c r="V157" s="53" t="n"/>
      <c r="W157" s="47" t="n"/>
      <c r="X157" s="47" t="n"/>
      <c r="Y157" s="47" t="n"/>
      <c r="Z157" s="47" t="n"/>
      <c r="AA157" s="47" t="n"/>
      <c r="AB157" s="47" t="n"/>
      <c r="AC157" s="47" t="n"/>
      <c r="AD157" s="47" t="n"/>
      <c r="AE157" s="47" t="n"/>
      <c r="AF157" s="20">
        <f>IF(A157="","",YEAR(EDATE(A157,-3)))</f>
        <v/>
      </c>
      <c r="AG157" s="20">
        <f>IF(OR(B157="",'経歴簿'!$C$4=""),"",IF(B157&amp;""='経歴簿'!$C$4&amp;"",MAX($AG$4:AG156)+1,""))</f>
        <v/>
      </c>
      <c r="AH157" s="20">
        <f>IF(A157="",0,IF(AND(OR('CSV抽出'!$C$4="",A157&gt;='CSV抽出'!$C$4),OR('CSV抽出'!$C$5="",A157&lt;='CSV抽出'!$C$5),OR('CSV抽出'!$C$6="すべて",'CSV抽出'!$C$6="",D157='CSV抽出'!$C$6),OR('CSV抽出'!$C$7="",B157&amp;""='CSV抽出'!$C$7&amp;"")),1,0))</f>
        <v/>
      </c>
      <c r="AI157" s="20">
        <f>IF(AH157=1,SUM($AH$5:AH157),"")</f>
        <v/>
      </c>
      <c r="AJ157" s="20">
        <f>IF(OR(S157="",'報告書'!$C$4=""),"",IF(S157&amp;""='報告書'!$C$4&amp;"",COUNTIF($S$5:S157,'報告書'!$C$4),""))</f>
        <v/>
      </c>
      <c r="AK157" s="20" t="n"/>
      <c r="AL157" s="47" t="n"/>
      <c r="AM157" s="47" t="n"/>
      <c r="AN157" s="53" t="n"/>
      <c r="AO157" s="47" t="n"/>
      <c r="AP157" s="47" t="n"/>
      <c r="AQ157" s="47" t="n"/>
      <c r="AR157" s="47" t="n"/>
      <c r="AS157" s="47" t="n"/>
      <c r="AT157" s="47" t="n"/>
      <c r="AU157" s="47" t="n"/>
      <c r="AV157" s="47" t="n"/>
      <c r="AW157" s="52" t="n"/>
    </row>
    <row r="158">
      <c r="A158" s="48" t="n"/>
      <c r="B158" s="52" t="n"/>
      <c r="C158" s="47">
        <f>IF(B158="","",IFERROR(INDEX('隊員マスタ'!$B$5:$B$204,MATCH(B158&amp;"",'隊員マスタ'!$F$5:$F$204,0)),IF(AK158="","番号なし",AK158)))</f>
        <v/>
      </c>
      <c r="D158" s="47" t="n"/>
      <c r="E158" s="47" t="n"/>
      <c r="F158" s="47" t="n"/>
      <c r="G158" s="47" t="n"/>
      <c r="H158" s="47" t="n"/>
      <c r="I158" s="47" t="n"/>
      <c r="J158" s="47" t="n"/>
      <c r="K158" s="47" t="n"/>
      <c r="L158" s="47" t="n"/>
      <c r="M158" s="47" t="n"/>
      <c r="N158" s="47" t="n"/>
      <c r="O158" s="47" t="n"/>
      <c r="P158" s="47" t="n"/>
      <c r="Q158" s="47" t="n"/>
      <c r="R158" s="47" t="n"/>
      <c r="S158" s="47" t="n"/>
      <c r="T158" s="47" t="n"/>
      <c r="U158" s="53" t="n"/>
      <c r="V158" s="53" t="n"/>
      <c r="W158" s="47" t="n"/>
      <c r="X158" s="47" t="n"/>
      <c r="Y158" s="47" t="n"/>
      <c r="Z158" s="47" t="n"/>
      <c r="AA158" s="47" t="n"/>
      <c r="AB158" s="47" t="n"/>
      <c r="AC158" s="47" t="n"/>
      <c r="AD158" s="47" t="n"/>
      <c r="AE158" s="47" t="n"/>
      <c r="AF158" s="20">
        <f>IF(A158="","",YEAR(EDATE(A158,-3)))</f>
        <v/>
      </c>
      <c r="AG158" s="20">
        <f>IF(OR(B158="",'経歴簿'!$C$4=""),"",IF(B158&amp;""='経歴簿'!$C$4&amp;"",MAX($AG$4:AG157)+1,""))</f>
        <v/>
      </c>
      <c r="AH158" s="20">
        <f>IF(A158="",0,IF(AND(OR('CSV抽出'!$C$4="",A158&gt;='CSV抽出'!$C$4),OR('CSV抽出'!$C$5="",A158&lt;='CSV抽出'!$C$5),OR('CSV抽出'!$C$6="すべて",'CSV抽出'!$C$6="",D158='CSV抽出'!$C$6),OR('CSV抽出'!$C$7="",B158&amp;""='CSV抽出'!$C$7&amp;"")),1,0))</f>
        <v/>
      </c>
      <c r="AI158" s="20">
        <f>IF(AH158=1,SUM($AH$5:AH158),"")</f>
        <v/>
      </c>
      <c r="AJ158" s="20">
        <f>IF(OR(S158="",'報告書'!$C$4=""),"",IF(S158&amp;""='報告書'!$C$4&amp;"",COUNTIF($S$5:S158,'報告書'!$C$4),""))</f>
        <v/>
      </c>
      <c r="AK158" s="20" t="n"/>
      <c r="AL158" s="47" t="n"/>
      <c r="AM158" s="47" t="n"/>
      <c r="AN158" s="53" t="n"/>
      <c r="AO158" s="47" t="n"/>
      <c r="AP158" s="47" t="n"/>
      <c r="AQ158" s="47" t="n"/>
      <c r="AR158" s="47" t="n"/>
      <c r="AS158" s="47" t="n"/>
      <c r="AT158" s="47" t="n"/>
      <c r="AU158" s="47" t="n"/>
      <c r="AV158" s="47" t="n"/>
      <c r="AW158" s="52" t="n"/>
    </row>
    <row r="159">
      <c r="A159" s="48" t="n"/>
      <c r="B159" s="52" t="n"/>
      <c r="C159" s="47">
        <f>IF(B159="","",IFERROR(INDEX('隊員マスタ'!$B$5:$B$204,MATCH(B159&amp;"",'隊員マスタ'!$F$5:$F$204,0)),IF(AK159="","番号なし",AK159)))</f>
        <v/>
      </c>
      <c r="D159" s="47" t="n"/>
      <c r="E159" s="47" t="n"/>
      <c r="F159" s="47" t="n"/>
      <c r="G159" s="47" t="n"/>
      <c r="H159" s="47" t="n"/>
      <c r="I159" s="47" t="n"/>
      <c r="J159" s="47" t="n"/>
      <c r="K159" s="47" t="n"/>
      <c r="L159" s="47" t="n"/>
      <c r="M159" s="47" t="n"/>
      <c r="N159" s="47" t="n"/>
      <c r="O159" s="47" t="n"/>
      <c r="P159" s="47" t="n"/>
      <c r="Q159" s="47" t="n"/>
      <c r="R159" s="47" t="n"/>
      <c r="S159" s="47" t="n"/>
      <c r="T159" s="47" t="n"/>
      <c r="U159" s="53" t="n"/>
      <c r="V159" s="53" t="n"/>
      <c r="W159" s="47" t="n"/>
      <c r="X159" s="47" t="n"/>
      <c r="Y159" s="47" t="n"/>
      <c r="Z159" s="47" t="n"/>
      <c r="AA159" s="47" t="n"/>
      <c r="AB159" s="47" t="n"/>
      <c r="AC159" s="47" t="n"/>
      <c r="AD159" s="47" t="n"/>
      <c r="AE159" s="47" t="n"/>
      <c r="AF159" s="20">
        <f>IF(A159="","",YEAR(EDATE(A159,-3)))</f>
        <v/>
      </c>
      <c r="AG159" s="20">
        <f>IF(OR(B159="",'経歴簿'!$C$4=""),"",IF(B159&amp;""='経歴簿'!$C$4&amp;"",MAX($AG$4:AG158)+1,""))</f>
        <v/>
      </c>
      <c r="AH159" s="20">
        <f>IF(A159="",0,IF(AND(OR('CSV抽出'!$C$4="",A159&gt;='CSV抽出'!$C$4),OR('CSV抽出'!$C$5="",A159&lt;='CSV抽出'!$C$5),OR('CSV抽出'!$C$6="すべて",'CSV抽出'!$C$6="",D159='CSV抽出'!$C$6),OR('CSV抽出'!$C$7="",B159&amp;""='CSV抽出'!$C$7&amp;"")),1,0))</f>
        <v/>
      </c>
      <c r="AI159" s="20">
        <f>IF(AH159=1,SUM($AH$5:AH159),"")</f>
        <v/>
      </c>
      <c r="AJ159" s="20">
        <f>IF(OR(S159="",'報告書'!$C$4=""),"",IF(S159&amp;""='報告書'!$C$4&amp;"",COUNTIF($S$5:S159,'報告書'!$C$4),""))</f>
        <v/>
      </c>
      <c r="AK159" s="20" t="n"/>
      <c r="AL159" s="47" t="n"/>
      <c r="AM159" s="47" t="n"/>
      <c r="AN159" s="53" t="n"/>
      <c r="AO159" s="47" t="n"/>
      <c r="AP159" s="47" t="n"/>
      <c r="AQ159" s="47" t="n"/>
      <c r="AR159" s="47" t="n"/>
      <c r="AS159" s="47" t="n"/>
      <c r="AT159" s="47" t="n"/>
      <c r="AU159" s="47" t="n"/>
      <c r="AV159" s="47" t="n"/>
      <c r="AW159" s="52" t="n"/>
    </row>
    <row r="160">
      <c r="A160" s="48" t="n"/>
      <c r="B160" s="52" t="n"/>
      <c r="C160" s="47">
        <f>IF(B160="","",IFERROR(INDEX('隊員マスタ'!$B$5:$B$204,MATCH(B160&amp;"",'隊員マスタ'!$F$5:$F$204,0)),IF(AK160="","番号なし",AK160)))</f>
        <v/>
      </c>
      <c r="D160" s="47" t="n"/>
      <c r="E160" s="47" t="n"/>
      <c r="F160" s="47" t="n"/>
      <c r="G160" s="47" t="n"/>
      <c r="H160" s="47" t="n"/>
      <c r="I160" s="47" t="n"/>
      <c r="J160" s="47" t="n"/>
      <c r="K160" s="47" t="n"/>
      <c r="L160" s="47" t="n"/>
      <c r="M160" s="47" t="n"/>
      <c r="N160" s="47" t="n"/>
      <c r="O160" s="47" t="n"/>
      <c r="P160" s="47" t="n"/>
      <c r="Q160" s="47" t="n"/>
      <c r="R160" s="47" t="n"/>
      <c r="S160" s="47" t="n"/>
      <c r="T160" s="47" t="n"/>
      <c r="U160" s="53" t="n"/>
      <c r="V160" s="53" t="n"/>
      <c r="W160" s="47" t="n"/>
      <c r="X160" s="47" t="n"/>
      <c r="Y160" s="47" t="n"/>
      <c r="Z160" s="47" t="n"/>
      <c r="AA160" s="47" t="n"/>
      <c r="AB160" s="47" t="n"/>
      <c r="AC160" s="47" t="n"/>
      <c r="AD160" s="47" t="n"/>
      <c r="AE160" s="47" t="n"/>
      <c r="AF160" s="20">
        <f>IF(A160="","",YEAR(EDATE(A160,-3)))</f>
        <v/>
      </c>
      <c r="AG160" s="20">
        <f>IF(OR(B160="",'経歴簿'!$C$4=""),"",IF(B160&amp;""='経歴簿'!$C$4&amp;"",MAX($AG$4:AG159)+1,""))</f>
        <v/>
      </c>
      <c r="AH160" s="20">
        <f>IF(A160="",0,IF(AND(OR('CSV抽出'!$C$4="",A160&gt;='CSV抽出'!$C$4),OR('CSV抽出'!$C$5="",A160&lt;='CSV抽出'!$C$5),OR('CSV抽出'!$C$6="すべて",'CSV抽出'!$C$6="",D160='CSV抽出'!$C$6),OR('CSV抽出'!$C$7="",B160&amp;""='CSV抽出'!$C$7&amp;"")),1,0))</f>
        <v/>
      </c>
      <c r="AI160" s="20">
        <f>IF(AH160=1,SUM($AH$5:AH160),"")</f>
        <v/>
      </c>
      <c r="AJ160" s="20">
        <f>IF(OR(S160="",'報告書'!$C$4=""),"",IF(S160&amp;""='報告書'!$C$4&amp;"",COUNTIF($S$5:S160,'報告書'!$C$4),""))</f>
        <v/>
      </c>
      <c r="AK160" s="20" t="n"/>
      <c r="AL160" s="47" t="n"/>
      <c r="AM160" s="47" t="n"/>
      <c r="AN160" s="53" t="n"/>
      <c r="AO160" s="47" t="n"/>
      <c r="AP160" s="47" t="n"/>
      <c r="AQ160" s="47" t="n"/>
      <c r="AR160" s="47" t="n"/>
      <c r="AS160" s="47" t="n"/>
      <c r="AT160" s="47" t="n"/>
      <c r="AU160" s="47" t="n"/>
      <c r="AV160" s="47" t="n"/>
      <c r="AW160" s="52" t="n"/>
    </row>
    <row r="161">
      <c r="A161" s="48" t="n"/>
      <c r="B161" s="52" t="n"/>
      <c r="C161" s="47">
        <f>IF(B161="","",IFERROR(INDEX('隊員マスタ'!$B$5:$B$204,MATCH(B161&amp;"",'隊員マスタ'!$F$5:$F$204,0)),IF(AK161="","番号なし",AK161)))</f>
        <v/>
      </c>
      <c r="D161" s="47" t="n"/>
      <c r="E161" s="47" t="n"/>
      <c r="F161" s="47" t="n"/>
      <c r="G161" s="47" t="n"/>
      <c r="H161" s="47" t="n"/>
      <c r="I161" s="47" t="n"/>
      <c r="J161" s="47" t="n"/>
      <c r="K161" s="47" t="n"/>
      <c r="L161" s="47" t="n"/>
      <c r="M161" s="47" t="n"/>
      <c r="N161" s="47" t="n"/>
      <c r="O161" s="47" t="n"/>
      <c r="P161" s="47" t="n"/>
      <c r="Q161" s="47" t="n"/>
      <c r="R161" s="47" t="n"/>
      <c r="S161" s="47" t="n"/>
      <c r="T161" s="47" t="n"/>
      <c r="U161" s="53" t="n"/>
      <c r="V161" s="53" t="n"/>
      <c r="W161" s="47" t="n"/>
      <c r="X161" s="47" t="n"/>
      <c r="Y161" s="47" t="n"/>
      <c r="Z161" s="47" t="n"/>
      <c r="AA161" s="47" t="n"/>
      <c r="AB161" s="47" t="n"/>
      <c r="AC161" s="47" t="n"/>
      <c r="AD161" s="47" t="n"/>
      <c r="AE161" s="47" t="n"/>
      <c r="AF161" s="20">
        <f>IF(A161="","",YEAR(EDATE(A161,-3)))</f>
        <v/>
      </c>
      <c r="AG161" s="20">
        <f>IF(OR(B161="",'経歴簿'!$C$4=""),"",IF(B161&amp;""='経歴簿'!$C$4&amp;"",MAX($AG$4:AG160)+1,""))</f>
        <v/>
      </c>
      <c r="AH161" s="20">
        <f>IF(A161="",0,IF(AND(OR('CSV抽出'!$C$4="",A161&gt;='CSV抽出'!$C$4),OR('CSV抽出'!$C$5="",A161&lt;='CSV抽出'!$C$5),OR('CSV抽出'!$C$6="すべて",'CSV抽出'!$C$6="",D161='CSV抽出'!$C$6),OR('CSV抽出'!$C$7="",B161&amp;""='CSV抽出'!$C$7&amp;"")),1,0))</f>
        <v/>
      </c>
      <c r="AI161" s="20">
        <f>IF(AH161=1,SUM($AH$5:AH161),"")</f>
        <v/>
      </c>
      <c r="AJ161" s="20">
        <f>IF(OR(S161="",'報告書'!$C$4=""),"",IF(S161&amp;""='報告書'!$C$4&amp;"",COUNTIF($S$5:S161,'報告書'!$C$4),""))</f>
        <v/>
      </c>
      <c r="AK161" s="20" t="n"/>
      <c r="AL161" s="47" t="n"/>
      <c r="AM161" s="47" t="n"/>
      <c r="AN161" s="53" t="n"/>
      <c r="AO161" s="47" t="n"/>
      <c r="AP161" s="47" t="n"/>
      <c r="AQ161" s="47" t="n"/>
      <c r="AR161" s="47" t="n"/>
      <c r="AS161" s="47" t="n"/>
      <c r="AT161" s="47" t="n"/>
      <c r="AU161" s="47" t="n"/>
      <c r="AV161" s="47" t="n"/>
      <c r="AW161" s="52" t="n"/>
    </row>
    <row r="162">
      <c r="A162" s="48" t="n"/>
      <c r="B162" s="52" t="n"/>
      <c r="C162" s="47">
        <f>IF(B162="","",IFERROR(INDEX('隊員マスタ'!$B$5:$B$204,MATCH(B162&amp;"",'隊員マスタ'!$F$5:$F$204,0)),IF(AK162="","番号なし",AK162)))</f>
        <v/>
      </c>
      <c r="D162" s="47" t="n"/>
      <c r="E162" s="47" t="n"/>
      <c r="F162" s="47" t="n"/>
      <c r="G162" s="47" t="n"/>
      <c r="H162" s="47" t="n"/>
      <c r="I162" s="47" t="n"/>
      <c r="J162" s="47" t="n"/>
      <c r="K162" s="47" t="n"/>
      <c r="L162" s="47" t="n"/>
      <c r="M162" s="47" t="n"/>
      <c r="N162" s="47" t="n"/>
      <c r="O162" s="47" t="n"/>
      <c r="P162" s="47" t="n"/>
      <c r="Q162" s="47" t="n"/>
      <c r="R162" s="47" t="n"/>
      <c r="S162" s="47" t="n"/>
      <c r="T162" s="47" t="n"/>
      <c r="U162" s="53" t="n"/>
      <c r="V162" s="53" t="n"/>
      <c r="W162" s="47" t="n"/>
      <c r="X162" s="47" t="n"/>
      <c r="Y162" s="47" t="n"/>
      <c r="Z162" s="47" t="n"/>
      <c r="AA162" s="47" t="n"/>
      <c r="AB162" s="47" t="n"/>
      <c r="AC162" s="47" t="n"/>
      <c r="AD162" s="47" t="n"/>
      <c r="AE162" s="47" t="n"/>
      <c r="AF162" s="20">
        <f>IF(A162="","",YEAR(EDATE(A162,-3)))</f>
        <v/>
      </c>
      <c r="AG162" s="20">
        <f>IF(OR(B162="",'経歴簿'!$C$4=""),"",IF(B162&amp;""='経歴簿'!$C$4&amp;"",MAX($AG$4:AG161)+1,""))</f>
        <v/>
      </c>
      <c r="AH162" s="20">
        <f>IF(A162="",0,IF(AND(OR('CSV抽出'!$C$4="",A162&gt;='CSV抽出'!$C$4),OR('CSV抽出'!$C$5="",A162&lt;='CSV抽出'!$C$5),OR('CSV抽出'!$C$6="すべて",'CSV抽出'!$C$6="",D162='CSV抽出'!$C$6),OR('CSV抽出'!$C$7="",B162&amp;""='CSV抽出'!$C$7&amp;"")),1,0))</f>
        <v/>
      </c>
      <c r="AI162" s="20">
        <f>IF(AH162=1,SUM($AH$5:AH162),"")</f>
        <v/>
      </c>
      <c r="AJ162" s="20">
        <f>IF(OR(S162="",'報告書'!$C$4=""),"",IF(S162&amp;""='報告書'!$C$4&amp;"",COUNTIF($S$5:S162,'報告書'!$C$4),""))</f>
        <v/>
      </c>
      <c r="AK162" s="20" t="n"/>
      <c r="AL162" s="47" t="n"/>
      <c r="AM162" s="47" t="n"/>
      <c r="AN162" s="53" t="n"/>
      <c r="AO162" s="47" t="n"/>
      <c r="AP162" s="47" t="n"/>
      <c r="AQ162" s="47" t="n"/>
      <c r="AR162" s="47" t="n"/>
      <c r="AS162" s="47" t="n"/>
      <c r="AT162" s="47" t="n"/>
      <c r="AU162" s="47" t="n"/>
      <c r="AV162" s="47" t="n"/>
      <c r="AW162" s="52" t="n"/>
    </row>
    <row r="163">
      <c r="A163" s="48" t="n"/>
      <c r="B163" s="52" t="n"/>
      <c r="C163" s="47">
        <f>IF(B163="","",IFERROR(INDEX('隊員マスタ'!$B$5:$B$204,MATCH(B163&amp;"",'隊員マスタ'!$F$5:$F$204,0)),IF(AK163="","番号なし",AK163)))</f>
        <v/>
      </c>
      <c r="D163" s="47" t="n"/>
      <c r="E163" s="47" t="n"/>
      <c r="F163" s="47" t="n"/>
      <c r="G163" s="47" t="n"/>
      <c r="H163" s="47" t="n"/>
      <c r="I163" s="47" t="n"/>
      <c r="J163" s="47" t="n"/>
      <c r="K163" s="47" t="n"/>
      <c r="L163" s="47" t="n"/>
      <c r="M163" s="47" t="n"/>
      <c r="N163" s="47" t="n"/>
      <c r="O163" s="47" t="n"/>
      <c r="P163" s="47" t="n"/>
      <c r="Q163" s="47" t="n"/>
      <c r="R163" s="47" t="n"/>
      <c r="S163" s="47" t="n"/>
      <c r="T163" s="47" t="n"/>
      <c r="U163" s="53" t="n"/>
      <c r="V163" s="53" t="n"/>
      <c r="W163" s="47" t="n"/>
      <c r="X163" s="47" t="n"/>
      <c r="Y163" s="47" t="n"/>
      <c r="Z163" s="47" t="n"/>
      <c r="AA163" s="47" t="n"/>
      <c r="AB163" s="47" t="n"/>
      <c r="AC163" s="47" t="n"/>
      <c r="AD163" s="47" t="n"/>
      <c r="AE163" s="47" t="n"/>
      <c r="AF163" s="20">
        <f>IF(A163="","",YEAR(EDATE(A163,-3)))</f>
        <v/>
      </c>
      <c r="AG163" s="20">
        <f>IF(OR(B163="",'経歴簿'!$C$4=""),"",IF(B163&amp;""='経歴簿'!$C$4&amp;"",MAX($AG$4:AG162)+1,""))</f>
        <v/>
      </c>
      <c r="AH163" s="20">
        <f>IF(A163="",0,IF(AND(OR('CSV抽出'!$C$4="",A163&gt;='CSV抽出'!$C$4),OR('CSV抽出'!$C$5="",A163&lt;='CSV抽出'!$C$5),OR('CSV抽出'!$C$6="すべて",'CSV抽出'!$C$6="",D163='CSV抽出'!$C$6),OR('CSV抽出'!$C$7="",B163&amp;""='CSV抽出'!$C$7&amp;"")),1,0))</f>
        <v/>
      </c>
      <c r="AI163" s="20">
        <f>IF(AH163=1,SUM($AH$5:AH163),"")</f>
        <v/>
      </c>
      <c r="AJ163" s="20">
        <f>IF(OR(S163="",'報告書'!$C$4=""),"",IF(S163&amp;""='報告書'!$C$4&amp;"",COUNTIF($S$5:S163,'報告書'!$C$4),""))</f>
        <v/>
      </c>
      <c r="AK163" s="20" t="n"/>
      <c r="AL163" s="47" t="n"/>
      <c r="AM163" s="47" t="n"/>
      <c r="AN163" s="53" t="n"/>
      <c r="AO163" s="47" t="n"/>
      <c r="AP163" s="47" t="n"/>
      <c r="AQ163" s="47" t="n"/>
      <c r="AR163" s="47" t="n"/>
      <c r="AS163" s="47" t="n"/>
      <c r="AT163" s="47" t="n"/>
      <c r="AU163" s="47" t="n"/>
      <c r="AV163" s="47" t="n"/>
      <c r="AW163" s="52" t="n"/>
    </row>
    <row r="164">
      <c r="A164" s="48" t="n"/>
      <c r="B164" s="52" t="n"/>
      <c r="C164" s="47">
        <f>IF(B164="","",IFERROR(INDEX('隊員マスタ'!$B$5:$B$204,MATCH(B164&amp;"",'隊員マスタ'!$F$5:$F$204,0)),IF(AK164="","番号なし",AK164)))</f>
        <v/>
      </c>
      <c r="D164" s="47" t="n"/>
      <c r="E164" s="47" t="n"/>
      <c r="F164" s="47" t="n"/>
      <c r="G164" s="47" t="n"/>
      <c r="H164" s="47" t="n"/>
      <c r="I164" s="47" t="n"/>
      <c r="J164" s="47" t="n"/>
      <c r="K164" s="47" t="n"/>
      <c r="L164" s="47" t="n"/>
      <c r="M164" s="47" t="n"/>
      <c r="N164" s="47" t="n"/>
      <c r="O164" s="47" t="n"/>
      <c r="P164" s="47" t="n"/>
      <c r="Q164" s="47" t="n"/>
      <c r="R164" s="47" t="n"/>
      <c r="S164" s="47" t="n"/>
      <c r="T164" s="47" t="n"/>
      <c r="U164" s="53" t="n"/>
      <c r="V164" s="53" t="n"/>
      <c r="W164" s="47" t="n"/>
      <c r="X164" s="47" t="n"/>
      <c r="Y164" s="47" t="n"/>
      <c r="Z164" s="47" t="n"/>
      <c r="AA164" s="47" t="n"/>
      <c r="AB164" s="47" t="n"/>
      <c r="AC164" s="47" t="n"/>
      <c r="AD164" s="47" t="n"/>
      <c r="AE164" s="47" t="n"/>
      <c r="AF164" s="20">
        <f>IF(A164="","",YEAR(EDATE(A164,-3)))</f>
        <v/>
      </c>
      <c r="AG164" s="20">
        <f>IF(OR(B164="",'経歴簿'!$C$4=""),"",IF(B164&amp;""='経歴簿'!$C$4&amp;"",MAX($AG$4:AG163)+1,""))</f>
        <v/>
      </c>
      <c r="AH164" s="20">
        <f>IF(A164="",0,IF(AND(OR('CSV抽出'!$C$4="",A164&gt;='CSV抽出'!$C$4),OR('CSV抽出'!$C$5="",A164&lt;='CSV抽出'!$C$5),OR('CSV抽出'!$C$6="すべて",'CSV抽出'!$C$6="",D164='CSV抽出'!$C$6),OR('CSV抽出'!$C$7="",B164&amp;""='CSV抽出'!$C$7&amp;"")),1,0))</f>
        <v/>
      </c>
      <c r="AI164" s="20">
        <f>IF(AH164=1,SUM($AH$5:AH164),"")</f>
        <v/>
      </c>
      <c r="AJ164" s="20">
        <f>IF(OR(S164="",'報告書'!$C$4=""),"",IF(S164&amp;""='報告書'!$C$4&amp;"",COUNTIF($S$5:S164,'報告書'!$C$4),""))</f>
        <v/>
      </c>
      <c r="AK164" s="20" t="n"/>
      <c r="AL164" s="47" t="n"/>
      <c r="AM164" s="47" t="n"/>
      <c r="AN164" s="53" t="n"/>
      <c r="AO164" s="47" t="n"/>
      <c r="AP164" s="47" t="n"/>
      <c r="AQ164" s="47" t="n"/>
      <c r="AR164" s="47" t="n"/>
      <c r="AS164" s="47" t="n"/>
      <c r="AT164" s="47" t="n"/>
      <c r="AU164" s="47" t="n"/>
      <c r="AV164" s="47" t="n"/>
      <c r="AW164" s="52" t="n"/>
    </row>
    <row r="165">
      <c r="A165" s="48" t="n"/>
      <c r="B165" s="52" t="n"/>
      <c r="C165" s="47">
        <f>IF(B165="","",IFERROR(INDEX('隊員マスタ'!$B$5:$B$204,MATCH(B165&amp;"",'隊員マスタ'!$F$5:$F$204,0)),IF(AK165="","番号なし",AK165)))</f>
        <v/>
      </c>
      <c r="D165" s="47" t="n"/>
      <c r="E165" s="47" t="n"/>
      <c r="F165" s="47" t="n"/>
      <c r="G165" s="47" t="n"/>
      <c r="H165" s="47" t="n"/>
      <c r="I165" s="47" t="n"/>
      <c r="J165" s="47" t="n"/>
      <c r="K165" s="47" t="n"/>
      <c r="L165" s="47" t="n"/>
      <c r="M165" s="47" t="n"/>
      <c r="N165" s="47" t="n"/>
      <c r="O165" s="47" t="n"/>
      <c r="P165" s="47" t="n"/>
      <c r="Q165" s="47" t="n"/>
      <c r="R165" s="47" t="n"/>
      <c r="S165" s="47" t="n"/>
      <c r="T165" s="47" t="n"/>
      <c r="U165" s="53" t="n"/>
      <c r="V165" s="53" t="n"/>
      <c r="W165" s="47" t="n"/>
      <c r="X165" s="47" t="n"/>
      <c r="Y165" s="47" t="n"/>
      <c r="Z165" s="47" t="n"/>
      <c r="AA165" s="47" t="n"/>
      <c r="AB165" s="47" t="n"/>
      <c r="AC165" s="47" t="n"/>
      <c r="AD165" s="47" t="n"/>
      <c r="AE165" s="47" t="n"/>
      <c r="AF165" s="20">
        <f>IF(A165="","",YEAR(EDATE(A165,-3)))</f>
        <v/>
      </c>
      <c r="AG165" s="20">
        <f>IF(OR(B165="",'経歴簿'!$C$4=""),"",IF(B165&amp;""='経歴簿'!$C$4&amp;"",MAX($AG$4:AG164)+1,""))</f>
        <v/>
      </c>
      <c r="AH165" s="20">
        <f>IF(A165="",0,IF(AND(OR('CSV抽出'!$C$4="",A165&gt;='CSV抽出'!$C$4),OR('CSV抽出'!$C$5="",A165&lt;='CSV抽出'!$C$5),OR('CSV抽出'!$C$6="すべて",'CSV抽出'!$C$6="",D165='CSV抽出'!$C$6),OR('CSV抽出'!$C$7="",B165&amp;""='CSV抽出'!$C$7&amp;"")),1,0))</f>
        <v/>
      </c>
      <c r="AI165" s="20">
        <f>IF(AH165=1,SUM($AH$5:AH165),"")</f>
        <v/>
      </c>
      <c r="AJ165" s="20">
        <f>IF(OR(S165="",'報告書'!$C$4=""),"",IF(S165&amp;""='報告書'!$C$4&amp;"",COUNTIF($S$5:S165,'報告書'!$C$4),""))</f>
        <v/>
      </c>
      <c r="AK165" s="20" t="n"/>
      <c r="AL165" s="47" t="n"/>
      <c r="AM165" s="47" t="n"/>
      <c r="AN165" s="53" t="n"/>
      <c r="AO165" s="47" t="n"/>
      <c r="AP165" s="47" t="n"/>
      <c r="AQ165" s="47" t="n"/>
      <c r="AR165" s="47" t="n"/>
      <c r="AS165" s="47" t="n"/>
      <c r="AT165" s="47" t="n"/>
      <c r="AU165" s="47" t="n"/>
      <c r="AV165" s="47" t="n"/>
      <c r="AW165" s="52" t="n"/>
    </row>
    <row r="166">
      <c r="A166" s="48" t="n"/>
      <c r="B166" s="52" t="n"/>
      <c r="C166" s="47">
        <f>IF(B166="","",IFERROR(INDEX('隊員マスタ'!$B$5:$B$204,MATCH(B166&amp;"",'隊員マスタ'!$F$5:$F$204,0)),IF(AK166="","番号なし",AK166)))</f>
        <v/>
      </c>
      <c r="D166" s="47" t="n"/>
      <c r="E166" s="47" t="n"/>
      <c r="F166" s="47" t="n"/>
      <c r="G166" s="47" t="n"/>
      <c r="H166" s="47" t="n"/>
      <c r="I166" s="47" t="n"/>
      <c r="J166" s="47" t="n"/>
      <c r="K166" s="47" t="n"/>
      <c r="L166" s="47" t="n"/>
      <c r="M166" s="47" t="n"/>
      <c r="N166" s="47" t="n"/>
      <c r="O166" s="47" t="n"/>
      <c r="P166" s="47" t="n"/>
      <c r="Q166" s="47" t="n"/>
      <c r="R166" s="47" t="n"/>
      <c r="S166" s="47" t="n"/>
      <c r="T166" s="47" t="n"/>
      <c r="U166" s="53" t="n"/>
      <c r="V166" s="53" t="n"/>
      <c r="W166" s="47" t="n"/>
      <c r="X166" s="47" t="n"/>
      <c r="Y166" s="47" t="n"/>
      <c r="Z166" s="47" t="n"/>
      <c r="AA166" s="47" t="n"/>
      <c r="AB166" s="47" t="n"/>
      <c r="AC166" s="47" t="n"/>
      <c r="AD166" s="47" t="n"/>
      <c r="AE166" s="47" t="n"/>
      <c r="AF166" s="20">
        <f>IF(A166="","",YEAR(EDATE(A166,-3)))</f>
        <v/>
      </c>
      <c r="AG166" s="20">
        <f>IF(OR(B166="",'経歴簿'!$C$4=""),"",IF(B166&amp;""='経歴簿'!$C$4&amp;"",MAX($AG$4:AG165)+1,""))</f>
        <v/>
      </c>
      <c r="AH166" s="20">
        <f>IF(A166="",0,IF(AND(OR('CSV抽出'!$C$4="",A166&gt;='CSV抽出'!$C$4),OR('CSV抽出'!$C$5="",A166&lt;='CSV抽出'!$C$5),OR('CSV抽出'!$C$6="すべて",'CSV抽出'!$C$6="",D166='CSV抽出'!$C$6),OR('CSV抽出'!$C$7="",B166&amp;""='CSV抽出'!$C$7&amp;"")),1,0))</f>
        <v/>
      </c>
      <c r="AI166" s="20">
        <f>IF(AH166=1,SUM($AH$5:AH166),"")</f>
        <v/>
      </c>
      <c r="AJ166" s="20">
        <f>IF(OR(S166="",'報告書'!$C$4=""),"",IF(S166&amp;""='報告書'!$C$4&amp;"",COUNTIF($S$5:S166,'報告書'!$C$4),""))</f>
        <v/>
      </c>
      <c r="AK166" s="20" t="n"/>
      <c r="AL166" s="47" t="n"/>
      <c r="AM166" s="47" t="n"/>
      <c r="AN166" s="53" t="n"/>
      <c r="AO166" s="47" t="n"/>
      <c r="AP166" s="47" t="n"/>
      <c r="AQ166" s="47" t="n"/>
      <c r="AR166" s="47" t="n"/>
      <c r="AS166" s="47" t="n"/>
      <c r="AT166" s="47" t="n"/>
      <c r="AU166" s="47" t="n"/>
      <c r="AV166" s="47" t="n"/>
      <c r="AW166" s="52" t="n"/>
    </row>
    <row r="167">
      <c r="A167" s="48" t="n"/>
      <c r="B167" s="52" t="n"/>
      <c r="C167" s="47">
        <f>IF(B167="","",IFERROR(INDEX('隊員マスタ'!$B$5:$B$204,MATCH(B167&amp;"",'隊員マスタ'!$F$5:$F$204,0)),IF(AK167="","番号なし",AK167)))</f>
        <v/>
      </c>
      <c r="D167" s="47" t="n"/>
      <c r="E167" s="47" t="n"/>
      <c r="F167" s="47" t="n"/>
      <c r="G167" s="47" t="n"/>
      <c r="H167" s="47" t="n"/>
      <c r="I167" s="47" t="n"/>
      <c r="J167" s="47" t="n"/>
      <c r="K167" s="47" t="n"/>
      <c r="L167" s="47" t="n"/>
      <c r="M167" s="47" t="n"/>
      <c r="N167" s="47" t="n"/>
      <c r="O167" s="47" t="n"/>
      <c r="P167" s="47" t="n"/>
      <c r="Q167" s="47" t="n"/>
      <c r="R167" s="47" t="n"/>
      <c r="S167" s="47" t="n"/>
      <c r="T167" s="47" t="n"/>
      <c r="U167" s="53" t="n"/>
      <c r="V167" s="53" t="n"/>
      <c r="W167" s="47" t="n"/>
      <c r="X167" s="47" t="n"/>
      <c r="Y167" s="47" t="n"/>
      <c r="Z167" s="47" t="n"/>
      <c r="AA167" s="47" t="n"/>
      <c r="AB167" s="47" t="n"/>
      <c r="AC167" s="47" t="n"/>
      <c r="AD167" s="47" t="n"/>
      <c r="AE167" s="47" t="n"/>
      <c r="AF167" s="20">
        <f>IF(A167="","",YEAR(EDATE(A167,-3)))</f>
        <v/>
      </c>
      <c r="AG167" s="20">
        <f>IF(OR(B167="",'経歴簿'!$C$4=""),"",IF(B167&amp;""='経歴簿'!$C$4&amp;"",MAX($AG$4:AG166)+1,""))</f>
        <v/>
      </c>
      <c r="AH167" s="20">
        <f>IF(A167="",0,IF(AND(OR('CSV抽出'!$C$4="",A167&gt;='CSV抽出'!$C$4),OR('CSV抽出'!$C$5="",A167&lt;='CSV抽出'!$C$5),OR('CSV抽出'!$C$6="すべて",'CSV抽出'!$C$6="",D167='CSV抽出'!$C$6),OR('CSV抽出'!$C$7="",B167&amp;""='CSV抽出'!$C$7&amp;"")),1,0))</f>
        <v/>
      </c>
      <c r="AI167" s="20">
        <f>IF(AH167=1,SUM($AH$5:AH167),"")</f>
        <v/>
      </c>
      <c r="AJ167" s="20">
        <f>IF(OR(S167="",'報告書'!$C$4=""),"",IF(S167&amp;""='報告書'!$C$4&amp;"",COUNTIF($S$5:S167,'報告書'!$C$4),""))</f>
        <v/>
      </c>
      <c r="AK167" s="20" t="n"/>
      <c r="AL167" s="47" t="n"/>
      <c r="AM167" s="47" t="n"/>
      <c r="AN167" s="53" t="n"/>
      <c r="AO167" s="47" t="n"/>
      <c r="AP167" s="47" t="n"/>
      <c r="AQ167" s="47" t="n"/>
      <c r="AR167" s="47" t="n"/>
      <c r="AS167" s="47" t="n"/>
      <c r="AT167" s="47" t="n"/>
      <c r="AU167" s="47" t="n"/>
      <c r="AV167" s="47" t="n"/>
      <c r="AW167" s="52" t="n"/>
    </row>
    <row r="168">
      <c r="A168" s="48" t="n"/>
      <c r="B168" s="52" t="n"/>
      <c r="C168" s="47">
        <f>IF(B168="","",IFERROR(INDEX('隊員マスタ'!$B$5:$B$204,MATCH(B168&amp;"",'隊員マスタ'!$F$5:$F$204,0)),IF(AK168="","番号なし",AK168)))</f>
        <v/>
      </c>
      <c r="D168" s="47" t="n"/>
      <c r="E168" s="47" t="n"/>
      <c r="F168" s="47" t="n"/>
      <c r="G168" s="47" t="n"/>
      <c r="H168" s="47" t="n"/>
      <c r="I168" s="47" t="n"/>
      <c r="J168" s="47" t="n"/>
      <c r="K168" s="47" t="n"/>
      <c r="L168" s="47" t="n"/>
      <c r="M168" s="47" t="n"/>
      <c r="N168" s="47" t="n"/>
      <c r="O168" s="47" t="n"/>
      <c r="P168" s="47" t="n"/>
      <c r="Q168" s="47" t="n"/>
      <c r="R168" s="47" t="n"/>
      <c r="S168" s="47" t="n"/>
      <c r="T168" s="47" t="n"/>
      <c r="U168" s="53" t="n"/>
      <c r="V168" s="53" t="n"/>
      <c r="W168" s="47" t="n"/>
      <c r="X168" s="47" t="n"/>
      <c r="Y168" s="47" t="n"/>
      <c r="Z168" s="47" t="n"/>
      <c r="AA168" s="47" t="n"/>
      <c r="AB168" s="47" t="n"/>
      <c r="AC168" s="47" t="n"/>
      <c r="AD168" s="47" t="n"/>
      <c r="AE168" s="47" t="n"/>
      <c r="AF168" s="20">
        <f>IF(A168="","",YEAR(EDATE(A168,-3)))</f>
        <v/>
      </c>
      <c r="AG168" s="20">
        <f>IF(OR(B168="",'経歴簿'!$C$4=""),"",IF(B168&amp;""='経歴簿'!$C$4&amp;"",MAX($AG$4:AG167)+1,""))</f>
        <v/>
      </c>
      <c r="AH168" s="20">
        <f>IF(A168="",0,IF(AND(OR('CSV抽出'!$C$4="",A168&gt;='CSV抽出'!$C$4),OR('CSV抽出'!$C$5="",A168&lt;='CSV抽出'!$C$5),OR('CSV抽出'!$C$6="すべて",'CSV抽出'!$C$6="",D168='CSV抽出'!$C$6),OR('CSV抽出'!$C$7="",B168&amp;""='CSV抽出'!$C$7&amp;"")),1,0))</f>
        <v/>
      </c>
      <c r="AI168" s="20">
        <f>IF(AH168=1,SUM($AH$5:AH168),"")</f>
        <v/>
      </c>
      <c r="AJ168" s="20">
        <f>IF(OR(S168="",'報告書'!$C$4=""),"",IF(S168&amp;""='報告書'!$C$4&amp;"",COUNTIF($S$5:S168,'報告書'!$C$4),""))</f>
        <v/>
      </c>
      <c r="AK168" s="20" t="n"/>
      <c r="AL168" s="47" t="n"/>
      <c r="AM168" s="47" t="n"/>
      <c r="AN168" s="53" t="n"/>
      <c r="AO168" s="47" t="n"/>
      <c r="AP168" s="47" t="n"/>
      <c r="AQ168" s="47" t="n"/>
      <c r="AR168" s="47" t="n"/>
      <c r="AS168" s="47" t="n"/>
      <c r="AT168" s="47" t="n"/>
      <c r="AU168" s="47" t="n"/>
      <c r="AV168" s="47" t="n"/>
      <c r="AW168" s="52" t="n"/>
    </row>
    <row r="169">
      <c r="A169" s="48" t="n"/>
      <c r="B169" s="52" t="n"/>
      <c r="C169" s="47">
        <f>IF(B169="","",IFERROR(INDEX('隊員マスタ'!$B$5:$B$204,MATCH(B169&amp;"",'隊員マスタ'!$F$5:$F$204,0)),IF(AK169="","番号なし",AK169)))</f>
        <v/>
      </c>
      <c r="D169" s="47" t="n"/>
      <c r="E169" s="47" t="n"/>
      <c r="F169" s="47" t="n"/>
      <c r="G169" s="47" t="n"/>
      <c r="H169" s="47" t="n"/>
      <c r="I169" s="47" t="n"/>
      <c r="J169" s="47" t="n"/>
      <c r="K169" s="47" t="n"/>
      <c r="L169" s="47" t="n"/>
      <c r="M169" s="47" t="n"/>
      <c r="N169" s="47" t="n"/>
      <c r="O169" s="47" t="n"/>
      <c r="P169" s="47" t="n"/>
      <c r="Q169" s="47" t="n"/>
      <c r="R169" s="47" t="n"/>
      <c r="S169" s="47" t="n"/>
      <c r="T169" s="47" t="n"/>
      <c r="U169" s="53" t="n"/>
      <c r="V169" s="53" t="n"/>
      <c r="W169" s="47" t="n"/>
      <c r="X169" s="47" t="n"/>
      <c r="Y169" s="47" t="n"/>
      <c r="Z169" s="47" t="n"/>
      <c r="AA169" s="47" t="n"/>
      <c r="AB169" s="47" t="n"/>
      <c r="AC169" s="47" t="n"/>
      <c r="AD169" s="47" t="n"/>
      <c r="AE169" s="47" t="n"/>
      <c r="AF169" s="20">
        <f>IF(A169="","",YEAR(EDATE(A169,-3)))</f>
        <v/>
      </c>
      <c r="AG169" s="20">
        <f>IF(OR(B169="",'経歴簿'!$C$4=""),"",IF(B169&amp;""='経歴簿'!$C$4&amp;"",MAX($AG$4:AG168)+1,""))</f>
        <v/>
      </c>
      <c r="AH169" s="20">
        <f>IF(A169="",0,IF(AND(OR('CSV抽出'!$C$4="",A169&gt;='CSV抽出'!$C$4),OR('CSV抽出'!$C$5="",A169&lt;='CSV抽出'!$C$5),OR('CSV抽出'!$C$6="すべて",'CSV抽出'!$C$6="",D169='CSV抽出'!$C$6),OR('CSV抽出'!$C$7="",B169&amp;""='CSV抽出'!$C$7&amp;"")),1,0))</f>
        <v/>
      </c>
      <c r="AI169" s="20">
        <f>IF(AH169=1,SUM($AH$5:AH169),"")</f>
        <v/>
      </c>
      <c r="AJ169" s="20">
        <f>IF(OR(S169="",'報告書'!$C$4=""),"",IF(S169&amp;""='報告書'!$C$4&amp;"",COUNTIF($S$5:S169,'報告書'!$C$4),""))</f>
        <v/>
      </c>
      <c r="AK169" s="20" t="n"/>
      <c r="AL169" s="47" t="n"/>
      <c r="AM169" s="47" t="n"/>
      <c r="AN169" s="53" t="n"/>
      <c r="AO169" s="47" t="n"/>
      <c r="AP169" s="47" t="n"/>
      <c r="AQ169" s="47" t="n"/>
      <c r="AR169" s="47" t="n"/>
      <c r="AS169" s="47" t="n"/>
      <c r="AT169" s="47" t="n"/>
      <c r="AU169" s="47" t="n"/>
      <c r="AV169" s="47" t="n"/>
      <c r="AW169" s="52" t="n"/>
    </row>
    <row r="170">
      <c r="A170" s="48" t="n"/>
      <c r="B170" s="52" t="n"/>
      <c r="C170" s="47">
        <f>IF(B170="","",IFERROR(INDEX('隊員マスタ'!$B$5:$B$204,MATCH(B170&amp;"",'隊員マスタ'!$F$5:$F$204,0)),IF(AK170="","番号なし",AK170)))</f>
        <v/>
      </c>
      <c r="D170" s="47" t="n"/>
      <c r="E170" s="47" t="n"/>
      <c r="F170" s="47" t="n"/>
      <c r="G170" s="47" t="n"/>
      <c r="H170" s="47" t="n"/>
      <c r="I170" s="47" t="n"/>
      <c r="J170" s="47" t="n"/>
      <c r="K170" s="47" t="n"/>
      <c r="L170" s="47" t="n"/>
      <c r="M170" s="47" t="n"/>
      <c r="N170" s="47" t="n"/>
      <c r="O170" s="47" t="n"/>
      <c r="P170" s="47" t="n"/>
      <c r="Q170" s="47" t="n"/>
      <c r="R170" s="47" t="n"/>
      <c r="S170" s="47" t="n"/>
      <c r="T170" s="47" t="n"/>
      <c r="U170" s="53" t="n"/>
      <c r="V170" s="53" t="n"/>
      <c r="W170" s="47" t="n"/>
      <c r="X170" s="47" t="n"/>
      <c r="Y170" s="47" t="n"/>
      <c r="Z170" s="47" t="n"/>
      <c r="AA170" s="47" t="n"/>
      <c r="AB170" s="47" t="n"/>
      <c r="AC170" s="47" t="n"/>
      <c r="AD170" s="47" t="n"/>
      <c r="AE170" s="47" t="n"/>
      <c r="AF170" s="20">
        <f>IF(A170="","",YEAR(EDATE(A170,-3)))</f>
        <v/>
      </c>
      <c r="AG170" s="20">
        <f>IF(OR(B170="",'経歴簿'!$C$4=""),"",IF(B170&amp;""='経歴簿'!$C$4&amp;"",MAX($AG$4:AG169)+1,""))</f>
        <v/>
      </c>
      <c r="AH170" s="20">
        <f>IF(A170="",0,IF(AND(OR('CSV抽出'!$C$4="",A170&gt;='CSV抽出'!$C$4),OR('CSV抽出'!$C$5="",A170&lt;='CSV抽出'!$C$5),OR('CSV抽出'!$C$6="すべて",'CSV抽出'!$C$6="",D170='CSV抽出'!$C$6),OR('CSV抽出'!$C$7="",B170&amp;""='CSV抽出'!$C$7&amp;"")),1,0))</f>
        <v/>
      </c>
      <c r="AI170" s="20">
        <f>IF(AH170=1,SUM($AH$5:AH170),"")</f>
        <v/>
      </c>
      <c r="AJ170" s="20">
        <f>IF(OR(S170="",'報告書'!$C$4=""),"",IF(S170&amp;""='報告書'!$C$4&amp;"",COUNTIF($S$5:S170,'報告書'!$C$4),""))</f>
        <v/>
      </c>
      <c r="AK170" s="20" t="n"/>
      <c r="AL170" s="47" t="n"/>
      <c r="AM170" s="47" t="n"/>
      <c r="AN170" s="53" t="n"/>
      <c r="AO170" s="47" t="n"/>
      <c r="AP170" s="47" t="n"/>
      <c r="AQ170" s="47" t="n"/>
      <c r="AR170" s="47" t="n"/>
      <c r="AS170" s="47" t="n"/>
      <c r="AT170" s="47" t="n"/>
      <c r="AU170" s="47" t="n"/>
      <c r="AV170" s="47" t="n"/>
      <c r="AW170" s="52" t="n"/>
    </row>
    <row r="171">
      <c r="A171" s="48" t="n"/>
      <c r="B171" s="52" t="n"/>
      <c r="C171" s="47">
        <f>IF(B171="","",IFERROR(INDEX('隊員マスタ'!$B$5:$B$204,MATCH(B171&amp;"",'隊員マスタ'!$F$5:$F$204,0)),IF(AK171="","番号なし",AK171)))</f>
        <v/>
      </c>
      <c r="D171" s="47" t="n"/>
      <c r="E171" s="47" t="n"/>
      <c r="F171" s="47" t="n"/>
      <c r="G171" s="47" t="n"/>
      <c r="H171" s="47" t="n"/>
      <c r="I171" s="47" t="n"/>
      <c r="J171" s="47" t="n"/>
      <c r="K171" s="47" t="n"/>
      <c r="L171" s="47" t="n"/>
      <c r="M171" s="47" t="n"/>
      <c r="N171" s="47" t="n"/>
      <c r="O171" s="47" t="n"/>
      <c r="P171" s="47" t="n"/>
      <c r="Q171" s="47" t="n"/>
      <c r="R171" s="47" t="n"/>
      <c r="S171" s="47" t="n"/>
      <c r="T171" s="47" t="n"/>
      <c r="U171" s="53" t="n"/>
      <c r="V171" s="53" t="n"/>
      <c r="W171" s="47" t="n"/>
      <c r="X171" s="47" t="n"/>
      <c r="Y171" s="47" t="n"/>
      <c r="Z171" s="47" t="n"/>
      <c r="AA171" s="47" t="n"/>
      <c r="AB171" s="47" t="n"/>
      <c r="AC171" s="47" t="n"/>
      <c r="AD171" s="47" t="n"/>
      <c r="AE171" s="47" t="n"/>
      <c r="AF171" s="20">
        <f>IF(A171="","",YEAR(EDATE(A171,-3)))</f>
        <v/>
      </c>
      <c r="AG171" s="20">
        <f>IF(OR(B171="",'経歴簿'!$C$4=""),"",IF(B171&amp;""='経歴簿'!$C$4&amp;"",MAX($AG$4:AG170)+1,""))</f>
        <v/>
      </c>
      <c r="AH171" s="20">
        <f>IF(A171="",0,IF(AND(OR('CSV抽出'!$C$4="",A171&gt;='CSV抽出'!$C$4),OR('CSV抽出'!$C$5="",A171&lt;='CSV抽出'!$C$5),OR('CSV抽出'!$C$6="すべて",'CSV抽出'!$C$6="",D171='CSV抽出'!$C$6),OR('CSV抽出'!$C$7="",B171&amp;""='CSV抽出'!$C$7&amp;"")),1,0))</f>
        <v/>
      </c>
      <c r="AI171" s="20">
        <f>IF(AH171=1,SUM($AH$5:AH171),"")</f>
        <v/>
      </c>
      <c r="AJ171" s="20">
        <f>IF(OR(S171="",'報告書'!$C$4=""),"",IF(S171&amp;""='報告書'!$C$4&amp;"",COUNTIF($S$5:S171,'報告書'!$C$4),""))</f>
        <v/>
      </c>
      <c r="AK171" s="20" t="n"/>
      <c r="AL171" s="47" t="n"/>
      <c r="AM171" s="47" t="n"/>
      <c r="AN171" s="53" t="n"/>
      <c r="AO171" s="47" t="n"/>
      <c r="AP171" s="47" t="n"/>
      <c r="AQ171" s="47" t="n"/>
      <c r="AR171" s="47" t="n"/>
      <c r="AS171" s="47" t="n"/>
      <c r="AT171" s="47" t="n"/>
      <c r="AU171" s="47" t="n"/>
      <c r="AV171" s="47" t="n"/>
      <c r="AW171" s="52" t="n"/>
    </row>
    <row r="172">
      <c r="A172" s="48" t="n"/>
      <c r="B172" s="52" t="n"/>
      <c r="C172" s="47">
        <f>IF(B172="","",IFERROR(INDEX('隊員マスタ'!$B$5:$B$204,MATCH(B172&amp;"",'隊員マスタ'!$F$5:$F$204,0)),IF(AK172="","番号なし",AK172)))</f>
        <v/>
      </c>
      <c r="D172" s="47" t="n"/>
      <c r="E172" s="47" t="n"/>
      <c r="F172" s="47" t="n"/>
      <c r="G172" s="47" t="n"/>
      <c r="H172" s="47" t="n"/>
      <c r="I172" s="47" t="n"/>
      <c r="J172" s="47" t="n"/>
      <c r="K172" s="47" t="n"/>
      <c r="L172" s="47" t="n"/>
      <c r="M172" s="47" t="n"/>
      <c r="N172" s="47" t="n"/>
      <c r="O172" s="47" t="n"/>
      <c r="P172" s="47" t="n"/>
      <c r="Q172" s="47" t="n"/>
      <c r="R172" s="47" t="n"/>
      <c r="S172" s="47" t="n"/>
      <c r="T172" s="47" t="n"/>
      <c r="U172" s="53" t="n"/>
      <c r="V172" s="53" t="n"/>
      <c r="W172" s="47" t="n"/>
      <c r="X172" s="47" t="n"/>
      <c r="Y172" s="47" t="n"/>
      <c r="Z172" s="47" t="n"/>
      <c r="AA172" s="47" t="n"/>
      <c r="AB172" s="47" t="n"/>
      <c r="AC172" s="47" t="n"/>
      <c r="AD172" s="47" t="n"/>
      <c r="AE172" s="47" t="n"/>
      <c r="AF172" s="20">
        <f>IF(A172="","",YEAR(EDATE(A172,-3)))</f>
        <v/>
      </c>
      <c r="AG172" s="20">
        <f>IF(OR(B172="",'経歴簿'!$C$4=""),"",IF(B172&amp;""='経歴簿'!$C$4&amp;"",MAX($AG$4:AG171)+1,""))</f>
        <v/>
      </c>
      <c r="AH172" s="20">
        <f>IF(A172="",0,IF(AND(OR('CSV抽出'!$C$4="",A172&gt;='CSV抽出'!$C$4),OR('CSV抽出'!$C$5="",A172&lt;='CSV抽出'!$C$5),OR('CSV抽出'!$C$6="すべて",'CSV抽出'!$C$6="",D172='CSV抽出'!$C$6),OR('CSV抽出'!$C$7="",B172&amp;""='CSV抽出'!$C$7&amp;"")),1,0))</f>
        <v/>
      </c>
      <c r="AI172" s="20">
        <f>IF(AH172=1,SUM($AH$5:AH172),"")</f>
        <v/>
      </c>
      <c r="AJ172" s="20">
        <f>IF(OR(S172="",'報告書'!$C$4=""),"",IF(S172&amp;""='報告書'!$C$4&amp;"",COUNTIF($S$5:S172,'報告書'!$C$4),""))</f>
        <v/>
      </c>
      <c r="AK172" s="20" t="n"/>
      <c r="AL172" s="47" t="n"/>
      <c r="AM172" s="47" t="n"/>
      <c r="AN172" s="53" t="n"/>
      <c r="AO172" s="47" t="n"/>
      <c r="AP172" s="47" t="n"/>
      <c r="AQ172" s="47" t="n"/>
      <c r="AR172" s="47" t="n"/>
      <c r="AS172" s="47" t="n"/>
      <c r="AT172" s="47" t="n"/>
      <c r="AU172" s="47" t="n"/>
      <c r="AV172" s="47" t="n"/>
      <c r="AW172" s="52" t="n"/>
    </row>
    <row r="173">
      <c r="A173" s="48" t="n"/>
      <c r="B173" s="52" t="n"/>
      <c r="C173" s="47">
        <f>IF(B173="","",IFERROR(INDEX('隊員マスタ'!$B$5:$B$204,MATCH(B173&amp;"",'隊員マスタ'!$F$5:$F$204,0)),IF(AK173="","番号なし",AK173)))</f>
        <v/>
      </c>
      <c r="D173" s="47" t="n"/>
      <c r="E173" s="47" t="n"/>
      <c r="F173" s="47" t="n"/>
      <c r="G173" s="47" t="n"/>
      <c r="H173" s="47" t="n"/>
      <c r="I173" s="47" t="n"/>
      <c r="J173" s="47" t="n"/>
      <c r="K173" s="47" t="n"/>
      <c r="L173" s="47" t="n"/>
      <c r="M173" s="47" t="n"/>
      <c r="N173" s="47" t="n"/>
      <c r="O173" s="47" t="n"/>
      <c r="P173" s="47" t="n"/>
      <c r="Q173" s="47" t="n"/>
      <c r="R173" s="47" t="n"/>
      <c r="S173" s="47" t="n"/>
      <c r="T173" s="47" t="n"/>
      <c r="U173" s="53" t="n"/>
      <c r="V173" s="53" t="n"/>
      <c r="W173" s="47" t="n"/>
      <c r="X173" s="47" t="n"/>
      <c r="Y173" s="47" t="n"/>
      <c r="Z173" s="47" t="n"/>
      <c r="AA173" s="47" t="n"/>
      <c r="AB173" s="47" t="n"/>
      <c r="AC173" s="47" t="n"/>
      <c r="AD173" s="47" t="n"/>
      <c r="AE173" s="47" t="n"/>
      <c r="AF173" s="20">
        <f>IF(A173="","",YEAR(EDATE(A173,-3)))</f>
        <v/>
      </c>
      <c r="AG173" s="20">
        <f>IF(OR(B173="",'経歴簿'!$C$4=""),"",IF(B173&amp;""='経歴簿'!$C$4&amp;"",MAX($AG$4:AG172)+1,""))</f>
        <v/>
      </c>
      <c r="AH173" s="20">
        <f>IF(A173="",0,IF(AND(OR('CSV抽出'!$C$4="",A173&gt;='CSV抽出'!$C$4),OR('CSV抽出'!$C$5="",A173&lt;='CSV抽出'!$C$5),OR('CSV抽出'!$C$6="すべて",'CSV抽出'!$C$6="",D173='CSV抽出'!$C$6),OR('CSV抽出'!$C$7="",B173&amp;""='CSV抽出'!$C$7&amp;"")),1,0))</f>
        <v/>
      </c>
      <c r="AI173" s="20">
        <f>IF(AH173=1,SUM($AH$5:AH173),"")</f>
        <v/>
      </c>
      <c r="AJ173" s="20">
        <f>IF(OR(S173="",'報告書'!$C$4=""),"",IF(S173&amp;""='報告書'!$C$4&amp;"",COUNTIF($S$5:S173,'報告書'!$C$4),""))</f>
        <v/>
      </c>
      <c r="AK173" s="20" t="n"/>
      <c r="AL173" s="47" t="n"/>
      <c r="AM173" s="47" t="n"/>
      <c r="AN173" s="53" t="n"/>
      <c r="AO173" s="47" t="n"/>
      <c r="AP173" s="47" t="n"/>
      <c r="AQ173" s="47" t="n"/>
      <c r="AR173" s="47" t="n"/>
      <c r="AS173" s="47" t="n"/>
      <c r="AT173" s="47" t="n"/>
      <c r="AU173" s="47" t="n"/>
      <c r="AV173" s="47" t="n"/>
      <c r="AW173" s="52" t="n"/>
    </row>
    <row r="174">
      <c r="A174" s="48" t="n"/>
      <c r="B174" s="52" t="n"/>
      <c r="C174" s="47">
        <f>IF(B174="","",IFERROR(INDEX('隊員マスタ'!$B$5:$B$204,MATCH(B174&amp;"",'隊員マスタ'!$F$5:$F$204,0)),IF(AK174="","番号なし",AK174)))</f>
        <v/>
      </c>
      <c r="D174" s="47" t="n"/>
      <c r="E174" s="47" t="n"/>
      <c r="F174" s="47" t="n"/>
      <c r="G174" s="47" t="n"/>
      <c r="H174" s="47" t="n"/>
      <c r="I174" s="47" t="n"/>
      <c r="J174" s="47" t="n"/>
      <c r="K174" s="47" t="n"/>
      <c r="L174" s="47" t="n"/>
      <c r="M174" s="47" t="n"/>
      <c r="N174" s="47" t="n"/>
      <c r="O174" s="47" t="n"/>
      <c r="P174" s="47" t="n"/>
      <c r="Q174" s="47" t="n"/>
      <c r="R174" s="47" t="n"/>
      <c r="S174" s="47" t="n"/>
      <c r="T174" s="47" t="n"/>
      <c r="U174" s="53" t="n"/>
      <c r="V174" s="53" t="n"/>
      <c r="W174" s="47" t="n"/>
      <c r="X174" s="47" t="n"/>
      <c r="Y174" s="47" t="n"/>
      <c r="Z174" s="47" t="n"/>
      <c r="AA174" s="47" t="n"/>
      <c r="AB174" s="47" t="n"/>
      <c r="AC174" s="47" t="n"/>
      <c r="AD174" s="47" t="n"/>
      <c r="AE174" s="47" t="n"/>
      <c r="AF174" s="20">
        <f>IF(A174="","",YEAR(EDATE(A174,-3)))</f>
        <v/>
      </c>
      <c r="AG174" s="20">
        <f>IF(OR(B174="",'経歴簿'!$C$4=""),"",IF(B174&amp;""='経歴簿'!$C$4&amp;"",MAX($AG$4:AG173)+1,""))</f>
        <v/>
      </c>
      <c r="AH174" s="20">
        <f>IF(A174="",0,IF(AND(OR('CSV抽出'!$C$4="",A174&gt;='CSV抽出'!$C$4),OR('CSV抽出'!$C$5="",A174&lt;='CSV抽出'!$C$5),OR('CSV抽出'!$C$6="すべて",'CSV抽出'!$C$6="",D174='CSV抽出'!$C$6),OR('CSV抽出'!$C$7="",B174&amp;""='CSV抽出'!$C$7&amp;"")),1,0))</f>
        <v/>
      </c>
      <c r="AI174" s="20">
        <f>IF(AH174=1,SUM($AH$5:AH174),"")</f>
        <v/>
      </c>
      <c r="AJ174" s="20">
        <f>IF(OR(S174="",'報告書'!$C$4=""),"",IF(S174&amp;""='報告書'!$C$4&amp;"",COUNTIF($S$5:S174,'報告書'!$C$4),""))</f>
        <v/>
      </c>
      <c r="AK174" s="20" t="n"/>
      <c r="AL174" s="47" t="n"/>
      <c r="AM174" s="47" t="n"/>
      <c r="AN174" s="53" t="n"/>
      <c r="AO174" s="47" t="n"/>
      <c r="AP174" s="47" t="n"/>
      <c r="AQ174" s="47" t="n"/>
      <c r="AR174" s="47" t="n"/>
      <c r="AS174" s="47" t="n"/>
      <c r="AT174" s="47" t="n"/>
      <c r="AU174" s="47" t="n"/>
      <c r="AV174" s="47" t="n"/>
      <c r="AW174" s="52" t="n"/>
    </row>
    <row r="175">
      <c r="A175" s="48" t="n"/>
      <c r="B175" s="52" t="n"/>
      <c r="C175" s="47">
        <f>IF(B175="","",IFERROR(INDEX('隊員マスタ'!$B$5:$B$204,MATCH(B175&amp;"",'隊員マスタ'!$F$5:$F$204,0)),IF(AK175="","番号なし",AK175)))</f>
        <v/>
      </c>
      <c r="D175" s="47" t="n"/>
      <c r="E175" s="47" t="n"/>
      <c r="F175" s="47" t="n"/>
      <c r="G175" s="47" t="n"/>
      <c r="H175" s="47" t="n"/>
      <c r="I175" s="47" t="n"/>
      <c r="J175" s="47" t="n"/>
      <c r="K175" s="47" t="n"/>
      <c r="L175" s="47" t="n"/>
      <c r="M175" s="47" t="n"/>
      <c r="N175" s="47" t="n"/>
      <c r="O175" s="47" t="n"/>
      <c r="P175" s="47" t="n"/>
      <c r="Q175" s="47" t="n"/>
      <c r="R175" s="47" t="n"/>
      <c r="S175" s="47" t="n"/>
      <c r="T175" s="47" t="n"/>
      <c r="U175" s="53" t="n"/>
      <c r="V175" s="53" t="n"/>
      <c r="W175" s="47" t="n"/>
      <c r="X175" s="47" t="n"/>
      <c r="Y175" s="47" t="n"/>
      <c r="Z175" s="47" t="n"/>
      <c r="AA175" s="47" t="n"/>
      <c r="AB175" s="47" t="n"/>
      <c r="AC175" s="47" t="n"/>
      <c r="AD175" s="47" t="n"/>
      <c r="AE175" s="47" t="n"/>
      <c r="AF175" s="20">
        <f>IF(A175="","",YEAR(EDATE(A175,-3)))</f>
        <v/>
      </c>
      <c r="AG175" s="20">
        <f>IF(OR(B175="",'経歴簿'!$C$4=""),"",IF(B175&amp;""='経歴簿'!$C$4&amp;"",MAX($AG$4:AG174)+1,""))</f>
        <v/>
      </c>
      <c r="AH175" s="20">
        <f>IF(A175="",0,IF(AND(OR('CSV抽出'!$C$4="",A175&gt;='CSV抽出'!$C$4),OR('CSV抽出'!$C$5="",A175&lt;='CSV抽出'!$C$5),OR('CSV抽出'!$C$6="すべて",'CSV抽出'!$C$6="",D175='CSV抽出'!$C$6),OR('CSV抽出'!$C$7="",B175&amp;""='CSV抽出'!$C$7&amp;"")),1,0))</f>
        <v/>
      </c>
      <c r="AI175" s="20">
        <f>IF(AH175=1,SUM($AH$5:AH175),"")</f>
        <v/>
      </c>
      <c r="AJ175" s="20">
        <f>IF(OR(S175="",'報告書'!$C$4=""),"",IF(S175&amp;""='報告書'!$C$4&amp;"",COUNTIF($S$5:S175,'報告書'!$C$4),""))</f>
        <v/>
      </c>
      <c r="AK175" s="20" t="n"/>
      <c r="AL175" s="47" t="n"/>
      <c r="AM175" s="47" t="n"/>
      <c r="AN175" s="53" t="n"/>
      <c r="AO175" s="47" t="n"/>
      <c r="AP175" s="47" t="n"/>
      <c r="AQ175" s="47" t="n"/>
      <c r="AR175" s="47" t="n"/>
      <c r="AS175" s="47" t="n"/>
      <c r="AT175" s="47" t="n"/>
      <c r="AU175" s="47" t="n"/>
      <c r="AV175" s="47" t="n"/>
      <c r="AW175" s="52" t="n"/>
    </row>
    <row r="176">
      <c r="A176" s="48" t="n"/>
      <c r="B176" s="52" t="n"/>
      <c r="C176" s="47">
        <f>IF(B176="","",IFERROR(INDEX('隊員マスタ'!$B$5:$B$204,MATCH(B176&amp;"",'隊員マスタ'!$F$5:$F$204,0)),IF(AK176="","番号なし",AK176)))</f>
        <v/>
      </c>
      <c r="D176" s="47" t="n"/>
      <c r="E176" s="47" t="n"/>
      <c r="F176" s="47" t="n"/>
      <c r="G176" s="47" t="n"/>
      <c r="H176" s="47" t="n"/>
      <c r="I176" s="47" t="n"/>
      <c r="J176" s="47" t="n"/>
      <c r="K176" s="47" t="n"/>
      <c r="L176" s="47" t="n"/>
      <c r="M176" s="47" t="n"/>
      <c r="N176" s="47" t="n"/>
      <c r="O176" s="47" t="n"/>
      <c r="P176" s="47" t="n"/>
      <c r="Q176" s="47" t="n"/>
      <c r="R176" s="47" t="n"/>
      <c r="S176" s="47" t="n"/>
      <c r="T176" s="47" t="n"/>
      <c r="U176" s="53" t="n"/>
      <c r="V176" s="53" t="n"/>
      <c r="W176" s="47" t="n"/>
      <c r="X176" s="47" t="n"/>
      <c r="Y176" s="47" t="n"/>
      <c r="Z176" s="47" t="n"/>
      <c r="AA176" s="47" t="n"/>
      <c r="AB176" s="47" t="n"/>
      <c r="AC176" s="47" t="n"/>
      <c r="AD176" s="47" t="n"/>
      <c r="AE176" s="47" t="n"/>
      <c r="AF176" s="20">
        <f>IF(A176="","",YEAR(EDATE(A176,-3)))</f>
        <v/>
      </c>
      <c r="AG176" s="20">
        <f>IF(OR(B176="",'経歴簿'!$C$4=""),"",IF(B176&amp;""='経歴簿'!$C$4&amp;"",MAX($AG$4:AG175)+1,""))</f>
        <v/>
      </c>
      <c r="AH176" s="20">
        <f>IF(A176="",0,IF(AND(OR('CSV抽出'!$C$4="",A176&gt;='CSV抽出'!$C$4),OR('CSV抽出'!$C$5="",A176&lt;='CSV抽出'!$C$5),OR('CSV抽出'!$C$6="すべて",'CSV抽出'!$C$6="",D176='CSV抽出'!$C$6),OR('CSV抽出'!$C$7="",B176&amp;""='CSV抽出'!$C$7&amp;"")),1,0))</f>
        <v/>
      </c>
      <c r="AI176" s="20">
        <f>IF(AH176=1,SUM($AH$5:AH176),"")</f>
        <v/>
      </c>
      <c r="AJ176" s="20">
        <f>IF(OR(S176="",'報告書'!$C$4=""),"",IF(S176&amp;""='報告書'!$C$4&amp;"",COUNTIF($S$5:S176,'報告書'!$C$4),""))</f>
        <v/>
      </c>
      <c r="AK176" s="20" t="n"/>
      <c r="AL176" s="47" t="n"/>
      <c r="AM176" s="47" t="n"/>
      <c r="AN176" s="53" t="n"/>
      <c r="AO176" s="47" t="n"/>
      <c r="AP176" s="47" t="n"/>
      <c r="AQ176" s="47" t="n"/>
      <c r="AR176" s="47" t="n"/>
      <c r="AS176" s="47" t="n"/>
      <c r="AT176" s="47" t="n"/>
      <c r="AU176" s="47" t="n"/>
      <c r="AV176" s="47" t="n"/>
      <c r="AW176" s="52" t="n"/>
    </row>
    <row r="177">
      <c r="A177" s="48" t="n"/>
      <c r="B177" s="52" t="n"/>
      <c r="C177" s="47">
        <f>IF(B177="","",IFERROR(INDEX('隊員マスタ'!$B$5:$B$204,MATCH(B177&amp;"",'隊員マスタ'!$F$5:$F$204,0)),IF(AK177="","番号なし",AK177)))</f>
        <v/>
      </c>
      <c r="D177" s="47" t="n"/>
      <c r="E177" s="47" t="n"/>
      <c r="F177" s="47" t="n"/>
      <c r="G177" s="47" t="n"/>
      <c r="H177" s="47" t="n"/>
      <c r="I177" s="47" t="n"/>
      <c r="J177" s="47" t="n"/>
      <c r="K177" s="47" t="n"/>
      <c r="L177" s="47" t="n"/>
      <c r="M177" s="47" t="n"/>
      <c r="N177" s="47" t="n"/>
      <c r="O177" s="47" t="n"/>
      <c r="P177" s="47" t="n"/>
      <c r="Q177" s="47" t="n"/>
      <c r="R177" s="47" t="n"/>
      <c r="S177" s="47" t="n"/>
      <c r="T177" s="47" t="n"/>
      <c r="U177" s="53" t="n"/>
      <c r="V177" s="53" t="n"/>
      <c r="W177" s="47" t="n"/>
      <c r="X177" s="47" t="n"/>
      <c r="Y177" s="47" t="n"/>
      <c r="Z177" s="47" t="n"/>
      <c r="AA177" s="47" t="n"/>
      <c r="AB177" s="47" t="n"/>
      <c r="AC177" s="47" t="n"/>
      <c r="AD177" s="47" t="n"/>
      <c r="AE177" s="47" t="n"/>
      <c r="AF177" s="20">
        <f>IF(A177="","",YEAR(EDATE(A177,-3)))</f>
        <v/>
      </c>
      <c r="AG177" s="20">
        <f>IF(OR(B177="",'経歴簿'!$C$4=""),"",IF(B177&amp;""='経歴簿'!$C$4&amp;"",MAX($AG$4:AG176)+1,""))</f>
        <v/>
      </c>
      <c r="AH177" s="20">
        <f>IF(A177="",0,IF(AND(OR('CSV抽出'!$C$4="",A177&gt;='CSV抽出'!$C$4),OR('CSV抽出'!$C$5="",A177&lt;='CSV抽出'!$C$5),OR('CSV抽出'!$C$6="すべて",'CSV抽出'!$C$6="",D177='CSV抽出'!$C$6),OR('CSV抽出'!$C$7="",B177&amp;""='CSV抽出'!$C$7&amp;"")),1,0))</f>
        <v/>
      </c>
      <c r="AI177" s="20">
        <f>IF(AH177=1,SUM($AH$5:AH177),"")</f>
        <v/>
      </c>
      <c r="AJ177" s="20">
        <f>IF(OR(S177="",'報告書'!$C$4=""),"",IF(S177&amp;""='報告書'!$C$4&amp;"",COUNTIF($S$5:S177,'報告書'!$C$4),""))</f>
        <v/>
      </c>
      <c r="AK177" s="20" t="n"/>
      <c r="AL177" s="47" t="n"/>
      <c r="AM177" s="47" t="n"/>
      <c r="AN177" s="53" t="n"/>
      <c r="AO177" s="47" t="n"/>
      <c r="AP177" s="47" t="n"/>
      <c r="AQ177" s="47" t="n"/>
      <c r="AR177" s="47" t="n"/>
      <c r="AS177" s="47" t="n"/>
      <c r="AT177" s="47" t="n"/>
      <c r="AU177" s="47" t="n"/>
      <c r="AV177" s="47" t="n"/>
      <c r="AW177" s="52" t="n"/>
    </row>
    <row r="178">
      <c r="A178" s="48" t="n"/>
      <c r="B178" s="52" t="n"/>
      <c r="C178" s="47">
        <f>IF(B178="","",IFERROR(INDEX('隊員マスタ'!$B$5:$B$204,MATCH(B178&amp;"",'隊員マスタ'!$F$5:$F$204,0)),IF(AK178="","番号なし",AK178)))</f>
        <v/>
      </c>
      <c r="D178" s="47" t="n"/>
      <c r="E178" s="47" t="n"/>
      <c r="F178" s="47" t="n"/>
      <c r="G178" s="47" t="n"/>
      <c r="H178" s="47" t="n"/>
      <c r="I178" s="47" t="n"/>
      <c r="J178" s="47" t="n"/>
      <c r="K178" s="47" t="n"/>
      <c r="L178" s="47" t="n"/>
      <c r="M178" s="47" t="n"/>
      <c r="N178" s="47" t="n"/>
      <c r="O178" s="47" t="n"/>
      <c r="P178" s="47" t="n"/>
      <c r="Q178" s="47" t="n"/>
      <c r="R178" s="47" t="n"/>
      <c r="S178" s="47" t="n"/>
      <c r="T178" s="47" t="n"/>
      <c r="U178" s="53" t="n"/>
      <c r="V178" s="53" t="n"/>
      <c r="W178" s="47" t="n"/>
      <c r="X178" s="47" t="n"/>
      <c r="Y178" s="47" t="n"/>
      <c r="Z178" s="47" t="n"/>
      <c r="AA178" s="47" t="n"/>
      <c r="AB178" s="47" t="n"/>
      <c r="AC178" s="47" t="n"/>
      <c r="AD178" s="47" t="n"/>
      <c r="AE178" s="47" t="n"/>
      <c r="AF178" s="20">
        <f>IF(A178="","",YEAR(EDATE(A178,-3)))</f>
        <v/>
      </c>
      <c r="AG178" s="20">
        <f>IF(OR(B178="",'経歴簿'!$C$4=""),"",IF(B178&amp;""='経歴簿'!$C$4&amp;"",MAX($AG$4:AG177)+1,""))</f>
        <v/>
      </c>
      <c r="AH178" s="20">
        <f>IF(A178="",0,IF(AND(OR('CSV抽出'!$C$4="",A178&gt;='CSV抽出'!$C$4),OR('CSV抽出'!$C$5="",A178&lt;='CSV抽出'!$C$5),OR('CSV抽出'!$C$6="すべて",'CSV抽出'!$C$6="",D178='CSV抽出'!$C$6),OR('CSV抽出'!$C$7="",B178&amp;""='CSV抽出'!$C$7&amp;"")),1,0))</f>
        <v/>
      </c>
      <c r="AI178" s="20">
        <f>IF(AH178=1,SUM($AH$5:AH178),"")</f>
        <v/>
      </c>
      <c r="AJ178" s="20">
        <f>IF(OR(S178="",'報告書'!$C$4=""),"",IF(S178&amp;""='報告書'!$C$4&amp;"",COUNTIF($S$5:S178,'報告書'!$C$4),""))</f>
        <v/>
      </c>
      <c r="AK178" s="20" t="n"/>
      <c r="AL178" s="47" t="n"/>
      <c r="AM178" s="47" t="n"/>
      <c r="AN178" s="53" t="n"/>
      <c r="AO178" s="47" t="n"/>
      <c r="AP178" s="47" t="n"/>
      <c r="AQ178" s="47" t="n"/>
      <c r="AR178" s="47" t="n"/>
      <c r="AS178" s="47" t="n"/>
      <c r="AT178" s="47" t="n"/>
      <c r="AU178" s="47" t="n"/>
      <c r="AV178" s="47" t="n"/>
      <c r="AW178" s="52" t="n"/>
    </row>
    <row r="179">
      <c r="A179" s="48" t="n"/>
      <c r="B179" s="52" t="n"/>
      <c r="C179" s="47">
        <f>IF(B179="","",IFERROR(INDEX('隊員マスタ'!$B$5:$B$204,MATCH(B179&amp;"",'隊員マスタ'!$F$5:$F$204,0)),IF(AK179="","番号なし",AK179)))</f>
        <v/>
      </c>
      <c r="D179" s="47" t="n"/>
      <c r="E179" s="47" t="n"/>
      <c r="F179" s="47" t="n"/>
      <c r="G179" s="47" t="n"/>
      <c r="H179" s="47" t="n"/>
      <c r="I179" s="47" t="n"/>
      <c r="J179" s="47" t="n"/>
      <c r="K179" s="47" t="n"/>
      <c r="L179" s="47" t="n"/>
      <c r="M179" s="47" t="n"/>
      <c r="N179" s="47" t="n"/>
      <c r="O179" s="47" t="n"/>
      <c r="P179" s="47" t="n"/>
      <c r="Q179" s="47" t="n"/>
      <c r="R179" s="47" t="n"/>
      <c r="S179" s="47" t="n"/>
      <c r="T179" s="47" t="n"/>
      <c r="U179" s="53" t="n"/>
      <c r="V179" s="53" t="n"/>
      <c r="W179" s="47" t="n"/>
      <c r="X179" s="47" t="n"/>
      <c r="Y179" s="47" t="n"/>
      <c r="Z179" s="47" t="n"/>
      <c r="AA179" s="47" t="n"/>
      <c r="AB179" s="47" t="n"/>
      <c r="AC179" s="47" t="n"/>
      <c r="AD179" s="47" t="n"/>
      <c r="AE179" s="47" t="n"/>
      <c r="AF179" s="20">
        <f>IF(A179="","",YEAR(EDATE(A179,-3)))</f>
        <v/>
      </c>
      <c r="AG179" s="20">
        <f>IF(OR(B179="",'経歴簿'!$C$4=""),"",IF(B179&amp;""='経歴簿'!$C$4&amp;"",MAX($AG$4:AG178)+1,""))</f>
        <v/>
      </c>
      <c r="AH179" s="20">
        <f>IF(A179="",0,IF(AND(OR('CSV抽出'!$C$4="",A179&gt;='CSV抽出'!$C$4),OR('CSV抽出'!$C$5="",A179&lt;='CSV抽出'!$C$5),OR('CSV抽出'!$C$6="すべて",'CSV抽出'!$C$6="",D179='CSV抽出'!$C$6),OR('CSV抽出'!$C$7="",B179&amp;""='CSV抽出'!$C$7&amp;"")),1,0))</f>
        <v/>
      </c>
      <c r="AI179" s="20">
        <f>IF(AH179=1,SUM($AH$5:AH179),"")</f>
        <v/>
      </c>
      <c r="AJ179" s="20">
        <f>IF(OR(S179="",'報告書'!$C$4=""),"",IF(S179&amp;""='報告書'!$C$4&amp;"",COUNTIF($S$5:S179,'報告書'!$C$4),""))</f>
        <v/>
      </c>
      <c r="AK179" s="20" t="n"/>
      <c r="AL179" s="47" t="n"/>
      <c r="AM179" s="47" t="n"/>
      <c r="AN179" s="53" t="n"/>
      <c r="AO179" s="47" t="n"/>
      <c r="AP179" s="47" t="n"/>
      <c r="AQ179" s="47" t="n"/>
      <c r="AR179" s="47" t="n"/>
      <c r="AS179" s="47" t="n"/>
      <c r="AT179" s="47" t="n"/>
      <c r="AU179" s="47" t="n"/>
      <c r="AV179" s="47" t="n"/>
      <c r="AW179" s="52" t="n"/>
    </row>
    <row r="180">
      <c r="A180" s="48" t="n"/>
      <c r="B180" s="52" t="n"/>
      <c r="C180" s="47">
        <f>IF(B180="","",IFERROR(INDEX('隊員マスタ'!$B$5:$B$204,MATCH(B180&amp;"",'隊員マスタ'!$F$5:$F$204,0)),IF(AK180="","番号なし",AK180)))</f>
        <v/>
      </c>
      <c r="D180" s="47" t="n"/>
      <c r="E180" s="47" t="n"/>
      <c r="F180" s="47" t="n"/>
      <c r="G180" s="47" t="n"/>
      <c r="H180" s="47" t="n"/>
      <c r="I180" s="47" t="n"/>
      <c r="J180" s="47" t="n"/>
      <c r="K180" s="47" t="n"/>
      <c r="L180" s="47" t="n"/>
      <c r="M180" s="47" t="n"/>
      <c r="N180" s="47" t="n"/>
      <c r="O180" s="47" t="n"/>
      <c r="P180" s="47" t="n"/>
      <c r="Q180" s="47" t="n"/>
      <c r="R180" s="47" t="n"/>
      <c r="S180" s="47" t="n"/>
      <c r="T180" s="47" t="n"/>
      <c r="U180" s="53" t="n"/>
      <c r="V180" s="53" t="n"/>
      <c r="W180" s="47" t="n"/>
      <c r="X180" s="47" t="n"/>
      <c r="Y180" s="47" t="n"/>
      <c r="Z180" s="47" t="n"/>
      <c r="AA180" s="47" t="n"/>
      <c r="AB180" s="47" t="n"/>
      <c r="AC180" s="47" t="n"/>
      <c r="AD180" s="47" t="n"/>
      <c r="AE180" s="47" t="n"/>
      <c r="AF180" s="20">
        <f>IF(A180="","",YEAR(EDATE(A180,-3)))</f>
        <v/>
      </c>
      <c r="AG180" s="20">
        <f>IF(OR(B180="",'経歴簿'!$C$4=""),"",IF(B180&amp;""='経歴簿'!$C$4&amp;"",MAX($AG$4:AG179)+1,""))</f>
        <v/>
      </c>
      <c r="AH180" s="20">
        <f>IF(A180="",0,IF(AND(OR('CSV抽出'!$C$4="",A180&gt;='CSV抽出'!$C$4),OR('CSV抽出'!$C$5="",A180&lt;='CSV抽出'!$C$5),OR('CSV抽出'!$C$6="すべて",'CSV抽出'!$C$6="",D180='CSV抽出'!$C$6),OR('CSV抽出'!$C$7="",B180&amp;""='CSV抽出'!$C$7&amp;"")),1,0))</f>
        <v/>
      </c>
      <c r="AI180" s="20">
        <f>IF(AH180=1,SUM($AH$5:AH180),"")</f>
        <v/>
      </c>
      <c r="AJ180" s="20">
        <f>IF(OR(S180="",'報告書'!$C$4=""),"",IF(S180&amp;""='報告書'!$C$4&amp;"",COUNTIF($S$5:S180,'報告書'!$C$4),""))</f>
        <v/>
      </c>
      <c r="AK180" s="20" t="n"/>
      <c r="AL180" s="47" t="n"/>
      <c r="AM180" s="47" t="n"/>
      <c r="AN180" s="53" t="n"/>
      <c r="AO180" s="47" t="n"/>
      <c r="AP180" s="47" t="n"/>
      <c r="AQ180" s="47" t="n"/>
      <c r="AR180" s="47" t="n"/>
      <c r="AS180" s="47" t="n"/>
      <c r="AT180" s="47" t="n"/>
      <c r="AU180" s="47" t="n"/>
      <c r="AV180" s="47" t="n"/>
      <c r="AW180" s="52" t="n"/>
    </row>
    <row r="181">
      <c r="A181" s="48" t="n"/>
      <c r="B181" s="52" t="n"/>
      <c r="C181" s="47">
        <f>IF(B181="","",IFERROR(INDEX('隊員マスタ'!$B$5:$B$204,MATCH(B181&amp;"",'隊員マスタ'!$F$5:$F$204,0)),IF(AK181="","番号なし",AK181)))</f>
        <v/>
      </c>
      <c r="D181" s="47" t="n"/>
      <c r="E181" s="47" t="n"/>
      <c r="F181" s="47" t="n"/>
      <c r="G181" s="47" t="n"/>
      <c r="H181" s="47" t="n"/>
      <c r="I181" s="47" t="n"/>
      <c r="J181" s="47" t="n"/>
      <c r="K181" s="47" t="n"/>
      <c r="L181" s="47" t="n"/>
      <c r="M181" s="47" t="n"/>
      <c r="N181" s="47" t="n"/>
      <c r="O181" s="47" t="n"/>
      <c r="P181" s="47" t="n"/>
      <c r="Q181" s="47" t="n"/>
      <c r="R181" s="47" t="n"/>
      <c r="S181" s="47" t="n"/>
      <c r="T181" s="47" t="n"/>
      <c r="U181" s="53" t="n"/>
      <c r="V181" s="53" t="n"/>
      <c r="W181" s="47" t="n"/>
      <c r="X181" s="47" t="n"/>
      <c r="Y181" s="47" t="n"/>
      <c r="Z181" s="47" t="n"/>
      <c r="AA181" s="47" t="n"/>
      <c r="AB181" s="47" t="n"/>
      <c r="AC181" s="47" t="n"/>
      <c r="AD181" s="47" t="n"/>
      <c r="AE181" s="47" t="n"/>
      <c r="AF181" s="20">
        <f>IF(A181="","",YEAR(EDATE(A181,-3)))</f>
        <v/>
      </c>
      <c r="AG181" s="20">
        <f>IF(OR(B181="",'経歴簿'!$C$4=""),"",IF(B181&amp;""='経歴簿'!$C$4&amp;"",MAX($AG$4:AG180)+1,""))</f>
        <v/>
      </c>
      <c r="AH181" s="20">
        <f>IF(A181="",0,IF(AND(OR('CSV抽出'!$C$4="",A181&gt;='CSV抽出'!$C$4),OR('CSV抽出'!$C$5="",A181&lt;='CSV抽出'!$C$5),OR('CSV抽出'!$C$6="すべて",'CSV抽出'!$C$6="",D181='CSV抽出'!$C$6),OR('CSV抽出'!$C$7="",B181&amp;""='CSV抽出'!$C$7&amp;"")),1,0))</f>
        <v/>
      </c>
      <c r="AI181" s="20">
        <f>IF(AH181=1,SUM($AH$5:AH181),"")</f>
        <v/>
      </c>
      <c r="AJ181" s="20">
        <f>IF(OR(S181="",'報告書'!$C$4=""),"",IF(S181&amp;""='報告書'!$C$4&amp;"",COUNTIF($S$5:S181,'報告書'!$C$4),""))</f>
        <v/>
      </c>
      <c r="AK181" s="20" t="n"/>
      <c r="AL181" s="47" t="n"/>
      <c r="AM181" s="47" t="n"/>
      <c r="AN181" s="53" t="n"/>
      <c r="AO181" s="47" t="n"/>
      <c r="AP181" s="47" t="n"/>
      <c r="AQ181" s="47" t="n"/>
      <c r="AR181" s="47" t="n"/>
      <c r="AS181" s="47" t="n"/>
      <c r="AT181" s="47" t="n"/>
      <c r="AU181" s="47" t="n"/>
      <c r="AV181" s="47" t="n"/>
      <c r="AW181" s="52" t="n"/>
    </row>
    <row r="182">
      <c r="A182" s="48" t="n"/>
      <c r="B182" s="52" t="n"/>
      <c r="C182" s="47">
        <f>IF(B182="","",IFERROR(INDEX('隊員マスタ'!$B$5:$B$204,MATCH(B182&amp;"",'隊員マスタ'!$F$5:$F$204,0)),IF(AK182="","番号なし",AK182)))</f>
        <v/>
      </c>
      <c r="D182" s="47" t="n"/>
      <c r="E182" s="47" t="n"/>
      <c r="F182" s="47" t="n"/>
      <c r="G182" s="47" t="n"/>
      <c r="H182" s="47" t="n"/>
      <c r="I182" s="47" t="n"/>
      <c r="J182" s="47" t="n"/>
      <c r="K182" s="47" t="n"/>
      <c r="L182" s="47" t="n"/>
      <c r="M182" s="47" t="n"/>
      <c r="N182" s="47" t="n"/>
      <c r="O182" s="47" t="n"/>
      <c r="P182" s="47" t="n"/>
      <c r="Q182" s="47" t="n"/>
      <c r="R182" s="47" t="n"/>
      <c r="S182" s="47" t="n"/>
      <c r="T182" s="47" t="n"/>
      <c r="U182" s="53" t="n"/>
      <c r="V182" s="53" t="n"/>
      <c r="W182" s="47" t="n"/>
      <c r="X182" s="47" t="n"/>
      <c r="Y182" s="47" t="n"/>
      <c r="Z182" s="47" t="n"/>
      <c r="AA182" s="47" t="n"/>
      <c r="AB182" s="47" t="n"/>
      <c r="AC182" s="47" t="n"/>
      <c r="AD182" s="47" t="n"/>
      <c r="AE182" s="47" t="n"/>
      <c r="AF182" s="20">
        <f>IF(A182="","",YEAR(EDATE(A182,-3)))</f>
        <v/>
      </c>
      <c r="AG182" s="20">
        <f>IF(OR(B182="",'経歴簿'!$C$4=""),"",IF(B182&amp;""='経歴簿'!$C$4&amp;"",MAX($AG$4:AG181)+1,""))</f>
        <v/>
      </c>
      <c r="AH182" s="20">
        <f>IF(A182="",0,IF(AND(OR('CSV抽出'!$C$4="",A182&gt;='CSV抽出'!$C$4),OR('CSV抽出'!$C$5="",A182&lt;='CSV抽出'!$C$5),OR('CSV抽出'!$C$6="すべて",'CSV抽出'!$C$6="",D182='CSV抽出'!$C$6),OR('CSV抽出'!$C$7="",B182&amp;""='CSV抽出'!$C$7&amp;"")),1,0))</f>
        <v/>
      </c>
      <c r="AI182" s="20">
        <f>IF(AH182=1,SUM($AH$5:AH182),"")</f>
        <v/>
      </c>
      <c r="AJ182" s="20">
        <f>IF(OR(S182="",'報告書'!$C$4=""),"",IF(S182&amp;""='報告書'!$C$4&amp;"",COUNTIF($S$5:S182,'報告書'!$C$4),""))</f>
        <v/>
      </c>
      <c r="AK182" s="20" t="n"/>
      <c r="AL182" s="47" t="n"/>
      <c r="AM182" s="47" t="n"/>
      <c r="AN182" s="53" t="n"/>
      <c r="AO182" s="47" t="n"/>
      <c r="AP182" s="47" t="n"/>
      <c r="AQ182" s="47" t="n"/>
      <c r="AR182" s="47" t="n"/>
      <c r="AS182" s="47" t="n"/>
      <c r="AT182" s="47" t="n"/>
      <c r="AU182" s="47" t="n"/>
      <c r="AV182" s="47" t="n"/>
      <c r="AW182" s="52" t="n"/>
    </row>
    <row r="183">
      <c r="A183" s="48" t="n"/>
      <c r="B183" s="52" t="n"/>
      <c r="C183" s="47">
        <f>IF(B183="","",IFERROR(INDEX('隊員マスタ'!$B$5:$B$204,MATCH(B183&amp;"",'隊員マスタ'!$F$5:$F$204,0)),IF(AK183="","番号なし",AK183)))</f>
        <v/>
      </c>
      <c r="D183" s="47" t="n"/>
      <c r="E183" s="47" t="n"/>
      <c r="F183" s="47" t="n"/>
      <c r="G183" s="47" t="n"/>
      <c r="H183" s="47" t="n"/>
      <c r="I183" s="47" t="n"/>
      <c r="J183" s="47" t="n"/>
      <c r="K183" s="47" t="n"/>
      <c r="L183" s="47" t="n"/>
      <c r="M183" s="47" t="n"/>
      <c r="N183" s="47" t="n"/>
      <c r="O183" s="47" t="n"/>
      <c r="P183" s="47" t="n"/>
      <c r="Q183" s="47" t="n"/>
      <c r="R183" s="47" t="n"/>
      <c r="S183" s="47" t="n"/>
      <c r="T183" s="47" t="n"/>
      <c r="U183" s="53" t="n"/>
      <c r="V183" s="53" t="n"/>
      <c r="W183" s="47" t="n"/>
      <c r="X183" s="47" t="n"/>
      <c r="Y183" s="47" t="n"/>
      <c r="Z183" s="47" t="n"/>
      <c r="AA183" s="47" t="n"/>
      <c r="AB183" s="47" t="n"/>
      <c r="AC183" s="47" t="n"/>
      <c r="AD183" s="47" t="n"/>
      <c r="AE183" s="47" t="n"/>
      <c r="AF183" s="20">
        <f>IF(A183="","",YEAR(EDATE(A183,-3)))</f>
        <v/>
      </c>
      <c r="AG183" s="20">
        <f>IF(OR(B183="",'経歴簿'!$C$4=""),"",IF(B183&amp;""='経歴簿'!$C$4&amp;"",MAX($AG$4:AG182)+1,""))</f>
        <v/>
      </c>
      <c r="AH183" s="20">
        <f>IF(A183="",0,IF(AND(OR('CSV抽出'!$C$4="",A183&gt;='CSV抽出'!$C$4),OR('CSV抽出'!$C$5="",A183&lt;='CSV抽出'!$C$5),OR('CSV抽出'!$C$6="すべて",'CSV抽出'!$C$6="",D183='CSV抽出'!$C$6),OR('CSV抽出'!$C$7="",B183&amp;""='CSV抽出'!$C$7&amp;"")),1,0))</f>
        <v/>
      </c>
      <c r="AI183" s="20">
        <f>IF(AH183=1,SUM($AH$5:AH183),"")</f>
        <v/>
      </c>
      <c r="AJ183" s="20">
        <f>IF(OR(S183="",'報告書'!$C$4=""),"",IF(S183&amp;""='報告書'!$C$4&amp;"",COUNTIF($S$5:S183,'報告書'!$C$4),""))</f>
        <v/>
      </c>
      <c r="AK183" s="20" t="n"/>
      <c r="AL183" s="47" t="n"/>
      <c r="AM183" s="47" t="n"/>
      <c r="AN183" s="53" t="n"/>
      <c r="AO183" s="47" t="n"/>
      <c r="AP183" s="47" t="n"/>
      <c r="AQ183" s="47" t="n"/>
      <c r="AR183" s="47" t="n"/>
      <c r="AS183" s="47" t="n"/>
      <c r="AT183" s="47" t="n"/>
      <c r="AU183" s="47" t="n"/>
      <c r="AV183" s="47" t="n"/>
      <c r="AW183" s="52" t="n"/>
    </row>
    <row r="184">
      <c r="A184" s="48" t="n"/>
      <c r="B184" s="52" t="n"/>
      <c r="C184" s="47">
        <f>IF(B184="","",IFERROR(INDEX('隊員マスタ'!$B$5:$B$204,MATCH(B184&amp;"",'隊員マスタ'!$F$5:$F$204,0)),IF(AK184="","番号なし",AK184)))</f>
        <v/>
      </c>
      <c r="D184" s="47" t="n"/>
      <c r="E184" s="47" t="n"/>
      <c r="F184" s="47" t="n"/>
      <c r="G184" s="47" t="n"/>
      <c r="H184" s="47" t="n"/>
      <c r="I184" s="47" t="n"/>
      <c r="J184" s="47" t="n"/>
      <c r="K184" s="47" t="n"/>
      <c r="L184" s="47" t="n"/>
      <c r="M184" s="47" t="n"/>
      <c r="N184" s="47" t="n"/>
      <c r="O184" s="47" t="n"/>
      <c r="P184" s="47" t="n"/>
      <c r="Q184" s="47" t="n"/>
      <c r="R184" s="47" t="n"/>
      <c r="S184" s="47" t="n"/>
      <c r="T184" s="47" t="n"/>
      <c r="U184" s="53" t="n"/>
      <c r="V184" s="53" t="n"/>
      <c r="W184" s="47" t="n"/>
      <c r="X184" s="47" t="n"/>
      <c r="Y184" s="47" t="n"/>
      <c r="Z184" s="47" t="n"/>
      <c r="AA184" s="47" t="n"/>
      <c r="AB184" s="47" t="n"/>
      <c r="AC184" s="47" t="n"/>
      <c r="AD184" s="47" t="n"/>
      <c r="AE184" s="47" t="n"/>
      <c r="AF184" s="20">
        <f>IF(A184="","",YEAR(EDATE(A184,-3)))</f>
        <v/>
      </c>
      <c r="AG184" s="20">
        <f>IF(OR(B184="",'経歴簿'!$C$4=""),"",IF(B184&amp;""='経歴簿'!$C$4&amp;"",MAX($AG$4:AG183)+1,""))</f>
        <v/>
      </c>
      <c r="AH184" s="20">
        <f>IF(A184="",0,IF(AND(OR('CSV抽出'!$C$4="",A184&gt;='CSV抽出'!$C$4),OR('CSV抽出'!$C$5="",A184&lt;='CSV抽出'!$C$5),OR('CSV抽出'!$C$6="すべて",'CSV抽出'!$C$6="",D184='CSV抽出'!$C$6),OR('CSV抽出'!$C$7="",B184&amp;""='CSV抽出'!$C$7&amp;"")),1,0))</f>
        <v/>
      </c>
      <c r="AI184" s="20">
        <f>IF(AH184=1,SUM($AH$5:AH184),"")</f>
        <v/>
      </c>
      <c r="AJ184" s="20">
        <f>IF(OR(S184="",'報告書'!$C$4=""),"",IF(S184&amp;""='報告書'!$C$4&amp;"",COUNTIF($S$5:S184,'報告書'!$C$4),""))</f>
        <v/>
      </c>
      <c r="AK184" s="20" t="n"/>
      <c r="AL184" s="47" t="n"/>
      <c r="AM184" s="47" t="n"/>
      <c r="AN184" s="53" t="n"/>
      <c r="AO184" s="47" t="n"/>
      <c r="AP184" s="47" t="n"/>
      <c r="AQ184" s="47" t="n"/>
      <c r="AR184" s="47" t="n"/>
      <c r="AS184" s="47" t="n"/>
      <c r="AT184" s="47" t="n"/>
      <c r="AU184" s="47" t="n"/>
      <c r="AV184" s="47" t="n"/>
      <c r="AW184" s="52" t="n"/>
    </row>
    <row r="185">
      <c r="A185" s="48" t="n"/>
      <c r="B185" s="52" t="n"/>
      <c r="C185" s="47">
        <f>IF(B185="","",IFERROR(INDEX('隊員マスタ'!$B$5:$B$204,MATCH(B185&amp;"",'隊員マスタ'!$F$5:$F$204,0)),IF(AK185="","番号なし",AK185)))</f>
        <v/>
      </c>
      <c r="D185" s="47" t="n"/>
      <c r="E185" s="47" t="n"/>
      <c r="F185" s="47" t="n"/>
      <c r="G185" s="47" t="n"/>
      <c r="H185" s="47" t="n"/>
      <c r="I185" s="47" t="n"/>
      <c r="J185" s="47" t="n"/>
      <c r="K185" s="47" t="n"/>
      <c r="L185" s="47" t="n"/>
      <c r="M185" s="47" t="n"/>
      <c r="N185" s="47" t="n"/>
      <c r="O185" s="47" t="n"/>
      <c r="P185" s="47" t="n"/>
      <c r="Q185" s="47" t="n"/>
      <c r="R185" s="47" t="n"/>
      <c r="S185" s="47" t="n"/>
      <c r="T185" s="47" t="n"/>
      <c r="U185" s="53" t="n"/>
      <c r="V185" s="53" t="n"/>
      <c r="W185" s="47" t="n"/>
      <c r="X185" s="47" t="n"/>
      <c r="Y185" s="47" t="n"/>
      <c r="Z185" s="47" t="n"/>
      <c r="AA185" s="47" t="n"/>
      <c r="AB185" s="47" t="n"/>
      <c r="AC185" s="47" t="n"/>
      <c r="AD185" s="47" t="n"/>
      <c r="AE185" s="47" t="n"/>
      <c r="AF185" s="20">
        <f>IF(A185="","",YEAR(EDATE(A185,-3)))</f>
        <v/>
      </c>
      <c r="AG185" s="20">
        <f>IF(OR(B185="",'経歴簿'!$C$4=""),"",IF(B185&amp;""='経歴簿'!$C$4&amp;"",MAX($AG$4:AG184)+1,""))</f>
        <v/>
      </c>
      <c r="AH185" s="20">
        <f>IF(A185="",0,IF(AND(OR('CSV抽出'!$C$4="",A185&gt;='CSV抽出'!$C$4),OR('CSV抽出'!$C$5="",A185&lt;='CSV抽出'!$C$5),OR('CSV抽出'!$C$6="すべて",'CSV抽出'!$C$6="",D185='CSV抽出'!$C$6),OR('CSV抽出'!$C$7="",B185&amp;""='CSV抽出'!$C$7&amp;"")),1,0))</f>
        <v/>
      </c>
      <c r="AI185" s="20">
        <f>IF(AH185=1,SUM($AH$5:AH185),"")</f>
        <v/>
      </c>
      <c r="AJ185" s="20">
        <f>IF(OR(S185="",'報告書'!$C$4=""),"",IF(S185&amp;""='報告書'!$C$4&amp;"",COUNTIF($S$5:S185,'報告書'!$C$4),""))</f>
        <v/>
      </c>
      <c r="AK185" s="20" t="n"/>
      <c r="AL185" s="47" t="n"/>
      <c r="AM185" s="47" t="n"/>
      <c r="AN185" s="53" t="n"/>
      <c r="AO185" s="47" t="n"/>
      <c r="AP185" s="47" t="n"/>
      <c r="AQ185" s="47" t="n"/>
      <c r="AR185" s="47" t="n"/>
      <c r="AS185" s="47" t="n"/>
      <c r="AT185" s="47" t="n"/>
      <c r="AU185" s="47" t="n"/>
      <c r="AV185" s="47" t="n"/>
      <c r="AW185" s="52" t="n"/>
    </row>
    <row r="186">
      <c r="A186" s="48" t="n"/>
      <c r="B186" s="52" t="n"/>
      <c r="C186" s="47">
        <f>IF(B186="","",IFERROR(INDEX('隊員マスタ'!$B$5:$B$204,MATCH(B186&amp;"",'隊員マスタ'!$F$5:$F$204,0)),IF(AK186="","番号なし",AK186)))</f>
        <v/>
      </c>
      <c r="D186" s="47" t="n"/>
      <c r="E186" s="47" t="n"/>
      <c r="F186" s="47" t="n"/>
      <c r="G186" s="47" t="n"/>
      <c r="H186" s="47" t="n"/>
      <c r="I186" s="47" t="n"/>
      <c r="J186" s="47" t="n"/>
      <c r="K186" s="47" t="n"/>
      <c r="L186" s="47" t="n"/>
      <c r="M186" s="47" t="n"/>
      <c r="N186" s="47" t="n"/>
      <c r="O186" s="47" t="n"/>
      <c r="P186" s="47" t="n"/>
      <c r="Q186" s="47" t="n"/>
      <c r="R186" s="47" t="n"/>
      <c r="S186" s="47" t="n"/>
      <c r="T186" s="47" t="n"/>
      <c r="U186" s="53" t="n"/>
      <c r="V186" s="53" t="n"/>
      <c r="W186" s="47" t="n"/>
      <c r="X186" s="47" t="n"/>
      <c r="Y186" s="47" t="n"/>
      <c r="Z186" s="47" t="n"/>
      <c r="AA186" s="47" t="n"/>
      <c r="AB186" s="47" t="n"/>
      <c r="AC186" s="47" t="n"/>
      <c r="AD186" s="47" t="n"/>
      <c r="AE186" s="47" t="n"/>
      <c r="AF186" s="20">
        <f>IF(A186="","",YEAR(EDATE(A186,-3)))</f>
        <v/>
      </c>
      <c r="AG186" s="20">
        <f>IF(OR(B186="",'経歴簿'!$C$4=""),"",IF(B186&amp;""='経歴簿'!$C$4&amp;"",MAX($AG$4:AG185)+1,""))</f>
        <v/>
      </c>
      <c r="AH186" s="20">
        <f>IF(A186="",0,IF(AND(OR('CSV抽出'!$C$4="",A186&gt;='CSV抽出'!$C$4),OR('CSV抽出'!$C$5="",A186&lt;='CSV抽出'!$C$5),OR('CSV抽出'!$C$6="すべて",'CSV抽出'!$C$6="",D186='CSV抽出'!$C$6),OR('CSV抽出'!$C$7="",B186&amp;""='CSV抽出'!$C$7&amp;"")),1,0))</f>
        <v/>
      </c>
      <c r="AI186" s="20">
        <f>IF(AH186=1,SUM($AH$5:AH186),"")</f>
        <v/>
      </c>
      <c r="AJ186" s="20">
        <f>IF(OR(S186="",'報告書'!$C$4=""),"",IF(S186&amp;""='報告書'!$C$4&amp;"",COUNTIF($S$5:S186,'報告書'!$C$4),""))</f>
        <v/>
      </c>
      <c r="AK186" s="20" t="n"/>
      <c r="AL186" s="47" t="n"/>
      <c r="AM186" s="47" t="n"/>
      <c r="AN186" s="53" t="n"/>
      <c r="AO186" s="47" t="n"/>
      <c r="AP186" s="47" t="n"/>
      <c r="AQ186" s="47" t="n"/>
      <c r="AR186" s="47" t="n"/>
      <c r="AS186" s="47" t="n"/>
      <c r="AT186" s="47" t="n"/>
      <c r="AU186" s="47" t="n"/>
      <c r="AV186" s="47" t="n"/>
      <c r="AW186" s="52" t="n"/>
    </row>
    <row r="187">
      <c r="A187" s="48" t="n"/>
      <c r="B187" s="52" t="n"/>
      <c r="C187" s="47">
        <f>IF(B187="","",IFERROR(INDEX('隊員マスタ'!$B$5:$B$204,MATCH(B187&amp;"",'隊員マスタ'!$F$5:$F$204,0)),IF(AK187="","番号なし",AK187)))</f>
        <v/>
      </c>
      <c r="D187" s="47" t="n"/>
      <c r="E187" s="47" t="n"/>
      <c r="F187" s="47" t="n"/>
      <c r="G187" s="47" t="n"/>
      <c r="H187" s="47" t="n"/>
      <c r="I187" s="47" t="n"/>
      <c r="J187" s="47" t="n"/>
      <c r="K187" s="47" t="n"/>
      <c r="L187" s="47" t="n"/>
      <c r="M187" s="47" t="n"/>
      <c r="N187" s="47" t="n"/>
      <c r="O187" s="47" t="n"/>
      <c r="P187" s="47" t="n"/>
      <c r="Q187" s="47" t="n"/>
      <c r="R187" s="47" t="n"/>
      <c r="S187" s="47" t="n"/>
      <c r="T187" s="47" t="n"/>
      <c r="U187" s="53" t="n"/>
      <c r="V187" s="53" t="n"/>
      <c r="W187" s="47" t="n"/>
      <c r="X187" s="47" t="n"/>
      <c r="Y187" s="47" t="n"/>
      <c r="Z187" s="47" t="n"/>
      <c r="AA187" s="47" t="n"/>
      <c r="AB187" s="47" t="n"/>
      <c r="AC187" s="47" t="n"/>
      <c r="AD187" s="47" t="n"/>
      <c r="AE187" s="47" t="n"/>
      <c r="AF187" s="20">
        <f>IF(A187="","",YEAR(EDATE(A187,-3)))</f>
        <v/>
      </c>
      <c r="AG187" s="20">
        <f>IF(OR(B187="",'経歴簿'!$C$4=""),"",IF(B187&amp;""='経歴簿'!$C$4&amp;"",MAX($AG$4:AG186)+1,""))</f>
        <v/>
      </c>
      <c r="AH187" s="20">
        <f>IF(A187="",0,IF(AND(OR('CSV抽出'!$C$4="",A187&gt;='CSV抽出'!$C$4),OR('CSV抽出'!$C$5="",A187&lt;='CSV抽出'!$C$5),OR('CSV抽出'!$C$6="すべて",'CSV抽出'!$C$6="",D187='CSV抽出'!$C$6),OR('CSV抽出'!$C$7="",B187&amp;""='CSV抽出'!$C$7&amp;"")),1,0))</f>
        <v/>
      </c>
      <c r="AI187" s="20">
        <f>IF(AH187=1,SUM($AH$5:AH187),"")</f>
        <v/>
      </c>
      <c r="AJ187" s="20">
        <f>IF(OR(S187="",'報告書'!$C$4=""),"",IF(S187&amp;""='報告書'!$C$4&amp;"",COUNTIF($S$5:S187,'報告書'!$C$4),""))</f>
        <v/>
      </c>
      <c r="AK187" s="20" t="n"/>
      <c r="AL187" s="47" t="n"/>
      <c r="AM187" s="47" t="n"/>
      <c r="AN187" s="53" t="n"/>
      <c r="AO187" s="47" t="n"/>
      <c r="AP187" s="47" t="n"/>
      <c r="AQ187" s="47" t="n"/>
      <c r="AR187" s="47" t="n"/>
      <c r="AS187" s="47" t="n"/>
      <c r="AT187" s="47" t="n"/>
      <c r="AU187" s="47" t="n"/>
      <c r="AV187" s="47" t="n"/>
      <c r="AW187" s="52" t="n"/>
    </row>
    <row r="188">
      <c r="A188" s="48" t="n"/>
      <c r="B188" s="52" t="n"/>
      <c r="C188" s="47">
        <f>IF(B188="","",IFERROR(INDEX('隊員マスタ'!$B$5:$B$204,MATCH(B188&amp;"",'隊員マスタ'!$F$5:$F$204,0)),IF(AK188="","番号なし",AK188)))</f>
        <v/>
      </c>
      <c r="D188" s="47" t="n"/>
      <c r="E188" s="47" t="n"/>
      <c r="F188" s="47" t="n"/>
      <c r="G188" s="47" t="n"/>
      <c r="H188" s="47" t="n"/>
      <c r="I188" s="47" t="n"/>
      <c r="J188" s="47" t="n"/>
      <c r="K188" s="47" t="n"/>
      <c r="L188" s="47" t="n"/>
      <c r="M188" s="47" t="n"/>
      <c r="N188" s="47" t="n"/>
      <c r="O188" s="47" t="n"/>
      <c r="P188" s="47" t="n"/>
      <c r="Q188" s="47" t="n"/>
      <c r="R188" s="47" t="n"/>
      <c r="S188" s="47" t="n"/>
      <c r="T188" s="47" t="n"/>
      <c r="U188" s="53" t="n"/>
      <c r="V188" s="53" t="n"/>
      <c r="W188" s="47" t="n"/>
      <c r="X188" s="47" t="n"/>
      <c r="Y188" s="47" t="n"/>
      <c r="Z188" s="47" t="n"/>
      <c r="AA188" s="47" t="n"/>
      <c r="AB188" s="47" t="n"/>
      <c r="AC188" s="47" t="n"/>
      <c r="AD188" s="47" t="n"/>
      <c r="AE188" s="47" t="n"/>
      <c r="AF188" s="20">
        <f>IF(A188="","",YEAR(EDATE(A188,-3)))</f>
        <v/>
      </c>
      <c r="AG188" s="20">
        <f>IF(OR(B188="",'経歴簿'!$C$4=""),"",IF(B188&amp;""='経歴簿'!$C$4&amp;"",MAX($AG$4:AG187)+1,""))</f>
        <v/>
      </c>
      <c r="AH188" s="20">
        <f>IF(A188="",0,IF(AND(OR('CSV抽出'!$C$4="",A188&gt;='CSV抽出'!$C$4),OR('CSV抽出'!$C$5="",A188&lt;='CSV抽出'!$C$5),OR('CSV抽出'!$C$6="すべて",'CSV抽出'!$C$6="",D188='CSV抽出'!$C$6),OR('CSV抽出'!$C$7="",B188&amp;""='CSV抽出'!$C$7&amp;"")),1,0))</f>
        <v/>
      </c>
      <c r="AI188" s="20">
        <f>IF(AH188=1,SUM($AH$5:AH188),"")</f>
        <v/>
      </c>
      <c r="AJ188" s="20">
        <f>IF(OR(S188="",'報告書'!$C$4=""),"",IF(S188&amp;""='報告書'!$C$4&amp;"",COUNTIF($S$5:S188,'報告書'!$C$4),""))</f>
        <v/>
      </c>
      <c r="AK188" s="20" t="n"/>
      <c r="AL188" s="47" t="n"/>
      <c r="AM188" s="47" t="n"/>
      <c r="AN188" s="53" t="n"/>
      <c r="AO188" s="47" t="n"/>
      <c r="AP188" s="47" t="n"/>
      <c r="AQ188" s="47" t="n"/>
      <c r="AR188" s="47" t="n"/>
      <c r="AS188" s="47" t="n"/>
      <c r="AT188" s="47" t="n"/>
      <c r="AU188" s="47" t="n"/>
      <c r="AV188" s="47" t="n"/>
      <c r="AW188" s="52" t="n"/>
    </row>
    <row r="189">
      <c r="A189" s="48" t="n"/>
      <c r="B189" s="52" t="n"/>
      <c r="C189" s="47">
        <f>IF(B189="","",IFERROR(INDEX('隊員マスタ'!$B$5:$B$204,MATCH(B189&amp;"",'隊員マスタ'!$F$5:$F$204,0)),IF(AK189="","番号なし",AK189)))</f>
        <v/>
      </c>
      <c r="D189" s="47" t="n"/>
      <c r="E189" s="47" t="n"/>
      <c r="F189" s="47" t="n"/>
      <c r="G189" s="47" t="n"/>
      <c r="H189" s="47" t="n"/>
      <c r="I189" s="47" t="n"/>
      <c r="J189" s="47" t="n"/>
      <c r="K189" s="47" t="n"/>
      <c r="L189" s="47" t="n"/>
      <c r="M189" s="47" t="n"/>
      <c r="N189" s="47" t="n"/>
      <c r="O189" s="47" t="n"/>
      <c r="P189" s="47" t="n"/>
      <c r="Q189" s="47" t="n"/>
      <c r="R189" s="47" t="n"/>
      <c r="S189" s="47" t="n"/>
      <c r="T189" s="47" t="n"/>
      <c r="U189" s="53" t="n"/>
      <c r="V189" s="53" t="n"/>
      <c r="W189" s="47" t="n"/>
      <c r="X189" s="47" t="n"/>
      <c r="Y189" s="47" t="n"/>
      <c r="Z189" s="47" t="n"/>
      <c r="AA189" s="47" t="n"/>
      <c r="AB189" s="47" t="n"/>
      <c r="AC189" s="47" t="n"/>
      <c r="AD189" s="47" t="n"/>
      <c r="AE189" s="47" t="n"/>
      <c r="AF189" s="20">
        <f>IF(A189="","",YEAR(EDATE(A189,-3)))</f>
        <v/>
      </c>
      <c r="AG189" s="20">
        <f>IF(OR(B189="",'経歴簿'!$C$4=""),"",IF(B189&amp;""='経歴簿'!$C$4&amp;"",MAX($AG$4:AG188)+1,""))</f>
        <v/>
      </c>
      <c r="AH189" s="20">
        <f>IF(A189="",0,IF(AND(OR('CSV抽出'!$C$4="",A189&gt;='CSV抽出'!$C$4),OR('CSV抽出'!$C$5="",A189&lt;='CSV抽出'!$C$5),OR('CSV抽出'!$C$6="すべて",'CSV抽出'!$C$6="",D189='CSV抽出'!$C$6),OR('CSV抽出'!$C$7="",B189&amp;""='CSV抽出'!$C$7&amp;"")),1,0))</f>
        <v/>
      </c>
      <c r="AI189" s="20">
        <f>IF(AH189=1,SUM($AH$5:AH189),"")</f>
        <v/>
      </c>
      <c r="AJ189" s="20">
        <f>IF(OR(S189="",'報告書'!$C$4=""),"",IF(S189&amp;""='報告書'!$C$4&amp;"",COUNTIF($S$5:S189,'報告書'!$C$4),""))</f>
        <v/>
      </c>
      <c r="AK189" s="20" t="n"/>
      <c r="AL189" s="47" t="n"/>
      <c r="AM189" s="47" t="n"/>
      <c r="AN189" s="53" t="n"/>
      <c r="AO189" s="47" t="n"/>
      <c r="AP189" s="47" t="n"/>
      <c r="AQ189" s="47" t="n"/>
      <c r="AR189" s="47" t="n"/>
      <c r="AS189" s="47" t="n"/>
      <c r="AT189" s="47" t="n"/>
      <c r="AU189" s="47" t="n"/>
      <c r="AV189" s="47" t="n"/>
      <c r="AW189" s="52" t="n"/>
    </row>
    <row r="190">
      <c r="A190" s="48" t="n"/>
      <c r="B190" s="52" t="n"/>
      <c r="C190" s="47">
        <f>IF(B190="","",IFERROR(INDEX('隊員マスタ'!$B$5:$B$204,MATCH(B190&amp;"",'隊員マスタ'!$F$5:$F$204,0)),IF(AK190="","番号なし",AK190)))</f>
        <v/>
      </c>
      <c r="D190" s="47" t="n"/>
      <c r="E190" s="47" t="n"/>
      <c r="F190" s="47" t="n"/>
      <c r="G190" s="47" t="n"/>
      <c r="H190" s="47" t="n"/>
      <c r="I190" s="47" t="n"/>
      <c r="J190" s="47" t="n"/>
      <c r="K190" s="47" t="n"/>
      <c r="L190" s="47" t="n"/>
      <c r="M190" s="47" t="n"/>
      <c r="N190" s="47" t="n"/>
      <c r="O190" s="47" t="n"/>
      <c r="P190" s="47" t="n"/>
      <c r="Q190" s="47" t="n"/>
      <c r="R190" s="47" t="n"/>
      <c r="S190" s="47" t="n"/>
      <c r="T190" s="47" t="n"/>
      <c r="U190" s="53" t="n"/>
      <c r="V190" s="53" t="n"/>
      <c r="W190" s="47" t="n"/>
      <c r="X190" s="47" t="n"/>
      <c r="Y190" s="47" t="n"/>
      <c r="Z190" s="47" t="n"/>
      <c r="AA190" s="47" t="n"/>
      <c r="AB190" s="47" t="n"/>
      <c r="AC190" s="47" t="n"/>
      <c r="AD190" s="47" t="n"/>
      <c r="AE190" s="47" t="n"/>
      <c r="AF190" s="20">
        <f>IF(A190="","",YEAR(EDATE(A190,-3)))</f>
        <v/>
      </c>
      <c r="AG190" s="20">
        <f>IF(OR(B190="",'経歴簿'!$C$4=""),"",IF(B190&amp;""='経歴簿'!$C$4&amp;"",MAX($AG$4:AG189)+1,""))</f>
        <v/>
      </c>
      <c r="AH190" s="20">
        <f>IF(A190="",0,IF(AND(OR('CSV抽出'!$C$4="",A190&gt;='CSV抽出'!$C$4),OR('CSV抽出'!$C$5="",A190&lt;='CSV抽出'!$C$5),OR('CSV抽出'!$C$6="すべて",'CSV抽出'!$C$6="",D190='CSV抽出'!$C$6),OR('CSV抽出'!$C$7="",B190&amp;""='CSV抽出'!$C$7&amp;"")),1,0))</f>
        <v/>
      </c>
      <c r="AI190" s="20">
        <f>IF(AH190=1,SUM($AH$5:AH190),"")</f>
        <v/>
      </c>
      <c r="AJ190" s="20">
        <f>IF(OR(S190="",'報告書'!$C$4=""),"",IF(S190&amp;""='報告書'!$C$4&amp;"",COUNTIF($S$5:S190,'報告書'!$C$4),""))</f>
        <v/>
      </c>
      <c r="AK190" s="20" t="n"/>
      <c r="AL190" s="47" t="n"/>
      <c r="AM190" s="47" t="n"/>
      <c r="AN190" s="53" t="n"/>
      <c r="AO190" s="47" t="n"/>
      <c r="AP190" s="47" t="n"/>
      <c r="AQ190" s="47" t="n"/>
      <c r="AR190" s="47" t="n"/>
      <c r="AS190" s="47" t="n"/>
      <c r="AT190" s="47" t="n"/>
      <c r="AU190" s="47" t="n"/>
      <c r="AV190" s="47" t="n"/>
      <c r="AW190" s="52" t="n"/>
    </row>
    <row r="191">
      <c r="A191" s="48" t="n"/>
      <c r="B191" s="52" t="n"/>
      <c r="C191" s="47">
        <f>IF(B191="","",IFERROR(INDEX('隊員マスタ'!$B$5:$B$204,MATCH(B191&amp;"",'隊員マスタ'!$F$5:$F$204,0)),IF(AK191="","番号なし",AK191)))</f>
        <v/>
      </c>
      <c r="D191" s="47" t="n"/>
      <c r="E191" s="47" t="n"/>
      <c r="F191" s="47" t="n"/>
      <c r="G191" s="47" t="n"/>
      <c r="H191" s="47" t="n"/>
      <c r="I191" s="47" t="n"/>
      <c r="J191" s="47" t="n"/>
      <c r="K191" s="47" t="n"/>
      <c r="L191" s="47" t="n"/>
      <c r="M191" s="47" t="n"/>
      <c r="N191" s="47" t="n"/>
      <c r="O191" s="47" t="n"/>
      <c r="P191" s="47" t="n"/>
      <c r="Q191" s="47" t="n"/>
      <c r="R191" s="47" t="n"/>
      <c r="S191" s="47" t="n"/>
      <c r="T191" s="47" t="n"/>
      <c r="U191" s="53" t="n"/>
      <c r="V191" s="53" t="n"/>
      <c r="W191" s="47" t="n"/>
      <c r="X191" s="47" t="n"/>
      <c r="Y191" s="47" t="n"/>
      <c r="Z191" s="47" t="n"/>
      <c r="AA191" s="47" t="n"/>
      <c r="AB191" s="47" t="n"/>
      <c r="AC191" s="47" t="n"/>
      <c r="AD191" s="47" t="n"/>
      <c r="AE191" s="47" t="n"/>
      <c r="AF191" s="20">
        <f>IF(A191="","",YEAR(EDATE(A191,-3)))</f>
        <v/>
      </c>
      <c r="AG191" s="20">
        <f>IF(OR(B191="",'経歴簿'!$C$4=""),"",IF(B191&amp;""='経歴簿'!$C$4&amp;"",MAX($AG$4:AG190)+1,""))</f>
        <v/>
      </c>
      <c r="AH191" s="20">
        <f>IF(A191="",0,IF(AND(OR('CSV抽出'!$C$4="",A191&gt;='CSV抽出'!$C$4),OR('CSV抽出'!$C$5="",A191&lt;='CSV抽出'!$C$5),OR('CSV抽出'!$C$6="すべて",'CSV抽出'!$C$6="",D191='CSV抽出'!$C$6),OR('CSV抽出'!$C$7="",B191&amp;""='CSV抽出'!$C$7&amp;"")),1,0))</f>
        <v/>
      </c>
      <c r="AI191" s="20">
        <f>IF(AH191=1,SUM($AH$5:AH191),"")</f>
        <v/>
      </c>
      <c r="AJ191" s="20">
        <f>IF(OR(S191="",'報告書'!$C$4=""),"",IF(S191&amp;""='報告書'!$C$4&amp;"",COUNTIF($S$5:S191,'報告書'!$C$4),""))</f>
        <v/>
      </c>
      <c r="AK191" s="20" t="n"/>
      <c r="AL191" s="47" t="n"/>
      <c r="AM191" s="47" t="n"/>
      <c r="AN191" s="53" t="n"/>
      <c r="AO191" s="47" t="n"/>
      <c r="AP191" s="47" t="n"/>
      <c r="AQ191" s="47" t="n"/>
      <c r="AR191" s="47" t="n"/>
      <c r="AS191" s="47" t="n"/>
      <c r="AT191" s="47" t="n"/>
      <c r="AU191" s="47" t="n"/>
      <c r="AV191" s="47" t="n"/>
      <c r="AW191" s="52" t="n"/>
    </row>
    <row r="192">
      <c r="A192" s="48" t="n"/>
      <c r="B192" s="52" t="n"/>
      <c r="C192" s="47">
        <f>IF(B192="","",IFERROR(INDEX('隊員マスタ'!$B$5:$B$204,MATCH(B192&amp;"",'隊員マスタ'!$F$5:$F$204,0)),IF(AK192="","番号なし",AK192)))</f>
        <v/>
      </c>
      <c r="D192" s="47" t="n"/>
      <c r="E192" s="47" t="n"/>
      <c r="F192" s="47" t="n"/>
      <c r="G192" s="47" t="n"/>
      <c r="H192" s="47" t="n"/>
      <c r="I192" s="47" t="n"/>
      <c r="J192" s="47" t="n"/>
      <c r="K192" s="47" t="n"/>
      <c r="L192" s="47" t="n"/>
      <c r="M192" s="47" t="n"/>
      <c r="N192" s="47" t="n"/>
      <c r="O192" s="47" t="n"/>
      <c r="P192" s="47" t="n"/>
      <c r="Q192" s="47" t="n"/>
      <c r="R192" s="47" t="n"/>
      <c r="S192" s="47" t="n"/>
      <c r="T192" s="47" t="n"/>
      <c r="U192" s="53" t="n"/>
      <c r="V192" s="53" t="n"/>
      <c r="W192" s="47" t="n"/>
      <c r="X192" s="47" t="n"/>
      <c r="Y192" s="47" t="n"/>
      <c r="Z192" s="47" t="n"/>
      <c r="AA192" s="47" t="n"/>
      <c r="AB192" s="47" t="n"/>
      <c r="AC192" s="47" t="n"/>
      <c r="AD192" s="47" t="n"/>
      <c r="AE192" s="47" t="n"/>
      <c r="AF192" s="20">
        <f>IF(A192="","",YEAR(EDATE(A192,-3)))</f>
        <v/>
      </c>
      <c r="AG192" s="20">
        <f>IF(OR(B192="",'経歴簿'!$C$4=""),"",IF(B192&amp;""='経歴簿'!$C$4&amp;"",MAX($AG$4:AG191)+1,""))</f>
        <v/>
      </c>
      <c r="AH192" s="20">
        <f>IF(A192="",0,IF(AND(OR('CSV抽出'!$C$4="",A192&gt;='CSV抽出'!$C$4),OR('CSV抽出'!$C$5="",A192&lt;='CSV抽出'!$C$5),OR('CSV抽出'!$C$6="すべて",'CSV抽出'!$C$6="",D192='CSV抽出'!$C$6),OR('CSV抽出'!$C$7="",B192&amp;""='CSV抽出'!$C$7&amp;"")),1,0))</f>
        <v/>
      </c>
      <c r="AI192" s="20">
        <f>IF(AH192=1,SUM($AH$5:AH192),"")</f>
        <v/>
      </c>
      <c r="AJ192" s="20">
        <f>IF(OR(S192="",'報告書'!$C$4=""),"",IF(S192&amp;""='報告書'!$C$4&amp;"",COUNTIF($S$5:S192,'報告書'!$C$4),""))</f>
        <v/>
      </c>
      <c r="AK192" s="20" t="n"/>
      <c r="AL192" s="47" t="n"/>
      <c r="AM192" s="47" t="n"/>
      <c r="AN192" s="53" t="n"/>
      <c r="AO192" s="47" t="n"/>
      <c r="AP192" s="47" t="n"/>
      <c r="AQ192" s="47" t="n"/>
      <c r="AR192" s="47" t="n"/>
      <c r="AS192" s="47" t="n"/>
      <c r="AT192" s="47" t="n"/>
      <c r="AU192" s="47" t="n"/>
      <c r="AV192" s="47" t="n"/>
      <c r="AW192" s="52" t="n"/>
    </row>
    <row r="193">
      <c r="A193" s="48" t="n"/>
      <c r="B193" s="52" t="n"/>
      <c r="C193" s="47">
        <f>IF(B193="","",IFERROR(INDEX('隊員マスタ'!$B$5:$B$204,MATCH(B193&amp;"",'隊員マスタ'!$F$5:$F$204,0)),IF(AK193="","番号なし",AK193)))</f>
        <v/>
      </c>
      <c r="D193" s="47" t="n"/>
      <c r="E193" s="47" t="n"/>
      <c r="F193" s="47" t="n"/>
      <c r="G193" s="47" t="n"/>
      <c r="H193" s="47" t="n"/>
      <c r="I193" s="47" t="n"/>
      <c r="J193" s="47" t="n"/>
      <c r="K193" s="47" t="n"/>
      <c r="L193" s="47" t="n"/>
      <c r="M193" s="47" t="n"/>
      <c r="N193" s="47" t="n"/>
      <c r="O193" s="47" t="n"/>
      <c r="P193" s="47" t="n"/>
      <c r="Q193" s="47" t="n"/>
      <c r="R193" s="47" t="n"/>
      <c r="S193" s="47" t="n"/>
      <c r="T193" s="47" t="n"/>
      <c r="U193" s="53" t="n"/>
      <c r="V193" s="53" t="n"/>
      <c r="W193" s="47" t="n"/>
      <c r="X193" s="47" t="n"/>
      <c r="Y193" s="47" t="n"/>
      <c r="Z193" s="47" t="n"/>
      <c r="AA193" s="47" t="n"/>
      <c r="AB193" s="47" t="n"/>
      <c r="AC193" s="47" t="n"/>
      <c r="AD193" s="47" t="n"/>
      <c r="AE193" s="47" t="n"/>
      <c r="AF193" s="20">
        <f>IF(A193="","",YEAR(EDATE(A193,-3)))</f>
        <v/>
      </c>
      <c r="AG193" s="20">
        <f>IF(OR(B193="",'経歴簿'!$C$4=""),"",IF(B193&amp;""='経歴簿'!$C$4&amp;"",MAX($AG$4:AG192)+1,""))</f>
        <v/>
      </c>
      <c r="AH193" s="20">
        <f>IF(A193="",0,IF(AND(OR('CSV抽出'!$C$4="",A193&gt;='CSV抽出'!$C$4),OR('CSV抽出'!$C$5="",A193&lt;='CSV抽出'!$C$5),OR('CSV抽出'!$C$6="すべて",'CSV抽出'!$C$6="",D193='CSV抽出'!$C$6),OR('CSV抽出'!$C$7="",B193&amp;""='CSV抽出'!$C$7&amp;"")),1,0))</f>
        <v/>
      </c>
      <c r="AI193" s="20">
        <f>IF(AH193=1,SUM($AH$5:AH193),"")</f>
        <v/>
      </c>
      <c r="AJ193" s="20">
        <f>IF(OR(S193="",'報告書'!$C$4=""),"",IF(S193&amp;""='報告書'!$C$4&amp;"",COUNTIF($S$5:S193,'報告書'!$C$4),""))</f>
        <v/>
      </c>
      <c r="AK193" s="20" t="n"/>
      <c r="AL193" s="47" t="n"/>
      <c r="AM193" s="47" t="n"/>
      <c r="AN193" s="53" t="n"/>
      <c r="AO193" s="47" t="n"/>
      <c r="AP193" s="47" t="n"/>
      <c r="AQ193" s="47" t="n"/>
      <c r="AR193" s="47" t="n"/>
      <c r="AS193" s="47" t="n"/>
      <c r="AT193" s="47" t="n"/>
      <c r="AU193" s="47" t="n"/>
      <c r="AV193" s="47" t="n"/>
      <c r="AW193" s="52" t="n"/>
    </row>
    <row r="194">
      <c r="A194" s="48" t="n"/>
      <c r="B194" s="52" t="n"/>
      <c r="C194" s="47">
        <f>IF(B194="","",IFERROR(INDEX('隊員マスタ'!$B$5:$B$204,MATCH(B194&amp;"",'隊員マスタ'!$F$5:$F$204,0)),IF(AK194="","番号なし",AK194)))</f>
        <v/>
      </c>
      <c r="D194" s="47" t="n"/>
      <c r="E194" s="47" t="n"/>
      <c r="F194" s="47" t="n"/>
      <c r="G194" s="47" t="n"/>
      <c r="H194" s="47" t="n"/>
      <c r="I194" s="47" t="n"/>
      <c r="J194" s="47" t="n"/>
      <c r="K194" s="47" t="n"/>
      <c r="L194" s="47" t="n"/>
      <c r="M194" s="47" t="n"/>
      <c r="N194" s="47" t="n"/>
      <c r="O194" s="47" t="n"/>
      <c r="P194" s="47" t="n"/>
      <c r="Q194" s="47" t="n"/>
      <c r="R194" s="47" t="n"/>
      <c r="S194" s="47" t="n"/>
      <c r="T194" s="47" t="n"/>
      <c r="U194" s="53" t="n"/>
      <c r="V194" s="53" t="n"/>
      <c r="W194" s="47" t="n"/>
      <c r="X194" s="47" t="n"/>
      <c r="Y194" s="47" t="n"/>
      <c r="Z194" s="47" t="n"/>
      <c r="AA194" s="47" t="n"/>
      <c r="AB194" s="47" t="n"/>
      <c r="AC194" s="47" t="n"/>
      <c r="AD194" s="47" t="n"/>
      <c r="AE194" s="47" t="n"/>
      <c r="AF194" s="20">
        <f>IF(A194="","",YEAR(EDATE(A194,-3)))</f>
        <v/>
      </c>
      <c r="AG194" s="20">
        <f>IF(OR(B194="",'経歴簿'!$C$4=""),"",IF(B194&amp;""='経歴簿'!$C$4&amp;"",MAX($AG$4:AG193)+1,""))</f>
        <v/>
      </c>
      <c r="AH194" s="20">
        <f>IF(A194="",0,IF(AND(OR('CSV抽出'!$C$4="",A194&gt;='CSV抽出'!$C$4),OR('CSV抽出'!$C$5="",A194&lt;='CSV抽出'!$C$5),OR('CSV抽出'!$C$6="すべて",'CSV抽出'!$C$6="",D194='CSV抽出'!$C$6),OR('CSV抽出'!$C$7="",B194&amp;""='CSV抽出'!$C$7&amp;"")),1,0))</f>
        <v/>
      </c>
      <c r="AI194" s="20">
        <f>IF(AH194=1,SUM($AH$5:AH194),"")</f>
        <v/>
      </c>
      <c r="AJ194" s="20">
        <f>IF(OR(S194="",'報告書'!$C$4=""),"",IF(S194&amp;""='報告書'!$C$4&amp;"",COUNTIF($S$5:S194,'報告書'!$C$4),""))</f>
        <v/>
      </c>
      <c r="AK194" s="20" t="n"/>
      <c r="AL194" s="47" t="n"/>
      <c r="AM194" s="47" t="n"/>
      <c r="AN194" s="53" t="n"/>
      <c r="AO194" s="47" t="n"/>
      <c r="AP194" s="47" t="n"/>
      <c r="AQ194" s="47" t="n"/>
      <c r="AR194" s="47" t="n"/>
      <c r="AS194" s="47" t="n"/>
      <c r="AT194" s="47" t="n"/>
      <c r="AU194" s="47" t="n"/>
      <c r="AV194" s="47" t="n"/>
      <c r="AW194" s="52" t="n"/>
    </row>
    <row r="195">
      <c r="A195" s="48" t="n"/>
      <c r="B195" s="52" t="n"/>
      <c r="C195" s="47">
        <f>IF(B195="","",IFERROR(INDEX('隊員マスタ'!$B$5:$B$204,MATCH(B195&amp;"",'隊員マスタ'!$F$5:$F$204,0)),IF(AK195="","番号なし",AK195)))</f>
        <v/>
      </c>
      <c r="D195" s="47" t="n"/>
      <c r="E195" s="47" t="n"/>
      <c r="F195" s="47" t="n"/>
      <c r="G195" s="47" t="n"/>
      <c r="H195" s="47" t="n"/>
      <c r="I195" s="47" t="n"/>
      <c r="J195" s="47" t="n"/>
      <c r="K195" s="47" t="n"/>
      <c r="L195" s="47" t="n"/>
      <c r="M195" s="47" t="n"/>
      <c r="N195" s="47" t="n"/>
      <c r="O195" s="47" t="n"/>
      <c r="P195" s="47" t="n"/>
      <c r="Q195" s="47" t="n"/>
      <c r="R195" s="47" t="n"/>
      <c r="S195" s="47" t="n"/>
      <c r="T195" s="47" t="n"/>
      <c r="U195" s="53" t="n"/>
      <c r="V195" s="53" t="n"/>
      <c r="W195" s="47" t="n"/>
      <c r="X195" s="47" t="n"/>
      <c r="Y195" s="47" t="n"/>
      <c r="Z195" s="47" t="n"/>
      <c r="AA195" s="47" t="n"/>
      <c r="AB195" s="47" t="n"/>
      <c r="AC195" s="47" t="n"/>
      <c r="AD195" s="47" t="n"/>
      <c r="AE195" s="47" t="n"/>
      <c r="AF195" s="20">
        <f>IF(A195="","",YEAR(EDATE(A195,-3)))</f>
        <v/>
      </c>
      <c r="AG195" s="20">
        <f>IF(OR(B195="",'経歴簿'!$C$4=""),"",IF(B195&amp;""='経歴簿'!$C$4&amp;"",MAX($AG$4:AG194)+1,""))</f>
        <v/>
      </c>
      <c r="AH195" s="20">
        <f>IF(A195="",0,IF(AND(OR('CSV抽出'!$C$4="",A195&gt;='CSV抽出'!$C$4),OR('CSV抽出'!$C$5="",A195&lt;='CSV抽出'!$C$5),OR('CSV抽出'!$C$6="すべて",'CSV抽出'!$C$6="",D195='CSV抽出'!$C$6),OR('CSV抽出'!$C$7="",B195&amp;""='CSV抽出'!$C$7&amp;"")),1,0))</f>
        <v/>
      </c>
      <c r="AI195" s="20">
        <f>IF(AH195=1,SUM($AH$5:AH195),"")</f>
        <v/>
      </c>
      <c r="AJ195" s="20">
        <f>IF(OR(S195="",'報告書'!$C$4=""),"",IF(S195&amp;""='報告書'!$C$4&amp;"",COUNTIF($S$5:S195,'報告書'!$C$4),""))</f>
        <v/>
      </c>
      <c r="AK195" s="20" t="n"/>
      <c r="AL195" s="47" t="n"/>
      <c r="AM195" s="47" t="n"/>
      <c r="AN195" s="53" t="n"/>
      <c r="AO195" s="47" t="n"/>
      <c r="AP195" s="47" t="n"/>
      <c r="AQ195" s="47" t="n"/>
      <c r="AR195" s="47" t="n"/>
      <c r="AS195" s="47" t="n"/>
      <c r="AT195" s="47" t="n"/>
      <c r="AU195" s="47" t="n"/>
      <c r="AV195" s="47" t="n"/>
      <c r="AW195" s="52" t="n"/>
    </row>
    <row r="196">
      <c r="A196" s="48" t="n"/>
      <c r="B196" s="52" t="n"/>
      <c r="C196" s="47">
        <f>IF(B196="","",IFERROR(INDEX('隊員マスタ'!$B$5:$B$204,MATCH(B196&amp;"",'隊員マスタ'!$F$5:$F$204,0)),IF(AK196="","番号なし",AK196)))</f>
        <v/>
      </c>
      <c r="D196" s="47" t="n"/>
      <c r="E196" s="47" t="n"/>
      <c r="F196" s="47" t="n"/>
      <c r="G196" s="47" t="n"/>
      <c r="H196" s="47" t="n"/>
      <c r="I196" s="47" t="n"/>
      <c r="J196" s="47" t="n"/>
      <c r="K196" s="47" t="n"/>
      <c r="L196" s="47" t="n"/>
      <c r="M196" s="47" t="n"/>
      <c r="N196" s="47" t="n"/>
      <c r="O196" s="47" t="n"/>
      <c r="P196" s="47" t="n"/>
      <c r="Q196" s="47" t="n"/>
      <c r="R196" s="47" t="n"/>
      <c r="S196" s="47" t="n"/>
      <c r="T196" s="47" t="n"/>
      <c r="U196" s="53" t="n"/>
      <c r="V196" s="53" t="n"/>
      <c r="W196" s="47" t="n"/>
      <c r="X196" s="47" t="n"/>
      <c r="Y196" s="47" t="n"/>
      <c r="Z196" s="47" t="n"/>
      <c r="AA196" s="47" t="n"/>
      <c r="AB196" s="47" t="n"/>
      <c r="AC196" s="47" t="n"/>
      <c r="AD196" s="47" t="n"/>
      <c r="AE196" s="47" t="n"/>
      <c r="AF196" s="20">
        <f>IF(A196="","",YEAR(EDATE(A196,-3)))</f>
        <v/>
      </c>
      <c r="AG196" s="20">
        <f>IF(OR(B196="",'経歴簿'!$C$4=""),"",IF(B196&amp;""='経歴簿'!$C$4&amp;"",MAX($AG$4:AG195)+1,""))</f>
        <v/>
      </c>
      <c r="AH196" s="20">
        <f>IF(A196="",0,IF(AND(OR('CSV抽出'!$C$4="",A196&gt;='CSV抽出'!$C$4),OR('CSV抽出'!$C$5="",A196&lt;='CSV抽出'!$C$5),OR('CSV抽出'!$C$6="すべて",'CSV抽出'!$C$6="",D196='CSV抽出'!$C$6),OR('CSV抽出'!$C$7="",B196&amp;""='CSV抽出'!$C$7&amp;"")),1,0))</f>
        <v/>
      </c>
      <c r="AI196" s="20">
        <f>IF(AH196=1,SUM($AH$5:AH196),"")</f>
        <v/>
      </c>
      <c r="AJ196" s="20">
        <f>IF(OR(S196="",'報告書'!$C$4=""),"",IF(S196&amp;""='報告書'!$C$4&amp;"",COUNTIF($S$5:S196,'報告書'!$C$4),""))</f>
        <v/>
      </c>
      <c r="AK196" s="20" t="n"/>
      <c r="AL196" s="47" t="n"/>
      <c r="AM196" s="47" t="n"/>
      <c r="AN196" s="53" t="n"/>
      <c r="AO196" s="47" t="n"/>
      <c r="AP196" s="47" t="n"/>
      <c r="AQ196" s="47" t="n"/>
      <c r="AR196" s="47" t="n"/>
      <c r="AS196" s="47" t="n"/>
      <c r="AT196" s="47" t="n"/>
      <c r="AU196" s="47" t="n"/>
      <c r="AV196" s="47" t="n"/>
      <c r="AW196" s="52" t="n"/>
    </row>
    <row r="197">
      <c r="A197" s="48" t="n"/>
      <c r="B197" s="52" t="n"/>
      <c r="C197" s="47">
        <f>IF(B197="","",IFERROR(INDEX('隊員マスタ'!$B$5:$B$204,MATCH(B197&amp;"",'隊員マスタ'!$F$5:$F$204,0)),IF(AK197="","番号なし",AK197)))</f>
        <v/>
      </c>
      <c r="D197" s="47" t="n"/>
      <c r="E197" s="47" t="n"/>
      <c r="F197" s="47" t="n"/>
      <c r="G197" s="47" t="n"/>
      <c r="H197" s="47" t="n"/>
      <c r="I197" s="47" t="n"/>
      <c r="J197" s="47" t="n"/>
      <c r="K197" s="47" t="n"/>
      <c r="L197" s="47" t="n"/>
      <c r="M197" s="47" t="n"/>
      <c r="N197" s="47" t="n"/>
      <c r="O197" s="47" t="n"/>
      <c r="P197" s="47" t="n"/>
      <c r="Q197" s="47" t="n"/>
      <c r="R197" s="47" t="n"/>
      <c r="S197" s="47" t="n"/>
      <c r="T197" s="47" t="n"/>
      <c r="U197" s="53" t="n"/>
      <c r="V197" s="53" t="n"/>
      <c r="W197" s="47" t="n"/>
      <c r="X197" s="47" t="n"/>
      <c r="Y197" s="47" t="n"/>
      <c r="Z197" s="47" t="n"/>
      <c r="AA197" s="47" t="n"/>
      <c r="AB197" s="47" t="n"/>
      <c r="AC197" s="47" t="n"/>
      <c r="AD197" s="47" t="n"/>
      <c r="AE197" s="47" t="n"/>
      <c r="AF197" s="20">
        <f>IF(A197="","",YEAR(EDATE(A197,-3)))</f>
        <v/>
      </c>
      <c r="AG197" s="20">
        <f>IF(OR(B197="",'経歴簿'!$C$4=""),"",IF(B197&amp;""='経歴簿'!$C$4&amp;"",MAX($AG$4:AG196)+1,""))</f>
        <v/>
      </c>
      <c r="AH197" s="20">
        <f>IF(A197="",0,IF(AND(OR('CSV抽出'!$C$4="",A197&gt;='CSV抽出'!$C$4),OR('CSV抽出'!$C$5="",A197&lt;='CSV抽出'!$C$5),OR('CSV抽出'!$C$6="すべて",'CSV抽出'!$C$6="",D197='CSV抽出'!$C$6),OR('CSV抽出'!$C$7="",B197&amp;""='CSV抽出'!$C$7&amp;"")),1,0))</f>
        <v/>
      </c>
      <c r="AI197" s="20">
        <f>IF(AH197=1,SUM($AH$5:AH197),"")</f>
        <v/>
      </c>
      <c r="AJ197" s="20">
        <f>IF(OR(S197="",'報告書'!$C$4=""),"",IF(S197&amp;""='報告書'!$C$4&amp;"",COUNTIF($S$5:S197,'報告書'!$C$4),""))</f>
        <v/>
      </c>
      <c r="AK197" s="20" t="n"/>
      <c r="AL197" s="47" t="n"/>
      <c r="AM197" s="47" t="n"/>
      <c r="AN197" s="53" t="n"/>
      <c r="AO197" s="47" t="n"/>
      <c r="AP197" s="47" t="n"/>
      <c r="AQ197" s="47" t="n"/>
      <c r="AR197" s="47" t="n"/>
      <c r="AS197" s="47" t="n"/>
      <c r="AT197" s="47" t="n"/>
      <c r="AU197" s="47" t="n"/>
      <c r="AV197" s="47" t="n"/>
      <c r="AW197" s="52" t="n"/>
    </row>
    <row r="198">
      <c r="A198" s="48" t="n"/>
      <c r="B198" s="52" t="n"/>
      <c r="C198" s="47">
        <f>IF(B198="","",IFERROR(INDEX('隊員マスタ'!$B$5:$B$204,MATCH(B198&amp;"",'隊員マスタ'!$F$5:$F$204,0)),IF(AK198="","番号なし",AK198)))</f>
        <v/>
      </c>
      <c r="D198" s="47" t="n"/>
      <c r="E198" s="47" t="n"/>
      <c r="F198" s="47" t="n"/>
      <c r="G198" s="47" t="n"/>
      <c r="H198" s="47" t="n"/>
      <c r="I198" s="47" t="n"/>
      <c r="J198" s="47" t="n"/>
      <c r="K198" s="47" t="n"/>
      <c r="L198" s="47" t="n"/>
      <c r="M198" s="47" t="n"/>
      <c r="N198" s="47" t="n"/>
      <c r="O198" s="47" t="n"/>
      <c r="P198" s="47" t="n"/>
      <c r="Q198" s="47" t="n"/>
      <c r="R198" s="47" t="n"/>
      <c r="S198" s="47" t="n"/>
      <c r="T198" s="47" t="n"/>
      <c r="U198" s="53" t="n"/>
      <c r="V198" s="53" t="n"/>
      <c r="W198" s="47" t="n"/>
      <c r="X198" s="47" t="n"/>
      <c r="Y198" s="47" t="n"/>
      <c r="Z198" s="47" t="n"/>
      <c r="AA198" s="47" t="n"/>
      <c r="AB198" s="47" t="n"/>
      <c r="AC198" s="47" t="n"/>
      <c r="AD198" s="47" t="n"/>
      <c r="AE198" s="47" t="n"/>
      <c r="AF198" s="20">
        <f>IF(A198="","",YEAR(EDATE(A198,-3)))</f>
        <v/>
      </c>
      <c r="AG198" s="20">
        <f>IF(OR(B198="",'経歴簿'!$C$4=""),"",IF(B198&amp;""='経歴簿'!$C$4&amp;"",MAX($AG$4:AG197)+1,""))</f>
        <v/>
      </c>
      <c r="AH198" s="20">
        <f>IF(A198="",0,IF(AND(OR('CSV抽出'!$C$4="",A198&gt;='CSV抽出'!$C$4),OR('CSV抽出'!$C$5="",A198&lt;='CSV抽出'!$C$5),OR('CSV抽出'!$C$6="すべて",'CSV抽出'!$C$6="",D198='CSV抽出'!$C$6),OR('CSV抽出'!$C$7="",B198&amp;""='CSV抽出'!$C$7&amp;"")),1,0))</f>
        <v/>
      </c>
      <c r="AI198" s="20">
        <f>IF(AH198=1,SUM($AH$5:AH198),"")</f>
        <v/>
      </c>
      <c r="AJ198" s="20">
        <f>IF(OR(S198="",'報告書'!$C$4=""),"",IF(S198&amp;""='報告書'!$C$4&amp;"",COUNTIF($S$5:S198,'報告書'!$C$4),""))</f>
        <v/>
      </c>
      <c r="AK198" s="20" t="n"/>
      <c r="AL198" s="47" t="n"/>
      <c r="AM198" s="47" t="n"/>
      <c r="AN198" s="53" t="n"/>
      <c r="AO198" s="47" t="n"/>
      <c r="AP198" s="47" t="n"/>
      <c r="AQ198" s="47" t="n"/>
      <c r="AR198" s="47" t="n"/>
      <c r="AS198" s="47" t="n"/>
      <c r="AT198" s="47" t="n"/>
      <c r="AU198" s="47" t="n"/>
      <c r="AV198" s="47" t="n"/>
      <c r="AW198" s="52" t="n"/>
    </row>
    <row r="199">
      <c r="A199" s="48" t="n"/>
      <c r="B199" s="52" t="n"/>
      <c r="C199" s="47">
        <f>IF(B199="","",IFERROR(INDEX('隊員マスタ'!$B$5:$B$204,MATCH(B199&amp;"",'隊員マスタ'!$F$5:$F$204,0)),IF(AK199="","番号なし",AK199)))</f>
        <v/>
      </c>
      <c r="D199" s="47" t="n"/>
      <c r="E199" s="47" t="n"/>
      <c r="F199" s="47" t="n"/>
      <c r="G199" s="47" t="n"/>
      <c r="H199" s="47" t="n"/>
      <c r="I199" s="47" t="n"/>
      <c r="J199" s="47" t="n"/>
      <c r="K199" s="47" t="n"/>
      <c r="L199" s="47" t="n"/>
      <c r="M199" s="47" t="n"/>
      <c r="N199" s="47" t="n"/>
      <c r="O199" s="47" t="n"/>
      <c r="P199" s="47" t="n"/>
      <c r="Q199" s="47" t="n"/>
      <c r="R199" s="47" t="n"/>
      <c r="S199" s="47" t="n"/>
      <c r="T199" s="47" t="n"/>
      <c r="U199" s="53" t="n"/>
      <c r="V199" s="53" t="n"/>
      <c r="W199" s="47" t="n"/>
      <c r="X199" s="47" t="n"/>
      <c r="Y199" s="47" t="n"/>
      <c r="Z199" s="47" t="n"/>
      <c r="AA199" s="47" t="n"/>
      <c r="AB199" s="47" t="n"/>
      <c r="AC199" s="47" t="n"/>
      <c r="AD199" s="47" t="n"/>
      <c r="AE199" s="47" t="n"/>
      <c r="AF199" s="20">
        <f>IF(A199="","",YEAR(EDATE(A199,-3)))</f>
        <v/>
      </c>
      <c r="AG199" s="20">
        <f>IF(OR(B199="",'経歴簿'!$C$4=""),"",IF(B199&amp;""='経歴簿'!$C$4&amp;"",MAX($AG$4:AG198)+1,""))</f>
        <v/>
      </c>
      <c r="AH199" s="20">
        <f>IF(A199="",0,IF(AND(OR('CSV抽出'!$C$4="",A199&gt;='CSV抽出'!$C$4),OR('CSV抽出'!$C$5="",A199&lt;='CSV抽出'!$C$5),OR('CSV抽出'!$C$6="すべて",'CSV抽出'!$C$6="",D199='CSV抽出'!$C$6),OR('CSV抽出'!$C$7="",B199&amp;""='CSV抽出'!$C$7&amp;"")),1,0))</f>
        <v/>
      </c>
      <c r="AI199" s="20">
        <f>IF(AH199=1,SUM($AH$5:AH199),"")</f>
        <v/>
      </c>
      <c r="AJ199" s="20">
        <f>IF(OR(S199="",'報告書'!$C$4=""),"",IF(S199&amp;""='報告書'!$C$4&amp;"",COUNTIF($S$5:S199,'報告書'!$C$4),""))</f>
        <v/>
      </c>
      <c r="AK199" s="20" t="n"/>
      <c r="AL199" s="47" t="n"/>
      <c r="AM199" s="47" t="n"/>
      <c r="AN199" s="53" t="n"/>
      <c r="AO199" s="47" t="n"/>
      <c r="AP199" s="47" t="n"/>
      <c r="AQ199" s="47" t="n"/>
      <c r="AR199" s="47" t="n"/>
      <c r="AS199" s="47" t="n"/>
      <c r="AT199" s="47" t="n"/>
      <c r="AU199" s="47" t="n"/>
      <c r="AV199" s="47" t="n"/>
      <c r="AW199" s="52" t="n"/>
    </row>
    <row r="200">
      <c r="A200" s="48" t="n"/>
      <c r="B200" s="52" t="n"/>
      <c r="C200" s="47">
        <f>IF(B200="","",IFERROR(INDEX('隊員マスタ'!$B$5:$B$204,MATCH(B200&amp;"",'隊員マスタ'!$F$5:$F$204,0)),IF(AK200="","番号なし",AK200)))</f>
        <v/>
      </c>
      <c r="D200" s="47" t="n"/>
      <c r="E200" s="47" t="n"/>
      <c r="F200" s="47" t="n"/>
      <c r="G200" s="47" t="n"/>
      <c r="H200" s="47" t="n"/>
      <c r="I200" s="47" t="n"/>
      <c r="J200" s="47" t="n"/>
      <c r="K200" s="47" t="n"/>
      <c r="L200" s="47" t="n"/>
      <c r="M200" s="47" t="n"/>
      <c r="N200" s="47" t="n"/>
      <c r="O200" s="47" t="n"/>
      <c r="P200" s="47" t="n"/>
      <c r="Q200" s="47" t="n"/>
      <c r="R200" s="47" t="n"/>
      <c r="S200" s="47" t="n"/>
      <c r="T200" s="47" t="n"/>
      <c r="U200" s="53" t="n"/>
      <c r="V200" s="53" t="n"/>
      <c r="W200" s="47" t="n"/>
      <c r="X200" s="47" t="n"/>
      <c r="Y200" s="47" t="n"/>
      <c r="Z200" s="47" t="n"/>
      <c r="AA200" s="47" t="n"/>
      <c r="AB200" s="47" t="n"/>
      <c r="AC200" s="47" t="n"/>
      <c r="AD200" s="47" t="n"/>
      <c r="AE200" s="47" t="n"/>
      <c r="AF200" s="20">
        <f>IF(A200="","",YEAR(EDATE(A200,-3)))</f>
        <v/>
      </c>
      <c r="AG200" s="20">
        <f>IF(OR(B200="",'経歴簿'!$C$4=""),"",IF(B200&amp;""='経歴簿'!$C$4&amp;"",MAX($AG$4:AG199)+1,""))</f>
        <v/>
      </c>
      <c r="AH200" s="20">
        <f>IF(A200="",0,IF(AND(OR('CSV抽出'!$C$4="",A200&gt;='CSV抽出'!$C$4),OR('CSV抽出'!$C$5="",A200&lt;='CSV抽出'!$C$5),OR('CSV抽出'!$C$6="すべて",'CSV抽出'!$C$6="",D200='CSV抽出'!$C$6),OR('CSV抽出'!$C$7="",B200&amp;""='CSV抽出'!$C$7&amp;"")),1,0))</f>
        <v/>
      </c>
      <c r="AI200" s="20">
        <f>IF(AH200=1,SUM($AH$5:AH200),"")</f>
        <v/>
      </c>
      <c r="AJ200" s="20">
        <f>IF(OR(S200="",'報告書'!$C$4=""),"",IF(S200&amp;""='報告書'!$C$4&amp;"",COUNTIF($S$5:S200,'報告書'!$C$4),""))</f>
        <v/>
      </c>
      <c r="AK200" s="20" t="n"/>
      <c r="AL200" s="47" t="n"/>
      <c r="AM200" s="47" t="n"/>
      <c r="AN200" s="53" t="n"/>
      <c r="AO200" s="47" t="n"/>
      <c r="AP200" s="47" t="n"/>
      <c r="AQ200" s="47" t="n"/>
      <c r="AR200" s="47" t="n"/>
      <c r="AS200" s="47" t="n"/>
      <c r="AT200" s="47" t="n"/>
      <c r="AU200" s="47" t="n"/>
      <c r="AV200" s="47" t="n"/>
      <c r="AW200" s="52" t="n"/>
    </row>
    <row r="201">
      <c r="A201" s="48" t="n"/>
      <c r="B201" s="52" t="n"/>
      <c r="C201" s="47">
        <f>IF(B201="","",IFERROR(INDEX('隊員マスタ'!$B$5:$B$204,MATCH(B201&amp;"",'隊員マスタ'!$F$5:$F$204,0)),IF(AK201="","番号なし",AK201)))</f>
        <v/>
      </c>
      <c r="D201" s="47" t="n"/>
      <c r="E201" s="47" t="n"/>
      <c r="F201" s="47" t="n"/>
      <c r="G201" s="47" t="n"/>
      <c r="H201" s="47" t="n"/>
      <c r="I201" s="47" t="n"/>
      <c r="J201" s="47" t="n"/>
      <c r="K201" s="47" t="n"/>
      <c r="L201" s="47" t="n"/>
      <c r="M201" s="47" t="n"/>
      <c r="N201" s="47" t="n"/>
      <c r="O201" s="47" t="n"/>
      <c r="P201" s="47" t="n"/>
      <c r="Q201" s="47" t="n"/>
      <c r="R201" s="47" t="n"/>
      <c r="S201" s="47" t="n"/>
      <c r="T201" s="47" t="n"/>
      <c r="U201" s="53" t="n"/>
      <c r="V201" s="53" t="n"/>
      <c r="W201" s="47" t="n"/>
      <c r="X201" s="47" t="n"/>
      <c r="Y201" s="47" t="n"/>
      <c r="Z201" s="47" t="n"/>
      <c r="AA201" s="47" t="n"/>
      <c r="AB201" s="47" t="n"/>
      <c r="AC201" s="47" t="n"/>
      <c r="AD201" s="47" t="n"/>
      <c r="AE201" s="47" t="n"/>
      <c r="AF201" s="20">
        <f>IF(A201="","",YEAR(EDATE(A201,-3)))</f>
        <v/>
      </c>
      <c r="AG201" s="20">
        <f>IF(OR(B201="",'経歴簿'!$C$4=""),"",IF(B201&amp;""='経歴簿'!$C$4&amp;"",MAX($AG$4:AG200)+1,""))</f>
        <v/>
      </c>
      <c r="AH201" s="20">
        <f>IF(A201="",0,IF(AND(OR('CSV抽出'!$C$4="",A201&gt;='CSV抽出'!$C$4),OR('CSV抽出'!$C$5="",A201&lt;='CSV抽出'!$C$5),OR('CSV抽出'!$C$6="すべて",'CSV抽出'!$C$6="",D201='CSV抽出'!$C$6),OR('CSV抽出'!$C$7="",B201&amp;""='CSV抽出'!$C$7&amp;"")),1,0))</f>
        <v/>
      </c>
      <c r="AI201" s="20">
        <f>IF(AH201=1,SUM($AH$5:AH201),"")</f>
        <v/>
      </c>
      <c r="AJ201" s="20">
        <f>IF(OR(S201="",'報告書'!$C$4=""),"",IF(S201&amp;""='報告書'!$C$4&amp;"",COUNTIF($S$5:S201,'報告書'!$C$4),""))</f>
        <v/>
      </c>
      <c r="AK201" s="20" t="n"/>
      <c r="AL201" s="47" t="n"/>
      <c r="AM201" s="47" t="n"/>
      <c r="AN201" s="53" t="n"/>
      <c r="AO201" s="47" t="n"/>
      <c r="AP201" s="47" t="n"/>
      <c r="AQ201" s="47" t="n"/>
      <c r="AR201" s="47" t="n"/>
      <c r="AS201" s="47" t="n"/>
      <c r="AT201" s="47" t="n"/>
      <c r="AU201" s="47" t="n"/>
      <c r="AV201" s="47" t="n"/>
      <c r="AW201" s="52" t="n"/>
    </row>
    <row r="202">
      <c r="A202" s="48" t="n"/>
      <c r="B202" s="52" t="n"/>
      <c r="C202" s="47">
        <f>IF(B202="","",IFERROR(INDEX('隊員マスタ'!$B$5:$B$204,MATCH(B202&amp;"",'隊員マスタ'!$F$5:$F$204,0)),IF(AK202="","番号なし",AK202)))</f>
        <v/>
      </c>
      <c r="D202" s="47" t="n"/>
      <c r="E202" s="47" t="n"/>
      <c r="F202" s="47" t="n"/>
      <c r="G202" s="47" t="n"/>
      <c r="H202" s="47" t="n"/>
      <c r="I202" s="47" t="n"/>
      <c r="J202" s="47" t="n"/>
      <c r="K202" s="47" t="n"/>
      <c r="L202" s="47" t="n"/>
      <c r="M202" s="47" t="n"/>
      <c r="N202" s="47" t="n"/>
      <c r="O202" s="47" t="n"/>
      <c r="P202" s="47" t="n"/>
      <c r="Q202" s="47" t="n"/>
      <c r="R202" s="47" t="n"/>
      <c r="S202" s="47" t="n"/>
      <c r="T202" s="47" t="n"/>
      <c r="U202" s="53" t="n"/>
      <c r="V202" s="53" t="n"/>
      <c r="W202" s="47" t="n"/>
      <c r="X202" s="47" t="n"/>
      <c r="Y202" s="47" t="n"/>
      <c r="Z202" s="47" t="n"/>
      <c r="AA202" s="47" t="n"/>
      <c r="AB202" s="47" t="n"/>
      <c r="AC202" s="47" t="n"/>
      <c r="AD202" s="47" t="n"/>
      <c r="AE202" s="47" t="n"/>
      <c r="AF202" s="20">
        <f>IF(A202="","",YEAR(EDATE(A202,-3)))</f>
        <v/>
      </c>
      <c r="AG202" s="20">
        <f>IF(OR(B202="",'経歴簿'!$C$4=""),"",IF(B202&amp;""='経歴簿'!$C$4&amp;"",MAX($AG$4:AG201)+1,""))</f>
        <v/>
      </c>
      <c r="AH202" s="20">
        <f>IF(A202="",0,IF(AND(OR('CSV抽出'!$C$4="",A202&gt;='CSV抽出'!$C$4),OR('CSV抽出'!$C$5="",A202&lt;='CSV抽出'!$C$5),OR('CSV抽出'!$C$6="すべて",'CSV抽出'!$C$6="",D202='CSV抽出'!$C$6),OR('CSV抽出'!$C$7="",B202&amp;""='CSV抽出'!$C$7&amp;"")),1,0))</f>
        <v/>
      </c>
      <c r="AI202" s="20">
        <f>IF(AH202=1,SUM($AH$5:AH202),"")</f>
        <v/>
      </c>
      <c r="AJ202" s="20">
        <f>IF(OR(S202="",'報告書'!$C$4=""),"",IF(S202&amp;""='報告書'!$C$4&amp;"",COUNTIF($S$5:S202,'報告書'!$C$4),""))</f>
        <v/>
      </c>
      <c r="AK202" s="20" t="n"/>
      <c r="AL202" s="47" t="n"/>
      <c r="AM202" s="47" t="n"/>
      <c r="AN202" s="53" t="n"/>
      <c r="AO202" s="47" t="n"/>
      <c r="AP202" s="47" t="n"/>
      <c r="AQ202" s="47" t="n"/>
      <c r="AR202" s="47" t="n"/>
      <c r="AS202" s="47" t="n"/>
      <c r="AT202" s="47" t="n"/>
      <c r="AU202" s="47" t="n"/>
      <c r="AV202" s="47" t="n"/>
      <c r="AW202" s="52" t="n"/>
    </row>
    <row r="203">
      <c r="A203" s="48" t="n"/>
      <c r="B203" s="52" t="n"/>
      <c r="C203" s="47">
        <f>IF(B203="","",IFERROR(INDEX('隊員マスタ'!$B$5:$B$204,MATCH(B203&amp;"",'隊員マスタ'!$F$5:$F$204,0)),IF(AK203="","番号なし",AK203)))</f>
        <v/>
      </c>
      <c r="D203" s="47" t="n"/>
      <c r="E203" s="47" t="n"/>
      <c r="F203" s="47" t="n"/>
      <c r="G203" s="47" t="n"/>
      <c r="H203" s="47" t="n"/>
      <c r="I203" s="47" t="n"/>
      <c r="J203" s="47" t="n"/>
      <c r="K203" s="47" t="n"/>
      <c r="L203" s="47" t="n"/>
      <c r="M203" s="47" t="n"/>
      <c r="N203" s="47" t="n"/>
      <c r="O203" s="47" t="n"/>
      <c r="P203" s="47" t="n"/>
      <c r="Q203" s="47" t="n"/>
      <c r="R203" s="47" t="n"/>
      <c r="S203" s="47" t="n"/>
      <c r="T203" s="47" t="n"/>
      <c r="U203" s="53" t="n"/>
      <c r="V203" s="53" t="n"/>
      <c r="W203" s="47" t="n"/>
      <c r="X203" s="47" t="n"/>
      <c r="Y203" s="47" t="n"/>
      <c r="Z203" s="47" t="n"/>
      <c r="AA203" s="47" t="n"/>
      <c r="AB203" s="47" t="n"/>
      <c r="AC203" s="47" t="n"/>
      <c r="AD203" s="47" t="n"/>
      <c r="AE203" s="47" t="n"/>
      <c r="AF203" s="20">
        <f>IF(A203="","",YEAR(EDATE(A203,-3)))</f>
        <v/>
      </c>
      <c r="AG203" s="20">
        <f>IF(OR(B203="",'経歴簿'!$C$4=""),"",IF(B203&amp;""='経歴簿'!$C$4&amp;"",MAX($AG$4:AG202)+1,""))</f>
        <v/>
      </c>
      <c r="AH203" s="20">
        <f>IF(A203="",0,IF(AND(OR('CSV抽出'!$C$4="",A203&gt;='CSV抽出'!$C$4),OR('CSV抽出'!$C$5="",A203&lt;='CSV抽出'!$C$5),OR('CSV抽出'!$C$6="すべて",'CSV抽出'!$C$6="",D203='CSV抽出'!$C$6),OR('CSV抽出'!$C$7="",B203&amp;""='CSV抽出'!$C$7&amp;"")),1,0))</f>
        <v/>
      </c>
      <c r="AI203" s="20">
        <f>IF(AH203=1,SUM($AH$5:AH203),"")</f>
        <v/>
      </c>
      <c r="AJ203" s="20">
        <f>IF(OR(S203="",'報告書'!$C$4=""),"",IF(S203&amp;""='報告書'!$C$4&amp;"",COUNTIF($S$5:S203,'報告書'!$C$4),""))</f>
        <v/>
      </c>
      <c r="AK203" s="20" t="n"/>
      <c r="AL203" s="47" t="n"/>
      <c r="AM203" s="47" t="n"/>
      <c r="AN203" s="53" t="n"/>
      <c r="AO203" s="47" t="n"/>
      <c r="AP203" s="47" t="n"/>
      <c r="AQ203" s="47" t="n"/>
      <c r="AR203" s="47" t="n"/>
      <c r="AS203" s="47" t="n"/>
      <c r="AT203" s="47" t="n"/>
      <c r="AU203" s="47" t="n"/>
      <c r="AV203" s="47" t="n"/>
      <c r="AW203" s="52" t="n"/>
    </row>
    <row r="204">
      <c r="A204" s="48" t="n"/>
      <c r="B204" s="52" t="n"/>
      <c r="C204" s="47">
        <f>IF(B204="","",IFERROR(INDEX('隊員マスタ'!$B$5:$B$204,MATCH(B204&amp;"",'隊員マスタ'!$F$5:$F$204,0)),IF(AK204="","番号なし",AK204)))</f>
        <v/>
      </c>
      <c r="D204" s="47" t="n"/>
      <c r="E204" s="47" t="n"/>
      <c r="F204" s="47" t="n"/>
      <c r="G204" s="47" t="n"/>
      <c r="H204" s="47" t="n"/>
      <c r="I204" s="47" t="n"/>
      <c r="J204" s="47" t="n"/>
      <c r="K204" s="47" t="n"/>
      <c r="L204" s="47" t="n"/>
      <c r="M204" s="47" t="n"/>
      <c r="N204" s="47" t="n"/>
      <c r="O204" s="47" t="n"/>
      <c r="P204" s="47" t="n"/>
      <c r="Q204" s="47" t="n"/>
      <c r="R204" s="47" t="n"/>
      <c r="S204" s="47" t="n"/>
      <c r="T204" s="47" t="n"/>
      <c r="U204" s="53" t="n"/>
      <c r="V204" s="53" t="n"/>
      <c r="W204" s="47" t="n"/>
      <c r="X204" s="47" t="n"/>
      <c r="Y204" s="47" t="n"/>
      <c r="Z204" s="47" t="n"/>
      <c r="AA204" s="47" t="n"/>
      <c r="AB204" s="47" t="n"/>
      <c r="AC204" s="47" t="n"/>
      <c r="AD204" s="47" t="n"/>
      <c r="AE204" s="47" t="n"/>
      <c r="AF204" s="20">
        <f>IF(A204="","",YEAR(EDATE(A204,-3)))</f>
        <v/>
      </c>
      <c r="AG204" s="20">
        <f>IF(OR(B204="",'経歴簿'!$C$4=""),"",IF(B204&amp;""='経歴簿'!$C$4&amp;"",MAX($AG$4:AG203)+1,""))</f>
        <v/>
      </c>
      <c r="AH204" s="20">
        <f>IF(A204="",0,IF(AND(OR('CSV抽出'!$C$4="",A204&gt;='CSV抽出'!$C$4),OR('CSV抽出'!$C$5="",A204&lt;='CSV抽出'!$C$5),OR('CSV抽出'!$C$6="すべて",'CSV抽出'!$C$6="",D204='CSV抽出'!$C$6),OR('CSV抽出'!$C$7="",B204&amp;""='CSV抽出'!$C$7&amp;"")),1,0))</f>
        <v/>
      </c>
      <c r="AI204" s="20">
        <f>IF(AH204=1,SUM($AH$5:AH204),"")</f>
        <v/>
      </c>
      <c r="AJ204" s="20">
        <f>IF(OR(S204="",'報告書'!$C$4=""),"",IF(S204&amp;""='報告書'!$C$4&amp;"",COUNTIF($S$5:S204,'報告書'!$C$4),""))</f>
        <v/>
      </c>
      <c r="AK204" s="20" t="n"/>
      <c r="AL204" s="47" t="n"/>
      <c r="AM204" s="47" t="n"/>
      <c r="AN204" s="53" t="n"/>
      <c r="AO204" s="47" t="n"/>
      <c r="AP204" s="47" t="n"/>
      <c r="AQ204" s="47" t="n"/>
      <c r="AR204" s="47" t="n"/>
      <c r="AS204" s="47" t="n"/>
      <c r="AT204" s="47" t="n"/>
      <c r="AU204" s="47" t="n"/>
      <c r="AV204" s="47" t="n"/>
      <c r="AW204" s="52" t="n"/>
    </row>
    <row r="205">
      <c r="A205" s="48" t="n"/>
      <c r="B205" s="52" t="n"/>
      <c r="C205" s="47">
        <f>IF(B205="","",IFERROR(INDEX('隊員マスタ'!$B$5:$B$204,MATCH(B205&amp;"",'隊員マスタ'!$F$5:$F$204,0)),IF(AK205="","番号なし",AK205)))</f>
        <v/>
      </c>
      <c r="D205" s="47" t="n"/>
      <c r="E205" s="47" t="n"/>
      <c r="F205" s="47" t="n"/>
      <c r="G205" s="47" t="n"/>
      <c r="H205" s="47" t="n"/>
      <c r="I205" s="47" t="n"/>
      <c r="J205" s="47" t="n"/>
      <c r="K205" s="47" t="n"/>
      <c r="L205" s="47" t="n"/>
      <c r="M205" s="47" t="n"/>
      <c r="N205" s="47" t="n"/>
      <c r="O205" s="47" t="n"/>
      <c r="P205" s="47" t="n"/>
      <c r="Q205" s="47" t="n"/>
      <c r="R205" s="47" t="n"/>
      <c r="S205" s="47" t="n"/>
      <c r="T205" s="47" t="n"/>
      <c r="U205" s="53" t="n"/>
      <c r="V205" s="53" t="n"/>
      <c r="W205" s="47" t="n"/>
      <c r="X205" s="47" t="n"/>
      <c r="Y205" s="47" t="n"/>
      <c r="Z205" s="47" t="n"/>
      <c r="AA205" s="47" t="n"/>
      <c r="AB205" s="47" t="n"/>
      <c r="AC205" s="47" t="n"/>
      <c r="AD205" s="47" t="n"/>
      <c r="AE205" s="47" t="n"/>
      <c r="AF205" s="20">
        <f>IF(A205="","",YEAR(EDATE(A205,-3)))</f>
        <v/>
      </c>
      <c r="AG205" s="20">
        <f>IF(OR(B205="",'経歴簿'!$C$4=""),"",IF(B205&amp;""='経歴簿'!$C$4&amp;"",MAX($AG$4:AG204)+1,""))</f>
        <v/>
      </c>
      <c r="AH205" s="20">
        <f>IF(A205="",0,IF(AND(OR('CSV抽出'!$C$4="",A205&gt;='CSV抽出'!$C$4),OR('CSV抽出'!$C$5="",A205&lt;='CSV抽出'!$C$5),OR('CSV抽出'!$C$6="すべて",'CSV抽出'!$C$6="",D205='CSV抽出'!$C$6),OR('CSV抽出'!$C$7="",B205&amp;""='CSV抽出'!$C$7&amp;"")),1,0))</f>
        <v/>
      </c>
      <c r="AI205" s="20">
        <f>IF(AH205=1,SUM($AH$5:AH205),"")</f>
        <v/>
      </c>
      <c r="AJ205" s="20">
        <f>IF(OR(S205="",'報告書'!$C$4=""),"",IF(S205&amp;""='報告書'!$C$4&amp;"",COUNTIF($S$5:S205,'報告書'!$C$4),""))</f>
        <v/>
      </c>
      <c r="AK205" s="20" t="n"/>
      <c r="AL205" s="47" t="n"/>
      <c r="AM205" s="47" t="n"/>
      <c r="AN205" s="53" t="n"/>
      <c r="AO205" s="47" t="n"/>
      <c r="AP205" s="47" t="n"/>
      <c r="AQ205" s="47" t="n"/>
      <c r="AR205" s="47" t="n"/>
      <c r="AS205" s="47" t="n"/>
      <c r="AT205" s="47" t="n"/>
      <c r="AU205" s="47" t="n"/>
      <c r="AV205" s="47" t="n"/>
      <c r="AW205" s="52" t="n"/>
    </row>
    <row r="206">
      <c r="A206" s="48" t="n"/>
      <c r="B206" s="52" t="n"/>
      <c r="C206" s="47">
        <f>IF(B206="","",IFERROR(INDEX('隊員マスタ'!$B$5:$B$204,MATCH(B206&amp;"",'隊員マスタ'!$F$5:$F$204,0)),IF(AK206="","番号なし",AK206)))</f>
        <v/>
      </c>
      <c r="D206" s="47" t="n"/>
      <c r="E206" s="47" t="n"/>
      <c r="F206" s="47" t="n"/>
      <c r="G206" s="47" t="n"/>
      <c r="H206" s="47" t="n"/>
      <c r="I206" s="47" t="n"/>
      <c r="J206" s="47" t="n"/>
      <c r="K206" s="47" t="n"/>
      <c r="L206" s="47" t="n"/>
      <c r="M206" s="47" t="n"/>
      <c r="N206" s="47" t="n"/>
      <c r="O206" s="47" t="n"/>
      <c r="P206" s="47" t="n"/>
      <c r="Q206" s="47" t="n"/>
      <c r="R206" s="47" t="n"/>
      <c r="S206" s="47" t="n"/>
      <c r="T206" s="47" t="n"/>
      <c r="U206" s="53" t="n"/>
      <c r="V206" s="53" t="n"/>
      <c r="W206" s="47" t="n"/>
      <c r="X206" s="47" t="n"/>
      <c r="Y206" s="47" t="n"/>
      <c r="Z206" s="47" t="n"/>
      <c r="AA206" s="47" t="n"/>
      <c r="AB206" s="47" t="n"/>
      <c r="AC206" s="47" t="n"/>
      <c r="AD206" s="47" t="n"/>
      <c r="AE206" s="47" t="n"/>
      <c r="AF206" s="20">
        <f>IF(A206="","",YEAR(EDATE(A206,-3)))</f>
        <v/>
      </c>
      <c r="AG206" s="20">
        <f>IF(OR(B206="",'経歴簿'!$C$4=""),"",IF(B206&amp;""='経歴簿'!$C$4&amp;"",MAX($AG$4:AG205)+1,""))</f>
        <v/>
      </c>
      <c r="AH206" s="20">
        <f>IF(A206="",0,IF(AND(OR('CSV抽出'!$C$4="",A206&gt;='CSV抽出'!$C$4),OR('CSV抽出'!$C$5="",A206&lt;='CSV抽出'!$C$5),OR('CSV抽出'!$C$6="すべて",'CSV抽出'!$C$6="",D206='CSV抽出'!$C$6),OR('CSV抽出'!$C$7="",B206&amp;""='CSV抽出'!$C$7&amp;"")),1,0))</f>
        <v/>
      </c>
      <c r="AI206" s="20">
        <f>IF(AH206=1,SUM($AH$5:AH206),"")</f>
        <v/>
      </c>
      <c r="AJ206" s="20">
        <f>IF(OR(S206="",'報告書'!$C$4=""),"",IF(S206&amp;""='報告書'!$C$4&amp;"",COUNTIF($S$5:S206,'報告書'!$C$4),""))</f>
        <v/>
      </c>
      <c r="AK206" s="20" t="n"/>
      <c r="AL206" s="47" t="n"/>
      <c r="AM206" s="47" t="n"/>
      <c r="AN206" s="53" t="n"/>
      <c r="AO206" s="47" t="n"/>
      <c r="AP206" s="47" t="n"/>
      <c r="AQ206" s="47" t="n"/>
      <c r="AR206" s="47" t="n"/>
      <c r="AS206" s="47" t="n"/>
      <c r="AT206" s="47" t="n"/>
      <c r="AU206" s="47" t="n"/>
      <c r="AV206" s="47" t="n"/>
      <c r="AW206" s="52" t="n"/>
    </row>
    <row r="207">
      <c r="A207" s="48" t="n"/>
      <c r="B207" s="52" t="n"/>
      <c r="C207" s="47">
        <f>IF(B207="","",IFERROR(INDEX('隊員マスタ'!$B$5:$B$204,MATCH(B207&amp;"",'隊員マスタ'!$F$5:$F$204,0)),IF(AK207="","番号なし",AK207)))</f>
        <v/>
      </c>
      <c r="D207" s="47" t="n"/>
      <c r="E207" s="47" t="n"/>
      <c r="F207" s="47" t="n"/>
      <c r="G207" s="47" t="n"/>
      <c r="H207" s="47" t="n"/>
      <c r="I207" s="47" t="n"/>
      <c r="J207" s="47" t="n"/>
      <c r="K207" s="47" t="n"/>
      <c r="L207" s="47" t="n"/>
      <c r="M207" s="47" t="n"/>
      <c r="N207" s="47" t="n"/>
      <c r="O207" s="47" t="n"/>
      <c r="P207" s="47" t="n"/>
      <c r="Q207" s="47" t="n"/>
      <c r="R207" s="47" t="n"/>
      <c r="S207" s="47" t="n"/>
      <c r="T207" s="47" t="n"/>
      <c r="U207" s="53" t="n"/>
      <c r="V207" s="53" t="n"/>
      <c r="W207" s="47" t="n"/>
      <c r="X207" s="47" t="n"/>
      <c r="Y207" s="47" t="n"/>
      <c r="Z207" s="47" t="n"/>
      <c r="AA207" s="47" t="n"/>
      <c r="AB207" s="47" t="n"/>
      <c r="AC207" s="47" t="n"/>
      <c r="AD207" s="47" t="n"/>
      <c r="AE207" s="47" t="n"/>
      <c r="AF207" s="20">
        <f>IF(A207="","",YEAR(EDATE(A207,-3)))</f>
        <v/>
      </c>
      <c r="AG207" s="20">
        <f>IF(OR(B207="",'経歴簿'!$C$4=""),"",IF(B207&amp;""='経歴簿'!$C$4&amp;"",MAX($AG$4:AG206)+1,""))</f>
        <v/>
      </c>
      <c r="AH207" s="20">
        <f>IF(A207="",0,IF(AND(OR('CSV抽出'!$C$4="",A207&gt;='CSV抽出'!$C$4),OR('CSV抽出'!$C$5="",A207&lt;='CSV抽出'!$C$5),OR('CSV抽出'!$C$6="すべて",'CSV抽出'!$C$6="",D207='CSV抽出'!$C$6),OR('CSV抽出'!$C$7="",B207&amp;""='CSV抽出'!$C$7&amp;"")),1,0))</f>
        <v/>
      </c>
      <c r="AI207" s="20">
        <f>IF(AH207=1,SUM($AH$5:AH207),"")</f>
        <v/>
      </c>
      <c r="AJ207" s="20">
        <f>IF(OR(S207="",'報告書'!$C$4=""),"",IF(S207&amp;""='報告書'!$C$4&amp;"",COUNTIF($S$5:S207,'報告書'!$C$4),""))</f>
        <v/>
      </c>
      <c r="AK207" s="20" t="n"/>
      <c r="AL207" s="47" t="n"/>
      <c r="AM207" s="47" t="n"/>
      <c r="AN207" s="53" t="n"/>
      <c r="AO207" s="47" t="n"/>
      <c r="AP207" s="47" t="n"/>
      <c r="AQ207" s="47" t="n"/>
      <c r="AR207" s="47" t="n"/>
      <c r="AS207" s="47" t="n"/>
      <c r="AT207" s="47" t="n"/>
      <c r="AU207" s="47" t="n"/>
      <c r="AV207" s="47" t="n"/>
      <c r="AW207" s="52" t="n"/>
    </row>
    <row r="208">
      <c r="A208" s="48" t="n"/>
      <c r="B208" s="52" t="n"/>
      <c r="C208" s="47">
        <f>IF(B208="","",IFERROR(INDEX('隊員マスタ'!$B$5:$B$204,MATCH(B208&amp;"",'隊員マスタ'!$F$5:$F$204,0)),IF(AK208="","番号なし",AK208)))</f>
        <v/>
      </c>
      <c r="D208" s="47" t="n"/>
      <c r="E208" s="47" t="n"/>
      <c r="F208" s="47" t="n"/>
      <c r="G208" s="47" t="n"/>
      <c r="H208" s="47" t="n"/>
      <c r="I208" s="47" t="n"/>
      <c r="J208" s="47" t="n"/>
      <c r="K208" s="47" t="n"/>
      <c r="L208" s="47" t="n"/>
      <c r="M208" s="47" t="n"/>
      <c r="N208" s="47" t="n"/>
      <c r="O208" s="47" t="n"/>
      <c r="P208" s="47" t="n"/>
      <c r="Q208" s="47" t="n"/>
      <c r="R208" s="47" t="n"/>
      <c r="S208" s="47" t="n"/>
      <c r="T208" s="47" t="n"/>
      <c r="U208" s="53" t="n"/>
      <c r="V208" s="53" t="n"/>
      <c r="W208" s="47" t="n"/>
      <c r="X208" s="47" t="n"/>
      <c r="Y208" s="47" t="n"/>
      <c r="Z208" s="47" t="n"/>
      <c r="AA208" s="47" t="n"/>
      <c r="AB208" s="47" t="n"/>
      <c r="AC208" s="47" t="n"/>
      <c r="AD208" s="47" t="n"/>
      <c r="AE208" s="47" t="n"/>
      <c r="AF208" s="20">
        <f>IF(A208="","",YEAR(EDATE(A208,-3)))</f>
        <v/>
      </c>
      <c r="AG208" s="20">
        <f>IF(OR(B208="",'経歴簿'!$C$4=""),"",IF(B208&amp;""='経歴簿'!$C$4&amp;"",MAX($AG$4:AG207)+1,""))</f>
        <v/>
      </c>
      <c r="AH208" s="20">
        <f>IF(A208="",0,IF(AND(OR('CSV抽出'!$C$4="",A208&gt;='CSV抽出'!$C$4),OR('CSV抽出'!$C$5="",A208&lt;='CSV抽出'!$C$5),OR('CSV抽出'!$C$6="すべて",'CSV抽出'!$C$6="",D208='CSV抽出'!$C$6),OR('CSV抽出'!$C$7="",B208&amp;""='CSV抽出'!$C$7&amp;"")),1,0))</f>
        <v/>
      </c>
      <c r="AI208" s="20">
        <f>IF(AH208=1,SUM($AH$5:AH208),"")</f>
        <v/>
      </c>
      <c r="AJ208" s="20">
        <f>IF(OR(S208="",'報告書'!$C$4=""),"",IF(S208&amp;""='報告書'!$C$4&amp;"",COUNTIF($S$5:S208,'報告書'!$C$4),""))</f>
        <v/>
      </c>
      <c r="AK208" s="20" t="n"/>
      <c r="AL208" s="47" t="n"/>
      <c r="AM208" s="47" t="n"/>
      <c r="AN208" s="53" t="n"/>
      <c r="AO208" s="47" t="n"/>
      <c r="AP208" s="47" t="n"/>
      <c r="AQ208" s="47" t="n"/>
      <c r="AR208" s="47" t="n"/>
      <c r="AS208" s="47" t="n"/>
      <c r="AT208" s="47" t="n"/>
      <c r="AU208" s="47" t="n"/>
      <c r="AV208" s="47" t="n"/>
      <c r="AW208" s="52" t="n"/>
    </row>
    <row r="209">
      <c r="A209" s="48" t="n"/>
      <c r="B209" s="52" t="n"/>
      <c r="C209" s="47">
        <f>IF(B209="","",IFERROR(INDEX('隊員マスタ'!$B$5:$B$204,MATCH(B209&amp;"",'隊員マスタ'!$F$5:$F$204,0)),IF(AK209="","番号なし",AK209)))</f>
        <v/>
      </c>
      <c r="D209" s="47" t="n"/>
      <c r="E209" s="47" t="n"/>
      <c r="F209" s="47" t="n"/>
      <c r="G209" s="47" t="n"/>
      <c r="H209" s="47" t="n"/>
      <c r="I209" s="47" t="n"/>
      <c r="J209" s="47" t="n"/>
      <c r="K209" s="47" t="n"/>
      <c r="L209" s="47" t="n"/>
      <c r="M209" s="47" t="n"/>
      <c r="N209" s="47" t="n"/>
      <c r="O209" s="47" t="n"/>
      <c r="P209" s="47" t="n"/>
      <c r="Q209" s="47" t="n"/>
      <c r="R209" s="47" t="n"/>
      <c r="S209" s="47" t="n"/>
      <c r="T209" s="47" t="n"/>
      <c r="U209" s="53" t="n"/>
      <c r="V209" s="53" t="n"/>
      <c r="W209" s="47" t="n"/>
      <c r="X209" s="47" t="n"/>
      <c r="Y209" s="47" t="n"/>
      <c r="Z209" s="47" t="n"/>
      <c r="AA209" s="47" t="n"/>
      <c r="AB209" s="47" t="n"/>
      <c r="AC209" s="47" t="n"/>
      <c r="AD209" s="47" t="n"/>
      <c r="AE209" s="47" t="n"/>
      <c r="AF209" s="20">
        <f>IF(A209="","",YEAR(EDATE(A209,-3)))</f>
        <v/>
      </c>
      <c r="AG209" s="20">
        <f>IF(OR(B209="",'経歴簿'!$C$4=""),"",IF(B209&amp;""='経歴簿'!$C$4&amp;"",MAX($AG$4:AG208)+1,""))</f>
        <v/>
      </c>
      <c r="AH209" s="20">
        <f>IF(A209="",0,IF(AND(OR('CSV抽出'!$C$4="",A209&gt;='CSV抽出'!$C$4),OR('CSV抽出'!$C$5="",A209&lt;='CSV抽出'!$C$5),OR('CSV抽出'!$C$6="すべて",'CSV抽出'!$C$6="",D209='CSV抽出'!$C$6),OR('CSV抽出'!$C$7="",B209&amp;""='CSV抽出'!$C$7&amp;"")),1,0))</f>
        <v/>
      </c>
      <c r="AI209" s="20">
        <f>IF(AH209=1,SUM($AH$5:AH209),"")</f>
        <v/>
      </c>
      <c r="AJ209" s="20">
        <f>IF(OR(S209="",'報告書'!$C$4=""),"",IF(S209&amp;""='報告書'!$C$4&amp;"",COUNTIF($S$5:S209,'報告書'!$C$4),""))</f>
        <v/>
      </c>
      <c r="AK209" s="20" t="n"/>
      <c r="AL209" s="47" t="n"/>
      <c r="AM209" s="47" t="n"/>
      <c r="AN209" s="53" t="n"/>
      <c r="AO209" s="47" t="n"/>
      <c r="AP209" s="47" t="n"/>
      <c r="AQ209" s="47" t="n"/>
      <c r="AR209" s="47" t="n"/>
      <c r="AS209" s="47" t="n"/>
      <c r="AT209" s="47" t="n"/>
      <c r="AU209" s="47" t="n"/>
      <c r="AV209" s="47" t="n"/>
      <c r="AW209" s="52" t="n"/>
    </row>
    <row r="210">
      <c r="A210" s="48" t="n"/>
      <c r="B210" s="52" t="n"/>
      <c r="C210" s="47">
        <f>IF(B210="","",IFERROR(INDEX('隊員マスタ'!$B$5:$B$204,MATCH(B210&amp;"",'隊員マスタ'!$F$5:$F$204,0)),IF(AK210="","番号なし",AK210)))</f>
        <v/>
      </c>
      <c r="D210" s="47" t="n"/>
      <c r="E210" s="47" t="n"/>
      <c r="F210" s="47" t="n"/>
      <c r="G210" s="47" t="n"/>
      <c r="H210" s="47" t="n"/>
      <c r="I210" s="47" t="n"/>
      <c r="J210" s="47" t="n"/>
      <c r="K210" s="47" t="n"/>
      <c r="L210" s="47" t="n"/>
      <c r="M210" s="47" t="n"/>
      <c r="N210" s="47" t="n"/>
      <c r="O210" s="47" t="n"/>
      <c r="P210" s="47" t="n"/>
      <c r="Q210" s="47" t="n"/>
      <c r="R210" s="47" t="n"/>
      <c r="S210" s="47" t="n"/>
      <c r="T210" s="47" t="n"/>
      <c r="U210" s="53" t="n"/>
      <c r="V210" s="53" t="n"/>
      <c r="W210" s="47" t="n"/>
      <c r="X210" s="47" t="n"/>
      <c r="Y210" s="47" t="n"/>
      <c r="Z210" s="47" t="n"/>
      <c r="AA210" s="47" t="n"/>
      <c r="AB210" s="47" t="n"/>
      <c r="AC210" s="47" t="n"/>
      <c r="AD210" s="47" t="n"/>
      <c r="AE210" s="47" t="n"/>
      <c r="AF210" s="20">
        <f>IF(A210="","",YEAR(EDATE(A210,-3)))</f>
        <v/>
      </c>
      <c r="AG210" s="20">
        <f>IF(OR(B210="",'経歴簿'!$C$4=""),"",IF(B210&amp;""='経歴簿'!$C$4&amp;"",MAX($AG$4:AG209)+1,""))</f>
        <v/>
      </c>
      <c r="AH210" s="20">
        <f>IF(A210="",0,IF(AND(OR('CSV抽出'!$C$4="",A210&gt;='CSV抽出'!$C$4),OR('CSV抽出'!$C$5="",A210&lt;='CSV抽出'!$C$5),OR('CSV抽出'!$C$6="すべて",'CSV抽出'!$C$6="",D210='CSV抽出'!$C$6),OR('CSV抽出'!$C$7="",B210&amp;""='CSV抽出'!$C$7&amp;"")),1,0))</f>
        <v/>
      </c>
      <c r="AI210" s="20">
        <f>IF(AH210=1,SUM($AH$5:AH210),"")</f>
        <v/>
      </c>
      <c r="AJ210" s="20">
        <f>IF(OR(S210="",'報告書'!$C$4=""),"",IF(S210&amp;""='報告書'!$C$4&amp;"",COUNTIF($S$5:S210,'報告書'!$C$4),""))</f>
        <v/>
      </c>
      <c r="AK210" s="20" t="n"/>
      <c r="AL210" s="47" t="n"/>
      <c r="AM210" s="47" t="n"/>
      <c r="AN210" s="53" t="n"/>
      <c r="AO210" s="47" t="n"/>
      <c r="AP210" s="47" t="n"/>
      <c r="AQ210" s="47" t="n"/>
      <c r="AR210" s="47" t="n"/>
      <c r="AS210" s="47" t="n"/>
      <c r="AT210" s="47" t="n"/>
      <c r="AU210" s="47" t="n"/>
      <c r="AV210" s="47" t="n"/>
      <c r="AW210" s="52" t="n"/>
    </row>
    <row r="211">
      <c r="A211" s="48" t="n"/>
      <c r="B211" s="52" t="n"/>
      <c r="C211" s="47">
        <f>IF(B211="","",IFERROR(INDEX('隊員マスタ'!$B$5:$B$204,MATCH(B211&amp;"",'隊員マスタ'!$F$5:$F$204,0)),IF(AK211="","番号なし",AK211)))</f>
        <v/>
      </c>
      <c r="D211" s="47" t="n"/>
      <c r="E211" s="47" t="n"/>
      <c r="F211" s="47" t="n"/>
      <c r="G211" s="47" t="n"/>
      <c r="H211" s="47" t="n"/>
      <c r="I211" s="47" t="n"/>
      <c r="J211" s="47" t="n"/>
      <c r="K211" s="47" t="n"/>
      <c r="L211" s="47" t="n"/>
      <c r="M211" s="47" t="n"/>
      <c r="N211" s="47" t="n"/>
      <c r="O211" s="47" t="n"/>
      <c r="P211" s="47" t="n"/>
      <c r="Q211" s="47" t="n"/>
      <c r="R211" s="47" t="n"/>
      <c r="S211" s="47" t="n"/>
      <c r="T211" s="47" t="n"/>
      <c r="U211" s="53" t="n"/>
      <c r="V211" s="53" t="n"/>
      <c r="W211" s="47" t="n"/>
      <c r="X211" s="47" t="n"/>
      <c r="Y211" s="47" t="n"/>
      <c r="Z211" s="47" t="n"/>
      <c r="AA211" s="47" t="n"/>
      <c r="AB211" s="47" t="n"/>
      <c r="AC211" s="47" t="n"/>
      <c r="AD211" s="47" t="n"/>
      <c r="AE211" s="47" t="n"/>
      <c r="AF211" s="20">
        <f>IF(A211="","",YEAR(EDATE(A211,-3)))</f>
        <v/>
      </c>
      <c r="AG211" s="20">
        <f>IF(OR(B211="",'経歴簿'!$C$4=""),"",IF(B211&amp;""='経歴簿'!$C$4&amp;"",MAX($AG$4:AG210)+1,""))</f>
        <v/>
      </c>
      <c r="AH211" s="20">
        <f>IF(A211="",0,IF(AND(OR('CSV抽出'!$C$4="",A211&gt;='CSV抽出'!$C$4),OR('CSV抽出'!$C$5="",A211&lt;='CSV抽出'!$C$5),OR('CSV抽出'!$C$6="すべて",'CSV抽出'!$C$6="",D211='CSV抽出'!$C$6),OR('CSV抽出'!$C$7="",B211&amp;""='CSV抽出'!$C$7&amp;"")),1,0))</f>
        <v/>
      </c>
      <c r="AI211" s="20">
        <f>IF(AH211=1,SUM($AH$5:AH211),"")</f>
        <v/>
      </c>
      <c r="AJ211" s="20">
        <f>IF(OR(S211="",'報告書'!$C$4=""),"",IF(S211&amp;""='報告書'!$C$4&amp;"",COUNTIF($S$5:S211,'報告書'!$C$4),""))</f>
        <v/>
      </c>
      <c r="AK211" s="20" t="n"/>
      <c r="AL211" s="47" t="n"/>
      <c r="AM211" s="47" t="n"/>
      <c r="AN211" s="53" t="n"/>
      <c r="AO211" s="47" t="n"/>
      <c r="AP211" s="47" t="n"/>
      <c r="AQ211" s="47" t="n"/>
      <c r="AR211" s="47" t="n"/>
      <c r="AS211" s="47" t="n"/>
      <c r="AT211" s="47" t="n"/>
      <c r="AU211" s="47" t="n"/>
      <c r="AV211" s="47" t="n"/>
      <c r="AW211" s="52" t="n"/>
    </row>
    <row r="212">
      <c r="A212" s="48" t="n"/>
      <c r="B212" s="52" t="n"/>
      <c r="C212" s="47">
        <f>IF(B212="","",IFERROR(INDEX('隊員マスタ'!$B$5:$B$204,MATCH(B212&amp;"",'隊員マスタ'!$F$5:$F$204,0)),IF(AK212="","番号なし",AK212)))</f>
        <v/>
      </c>
      <c r="D212" s="47" t="n"/>
      <c r="E212" s="47" t="n"/>
      <c r="F212" s="47" t="n"/>
      <c r="G212" s="47" t="n"/>
      <c r="H212" s="47" t="n"/>
      <c r="I212" s="47" t="n"/>
      <c r="J212" s="47" t="n"/>
      <c r="K212" s="47" t="n"/>
      <c r="L212" s="47" t="n"/>
      <c r="M212" s="47" t="n"/>
      <c r="N212" s="47" t="n"/>
      <c r="O212" s="47" t="n"/>
      <c r="P212" s="47" t="n"/>
      <c r="Q212" s="47" t="n"/>
      <c r="R212" s="47" t="n"/>
      <c r="S212" s="47" t="n"/>
      <c r="T212" s="47" t="n"/>
      <c r="U212" s="53" t="n"/>
      <c r="V212" s="53" t="n"/>
      <c r="W212" s="47" t="n"/>
      <c r="X212" s="47" t="n"/>
      <c r="Y212" s="47" t="n"/>
      <c r="Z212" s="47" t="n"/>
      <c r="AA212" s="47" t="n"/>
      <c r="AB212" s="47" t="n"/>
      <c r="AC212" s="47" t="n"/>
      <c r="AD212" s="47" t="n"/>
      <c r="AE212" s="47" t="n"/>
      <c r="AF212" s="20">
        <f>IF(A212="","",YEAR(EDATE(A212,-3)))</f>
        <v/>
      </c>
      <c r="AG212" s="20">
        <f>IF(OR(B212="",'経歴簿'!$C$4=""),"",IF(B212&amp;""='経歴簿'!$C$4&amp;"",MAX($AG$4:AG211)+1,""))</f>
        <v/>
      </c>
      <c r="AH212" s="20">
        <f>IF(A212="",0,IF(AND(OR('CSV抽出'!$C$4="",A212&gt;='CSV抽出'!$C$4),OR('CSV抽出'!$C$5="",A212&lt;='CSV抽出'!$C$5),OR('CSV抽出'!$C$6="すべて",'CSV抽出'!$C$6="",D212='CSV抽出'!$C$6),OR('CSV抽出'!$C$7="",B212&amp;""='CSV抽出'!$C$7&amp;"")),1,0))</f>
        <v/>
      </c>
      <c r="AI212" s="20">
        <f>IF(AH212=1,SUM($AH$5:AH212),"")</f>
        <v/>
      </c>
      <c r="AJ212" s="20">
        <f>IF(OR(S212="",'報告書'!$C$4=""),"",IF(S212&amp;""='報告書'!$C$4&amp;"",COUNTIF($S$5:S212,'報告書'!$C$4),""))</f>
        <v/>
      </c>
      <c r="AK212" s="20" t="n"/>
      <c r="AL212" s="47" t="n"/>
      <c r="AM212" s="47" t="n"/>
      <c r="AN212" s="53" t="n"/>
      <c r="AO212" s="47" t="n"/>
      <c r="AP212" s="47" t="n"/>
      <c r="AQ212" s="47" t="n"/>
      <c r="AR212" s="47" t="n"/>
      <c r="AS212" s="47" t="n"/>
      <c r="AT212" s="47" t="n"/>
      <c r="AU212" s="47" t="n"/>
      <c r="AV212" s="47" t="n"/>
      <c r="AW212" s="52" t="n"/>
    </row>
    <row r="213">
      <c r="A213" s="48" t="n"/>
      <c r="B213" s="52" t="n"/>
      <c r="C213" s="47">
        <f>IF(B213="","",IFERROR(INDEX('隊員マスタ'!$B$5:$B$204,MATCH(B213&amp;"",'隊員マスタ'!$F$5:$F$204,0)),IF(AK213="","番号なし",AK213)))</f>
        <v/>
      </c>
      <c r="D213" s="47" t="n"/>
      <c r="E213" s="47" t="n"/>
      <c r="F213" s="47" t="n"/>
      <c r="G213" s="47" t="n"/>
      <c r="H213" s="47" t="n"/>
      <c r="I213" s="47" t="n"/>
      <c r="J213" s="47" t="n"/>
      <c r="K213" s="47" t="n"/>
      <c r="L213" s="47" t="n"/>
      <c r="M213" s="47" t="n"/>
      <c r="N213" s="47" t="n"/>
      <c r="O213" s="47" t="n"/>
      <c r="P213" s="47" t="n"/>
      <c r="Q213" s="47" t="n"/>
      <c r="R213" s="47" t="n"/>
      <c r="S213" s="47" t="n"/>
      <c r="T213" s="47" t="n"/>
      <c r="U213" s="53" t="n"/>
      <c r="V213" s="53" t="n"/>
      <c r="W213" s="47" t="n"/>
      <c r="X213" s="47" t="n"/>
      <c r="Y213" s="47" t="n"/>
      <c r="Z213" s="47" t="n"/>
      <c r="AA213" s="47" t="n"/>
      <c r="AB213" s="47" t="n"/>
      <c r="AC213" s="47" t="n"/>
      <c r="AD213" s="47" t="n"/>
      <c r="AE213" s="47" t="n"/>
      <c r="AF213" s="20">
        <f>IF(A213="","",YEAR(EDATE(A213,-3)))</f>
        <v/>
      </c>
      <c r="AG213" s="20">
        <f>IF(OR(B213="",'経歴簿'!$C$4=""),"",IF(B213&amp;""='経歴簿'!$C$4&amp;"",MAX($AG$4:AG212)+1,""))</f>
        <v/>
      </c>
      <c r="AH213" s="20">
        <f>IF(A213="",0,IF(AND(OR('CSV抽出'!$C$4="",A213&gt;='CSV抽出'!$C$4),OR('CSV抽出'!$C$5="",A213&lt;='CSV抽出'!$C$5),OR('CSV抽出'!$C$6="すべて",'CSV抽出'!$C$6="",D213='CSV抽出'!$C$6),OR('CSV抽出'!$C$7="",B213&amp;""='CSV抽出'!$C$7&amp;"")),1,0))</f>
        <v/>
      </c>
      <c r="AI213" s="20">
        <f>IF(AH213=1,SUM($AH$5:AH213),"")</f>
        <v/>
      </c>
      <c r="AJ213" s="20">
        <f>IF(OR(S213="",'報告書'!$C$4=""),"",IF(S213&amp;""='報告書'!$C$4&amp;"",COUNTIF($S$5:S213,'報告書'!$C$4),""))</f>
        <v/>
      </c>
      <c r="AK213" s="20" t="n"/>
      <c r="AL213" s="47" t="n"/>
      <c r="AM213" s="47" t="n"/>
      <c r="AN213" s="53" t="n"/>
      <c r="AO213" s="47" t="n"/>
      <c r="AP213" s="47" t="n"/>
      <c r="AQ213" s="47" t="n"/>
      <c r="AR213" s="47" t="n"/>
      <c r="AS213" s="47" t="n"/>
      <c r="AT213" s="47" t="n"/>
      <c r="AU213" s="47" t="n"/>
      <c r="AV213" s="47" t="n"/>
      <c r="AW213" s="52" t="n"/>
    </row>
    <row r="214">
      <c r="A214" s="48" t="n"/>
      <c r="B214" s="52" t="n"/>
      <c r="C214" s="47">
        <f>IF(B214="","",IFERROR(INDEX('隊員マスタ'!$B$5:$B$204,MATCH(B214&amp;"",'隊員マスタ'!$F$5:$F$204,0)),IF(AK214="","番号なし",AK214)))</f>
        <v/>
      </c>
      <c r="D214" s="47" t="n"/>
      <c r="E214" s="47" t="n"/>
      <c r="F214" s="47" t="n"/>
      <c r="G214" s="47" t="n"/>
      <c r="H214" s="47" t="n"/>
      <c r="I214" s="47" t="n"/>
      <c r="J214" s="47" t="n"/>
      <c r="K214" s="47" t="n"/>
      <c r="L214" s="47" t="n"/>
      <c r="M214" s="47" t="n"/>
      <c r="N214" s="47" t="n"/>
      <c r="O214" s="47" t="n"/>
      <c r="P214" s="47" t="n"/>
      <c r="Q214" s="47" t="n"/>
      <c r="R214" s="47" t="n"/>
      <c r="S214" s="47" t="n"/>
      <c r="T214" s="47" t="n"/>
      <c r="U214" s="53" t="n"/>
      <c r="V214" s="53" t="n"/>
      <c r="W214" s="47" t="n"/>
      <c r="X214" s="47" t="n"/>
      <c r="Y214" s="47" t="n"/>
      <c r="Z214" s="47" t="n"/>
      <c r="AA214" s="47" t="n"/>
      <c r="AB214" s="47" t="n"/>
      <c r="AC214" s="47" t="n"/>
      <c r="AD214" s="47" t="n"/>
      <c r="AE214" s="47" t="n"/>
      <c r="AF214" s="20">
        <f>IF(A214="","",YEAR(EDATE(A214,-3)))</f>
        <v/>
      </c>
      <c r="AG214" s="20">
        <f>IF(OR(B214="",'経歴簿'!$C$4=""),"",IF(B214&amp;""='経歴簿'!$C$4&amp;"",MAX($AG$4:AG213)+1,""))</f>
        <v/>
      </c>
      <c r="AH214" s="20">
        <f>IF(A214="",0,IF(AND(OR('CSV抽出'!$C$4="",A214&gt;='CSV抽出'!$C$4),OR('CSV抽出'!$C$5="",A214&lt;='CSV抽出'!$C$5),OR('CSV抽出'!$C$6="すべて",'CSV抽出'!$C$6="",D214='CSV抽出'!$C$6),OR('CSV抽出'!$C$7="",B214&amp;""='CSV抽出'!$C$7&amp;"")),1,0))</f>
        <v/>
      </c>
      <c r="AI214" s="20">
        <f>IF(AH214=1,SUM($AH$5:AH214),"")</f>
        <v/>
      </c>
      <c r="AJ214" s="20">
        <f>IF(OR(S214="",'報告書'!$C$4=""),"",IF(S214&amp;""='報告書'!$C$4&amp;"",COUNTIF($S$5:S214,'報告書'!$C$4),""))</f>
        <v/>
      </c>
      <c r="AK214" s="20" t="n"/>
      <c r="AL214" s="47" t="n"/>
      <c r="AM214" s="47" t="n"/>
      <c r="AN214" s="53" t="n"/>
      <c r="AO214" s="47" t="n"/>
      <c r="AP214" s="47" t="n"/>
      <c r="AQ214" s="47" t="n"/>
      <c r="AR214" s="47" t="n"/>
      <c r="AS214" s="47" t="n"/>
      <c r="AT214" s="47" t="n"/>
      <c r="AU214" s="47" t="n"/>
      <c r="AV214" s="47" t="n"/>
      <c r="AW214" s="52" t="n"/>
    </row>
    <row r="215">
      <c r="A215" s="48" t="n"/>
      <c r="B215" s="52" t="n"/>
      <c r="C215" s="47">
        <f>IF(B215="","",IFERROR(INDEX('隊員マスタ'!$B$5:$B$204,MATCH(B215&amp;"",'隊員マスタ'!$F$5:$F$204,0)),IF(AK215="","番号なし",AK215)))</f>
        <v/>
      </c>
      <c r="D215" s="47" t="n"/>
      <c r="E215" s="47" t="n"/>
      <c r="F215" s="47" t="n"/>
      <c r="G215" s="47" t="n"/>
      <c r="H215" s="47" t="n"/>
      <c r="I215" s="47" t="n"/>
      <c r="J215" s="47" t="n"/>
      <c r="K215" s="47" t="n"/>
      <c r="L215" s="47" t="n"/>
      <c r="M215" s="47" t="n"/>
      <c r="N215" s="47" t="n"/>
      <c r="O215" s="47" t="n"/>
      <c r="P215" s="47" t="n"/>
      <c r="Q215" s="47" t="n"/>
      <c r="R215" s="47" t="n"/>
      <c r="S215" s="47" t="n"/>
      <c r="T215" s="47" t="n"/>
      <c r="U215" s="53" t="n"/>
      <c r="V215" s="53" t="n"/>
      <c r="W215" s="47" t="n"/>
      <c r="X215" s="47" t="n"/>
      <c r="Y215" s="47" t="n"/>
      <c r="Z215" s="47" t="n"/>
      <c r="AA215" s="47" t="n"/>
      <c r="AB215" s="47" t="n"/>
      <c r="AC215" s="47" t="n"/>
      <c r="AD215" s="47" t="n"/>
      <c r="AE215" s="47" t="n"/>
      <c r="AF215" s="20">
        <f>IF(A215="","",YEAR(EDATE(A215,-3)))</f>
        <v/>
      </c>
      <c r="AG215" s="20">
        <f>IF(OR(B215="",'経歴簿'!$C$4=""),"",IF(B215&amp;""='経歴簿'!$C$4&amp;"",MAX($AG$4:AG214)+1,""))</f>
        <v/>
      </c>
      <c r="AH215" s="20">
        <f>IF(A215="",0,IF(AND(OR('CSV抽出'!$C$4="",A215&gt;='CSV抽出'!$C$4),OR('CSV抽出'!$C$5="",A215&lt;='CSV抽出'!$C$5),OR('CSV抽出'!$C$6="すべて",'CSV抽出'!$C$6="",D215='CSV抽出'!$C$6),OR('CSV抽出'!$C$7="",B215&amp;""='CSV抽出'!$C$7&amp;"")),1,0))</f>
        <v/>
      </c>
      <c r="AI215" s="20">
        <f>IF(AH215=1,SUM($AH$5:AH215),"")</f>
        <v/>
      </c>
      <c r="AJ215" s="20">
        <f>IF(OR(S215="",'報告書'!$C$4=""),"",IF(S215&amp;""='報告書'!$C$4&amp;"",COUNTIF($S$5:S215,'報告書'!$C$4),""))</f>
        <v/>
      </c>
      <c r="AK215" s="20" t="n"/>
      <c r="AL215" s="47" t="n"/>
      <c r="AM215" s="47" t="n"/>
      <c r="AN215" s="53" t="n"/>
      <c r="AO215" s="47" t="n"/>
      <c r="AP215" s="47" t="n"/>
      <c r="AQ215" s="47" t="n"/>
      <c r="AR215" s="47" t="n"/>
      <c r="AS215" s="47" t="n"/>
      <c r="AT215" s="47" t="n"/>
      <c r="AU215" s="47" t="n"/>
      <c r="AV215" s="47" t="n"/>
      <c r="AW215" s="52" t="n"/>
    </row>
    <row r="216">
      <c r="A216" s="48" t="n"/>
      <c r="B216" s="52" t="n"/>
      <c r="C216" s="47">
        <f>IF(B216="","",IFERROR(INDEX('隊員マスタ'!$B$5:$B$204,MATCH(B216&amp;"",'隊員マスタ'!$F$5:$F$204,0)),IF(AK216="","番号なし",AK216)))</f>
        <v/>
      </c>
      <c r="D216" s="47" t="n"/>
      <c r="E216" s="47" t="n"/>
      <c r="F216" s="47" t="n"/>
      <c r="G216" s="47" t="n"/>
      <c r="H216" s="47" t="n"/>
      <c r="I216" s="47" t="n"/>
      <c r="J216" s="47" t="n"/>
      <c r="K216" s="47" t="n"/>
      <c r="L216" s="47" t="n"/>
      <c r="M216" s="47" t="n"/>
      <c r="N216" s="47" t="n"/>
      <c r="O216" s="47" t="n"/>
      <c r="P216" s="47" t="n"/>
      <c r="Q216" s="47" t="n"/>
      <c r="R216" s="47" t="n"/>
      <c r="S216" s="47" t="n"/>
      <c r="T216" s="47" t="n"/>
      <c r="U216" s="53" t="n"/>
      <c r="V216" s="53" t="n"/>
      <c r="W216" s="47" t="n"/>
      <c r="X216" s="47" t="n"/>
      <c r="Y216" s="47" t="n"/>
      <c r="Z216" s="47" t="n"/>
      <c r="AA216" s="47" t="n"/>
      <c r="AB216" s="47" t="n"/>
      <c r="AC216" s="47" t="n"/>
      <c r="AD216" s="47" t="n"/>
      <c r="AE216" s="47" t="n"/>
      <c r="AF216" s="20">
        <f>IF(A216="","",YEAR(EDATE(A216,-3)))</f>
        <v/>
      </c>
      <c r="AG216" s="20">
        <f>IF(OR(B216="",'経歴簿'!$C$4=""),"",IF(B216&amp;""='経歴簿'!$C$4&amp;"",MAX($AG$4:AG215)+1,""))</f>
        <v/>
      </c>
      <c r="AH216" s="20">
        <f>IF(A216="",0,IF(AND(OR('CSV抽出'!$C$4="",A216&gt;='CSV抽出'!$C$4),OR('CSV抽出'!$C$5="",A216&lt;='CSV抽出'!$C$5),OR('CSV抽出'!$C$6="すべて",'CSV抽出'!$C$6="",D216='CSV抽出'!$C$6),OR('CSV抽出'!$C$7="",B216&amp;""='CSV抽出'!$C$7&amp;"")),1,0))</f>
        <v/>
      </c>
      <c r="AI216" s="20">
        <f>IF(AH216=1,SUM($AH$5:AH216),"")</f>
        <v/>
      </c>
      <c r="AJ216" s="20">
        <f>IF(OR(S216="",'報告書'!$C$4=""),"",IF(S216&amp;""='報告書'!$C$4&amp;"",COUNTIF($S$5:S216,'報告書'!$C$4),""))</f>
        <v/>
      </c>
      <c r="AK216" s="20" t="n"/>
      <c r="AL216" s="47" t="n"/>
      <c r="AM216" s="47" t="n"/>
      <c r="AN216" s="53" t="n"/>
      <c r="AO216" s="47" t="n"/>
      <c r="AP216" s="47" t="n"/>
      <c r="AQ216" s="47" t="n"/>
      <c r="AR216" s="47" t="n"/>
      <c r="AS216" s="47" t="n"/>
      <c r="AT216" s="47" t="n"/>
      <c r="AU216" s="47" t="n"/>
      <c r="AV216" s="47" t="n"/>
      <c r="AW216" s="52" t="n"/>
    </row>
    <row r="217">
      <c r="A217" s="48" t="n"/>
      <c r="B217" s="52" t="n"/>
      <c r="C217" s="47">
        <f>IF(B217="","",IFERROR(INDEX('隊員マスタ'!$B$5:$B$204,MATCH(B217&amp;"",'隊員マスタ'!$F$5:$F$204,0)),IF(AK217="","番号なし",AK217)))</f>
        <v/>
      </c>
      <c r="D217" s="47" t="n"/>
      <c r="E217" s="47" t="n"/>
      <c r="F217" s="47" t="n"/>
      <c r="G217" s="47" t="n"/>
      <c r="H217" s="47" t="n"/>
      <c r="I217" s="47" t="n"/>
      <c r="J217" s="47" t="n"/>
      <c r="K217" s="47" t="n"/>
      <c r="L217" s="47" t="n"/>
      <c r="M217" s="47" t="n"/>
      <c r="N217" s="47" t="n"/>
      <c r="O217" s="47" t="n"/>
      <c r="P217" s="47" t="n"/>
      <c r="Q217" s="47" t="n"/>
      <c r="R217" s="47" t="n"/>
      <c r="S217" s="47" t="n"/>
      <c r="T217" s="47" t="n"/>
      <c r="U217" s="53" t="n"/>
      <c r="V217" s="53" t="n"/>
      <c r="W217" s="47" t="n"/>
      <c r="X217" s="47" t="n"/>
      <c r="Y217" s="47" t="n"/>
      <c r="Z217" s="47" t="n"/>
      <c r="AA217" s="47" t="n"/>
      <c r="AB217" s="47" t="n"/>
      <c r="AC217" s="47" t="n"/>
      <c r="AD217" s="47" t="n"/>
      <c r="AE217" s="47" t="n"/>
      <c r="AF217" s="20">
        <f>IF(A217="","",YEAR(EDATE(A217,-3)))</f>
        <v/>
      </c>
      <c r="AG217" s="20">
        <f>IF(OR(B217="",'経歴簿'!$C$4=""),"",IF(B217&amp;""='経歴簿'!$C$4&amp;"",MAX($AG$4:AG216)+1,""))</f>
        <v/>
      </c>
      <c r="AH217" s="20">
        <f>IF(A217="",0,IF(AND(OR('CSV抽出'!$C$4="",A217&gt;='CSV抽出'!$C$4),OR('CSV抽出'!$C$5="",A217&lt;='CSV抽出'!$C$5),OR('CSV抽出'!$C$6="すべて",'CSV抽出'!$C$6="",D217='CSV抽出'!$C$6),OR('CSV抽出'!$C$7="",B217&amp;""='CSV抽出'!$C$7&amp;"")),1,0))</f>
        <v/>
      </c>
      <c r="AI217" s="20">
        <f>IF(AH217=1,SUM($AH$5:AH217),"")</f>
        <v/>
      </c>
      <c r="AJ217" s="20">
        <f>IF(OR(S217="",'報告書'!$C$4=""),"",IF(S217&amp;""='報告書'!$C$4&amp;"",COUNTIF($S$5:S217,'報告書'!$C$4),""))</f>
        <v/>
      </c>
      <c r="AK217" s="20" t="n"/>
      <c r="AL217" s="47" t="n"/>
      <c r="AM217" s="47" t="n"/>
      <c r="AN217" s="53" t="n"/>
      <c r="AO217" s="47" t="n"/>
      <c r="AP217" s="47" t="n"/>
      <c r="AQ217" s="47" t="n"/>
      <c r="AR217" s="47" t="n"/>
      <c r="AS217" s="47" t="n"/>
      <c r="AT217" s="47" t="n"/>
      <c r="AU217" s="47" t="n"/>
      <c r="AV217" s="47" t="n"/>
      <c r="AW217" s="52" t="n"/>
    </row>
    <row r="218">
      <c r="A218" s="48" t="n"/>
      <c r="B218" s="52" t="n"/>
      <c r="C218" s="47">
        <f>IF(B218="","",IFERROR(INDEX('隊員マスタ'!$B$5:$B$204,MATCH(B218&amp;"",'隊員マスタ'!$F$5:$F$204,0)),IF(AK218="","番号なし",AK218)))</f>
        <v/>
      </c>
      <c r="D218" s="47" t="n"/>
      <c r="E218" s="47" t="n"/>
      <c r="F218" s="47" t="n"/>
      <c r="G218" s="47" t="n"/>
      <c r="H218" s="47" t="n"/>
      <c r="I218" s="47" t="n"/>
      <c r="J218" s="47" t="n"/>
      <c r="K218" s="47" t="n"/>
      <c r="L218" s="47" t="n"/>
      <c r="M218" s="47" t="n"/>
      <c r="N218" s="47" t="n"/>
      <c r="O218" s="47" t="n"/>
      <c r="P218" s="47" t="n"/>
      <c r="Q218" s="47" t="n"/>
      <c r="R218" s="47" t="n"/>
      <c r="S218" s="47" t="n"/>
      <c r="T218" s="47" t="n"/>
      <c r="U218" s="53" t="n"/>
      <c r="V218" s="53" t="n"/>
      <c r="W218" s="47" t="n"/>
      <c r="X218" s="47" t="n"/>
      <c r="Y218" s="47" t="n"/>
      <c r="Z218" s="47" t="n"/>
      <c r="AA218" s="47" t="n"/>
      <c r="AB218" s="47" t="n"/>
      <c r="AC218" s="47" t="n"/>
      <c r="AD218" s="47" t="n"/>
      <c r="AE218" s="47" t="n"/>
      <c r="AF218" s="20">
        <f>IF(A218="","",YEAR(EDATE(A218,-3)))</f>
        <v/>
      </c>
      <c r="AG218" s="20">
        <f>IF(OR(B218="",'経歴簿'!$C$4=""),"",IF(B218&amp;""='経歴簿'!$C$4&amp;"",MAX($AG$4:AG217)+1,""))</f>
        <v/>
      </c>
      <c r="AH218" s="20">
        <f>IF(A218="",0,IF(AND(OR('CSV抽出'!$C$4="",A218&gt;='CSV抽出'!$C$4),OR('CSV抽出'!$C$5="",A218&lt;='CSV抽出'!$C$5),OR('CSV抽出'!$C$6="すべて",'CSV抽出'!$C$6="",D218='CSV抽出'!$C$6),OR('CSV抽出'!$C$7="",B218&amp;""='CSV抽出'!$C$7&amp;"")),1,0))</f>
        <v/>
      </c>
      <c r="AI218" s="20">
        <f>IF(AH218=1,SUM($AH$5:AH218),"")</f>
        <v/>
      </c>
      <c r="AJ218" s="20">
        <f>IF(OR(S218="",'報告書'!$C$4=""),"",IF(S218&amp;""='報告書'!$C$4&amp;"",COUNTIF($S$5:S218,'報告書'!$C$4),""))</f>
        <v/>
      </c>
      <c r="AK218" s="20" t="n"/>
      <c r="AL218" s="47" t="n"/>
      <c r="AM218" s="47" t="n"/>
      <c r="AN218" s="53" t="n"/>
      <c r="AO218" s="47" t="n"/>
      <c r="AP218" s="47" t="n"/>
      <c r="AQ218" s="47" t="n"/>
      <c r="AR218" s="47" t="n"/>
      <c r="AS218" s="47" t="n"/>
      <c r="AT218" s="47" t="n"/>
      <c r="AU218" s="47" t="n"/>
      <c r="AV218" s="47" t="n"/>
      <c r="AW218" s="52" t="n"/>
    </row>
    <row r="219">
      <c r="A219" s="48" t="n"/>
      <c r="B219" s="52" t="n"/>
      <c r="C219" s="47">
        <f>IF(B219="","",IFERROR(INDEX('隊員マスタ'!$B$5:$B$204,MATCH(B219&amp;"",'隊員マスタ'!$F$5:$F$204,0)),IF(AK219="","番号なし",AK219)))</f>
        <v/>
      </c>
      <c r="D219" s="47" t="n"/>
      <c r="E219" s="47" t="n"/>
      <c r="F219" s="47" t="n"/>
      <c r="G219" s="47" t="n"/>
      <c r="H219" s="47" t="n"/>
      <c r="I219" s="47" t="n"/>
      <c r="J219" s="47" t="n"/>
      <c r="K219" s="47" t="n"/>
      <c r="L219" s="47" t="n"/>
      <c r="M219" s="47" t="n"/>
      <c r="N219" s="47" t="n"/>
      <c r="O219" s="47" t="n"/>
      <c r="P219" s="47" t="n"/>
      <c r="Q219" s="47" t="n"/>
      <c r="R219" s="47" t="n"/>
      <c r="S219" s="47" t="n"/>
      <c r="T219" s="47" t="n"/>
      <c r="U219" s="53" t="n"/>
      <c r="V219" s="53" t="n"/>
      <c r="W219" s="47" t="n"/>
      <c r="X219" s="47" t="n"/>
      <c r="Y219" s="47" t="n"/>
      <c r="Z219" s="47" t="n"/>
      <c r="AA219" s="47" t="n"/>
      <c r="AB219" s="47" t="n"/>
      <c r="AC219" s="47" t="n"/>
      <c r="AD219" s="47" t="n"/>
      <c r="AE219" s="47" t="n"/>
      <c r="AF219" s="20">
        <f>IF(A219="","",YEAR(EDATE(A219,-3)))</f>
        <v/>
      </c>
      <c r="AG219" s="20">
        <f>IF(OR(B219="",'経歴簿'!$C$4=""),"",IF(B219&amp;""='経歴簿'!$C$4&amp;"",MAX($AG$4:AG218)+1,""))</f>
        <v/>
      </c>
      <c r="AH219" s="20">
        <f>IF(A219="",0,IF(AND(OR('CSV抽出'!$C$4="",A219&gt;='CSV抽出'!$C$4),OR('CSV抽出'!$C$5="",A219&lt;='CSV抽出'!$C$5),OR('CSV抽出'!$C$6="すべて",'CSV抽出'!$C$6="",D219='CSV抽出'!$C$6),OR('CSV抽出'!$C$7="",B219&amp;""='CSV抽出'!$C$7&amp;"")),1,0))</f>
        <v/>
      </c>
      <c r="AI219" s="20">
        <f>IF(AH219=1,SUM($AH$5:AH219),"")</f>
        <v/>
      </c>
      <c r="AJ219" s="20">
        <f>IF(OR(S219="",'報告書'!$C$4=""),"",IF(S219&amp;""='報告書'!$C$4&amp;"",COUNTIF($S$5:S219,'報告書'!$C$4),""))</f>
        <v/>
      </c>
      <c r="AK219" s="20" t="n"/>
      <c r="AL219" s="47" t="n"/>
      <c r="AM219" s="47" t="n"/>
      <c r="AN219" s="53" t="n"/>
      <c r="AO219" s="47" t="n"/>
      <c r="AP219" s="47" t="n"/>
      <c r="AQ219" s="47" t="n"/>
      <c r="AR219" s="47" t="n"/>
      <c r="AS219" s="47" t="n"/>
      <c r="AT219" s="47" t="n"/>
      <c r="AU219" s="47" t="n"/>
      <c r="AV219" s="47" t="n"/>
      <c r="AW219" s="52" t="n"/>
    </row>
    <row r="220">
      <c r="A220" s="48" t="n"/>
      <c r="B220" s="52" t="n"/>
      <c r="C220" s="47">
        <f>IF(B220="","",IFERROR(INDEX('隊員マスタ'!$B$5:$B$204,MATCH(B220&amp;"",'隊員マスタ'!$F$5:$F$204,0)),IF(AK220="","番号なし",AK220)))</f>
        <v/>
      </c>
      <c r="D220" s="47" t="n"/>
      <c r="E220" s="47" t="n"/>
      <c r="F220" s="47" t="n"/>
      <c r="G220" s="47" t="n"/>
      <c r="H220" s="47" t="n"/>
      <c r="I220" s="47" t="n"/>
      <c r="J220" s="47" t="n"/>
      <c r="K220" s="47" t="n"/>
      <c r="L220" s="47" t="n"/>
      <c r="M220" s="47" t="n"/>
      <c r="N220" s="47" t="n"/>
      <c r="O220" s="47" t="n"/>
      <c r="P220" s="47" t="n"/>
      <c r="Q220" s="47" t="n"/>
      <c r="R220" s="47" t="n"/>
      <c r="S220" s="47" t="n"/>
      <c r="T220" s="47" t="n"/>
      <c r="U220" s="53" t="n"/>
      <c r="V220" s="53" t="n"/>
      <c r="W220" s="47" t="n"/>
      <c r="X220" s="47" t="n"/>
      <c r="Y220" s="47" t="n"/>
      <c r="Z220" s="47" t="n"/>
      <c r="AA220" s="47" t="n"/>
      <c r="AB220" s="47" t="n"/>
      <c r="AC220" s="47" t="n"/>
      <c r="AD220" s="47" t="n"/>
      <c r="AE220" s="47" t="n"/>
      <c r="AF220" s="20">
        <f>IF(A220="","",YEAR(EDATE(A220,-3)))</f>
        <v/>
      </c>
      <c r="AG220" s="20">
        <f>IF(OR(B220="",'経歴簿'!$C$4=""),"",IF(B220&amp;""='経歴簿'!$C$4&amp;"",MAX($AG$4:AG219)+1,""))</f>
        <v/>
      </c>
      <c r="AH220" s="20">
        <f>IF(A220="",0,IF(AND(OR('CSV抽出'!$C$4="",A220&gt;='CSV抽出'!$C$4),OR('CSV抽出'!$C$5="",A220&lt;='CSV抽出'!$C$5),OR('CSV抽出'!$C$6="すべて",'CSV抽出'!$C$6="",D220='CSV抽出'!$C$6),OR('CSV抽出'!$C$7="",B220&amp;""='CSV抽出'!$C$7&amp;"")),1,0))</f>
        <v/>
      </c>
      <c r="AI220" s="20">
        <f>IF(AH220=1,SUM($AH$5:AH220),"")</f>
        <v/>
      </c>
      <c r="AJ220" s="20">
        <f>IF(OR(S220="",'報告書'!$C$4=""),"",IF(S220&amp;""='報告書'!$C$4&amp;"",COUNTIF($S$5:S220,'報告書'!$C$4),""))</f>
        <v/>
      </c>
      <c r="AK220" s="20" t="n"/>
      <c r="AL220" s="47" t="n"/>
      <c r="AM220" s="47" t="n"/>
      <c r="AN220" s="53" t="n"/>
      <c r="AO220" s="47" t="n"/>
      <c r="AP220" s="47" t="n"/>
      <c r="AQ220" s="47" t="n"/>
      <c r="AR220" s="47" t="n"/>
      <c r="AS220" s="47" t="n"/>
      <c r="AT220" s="47" t="n"/>
      <c r="AU220" s="47" t="n"/>
      <c r="AV220" s="47" t="n"/>
      <c r="AW220" s="52" t="n"/>
    </row>
    <row r="221">
      <c r="A221" s="48" t="n"/>
      <c r="B221" s="52" t="n"/>
      <c r="C221" s="47">
        <f>IF(B221="","",IFERROR(INDEX('隊員マスタ'!$B$5:$B$204,MATCH(B221&amp;"",'隊員マスタ'!$F$5:$F$204,0)),IF(AK221="","番号なし",AK221)))</f>
        <v/>
      </c>
      <c r="D221" s="47" t="n"/>
      <c r="E221" s="47" t="n"/>
      <c r="F221" s="47" t="n"/>
      <c r="G221" s="47" t="n"/>
      <c r="H221" s="47" t="n"/>
      <c r="I221" s="47" t="n"/>
      <c r="J221" s="47" t="n"/>
      <c r="K221" s="47" t="n"/>
      <c r="L221" s="47" t="n"/>
      <c r="M221" s="47" t="n"/>
      <c r="N221" s="47" t="n"/>
      <c r="O221" s="47" t="n"/>
      <c r="P221" s="47" t="n"/>
      <c r="Q221" s="47" t="n"/>
      <c r="R221" s="47" t="n"/>
      <c r="S221" s="47" t="n"/>
      <c r="T221" s="47" t="n"/>
      <c r="U221" s="53" t="n"/>
      <c r="V221" s="53" t="n"/>
      <c r="W221" s="47" t="n"/>
      <c r="X221" s="47" t="n"/>
      <c r="Y221" s="47" t="n"/>
      <c r="Z221" s="47" t="n"/>
      <c r="AA221" s="47" t="n"/>
      <c r="AB221" s="47" t="n"/>
      <c r="AC221" s="47" t="n"/>
      <c r="AD221" s="47" t="n"/>
      <c r="AE221" s="47" t="n"/>
      <c r="AF221" s="20">
        <f>IF(A221="","",YEAR(EDATE(A221,-3)))</f>
        <v/>
      </c>
      <c r="AG221" s="20">
        <f>IF(OR(B221="",'経歴簿'!$C$4=""),"",IF(B221&amp;""='経歴簿'!$C$4&amp;"",MAX($AG$4:AG220)+1,""))</f>
        <v/>
      </c>
      <c r="AH221" s="20">
        <f>IF(A221="",0,IF(AND(OR('CSV抽出'!$C$4="",A221&gt;='CSV抽出'!$C$4),OR('CSV抽出'!$C$5="",A221&lt;='CSV抽出'!$C$5),OR('CSV抽出'!$C$6="すべて",'CSV抽出'!$C$6="",D221='CSV抽出'!$C$6),OR('CSV抽出'!$C$7="",B221&amp;""='CSV抽出'!$C$7&amp;"")),1,0))</f>
        <v/>
      </c>
      <c r="AI221" s="20">
        <f>IF(AH221=1,SUM($AH$5:AH221),"")</f>
        <v/>
      </c>
      <c r="AJ221" s="20">
        <f>IF(OR(S221="",'報告書'!$C$4=""),"",IF(S221&amp;""='報告書'!$C$4&amp;"",COUNTIF($S$5:S221,'報告書'!$C$4),""))</f>
        <v/>
      </c>
      <c r="AK221" s="20" t="n"/>
      <c r="AL221" s="47" t="n"/>
      <c r="AM221" s="47" t="n"/>
      <c r="AN221" s="53" t="n"/>
      <c r="AO221" s="47" t="n"/>
      <c r="AP221" s="47" t="n"/>
      <c r="AQ221" s="47" t="n"/>
      <c r="AR221" s="47" t="n"/>
      <c r="AS221" s="47" t="n"/>
      <c r="AT221" s="47" t="n"/>
      <c r="AU221" s="47" t="n"/>
      <c r="AV221" s="47" t="n"/>
      <c r="AW221" s="52" t="n"/>
    </row>
    <row r="222">
      <c r="A222" s="48" t="n"/>
      <c r="B222" s="52" t="n"/>
      <c r="C222" s="47">
        <f>IF(B222="","",IFERROR(INDEX('隊員マスタ'!$B$5:$B$204,MATCH(B222&amp;"",'隊員マスタ'!$F$5:$F$204,0)),IF(AK222="","番号なし",AK222)))</f>
        <v/>
      </c>
      <c r="D222" s="47" t="n"/>
      <c r="E222" s="47" t="n"/>
      <c r="F222" s="47" t="n"/>
      <c r="G222" s="47" t="n"/>
      <c r="H222" s="47" t="n"/>
      <c r="I222" s="47" t="n"/>
      <c r="J222" s="47" t="n"/>
      <c r="K222" s="47" t="n"/>
      <c r="L222" s="47" t="n"/>
      <c r="M222" s="47" t="n"/>
      <c r="N222" s="47" t="n"/>
      <c r="O222" s="47" t="n"/>
      <c r="P222" s="47" t="n"/>
      <c r="Q222" s="47" t="n"/>
      <c r="R222" s="47" t="n"/>
      <c r="S222" s="47" t="n"/>
      <c r="T222" s="47" t="n"/>
      <c r="U222" s="53" t="n"/>
      <c r="V222" s="53" t="n"/>
      <c r="W222" s="47" t="n"/>
      <c r="X222" s="47" t="n"/>
      <c r="Y222" s="47" t="n"/>
      <c r="Z222" s="47" t="n"/>
      <c r="AA222" s="47" t="n"/>
      <c r="AB222" s="47" t="n"/>
      <c r="AC222" s="47" t="n"/>
      <c r="AD222" s="47" t="n"/>
      <c r="AE222" s="47" t="n"/>
      <c r="AF222" s="20">
        <f>IF(A222="","",YEAR(EDATE(A222,-3)))</f>
        <v/>
      </c>
      <c r="AG222" s="20">
        <f>IF(OR(B222="",'経歴簿'!$C$4=""),"",IF(B222&amp;""='経歴簿'!$C$4&amp;"",MAX($AG$4:AG221)+1,""))</f>
        <v/>
      </c>
      <c r="AH222" s="20">
        <f>IF(A222="",0,IF(AND(OR('CSV抽出'!$C$4="",A222&gt;='CSV抽出'!$C$4),OR('CSV抽出'!$C$5="",A222&lt;='CSV抽出'!$C$5),OR('CSV抽出'!$C$6="すべて",'CSV抽出'!$C$6="",D222='CSV抽出'!$C$6),OR('CSV抽出'!$C$7="",B222&amp;""='CSV抽出'!$C$7&amp;"")),1,0))</f>
        <v/>
      </c>
      <c r="AI222" s="20">
        <f>IF(AH222=1,SUM($AH$5:AH222),"")</f>
        <v/>
      </c>
      <c r="AJ222" s="20">
        <f>IF(OR(S222="",'報告書'!$C$4=""),"",IF(S222&amp;""='報告書'!$C$4&amp;"",COUNTIF($S$5:S222,'報告書'!$C$4),""))</f>
        <v/>
      </c>
      <c r="AK222" s="20" t="n"/>
      <c r="AL222" s="47" t="n"/>
      <c r="AM222" s="47" t="n"/>
      <c r="AN222" s="53" t="n"/>
      <c r="AO222" s="47" t="n"/>
      <c r="AP222" s="47" t="n"/>
      <c r="AQ222" s="47" t="n"/>
      <c r="AR222" s="47" t="n"/>
      <c r="AS222" s="47" t="n"/>
      <c r="AT222" s="47" t="n"/>
      <c r="AU222" s="47" t="n"/>
      <c r="AV222" s="47" t="n"/>
      <c r="AW222" s="52" t="n"/>
    </row>
    <row r="223">
      <c r="A223" s="48" t="n"/>
      <c r="B223" s="52" t="n"/>
      <c r="C223" s="47">
        <f>IF(B223="","",IFERROR(INDEX('隊員マスタ'!$B$5:$B$204,MATCH(B223&amp;"",'隊員マスタ'!$F$5:$F$204,0)),IF(AK223="","番号なし",AK223)))</f>
        <v/>
      </c>
      <c r="D223" s="47" t="n"/>
      <c r="E223" s="47" t="n"/>
      <c r="F223" s="47" t="n"/>
      <c r="G223" s="47" t="n"/>
      <c r="H223" s="47" t="n"/>
      <c r="I223" s="47" t="n"/>
      <c r="J223" s="47" t="n"/>
      <c r="K223" s="47" t="n"/>
      <c r="L223" s="47" t="n"/>
      <c r="M223" s="47" t="n"/>
      <c r="N223" s="47" t="n"/>
      <c r="O223" s="47" t="n"/>
      <c r="P223" s="47" t="n"/>
      <c r="Q223" s="47" t="n"/>
      <c r="R223" s="47" t="n"/>
      <c r="S223" s="47" t="n"/>
      <c r="T223" s="47" t="n"/>
      <c r="U223" s="53" t="n"/>
      <c r="V223" s="53" t="n"/>
      <c r="W223" s="47" t="n"/>
      <c r="X223" s="47" t="n"/>
      <c r="Y223" s="47" t="n"/>
      <c r="Z223" s="47" t="n"/>
      <c r="AA223" s="47" t="n"/>
      <c r="AB223" s="47" t="n"/>
      <c r="AC223" s="47" t="n"/>
      <c r="AD223" s="47" t="n"/>
      <c r="AE223" s="47" t="n"/>
      <c r="AF223" s="20">
        <f>IF(A223="","",YEAR(EDATE(A223,-3)))</f>
        <v/>
      </c>
      <c r="AG223" s="20">
        <f>IF(OR(B223="",'経歴簿'!$C$4=""),"",IF(B223&amp;""='経歴簿'!$C$4&amp;"",MAX($AG$4:AG222)+1,""))</f>
        <v/>
      </c>
      <c r="AH223" s="20">
        <f>IF(A223="",0,IF(AND(OR('CSV抽出'!$C$4="",A223&gt;='CSV抽出'!$C$4),OR('CSV抽出'!$C$5="",A223&lt;='CSV抽出'!$C$5),OR('CSV抽出'!$C$6="すべて",'CSV抽出'!$C$6="",D223='CSV抽出'!$C$6),OR('CSV抽出'!$C$7="",B223&amp;""='CSV抽出'!$C$7&amp;"")),1,0))</f>
        <v/>
      </c>
      <c r="AI223" s="20">
        <f>IF(AH223=1,SUM($AH$5:AH223),"")</f>
        <v/>
      </c>
      <c r="AJ223" s="20">
        <f>IF(OR(S223="",'報告書'!$C$4=""),"",IF(S223&amp;""='報告書'!$C$4&amp;"",COUNTIF($S$5:S223,'報告書'!$C$4),""))</f>
        <v/>
      </c>
      <c r="AK223" s="20" t="n"/>
      <c r="AL223" s="47" t="n"/>
      <c r="AM223" s="47" t="n"/>
      <c r="AN223" s="53" t="n"/>
      <c r="AO223" s="47" t="n"/>
      <c r="AP223" s="47" t="n"/>
      <c r="AQ223" s="47" t="n"/>
      <c r="AR223" s="47" t="n"/>
      <c r="AS223" s="47" t="n"/>
      <c r="AT223" s="47" t="n"/>
      <c r="AU223" s="47" t="n"/>
      <c r="AV223" s="47" t="n"/>
      <c r="AW223" s="52" t="n"/>
    </row>
    <row r="224">
      <c r="A224" s="48" t="n"/>
      <c r="B224" s="52" t="n"/>
      <c r="C224" s="47">
        <f>IF(B224="","",IFERROR(INDEX('隊員マスタ'!$B$5:$B$204,MATCH(B224&amp;"",'隊員マスタ'!$F$5:$F$204,0)),IF(AK224="","番号なし",AK224)))</f>
        <v/>
      </c>
      <c r="D224" s="47" t="n"/>
      <c r="E224" s="47" t="n"/>
      <c r="F224" s="47" t="n"/>
      <c r="G224" s="47" t="n"/>
      <c r="H224" s="47" t="n"/>
      <c r="I224" s="47" t="n"/>
      <c r="J224" s="47" t="n"/>
      <c r="K224" s="47" t="n"/>
      <c r="L224" s="47" t="n"/>
      <c r="M224" s="47" t="n"/>
      <c r="N224" s="47" t="n"/>
      <c r="O224" s="47" t="n"/>
      <c r="P224" s="47" t="n"/>
      <c r="Q224" s="47" t="n"/>
      <c r="R224" s="47" t="n"/>
      <c r="S224" s="47" t="n"/>
      <c r="T224" s="47" t="n"/>
      <c r="U224" s="53" t="n"/>
      <c r="V224" s="53" t="n"/>
      <c r="W224" s="47" t="n"/>
      <c r="X224" s="47" t="n"/>
      <c r="Y224" s="47" t="n"/>
      <c r="Z224" s="47" t="n"/>
      <c r="AA224" s="47" t="n"/>
      <c r="AB224" s="47" t="n"/>
      <c r="AC224" s="47" t="n"/>
      <c r="AD224" s="47" t="n"/>
      <c r="AE224" s="47" t="n"/>
      <c r="AF224" s="20">
        <f>IF(A224="","",YEAR(EDATE(A224,-3)))</f>
        <v/>
      </c>
      <c r="AG224" s="20">
        <f>IF(OR(B224="",'経歴簿'!$C$4=""),"",IF(B224&amp;""='経歴簿'!$C$4&amp;"",MAX($AG$4:AG223)+1,""))</f>
        <v/>
      </c>
      <c r="AH224" s="20">
        <f>IF(A224="",0,IF(AND(OR('CSV抽出'!$C$4="",A224&gt;='CSV抽出'!$C$4),OR('CSV抽出'!$C$5="",A224&lt;='CSV抽出'!$C$5),OR('CSV抽出'!$C$6="すべて",'CSV抽出'!$C$6="",D224='CSV抽出'!$C$6),OR('CSV抽出'!$C$7="",B224&amp;""='CSV抽出'!$C$7&amp;"")),1,0))</f>
        <v/>
      </c>
      <c r="AI224" s="20">
        <f>IF(AH224=1,SUM($AH$5:AH224),"")</f>
        <v/>
      </c>
      <c r="AJ224" s="20">
        <f>IF(OR(S224="",'報告書'!$C$4=""),"",IF(S224&amp;""='報告書'!$C$4&amp;"",COUNTIF($S$5:S224,'報告書'!$C$4),""))</f>
        <v/>
      </c>
      <c r="AK224" s="20" t="n"/>
      <c r="AL224" s="47" t="n"/>
      <c r="AM224" s="47" t="n"/>
      <c r="AN224" s="53" t="n"/>
      <c r="AO224" s="47" t="n"/>
      <c r="AP224" s="47" t="n"/>
      <c r="AQ224" s="47" t="n"/>
      <c r="AR224" s="47" t="n"/>
      <c r="AS224" s="47" t="n"/>
      <c r="AT224" s="47" t="n"/>
      <c r="AU224" s="47" t="n"/>
      <c r="AV224" s="47" t="n"/>
      <c r="AW224" s="52" t="n"/>
    </row>
    <row r="225">
      <c r="A225" s="48" t="n"/>
      <c r="B225" s="52" t="n"/>
      <c r="C225" s="47">
        <f>IF(B225="","",IFERROR(INDEX('隊員マスタ'!$B$5:$B$204,MATCH(B225&amp;"",'隊員マスタ'!$F$5:$F$204,0)),IF(AK225="","番号なし",AK225)))</f>
        <v/>
      </c>
      <c r="D225" s="47" t="n"/>
      <c r="E225" s="47" t="n"/>
      <c r="F225" s="47" t="n"/>
      <c r="G225" s="47" t="n"/>
      <c r="H225" s="47" t="n"/>
      <c r="I225" s="47" t="n"/>
      <c r="J225" s="47" t="n"/>
      <c r="K225" s="47" t="n"/>
      <c r="L225" s="47" t="n"/>
      <c r="M225" s="47" t="n"/>
      <c r="N225" s="47" t="n"/>
      <c r="O225" s="47" t="n"/>
      <c r="P225" s="47" t="n"/>
      <c r="Q225" s="47" t="n"/>
      <c r="R225" s="47" t="n"/>
      <c r="S225" s="47" t="n"/>
      <c r="T225" s="47" t="n"/>
      <c r="U225" s="53" t="n"/>
      <c r="V225" s="53" t="n"/>
      <c r="W225" s="47" t="n"/>
      <c r="X225" s="47" t="n"/>
      <c r="Y225" s="47" t="n"/>
      <c r="Z225" s="47" t="n"/>
      <c r="AA225" s="47" t="n"/>
      <c r="AB225" s="47" t="n"/>
      <c r="AC225" s="47" t="n"/>
      <c r="AD225" s="47" t="n"/>
      <c r="AE225" s="47" t="n"/>
      <c r="AF225" s="20">
        <f>IF(A225="","",YEAR(EDATE(A225,-3)))</f>
        <v/>
      </c>
      <c r="AG225" s="20">
        <f>IF(OR(B225="",'経歴簿'!$C$4=""),"",IF(B225&amp;""='経歴簿'!$C$4&amp;"",MAX($AG$4:AG224)+1,""))</f>
        <v/>
      </c>
      <c r="AH225" s="20">
        <f>IF(A225="",0,IF(AND(OR('CSV抽出'!$C$4="",A225&gt;='CSV抽出'!$C$4),OR('CSV抽出'!$C$5="",A225&lt;='CSV抽出'!$C$5),OR('CSV抽出'!$C$6="すべて",'CSV抽出'!$C$6="",D225='CSV抽出'!$C$6),OR('CSV抽出'!$C$7="",B225&amp;""='CSV抽出'!$C$7&amp;"")),1,0))</f>
        <v/>
      </c>
      <c r="AI225" s="20">
        <f>IF(AH225=1,SUM($AH$5:AH225),"")</f>
        <v/>
      </c>
      <c r="AJ225" s="20">
        <f>IF(OR(S225="",'報告書'!$C$4=""),"",IF(S225&amp;""='報告書'!$C$4&amp;"",COUNTIF($S$5:S225,'報告書'!$C$4),""))</f>
        <v/>
      </c>
      <c r="AK225" s="20" t="n"/>
      <c r="AL225" s="47" t="n"/>
      <c r="AM225" s="47" t="n"/>
      <c r="AN225" s="53" t="n"/>
      <c r="AO225" s="47" t="n"/>
      <c r="AP225" s="47" t="n"/>
      <c r="AQ225" s="47" t="n"/>
      <c r="AR225" s="47" t="n"/>
      <c r="AS225" s="47" t="n"/>
      <c r="AT225" s="47" t="n"/>
      <c r="AU225" s="47" t="n"/>
      <c r="AV225" s="47" t="n"/>
      <c r="AW225" s="52" t="n"/>
    </row>
    <row r="226">
      <c r="A226" s="48" t="n"/>
      <c r="B226" s="52" t="n"/>
      <c r="C226" s="47">
        <f>IF(B226="","",IFERROR(INDEX('隊員マスタ'!$B$5:$B$204,MATCH(B226&amp;"",'隊員マスタ'!$F$5:$F$204,0)),IF(AK226="","番号なし",AK226)))</f>
        <v/>
      </c>
      <c r="D226" s="47" t="n"/>
      <c r="E226" s="47" t="n"/>
      <c r="F226" s="47" t="n"/>
      <c r="G226" s="47" t="n"/>
      <c r="H226" s="47" t="n"/>
      <c r="I226" s="47" t="n"/>
      <c r="J226" s="47" t="n"/>
      <c r="K226" s="47" t="n"/>
      <c r="L226" s="47" t="n"/>
      <c r="M226" s="47" t="n"/>
      <c r="N226" s="47" t="n"/>
      <c r="O226" s="47" t="n"/>
      <c r="P226" s="47" t="n"/>
      <c r="Q226" s="47" t="n"/>
      <c r="R226" s="47" t="n"/>
      <c r="S226" s="47" t="n"/>
      <c r="T226" s="47" t="n"/>
      <c r="U226" s="53" t="n"/>
      <c r="V226" s="53" t="n"/>
      <c r="W226" s="47" t="n"/>
      <c r="X226" s="47" t="n"/>
      <c r="Y226" s="47" t="n"/>
      <c r="Z226" s="47" t="n"/>
      <c r="AA226" s="47" t="n"/>
      <c r="AB226" s="47" t="n"/>
      <c r="AC226" s="47" t="n"/>
      <c r="AD226" s="47" t="n"/>
      <c r="AE226" s="47" t="n"/>
      <c r="AF226" s="20">
        <f>IF(A226="","",YEAR(EDATE(A226,-3)))</f>
        <v/>
      </c>
      <c r="AG226" s="20">
        <f>IF(OR(B226="",'経歴簿'!$C$4=""),"",IF(B226&amp;""='経歴簿'!$C$4&amp;"",MAX($AG$4:AG225)+1,""))</f>
        <v/>
      </c>
      <c r="AH226" s="20">
        <f>IF(A226="",0,IF(AND(OR('CSV抽出'!$C$4="",A226&gt;='CSV抽出'!$C$4),OR('CSV抽出'!$C$5="",A226&lt;='CSV抽出'!$C$5),OR('CSV抽出'!$C$6="すべて",'CSV抽出'!$C$6="",D226='CSV抽出'!$C$6),OR('CSV抽出'!$C$7="",B226&amp;""='CSV抽出'!$C$7&amp;"")),1,0))</f>
        <v/>
      </c>
      <c r="AI226" s="20">
        <f>IF(AH226=1,SUM($AH$5:AH226),"")</f>
        <v/>
      </c>
      <c r="AJ226" s="20">
        <f>IF(OR(S226="",'報告書'!$C$4=""),"",IF(S226&amp;""='報告書'!$C$4&amp;"",COUNTIF($S$5:S226,'報告書'!$C$4),""))</f>
        <v/>
      </c>
      <c r="AK226" s="20" t="n"/>
      <c r="AL226" s="47" t="n"/>
      <c r="AM226" s="47" t="n"/>
      <c r="AN226" s="53" t="n"/>
      <c r="AO226" s="47" t="n"/>
      <c r="AP226" s="47" t="n"/>
      <c r="AQ226" s="47" t="n"/>
      <c r="AR226" s="47" t="n"/>
      <c r="AS226" s="47" t="n"/>
      <c r="AT226" s="47" t="n"/>
      <c r="AU226" s="47" t="n"/>
      <c r="AV226" s="47" t="n"/>
      <c r="AW226" s="52" t="n"/>
    </row>
    <row r="227">
      <c r="A227" s="48" t="n"/>
      <c r="B227" s="52" t="n"/>
      <c r="C227" s="47">
        <f>IF(B227="","",IFERROR(INDEX('隊員マスタ'!$B$5:$B$204,MATCH(B227&amp;"",'隊員マスタ'!$F$5:$F$204,0)),IF(AK227="","番号なし",AK227)))</f>
        <v/>
      </c>
      <c r="D227" s="47" t="n"/>
      <c r="E227" s="47" t="n"/>
      <c r="F227" s="47" t="n"/>
      <c r="G227" s="47" t="n"/>
      <c r="H227" s="47" t="n"/>
      <c r="I227" s="47" t="n"/>
      <c r="J227" s="47" t="n"/>
      <c r="K227" s="47" t="n"/>
      <c r="L227" s="47" t="n"/>
      <c r="M227" s="47" t="n"/>
      <c r="N227" s="47" t="n"/>
      <c r="O227" s="47" t="n"/>
      <c r="P227" s="47" t="n"/>
      <c r="Q227" s="47" t="n"/>
      <c r="R227" s="47" t="n"/>
      <c r="S227" s="47" t="n"/>
      <c r="T227" s="47" t="n"/>
      <c r="U227" s="53" t="n"/>
      <c r="V227" s="53" t="n"/>
      <c r="W227" s="47" t="n"/>
      <c r="X227" s="47" t="n"/>
      <c r="Y227" s="47" t="n"/>
      <c r="Z227" s="47" t="n"/>
      <c r="AA227" s="47" t="n"/>
      <c r="AB227" s="47" t="n"/>
      <c r="AC227" s="47" t="n"/>
      <c r="AD227" s="47" t="n"/>
      <c r="AE227" s="47" t="n"/>
      <c r="AF227" s="20">
        <f>IF(A227="","",YEAR(EDATE(A227,-3)))</f>
        <v/>
      </c>
      <c r="AG227" s="20">
        <f>IF(OR(B227="",'経歴簿'!$C$4=""),"",IF(B227&amp;""='経歴簿'!$C$4&amp;"",MAX($AG$4:AG226)+1,""))</f>
        <v/>
      </c>
      <c r="AH227" s="20">
        <f>IF(A227="",0,IF(AND(OR('CSV抽出'!$C$4="",A227&gt;='CSV抽出'!$C$4),OR('CSV抽出'!$C$5="",A227&lt;='CSV抽出'!$C$5),OR('CSV抽出'!$C$6="すべて",'CSV抽出'!$C$6="",D227='CSV抽出'!$C$6),OR('CSV抽出'!$C$7="",B227&amp;""='CSV抽出'!$C$7&amp;"")),1,0))</f>
        <v/>
      </c>
      <c r="AI227" s="20">
        <f>IF(AH227=1,SUM($AH$5:AH227),"")</f>
        <v/>
      </c>
      <c r="AJ227" s="20">
        <f>IF(OR(S227="",'報告書'!$C$4=""),"",IF(S227&amp;""='報告書'!$C$4&amp;"",COUNTIF($S$5:S227,'報告書'!$C$4),""))</f>
        <v/>
      </c>
      <c r="AK227" s="20" t="n"/>
      <c r="AL227" s="47" t="n"/>
      <c r="AM227" s="47" t="n"/>
      <c r="AN227" s="53" t="n"/>
      <c r="AO227" s="47" t="n"/>
      <c r="AP227" s="47" t="n"/>
      <c r="AQ227" s="47" t="n"/>
      <c r="AR227" s="47" t="n"/>
      <c r="AS227" s="47" t="n"/>
      <c r="AT227" s="47" t="n"/>
      <c r="AU227" s="47" t="n"/>
      <c r="AV227" s="47" t="n"/>
      <c r="AW227" s="52" t="n"/>
    </row>
    <row r="228">
      <c r="A228" s="48" t="n"/>
      <c r="B228" s="52" t="n"/>
      <c r="C228" s="47">
        <f>IF(B228="","",IFERROR(INDEX('隊員マスタ'!$B$5:$B$204,MATCH(B228&amp;"",'隊員マスタ'!$F$5:$F$204,0)),IF(AK228="","番号なし",AK228)))</f>
        <v/>
      </c>
      <c r="D228" s="47" t="n"/>
      <c r="E228" s="47" t="n"/>
      <c r="F228" s="47" t="n"/>
      <c r="G228" s="47" t="n"/>
      <c r="H228" s="47" t="n"/>
      <c r="I228" s="47" t="n"/>
      <c r="J228" s="47" t="n"/>
      <c r="K228" s="47" t="n"/>
      <c r="L228" s="47" t="n"/>
      <c r="M228" s="47" t="n"/>
      <c r="N228" s="47" t="n"/>
      <c r="O228" s="47" t="n"/>
      <c r="P228" s="47" t="n"/>
      <c r="Q228" s="47" t="n"/>
      <c r="R228" s="47" t="n"/>
      <c r="S228" s="47" t="n"/>
      <c r="T228" s="47" t="n"/>
      <c r="U228" s="53" t="n"/>
      <c r="V228" s="53" t="n"/>
      <c r="W228" s="47" t="n"/>
      <c r="X228" s="47" t="n"/>
      <c r="Y228" s="47" t="n"/>
      <c r="Z228" s="47" t="n"/>
      <c r="AA228" s="47" t="n"/>
      <c r="AB228" s="47" t="n"/>
      <c r="AC228" s="47" t="n"/>
      <c r="AD228" s="47" t="n"/>
      <c r="AE228" s="47" t="n"/>
      <c r="AF228" s="20">
        <f>IF(A228="","",YEAR(EDATE(A228,-3)))</f>
        <v/>
      </c>
      <c r="AG228" s="20">
        <f>IF(OR(B228="",'経歴簿'!$C$4=""),"",IF(B228&amp;""='経歴簿'!$C$4&amp;"",MAX($AG$4:AG227)+1,""))</f>
        <v/>
      </c>
      <c r="AH228" s="20">
        <f>IF(A228="",0,IF(AND(OR('CSV抽出'!$C$4="",A228&gt;='CSV抽出'!$C$4),OR('CSV抽出'!$C$5="",A228&lt;='CSV抽出'!$C$5),OR('CSV抽出'!$C$6="すべて",'CSV抽出'!$C$6="",D228='CSV抽出'!$C$6),OR('CSV抽出'!$C$7="",B228&amp;""='CSV抽出'!$C$7&amp;"")),1,0))</f>
        <v/>
      </c>
      <c r="AI228" s="20">
        <f>IF(AH228=1,SUM($AH$5:AH228),"")</f>
        <v/>
      </c>
      <c r="AJ228" s="20">
        <f>IF(OR(S228="",'報告書'!$C$4=""),"",IF(S228&amp;""='報告書'!$C$4&amp;"",COUNTIF($S$5:S228,'報告書'!$C$4),""))</f>
        <v/>
      </c>
      <c r="AK228" s="20" t="n"/>
      <c r="AL228" s="47" t="n"/>
      <c r="AM228" s="47" t="n"/>
      <c r="AN228" s="53" t="n"/>
      <c r="AO228" s="47" t="n"/>
      <c r="AP228" s="47" t="n"/>
      <c r="AQ228" s="47" t="n"/>
      <c r="AR228" s="47" t="n"/>
      <c r="AS228" s="47" t="n"/>
      <c r="AT228" s="47" t="n"/>
      <c r="AU228" s="47" t="n"/>
      <c r="AV228" s="47" t="n"/>
      <c r="AW228" s="52" t="n"/>
    </row>
    <row r="229">
      <c r="A229" s="48" t="n"/>
      <c r="B229" s="52" t="n"/>
      <c r="C229" s="47">
        <f>IF(B229="","",IFERROR(INDEX('隊員マスタ'!$B$5:$B$204,MATCH(B229&amp;"",'隊員マスタ'!$F$5:$F$204,0)),IF(AK229="","番号なし",AK229)))</f>
        <v/>
      </c>
      <c r="D229" s="47" t="n"/>
      <c r="E229" s="47" t="n"/>
      <c r="F229" s="47" t="n"/>
      <c r="G229" s="47" t="n"/>
      <c r="H229" s="47" t="n"/>
      <c r="I229" s="47" t="n"/>
      <c r="J229" s="47" t="n"/>
      <c r="K229" s="47" t="n"/>
      <c r="L229" s="47" t="n"/>
      <c r="M229" s="47" t="n"/>
      <c r="N229" s="47" t="n"/>
      <c r="O229" s="47" t="n"/>
      <c r="P229" s="47" t="n"/>
      <c r="Q229" s="47" t="n"/>
      <c r="R229" s="47" t="n"/>
      <c r="S229" s="47" t="n"/>
      <c r="T229" s="47" t="n"/>
      <c r="U229" s="53" t="n"/>
      <c r="V229" s="53" t="n"/>
      <c r="W229" s="47" t="n"/>
      <c r="X229" s="47" t="n"/>
      <c r="Y229" s="47" t="n"/>
      <c r="Z229" s="47" t="n"/>
      <c r="AA229" s="47" t="n"/>
      <c r="AB229" s="47" t="n"/>
      <c r="AC229" s="47" t="n"/>
      <c r="AD229" s="47" t="n"/>
      <c r="AE229" s="47" t="n"/>
      <c r="AF229" s="20">
        <f>IF(A229="","",YEAR(EDATE(A229,-3)))</f>
        <v/>
      </c>
      <c r="AG229" s="20">
        <f>IF(OR(B229="",'経歴簿'!$C$4=""),"",IF(B229&amp;""='経歴簿'!$C$4&amp;"",MAX($AG$4:AG228)+1,""))</f>
        <v/>
      </c>
      <c r="AH229" s="20">
        <f>IF(A229="",0,IF(AND(OR('CSV抽出'!$C$4="",A229&gt;='CSV抽出'!$C$4),OR('CSV抽出'!$C$5="",A229&lt;='CSV抽出'!$C$5),OR('CSV抽出'!$C$6="すべて",'CSV抽出'!$C$6="",D229='CSV抽出'!$C$6),OR('CSV抽出'!$C$7="",B229&amp;""='CSV抽出'!$C$7&amp;"")),1,0))</f>
        <v/>
      </c>
      <c r="AI229" s="20">
        <f>IF(AH229=1,SUM($AH$5:AH229),"")</f>
        <v/>
      </c>
      <c r="AJ229" s="20">
        <f>IF(OR(S229="",'報告書'!$C$4=""),"",IF(S229&amp;""='報告書'!$C$4&amp;"",COUNTIF($S$5:S229,'報告書'!$C$4),""))</f>
        <v/>
      </c>
      <c r="AK229" s="20" t="n"/>
      <c r="AL229" s="47" t="n"/>
      <c r="AM229" s="47" t="n"/>
      <c r="AN229" s="53" t="n"/>
      <c r="AO229" s="47" t="n"/>
      <c r="AP229" s="47" t="n"/>
      <c r="AQ229" s="47" t="n"/>
      <c r="AR229" s="47" t="n"/>
      <c r="AS229" s="47" t="n"/>
      <c r="AT229" s="47" t="n"/>
      <c r="AU229" s="47" t="n"/>
      <c r="AV229" s="47" t="n"/>
      <c r="AW229" s="52" t="n"/>
    </row>
    <row r="230">
      <c r="A230" s="48" t="n"/>
      <c r="B230" s="52" t="n"/>
      <c r="C230" s="47">
        <f>IF(B230="","",IFERROR(INDEX('隊員マスタ'!$B$5:$B$204,MATCH(B230&amp;"",'隊員マスタ'!$F$5:$F$204,0)),IF(AK230="","番号なし",AK230)))</f>
        <v/>
      </c>
      <c r="D230" s="47" t="n"/>
      <c r="E230" s="47" t="n"/>
      <c r="F230" s="47" t="n"/>
      <c r="G230" s="47" t="n"/>
      <c r="H230" s="47" t="n"/>
      <c r="I230" s="47" t="n"/>
      <c r="J230" s="47" t="n"/>
      <c r="K230" s="47" t="n"/>
      <c r="L230" s="47" t="n"/>
      <c r="M230" s="47" t="n"/>
      <c r="N230" s="47" t="n"/>
      <c r="O230" s="47" t="n"/>
      <c r="P230" s="47" t="n"/>
      <c r="Q230" s="47" t="n"/>
      <c r="R230" s="47" t="n"/>
      <c r="S230" s="47" t="n"/>
      <c r="T230" s="47" t="n"/>
      <c r="U230" s="53" t="n"/>
      <c r="V230" s="53" t="n"/>
      <c r="W230" s="47" t="n"/>
      <c r="X230" s="47" t="n"/>
      <c r="Y230" s="47" t="n"/>
      <c r="Z230" s="47" t="n"/>
      <c r="AA230" s="47" t="n"/>
      <c r="AB230" s="47" t="n"/>
      <c r="AC230" s="47" t="n"/>
      <c r="AD230" s="47" t="n"/>
      <c r="AE230" s="47" t="n"/>
      <c r="AF230" s="20">
        <f>IF(A230="","",YEAR(EDATE(A230,-3)))</f>
        <v/>
      </c>
      <c r="AG230" s="20">
        <f>IF(OR(B230="",'経歴簿'!$C$4=""),"",IF(B230&amp;""='経歴簿'!$C$4&amp;"",MAX($AG$4:AG229)+1,""))</f>
        <v/>
      </c>
      <c r="AH230" s="20">
        <f>IF(A230="",0,IF(AND(OR('CSV抽出'!$C$4="",A230&gt;='CSV抽出'!$C$4),OR('CSV抽出'!$C$5="",A230&lt;='CSV抽出'!$C$5),OR('CSV抽出'!$C$6="すべて",'CSV抽出'!$C$6="",D230='CSV抽出'!$C$6),OR('CSV抽出'!$C$7="",B230&amp;""='CSV抽出'!$C$7&amp;"")),1,0))</f>
        <v/>
      </c>
      <c r="AI230" s="20">
        <f>IF(AH230=1,SUM($AH$5:AH230),"")</f>
        <v/>
      </c>
      <c r="AJ230" s="20">
        <f>IF(OR(S230="",'報告書'!$C$4=""),"",IF(S230&amp;""='報告書'!$C$4&amp;"",COUNTIF($S$5:S230,'報告書'!$C$4),""))</f>
        <v/>
      </c>
      <c r="AK230" s="20" t="n"/>
      <c r="AL230" s="47" t="n"/>
      <c r="AM230" s="47" t="n"/>
      <c r="AN230" s="53" t="n"/>
      <c r="AO230" s="47" t="n"/>
      <c r="AP230" s="47" t="n"/>
      <c r="AQ230" s="47" t="n"/>
      <c r="AR230" s="47" t="n"/>
      <c r="AS230" s="47" t="n"/>
      <c r="AT230" s="47" t="n"/>
      <c r="AU230" s="47" t="n"/>
      <c r="AV230" s="47" t="n"/>
      <c r="AW230" s="52" t="n"/>
    </row>
    <row r="231">
      <c r="A231" s="48" t="n"/>
      <c r="B231" s="52" t="n"/>
      <c r="C231" s="47">
        <f>IF(B231="","",IFERROR(INDEX('隊員マスタ'!$B$5:$B$204,MATCH(B231&amp;"",'隊員マスタ'!$F$5:$F$204,0)),IF(AK231="","番号なし",AK231)))</f>
        <v/>
      </c>
      <c r="D231" s="47" t="n"/>
      <c r="E231" s="47" t="n"/>
      <c r="F231" s="47" t="n"/>
      <c r="G231" s="47" t="n"/>
      <c r="H231" s="47" t="n"/>
      <c r="I231" s="47" t="n"/>
      <c r="J231" s="47" t="n"/>
      <c r="K231" s="47" t="n"/>
      <c r="L231" s="47" t="n"/>
      <c r="M231" s="47" t="n"/>
      <c r="N231" s="47" t="n"/>
      <c r="O231" s="47" t="n"/>
      <c r="P231" s="47" t="n"/>
      <c r="Q231" s="47" t="n"/>
      <c r="R231" s="47" t="n"/>
      <c r="S231" s="47" t="n"/>
      <c r="T231" s="47" t="n"/>
      <c r="U231" s="53" t="n"/>
      <c r="V231" s="53" t="n"/>
      <c r="W231" s="47" t="n"/>
      <c r="X231" s="47" t="n"/>
      <c r="Y231" s="47" t="n"/>
      <c r="Z231" s="47" t="n"/>
      <c r="AA231" s="47" t="n"/>
      <c r="AB231" s="47" t="n"/>
      <c r="AC231" s="47" t="n"/>
      <c r="AD231" s="47" t="n"/>
      <c r="AE231" s="47" t="n"/>
      <c r="AF231" s="20">
        <f>IF(A231="","",YEAR(EDATE(A231,-3)))</f>
        <v/>
      </c>
      <c r="AG231" s="20">
        <f>IF(OR(B231="",'経歴簿'!$C$4=""),"",IF(B231&amp;""='経歴簿'!$C$4&amp;"",MAX($AG$4:AG230)+1,""))</f>
        <v/>
      </c>
      <c r="AH231" s="20">
        <f>IF(A231="",0,IF(AND(OR('CSV抽出'!$C$4="",A231&gt;='CSV抽出'!$C$4),OR('CSV抽出'!$C$5="",A231&lt;='CSV抽出'!$C$5),OR('CSV抽出'!$C$6="すべて",'CSV抽出'!$C$6="",D231='CSV抽出'!$C$6),OR('CSV抽出'!$C$7="",B231&amp;""='CSV抽出'!$C$7&amp;"")),1,0))</f>
        <v/>
      </c>
      <c r="AI231" s="20">
        <f>IF(AH231=1,SUM($AH$5:AH231),"")</f>
        <v/>
      </c>
      <c r="AJ231" s="20">
        <f>IF(OR(S231="",'報告書'!$C$4=""),"",IF(S231&amp;""='報告書'!$C$4&amp;"",COUNTIF($S$5:S231,'報告書'!$C$4),""))</f>
        <v/>
      </c>
      <c r="AK231" s="20" t="n"/>
      <c r="AL231" s="47" t="n"/>
      <c r="AM231" s="47" t="n"/>
      <c r="AN231" s="53" t="n"/>
      <c r="AO231" s="47" t="n"/>
      <c r="AP231" s="47" t="n"/>
      <c r="AQ231" s="47" t="n"/>
      <c r="AR231" s="47" t="n"/>
      <c r="AS231" s="47" t="n"/>
      <c r="AT231" s="47" t="n"/>
      <c r="AU231" s="47" t="n"/>
      <c r="AV231" s="47" t="n"/>
      <c r="AW231" s="52" t="n"/>
    </row>
    <row r="232">
      <c r="A232" s="48" t="n"/>
      <c r="B232" s="52" t="n"/>
      <c r="C232" s="47">
        <f>IF(B232="","",IFERROR(INDEX('隊員マスタ'!$B$5:$B$204,MATCH(B232&amp;"",'隊員マスタ'!$F$5:$F$204,0)),IF(AK232="","番号なし",AK232)))</f>
        <v/>
      </c>
      <c r="D232" s="47" t="n"/>
      <c r="E232" s="47" t="n"/>
      <c r="F232" s="47" t="n"/>
      <c r="G232" s="47" t="n"/>
      <c r="H232" s="47" t="n"/>
      <c r="I232" s="47" t="n"/>
      <c r="J232" s="47" t="n"/>
      <c r="K232" s="47" t="n"/>
      <c r="L232" s="47" t="n"/>
      <c r="M232" s="47" t="n"/>
      <c r="N232" s="47" t="n"/>
      <c r="O232" s="47" t="n"/>
      <c r="P232" s="47" t="n"/>
      <c r="Q232" s="47" t="n"/>
      <c r="R232" s="47" t="n"/>
      <c r="S232" s="47" t="n"/>
      <c r="T232" s="47" t="n"/>
      <c r="U232" s="53" t="n"/>
      <c r="V232" s="53" t="n"/>
      <c r="W232" s="47" t="n"/>
      <c r="X232" s="47" t="n"/>
      <c r="Y232" s="47" t="n"/>
      <c r="Z232" s="47" t="n"/>
      <c r="AA232" s="47" t="n"/>
      <c r="AB232" s="47" t="n"/>
      <c r="AC232" s="47" t="n"/>
      <c r="AD232" s="47" t="n"/>
      <c r="AE232" s="47" t="n"/>
      <c r="AF232" s="20">
        <f>IF(A232="","",YEAR(EDATE(A232,-3)))</f>
        <v/>
      </c>
      <c r="AG232" s="20">
        <f>IF(OR(B232="",'経歴簿'!$C$4=""),"",IF(B232&amp;""='経歴簿'!$C$4&amp;"",MAX($AG$4:AG231)+1,""))</f>
        <v/>
      </c>
      <c r="AH232" s="20">
        <f>IF(A232="",0,IF(AND(OR('CSV抽出'!$C$4="",A232&gt;='CSV抽出'!$C$4),OR('CSV抽出'!$C$5="",A232&lt;='CSV抽出'!$C$5),OR('CSV抽出'!$C$6="すべて",'CSV抽出'!$C$6="",D232='CSV抽出'!$C$6),OR('CSV抽出'!$C$7="",B232&amp;""='CSV抽出'!$C$7&amp;"")),1,0))</f>
        <v/>
      </c>
      <c r="AI232" s="20">
        <f>IF(AH232=1,SUM($AH$5:AH232),"")</f>
        <v/>
      </c>
      <c r="AJ232" s="20">
        <f>IF(OR(S232="",'報告書'!$C$4=""),"",IF(S232&amp;""='報告書'!$C$4&amp;"",COUNTIF($S$5:S232,'報告書'!$C$4),""))</f>
        <v/>
      </c>
      <c r="AK232" s="20" t="n"/>
      <c r="AL232" s="47" t="n"/>
      <c r="AM232" s="47" t="n"/>
      <c r="AN232" s="53" t="n"/>
      <c r="AO232" s="47" t="n"/>
      <c r="AP232" s="47" t="n"/>
      <c r="AQ232" s="47" t="n"/>
      <c r="AR232" s="47" t="n"/>
      <c r="AS232" s="47" t="n"/>
      <c r="AT232" s="47" t="n"/>
      <c r="AU232" s="47" t="n"/>
      <c r="AV232" s="47" t="n"/>
      <c r="AW232" s="52" t="n"/>
    </row>
    <row r="233">
      <c r="A233" s="48" t="n"/>
      <c r="B233" s="52" t="n"/>
      <c r="C233" s="47">
        <f>IF(B233="","",IFERROR(INDEX('隊員マスタ'!$B$5:$B$204,MATCH(B233&amp;"",'隊員マスタ'!$F$5:$F$204,0)),IF(AK233="","番号なし",AK233)))</f>
        <v/>
      </c>
      <c r="D233" s="47" t="n"/>
      <c r="E233" s="47" t="n"/>
      <c r="F233" s="47" t="n"/>
      <c r="G233" s="47" t="n"/>
      <c r="H233" s="47" t="n"/>
      <c r="I233" s="47" t="n"/>
      <c r="J233" s="47" t="n"/>
      <c r="K233" s="47" t="n"/>
      <c r="L233" s="47" t="n"/>
      <c r="M233" s="47" t="n"/>
      <c r="N233" s="47" t="n"/>
      <c r="O233" s="47" t="n"/>
      <c r="P233" s="47" t="n"/>
      <c r="Q233" s="47" t="n"/>
      <c r="R233" s="47" t="n"/>
      <c r="S233" s="47" t="n"/>
      <c r="T233" s="47" t="n"/>
      <c r="U233" s="53" t="n"/>
      <c r="V233" s="53" t="n"/>
      <c r="W233" s="47" t="n"/>
      <c r="X233" s="47" t="n"/>
      <c r="Y233" s="47" t="n"/>
      <c r="Z233" s="47" t="n"/>
      <c r="AA233" s="47" t="n"/>
      <c r="AB233" s="47" t="n"/>
      <c r="AC233" s="47" t="n"/>
      <c r="AD233" s="47" t="n"/>
      <c r="AE233" s="47" t="n"/>
      <c r="AF233" s="20">
        <f>IF(A233="","",YEAR(EDATE(A233,-3)))</f>
        <v/>
      </c>
      <c r="AG233" s="20">
        <f>IF(OR(B233="",'経歴簿'!$C$4=""),"",IF(B233&amp;""='経歴簿'!$C$4&amp;"",MAX($AG$4:AG232)+1,""))</f>
        <v/>
      </c>
      <c r="AH233" s="20">
        <f>IF(A233="",0,IF(AND(OR('CSV抽出'!$C$4="",A233&gt;='CSV抽出'!$C$4),OR('CSV抽出'!$C$5="",A233&lt;='CSV抽出'!$C$5),OR('CSV抽出'!$C$6="すべて",'CSV抽出'!$C$6="",D233='CSV抽出'!$C$6),OR('CSV抽出'!$C$7="",B233&amp;""='CSV抽出'!$C$7&amp;"")),1,0))</f>
        <v/>
      </c>
      <c r="AI233" s="20">
        <f>IF(AH233=1,SUM($AH$5:AH233),"")</f>
        <v/>
      </c>
      <c r="AJ233" s="20">
        <f>IF(OR(S233="",'報告書'!$C$4=""),"",IF(S233&amp;""='報告書'!$C$4&amp;"",COUNTIF($S$5:S233,'報告書'!$C$4),""))</f>
        <v/>
      </c>
      <c r="AK233" s="20" t="n"/>
      <c r="AL233" s="47" t="n"/>
      <c r="AM233" s="47" t="n"/>
      <c r="AN233" s="53" t="n"/>
      <c r="AO233" s="47" t="n"/>
      <c r="AP233" s="47" t="n"/>
      <c r="AQ233" s="47" t="n"/>
      <c r="AR233" s="47" t="n"/>
      <c r="AS233" s="47" t="n"/>
      <c r="AT233" s="47" t="n"/>
      <c r="AU233" s="47" t="n"/>
      <c r="AV233" s="47" t="n"/>
      <c r="AW233" s="52" t="n"/>
    </row>
    <row r="234">
      <c r="A234" s="48" t="n"/>
      <c r="B234" s="52" t="n"/>
      <c r="C234" s="47">
        <f>IF(B234="","",IFERROR(INDEX('隊員マスタ'!$B$5:$B$204,MATCH(B234&amp;"",'隊員マスタ'!$F$5:$F$204,0)),IF(AK234="","番号なし",AK234)))</f>
        <v/>
      </c>
      <c r="D234" s="47" t="n"/>
      <c r="E234" s="47" t="n"/>
      <c r="F234" s="47" t="n"/>
      <c r="G234" s="47" t="n"/>
      <c r="H234" s="47" t="n"/>
      <c r="I234" s="47" t="n"/>
      <c r="J234" s="47" t="n"/>
      <c r="K234" s="47" t="n"/>
      <c r="L234" s="47" t="n"/>
      <c r="M234" s="47" t="n"/>
      <c r="N234" s="47" t="n"/>
      <c r="O234" s="47" t="n"/>
      <c r="P234" s="47" t="n"/>
      <c r="Q234" s="47" t="n"/>
      <c r="R234" s="47" t="n"/>
      <c r="S234" s="47" t="n"/>
      <c r="T234" s="47" t="n"/>
      <c r="U234" s="53" t="n"/>
      <c r="V234" s="53" t="n"/>
      <c r="W234" s="47" t="n"/>
      <c r="X234" s="47" t="n"/>
      <c r="Y234" s="47" t="n"/>
      <c r="Z234" s="47" t="n"/>
      <c r="AA234" s="47" t="n"/>
      <c r="AB234" s="47" t="n"/>
      <c r="AC234" s="47" t="n"/>
      <c r="AD234" s="47" t="n"/>
      <c r="AE234" s="47" t="n"/>
      <c r="AF234" s="20">
        <f>IF(A234="","",YEAR(EDATE(A234,-3)))</f>
        <v/>
      </c>
      <c r="AG234" s="20">
        <f>IF(OR(B234="",'経歴簿'!$C$4=""),"",IF(B234&amp;""='経歴簿'!$C$4&amp;"",MAX($AG$4:AG233)+1,""))</f>
        <v/>
      </c>
      <c r="AH234" s="20">
        <f>IF(A234="",0,IF(AND(OR('CSV抽出'!$C$4="",A234&gt;='CSV抽出'!$C$4),OR('CSV抽出'!$C$5="",A234&lt;='CSV抽出'!$C$5),OR('CSV抽出'!$C$6="すべて",'CSV抽出'!$C$6="",D234='CSV抽出'!$C$6),OR('CSV抽出'!$C$7="",B234&amp;""='CSV抽出'!$C$7&amp;"")),1,0))</f>
        <v/>
      </c>
      <c r="AI234" s="20">
        <f>IF(AH234=1,SUM($AH$5:AH234),"")</f>
        <v/>
      </c>
      <c r="AJ234" s="20">
        <f>IF(OR(S234="",'報告書'!$C$4=""),"",IF(S234&amp;""='報告書'!$C$4&amp;"",COUNTIF($S$5:S234,'報告書'!$C$4),""))</f>
        <v/>
      </c>
      <c r="AK234" s="20" t="n"/>
      <c r="AL234" s="47" t="n"/>
      <c r="AM234" s="47" t="n"/>
      <c r="AN234" s="53" t="n"/>
      <c r="AO234" s="47" t="n"/>
      <c r="AP234" s="47" t="n"/>
      <c r="AQ234" s="47" t="n"/>
      <c r="AR234" s="47" t="n"/>
      <c r="AS234" s="47" t="n"/>
      <c r="AT234" s="47" t="n"/>
      <c r="AU234" s="47" t="n"/>
      <c r="AV234" s="47" t="n"/>
      <c r="AW234" s="52" t="n"/>
    </row>
    <row r="235">
      <c r="A235" s="48" t="n"/>
      <c r="B235" s="52" t="n"/>
      <c r="C235" s="47">
        <f>IF(B235="","",IFERROR(INDEX('隊員マスタ'!$B$5:$B$204,MATCH(B235&amp;"",'隊員マスタ'!$F$5:$F$204,0)),IF(AK235="","番号なし",AK235)))</f>
        <v/>
      </c>
      <c r="D235" s="47" t="n"/>
      <c r="E235" s="47" t="n"/>
      <c r="F235" s="47" t="n"/>
      <c r="G235" s="47" t="n"/>
      <c r="H235" s="47" t="n"/>
      <c r="I235" s="47" t="n"/>
      <c r="J235" s="47" t="n"/>
      <c r="K235" s="47" t="n"/>
      <c r="L235" s="47" t="n"/>
      <c r="M235" s="47" t="n"/>
      <c r="N235" s="47" t="n"/>
      <c r="O235" s="47" t="n"/>
      <c r="P235" s="47" t="n"/>
      <c r="Q235" s="47" t="n"/>
      <c r="R235" s="47" t="n"/>
      <c r="S235" s="47" t="n"/>
      <c r="T235" s="47" t="n"/>
      <c r="U235" s="53" t="n"/>
      <c r="V235" s="53" t="n"/>
      <c r="W235" s="47" t="n"/>
      <c r="X235" s="47" t="n"/>
      <c r="Y235" s="47" t="n"/>
      <c r="Z235" s="47" t="n"/>
      <c r="AA235" s="47" t="n"/>
      <c r="AB235" s="47" t="n"/>
      <c r="AC235" s="47" t="n"/>
      <c r="AD235" s="47" t="n"/>
      <c r="AE235" s="47" t="n"/>
      <c r="AF235" s="20">
        <f>IF(A235="","",YEAR(EDATE(A235,-3)))</f>
        <v/>
      </c>
      <c r="AG235" s="20">
        <f>IF(OR(B235="",'経歴簿'!$C$4=""),"",IF(B235&amp;""='経歴簿'!$C$4&amp;"",MAX($AG$4:AG234)+1,""))</f>
        <v/>
      </c>
      <c r="AH235" s="20">
        <f>IF(A235="",0,IF(AND(OR('CSV抽出'!$C$4="",A235&gt;='CSV抽出'!$C$4),OR('CSV抽出'!$C$5="",A235&lt;='CSV抽出'!$C$5),OR('CSV抽出'!$C$6="すべて",'CSV抽出'!$C$6="",D235='CSV抽出'!$C$6),OR('CSV抽出'!$C$7="",B235&amp;""='CSV抽出'!$C$7&amp;"")),1,0))</f>
        <v/>
      </c>
      <c r="AI235" s="20">
        <f>IF(AH235=1,SUM($AH$5:AH235),"")</f>
        <v/>
      </c>
      <c r="AJ235" s="20">
        <f>IF(OR(S235="",'報告書'!$C$4=""),"",IF(S235&amp;""='報告書'!$C$4&amp;"",COUNTIF($S$5:S235,'報告書'!$C$4),""))</f>
        <v/>
      </c>
      <c r="AK235" s="20" t="n"/>
      <c r="AL235" s="47" t="n"/>
      <c r="AM235" s="47" t="n"/>
      <c r="AN235" s="53" t="n"/>
      <c r="AO235" s="47" t="n"/>
      <c r="AP235" s="47" t="n"/>
      <c r="AQ235" s="47" t="n"/>
      <c r="AR235" s="47" t="n"/>
      <c r="AS235" s="47" t="n"/>
      <c r="AT235" s="47" t="n"/>
      <c r="AU235" s="47" t="n"/>
      <c r="AV235" s="47" t="n"/>
      <c r="AW235" s="52" t="n"/>
    </row>
    <row r="236">
      <c r="A236" s="48" t="n"/>
      <c r="B236" s="52" t="n"/>
      <c r="C236" s="47">
        <f>IF(B236="","",IFERROR(INDEX('隊員マスタ'!$B$5:$B$204,MATCH(B236&amp;"",'隊員マスタ'!$F$5:$F$204,0)),IF(AK236="","番号なし",AK236)))</f>
        <v/>
      </c>
      <c r="D236" s="47" t="n"/>
      <c r="E236" s="47" t="n"/>
      <c r="F236" s="47" t="n"/>
      <c r="G236" s="47" t="n"/>
      <c r="H236" s="47" t="n"/>
      <c r="I236" s="47" t="n"/>
      <c r="J236" s="47" t="n"/>
      <c r="K236" s="47" t="n"/>
      <c r="L236" s="47" t="n"/>
      <c r="M236" s="47" t="n"/>
      <c r="N236" s="47" t="n"/>
      <c r="O236" s="47" t="n"/>
      <c r="P236" s="47" t="n"/>
      <c r="Q236" s="47" t="n"/>
      <c r="R236" s="47" t="n"/>
      <c r="S236" s="47" t="n"/>
      <c r="T236" s="47" t="n"/>
      <c r="U236" s="53" t="n"/>
      <c r="V236" s="53" t="n"/>
      <c r="W236" s="47" t="n"/>
      <c r="X236" s="47" t="n"/>
      <c r="Y236" s="47" t="n"/>
      <c r="Z236" s="47" t="n"/>
      <c r="AA236" s="47" t="n"/>
      <c r="AB236" s="47" t="n"/>
      <c r="AC236" s="47" t="n"/>
      <c r="AD236" s="47" t="n"/>
      <c r="AE236" s="47" t="n"/>
      <c r="AF236" s="20">
        <f>IF(A236="","",YEAR(EDATE(A236,-3)))</f>
        <v/>
      </c>
      <c r="AG236" s="20">
        <f>IF(OR(B236="",'経歴簿'!$C$4=""),"",IF(B236&amp;""='経歴簿'!$C$4&amp;"",MAX($AG$4:AG235)+1,""))</f>
        <v/>
      </c>
      <c r="AH236" s="20">
        <f>IF(A236="",0,IF(AND(OR('CSV抽出'!$C$4="",A236&gt;='CSV抽出'!$C$4),OR('CSV抽出'!$C$5="",A236&lt;='CSV抽出'!$C$5),OR('CSV抽出'!$C$6="すべて",'CSV抽出'!$C$6="",D236='CSV抽出'!$C$6),OR('CSV抽出'!$C$7="",B236&amp;""='CSV抽出'!$C$7&amp;"")),1,0))</f>
        <v/>
      </c>
      <c r="AI236" s="20">
        <f>IF(AH236=1,SUM($AH$5:AH236),"")</f>
        <v/>
      </c>
      <c r="AJ236" s="20">
        <f>IF(OR(S236="",'報告書'!$C$4=""),"",IF(S236&amp;""='報告書'!$C$4&amp;"",COUNTIF($S$5:S236,'報告書'!$C$4),""))</f>
        <v/>
      </c>
      <c r="AK236" s="20" t="n"/>
      <c r="AL236" s="47" t="n"/>
      <c r="AM236" s="47" t="n"/>
      <c r="AN236" s="53" t="n"/>
      <c r="AO236" s="47" t="n"/>
      <c r="AP236" s="47" t="n"/>
      <c r="AQ236" s="47" t="n"/>
      <c r="AR236" s="47" t="n"/>
      <c r="AS236" s="47" t="n"/>
      <c r="AT236" s="47" t="n"/>
      <c r="AU236" s="47" t="n"/>
      <c r="AV236" s="47" t="n"/>
      <c r="AW236" s="52" t="n"/>
    </row>
    <row r="237">
      <c r="A237" s="48" t="n"/>
      <c r="B237" s="52" t="n"/>
      <c r="C237" s="47">
        <f>IF(B237="","",IFERROR(INDEX('隊員マスタ'!$B$5:$B$204,MATCH(B237&amp;"",'隊員マスタ'!$F$5:$F$204,0)),IF(AK237="","番号なし",AK237)))</f>
        <v/>
      </c>
      <c r="D237" s="47" t="n"/>
      <c r="E237" s="47" t="n"/>
      <c r="F237" s="47" t="n"/>
      <c r="G237" s="47" t="n"/>
      <c r="H237" s="47" t="n"/>
      <c r="I237" s="47" t="n"/>
      <c r="J237" s="47" t="n"/>
      <c r="K237" s="47" t="n"/>
      <c r="L237" s="47" t="n"/>
      <c r="M237" s="47" t="n"/>
      <c r="N237" s="47" t="n"/>
      <c r="O237" s="47" t="n"/>
      <c r="P237" s="47" t="n"/>
      <c r="Q237" s="47" t="n"/>
      <c r="R237" s="47" t="n"/>
      <c r="S237" s="47" t="n"/>
      <c r="T237" s="47" t="n"/>
      <c r="U237" s="53" t="n"/>
      <c r="V237" s="53" t="n"/>
      <c r="W237" s="47" t="n"/>
      <c r="X237" s="47" t="n"/>
      <c r="Y237" s="47" t="n"/>
      <c r="Z237" s="47" t="n"/>
      <c r="AA237" s="47" t="n"/>
      <c r="AB237" s="47" t="n"/>
      <c r="AC237" s="47" t="n"/>
      <c r="AD237" s="47" t="n"/>
      <c r="AE237" s="47" t="n"/>
      <c r="AF237" s="20">
        <f>IF(A237="","",YEAR(EDATE(A237,-3)))</f>
        <v/>
      </c>
      <c r="AG237" s="20">
        <f>IF(OR(B237="",'経歴簿'!$C$4=""),"",IF(B237&amp;""='経歴簿'!$C$4&amp;"",MAX($AG$4:AG236)+1,""))</f>
        <v/>
      </c>
      <c r="AH237" s="20">
        <f>IF(A237="",0,IF(AND(OR('CSV抽出'!$C$4="",A237&gt;='CSV抽出'!$C$4),OR('CSV抽出'!$C$5="",A237&lt;='CSV抽出'!$C$5),OR('CSV抽出'!$C$6="すべて",'CSV抽出'!$C$6="",D237='CSV抽出'!$C$6),OR('CSV抽出'!$C$7="",B237&amp;""='CSV抽出'!$C$7&amp;"")),1,0))</f>
        <v/>
      </c>
      <c r="AI237" s="20">
        <f>IF(AH237=1,SUM($AH$5:AH237),"")</f>
        <v/>
      </c>
      <c r="AJ237" s="20">
        <f>IF(OR(S237="",'報告書'!$C$4=""),"",IF(S237&amp;""='報告書'!$C$4&amp;"",COUNTIF($S$5:S237,'報告書'!$C$4),""))</f>
        <v/>
      </c>
      <c r="AK237" s="20" t="n"/>
      <c r="AL237" s="47" t="n"/>
      <c r="AM237" s="47" t="n"/>
      <c r="AN237" s="53" t="n"/>
      <c r="AO237" s="47" t="n"/>
      <c r="AP237" s="47" t="n"/>
      <c r="AQ237" s="47" t="n"/>
      <c r="AR237" s="47" t="n"/>
      <c r="AS237" s="47" t="n"/>
      <c r="AT237" s="47" t="n"/>
      <c r="AU237" s="47" t="n"/>
      <c r="AV237" s="47" t="n"/>
      <c r="AW237" s="52" t="n"/>
    </row>
    <row r="238">
      <c r="A238" s="48" t="n"/>
      <c r="B238" s="52" t="n"/>
      <c r="C238" s="47">
        <f>IF(B238="","",IFERROR(INDEX('隊員マスタ'!$B$5:$B$204,MATCH(B238&amp;"",'隊員マスタ'!$F$5:$F$204,0)),IF(AK238="","番号なし",AK238)))</f>
        <v/>
      </c>
      <c r="D238" s="47" t="n"/>
      <c r="E238" s="47" t="n"/>
      <c r="F238" s="47" t="n"/>
      <c r="G238" s="47" t="n"/>
      <c r="H238" s="47" t="n"/>
      <c r="I238" s="47" t="n"/>
      <c r="J238" s="47" t="n"/>
      <c r="K238" s="47" t="n"/>
      <c r="L238" s="47" t="n"/>
      <c r="M238" s="47" t="n"/>
      <c r="N238" s="47" t="n"/>
      <c r="O238" s="47" t="n"/>
      <c r="P238" s="47" t="n"/>
      <c r="Q238" s="47" t="n"/>
      <c r="R238" s="47" t="n"/>
      <c r="S238" s="47" t="n"/>
      <c r="T238" s="47" t="n"/>
      <c r="U238" s="53" t="n"/>
      <c r="V238" s="53" t="n"/>
      <c r="W238" s="47" t="n"/>
      <c r="X238" s="47" t="n"/>
      <c r="Y238" s="47" t="n"/>
      <c r="Z238" s="47" t="n"/>
      <c r="AA238" s="47" t="n"/>
      <c r="AB238" s="47" t="n"/>
      <c r="AC238" s="47" t="n"/>
      <c r="AD238" s="47" t="n"/>
      <c r="AE238" s="47" t="n"/>
      <c r="AF238" s="20">
        <f>IF(A238="","",YEAR(EDATE(A238,-3)))</f>
        <v/>
      </c>
      <c r="AG238" s="20">
        <f>IF(OR(B238="",'経歴簿'!$C$4=""),"",IF(B238&amp;""='経歴簿'!$C$4&amp;"",MAX($AG$4:AG237)+1,""))</f>
        <v/>
      </c>
      <c r="AH238" s="20">
        <f>IF(A238="",0,IF(AND(OR('CSV抽出'!$C$4="",A238&gt;='CSV抽出'!$C$4),OR('CSV抽出'!$C$5="",A238&lt;='CSV抽出'!$C$5),OR('CSV抽出'!$C$6="すべて",'CSV抽出'!$C$6="",D238='CSV抽出'!$C$6),OR('CSV抽出'!$C$7="",B238&amp;""='CSV抽出'!$C$7&amp;"")),1,0))</f>
        <v/>
      </c>
      <c r="AI238" s="20">
        <f>IF(AH238=1,SUM($AH$5:AH238),"")</f>
        <v/>
      </c>
      <c r="AJ238" s="20">
        <f>IF(OR(S238="",'報告書'!$C$4=""),"",IF(S238&amp;""='報告書'!$C$4&amp;"",COUNTIF($S$5:S238,'報告書'!$C$4),""))</f>
        <v/>
      </c>
      <c r="AK238" s="20" t="n"/>
      <c r="AL238" s="47" t="n"/>
      <c r="AM238" s="47" t="n"/>
      <c r="AN238" s="53" t="n"/>
      <c r="AO238" s="47" t="n"/>
      <c r="AP238" s="47" t="n"/>
      <c r="AQ238" s="47" t="n"/>
      <c r="AR238" s="47" t="n"/>
      <c r="AS238" s="47" t="n"/>
      <c r="AT238" s="47" t="n"/>
      <c r="AU238" s="47" t="n"/>
      <c r="AV238" s="47" t="n"/>
      <c r="AW238" s="52" t="n"/>
    </row>
    <row r="239">
      <c r="A239" s="48" t="n"/>
      <c r="B239" s="52" t="n"/>
      <c r="C239" s="47">
        <f>IF(B239="","",IFERROR(INDEX('隊員マスタ'!$B$5:$B$204,MATCH(B239&amp;"",'隊員マスタ'!$F$5:$F$204,0)),IF(AK239="","番号なし",AK239)))</f>
        <v/>
      </c>
      <c r="D239" s="47" t="n"/>
      <c r="E239" s="47" t="n"/>
      <c r="F239" s="47" t="n"/>
      <c r="G239" s="47" t="n"/>
      <c r="H239" s="47" t="n"/>
      <c r="I239" s="47" t="n"/>
      <c r="J239" s="47" t="n"/>
      <c r="K239" s="47" t="n"/>
      <c r="L239" s="47" t="n"/>
      <c r="M239" s="47" t="n"/>
      <c r="N239" s="47" t="n"/>
      <c r="O239" s="47" t="n"/>
      <c r="P239" s="47" t="n"/>
      <c r="Q239" s="47" t="n"/>
      <c r="R239" s="47" t="n"/>
      <c r="S239" s="47" t="n"/>
      <c r="T239" s="47" t="n"/>
      <c r="U239" s="53" t="n"/>
      <c r="V239" s="53" t="n"/>
      <c r="W239" s="47" t="n"/>
      <c r="X239" s="47" t="n"/>
      <c r="Y239" s="47" t="n"/>
      <c r="Z239" s="47" t="n"/>
      <c r="AA239" s="47" t="n"/>
      <c r="AB239" s="47" t="n"/>
      <c r="AC239" s="47" t="n"/>
      <c r="AD239" s="47" t="n"/>
      <c r="AE239" s="47" t="n"/>
      <c r="AF239" s="20">
        <f>IF(A239="","",YEAR(EDATE(A239,-3)))</f>
        <v/>
      </c>
      <c r="AG239" s="20">
        <f>IF(OR(B239="",'経歴簿'!$C$4=""),"",IF(B239&amp;""='経歴簿'!$C$4&amp;"",MAX($AG$4:AG238)+1,""))</f>
        <v/>
      </c>
      <c r="AH239" s="20">
        <f>IF(A239="",0,IF(AND(OR('CSV抽出'!$C$4="",A239&gt;='CSV抽出'!$C$4),OR('CSV抽出'!$C$5="",A239&lt;='CSV抽出'!$C$5),OR('CSV抽出'!$C$6="すべて",'CSV抽出'!$C$6="",D239='CSV抽出'!$C$6),OR('CSV抽出'!$C$7="",B239&amp;""='CSV抽出'!$C$7&amp;"")),1,0))</f>
        <v/>
      </c>
      <c r="AI239" s="20">
        <f>IF(AH239=1,SUM($AH$5:AH239),"")</f>
        <v/>
      </c>
      <c r="AJ239" s="20">
        <f>IF(OR(S239="",'報告書'!$C$4=""),"",IF(S239&amp;""='報告書'!$C$4&amp;"",COUNTIF($S$5:S239,'報告書'!$C$4),""))</f>
        <v/>
      </c>
      <c r="AK239" s="20" t="n"/>
      <c r="AL239" s="47" t="n"/>
      <c r="AM239" s="47" t="n"/>
      <c r="AN239" s="53" t="n"/>
      <c r="AO239" s="47" t="n"/>
      <c r="AP239" s="47" t="n"/>
      <c r="AQ239" s="47" t="n"/>
      <c r="AR239" s="47" t="n"/>
      <c r="AS239" s="47" t="n"/>
      <c r="AT239" s="47" t="n"/>
      <c r="AU239" s="47" t="n"/>
      <c r="AV239" s="47" t="n"/>
      <c r="AW239" s="52" t="n"/>
    </row>
    <row r="240">
      <c r="A240" s="48" t="n"/>
      <c r="B240" s="52" t="n"/>
      <c r="C240" s="47">
        <f>IF(B240="","",IFERROR(INDEX('隊員マスタ'!$B$5:$B$204,MATCH(B240&amp;"",'隊員マスタ'!$F$5:$F$204,0)),IF(AK240="","番号なし",AK240)))</f>
        <v/>
      </c>
      <c r="D240" s="47" t="n"/>
      <c r="E240" s="47" t="n"/>
      <c r="F240" s="47" t="n"/>
      <c r="G240" s="47" t="n"/>
      <c r="H240" s="47" t="n"/>
      <c r="I240" s="47" t="n"/>
      <c r="J240" s="47" t="n"/>
      <c r="K240" s="47" t="n"/>
      <c r="L240" s="47" t="n"/>
      <c r="M240" s="47" t="n"/>
      <c r="N240" s="47" t="n"/>
      <c r="O240" s="47" t="n"/>
      <c r="P240" s="47" t="n"/>
      <c r="Q240" s="47" t="n"/>
      <c r="R240" s="47" t="n"/>
      <c r="S240" s="47" t="n"/>
      <c r="T240" s="47" t="n"/>
      <c r="U240" s="53" t="n"/>
      <c r="V240" s="53" t="n"/>
      <c r="W240" s="47" t="n"/>
      <c r="X240" s="47" t="n"/>
      <c r="Y240" s="47" t="n"/>
      <c r="Z240" s="47" t="n"/>
      <c r="AA240" s="47" t="n"/>
      <c r="AB240" s="47" t="n"/>
      <c r="AC240" s="47" t="n"/>
      <c r="AD240" s="47" t="n"/>
      <c r="AE240" s="47" t="n"/>
      <c r="AF240" s="20">
        <f>IF(A240="","",YEAR(EDATE(A240,-3)))</f>
        <v/>
      </c>
      <c r="AG240" s="20">
        <f>IF(OR(B240="",'経歴簿'!$C$4=""),"",IF(B240&amp;""='経歴簿'!$C$4&amp;"",MAX($AG$4:AG239)+1,""))</f>
        <v/>
      </c>
      <c r="AH240" s="20">
        <f>IF(A240="",0,IF(AND(OR('CSV抽出'!$C$4="",A240&gt;='CSV抽出'!$C$4),OR('CSV抽出'!$C$5="",A240&lt;='CSV抽出'!$C$5),OR('CSV抽出'!$C$6="すべて",'CSV抽出'!$C$6="",D240='CSV抽出'!$C$6),OR('CSV抽出'!$C$7="",B240&amp;""='CSV抽出'!$C$7&amp;"")),1,0))</f>
        <v/>
      </c>
      <c r="AI240" s="20">
        <f>IF(AH240=1,SUM($AH$5:AH240),"")</f>
        <v/>
      </c>
      <c r="AJ240" s="20">
        <f>IF(OR(S240="",'報告書'!$C$4=""),"",IF(S240&amp;""='報告書'!$C$4&amp;"",COUNTIF($S$5:S240,'報告書'!$C$4),""))</f>
        <v/>
      </c>
      <c r="AK240" s="20" t="n"/>
      <c r="AL240" s="47" t="n"/>
      <c r="AM240" s="47" t="n"/>
      <c r="AN240" s="53" t="n"/>
      <c r="AO240" s="47" t="n"/>
      <c r="AP240" s="47" t="n"/>
      <c r="AQ240" s="47" t="n"/>
      <c r="AR240" s="47" t="n"/>
      <c r="AS240" s="47" t="n"/>
      <c r="AT240" s="47" t="n"/>
      <c r="AU240" s="47" t="n"/>
      <c r="AV240" s="47" t="n"/>
      <c r="AW240" s="52" t="n"/>
    </row>
    <row r="241">
      <c r="A241" s="48" t="n"/>
      <c r="B241" s="52" t="n"/>
      <c r="C241" s="47">
        <f>IF(B241="","",IFERROR(INDEX('隊員マスタ'!$B$5:$B$204,MATCH(B241&amp;"",'隊員マスタ'!$F$5:$F$204,0)),IF(AK241="","番号なし",AK241)))</f>
        <v/>
      </c>
      <c r="D241" s="47" t="n"/>
      <c r="E241" s="47" t="n"/>
      <c r="F241" s="47" t="n"/>
      <c r="G241" s="47" t="n"/>
      <c r="H241" s="47" t="n"/>
      <c r="I241" s="47" t="n"/>
      <c r="J241" s="47" t="n"/>
      <c r="K241" s="47" t="n"/>
      <c r="L241" s="47" t="n"/>
      <c r="M241" s="47" t="n"/>
      <c r="N241" s="47" t="n"/>
      <c r="O241" s="47" t="n"/>
      <c r="P241" s="47" t="n"/>
      <c r="Q241" s="47" t="n"/>
      <c r="R241" s="47" t="n"/>
      <c r="S241" s="47" t="n"/>
      <c r="T241" s="47" t="n"/>
      <c r="U241" s="53" t="n"/>
      <c r="V241" s="53" t="n"/>
      <c r="W241" s="47" t="n"/>
      <c r="X241" s="47" t="n"/>
      <c r="Y241" s="47" t="n"/>
      <c r="Z241" s="47" t="n"/>
      <c r="AA241" s="47" t="n"/>
      <c r="AB241" s="47" t="n"/>
      <c r="AC241" s="47" t="n"/>
      <c r="AD241" s="47" t="n"/>
      <c r="AE241" s="47" t="n"/>
      <c r="AF241" s="20">
        <f>IF(A241="","",YEAR(EDATE(A241,-3)))</f>
        <v/>
      </c>
      <c r="AG241" s="20">
        <f>IF(OR(B241="",'経歴簿'!$C$4=""),"",IF(B241&amp;""='経歴簿'!$C$4&amp;"",MAX($AG$4:AG240)+1,""))</f>
        <v/>
      </c>
      <c r="AH241" s="20">
        <f>IF(A241="",0,IF(AND(OR('CSV抽出'!$C$4="",A241&gt;='CSV抽出'!$C$4),OR('CSV抽出'!$C$5="",A241&lt;='CSV抽出'!$C$5),OR('CSV抽出'!$C$6="すべて",'CSV抽出'!$C$6="",D241='CSV抽出'!$C$6),OR('CSV抽出'!$C$7="",B241&amp;""='CSV抽出'!$C$7&amp;"")),1,0))</f>
        <v/>
      </c>
      <c r="AI241" s="20">
        <f>IF(AH241=1,SUM($AH$5:AH241),"")</f>
        <v/>
      </c>
      <c r="AJ241" s="20">
        <f>IF(OR(S241="",'報告書'!$C$4=""),"",IF(S241&amp;""='報告書'!$C$4&amp;"",COUNTIF($S$5:S241,'報告書'!$C$4),""))</f>
        <v/>
      </c>
      <c r="AK241" s="20" t="n"/>
      <c r="AL241" s="47" t="n"/>
      <c r="AM241" s="47" t="n"/>
      <c r="AN241" s="53" t="n"/>
      <c r="AO241" s="47" t="n"/>
      <c r="AP241" s="47" t="n"/>
      <c r="AQ241" s="47" t="n"/>
      <c r="AR241" s="47" t="n"/>
      <c r="AS241" s="47" t="n"/>
      <c r="AT241" s="47" t="n"/>
      <c r="AU241" s="47" t="n"/>
      <c r="AV241" s="47" t="n"/>
      <c r="AW241" s="52" t="n"/>
    </row>
    <row r="242">
      <c r="A242" s="48" t="n"/>
      <c r="B242" s="52" t="n"/>
      <c r="C242" s="47">
        <f>IF(B242="","",IFERROR(INDEX('隊員マスタ'!$B$5:$B$204,MATCH(B242&amp;"",'隊員マスタ'!$F$5:$F$204,0)),IF(AK242="","番号なし",AK242)))</f>
        <v/>
      </c>
      <c r="D242" s="47" t="n"/>
      <c r="E242" s="47" t="n"/>
      <c r="F242" s="47" t="n"/>
      <c r="G242" s="47" t="n"/>
      <c r="H242" s="47" t="n"/>
      <c r="I242" s="47" t="n"/>
      <c r="J242" s="47" t="n"/>
      <c r="K242" s="47" t="n"/>
      <c r="L242" s="47" t="n"/>
      <c r="M242" s="47" t="n"/>
      <c r="N242" s="47" t="n"/>
      <c r="O242" s="47" t="n"/>
      <c r="P242" s="47" t="n"/>
      <c r="Q242" s="47" t="n"/>
      <c r="R242" s="47" t="n"/>
      <c r="S242" s="47" t="n"/>
      <c r="T242" s="47" t="n"/>
      <c r="U242" s="53" t="n"/>
      <c r="V242" s="53" t="n"/>
      <c r="W242" s="47" t="n"/>
      <c r="X242" s="47" t="n"/>
      <c r="Y242" s="47" t="n"/>
      <c r="Z242" s="47" t="n"/>
      <c r="AA242" s="47" t="n"/>
      <c r="AB242" s="47" t="n"/>
      <c r="AC242" s="47" t="n"/>
      <c r="AD242" s="47" t="n"/>
      <c r="AE242" s="47" t="n"/>
      <c r="AF242" s="20">
        <f>IF(A242="","",YEAR(EDATE(A242,-3)))</f>
        <v/>
      </c>
      <c r="AG242" s="20">
        <f>IF(OR(B242="",'経歴簿'!$C$4=""),"",IF(B242&amp;""='経歴簿'!$C$4&amp;"",MAX($AG$4:AG241)+1,""))</f>
        <v/>
      </c>
      <c r="AH242" s="20">
        <f>IF(A242="",0,IF(AND(OR('CSV抽出'!$C$4="",A242&gt;='CSV抽出'!$C$4),OR('CSV抽出'!$C$5="",A242&lt;='CSV抽出'!$C$5),OR('CSV抽出'!$C$6="すべて",'CSV抽出'!$C$6="",D242='CSV抽出'!$C$6),OR('CSV抽出'!$C$7="",B242&amp;""='CSV抽出'!$C$7&amp;"")),1,0))</f>
        <v/>
      </c>
      <c r="AI242" s="20">
        <f>IF(AH242=1,SUM($AH$5:AH242),"")</f>
        <v/>
      </c>
      <c r="AJ242" s="20">
        <f>IF(OR(S242="",'報告書'!$C$4=""),"",IF(S242&amp;""='報告書'!$C$4&amp;"",COUNTIF($S$5:S242,'報告書'!$C$4),""))</f>
        <v/>
      </c>
      <c r="AK242" s="20" t="n"/>
      <c r="AL242" s="47" t="n"/>
      <c r="AM242" s="47" t="n"/>
      <c r="AN242" s="53" t="n"/>
      <c r="AO242" s="47" t="n"/>
      <c r="AP242" s="47" t="n"/>
      <c r="AQ242" s="47" t="n"/>
      <c r="AR242" s="47" t="n"/>
      <c r="AS242" s="47" t="n"/>
      <c r="AT242" s="47" t="n"/>
      <c r="AU242" s="47" t="n"/>
      <c r="AV242" s="47" t="n"/>
      <c r="AW242" s="52" t="n"/>
    </row>
    <row r="243">
      <c r="A243" s="48" t="n"/>
      <c r="B243" s="52" t="n"/>
      <c r="C243" s="47">
        <f>IF(B243="","",IFERROR(INDEX('隊員マスタ'!$B$5:$B$204,MATCH(B243&amp;"",'隊員マスタ'!$F$5:$F$204,0)),IF(AK243="","番号なし",AK243)))</f>
        <v/>
      </c>
      <c r="D243" s="47" t="n"/>
      <c r="E243" s="47" t="n"/>
      <c r="F243" s="47" t="n"/>
      <c r="G243" s="47" t="n"/>
      <c r="H243" s="47" t="n"/>
      <c r="I243" s="47" t="n"/>
      <c r="J243" s="47" t="n"/>
      <c r="K243" s="47" t="n"/>
      <c r="L243" s="47" t="n"/>
      <c r="M243" s="47" t="n"/>
      <c r="N243" s="47" t="n"/>
      <c r="O243" s="47" t="n"/>
      <c r="P243" s="47" t="n"/>
      <c r="Q243" s="47" t="n"/>
      <c r="R243" s="47" t="n"/>
      <c r="S243" s="47" t="n"/>
      <c r="T243" s="47" t="n"/>
      <c r="U243" s="53" t="n"/>
      <c r="V243" s="53" t="n"/>
      <c r="W243" s="47" t="n"/>
      <c r="X243" s="47" t="n"/>
      <c r="Y243" s="47" t="n"/>
      <c r="Z243" s="47" t="n"/>
      <c r="AA243" s="47" t="n"/>
      <c r="AB243" s="47" t="n"/>
      <c r="AC243" s="47" t="n"/>
      <c r="AD243" s="47" t="n"/>
      <c r="AE243" s="47" t="n"/>
      <c r="AF243" s="20">
        <f>IF(A243="","",YEAR(EDATE(A243,-3)))</f>
        <v/>
      </c>
      <c r="AG243" s="20">
        <f>IF(OR(B243="",'経歴簿'!$C$4=""),"",IF(B243&amp;""='経歴簿'!$C$4&amp;"",MAX($AG$4:AG242)+1,""))</f>
        <v/>
      </c>
      <c r="AH243" s="20">
        <f>IF(A243="",0,IF(AND(OR('CSV抽出'!$C$4="",A243&gt;='CSV抽出'!$C$4),OR('CSV抽出'!$C$5="",A243&lt;='CSV抽出'!$C$5),OR('CSV抽出'!$C$6="すべて",'CSV抽出'!$C$6="",D243='CSV抽出'!$C$6),OR('CSV抽出'!$C$7="",B243&amp;""='CSV抽出'!$C$7&amp;"")),1,0))</f>
        <v/>
      </c>
      <c r="AI243" s="20">
        <f>IF(AH243=1,SUM($AH$5:AH243),"")</f>
        <v/>
      </c>
      <c r="AJ243" s="20">
        <f>IF(OR(S243="",'報告書'!$C$4=""),"",IF(S243&amp;""='報告書'!$C$4&amp;"",COUNTIF($S$5:S243,'報告書'!$C$4),""))</f>
        <v/>
      </c>
      <c r="AK243" s="20" t="n"/>
      <c r="AL243" s="47" t="n"/>
      <c r="AM243" s="47" t="n"/>
      <c r="AN243" s="53" t="n"/>
      <c r="AO243" s="47" t="n"/>
      <c r="AP243" s="47" t="n"/>
      <c r="AQ243" s="47" t="n"/>
      <c r="AR243" s="47" t="n"/>
      <c r="AS243" s="47" t="n"/>
      <c r="AT243" s="47" t="n"/>
      <c r="AU243" s="47" t="n"/>
      <c r="AV243" s="47" t="n"/>
      <c r="AW243" s="52" t="n"/>
    </row>
    <row r="244">
      <c r="A244" s="48" t="n"/>
      <c r="B244" s="52" t="n"/>
      <c r="C244" s="47">
        <f>IF(B244="","",IFERROR(INDEX('隊員マスタ'!$B$5:$B$204,MATCH(B244&amp;"",'隊員マスタ'!$F$5:$F$204,0)),IF(AK244="","番号なし",AK244)))</f>
        <v/>
      </c>
      <c r="D244" s="47" t="n"/>
      <c r="E244" s="47" t="n"/>
      <c r="F244" s="47" t="n"/>
      <c r="G244" s="47" t="n"/>
      <c r="H244" s="47" t="n"/>
      <c r="I244" s="47" t="n"/>
      <c r="J244" s="47" t="n"/>
      <c r="K244" s="47" t="n"/>
      <c r="L244" s="47" t="n"/>
      <c r="M244" s="47" t="n"/>
      <c r="N244" s="47" t="n"/>
      <c r="O244" s="47" t="n"/>
      <c r="P244" s="47" t="n"/>
      <c r="Q244" s="47" t="n"/>
      <c r="R244" s="47" t="n"/>
      <c r="S244" s="47" t="n"/>
      <c r="T244" s="47" t="n"/>
      <c r="U244" s="53" t="n"/>
      <c r="V244" s="53" t="n"/>
      <c r="W244" s="47" t="n"/>
      <c r="X244" s="47" t="n"/>
      <c r="Y244" s="47" t="n"/>
      <c r="Z244" s="47" t="n"/>
      <c r="AA244" s="47" t="n"/>
      <c r="AB244" s="47" t="n"/>
      <c r="AC244" s="47" t="n"/>
      <c r="AD244" s="47" t="n"/>
      <c r="AE244" s="47" t="n"/>
      <c r="AF244" s="20">
        <f>IF(A244="","",YEAR(EDATE(A244,-3)))</f>
        <v/>
      </c>
      <c r="AG244" s="20">
        <f>IF(OR(B244="",'経歴簿'!$C$4=""),"",IF(B244&amp;""='経歴簿'!$C$4&amp;"",MAX($AG$4:AG243)+1,""))</f>
        <v/>
      </c>
      <c r="AH244" s="20">
        <f>IF(A244="",0,IF(AND(OR('CSV抽出'!$C$4="",A244&gt;='CSV抽出'!$C$4),OR('CSV抽出'!$C$5="",A244&lt;='CSV抽出'!$C$5),OR('CSV抽出'!$C$6="すべて",'CSV抽出'!$C$6="",D244='CSV抽出'!$C$6),OR('CSV抽出'!$C$7="",B244&amp;""='CSV抽出'!$C$7&amp;"")),1,0))</f>
        <v/>
      </c>
      <c r="AI244" s="20">
        <f>IF(AH244=1,SUM($AH$5:AH244),"")</f>
        <v/>
      </c>
      <c r="AJ244" s="20">
        <f>IF(OR(S244="",'報告書'!$C$4=""),"",IF(S244&amp;""='報告書'!$C$4&amp;"",COUNTIF($S$5:S244,'報告書'!$C$4),""))</f>
        <v/>
      </c>
      <c r="AK244" s="20" t="n"/>
      <c r="AL244" s="47" t="n"/>
      <c r="AM244" s="47" t="n"/>
      <c r="AN244" s="53" t="n"/>
      <c r="AO244" s="47" t="n"/>
      <c r="AP244" s="47" t="n"/>
      <c r="AQ244" s="47" t="n"/>
      <c r="AR244" s="47" t="n"/>
      <c r="AS244" s="47" t="n"/>
      <c r="AT244" s="47" t="n"/>
      <c r="AU244" s="47" t="n"/>
      <c r="AV244" s="47" t="n"/>
      <c r="AW244" s="52" t="n"/>
    </row>
    <row r="245">
      <c r="A245" s="48" t="n"/>
      <c r="B245" s="52" t="n"/>
      <c r="C245" s="47">
        <f>IF(B245="","",IFERROR(INDEX('隊員マスタ'!$B$5:$B$204,MATCH(B245&amp;"",'隊員マスタ'!$F$5:$F$204,0)),IF(AK245="","番号なし",AK245)))</f>
        <v/>
      </c>
      <c r="D245" s="47" t="n"/>
      <c r="E245" s="47" t="n"/>
      <c r="F245" s="47" t="n"/>
      <c r="G245" s="47" t="n"/>
      <c r="H245" s="47" t="n"/>
      <c r="I245" s="47" t="n"/>
      <c r="J245" s="47" t="n"/>
      <c r="K245" s="47" t="n"/>
      <c r="L245" s="47" t="n"/>
      <c r="M245" s="47" t="n"/>
      <c r="N245" s="47" t="n"/>
      <c r="O245" s="47" t="n"/>
      <c r="P245" s="47" t="n"/>
      <c r="Q245" s="47" t="n"/>
      <c r="R245" s="47" t="n"/>
      <c r="S245" s="47" t="n"/>
      <c r="T245" s="47" t="n"/>
      <c r="U245" s="53" t="n"/>
      <c r="V245" s="53" t="n"/>
      <c r="W245" s="47" t="n"/>
      <c r="X245" s="47" t="n"/>
      <c r="Y245" s="47" t="n"/>
      <c r="Z245" s="47" t="n"/>
      <c r="AA245" s="47" t="n"/>
      <c r="AB245" s="47" t="n"/>
      <c r="AC245" s="47" t="n"/>
      <c r="AD245" s="47" t="n"/>
      <c r="AE245" s="47" t="n"/>
      <c r="AF245" s="20">
        <f>IF(A245="","",YEAR(EDATE(A245,-3)))</f>
        <v/>
      </c>
      <c r="AG245" s="20">
        <f>IF(OR(B245="",'経歴簿'!$C$4=""),"",IF(B245&amp;""='経歴簿'!$C$4&amp;"",MAX($AG$4:AG244)+1,""))</f>
        <v/>
      </c>
      <c r="AH245" s="20">
        <f>IF(A245="",0,IF(AND(OR('CSV抽出'!$C$4="",A245&gt;='CSV抽出'!$C$4),OR('CSV抽出'!$C$5="",A245&lt;='CSV抽出'!$C$5),OR('CSV抽出'!$C$6="すべて",'CSV抽出'!$C$6="",D245='CSV抽出'!$C$6),OR('CSV抽出'!$C$7="",B245&amp;""='CSV抽出'!$C$7&amp;"")),1,0))</f>
        <v/>
      </c>
      <c r="AI245" s="20">
        <f>IF(AH245=1,SUM($AH$5:AH245),"")</f>
        <v/>
      </c>
      <c r="AJ245" s="20">
        <f>IF(OR(S245="",'報告書'!$C$4=""),"",IF(S245&amp;""='報告書'!$C$4&amp;"",COUNTIF($S$5:S245,'報告書'!$C$4),""))</f>
        <v/>
      </c>
      <c r="AK245" s="20" t="n"/>
      <c r="AL245" s="47" t="n"/>
      <c r="AM245" s="47" t="n"/>
      <c r="AN245" s="53" t="n"/>
      <c r="AO245" s="47" t="n"/>
      <c r="AP245" s="47" t="n"/>
      <c r="AQ245" s="47" t="n"/>
      <c r="AR245" s="47" t="n"/>
      <c r="AS245" s="47" t="n"/>
      <c r="AT245" s="47" t="n"/>
      <c r="AU245" s="47" t="n"/>
      <c r="AV245" s="47" t="n"/>
      <c r="AW245" s="52" t="n"/>
    </row>
    <row r="246">
      <c r="A246" s="48" t="n"/>
      <c r="B246" s="52" t="n"/>
      <c r="C246" s="47">
        <f>IF(B246="","",IFERROR(INDEX('隊員マスタ'!$B$5:$B$204,MATCH(B246&amp;"",'隊員マスタ'!$F$5:$F$204,0)),IF(AK246="","番号なし",AK246)))</f>
        <v/>
      </c>
      <c r="D246" s="47" t="n"/>
      <c r="E246" s="47" t="n"/>
      <c r="F246" s="47" t="n"/>
      <c r="G246" s="47" t="n"/>
      <c r="H246" s="47" t="n"/>
      <c r="I246" s="47" t="n"/>
      <c r="J246" s="47" t="n"/>
      <c r="K246" s="47" t="n"/>
      <c r="L246" s="47" t="n"/>
      <c r="M246" s="47" t="n"/>
      <c r="N246" s="47" t="n"/>
      <c r="O246" s="47" t="n"/>
      <c r="P246" s="47" t="n"/>
      <c r="Q246" s="47" t="n"/>
      <c r="R246" s="47" t="n"/>
      <c r="S246" s="47" t="n"/>
      <c r="T246" s="47" t="n"/>
      <c r="U246" s="53" t="n"/>
      <c r="V246" s="53" t="n"/>
      <c r="W246" s="47" t="n"/>
      <c r="X246" s="47" t="n"/>
      <c r="Y246" s="47" t="n"/>
      <c r="Z246" s="47" t="n"/>
      <c r="AA246" s="47" t="n"/>
      <c r="AB246" s="47" t="n"/>
      <c r="AC246" s="47" t="n"/>
      <c r="AD246" s="47" t="n"/>
      <c r="AE246" s="47" t="n"/>
      <c r="AF246" s="20">
        <f>IF(A246="","",YEAR(EDATE(A246,-3)))</f>
        <v/>
      </c>
      <c r="AG246" s="20">
        <f>IF(OR(B246="",'経歴簿'!$C$4=""),"",IF(B246&amp;""='経歴簿'!$C$4&amp;"",MAX($AG$4:AG245)+1,""))</f>
        <v/>
      </c>
      <c r="AH246" s="20">
        <f>IF(A246="",0,IF(AND(OR('CSV抽出'!$C$4="",A246&gt;='CSV抽出'!$C$4),OR('CSV抽出'!$C$5="",A246&lt;='CSV抽出'!$C$5),OR('CSV抽出'!$C$6="すべて",'CSV抽出'!$C$6="",D246='CSV抽出'!$C$6),OR('CSV抽出'!$C$7="",B246&amp;""='CSV抽出'!$C$7&amp;"")),1,0))</f>
        <v/>
      </c>
      <c r="AI246" s="20">
        <f>IF(AH246=1,SUM($AH$5:AH246),"")</f>
        <v/>
      </c>
      <c r="AJ246" s="20">
        <f>IF(OR(S246="",'報告書'!$C$4=""),"",IF(S246&amp;""='報告書'!$C$4&amp;"",COUNTIF($S$5:S246,'報告書'!$C$4),""))</f>
        <v/>
      </c>
      <c r="AK246" s="20" t="n"/>
      <c r="AL246" s="47" t="n"/>
      <c r="AM246" s="47" t="n"/>
      <c r="AN246" s="53" t="n"/>
      <c r="AO246" s="47" t="n"/>
      <c r="AP246" s="47" t="n"/>
      <c r="AQ246" s="47" t="n"/>
      <c r="AR246" s="47" t="n"/>
      <c r="AS246" s="47" t="n"/>
      <c r="AT246" s="47" t="n"/>
      <c r="AU246" s="47" t="n"/>
      <c r="AV246" s="47" t="n"/>
      <c r="AW246" s="52" t="n"/>
    </row>
    <row r="247">
      <c r="A247" s="48" t="n"/>
      <c r="B247" s="52" t="n"/>
      <c r="C247" s="47">
        <f>IF(B247="","",IFERROR(INDEX('隊員マスタ'!$B$5:$B$204,MATCH(B247&amp;"",'隊員マスタ'!$F$5:$F$204,0)),IF(AK247="","番号なし",AK247)))</f>
        <v/>
      </c>
      <c r="D247" s="47" t="n"/>
      <c r="E247" s="47" t="n"/>
      <c r="F247" s="47" t="n"/>
      <c r="G247" s="47" t="n"/>
      <c r="H247" s="47" t="n"/>
      <c r="I247" s="47" t="n"/>
      <c r="J247" s="47" t="n"/>
      <c r="K247" s="47" t="n"/>
      <c r="L247" s="47" t="n"/>
      <c r="M247" s="47" t="n"/>
      <c r="N247" s="47" t="n"/>
      <c r="O247" s="47" t="n"/>
      <c r="P247" s="47" t="n"/>
      <c r="Q247" s="47" t="n"/>
      <c r="R247" s="47" t="n"/>
      <c r="S247" s="47" t="n"/>
      <c r="T247" s="47" t="n"/>
      <c r="U247" s="53" t="n"/>
      <c r="V247" s="53" t="n"/>
      <c r="W247" s="47" t="n"/>
      <c r="X247" s="47" t="n"/>
      <c r="Y247" s="47" t="n"/>
      <c r="Z247" s="47" t="n"/>
      <c r="AA247" s="47" t="n"/>
      <c r="AB247" s="47" t="n"/>
      <c r="AC247" s="47" t="n"/>
      <c r="AD247" s="47" t="n"/>
      <c r="AE247" s="47" t="n"/>
      <c r="AF247" s="20">
        <f>IF(A247="","",YEAR(EDATE(A247,-3)))</f>
        <v/>
      </c>
      <c r="AG247" s="20">
        <f>IF(OR(B247="",'経歴簿'!$C$4=""),"",IF(B247&amp;""='経歴簿'!$C$4&amp;"",MAX($AG$4:AG246)+1,""))</f>
        <v/>
      </c>
      <c r="AH247" s="20">
        <f>IF(A247="",0,IF(AND(OR('CSV抽出'!$C$4="",A247&gt;='CSV抽出'!$C$4),OR('CSV抽出'!$C$5="",A247&lt;='CSV抽出'!$C$5),OR('CSV抽出'!$C$6="すべて",'CSV抽出'!$C$6="",D247='CSV抽出'!$C$6),OR('CSV抽出'!$C$7="",B247&amp;""='CSV抽出'!$C$7&amp;"")),1,0))</f>
        <v/>
      </c>
      <c r="AI247" s="20">
        <f>IF(AH247=1,SUM($AH$5:AH247),"")</f>
        <v/>
      </c>
      <c r="AJ247" s="20">
        <f>IF(OR(S247="",'報告書'!$C$4=""),"",IF(S247&amp;""='報告書'!$C$4&amp;"",COUNTIF($S$5:S247,'報告書'!$C$4),""))</f>
        <v/>
      </c>
      <c r="AK247" s="20" t="n"/>
      <c r="AL247" s="47" t="n"/>
      <c r="AM247" s="47" t="n"/>
      <c r="AN247" s="53" t="n"/>
      <c r="AO247" s="47" t="n"/>
      <c r="AP247" s="47" t="n"/>
      <c r="AQ247" s="47" t="n"/>
      <c r="AR247" s="47" t="n"/>
      <c r="AS247" s="47" t="n"/>
      <c r="AT247" s="47" t="n"/>
      <c r="AU247" s="47" t="n"/>
      <c r="AV247" s="47" t="n"/>
      <c r="AW247" s="52" t="n"/>
    </row>
    <row r="248">
      <c r="A248" s="48" t="n"/>
      <c r="B248" s="52" t="n"/>
      <c r="C248" s="47">
        <f>IF(B248="","",IFERROR(INDEX('隊員マスタ'!$B$5:$B$204,MATCH(B248&amp;"",'隊員マスタ'!$F$5:$F$204,0)),IF(AK248="","番号なし",AK248)))</f>
        <v/>
      </c>
      <c r="D248" s="47" t="n"/>
      <c r="E248" s="47" t="n"/>
      <c r="F248" s="47" t="n"/>
      <c r="G248" s="47" t="n"/>
      <c r="H248" s="47" t="n"/>
      <c r="I248" s="47" t="n"/>
      <c r="J248" s="47" t="n"/>
      <c r="K248" s="47" t="n"/>
      <c r="L248" s="47" t="n"/>
      <c r="M248" s="47" t="n"/>
      <c r="N248" s="47" t="n"/>
      <c r="O248" s="47" t="n"/>
      <c r="P248" s="47" t="n"/>
      <c r="Q248" s="47" t="n"/>
      <c r="R248" s="47" t="n"/>
      <c r="S248" s="47" t="n"/>
      <c r="T248" s="47" t="n"/>
      <c r="U248" s="53" t="n"/>
      <c r="V248" s="53" t="n"/>
      <c r="W248" s="47" t="n"/>
      <c r="X248" s="47" t="n"/>
      <c r="Y248" s="47" t="n"/>
      <c r="Z248" s="47" t="n"/>
      <c r="AA248" s="47" t="n"/>
      <c r="AB248" s="47" t="n"/>
      <c r="AC248" s="47" t="n"/>
      <c r="AD248" s="47" t="n"/>
      <c r="AE248" s="47" t="n"/>
      <c r="AF248" s="20">
        <f>IF(A248="","",YEAR(EDATE(A248,-3)))</f>
        <v/>
      </c>
      <c r="AG248" s="20">
        <f>IF(OR(B248="",'経歴簿'!$C$4=""),"",IF(B248&amp;""='経歴簿'!$C$4&amp;"",MAX($AG$4:AG247)+1,""))</f>
        <v/>
      </c>
      <c r="AH248" s="20">
        <f>IF(A248="",0,IF(AND(OR('CSV抽出'!$C$4="",A248&gt;='CSV抽出'!$C$4),OR('CSV抽出'!$C$5="",A248&lt;='CSV抽出'!$C$5),OR('CSV抽出'!$C$6="すべて",'CSV抽出'!$C$6="",D248='CSV抽出'!$C$6),OR('CSV抽出'!$C$7="",B248&amp;""='CSV抽出'!$C$7&amp;"")),1,0))</f>
        <v/>
      </c>
      <c r="AI248" s="20">
        <f>IF(AH248=1,SUM($AH$5:AH248),"")</f>
        <v/>
      </c>
      <c r="AJ248" s="20">
        <f>IF(OR(S248="",'報告書'!$C$4=""),"",IF(S248&amp;""='報告書'!$C$4&amp;"",COUNTIF($S$5:S248,'報告書'!$C$4),""))</f>
        <v/>
      </c>
      <c r="AK248" s="20" t="n"/>
      <c r="AL248" s="47" t="n"/>
      <c r="AM248" s="47" t="n"/>
      <c r="AN248" s="53" t="n"/>
      <c r="AO248" s="47" t="n"/>
      <c r="AP248" s="47" t="n"/>
      <c r="AQ248" s="47" t="n"/>
      <c r="AR248" s="47" t="n"/>
      <c r="AS248" s="47" t="n"/>
      <c r="AT248" s="47" t="n"/>
      <c r="AU248" s="47" t="n"/>
      <c r="AV248" s="47" t="n"/>
      <c r="AW248" s="52" t="n"/>
    </row>
    <row r="249">
      <c r="A249" s="48" t="n"/>
      <c r="B249" s="52" t="n"/>
      <c r="C249" s="47">
        <f>IF(B249="","",IFERROR(INDEX('隊員マスタ'!$B$5:$B$204,MATCH(B249&amp;"",'隊員マスタ'!$F$5:$F$204,0)),IF(AK249="","番号なし",AK249)))</f>
        <v/>
      </c>
      <c r="D249" s="47" t="n"/>
      <c r="E249" s="47" t="n"/>
      <c r="F249" s="47" t="n"/>
      <c r="G249" s="47" t="n"/>
      <c r="H249" s="47" t="n"/>
      <c r="I249" s="47" t="n"/>
      <c r="J249" s="47" t="n"/>
      <c r="K249" s="47" t="n"/>
      <c r="L249" s="47" t="n"/>
      <c r="M249" s="47" t="n"/>
      <c r="N249" s="47" t="n"/>
      <c r="O249" s="47" t="n"/>
      <c r="P249" s="47" t="n"/>
      <c r="Q249" s="47" t="n"/>
      <c r="R249" s="47" t="n"/>
      <c r="S249" s="47" t="n"/>
      <c r="T249" s="47" t="n"/>
      <c r="U249" s="53" t="n"/>
      <c r="V249" s="53" t="n"/>
      <c r="W249" s="47" t="n"/>
      <c r="X249" s="47" t="n"/>
      <c r="Y249" s="47" t="n"/>
      <c r="Z249" s="47" t="n"/>
      <c r="AA249" s="47" t="n"/>
      <c r="AB249" s="47" t="n"/>
      <c r="AC249" s="47" t="n"/>
      <c r="AD249" s="47" t="n"/>
      <c r="AE249" s="47" t="n"/>
      <c r="AF249" s="20">
        <f>IF(A249="","",YEAR(EDATE(A249,-3)))</f>
        <v/>
      </c>
      <c r="AG249" s="20">
        <f>IF(OR(B249="",'経歴簿'!$C$4=""),"",IF(B249&amp;""='経歴簿'!$C$4&amp;"",MAX($AG$4:AG248)+1,""))</f>
        <v/>
      </c>
      <c r="AH249" s="20">
        <f>IF(A249="",0,IF(AND(OR('CSV抽出'!$C$4="",A249&gt;='CSV抽出'!$C$4),OR('CSV抽出'!$C$5="",A249&lt;='CSV抽出'!$C$5),OR('CSV抽出'!$C$6="すべて",'CSV抽出'!$C$6="",D249='CSV抽出'!$C$6),OR('CSV抽出'!$C$7="",B249&amp;""='CSV抽出'!$C$7&amp;"")),1,0))</f>
        <v/>
      </c>
      <c r="AI249" s="20">
        <f>IF(AH249=1,SUM($AH$5:AH249),"")</f>
        <v/>
      </c>
      <c r="AJ249" s="20">
        <f>IF(OR(S249="",'報告書'!$C$4=""),"",IF(S249&amp;""='報告書'!$C$4&amp;"",COUNTIF($S$5:S249,'報告書'!$C$4),""))</f>
        <v/>
      </c>
      <c r="AK249" s="20" t="n"/>
      <c r="AL249" s="47" t="n"/>
      <c r="AM249" s="47" t="n"/>
      <c r="AN249" s="53" t="n"/>
      <c r="AO249" s="47" t="n"/>
      <c r="AP249" s="47" t="n"/>
      <c r="AQ249" s="47" t="n"/>
      <c r="AR249" s="47" t="n"/>
      <c r="AS249" s="47" t="n"/>
      <c r="AT249" s="47" t="n"/>
      <c r="AU249" s="47" t="n"/>
      <c r="AV249" s="47" t="n"/>
      <c r="AW249" s="52" t="n"/>
    </row>
    <row r="250">
      <c r="A250" s="48" t="n"/>
      <c r="B250" s="52" t="n"/>
      <c r="C250" s="47">
        <f>IF(B250="","",IFERROR(INDEX('隊員マスタ'!$B$5:$B$204,MATCH(B250&amp;"",'隊員マスタ'!$F$5:$F$204,0)),IF(AK250="","番号なし",AK250)))</f>
        <v/>
      </c>
      <c r="D250" s="47" t="n"/>
      <c r="E250" s="47" t="n"/>
      <c r="F250" s="47" t="n"/>
      <c r="G250" s="47" t="n"/>
      <c r="H250" s="47" t="n"/>
      <c r="I250" s="47" t="n"/>
      <c r="J250" s="47" t="n"/>
      <c r="K250" s="47" t="n"/>
      <c r="L250" s="47" t="n"/>
      <c r="M250" s="47" t="n"/>
      <c r="N250" s="47" t="n"/>
      <c r="O250" s="47" t="n"/>
      <c r="P250" s="47" t="n"/>
      <c r="Q250" s="47" t="n"/>
      <c r="R250" s="47" t="n"/>
      <c r="S250" s="47" t="n"/>
      <c r="T250" s="47" t="n"/>
      <c r="U250" s="53" t="n"/>
      <c r="V250" s="53" t="n"/>
      <c r="W250" s="47" t="n"/>
      <c r="X250" s="47" t="n"/>
      <c r="Y250" s="47" t="n"/>
      <c r="Z250" s="47" t="n"/>
      <c r="AA250" s="47" t="n"/>
      <c r="AB250" s="47" t="n"/>
      <c r="AC250" s="47" t="n"/>
      <c r="AD250" s="47" t="n"/>
      <c r="AE250" s="47" t="n"/>
      <c r="AF250" s="20">
        <f>IF(A250="","",YEAR(EDATE(A250,-3)))</f>
        <v/>
      </c>
      <c r="AG250" s="20">
        <f>IF(OR(B250="",'経歴簿'!$C$4=""),"",IF(B250&amp;""='経歴簿'!$C$4&amp;"",MAX($AG$4:AG249)+1,""))</f>
        <v/>
      </c>
      <c r="AH250" s="20">
        <f>IF(A250="",0,IF(AND(OR('CSV抽出'!$C$4="",A250&gt;='CSV抽出'!$C$4),OR('CSV抽出'!$C$5="",A250&lt;='CSV抽出'!$C$5),OR('CSV抽出'!$C$6="すべて",'CSV抽出'!$C$6="",D250='CSV抽出'!$C$6),OR('CSV抽出'!$C$7="",B250&amp;""='CSV抽出'!$C$7&amp;"")),1,0))</f>
        <v/>
      </c>
      <c r="AI250" s="20">
        <f>IF(AH250=1,SUM($AH$5:AH250),"")</f>
        <v/>
      </c>
      <c r="AJ250" s="20">
        <f>IF(OR(S250="",'報告書'!$C$4=""),"",IF(S250&amp;""='報告書'!$C$4&amp;"",COUNTIF($S$5:S250,'報告書'!$C$4),""))</f>
        <v/>
      </c>
      <c r="AK250" s="20" t="n"/>
      <c r="AL250" s="47" t="n"/>
      <c r="AM250" s="47" t="n"/>
      <c r="AN250" s="53" t="n"/>
      <c r="AO250" s="47" t="n"/>
      <c r="AP250" s="47" t="n"/>
      <c r="AQ250" s="47" t="n"/>
      <c r="AR250" s="47" t="n"/>
      <c r="AS250" s="47" t="n"/>
      <c r="AT250" s="47" t="n"/>
      <c r="AU250" s="47" t="n"/>
      <c r="AV250" s="47" t="n"/>
      <c r="AW250" s="52" t="n"/>
    </row>
    <row r="251">
      <c r="A251" s="48" t="n"/>
      <c r="B251" s="52" t="n"/>
      <c r="C251" s="47">
        <f>IF(B251="","",IFERROR(INDEX('隊員マスタ'!$B$5:$B$204,MATCH(B251&amp;"",'隊員マスタ'!$F$5:$F$204,0)),IF(AK251="","番号なし",AK251)))</f>
        <v/>
      </c>
      <c r="D251" s="47" t="n"/>
      <c r="E251" s="47" t="n"/>
      <c r="F251" s="47" t="n"/>
      <c r="G251" s="47" t="n"/>
      <c r="H251" s="47" t="n"/>
      <c r="I251" s="47" t="n"/>
      <c r="J251" s="47" t="n"/>
      <c r="K251" s="47" t="n"/>
      <c r="L251" s="47" t="n"/>
      <c r="M251" s="47" t="n"/>
      <c r="N251" s="47" t="n"/>
      <c r="O251" s="47" t="n"/>
      <c r="P251" s="47" t="n"/>
      <c r="Q251" s="47" t="n"/>
      <c r="R251" s="47" t="n"/>
      <c r="S251" s="47" t="n"/>
      <c r="T251" s="47" t="n"/>
      <c r="U251" s="53" t="n"/>
      <c r="V251" s="53" t="n"/>
      <c r="W251" s="47" t="n"/>
      <c r="X251" s="47" t="n"/>
      <c r="Y251" s="47" t="n"/>
      <c r="Z251" s="47" t="n"/>
      <c r="AA251" s="47" t="n"/>
      <c r="AB251" s="47" t="n"/>
      <c r="AC251" s="47" t="n"/>
      <c r="AD251" s="47" t="n"/>
      <c r="AE251" s="47" t="n"/>
      <c r="AF251" s="20">
        <f>IF(A251="","",YEAR(EDATE(A251,-3)))</f>
        <v/>
      </c>
      <c r="AG251" s="20">
        <f>IF(OR(B251="",'経歴簿'!$C$4=""),"",IF(B251&amp;""='経歴簿'!$C$4&amp;"",MAX($AG$4:AG250)+1,""))</f>
        <v/>
      </c>
      <c r="AH251" s="20">
        <f>IF(A251="",0,IF(AND(OR('CSV抽出'!$C$4="",A251&gt;='CSV抽出'!$C$4),OR('CSV抽出'!$C$5="",A251&lt;='CSV抽出'!$C$5),OR('CSV抽出'!$C$6="すべて",'CSV抽出'!$C$6="",D251='CSV抽出'!$C$6),OR('CSV抽出'!$C$7="",B251&amp;""='CSV抽出'!$C$7&amp;"")),1,0))</f>
        <v/>
      </c>
      <c r="AI251" s="20">
        <f>IF(AH251=1,SUM($AH$5:AH251),"")</f>
        <v/>
      </c>
      <c r="AJ251" s="20">
        <f>IF(OR(S251="",'報告書'!$C$4=""),"",IF(S251&amp;""='報告書'!$C$4&amp;"",COUNTIF($S$5:S251,'報告書'!$C$4),""))</f>
        <v/>
      </c>
      <c r="AK251" s="20" t="n"/>
      <c r="AL251" s="47" t="n"/>
      <c r="AM251" s="47" t="n"/>
      <c r="AN251" s="53" t="n"/>
      <c r="AO251" s="47" t="n"/>
      <c r="AP251" s="47" t="n"/>
      <c r="AQ251" s="47" t="n"/>
      <c r="AR251" s="47" t="n"/>
      <c r="AS251" s="47" t="n"/>
      <c r="AT251" s="47" t="n"/>
      <c r="AU251" s="47" t="n"/>
      <c r="AV251" s="47" t="n"/>
      <c r="AW251" s="52" t="n"/>
    </row>
    <row r="252">
      <c r="A252" s="48" t="n"/>
      <c r="B252" s="52" t="n"/>
      <c r="C252" s="47">
        <f>IF(B252="","",IFERROR(INDEX('隊員マスタ'!$B$5:$B$204,MATCH(B252&amp;"",'隊員マスタ'!$F$5:$F$204,0)),IF(AK252="","番号なし",AK252)))</f>
        <v/>
      </c>
      <c r="D252" s="47" t="n"/>
      <c r="E252" s="47" t="n"/>
      <c r="F252" s="47" t="n"/>
      <c r="G252" s="47" t="n"/>
      <c r="H252" s="47" t="n"/>
      <c r="I252" s="47" t="n"/>
      <c r="J252" s="47" t="n"/>
      <c r="K252" s="47" t="n"/>
      <c r="L252" s="47" t="n"/>
      <c r="M252" s="47" t="n"/>
      <c r="N252" s="47" t="n"/>
      <c r="O252" s="47" t="n"/>
      <c r="P252" s="47" t="n"/>
      <c r="Q252" s="47" t="n"/>
      <c r="R252" s="47" t="n"/>
      <c r="S252" s="47" t="n"/>
      <c r="T252" s="47" t="n"/>
      <c r="U252" s="53" t="n"/>
      <c r="V252" s="53" t="n"/>
      <c r="W252" s="47" t="n"/>
      <c r="X252" s="47" t="n"/>
      <c r="Y252" s="47" t="n"/>
      <c r="Z252" s="47" t="n"/>
      <c r="AA252" s="47" t="n"/>
      <c r="AB252" s="47" t="n"/>
      <c r="AC252" s="47" t="n"/>
      <c r="AD252" s="47" t="n"/>
      <c r="AE252" s="47" t="n"/>
      <c r="AF252" s="20">
        <f>IF(A252="","",YEAR(EDATE(A252,-3)))</f>
        <v/>
      </c>
      <c r="AG252" s="20">
        <f>IF(OR(B252="",'経歴簿'!$C$4=""),"",IF(B252&amp;""='経歴簿'!$C$4&amp;"",MAX($AG$4:AG251)+1,""))</f>
        <v/>
      </c>
      <c r="AH252" s="20">
        <f>IF(A252="",0,IF(AND(OR('CSV抽出'!$C$4="",A252&gt;='CSV抽出'!$C$4),OR('CSV抽出'!$C$5="",A252&lt;='CSV抽出'!$C$5),OR('CSV抽出'!$C$6="すべて",'CSV抽出'!$C$6="",D252='CSV抽出'!$C$6),OR('CSV抽出'!$C$7="",B252&amp;""='CSV抽出'!$C$7&amp;"")),1,0))</f>
        <v/>
      </c>
      <c r="AI252" s="20">
        <f>IF(AH252=1,SUM($AH$5:AH252),"")</f>
        <v/>
      </c>
      <c r="AJ252" s="20">
        <f>IF(OR(S252="",'報告書'!$C$4=""),"",IF(S252&amp;""='報告書'!$C$4&amp;"",COUNTIF($S$5:S252,'報告書'!$C$4),""))</f>
        <v/>
      </c>
      <c r="AK252" s="20" t="n"/>
      <c r="AL252" s="47" t="n"/>
      <c r="AM252" s="47" t="n"/>
      <c r="AN252" s="53" t="n"/>
      <c r="AO252" s="47" t="n"/>
      <c r="AP252" s="47" t="n"/>
      <c r="AQ252" s="47" t="n"/>
      <c r="AR252" s="47" t="n"/>
      <c r="AS252" s="47" t="n"/>
      <c r="AT252" s="47" t="n"/>
      <c r="AU252" s="47" t="n"/>
      <c r="AV252" s="47" t="n"/>
      <c r="AW252" s="52" t="n"/>
    </row>
    <row r="253">
      <c r="A253" s="48" t="n"/>
      <c r="B253" s="52" t="n"/>
      <c r="C253" s="47">
        <f>IF(B253="","",IFERROR(INDEX('隊員マスタ'!$B$5:$B$204,MATCH(B253&amp;"",'隊員マスタ'!$F$5:$F$204,0)),IF(AK253="","番号なし",AK253)))</f>
        <v/>
      </c>
      <c r="D253" s="47" t="n"/>
      <c r="E253" s="47" t="n"/>
      <c r="F253" s="47" t="n"/>
      <c r="G253" s="47" t="n"/>
      <c r="H253" s="47" t="n"/>
      <c r="I253" s="47" t="n"/>
      <c r="J253" s="47" t="n"/>
      <c r="K253" s="47" t="n"/>
      <c r="L253" s="47" t="n"/>
      <c r="M253" s="47" t="n"/>
      <c r="N253" s="47" t="n"/>
      <c r="O253" s="47" t="n"/>
      <c r="P253" s="47" t="n"/>
      <c r="Q253" s="47" t="n"/>
      <c r="R253" s="47" t="n"/>
      <c r="S253" s="47" t="n"/>
      <c r="T253" s="47" t="n"/>
      <c r="U253" s="53" t="n"/>
      <c r="V253" s="53" t="n"/>
      <c r="W253" s="47" t="n"/>
      <c r="X253" s="47" t="n"/>
      <c r="Y253" s="47" t="n"/>
      <c r="Z253" s="47" t="n"/>
      <c r="AA253" s="47" t="n"/>
      <c r="AB253" s="47" t="n"/>
      <c r="AC253" s="47" t="n"/>
      <c r="AD253" s="47" t="n"/>
      <c r="AE253" s="47" t="n"/>
      <c r="AF253" s="20">
        <f>IF(A253="","",YEAR(EDATE(A253,-3)))</f>
        <v/>
      </c>
      <c r="AG253" s="20">
        <f>IF(OR(B253="",'経歴簿'!$C$4=""),"",IF(B253&amp;""='経歴簿'!$C$4&amp;"",MAX($AG$4:AG252)+1,""))</f>
        <v/>
      </c>
      <c r="AH253" s="20">
        <f>IF(A253="",0,IF(AND(OR('CSV抽出'!$C$4="",A253&gt;='CSV抽出'!$C$4),OR('CSV抽出'!$C$5="",A253&lt;='CSV抽出'!$C$5),OR('CSV抽出'!$C$6="すべて",'CSV抽出'!$C$6="",D253='CSV抽出'!$C$6),OR('CSV抽出'!$C$7="",B253&amp;""='CSV抽出'!$C$7&amp;"")),1,0))</f>
        <v/>
      </c>
      <c r="AI253" s="20">
        <f>IF(AH253=1,SUM($AH$5:AH253),"")</f>
        <v/>
      </c>
      <c r="AJ253" s="20">
        <f>IF(OR(S253="",'報告書'!$C$4=""),"",IF(S253&amp;""='報告書'!$C$4&amp;"",COUNTIF($S$5:S253,'報告書'!$C$4),""))</f>
        <v/>
      </c>
      <c r="AK253" s="20" t="n"/>
      <c r="AL253" s="47" t="n"/>
      <c r="AM253" s="47" t="n"/>
      <c r="AN253" s="53" t="n"/>
      <c r="AO253" s="47" t="n"/>
      <c r="AP253" s="47" t="n"/>
      <c r="AQ253" s="47" t="n"/>
      <c r="AR253" s="47" t="n"/>
      <c r="AS253" s="47" t="n"/>
      <c r="AT253" s="47" t="n"/>
      <c r="AU253" s="47" t="n"/>
      <c r="AV253" s="47" t="n"/>
      <c r="AW253" s="52" t="n"/>
    </row>
    <row r="254">
      <c r="A254" s="48" t="n"/>
      <c r="B254" s="52" t="n"/>
      <c r="C254" s="47">
        <f>IF(B254="","",IFERROR(INDEX('隊員マスタ'!$B$5:$B$204,MATCH(B254&amp;"",'隊員マスタ'!$F$5:$F$204,0)),IF(AK254="","番号なし",AK254)))</f>
        <v/>
      </c>
      <c r="D254" s="47" t="n"/>
      <c r="E254" s="47" t="n"/>
      <c r="F254" s="47" t="n"/>
      <c r="G254" s="47" t="n"/>
      <c r="H254" s="47" t="n"/>
      <c r="I254" s="47" t="n"/>
      <c r="J254" s="47" t="n"/>
      <c r="K254" s="47" t="n"/>
      <c r="L254" s="47" t="n"/>
      <c r="M254" s="47" t="n"/>
      <c r="N254" s="47" t="n"/>
      <c r="O254" s="47" t="n"/>
      <c r="P254" s="47" t="n"/>
      <c r="Q254" s="47" t="n"/>
      <c r="R254" s="47" t="n"/>
      <c r="S254" s="47" t="n"/>
      <c r="T254" s="47" t="n"/>
      <c r="U254" s="53" t="n"/>
      <c r="V254" s="53" t="n"/>
      <c r="W254" s="47" t="n"/>
      <c r="X254" s="47" t="n"/>
      <c r="Y254" s="47" t="n"/>
      <c r="Z254" s="47" t="n"/>
      <c r="AA254" s="47" t="n"/>
      <c r="AB254" s="47" t="n"/>
      <c r="AC254" s="47" t="n"/>
      <c r="AD254" s="47" t="n"/>
      <c r="AE254" s="47" t="n"/>
      <c r="AF254" s="20">
        <f>IF(A254="","",YEAR(EDATE(A254,-3)))</f>
        <v/>
      </c>
      <c r="AG254" s="20">
        <f>IF(OR(B254="",'経歴簿'!$C$4=""),"",IF(B254&amp;""='経歴簿'!$C$4&amp;"",MAX($AG$4:AG253)+1,""))</f>
        <v/>
      </c>
      <c r="AH254" s="20">
        <f>IF(A254="",0,IF(AND(OR('CSV抽出'!$C$4="",A254&gt;='CSV抽出'!$C$4),OR('CSV抽出'!$C$5="",A254&lt;='CSV抽出'!$C$5),OR('CSV抽出'!$C$6="すべて",'CSV抽出'!$C$6="",D254='CSV抽出'!$C$6),OR('CSV抽出'!$C$7="",B254&amp;""='CSV抽出'!$C$7&amp;"")),1,0))</f>
        <v/>
      </c>
      <c r="AI254" s="20">
        <f>IF(AH254=1,SUM($AH$5:AH254),"")</f>
        <v/>
      </c>
      <c r="AJ254" s="20">
        <f>IF(OR(S254="",'報告書'!$C$4=""),"",IF(S254&amp;""='報告書'!$C$4&amp;"",COUNTIF($S$5:S254,'報告書'!$C$4),""))</f>
        <v/>
      </c>
      <c r="AK254" s="20" t="n"/>
      <c r="AL254" s="47" t="n"/>
      <c r="AM254" s="47" t="n"/>
      <c r="AN254" s="53" t="n"/>
      <c r="AO254" s="47" t="n"/>
      <c r="AP254" s="47" t="n"/>
      <c r="AQ254" s="47" t="n"/>
      <c r="AR254" s="47" t="n"/>
      <c r="AS254" s="47" t="n"/>
      <c r="AT254" s="47" t="n"/>
      <c r="AU254" s="47" t="n"/>
      <c r="AV254" s="47" t="n"/>
      <c r="AW254" s="52" t="n"/>
    </row>
    <row r="255">
      <c r="A255" s="48" t="n"/>
      <c r="B255" s="52" t="n"/>
      <c r="C255" s="47">
        <f>IF(B255="","",IFERROR(INDEX('隊員マスタ'!$B$5:$B$204,MATCH(B255&amp;"",'隊員マスタ'!$F$5:$F$204,0)),IF(AK255="","番号なし",AK255)))</f>
        <v/>
      </c>
      <c r="D255" s="47" t="n"/>
      <c r="E255" s="47" t="n"/>
      <c r="F255" s="47" t="n"/>
      <c r="G255" s="47" t="n"/>
      <c r="H255" s="47" t="n"/>
      <c r="I255" s="47" t="n"/>
      <c r="J255" s="47" t="n"/>
      <c r="K255" s="47" t="n"/>
      <c r="L255" s="47" t="n"/>
      <c r="M255" s="47" t="n"/>
      <c r="N255" s="47" t="n"/>
      <c r="O255" s="47" t="n"/>
      <c r="P255" s="47" t="n"/>
      <c r="Q255" s="47" t="n"/>
      <c r="R255" s="47" t="n"/>
      <c r="S255" s="47" t="n"/>
      <c r="T255" s="47" t="n"/>
      <c r="U255" s="53" t="n"/>
      <c r="V255" s="53" t="n"/>
      <c r="W255" s="47" t="n"/>
      <c r="X255" s="47" t="n"/>
      <c r="Y255" s="47" t="n"/>
      <c r="Z255" s="47" t="n"/>
      <c r="AA255" s="47" t="n"/>
      <c r="AB255" s="47" t="n"/>
      <c r="AC255" s="47" t="n"/>
      <c r="AD255" s="47" t="n"/>
      <c r="AE255" s="47" t="n"/>
      <c r="AF255" s="20">
        <f>IF(A255="","",YEAR(EDATE(A255,-3)))</f>
        <v/>
      </c>
      <c r="AG255" s="20">
        <f>IF(OR(B255="",'経歴簿'!$C$4=""),"",IF(B255&amp;""='経歴簿'!$C$4&amp;"",MAX($AG$4:AG254)+1,""))</f>
        <v/>
      </c>
      <c r="AH255" s="20">
        <f>IF(A255="",0,IF(AND(OR('CSV抽出'!$C$4="",A255&gt;='CSV抽出'!$C$4),OR('CSV抽出'!$C$5="",A255&lt;='CSV抽出'!$C$5),OR('CSV抽出'!$C$6="すべて",'CSV抽出'!$C$6="",D255='CSV抽出'!$C$6),OR('CSV抽出'!$C$7="",B255&amp;""='CSV抽出'!$C$7&amp;"")),1,0))</f>
        <v/>
      </c>
      <c r="AI255" s="20">
        <f>IF(AH255=1,SUM($AH$5:AH255),"")</f>
        <v/>
      </c>
      <c r="AJ255" s="20">
        <f>IF(OR(S255="",'報告書'!$C$4=""),"",IF(S255&amp;""='報告書'!$C$4&amp;"",COUNTIF($S$5:S255,'報告書'!$C$4),""))</f>
        <v/>
      </c>
      <c r="AK255" s="20" t="n"/>
      <c r="AL255" s="47" t="n"/>
      <c r="AM255" s="47" t="n"/>
      <c r="AN255" s="53" t="n"/>
      <c r="AO255" s="47" t="n"/>
      <c r="AP255" s="47" t="n"/>
      <c r="AQ255" s="47" t="n"/>
      <c r="AR255" s="47" t="n"/>
      <c r="AS255" s="47" t="n"/>
      <c r="AT255" s="47" t="n"/>
      <c r="AU255" s="47" t="n"/>
      <c r="AV255" s="47" t="n"/>
      <c r="AW255" s="52" t="n"/>
    </row>
    <row r="256">
      <c r="A256" s="48" t="n"/>
      <c r="B256" s="52" t="n"/>
      <c r="C256" s="47">
        <f>IF(B256="","",IFERROR(INDEX('隊員マスタ'!$B$5:$B$204,MATCH(B256&amp;"",'隊員マスタ'!$F$5:$F$204,0)),IF(AK256="","番号なし",AK256)))</f>
        <v/>
      </c>
      <c r="D256" s="47" t="n"/>
      <c r="E256" s="47" t="n"/>
      <c r="F256" s="47" t="n"/>
      <c r="G256" s="47" t="n"/>
      <c r="H256" s="47" t="n"/>
      <c r="I256" s="47" t="n"/>
      <c r="J256" s="47" t="n"/>
      <c r="K256" s="47" t="n"/>
      <c r="L256" s="47" t="n"/>
      <c r="M256" s="47" t="n"/>
      <c r="N256" s="47" t="n"/>
      <c r="O256" s="47" t="n"/>
      <c r="P256" s="47" t="n"/>
      <c r="Q256" s="47" t="n"/>
      <c r="R256" s="47" t="n"/>
      <c r="S256" s="47" t="n"/>
      <c r="T256" s="47" t="n"/>
      <c r="U256" s="53" t="n"/>
      <c r="V256" s="53" t="n"/>
      <c r="W256" s="47" t="n"/>
      <c r="X256" s="47" t="n"/>
      <c r="Y256" s="47" t="n"/>
      <c r="Z256" s="47" t="n"/>
      <c r="AA256" s="47" t="n"/>
      <c r="AB256" s="47" t="n"/>
      <c r="AC256" s="47" t="n"/>
      <c r="AD256" s="47" t="n"/>
      <c r="AE256" s="47" t="n"/>
      <c r="AF256" s="20">
        <f>IF(A256="","",YEAR(EDATE(A256,-3)))</f>
        <v/>
      </c>
      <c r="AG256" s="20">
        <f>IF(OR(B256="",'経歴簿'!$C$4=""),"",IF(B256&amp;""='経歴簿'!$C$4&amp;"",MAX($AG$4:AG255)+1,""))</f>
        <v/>
      </c>
      <c r="AH256" s="20">
        <f>IF(A256="",0,IF(AND(OR('CSV抽出'!$C$4="",A256&gt;='CSV抽出'!$C$4),OR('CSV抽出'!$C$5="",A256&lt;='CSV抽出'!$C$5),OR('CSV抽出'!$C$6="すべて",'CSV抽出'!$C$6="",D256='CSV抽出'!$C$6),OR('CSV抽出'!$C$7="",B256&amp;""='CSV抽出'!$C$7&amp;"")),1,0))</f>
        <v/>
      </c>
      <c r="AI256" s="20">
        <f>IF(AH256=1,SUM($AH$5:AH256),"")</f>
        <v/>
      </c>
      <c r="AJ256" s="20">
        <f>IF(OR(S256="",'報告書'!$C$4=""),"",IF(S256&amp;""='報告書'!$C$4&amp;"",COUNTIF($S$5:S256,'報告書'!$C$4),""))</f>
        <v/>
      </c>
      <c r="AK256" s="20" t="n"/>
      <c r="AL256" s="47" t="n"/>
      <c r="AM256" s="47" t="n"/>
      <c r="AN256" s="53" t="n"/>
      <c r="AO256" s="47" t="n"/>
      <c r="AP256" s="47" t="n"/>
      <c r="AQ256" s="47" t="n"/>
      <c r="AR256" s="47" t="n"/>
      <c r="AS256" s="47" t="n"/>
      <c r="AT256" s="47" t="n"/>
      <c r="AU256" s="47" t="n"/>
      <c r="AV256" s="47" t="n"/>
      <c r="AW256" s="52" t="n"/>
    </row>
    <row r="257">
      <c r="A257" s="48" t="n"/>
      <c r="B257" s="52" t="n"/>
      <c r="C257" s="47">
        <f>IF(B257="","",IFERROR(INDEX('隊員マスタ'!$B$5:$B$204,MATCH(B257&amp;"",'隊員マスタ'!$F$5:$F$204,0)),IF(AK257="","番号なし",AK257)))</f>
        <v/>
      </c>
      <c r="D257" s="47" t="n"/>
      <c r="E257" s="47" t="n"/>
      <c r="F257" s="47" t="n"/>
      <c r="G257" s="47" t="n"/>
      <c r="H257" s="47" t="n"/>
      <c r="I257" s="47" t="n"/>
      <c r="J257" s="47" t="n"/>
      <c r="K257" s="47" t="n"/>
      <c r="L257" s="47" t="n"/>
      <c r="M257" s="47" t="n"/>
      <c r="N257" s="47" t="n"/>
      <c r="O257" s="47" t="n"/>
      <c r="P257" s="47" t="n"/>
      <c r="Q257" s="47" t="n"/>
      <c r="R257" s="47" t="n"/>
      <c r="S257" s="47" t="n"/>
      <c r="T257" s="47" t="n"/>
      <c r="U257" s="53" t="n"/>
      <c r="V257" s="53" t="n"/>
      <c r="W257" s="47" t="n"/>
      <c r="X257" s="47" t="n"/>
      <c r="Y257" s="47" t="n"/>
      <c r="Z257" s="47" t="n"/>
      <c r="AA257" s="47" t="n"/>
      <c r="AB257" s="47" t="n"/>
      <c r="AC257" s="47" t="n"/>
      <c r="AD257" s="47" t="n"/>
      <c r="AE257" s="47" t="n"/>
      <c r="AF257" s="20">
        <f>IF(A257="","",YEAR(EDATE(A257,-3)))</f>
        <v/>
      </c>
      <c r="AG257" s="20">
        <f>IF(OR(B257="",'経歴簿'!$C$4=""),"",IF(B257&amp;""='経歴簿'!$C$4&amp;"",MAX($AG$4:AG256)+1,""))</f>
        <v/>
      </c>
      <c r="AH257" s="20">
        <f>IF(A257="",0,IF(AND(OR('CSV抽出'!$C$4="",A257&gt;='CSV抽出'!$C$4),OR('CSV抽出'!$C$5="",A257&lt;='CSV抽出'!$C$5),OR('CSV抽出'!$C$6="すべて",'CSV抽出'!$C$6="",D257='CSV抽出'!$C$6),OR('CSV抽出'!$C$7="",B257&amp;""='CSV抽出'!$C$7&amp;"")),1,0))</f>
        <v/>
      </c>
      <c r="AI257" s="20">
        <f>IF(AH257=1,SUM($AH$5:AH257),"")</f>
        <v/>
      </c>
      <c r="AJ257" s="20">
        <f>IF(OR(S257="",'報告書'!$C$4=""),"",IF(S257&amp;""='報告書'!$C$4&amp;"",COUNTIF($S$5:S257,'報告書'!$C$4),""))</f>
        <v/>
      </c>
      <c r="AK257" s="20" t="n"/>
      <c r="AL257" s="47" t="n"/>
      <c r="AM257" s="47" t="n"/>
      <c r="AN257" s="53" t="n"/>
      <c r="AO257" s="47" t="n"/>
      <c r="AP257" s="47" t="n"/>
      <c r="AQ257" s="47" t="n"/>
      <c r="AR257" s="47" t="n"/>
      <c r="AS257" s="47" t="n"/>
      <c r="AT257" s="47" t="n"/>
      <c r="AU257" s="47" t="n"/>
      <c r="AV257" s="47" t="n"/>
      <c r="AW257" s="52" t="n"/>
    </row>
    <row r="258">
      <c r="A258" s="48" t="n"/>
      <c r="B258" s="52" t="n"/>
      <c r="C258" s="47">
        <f>IF(B258="","",IFERROR(INDEX('隊員マスタ'!$B$5:$B$204,MATCH(B258&amp;"",'隊員マスタ'!$F$5:$F$204,0)),IF(AK258="","番号なし",AK258)))</f>
        <v/>
      </c>
      <c r="D258" s="47" t="n"/>
      <c r="E258" s="47" t="n"/>
      <c r="F258" s="47" t="n"/>
      <c r="G258" s="47" t="n"/>
      <c r="H258" s="47" t="n"/>
      <c r="I258" s="47" t="n"/>
      <c r="J258" s="47" t="n"/>
      <c r="K258" s="47" t="n"/>
      <c r="L258" s="47" t="n"/>
      <c r="M258" s="47" t="n"/>
      <c r="N258" s="47" t="n"/>
      <c r="O258" s="47" t="n"/>
      <c r="P258" s="47" t="n"/>
      <c r="Q258" s="47" t="n"/>
      <c r="R258" s="47" t="n"/>
      <c r="S258" s="47" t="n"/>
      <c r="T258" s="47" t="n"/>
      <c r="U258" s="53" t="n"/>
      <c r="V258" s="53" t="n"/>
      <c r="W258" s="47" t="n"/>
      <c r="X258" s="47" t="n"/>
      <c r="Y258" s="47" t="n"/>
      <c r="Z258" s="47" t="n"/>
      <c r="AA258" s="47" t="n"/>
      <c r="AB258" s="47" t="n"/>
      <c r="AC258" s="47" t="n"/>
      <c r="AD258" s="47" t="n"/>
      <c r="AE258" s="47" t="n"/>
      <c r="AF258" s="20">
        <f>IF(A258="","",YEAR(EDATE(A258,-3)))</f>
        <v/>
      </c>
      <c r="AG258" s="20">
        <f>IF(OR(B258="",'経歴簿'!$C$4=""),"",IF(B258&amp;""='経歴簿'!$C$4&amp;"",MAX($AG$4:AG257)+1,""))</f>
        <v/>
      </c>
      <c r="AH258" s="20">
        <f>IF(A258="",0,IF(AND(OR('CSV抽出'!$C$4="",A258&gt;='CSV抽出'!$C$4),OR('CSV抽出'!$C$5="",A258&lt;='CSV抽出'!$C$5),OR('CSV抽出'!$C$6="すべて",'CSV抽出'!$C$6="",D258='CSV抽出'!$C$6),OR('CSV抽出'!$C$7="",B258&amp;""='CSV抽出'!$C$7&amp;"")),1,0))</f>
        <v/>
      </c>
      <c r="AI258" s="20">
        <f>IF(AH258=1,SUM($AH$5:AH258),"")</f>
        <v/>
      </c>
      <c r="AJ258" s="20">
        <f>IF(OR(S258="",'報告書'!$C$4=""),"",IF(S258&amp;""='報告書'!$C$4&amp;"",COUNTIF($S$5:S258,'報告書'!$C$4),""))</f>
        <v/>
      </c>
      <c r="AK258" s="20" t="n"/>
      <c r="AL258" s="47" t="n"/>
      <c r="AM258" s="47" t="n"/>
      <c r="AN258" s="53" t="n"/>
      <c r="AO258" s="47" t="n"/>
      <c r="AP258" s="47" t="n"/>
      <c r="AQ258" s="47" t="n"/>
      <c r="AR258" s="47" t="n"/>
      <c r="AS258" s="47" t="n"/>
      <c r="AT258" s="47" t="n"/>
      <c r="AU258" s="47" t="n"/>
      <c r="AV258" s="47" t="n"/>
      <c r="AW258" s="52" t="n"/>
    </row>
    <row r="259">
      <c r="A259" s="48" t="n"/>
      <c r="B259" s="52" t="n"/>
      <c r="C259" s="47">
        <f>IF(B259="","",IFERROR(INDEX('隊員マスタ'!$B$5:$B$204,MATCH(B259&amp;"",'隊員マスタ'!$F$5:$F$204,0)),IF(AK259="","番号なし",AK259)))</f>
        <v/>
      </c>
      <c r="D259" s="47" t="n"/>
      <c r="E259" s="47" t="n"/>
      <c r="F259" s="47" t="n"/>
      <c r="G259" s="47" t="n"/>
      <c r="H259" s="47" t="n"/>
      <c r="I259" s="47" t="n"/>
      <c r="J259" s="47" t="n"/>
      <c r="K259" s="47" t="n"/>
      <c r="L259" s="47" t="n"/>
      <c r="M259" s="47" t="n"/>
      <c r="N259" s="47" t="n"/>
      <c r="O259" s="47" t="n"/>
      <c r="P259" s="47" t="n"/>
      <c r="Q259" s="47" t="n"/>
      <c r="R259" s="47" t="n"/>
      <c r="S259" s="47" t="n"/>
      <c r="T259" s="47" t="n"/>
      <c r="U259" s="53" t="n"/>
      <c r="V259" s="53" t="n"/>
      <c r="W259" s="47" t="n"/>
      <c r="X259" s="47" t="n"/>
      <c r="Y259" s="47" t="n"/>
      <c r="Z259" s="47" t="n"/>
      <c r="AA259" s="47" t="n"/>
      <c r="AB259" s="47" t="n"/>
      <c r="AC259" s="47" t="n"/>
      <c r="AD259" s="47" t="n"/>
      <c r="AE259" s="47" t="n"/>
      <c r="AF259" s="20">
        <f>IF(A259="","",YEAR(EDATE(A259,-3)))</f>
        <v/>
      </c>
      <c r="AG259" s="20">
        <f>IF(OR(B259="",'経歴簿'!$C$4=""),"",IF(B259&amp;""='経歴簿'!$C$4&amp;"",MAX($AG$4:AG258)+1,""))</f>
        <v/>
      </c>
      <c r="AH259" s="20">
        <f>IF(A259="",0,IF(AND(OR('CSV抽出'!$C$4="",A259&gt;='CSV抽出'!$C$4),OR('CSV抽出'!$C$5="",A259&lt;='CSV抽出'!$C$5),OR('CSV抽出'!$C$6="すべて",'CSV抽出'!$C$6="",D259='CSV抽出'!$C$6),OR('CSV抽出'!$C$7="",B259&amp;""='CSV抽出'!$C$7&amp;"")),1,0))</f>
        <v/>
      </c>
      <c r="AI259" s="20">
        <f>IF(AH259=1,SUM($AH$5:AH259),"")</f>
        <v/>
      </c>
      <c r="AJ259" s="20">
        <f>IF(OR(S259="",'報告書'!$C$4=""),"",IF(S259&amp;""='報告書'!$C$4&amp;"",COUNTIF($S$5:S259,'報告書'!$C$4),""))</f>
        <v/>
      </c>
      <c r="AK259" s="20" t="n"/>
      <c r="AL259" s="47" t="n"/>
      <c r="AM259" s="47" t="n"/>
      <c r="AN259" s="53" t="n"/>
      <c r="AO259" s="47" t="n"/>
      <c r="AP259" s="47" t="n"/>
      <c r="AQ259" s="47" t="n"/>
      <c r="AR259" s="47" t="n"/>
      <c r="AS259" s="47" t="n"/>
      <c r="AT259" s="47" t="n"/>
      <c r="AU259" s="47" t="n"/>
      <c r="AV259" s="47" t="n"/>
      <c r="AW259" s="52" t="n"/>
    </row>
    <row r="260">
      <c r="A260" s="48" t="n"/>
      <c r="B260" s="52" t="n"/>
      <c r="C260" s="47">
        <f>IF(B260="","",IFERROR(INDEX('隊員マスタ'!$B$5:$B$204,MATCH(B260&amp;"",'隊員マスタ'!$F$5:$F$204,0)),IF(AK260="","番号なし",AK260)))</f>
        <v/>
      </c>
      <c r="D260" s="47" t="n"/>
      <c r="E260" s="47" t="n"/>
      <c r="F260" s="47" t="n"/>
      <c r="G260" s="47" t="n"/>
      <c r="H260" s="47" t="n"/>
      <c r="I260" s="47" t="n"/>
      <c r="J260" s="47" t="n"/>
      <c r="K260" s="47" t="n"/>
      <c r="L260" s="47" t="n"/>
      <c r="M260" s="47" t="n"/>
      <c r="N260" s="47" t="n"/>
      <c r="O260" s="47" t="n"/>
      <c r="P260" s="47" t="n"/>
      <c r="Q260" s="47" t="n"/>
      <c r="R260" s="47" t="n"/>
      <c r="S260" s="47" t="n"/>
      <c r="T260" s="47" t="n"/>
      <c r="U260" s="53" t="n"/>
      <c r="V260" s="53" t="n"/>
      <c r="W260" s="47" t="n"/>
      <c r="X260" s="47" t="n"/>
      <c r="Y260" s="47" t="n"/>
      <c r="Z260" s="47" t="n"/>
      <c r="AA260" s="47" t="n"/>
      <c r="AB260" s="47" t="n"/>
      <c r="AC260" s="47" t="n"/>
      <c r="AD260" s="47" t="n"/>
      <c r="AE260" s="47" t="n"/>
      <c r="AF260" s="20">
        <f>IF(A260="","",YEAR(EDATE(A260,-3)))</f>
        <v/>
      </c>
      <c r="AG260" s="20">
        <f>IF(OR(B260="",'経歴簿'!$C$4=""),"",IF(B260&amp;""='経歴簿'!$C$4&amp;"",MAX($AG$4:AG259)+1,""))</f>
        <v/>
      </c>
      <c r="AH260" s="20">
        <f>IF(A260="",0,IF(AND(OR('CSV抽出'!$C$4="",A260&gt;='CSV抽出'!$C$4),OR('CSV抽出'!$C$5="",A260&lt;='CSV抽出'!$C$5),OR('CSV抽出'!$C$6="すべて",'CSV抽出'!$C$6="",D260='CSV抽出'!$C$6),OR('CSV抽出'!$C$7="",B260&amp;""='CSV抽出'!$C$7&amp;"")),1,0))</f>
        <v/>
      </c>
      <c r="AI260" s="20">
        <f>IF(AH260=1,SUM($AH$5:AH260),"")</f>
        <v/>
      </c>
      <c r="AJ260" s="20">
        <f>IF(OR(S260="",'報告書'!$C$4=""),"",IF(S260&amp;""='報告書'!$C$4&amp;"",COUNTIF($S$5:S260,'報告書'!$C$4),""))</f>
        <v/>
      </c>
      <c r="AK260" s="20" t="n"/>
      <c r="AL260" s="47" t="n"/>
      <c r="AM260" s="47" t="n"/>
      <c r="AN260" s="53" t="n"/>
      <c r="AO260" s="47" t="n"/>
      <c r="AP260" s="47" t="n"/>
      <c r="AQ260" s="47" t="n"/>
      <c r="AR260" s="47" t="n"/>
      <c r="AS260" s="47" t="n"/>
      <c r="AT260" s="47" t="n"/>
      <c r="AU260" s="47" t="n"/>
      <c r="AV260" s="47" t="n"/>
      <c r="AW260" s="52" t="n"/>
    </row>
    <row r="261">
      <c r="A261" s="48" t="n"/>
      <c r="B261" s="52" t="n"/>
      <c r="C261" s="47">
        <f>IF(B261="","",IFERROR(INDEX('隊員マスタ'!$B$5:$B$204,MATCH(B261&amp;"",'隊員マスタ'!$F$5:$F$204,0)),IF(AK261="","番号なし",AK261)))</f>
        <v/>
      </c>
      <c r="D261" s="47" t="n"/>
      <c r="E261" s="47" t="n"/>
      <c r="F261" s="47" t="n"/>
      <c r="G261" s="47" t="n"/>
      <c r="H261" s="47" t="n"/>
      <c r="I261" s="47" t="n"/>
      <c r="J261" s="47" t="n"/>
      <c r="K261" s="47" t="n"/>
      <c r="L261" s="47" t="n"/>
      <c r="M261" s="47" t="n"/>
      <c r="N261" s="47" t="n"/>
      <c r="O261" s="47" t="n"/>
      <c r="P261" s="47" t="n"/>
      <c r="Q261" s="47" t="n"/>
      <c r="R261" s="47" t="n"/>
      <c r="S261" s="47" t="n"/>
      <c r="T261" s="47" t="n"/>
      <c r="U261" s="53" t="n"/>
      <c r="V261" s="53" t="n"/>
      <c r="W261" s="47" t="n"/>
      <c r="X261" s="47" t="n"/>
      <c r="Y261" s="47" t="n"/>
      <c r="Z261" s="47" t="n"/>
      <c r="AA261" s="47" t="n"/>
      <c r="AB261" s="47" t="n"/>
      <c r="AC261" s="47" t="n"/>
      <c r="AD261" s="47" t="n"/>
      <c r="AE261" s="47" t="n"/>
      <c r="AF261" s="20">
        <f>IF(A261="","",YEAR(EDATE(A261,-3)))</f>
        <v/>
      </c>
      <c r="AG261" s="20">
        <f>IF(OR(B261="",'経歴簿'!$C$4=""),"",IF(B261&amp;""='経歴簿'!$C$4&amp;"",MAX($AG$4:AG260)+1,""))</f>
        <v/>
      </c>
      <c r="AH261" s="20">
        <f>IF(A261="",0,IF(AND(OR('CSV抽出'!$C$4="",A261&gt;='CSV抽出'!$C$4),OR('CSV抽出'!$C$5="",A261&lt;='CSV抽出'!$C$5),OR('CSV抽出'!$C$6="すべて",'CSV抽出'!$C$6="",D261='CSV抽出'!$C$6),OR('CSV抽出'!$C$7="",B261&amp;""='CSV抽出'!$C$7&amp;"")),1,0))</f>
        <v/>
      </c>
      <c r="AI261" s="20">
        <f>IF(AH261=1,SUM($AH$5:AH261),"")</f>
        <v/>
      </c>
      <c r="AJ261" s="20">
        <f>IF(OR(S261="",'報告書'!$C$4=""),"",IF(S261&amp;""='報告書'!$C$4&amp;"",COUNTIF($S$5:S261,'報告書'!$C$4),""))</f>
        <v/>
      </c>
      <c r="AK261" s="20" t="n"/>
      <c r="AL261" s="47" t="n"/>
      <c r="AM261" s="47" t="n"/>
      <c r="AN261" s="53" t="n"/>
      <c r="AO261" s="47" t="n"/>
      <c r="AP261" s="47" t="n"/>
      <c r="AQ261" s="47" t="n"/>
      <c r="AR261" s="47" t="n"/>
      <c r="AS261" s="47" t="n"/>
      <c r="AT261" s="47" t="n"/>
      <c r="AU261" s="47" t="n"/>
      <c r="AV261" s="47" t="n"/>
      <c r="AW261" s="52" t="n"/>
    </row>
    <row r="262">
      <c r="A262" s="48" t="n"/>
      <c r="B262" s="52" t="n"/>
      <c r="C262" s="47">
        <f>IF(B262="","",IFERROR(INDEX('隊員マスタ'!$B$5:$B$204,MATCH(B262&amp;"",'隊員マスタ'!$F$5:$F$204,0)),IF(AK262="","番号なし",AK262)))</f>
        <v/>
      </c>
      <c r="D262" s="47" t="n"/>
      <c r="E262" s="47" t="n"/>
      <c r="F262" s="47" t="n"/>
      <c r="G262" s="47" t="n"/>
      <c r="H262" s="47" t="n"/>
      <c r="I262" s="47" t="n"/>
      <c r="J262" s="47" t="n"/>
      <c r="K262" s="47" t="n"/>
      <c r="L262" s="47" t="n"/>
      <c r="M262" s="47" t="n"/>
      <c r="N262" s="47" t="n"/>
      <c r="O262" s="47" t="n"/>
      <c r="P262" s="47" t="n"/>
      <c r="Q262" s="47" t="n"/>
      <c r="R262" s="47" t="n"/>
      <c r="S262" s="47" t="n"/>
      <c r="T262" s="47" t="n"/>
      <c r="U262" s="53" t="n"/>
      <c r="V262" s="53" t="n"/>
      <c r="W262" s="47" t="n"/>
      <c r="X262" s="47" t="n"/>
      <c r="Y262" s="47" t="n"/>
      <c r="Z262" s="47" t="n"/>
      <c r="AA262" s="47" t="n"/>
      <c r="AB262" s="47" t="n"/>
      <c r="AC262" s="47" t="n"/>
      <c r="AD262" s="47" t="n"/>
      <c r="AE262" s="47" t="n"/>
      <c r="AF262" s="20">
        <f>IF(A262="","",YEAR(EDATE(A262,-3)))</f>
        <v/>
      </c>
      <c r="AG262" s="20">
        <f>IF(OR(B262="",'経歴簿'!$C$4=""),"",IF(B262&amp;""='経歴簿'!$C$4&amp;"",MAX($AG$4:AG261)+1,""))</f>
        <v/>
      </c>
      <c r="AH262" s="20">
        <f>IF(A262="",0,IF(AND(OR('CSV抽出'!$C$4="",A262&gt;='CSV抽出'!$C$4),OR('CSV抽出'!$C$5="",A262&lt;='CSV抽出'!$C$5),OR('CSV抽出'!$C$6="すべて",'CSV抽出'!$C$6="",D262='CSV抽出'!$C$6),OR('CSV抽出'!$C$7="",B262&amp;""='CSV抽出'!$C$7&amp;"")),1,0))</f>
        <v/>
      </c>
      <c r="AI262" s="20">
        <f>IF(AH262=1,SUM($AH$5:AH262),"")</f>
        <v/>
      </c>
      <c r="AJ262" s="20">
        <f>IF(OR(S262="",'報告書'!$C$4=""),"",IF(S262&amp;""='報告書'!$C$4&amp;"",COUNTIF($S$5:S262,'報告書'!$C$4),""))</f>
        <v/>
      </c>
      <c r="AK262" s="20" t="n"/>
      <c r="AL262" s="47" t="n"/>
      <c r="AM262" s="47" t="n"/>
      <c r="AN262" s="53" t="n"/>
      <c r="AO262" s="47" t="n"/>
      <c r="AP262" s="47" t="n"/>
      <c r="AQ262" s="47" t="n"/>
      <c r="AR262" s="47" t="n"/>
      <c r="AS262" s="47" t="n"/>
      <c r="AT262" s="47" t="n"/>
      <c r="AU262" s="47" t="n"/>
      <c r="AV262" s="47" t="n"/>
      <c r="AW262" s="52" t="n"/>
    </row>
    <row r="263">
      <c r="A263" s="48" t="n"/>
      <c r="B263" s="52" t="n"/>
      <c r="C263" s="47">
        <f>IF(B263="","",IFERROR(INDEX('隊員マスタ'!$B$5:$B$204,MATCH(B263&amp;"",'隊員マスタ'!$F$5:$F$204,0)),IF(AK263="","番号なし",AK263)))</f>
        <v/>
      </c>
      <c r="D263" s="47" t="n"/>
      <c r="E263" s="47" t="n"/>
      <c r="F263" s="47" t="n"/>
      <c r="G263" s="47" t="n"/>
      <c r="H263" s="47" t="n"/>
      <c r="I263" s="47" t="n"/>
      <c r="J263" s="47" t="n"/>
      <c r="K263" s="47" t="n"/>
      <c r="L263" s="47" t="n"/>
      <c r="M263" s="47" t="n"/>
      <c r="N263" s="47" t="n"/>
      <c r="O263" s="47" t="n"/>
      <c r="P263" s="47" t="n"/>
      <c r="Q263" s="47" t="n"/>
      <c r="R263" s="47" t="n"/>
      <c r="S263" s="47" t="n"/>
      <c r="T263" s="47" t="n"/>
      <c r="U263" s="53" t="n"/>
      <c r="V263" s="53" t="n"/>
      <c r="W263" s="47" t="n"/>
      <c r="X263" s="47" t="n"/>
      <c r="Y263" s="47" t="n"/>
      <c r="Z263" s="47" t="n"/>
      <c r="AA263" s="47" t="n"/>
      <c r="AB263" s="47" t="n"/>
      <c r="AC263" s="47" t="n"/>
      <c r="AD263" s="47" t="n"/>
      <c r="AE263" s="47" t="n"/>
      <c r="AF263" s="20">
        <f>IF(A263="","",YEAR(EDATE(A263,-3)))</f>
        <v/>
      </c>
      <c r="AG263" s="20">
        <f>IF(OR(B263="",'経歴簿'!$C$4=""),"",IF(B263&amp;""='経歴簿'!$C$4&amp;"",MAX($AG$4:AG262)+1,""))</f>
        <v/>
      </c>
      <c r="AH263" s="20">
        <f>IF(A263="",0,IF(AND(OR('CSV抽出'!$C$4="",A263&gt;='CSV抽出'!$C$4),OR('CSV抽出'!$C$5="",A263&lt;='CSV抽出'!$C$5),OR('CSV抽出'!$C$6="すべて",'CSV抽出'!$C$6="",D263='CSV抽出'!$C$6),OR('CSV抽出'!$C$7="",B263&amp;""='CSV抽出'!$C$7&amp;"")),1,0))</f>
        <v/>
      </c>
      <c r="AI263" s="20">
        <f>IF(AH263=1,SUM($AH$5:AH263),"")</f>
        <v/>
      </c>
      <c r="AJ263" s="20">
        <f>IF(OR(S263="",'報告書'!$C$4=""),"",IF(S263&amp;""='報告書'!$C$4&amp;"",COUNTIF($S$5:S263,'報告書'!$C$4),""))</f>
        <v/>
      </c>
      <c r="AK263" s="20" t="n"/>
      <c r="AL263" s="47" t="n"/>
      <c r="AM263" s="47" t="n"/>
      <c r="AN263" s="53" t="n"/>
      <c r="AO263" s="47" t="n"/>
      <c r="AP263" s="47" t="n"/>
      <c r="AQ263" s="47" t="n"/>
      <c r="AR263" s="47" t="n"/>
      <c r="AS263" s="47" t="n"/>
      <c r="AT263" s="47" t="n"/>
      <c r="AU263" s="47" t="n"/>
      <c r="AV263" s="47" t="n"/>
      <c r="AW263" s="52" t="n"/>
    </row>
    <row r="264">
      <c r="A264" s="48" t="n"/>
      <c r="B264" s="52" t="n"/>
      <c r="C264" s="47">
        <f>IF(B264="","",IFERROR(INDEX('隊員マスタ'!$B$5:$B$204,MATCH(B264&amp;"",'隊員マスタ'!$F$5:$F$204,0)),IF(AK264="","番号なし",AK264)))</f>
        <v/>
      </c>
      <c r="D264" s="47" t="n"/>
      <c r="E264" s="47" t="n"/>
      <c r="F264" s="47" t="n"/>
      <c r="G264" s="47" t="n"/>
      <c r="H264" s="47" t="n"/>
      <c r="I264" s="47" t="n"/>
      <c r="J264" s="47" t="n"/>
      <c r="K264" s="47" t="n"/>
      <c r="L264" s="47" t="n"/>
      <c r="M264" s="47" t="n"/>
      <c r="N264" s="47" t="n"/>
      <c r="O264" s="47" t="n"/>
      <c r="P264" s="47" t="n"/>
      <c r="Q264" s="47" t="n"/>
      <c r="R264" s="47" t="n"/>
      <c r="S264" s="47" t="n"/>
      <c r="T264" s="47" t="n"/>
      <c r="U264" s="53" t="n"/>
      <c r="V264" s="53" t="n"/>
      <c r="W264" s="47" t="n"/>
      <c r="X264" s="47" t="n"/>
      <c r="Y264" s="47" t="n"/>
      <c r="Z264" s="47" t="n"/>
      <c r="AA264" s="47" t="n"/>
      <c r="AB264" s="47" t="n"/>
      <c r="AC264" s="47" t="n"/>
      <c r="AD264" s="47" t="n"/>
      <c r="AE264" s="47" t="n"/>
      <c r="AF264" s="20">
        <f>IF(A264="","",YEAR(EDATE(A264,-3)))</f>
        <v/>
      </c>
      <c r="AG264" s="20">
        <f>IF(OR(B264="",'経歴簿'!$C$4=""),"",IF(B264&amp;""='経歴簿'!$C$4&amp;"",MAX($AG$4:AG263)+1,""))</f>
        <v/>
      </c>
      <c r="AH264" s="20">
        <f>IF(A264="",0,IF(AND(OR('CSV抽出'!$C$4="",A264&gt;='CSV抽出'!$C$4),OR('CSV抽出'!$C$5="",A264&lt;='CSV抽出'!$C$5),OR('CSV抽出'!$C$6="すべて",'CSV抽出'!$C$6="",D264='CSV抽出'!$C$6),OR('CSV抽出'!$C$7="",B264&amp;""='CSV抽出'!$C$7&amp;"")),1,0))</f>
        <v/>
      </c>
      <c r="AI264" s="20">
        <f>IF(AH264=1,SUM($AH$5:AH264),"")</f>
        <v/>
      </c>
      <c r="AJ264" s="20">
        <f>IF(OR(S264="",'報告書'!$C$4=""),"",IF(S264&amp;""='報告書'!$C$4&amp;"",COUNTIF($S$5:S264,'報告書'!$C$4),""))</f>
        <v/>
      </c>
      <c r="AK264" s="20" t="n"/>
      <c r="AL264" s="47" t="n"/>
      <c r="AM264" s="47" t="n"/>
      <c r="AN264" s="53" t="n"/>
      <c r="AO264" s="47" t="n"/>
      <c r="AP264" s="47" t="n"/>
      <c r="AQ264" s="47" t="n"/>
      <c r="AR264" s="47" t="n"/>
      <c r="AS264" s="47" t="n"/>
      <c r="AT264" s="47" t="n"/>
      <c r="AU264" s="47" t="n"/>
      <c r="AV264" s="47" t="n"/>
      <c r="AW264" s="52" t="n"/>
    </row>
    <row r="265">
      <c r="A265" s="48" t="n"/>
      <c r="B265" s="52" t="n"/>
      <c r="C265" s="47">
        <f>IF(B265="","",IFERROR(INDEX('隊員マスタ'!$B$5:$B$204,MATCH(B265&amp;"",'隊員マスタ'!$F$5:$F$204,0)),IF(AK265="","番号なし",AK265)))</f>
        <v/>
      </c>
      <c r="D265" s="47" t="n"/>
      <c r="E265" s="47" t="n"/>
      <c r="F265" s="47" t="n"/>
      <c r="G265" s="47" t="n"/>
      <c r="H265" s="47" t="n"/>
      <c r="I265" s="47" t="n"/>
      <c r="J265" s="47" t="n"/>
      <c r="K265" s="47" t="n"/>
      <c r="L265" s="47" t="n"/>
      <c r="M265" s="47" t="n"/>
      <c r="N265" s="47" t="n"/>
      <c r="O265" s="47" t="n"/>
      <c r="P265" s="47" t="n"/>
      <c r="Q265" s="47" t="n"/>
      <c r="R265" s="47" t="n"/>
      <c r="S265" s="47" t="n"/>
      <c r="T265" s="47" t="n"/>
      <c r="U265" s="53" t="n"/>
      <c r="V265" s="53" t="n"/>
      <c r="W265" s="47" t="n"/>
      <c r="X265" s="47" t="n"/>
      <c r="Y265" s="47" t="n"/>
      <c r="Z265" s="47" t="n"/>
      <c r="AA265" s="47" t="n"/>
      <c r="AB265" s="47" t="n"/>
      <c r="AC265" s="47" t="n"/>
      <c r="AD265" s="47" t="n"/>
      <c r="AE265" s="47" t="n"/>
      <c r="AF265" s="20">
        <f>IF(A265="","",YEAR(EDATE(A265,-3)))</f>
        <v/>
      </c>
      <c r="AG265" s="20">
        <f>IF(OR(B265="",'経歴簿'!$C$4=""),"",IF(B265&amp;""='経歴簿'!$C$4&amp;"",MAX($AG$4:AG264)+1,""))</f>
        <v/>
      </c>
      <c r="AH265" s="20">
        <f>IF(A265="",0,IF(AND(OR('CSV抽出'!$C$4="",A265&gt;='CSV抽出'!$C$4),OR('CSV抽出'!$C$5="",A265&lt;='CSV抽出'!$C$5),OR('CSV抽出'!$C$6="すべて",'CSV抽出'!$C$6="",D265='CSV抽出'!$C$6),OR('CSV抽出'!$C$7="",B265&amp;""='CSV抽出'!$C$7&amp;"")),1,0))</f>
        <v/>
      </c>
      <c r="AI265" s="20">
        <f>IF(AH265=1,SUM($AH$5:AH265),"")</f>
        <v/>
      </c>
      <c r="AJ265" s="20">
        <f>IF(OR(S265="",'報告書'!$C$4=""),"",IF(S265&amp;""='報告書'!$C$4&amp;"",COUNTIF($S$5:S265,'報告書'!$C$4),""))</f>
        <v/>
      </c>
      <c r="AK265" s="20" t="n"/>
      <c r="AL265" s="47" t="n"/>
      <c r="AM265" s="47" t="n"/>
      <c r="AN265" s="53" t="n"/>
      <c r="AO265" s="47" t="n"/>
      <c r="AP265" s="47" t="n"/>
      <c r="AQ265" s="47" t="n"/>
      <c r="AR265" s="47" t="n"/>
      <c r="AS265" s="47" t="n"/>
      <c r="AT265" s="47" t="n"/>
      <c r="AU265" s="47" t="n"/>
      <c r="AV265" s="47" t="n"/>
      <c r="AW265" s="52" t="n"/>
    </row>
    <row r="266">
      <c r="A266" s="48" t="n"/>
      <c r="B266" s="52" t="n"/>
      <c r="C266" s="47">
        <f>IF(B266="","",IFERROR(INDEX('隊員マスタ'!$B$5:$B$204,MATCH(B266&amp;"",'隊員マスタ'!$F$5:$F$204,0)),IF(AK266="","番号なし",AK266)))</f>
        <v/>
      </c>
      <c r="D266" s="47" t="n"/>
      <c r="E266" s="47" t="n"/>
      <c r="F266" s="47" t="n"/>
      <c r="G266" s="47" t="n"/>
      <c r="H266" s="47" t="n"/>
      <c r="I266" s="47" t="n"/>
      <c r="J266" s="47" t="n"/>
      <c r="K266" s="47" t="n"/>
      <c r="L266" s="47" t="n"/>
      <c r="M266" s="47" t="n"/>
      <c r="N266" s="47" t="n"/>
      <c r="O266" s="47" t="n"/>
      <c r="P266" s="47" t="n"/>
      <c r="Q266" s="47" t="n"/>
      <c r="R266" s="47" t="n"/>
      <c r="S266" s="47" t="n"/>
      <c r="T266" s="47" t="n"/>
      <c r="U266" s="53" t="n"/>
      <c r="V266" s="53" t="n"/>
      <c r="W266" s="47" t="n"/>
      <c r="X266" s="47" t="n"/>
      <c r="Y266" s="47" t="n"/>
      <c r="Z266" s="47" t="n"/>
      <c r="AA266" s="47" t="n"/>
      <c r="AB266" s="47" t="n"/>
      <c r="AC266" s="47" t="n"/>
      <c r="AD266" s="47" t="n"/>
      <c r="AE266" s="47" t="n"/>
      <c r="AF266" s="20">
        <f>IF(A266="","",YEAR(EDATE(A266,-3)))</f>
        <v/>
      </c>
      <c r="AG266" s="20">
        <f>IF(OR(B266="",'経歴簿'!$C$4=""),"",IF(B266&amp;""='経歴簿'!$C$4&amp;"",MAX($AG$4:AG265)+1,""))</f>
        <v/>
      </c>
      <c r="AH266" s="20">
        <f>IF(A266="",0,IF(AND(OR('CSV抽出'!$C$4="",A266&gt;='CSV抽出'!$C$4),OR('CSV抽出'!$C$5="",A266&lt;='CSV抽出'!$C$5),OR('CSV抽出'!$C$6="すべて",'CSV抽出'!$C$6="",D266='CSV抽出'!$C$6),OR('CSV抽出'!$C$7="",B266&amp;""='CSV抽出'!$C$7&amp;"")),1,0))</f>
        <v/>
      </c>
      <c r="AI266" s="20">
        <f>IF(AH266=1,SUM($AH$5:AH266),"")</f>
        <v/>
      </c>
      <c r="AJ266" s="20">
        <f>IF(OR(S266="",'報告書'!$C$4=""),"",IF(S266&amp;""='報告書'!$C$4&amp;"",COUNTIF($S$5:S266,'報告書'!$C$4),""))</f>
        <v/>
      </c>
      <c r="AK266" s="20" t="n"/>
      <c r="AL266" s="47" t="n"/>
      <c r="AM266" s="47" t="n"/>
      <c r="AN266" s="53" t="n"/>
      <c r="AO266" s="47" t="n"/>
      <c r="AP266" s="47" t="n"/>
      <c r="AQ266" s="47" t="n"/>
      <c r="AR266" s="47" t="n"/>
      <c r="AS266" s="47" t="n"/>
      <c r="AT266" s="47" t="n"/>
      <c r="AU266" s="47" t="n"/>
      <c r="AV266" s="47" t="n"/>
      <c r="AW266" s="52" t="n"/>
    </row>
    <row r="267">
      <c r="A267" s="48" t="n"/>
      <c r="B267" s="52" t="n"/>
      <c r="C267" s="47">
        <f>IF(B267="","",IFERROR(INDEX('隊員マスタ'!$B$5:$B$204,MATCH(B267&amp;"",'隊員マスタ'!$F$5:$F$204,0)),IF(AK267="","番号なし",AK267)))</f>
        <v/>
      </c>
      <c r="D267" s="47" t="n"/>
      <c r="E267" s="47" t="n"/>
      <c r="F267" s="47" t="n"/>
      <c r="G267" s="47" t="n"/>
      <c r="H267" s="47" t="n"/>
      <c r="I267" s="47" t="n"/>
      <c r="J267" s="47" t="n"/>
      <c r="K267" s="47" t="n"/>
      <c r="L267" s="47" t="n"/>
      <c r="M267" s="47" t="n"/>
      <c r="N267" s="47" t="n"/>
      <c r="O267" s="47" t="n"/>
      <c r="P267" s="47" t="n"/>
      <c r="Q267" s="47" t="n"/>
      <c r="R267" s="47" t="n"/>
      <c r="S267" s="47" t="n"/>
      <c r="T267" s="47" t="n"/>
      <c r="U267" s="53" t="n"/>
      <c r="V267" s="53" t="n"/>
      <c r="W267" s="47" t="n"/>
      <c r="X267" s="47" t="n"/>
      <c r="Y267" s="47" t="n"/>
      <c r="Z267" s="47" t="n"/>
      <c r="AA267" s="47" t="n"/>
      <c r="AB267" s="47" t="n"/>
      <c r="AC267" s="47" t="n"/>
      <c r="AD267" s="47" t="n"/>
      <c r="AE267" s="47" t="n"/>
      <c r="AF267" s="20">
        <f>IF(A267="","",YEAR(EDATE(A267,-3)))</f>
        <v/>
      </c>
      <c r="AG267" s="20">
        <f>IF(OR(B267="",'経歴簿'!$C$4=""),"",IF(B267&amp;""='経歴簿'!$C$4&amp;"",MAX($AG$4:AG266)+1,""))</f>
        <v/>
      </c>
      <c r="AH267" s="20">
        <f>IF(A267="",0,IF(AND(OR('CSV抽出'!$C$4="",A267&gt;='CSV抽出'!$C$4),OR('CSV抽出'!$C$5="",A267&lt;='CSV抽出'!$C$5),OR('CSV抽出'!$C$6="すべて",'CSV抽出'!$C$6="",D267='CSV抽出'!$C$6),OR('CSV抽出'!$C$7="",B267&amp;""='CSV抽出'!$C$7&amp;"")),1,0))</f>
        <v/>
      </c>
      <c r="AI267" s="20">
        <f>IF(AH267=1,SUM($AH$5:AH267),"")</f>
        <v/>
      </c>
      <c r="AJ267" s="20">
        <f>IF(OR(S267="",'報告書'!$C$4=""),"",IF(S267&amp;""='報告書'!$C$4&amp;"",COUNTIF($S$5:S267,'報告書'!$C$4),""))</f>
        <v/>
      </c>
      <c r="AK267" s="20" t="n"/>
      <c r="AL267" s="47" t="n"/>
      <c r="AM267" s="47" t="n"/>
      <c r="AN267" s="53" t="n"/>
      <c r="AO267" s="47" t="n"/>
      <c r="AP267" s="47" t="n"/>
      <c r="AQ267" s="47" t="n"/>
      <c r="AR267" s="47" t="n"/>
      <c r="AS267" s="47" t="n"/>
      <c r="AT267" s="47" t="n"/>
      <c r="AU267" s="47" t="n"/>
      <c r="AV267" s="47" t="n"/>
      <c r="AW267" s="52" t="n"/>
    </row>
    <row r="268">
      <c r="A268" s="48" t="n"/>
      <c r="B268" s="52" t="n"/>
      <c r="C268" s="47">
        <f>IF(B268="","",IFERROR(INDEX('隊員マスタ'!$B$5:$B$204,MATCH(B268&amp;"",'隊員マスタ'!$F$5:$F$204,0)),IF(AK268="","番号なし",AK268)))</f>
        <v/>
      </c>
      <c r="D268" s="47" t="n"/>
      <c r="E268" s="47" t="n"/>
      <c r="F268" s="47" t="n"/>
      <c r="G268" s="47" t="n"/>
      <c r="H268" s="47" t="n"/>
      <c r="I268" s="47" t="n"/>
      <c r="J268" s="47" t="n"/>
      <c r="K268" s="47" t="n"/>
      <c r="L268" s="47" t="n"/>
      <c r="M268" s="47" t="n"/>
      <c r="N268" s="47" t="n"/>
      <c r="O268" s="47" t="n"/>
      <c r="P268" s="47" t="n"/>
      <c r="Q268" s="47" t="n"/>
      <c r="R268" s="47" t="n"/>
      <c r="S268" s="47" t="n"/>
      <c r="T268" s="47" t="n"/>
      <c r="U268" s="53" t="n"/>
      <c r="V268" s="53" t="n"/>
      <c r="W268" s="47" t="n"/>
      <c r="X268" s="47" t="n"/>
      <c r="Y268" s="47" t="n"/>
      <c r="Z268" s="47" t="n"/>
      <c r="AA268" s="47" t="n"/>
      <c r="AB268" s="47" t="n"/>
      <c r="AC268" s="47" t="n"/>
      <c r="AD268" s="47" t="n"/>
      <c r="AE268" s="47" t="n"/>
      <c r="AF268" s="20">
        <f>IF(A268="","",YEAR(EDATE(A268,-3)))</f>
        <v/>
      </c>
      <c r="AG268" s="20">
        <f>IF(OR(B268="",'経歴簿'!$C$4=""),"",IF(B268&amp;""='経歴簿'!$C$4&amp;"",MAX($AG$4:AG267)+1,""))</f>
        <v/>
      </c>
      <c r="AH268" s="20">
        <f>IF(A268="",0,IF(AND(OR('CSV抽出'!$C$4="",A268&gt;='CSV抽出'!$C$4),OR('CSV抽出'!$C$5="",A268&lt;='CSV抽出'!$C$5),OR('CSV抽出'!$C$6="すべて",'CSV抽出'!$C$6="",D268='CSV抽出'!$C$6),OR('CSV抽出'!$C$7="",B268&amp;""='CSV抽出'!$C$7&amp;"")),1,0))</f>
        <v/>
      </c>
      <c r="AI268" s="20">
        <f>IF(AH268=1,SUM($AH$5:AH268),"")</f>
        <v/>
      </c>
      <c r="AJ268" s="20">
        <f>IF(OR(S268="",'報告書'!$C$4=""),"",IF(S268&amp;""='報告書'!$C$4&amp;"",COUNTIF($S$5:S268,'報告書'!$C$4),""))</f>
        <v/>
      </c>
      <c r="AK268" s="20" t="n"/>
      <c r="AL268" s="47" t="n"/>
      <c r="AM268" s="47" t="n"/>
      <c r="AN268" s="53" t="n"/>
      <c r="AO268" s="47" t="n"/>
      <c r="AP268" s="47" t="n"/>
      <c r="AQ268" s="47" t="n"/>
      <c r="AR268" s="47" t="n"/>
      <c r="AS268" s="47" t="n"/>
      <c r="AT268" s="47" t="n"/>
      <c r="AU268" s="47" t="n"/>
      <c r="AV268" s="47" t="n"/>
      <c r="AW268" s="52" t="n"/>
    </row>
    <row r="269">
      <c r="A269" s="48" t="n"/>
      <c r="B269" s="52" t="n"/>
      <c r="C269" s="47">
        <f>IF(B269="","",IFERROR(INDEX('隊員マスタ'!$B$5:$B$204,MATCH(B269&amp;"",'隊員マスタ'!$F$5:$F$204,0)),IF(AK269="","番号なし",AK269)))</f>
        <v/>
      </c>
      <c r="D269" s="47" t="n"/>
      <c r="E269" s="47" t="n"/>
      <c r="F269" s="47" t="n"/>
      <c r="G269" s="47" t="n"/>
      <c r="H269" s="47" t="n"/>
      <c r="I269" s="47" t="n"/>
      <c r="J269" s="47" t="n"/>
      <c r="K269" s="47" t="n"/>
      <c r="L269" s="47" t="n"/>
      <c r="M269" s="47" t="n"/>
      <c r="N269" s="47" t="n"/>
      <c r="O269" s="47" t="n"/>
      <c r="P269" s="47" t="n"/>
      <c r="Q269" s="47" t="n"/>
      <c r="R269" s="47" t="n"/>
      <c r="S269" s="47" t="n"/>
      <c r="T269" s="47" t="n"/>
      <c r="U269" s="53" t="n"/>
      <c r="V269" s="53" t="n"/>
      <c r="W269" s="47" t="n"/>
      <c r="X269" s="47" t="n"/>
      <c r="Y269" s="47" t="n"/>
      <c r="Z269" s="47" t="n"/>
      <c r="AA269" s="47" t="n"/>
      <c r="AB269" s="47" t="n"/>
      <c r="AC269" s="47" t="n"/>
      <c r="AD269" s="47" t="n"/>
      <c r="AE269" s="47" t="n"/>
      <c r="AF269" s="20">
        <f>IF(A269="","",YEAR(EDATE(A269,-3)))</f>
        <v/>
      </c>
      <c r="AG269" s="20">
        <f>IF(OR(B269="",'経歴簿'!$C$4=""),"",IF(B269&amp;""='経歴簿'!$C$4&amp;"",MAX($AG$4:AG268)+1,""))</f>
        <v/>
      </c>
      <c r="AH269" s="20">
        <f>IF(A269="",0,IF(AND(OR('CSV抽出'!$C$4="",A269&gt;='CSV抽出'!$C$4),OR('CSV抽出'!$C$5="",A269&lt;='CSV抽出'!$C$5),OR('CSV抽出'!$C$6="すべて",'CSV抽出'!$C$6="",D269='CSV抽出'!$C$6),OR('CSV抽出'!$C$7="",B269&amp;""='CSV抽出'!$C$7&amp;"")),1,0))</f>
        <v/>
      </c>
      <c r="AI269" s="20">
        <f>IF(AH269=1,SUM($AH$5:AH269),"")</f>
        <v/>
      </c>
      <c r="AJ269" s="20">
        <f>IF(OR(S269="",'報告書'!$C$4=""),"",IF(S269&amp;""='報告書'!$C$4&amp;"",COUNTIF($S$5:S269,'報告書'!$C$4),""))</f>
        <v/>
      </c>
      <c r="AK269" s="20" t="n"/>
      <c r="AL269" s="47" t="n"/>
      <c r="AM269" s="47" t="n"/>
      <c r="AN269" s="53" t="n"/>
      <c r="AO269" s="47" t="n"/>
      <c r="AP269" s="47" t="n"/>
      <c r="AQ269" s="47" t="n"/>
      <c r="AR269" s="47" t="n"/>
      <c r="AS269" s="47" t="n"/>
      <c r="AT269" s="47" t="n"/>
      <c r="AU269" s="47" t="n"/>
      <c r="AV269" s="47" t="n"/>
      <c r="AW269" s="52" t="n"/>
    </row>
    <row r="270">
      <c r="A270" s="48" t="n"/>
      <c r="B270" s="52" t="n"/>
      <c r="C270" s="47">
        <f>IF(B270="","",IFERROR(INDEX('隊員マスタ'!$B$5:$B$204,MATCH(B270&amp;"",'隊員マスタ'!$F$5:$F$204,0)),IF(AK270="","番号なし",AK270)))</f>
        <v/>
      </c>
      <c r="D270" s="47" t="n"/>
      <c r="E270" s="47" t="n"/>
      <c r="F270" s="47" t="n"/>
      <c r="G270" s="47" t="n"/>
      <c r="H270" s="47" t="n"/>
      <c r="I270" s="47" t="n"/>
      <c r="J270" s="47" t="n"/>
      <c r="K270" s="47" t="n"/>
      <c r="L270" s="47" t="n"/>
      <c r="M270" s="47" t="n"/>
      <c r="N270" s="47" t="n"/>
      <c r="O270" s="47" t="n"/>
      <c r="P270" s="47" t="n"/>
      <c r="Q270" s="47" t="n"/>
      <c r="R270" s="47" t="n"/>
      <c r="S270" s="47" t="n"/>
      <c r="T270" s="47" t="n"/>
      <c r="U270" s="53" t="n"/>
      <c r="V270" s="53" t="n"/>
      <c r="W270" s="47" t="n"/>
      <c r="X270" s="47" t="n"/>
      <c r="Y270" s="47" t="n"/>
      <c r="Z270" s="47" t="n"/>
      <c r="AA270" s="47" t="n"/>
      <c r="AB270" s="47" t="n"/>
      <c r="AC270" s="47" t="n"/>
      <c r="AD270" s="47" t="n"/>
      <c r="AE270" s="47" t="n"/>
      <c r="AF270" s="20">
        <f>IF(A270="","",YEAR(EDATE(A270,-3)))</f>
        <v/>
      </c>
      <c r="AG270" s="20">
        <f>IF(OR(B270="",'経歴簿'!$C$4=""),"",IF(B270&amp;""='経歴簿'!$C$4&amp;"",MAX($AG$4:AG269)+1,""))</f>
        <v/>
      </c>
      <c r="AH270" s="20">
        <f>IF(A270="",0,IF(AND(OR('CSV抽出'!$C$4="",A270&gt;='CSV抽出'!$C$4),OR('CSV抽出'!$C$5="",A270&lt;='CSV抽出'!$C$5),OR('CSV抽出'!$C$6="すべて",'CSV抽出'!$C$6="",D270='CSV抽出'!$C$6),OR('CSV抽出'!$C$7="",B270&amp;""='CSV抽出'!$C$7&amp;"")),1,0))</f>
        <v/>
      </c>
      <c r="AI270" s="20">
        <f>IF(AH270=1,SUM($AH$5:AH270),"")</f>
        <v/>
      </c>
      <c r="AJ270" s="20">
        <f>IF(OR(S270="",'報告書'!$C$4=""),"",IF(S270&amp;""='報告書'!$C$4&amp;"",COUNTIF($S$5:S270,'報告書'!$C$4),""))</f>
        <v/>
      </c>
      <c r="AK270" s="20" t="n"/>
      <c r="AL270" s="47" t="n"/>
      <c r="AM270" s="47" t="n"/>
      <c r="AN270" s="53" t="n"/>
      <c r="AO270" s="47" t="n"/>
      <c r="AP270" s="47" t="n"/>
      <c r="AQ270" s="47" t="n"/>
      <c r="AR270" s="47" t="n"/>
      <c r="AS270" s="47" t="n"/>
      <c r="AT270" s="47" t="n"/>
      <c r="AU270" s="47" t="n"/>
      <c r="AV270" s="47" t="n"/>
      <c r="AW270" s="52" t="n"/>
    </row>
    <row r="271">
      <c r="A271" s="48" t="n"/>
      <c r="B271" s="52" t="n"/>
      <c r="C271" s="47">
        <f>IF(B271="","",IFERROR(INDEX('隊員マスタ'!$B$5:$B$204,MATCH(B271&amp;"",'隊員マスタ'!$F$5:$F$204,0)),IF(AK271="","番号なし",AK271)))</f>
        <v/>
      </c>
      <c r="D271" s="47" t="n"/>
      <c r="E271" s="47" t="n"/>
      <c r="F271" s="47" t="n"/>
      <c r="G271" s="47" t="n"/>
      <c r="H271" s="47" t="n"/>
      <c r="I271" s="47" t="n"/>
      <c r="J271" s="47" t="n"/>
      <c r="K271" s="47" t="n"/>
      <c r="L271" s="47" t="n"/>
      <c r="M271" s="47" t="n"/>
      <c r="N271" s="47" t="n"/>
      <c r="O271" s="47" t="n"/>
      <c r="P271" s="47" t="n"/>
      <c r="Q271" s="47" t="n"/>
      <c r="R271" s="47" t="n"/>
      <c r="S271" s="47" t="n"/>
      <c r="T271" s="47" t="n"/>
      <c r="U271" s="53" t="n"/>
      <c r="V271" s="53" t="n"/>
      <c r="W271" s="47" t="n"/>
      <c r="X271" s="47" t="n"/>
      <c r="Y271" s="47" t="n"/>
      <c r="Z271" s="47" t="n"/>
      <c r="AA271" s="47" t="n"/>
      <c r="AB271" s="47" t="n"/>
      <c r="AC271" s="47" t="n"/>
      <c r="AD271" s="47" t="n"/>
      <c r="AE271" s="47" t="n"/>
      <c r="AF271" s="20">
        <f>IF(A271="","",YEAR(EDATE(A271,-3)))</f>
        <v/>
      </c>
      <c r="AG271" s="20">
        <f>IF(OR(B271="",'経歴簿'!$C$4=""),"",IF(B271&amp;""='経歴簿'!$C$4&amp;"",MAX($AG$4:AG270)+1,""))</f>
        <v/>
      </c>
      <c r="AH271" s="20">
        <f>IF(A271="",0,IF(AND(OR('CSV抽出'!$C$4="",A271&gt;='CSV抽出'!$C$4),OR('CSV抽出'!$C$5="",A271&lt;='CSV抽出'!$C$5),OR('CSV抽出'!$C$6="すべて",'CSV抽出'!$C$6="",D271='CSV抽出'!$C$6),OR('CSV抽出'!$C$7="",B271&amp;""='CSV抽出'!$C$7&amp;"")),1,0))</f>
        <v/>
      </c>
      <c r="AI271" s="20">
        <f>IF(AH271=1,SUM($AH$5:AH271),"")</f>
        <v/>
      </c>
      <c r="AJ271" s="20">
        <f>IF(OR(S271="",'報告書'!$C$4=""),"",IF(S271&amp;""='報告書'!$C$4&amp;"",COUNTIF($S$5:S271,'報告書'!$C$4),""))</f>
        <v/>
      </c>
      <c r="AK271" s="20" t="n"/>
      <c r="AL271" s="47" t="n"/>
      <c r="AM271" s="47" t="n"/>
      <c r="AN271" s="53" t="n"/>
      <c r="AO271" s="47" t="n"/>
      <c r="AP271" s="47" t="n"/>
      <c r="AQ271" s="47" t="n"/>
      <c r="AR271" s="47" t="n"/>
      <c r="AS271" s="47" t="n"/>
      <c r="AT271" s="47" t="n"/>
      <c r="AU271" s="47" t="n"/>
      <c r="AV271" s="47" t="n"/>
      <c r="AW271" s="52" t="n"/>
    </row>
    <row r="272">
      <c r="A272" s="48" t="n"/>
      <c r="B272" s="52" t="n"/>
      <c r="C272" s="47">
        <f>IF(B272="","",IFERROR(INDEX('隊員マスタ'!$B$5:$B$204,MATCH(B272&amp;"",'隊員マスタ'!$F$5:$F$204,0)),IF(AK272="","番号なし",AK272)))</f>
        <v/>
      </c>
      <c r="D272" s="47" t="n"/>
      <c r="E272" s="47" t="n"/>
      <c r="F272" s="47" t="n"/>
      <c r="G272" s="47" t="n"/>
      <c r="H272" s="47" t="n"/>
      <c r="I272" s="47" t="n"/>
      <c r="J272" s="47" t="n"/>
      <c r="K272" s="47" t="n"/>
      <c r="L272" s="47" t="n"/>
      <c r="M272" s="47" t="n"/>
      <c r="N272" s="47" t="n"/>
      <c r="O272" s="47" t="n"/>
      <c r="P272" s="47" t="n"/>
      <c r="Q272" s="47" t="n"/>
      <c r="R272" s="47" t="n"/>
      <c r="S272" s="47" t="n"/>
      <c r="T272" s="47" t="n"/>
      <c r="U272" s="53" t="n"/>
      <c r="V272" s="53" t="n"/>
      <c r="W272" s="47" t="n"/>
      <c r="X272" s="47" t="n"/>
      <c r="Y272" s="47" t="n"/>
      <c r="Z272" s="47" t="n"/>
      <c r="AA272" s="47" t="n"/>
      <c r="AB272" s="47" t="n"/>
      <c r="AC272" s="47" t="n"/>
      <c r="AD272" s="47" t="n"/>
      <c r="AE272" s="47" t="n"/>
      <c r="AF272" s="20">
        <f>IF(A272="","",YEAR(EDATE(A272,-3)))</f>
        <v/>
      </c>
      <c r="AG272" s="20">
        <f>IF(OR(B272="",'経歴簿'!$C$4=""),"",IF(B272&amp;""='経歴簿'!$C$4&amp;"",MAX($AG$4:AG271)+1,""))</f>
        <v/>
      </c>
      <c r="AH272" s="20">
        <f>IF(A272="",0,IF(AND(OR('CSV抽出'!$C$4="",A272&gt;='CSV抽出'!$C$4),OR('CSV抽出'!$C$5="",A272&lt;='CSV抽出'!$C$5),OR('CSV抽出'!$C$6="すべて",'CSV抽出'!$C$6="",D272='CSV抽出'!$C$6),OR('CSV抽出'!$C$7="",B272&amp;""='CSV抽出'!$C$7&amp;"")),1,0))</f>
        <v/>
      </c>
      <c r="AI272" s="20">
        <f>IF(AH272=1,SUM($AH$5:AH272),"")</f>
        <v/>
      </c>
      <c r="AJ272" s="20">
        <f>IF(OR(S272="",'報告書'!$C$4=""),"",IF(S272&amp;""='報告書'!$C$4&amp;"",COUNTIF($S$5:S272,'報告書'!$C$4),""))</f>
        <v/>
      </c>
      <c r="AK272" s="20" t="n"/>
      <c r="AL272" s="47" t="n"/>
      <c r="AM272" s="47" t="n"/>
      <c r="AN272" s="53" t="n"/>
      <c r="AO272" s="47" t="n"/>
      <c r="AP272" s="47" t="n"/>
      <c r="AQ272" s="47" t="n"/>
      <c r="AR272" s="47" t="n"/>
      <c r="AS272" s="47" t="n"/>
      <c r="AT272" s="47" t="n"/>
      <c r="AU272" s="47" t="n"/>
      <c r="AV272" s="47" t="n"/>
      <c r="AW272" s="52" t="n"/>
    </row>
    <row r="273">
      <c r="A273" s="48" t="n"/>
      <c r="B273" s="52" t="n"/>
      <c r="C273" s="47">
        <f>IF(B273="","",IFERROR(INDEX('隊員マスタ'!$B$5:$B$204,MATCH(B273&amp;"",'隊員マスタ'!$F$5:$F$204,0)),IF(AK273="","番号なし",AK273)))</f>
        <v/>
      </c>
      <c r="D273" s="47" t="n"/>
      <c r="E273" s="47" t="n"/>
      <c r="F273" s="47" t="n"/>
      <c r="G273" s="47" t="n"/>
      <c r="H273" s="47" t="n"/>
      <c r="I273" s="47" t="n"/>
      <c r="J273" s="47" t="n"/>
      <c r="K273" s="47" t="n"/>
      <c r="L273" s="47" t="n"/>
      <c r="M273" s="47" t="n"/>
      <c r="N273" s="47" t="n"/>
      <c r="O273" s="47" t="n"/>
      <c r="P273" s="47" t="n"/>
      <c r="Q273" s="47" t="n"/>
      <c r="R273" s="47" t="n"/>
      <c r="S273" s="47" t="n"/>
      <c r="T273" s="47" t="n"/>
      <c r="U273" s="53" t="n"/>
      <c r="V273" s="53" t="n"/>
      <c r="W273" s="47" t="n"/>
      <c r="X273" s="47" t="n"/>
      <c r="Y273" s="47" t="n"/>
      <c r="Z273" s="47" t="n"/>
      <c r="AA273" s="47" t="n"/>
      <c r="AB273" s="47" t="n"/>
      <c r="AC273" s="47" t="n"/>
      <c r="AD273" s="47" t="n"/>
      <c r="AE273" s="47" t="n"/>
      <c r="AF273" s="20">
        <f>IF(A273="","",YEAR(EDATE(A273,-3)))</f>
        <v/>
      </c>
      <c r="AG273" s="20">
        <f>IF(OR(B273="",'経歴簿'!$C$4=""),"",IF(B273&amp;""='経歴簿'!$C$4&amp;"",MAX($AG$4:AG272)+1,""))</f>
        <v/>
      </c>
      <c r="AH273" s="20">
        <f>IF(A273="",0,IF(AND(OR('CSV抽出'!$C$4="",A273&gt;='CSV抽出'!$C$4),OR('CSV抽出'!$C$5="",A273&lt;='CSV抽出'!$C$5),OR('CSV抽出'!$C$6="すべて",'CSV抽出'!$C$6="",D273='CSV抽出'!$C$6),OR('CSV抽出'!$C$7="",B273&amp;""='CSV抽出'!$C$7&amp;"")),1,0))</f>
        <v/>
      </c>
      <c r="AI273" s="20">
        <f>IF(AH273=1,SUM($AH$5:AH273),"")</f>
        <v/>
      </c>
      <c r="AJ273" s="20">
        <f>IF(OR(S273="",'報告書'!$C$4=""),"",IF(S273&amp;""='報告書'!$C$4&amp;"",COUNTIF($S$5:S273,'報告書'!$C$4),""))</f>
        <v/>
      </c>
      <c r="AK273" s="20" t="n"/>
      <c r="AL273" s="47" t="n"/>
      <c r="AM273" s="47" t="n"/>
      <c r="AN273" s="53" t="n"/>
      <c r="AO273" s="47" t="n"/>
      <c r="AP273" s="47" t="n"/>
      <c r="AQ273" s="47" t="n"/>
      <c r="AR273" s="47" t="n"/>
      <c r="AS273" s="47" t="n"/>
      <c r="AT273" s="47" t="n"/>
      <c r="AU273" s="47" t="n"/>
      <c r="AV273" s="47" t="n"/>
      <c r="AW273" s="52" t="n"/>
    </row>
    <row r="274">
      <c r="A274" s="48" t="n"/>
      <c r="B274" s="52" t="n"/>
      <c r="C274" s="47">
        <f>IF(B274="","",IFERROR(INDEX('隊員マスタ'!$B$5:$B$204,MATCH(B274&amp;"",'隊員マスタ'!$F$5:$F$204,0)),IF(AK274="","番号なし",AK274)))</f>
        <v/>
      </c>
      <c r="D274" s="47" t="n"/>
      <c r="E274" s="47" t="n"/>
      <c r="F274" s="47" t="n"/>
      <c r="G274" s="47" t="n"/>
      <c r="H274" s="47" t="n"/>
      <c r="I274" s="47" t="n"/>
      <c r="J274" s="47" t="n"/>
      <c r="K274" s="47" t="n"/>
      <c r="L274" s="47" t="n"/>
      <c r="M274" s="47" t="n"/>
      <c r="N274" s="47" t="n"/>
      <c r="O274" s="47" t="n"/>
      <c r="P274" s="47" t="n"/>
      <c r="Q274" s="47" t="n"/>
      <c r="R274" s="47" t="n"/>
      <c r="S274" s="47" t="n"/>
      <c r="T274" s="47" t="n"/>
      <c r="U274" s="53" t="n"/>
      <c r="V274" s="53" t="n"/>
      <c r="W274" s="47" t="n"/>
      <c r="X274" s="47" t="n"/>
      <c r="Y274" s="47" t="n"/>
      <c r="Z274" s="47" t="n"/>
      <c r="AA274" s="47" t="n"/>
      <c r="AB274" s="47" t="n"/>
      <c r="AC274" s="47" t="n"/>
      <c r="AD274" s="47" t="n"/>
      <c r="AE274" s="47" t="n"/>
      <c r="AF274" s="20">
        <f>IF(A274="","",YEAR(EDATE(A274,-3)))</f>
        <v/>
      </c>
      <c r="AG274" s="20">
        <f>IF(OR(B274="",'経歴簿'!$C$4=""),"",IF(B274&amp;""='経歴簿'!$C$4&amp;"",MAX($AG$4:AG273)+1,""))</f>
        <v/>
      </c>
      <c r="AH274" s="20">
        <f>IF(A274="",0,IF(AND(OR('CSV抽出'!$C$4="",A274&gt;='CSV抽出'!$C$4),OR('CSV抽出'!$C$5="",A274&lt;='CSV抽出'!$C$5),OR('CSV抽出'!$C$6="すべて",'CSV抽出'!$C$6="",D274='CSV抽出'!$C$6),OR('CSV抽出'!$C$7="",B274&amp;""='CSV抽出'!$C$7&amp;"")),1,0))</f>
        <v/>
      </c>
      <c r="AI274" s="20">
        <f>IF(AH274=1,SUM($AH$5:AH274),"")</f>
        <v/>
      </c>
      <c r="AJ274" s="20">
        <f>IF(OR(S274="",'報告書'!$C$4=""),"",IF(S274&amp;""='報告書'!$C$4&amp;"",COUNTIF($S$5:S274,'報告書'!$C$4),""))</f>
        <v/>
      </c>
      <c r="AK274" s="20" t="n"/>
      <c r="AL274" s="47" t="n"/>
      <c r="AM274" s="47" t="n"/>
      <c r="AN274" s="53" t="n"/>
      <c r="AO274" s="47" t="n"/>
      <c r="AP274" s="47" t="n"/>
      <c r="AQ274" s="47" t="n"/>
      <c r="AR274" s="47" t="n"/>
      <c r="AS274" s="47" t="n"/>
      <c r="AT274" s="47" t="n"/>
      <c r="AU274" s="47" t="n"/>
      <c r="AV274" s="47" t="n"/>
      <c r="AW274" s="52" t="n"/>
    </row>
    <row r="275">
      <c r="A275" s="48" t="n"/>
      <c r="B275" s="52" t="n"/>
      <c r="C275" s="47">
        <f>IF(B275="","",IFERROR(INDEX('隊員マスタ'!$B$5:$B$204,MATCH(B275&amp;"",'隊員マスタ'!$F$5:$F$204,0)),IF(AK275="","番号なし",AK275)))</f>
        <v/>
      </c>
      <c r="D275" s="47" t="n"/>
      <c r="E275" s="47" t="n"/>
      <c r="F275" s="47" t="n"/>
      <c r="G275" s="47" t="n"/>
      <c r="H275" s="47" t="n"/>
      <c r="I275" s="47" t="n"/>
      <c r="J275" s="47" t="n"/>
      <c r="K275" s="47" t="n"/>
      <c r="L275" s="47" t="n"/>
      <c r="M275" s="47" t="n"/>
      <c r="N275" s="47" t="n"/>
      <c r="O275" s="47" t="n"/>
      <c r="P275" s="47" t="n"/>
      <c r="Q275" s="47" t="n"/>
      <c r="R275" s="47" t="n"/>
      <c r="S275" s="47" t="n"/>
      <c r="T275" s="47" t="n"/>
      <c r="U275" s="53" t="n"/>
      <c r="V275" s="53" t="n"/>
      <c r="W275" s="47" t="n"/>
      <c r="X275" s="47" t="n"/>
      <c r="Y275" s="47" t="n"/>
      <c r="Z275" s="47" t="n"/>
      <c r="AA275" s="47" t="n"/>
      <c r="AB275" s="47" t="n"/>
      <c r="AC275" s="47" t="n"/>
      <c r="AD275" s="47" t="n"/>
      <c r="AE275" s="47" t="n"/>
      <c r="AF275" s="20">
        <f>IF(A275="","",YEAR(EDATE(A275,-3)))</f>
        <v/>
      </c>
      <c r="AG275" s="20">
        <f>IF(OR(B275="",'経歴簿'!$C$4=""),"",IF(B275&amp;""='経歴簿'!$C$4&amp;"",MAX($AG$4:AG274)+1,""))</f>
        <v/>
      </c>
      <c r="AH275" s="20">
        <f>IF(A275="",0,IF(AND(OR('CSV抽出'!$C$4="",A275&gt;='CSV抽出'!$C$4),OR('CSV抽出'!$C$5="",A275&lt;='CSV抽出'!$C$5),OR('CSV抽出'!$C$6="すべて",'CSV抽出'!$C$6="",D275='CSV抽出'!$C$6),OR('CSV抽出'!$C$7="",B275&amp;""='CSV抽出'!$C$7&amp;"")),1,0))</f>
        <v/>
      </c>
      <c r="AI275" s="20">
        <f>IF(AH275=1,SUM($AH$5:AH275),"")</f>
        <v/>
      </c>
      <c r="AJ275" s="20">
        <f>IF(OR(S275="",'報告書'!$C$4=""),"",IF(S275&amp;""='報告書'!$C$4&amp;"",COUNTIF($S$5:S275,'報告書'!$C$4),""))</f>
        <v/>
      </c>
      <c r="AK275" s="20" t="n"/>
      <c r="AL275" s="47" t="n"/>
      <c r="AM275" s="47" t="n"/>
      <c r="AN275" s="53" t="n"/>
      <c r="AO275" s="47" t="n"/>
      <c r="AP275" s="47" t="n"/>
      <c r="AQ275" s="47" t="n"/>
      <c r="AR275" s="47" t="n"/>
      <c r="AS275" s="47" t="n"/>
      <c r="AT275" s="47" t="n"/>
      <c r="AU275" s="47" t="n"/>
      <c r="AV275" s="47" t="n"/>
      <c r="AW275" s="52" t="n"/>
    </row>
    <row r="276">
      <c r="A276" s="48" t="n"/>
      <c r="B276" s="52" t="n"/>
      <c r="C276" s="47">
        <f>IF(B276="","",IFERROR(INDEX('隊員マスタ'!$B$5:$B$204,MATCH(B276&amp;"",'隊員マスタ'!$F$5:$F$204,0)),IF(AK276="","番号なし",AK276)))</f>
        <v/>
      </c>
      <c r="D276" s="47" t="n"/>
      <c r="E276" s="47" t="n"/>
      <c r="F276" s="47" t="n"/>
      <c r="G276" s="47" t="n"/>
      <c r="H276" s="47" t="n"/>
      <c r="I276" s="47" t="n"/>
      <c r="J276" s="47" t="n"/>
      <c r="K276" s="47" t="n"/>
      <c r="L276" s="47" t="n"/>
      <c r="M276" s="47" t="n"/>
      <c r="N276" s="47" t="n"/>
      <c r="O276" s="47" t="n"/>
      <c r="P276" s="47" t="n"/>
      <c r="Q276" s="47" t="n"/>
      <c r="R276" s="47" t="n"/>
      <c r="S276" s="47" t="n"/>
      <c r="T276" s="47" t="n"/>
      <c r="U276" s="53" t="n"/>
      <c r="V276" s="53" t="n"/>
      <c r="W276" s="47" t="n"/>
      <c r="X276" s="47" t="n"/>
      <c r="Y276" s="47" t="n"/>
      <c r="Z276" s="47" t="n"/>
      <c r="AA276" s="47" t="n"/>
      <c r="AB276" s="47" t="n"/>
      <c r="AC276" s="47" t="n"/>
      <c r="AD276" s="47" t="n"/>
      <c r="AE276" s="47" t="n"/>
      <c r="AF276" s="20">
        <f>IF(A276="","",YEAR(EDATE(A276,-3)))</f>
        <v/>
      </c>
      <c r="AG276" s="20">
        <f>IF(OR(B276="",'経歴簿'!$C$4=""),"",IF(B276&amp;""='経歴簿'!$C$4&amp;"",MAX($AG$4:AG275)+1,""))</f>
        <v/>
      </c>
      <c r="AH276" s="20">
        <f>IF(A276="",0,IF(AND(OR('CSV抽出'!$C$4="",A276&gt;='CSV抽出'!$C$4),OR('CSV抽出'!$C$5="",A276&lt;='CSV抽出'!$C$5),OR('CSV抽出'!$C$6="すべて",'CSV抽出'!$C$6="",D276='CSV抽出'!$C$6),OR('CSV抽出'!$C$7="",B276&amp;""='CSV抽出'!$C$7&amp;"")),1,0))</f>
        <v/>
      </c>
      <c r="AI276" s="20">
        <f>IF(AH276=1,SUM($AH$5:AH276),"")</f>
        <v/>
      </c>
      <c r="AJ276" s="20">
        <f>IF(OR(S276="",'報告書'!$C$4=""),"",IF(S276&amp;""='報告書'!$C$4&amp;"",COUNTIF($S$5:S276,'報告書'!$C$4),""))</f>
        <v/>
      </c>
      <c r="AK276" s="20" t="n"/>
      <c r="AL276" s="47" t="n"/>
      <c r="AM276" s="47" t="n"/>
      <c r="AN276" s="53" t="n"/>
      <c r="AO276" s="47" t="n"/>
      <c r="AP276" s="47" t="n"/>
      <c r="AQ276" s="47" t="n"/>
      <c r="AR276" s="47" t="n"/>
      <c r="AS276" s="47" t="n"/>
      <c r="AT276" s="47" t="n"/>
      <c r="AU276" s="47" t="n"/>
      <c r="AV276" s="47" t="n"/>
      <c r="AW276" s="52" t="n"/>
    </row>
    <row r="277">
      <c r="A277" s="48" t="n"/>
      <c r="B277" s="52" t="n"/>
      <c r="C277" s="47">
        <f>IF(B277="","",IFERROR(INDEX('隊員マスタ'!$B$5:$B$204,MATCH(B277&amp;"",'隊員マスタ'!$F$5:$F$204,0)),IF(AK277="","番号なし",AK277)))</f>
        <v/>
      </c>
      <c r="D277" s="47" t="n"/>
      <c r="E277" s="47" t="n"/>
      <c r="F277" s="47" t="n"/>
      <c r="G277" s="47" t="n"/>
      <c r="H277" s="47" t="n"/>
      <c r="I277" s="47" t="n"/>
      <c r="J277" s="47" t="n"/>
      <c r="K277" s="47" t="n"/>
      <c r="L277" s="47" t="n"/>
      <c r="M277" s="47" t="n"/>
      <c r="N277" s="47" t="n"/>
      <c r="O277" s="47" t="n"/>
      <c r="P277" s="47" t="n"/>
      <c r="Q277" s="47" t="n"/>
      <c r="R277" s="47" t="n"/>
      <c r="S277" s="47" t="n"/>
      <c r="T277" s="47" t="n"/>
      <c r="U277" s="53" t="n"/>
      <c r="V277" s="53" t="n"/>
      <c r="W277" s="47" t="n"/>
      <c r="X277" s="47" t="n"/>
      <c r="Y277" s="47" t="n"/>
      <c r="Z277" s="47" t="n"/>
      <c r="AA277" s="47" t="n"/>
      <c r="AB277" s="47" t="n"/>
      <c r="AC277" s="47" t="n"/>
      <c r="AD277" s="47" t="n"/>
      <c r="AE277" s="47" t="n"/>
      <c r="AF277" s="20">
        <f>IF(A277="","",YEAR(EDATE(A277,-3)))</f>
        <v/>
      </c>
      <c r="AG277" s="20">
        <f>IF(OR(B277="",'経歴簿'!$C$4=""),"",IF(B277&amp;""='経歴簿'!$C$4&amp;"",MAX($AG$4:AG276)+1,""))</f>
        <v/>
      </c>
      <c r="AH277" s="20">
        <f>IF(A277="",0,IF(AND(OR('CSV抽出'!$C$4="",A277&gt;='CSV抽出'!$C$4),OR('CSV抽出'!$C$5="",A277&lt;='CSV抽出'!$C$5),OR('CSV抽出'!$C$6="すべて",'CSV抽出'!$C$6="",D277='CSV抽出'!$C$6),OR('CSV抽出'!$C$7="",B277&amp;""='CSV抽出'!$C$7&amp;"")),1,0))</f>
        <v/>
      </c>
      <c r="AI277" s="20">
        <f>IF(AH277=1,SUM($AH$5:AH277),"")</f>
        <v/>
      </c>
      <c r="AJ277" s="20">
        <f>IF(OR(S277="",'報告書'!$C$4=""),"",IF(S277&amp;""='報告書'!$C$4&amp;"",COUNTIF($S$5:S277,'報告書'!$C$4),""))</f>
        <v/>
      </c>
      <c r="AK277" s="20" t="n"/>
      <c r="AL277" s="47" t="n"/>
      <c r="AM277" s="47" t="n"/>
      <c r="AN277" s="53" t="n"/>
      <c r="AO277" s="47" t="n"/>
      <c r="AP277" s="47" t="n"/>
      <c r="AQ277" s="47" t="n"/>
      <c r="AR277" s="47" t="n"/>
      <c r="AS277" s="47" t="n"/>
      <c r="AT277" s="47" t="n"/>
      <c r="AU277" s="47" t="n"/>
      <c r="AV277" s="47" t="n"/>
      <c r="AW277" s="52" t="n"/>
    </row>
    <row r="278">
      <c r="A278" s="48" t="n"/>
      <c r="B278" s="52" t="n"/>
      <c r="C278" s="47">
        <f>IF(B278="","",IFERROR(INDEX('隊員マスタ'!$B$5:$B$204,MATCH(B278&amp;"",'隊員マスタ'!$F$5:$F$204,0)),IF(AK278="","番号なし",AK278)))</f>
        <v/>
      </c>
      <c r="D278" s="47" t="n"/>
      <c r="E278" s="47" t="n"/>
      <c r="F278" s="47" t="n"/>
      <c r="G278" s="47" t="n"/>
      <c r="H278" s="47" t="n"/>
      <c r="I278" s="47" t="n"/>
      <c r="J278" s="47" t="n"/>
      <c r="K278" s="47" t="n"/>
      <c r="L278" s="47" t="n"/>
      <c r="M278" s="47" t="n"/>
      <c r="N278" s="47" t="n"/>
      <c r="O278" s="47" t="n"/>
      <c r="P278" s="47" t="n"/>
      <c r="Q278" s="47" t="n"/>
      <c r="R278" s="47" t="n"/>
      <c r="S278" s="47" t="n"/>
      <c r="T278" s="47" t="n"/>
      <c r="U278" s="53" t="n"/>
      <c r="V278" s="53" t="n"/>
      <c r="W278" s="47" t="n"/>
      <c r="X278" s="47" t="n"/>
      <c r="Y278" s="47" t="n"/>
      <c r="Z278" s="47" t="n"/>
      <c r="AA278" s="47" t="n"/>
      <c r="AB278" s="47" t="n"/>
      <c r="AC278" s="47" t="n"/>
      <c r="AD278" s="47" t="n"/>
      <c r="AE278" s="47" t="n"/>
      <c r="AF278" s="20">
        <f>IF(A278="","",YEAR(EDATE(A278,-3)))</f>
        <v/>
      </c>
      <c r="AG278" s="20">
        <f>IF(OR(B278="",'経歴簿'!$C$4=""),"",IF(B278&amp;""='経歴簿'!$C$4&amp;"",MAX($AG$4:AG277)+1,""))</f>
        <v/>
      </c>
      <c r="AH278" s="20">
        <f>IF(A278="",0,IF(AND(OR('CSV抽出'!$C$4="",A278&gt;='CSV抽出'!$C$4),OR('CSV抽出'!$C$5="",A278&lt;='CSV抽出'!$C$5),OR('CSV抽出'!$C$6="すべて",'CSV抽出'!$C$6="",D278='CSV抽出'!$C$6),OR('CSV抽出'!$C$7="",B278&amp;""='CSV抽出'!$C$7&amp;"")),1,0))</f>
        <v/>
      </c>
      <c r="AI278" s="20">
        <f>IF(AH278=1,SUM($AH$5:AH278),"")</f>
        <v/>
      </c>
      <c r="AJ278" s="20">
        <f>IF(OR(S278="",'報告書'!$C$4=""),"",IF(S278&amp;""='報告書'!$C$4&amp;"",COUNTIF($S$5:S278,'報告書'!$C$4),""))</f>
        <v/>
      </c>
      <c r="AK278" s="20" t="n"/>
      <c r="AL278" s="47" t="n"/>
      <c r="AM278" s="47" t="n"/>
      <c r="AN278" s="53" t="n"/>
      <c r="AO278" s="47" t="n"/>
      <c r="AP278" s="47" t="n"/>
      <c r="AQ278" s="47" t="n"/>
      <c r="AR278" s="47" t="n"/>
      <c r="AS278" s="47" t="n"/>
      <c r="AT278" s="47" t="n"/>
      <c r="AU278" s="47" t="n"/>
      <c r="AV278" s="47" t="n"/>
      <c r="AW278" s="52" t="n"/>
    </row>
    <row r="279">
      <c r="A279" s="48" t="n"/>
      <c r="B279" s="52" t="n"/>
      <c r="C279" s="47">
        <f>IF(B279="","",IFERROR(INDEX('隊員マスタ'!$B$5:$B$204,MATCH(B279&amp;"",'隊員マスタ'!$F$5:$F$204,0)),IF(AK279="","番号なし",AK279)))</f>
        <v/>
      </c>
      <c r="D279" s="47" t="n"/>
      <c r="E279" s="47" t="n"/>
      <c r="F279" s="47" t="n"/>
      <c r="G279" s="47" t="n"/>
      <c r="H279" s="47" t="n"/>
      <c r="I279" s="47" t="n"/>
      <c r="J279" s="47" t="n"/>
      <c r="K279" s="47" t="n"/>
      <c r="L279" s="47" t="n"/>
      <c r="M279" s="47" t="n"/>
      <c r="N279" s="47" t="n"/>
      <c r="O279" s="47" t="n"/>
      <c r="P279" s="47" t="n"/>
      <c r="Q279" s="47" t="n"/>
      <c r="R279" s="47" t="n"/>
      <c r="S279" s="47" t="n"/>
      <c r="T279" s="47" t="n"/>
      <c r="U279" s="53" t="n"/>
      <c r="V279" s="53" t="n"/>
      <c r="W279" s="47" t="n"/>
      <c r="X279" s="47" t="n"/>
      <c r="Y279" s="47" t="n"/>
      <c r="Z279" s="47" t="n"/>
      <c r="AA279" s="47" t="n"/>
      <c r="AB279" s="47" t="n"/>
      <c r="AC279" s="47" t="n"/>
      <c r="AD279" s="47" t="n"/>
      <c r="AE279" s="47" t="n"/>
      <c r="AF279" s="20">
        <f>IF(A279="","",YEAR(EDATE(A279,-3)))</f>
        <v/>
      </c>
      <c r="AG279" s="20">
        <f>IF(OR(B279="",'経歴簿'!$C$4=""),"",IF(B279&amp;""='経歴簿'!$C$4&amp;"",MAX($AG$4:AG278)+1,""))</f>
        <v/>
      </c>
      <c r="AH279" s="20">
        <f>IF(A279="",0,IF(AND(OR('CSV抽出'!$C$4="",A279&gt;='CSV抽出'!$C$4),OR('CSV抽出'!$C$5="",A279&lt;='CSV抽出'!$C$5),OR('CSV抽出'!$C$6="すべて",'CSV抽出'!$C$6="",D279='CSV抽出'!$C$6),OR('CSV抽出'!$C$7="",B279&amp;""='CSV抽出'!$C$7&amp;"")),1,0))</f>
        <v/>
      </c>
      <c r="AI279" s="20">
        <f>IF(AH279=1,SUM($AH$5:AH279),"")</f>
        <v/>
      </c>
      <c r="AJ279" s="20">
        <f>IF(OR(S279="",'報告書'!$C$4=""),"",IF(S279&amp;""='報告書'!$C$4&amp;"",COUNTIF($S$5:S279,'報告書'!$C$4),""))</f>
        <v/>
      </c>
      <c r="AK279" s="20" t="n"/>
      <c r="AL279" s="47" t="n"/>
      <c r="AM279" s="47" t="n"/>
      <c r="AN279" s="53" t="n"/>
      <c r="AO279" s="47" t="n"/>
      <c r="AP279" s="47" t="n"/>
      <c r="AQ279" s="47" t="n"/>
      <c r="AR279" s="47" t="n"/>
      <c r="AS279" s="47" t="n"/>
      <c r="AT279" s="47" t="n"/>
      <c r="AU279" s="47" t="n"/>
      <c r="AV279" s="47" t="n"/>
      <c r="AW279" s="52" t="n"/>
    </row>
    <row r="280">
      <c r="A280" s="48" t="n"/>
      <c r="B280" s="52" t="n"/>
      <c r="C280" s="47">
        <f>IF(B280="","",IFERROR(INDEX('隊員マスタ'!$B$5:$B$204,MATCH(B280&amp;"",'隊員マスタ'!$F$5:$F$204,0)),IF(AK280="","番号なし",AK280)))</f>
        <v/>
      </c>
      <c r="D280" s="47" t="n"/>
      <c r="E280" s="47" t="n"/>
      <c r="F280" s="47" t="n"/>
      <c r="G280" s="47" t="n"/>
      <c r="H280" s="47" t="n"/>
      <c r="I280" s="47" t="n"/>
      <c r="J280" s="47" t="n"/>
      <c r="K280" s="47" t="n"/>
      <c r="L280" s="47" t="n"/>
      <c r="M280" s="47" t="n"/>
      <c r="N280" s="47" t="n"/>
      <c r="O280" s="47" t="n"/>
      <c r="P280" s="47" t="n"/>
      <c r="Q280" s="47" t="n"/>
      <c r="R280" s="47" t="n"/>
      <c r="S280" s="47" t="n"/>
      <c r="T280" s="47" t="n"/>
      <c r="U280" s="53" t="n"/>
      <c r="V280" s="53" t="n"/>
      <c r="W280" s="47" t="n"/>
      <c r="X280" s="47" t="n"/>
      <c r="Y280" s="47" t="n"/>
      <c r="Z280" s="47" t="n"/>
      <c r="AA280" s="47" t="n"/>
      <c r="AB280" s="47" t="n"/>
      <c r="AC280" s="47" t="n"/>
      <c r="AD280" s="47" t="n"/>
      <c r="AE280" s="47" t="n"/>
      <c r="AF280" s="20">
        <f>IF(A280="","",YEAR(EDATE(A280,-3)))</f>
        <v/>
      </c>
      <c r="AG280" s="20">
        <f>IF(OR(B280="",'経歴簿'!$C$4=""),"",IF(B280&amp;""='経歴簿'!$C$4&amp;"",MAX($AG$4:AG279)+1,""))</f>
        <v/>
      </c>
      <c r="AH280" s="20">
        <f>IF(A280="",0,IF(AND(OR('CSV抽出'!$C$4="",A280&gt;='CSV抽出'!$C$4),OR('CSV抽出'!$C$5="",A280&lt;='CSV抽出'!$C$5),OR('CSV抽出'!$C$6="すべて",'CSV抽出'!$C$6="",D280='CSV抽出'!$C$6),OR('CSV抽出'!$C$7="",B280&amp;""='CSV抽出'!$C$7&amp;"")),1,0))</f>
        <v/>
      </c>
      <c r="AI280" s="20">
        <f>IF(AH280=1,SUM($AH$5:AH280),"")</f>
        <v/>
      </c>
      <c r="AJ280" s="20">
        <f>IF(OR(S280="",'報告書'!$C$4=""),"",IF(S280&amp;""='報告書'!$C$4&amp;"",COUNTIF($S$5:S280,'報告書'!$C$4),""))</f>
        <v/>
      </c>
      <c r="AK280" s="20" t="n"/>
      <c r="AL280" s="47" t="n"/>
      <c r="AM280" s="47" t="n"/>
      <c r="AN280" s="53" t="n"/>
      <c r="AO280" s="47" t="n"/>
      <c r="AP280" s="47" t="n"/>
      <c r="AQ280" s="47" t="n"/>
      <c r="AR280" s="47" t="n"/>
      <c r="AS280" s="47" t="n"/>
      <c r="AT280" s="47" t="n"/>
      <c r="AU280" s="47" t="n"/>
      <c r="AV280" s="47" t="n"/>
      <c r="AW280" s="52" t="n"/>
    </row>
    <row r="281">
      <c r="A281" s="48" t="n"/>
      <c r="B281" s="52" t="n"/>
      <c r="C281" s="47">
        <f>IF(B281="","",IFERROR(INDEX('隊員マスタ'!$B$5:$B$204,MATCH(B281&amp;"",'隊員マスタ'!$F$5:$F$204,0)),IF(AK281="","番号なし",AK281)))</f>
        <v/>
      </c>
      <c r="D281" s="47" t="n"/>
      <c r="E281" s="47" t="n"/>
      <c r="F281" s="47" t="n"/>
      <c r="G281" s="47" t="n"/>
      <c r="H281" s="47" t="n"/>
      <c r="I281" s="47" t="n"/>
      <c r="J281" s="47" t="n"/>
      <c r="K281" s="47" t="n"/>
      <c r="L281" s="47" t="n"/>
      <c r="M281" s="47" t="n"/>
      <c r="N281" s="47" t="n"/>
      <c r="O281" s="47" t="n"/>
      <c r="P281" s="47" t="n"/>
      <c r="Q281" s="47" t="n"/>
      <c r="R281" s="47" t="n"/>
      <c r="S281" s="47" t="n"/>
      <c r="T281" s="47" t="n"/>
      <c r="U281" s="53" t="n"/>
      <c r="V281" s="53" t="n"/>
      <c r="W281" s="47" t="n"/>
      <c r="X281" s="47" t="n"/>
      <c r="Y281" s="47" t="n"/>
      <c r="Z281" s="47" t="n"/>
      <c r="AA281" s="47" t="n"/>
      <c r="AB281" s="47" t="n"/>
      <c r="AC281" s="47" t="n"/>
      <c r="AD281" s="47" t="n"/>
      <c r="AE281" s="47" t="n"/>
      <c r="AF281" s="20">
        <f>IF(A281="","",YEAR(EDATE(A281,-3)))</f>
        <v/>
      </c>
      <c r="AG281" s="20">
        <f>IF(OR(B281="",'経歴簿'!$C$4=""),"",IF(B281&amp;""='経歴簿'!$C$4&amp;"",MAX($AG$4:AG280)+1,""))</f>
        <v/>
      </c>
      <c r="AH281" s="20">
        <f>IF(A281="",0,IF(AND(OR('CSV抽出'!$C$4="",A281&gt;='CSV抽出'!$C$4),OR('CSV抽出'!$C$5="",A281&lt;='CSV抽出'!$C$5),OR('CSV抽出'!$C$6="すべて",'CSV抽出'!$C$6="",D281='CSV抽出'!$C$6),OR('CSV抽出'!$C$7="",B281&amp;""='CSV抽出'!$C$7&amp;"")),1,0))</f>
        <v/>
      </c>
      <c r="AI281" s="20">
        <f>IF(AH281=1,SUM($AH$5:AH281),"")</f>
        <v/>
      </c>
      <c r="AJ281" s="20">
        <f>IF(OR(S281="",'報告書'!$C$4=""),"",IF(S281&amp;""='報告書'!$C$4&amp;"",COUNTIF($S$5:S281,'報告書'!$C$4),""))</f>
        <v/>
      </c>
      <c r="AK281" s="20" t="n"/>
      <c r="AL281" s="47" t="n"/>
      <c r="AM281" s="47" t="n"/>
      <c r="AN281" s="53" t="n"/>
      <c r="AO281" s="47" t="n"/>
      <c r="AP281" s="47" t="n"/>
      <c r="AQ281" s="47" t="n"/>
      <c r="AR281" s="47" t="n"/>
      <c r="AS281" s="47" t="n"/>
      <c r="AT281" s="47" t="n"/>
      <c r="AU281" s="47" t="n"/>
      <c r="AV281" s="47" t="n"/>
      <c r="AW281" s="52" t="n"/>
    </row>
    <row r="282">
      <c r="A282" s="48" t="n"/>
      <c r="B282" s="52" t="n"/>
      <c r="C282" s="47">
        <f>IF(B282="","",IFERROR(INDEX('隊員マスタ'!$B$5:$B$204,MATCH(B282&amp;"",'隊員マスタ'!$F$5:$F$204,0)),IF(AK282="","番号なし",AK282)))</f>
        <v/>
      </c>
      <c r="D282" s="47" t="n"/>
      <c r="E282" s="47" t="n"/>
      <c r="F282" s="47" t="n"/>
      <c r="G282" s="47" t="n"/>
      <c r="H282" s="47" t="n"/>
      <c r="I282" s="47" t="n"/>
      <c r="J282" s="47" t="n"/>
      <c r="K282" s="47" t="n"/>
      <c r="L282" s="47" t="n"/>
      <c r="M282" s="47" t="n"/>
      <c r="N282" s="47" t="n"/>
      <c r="O282" s="47" t="n"/>
      <c r="P282" s="47" t="n"/>
      <c r="Q282" s="47" t="n"/>
      <c r="R282" s="47" t="n"/>
      <c r="S282" s="47" t="n"/>
      <c r="T282" s="47" t="n"/>
      <c r="U282" s="53" t="n"/>
      <c r="V282" s="53" t="n"/>
      <c r="W282" s="47" t="n"/>
      <c r="X282" s="47" t="n"/>
      <c r="Y282" s="47" t="n"/>
      <c r="Z282" s="47" t="n"/>
      <c r="AA282" s="47" t="n"/>
      <c r="AB282" s="47" t="n"/>
      <c r="AC282" s="47" t="n"/>
      <c r="AD282" s="47" t="n"/>
      <c r="AE282" s="47" t="n"/>
      <c r="AF282" s="20">
        <f>IF(A282="","",YEAR(EDATE(A282,-3)))</f>
        <v/>
      </c>
      <c r="AG282" s="20">
        <f>IF(OR(B282="",'経歴簿'!$C$4=""),"",IF(B282&amp;""='経歴簿'!$C$4&amp;"",MAX($AG$4:AG281)+1,""))</f>
        <v/>
      </c>
      <c r="AH282" s="20">
        <f>IF(A282="",0,IF(AND(OR('CSV抽出'!$C$4="",A282&gt;='CSV抽出'!$C$4),OR('CSV抽出'!$C$5="",A282&lt;='CSV抽出'!$C$5),OR('CSV抽出'!$C$6="すべて",'CSV抽出'!$C$6="",D282='CSV抽出'!$C$6),OR('CSV抽出'!$C$7="",B282&amp;""='CSV抽出'!$C$7&amp;"")),1,0))</f>
        <v/>
      </c>
      <c r="AI282" s="20">
        <f>IF(AH282=1,SUM($AH$5:AH282),"")</f>
        <v/>
      </c>
      <c r="AJ282" s="20">
        <f>IF(OR(S282="",'報告書'!$C$4=""),"",IF(S282&amp;""='報告書'!$C$4&amp;"",COUNTIF($S$5:S282,'報告書'!$C$4),""))</f>
        <v/>
      </c>
      <c r="AK282" s="20" t="n"/>
      <c r="AL282" s="47" t="n"/>
      <c r="AM282" s="47" t="n"/>
      <c r="AN282" s="53" t="n"/>
      <c r="AO282" s="47" t="n"/>
      <c r="AP282" s="47" t="n"/>
      <c r="AQ282" s="47" t="n"/>
      <c r="AR282" s="47" t="n"/>
      <c r="AS282" s="47" t="n"/>
      <c r="AT282" s="47" t="n"/>
      <c r="AU282" s="47" t="n"/>
      <c r="AV282" s="47" t="n"/>
      <c r="AW282" s="52" t="n"/>
    </row>
    <row r="283">
      <c r="A283" s="48" t="n"/>
      <c r="B283" s="52" t="n"/>
      <c r="C283" s="47">
        <f>IF(B283="","",IFERROR(INDEX('隊員マスタ'!$B$5:$B$204,MATCH(B283&amp;"",'隊員マスタ'!$F$5:$F$204,0)),IF(AK283="","番号なし",AK283)))</f>
        <v/>
      </c>
      <c r="D283" s="47" t="n"/>
      <c r="E283" s="47" t="n"/>
      <c r="F283" s="47" t="n"/>
      <c r="G283" s="47" t="n"/>
      <c r="H283" s="47" t="n"/>
      <c r="I283" s="47" t="n"/>
      <c r="J283" s="47" t="n"/>
      <c r="K283" s="47" t="n"/>
      <c r="L283" s="47" t="n"/>
      <c r="M283" s="47" t="n"/>
      <c r="N283" s="47" t="n"/>
      <c r="O283" s="47" t="n"/>
      <c r="P283" s="47" t="n"/>
      <c r="Q283" s="47" t="n"/>
      <c r="R283" s="47" t="n"/>
      <c r="S283" s="47" t="n"/>
      <c r="T283" s="47" t="n"/>
      <c r="U283" s="53" t="n"/>
      <c r="V283" s="53" t="n"/>
      <c r="W283" s="47" t="n"/>
      <c r="X283" s="47" t="n"/>
      <c r="Y283" s="47" t="n"/>
      <c r="Z283" s="47" t="n"/>
      <c r="AA283" s="47" t="n"/>
      <c r="AB283" s="47" t="n"/>
      <c r="AC283" s="47" t="n"/>
      <c r="AD283" s="47" t="n"/>
      <c r="AE283" s="47" t="n"/>
      <c r="AF283" s="20">
        <f>IF(A283="","",YEAR(EDATE(A283,-3)))</f>
        <v/>
      </c>
      <c r="AG283" s="20">
        <f>IF(OR(B283="",'経歴簿'!$C$4=""),"",IF(B283&amp;""='経歴簿'!$C$4&amp;"",MAX($AG$4:AG282)+1,""))</f>
        <v/>
      </c>
      <c r="AH283" s="20">
        <f>IF(A283="",0,IF(AND(OR('CSV抽出'!$C$4="",A283&gt;='CSV抽出'!$C$4),OR('CSV抽出'!$C$5="",A283&lt;='CSV抽出'!$C$5),OR('CSV抽出'!$C$6="すべて",'CSV抽出'!$C$6="",D283='CSV抽出'!$C$6),OR('CSV抽出'!$C$7="",B283&amp;""='CSV抽出'!$C$7&amp;"")),1,0))</f>
        <v/>
      </c>
      <c r="AI283" s="20">
        <f>IF(AH283=1,SUM($AH$5:AH283),"")</f>
        <v/>
      </c>
      <c r="AJ283" s="20">
        <f>IF(OR(S283="",'報告書'!$C$4=""),"",IF(S283&amp;""='報告書'!$C$4&amp;"",COUNTIF($S$5:S283,'報告書'!$C$4),""))</f>
        <v/>
      </c>
      <c r="AK283" s="20" t="n"/>
      <c r="AL283" s="47" t="n"/>
      <c r="AM283" s="47" t="n"/>
      <c r="AN283" s="53" t="n"/>
      <c r="AO283" s="47" t="n"/>
      <c r="AP283" s="47" t="n"/>
      <c r="AQ283" s="47" t="n"/>
      <c r="AR283" s="47" t="n"/>
      <c r="AS283" s="47" t="n"/>
      <c r="AT283" s="47" t="n"/>
      <c r="AU283" s="47" t="n"/>
      <c r="AV283" s="47" t="n"/>
      <c r="AW283" s="52" t="n"/>
    </row>
    <row r="284">
      <c r="A284" s="48" t="n"/>
      <c r="B284" s="52" t="n"/>
      <c r="C284" s="47">
        <f>IF(B284="","",IFERROR(INDEX('隊員マスタ'!$B$5:$B$204,MATCH(B284&amp;"",'隊員マスタ'!$F$5:$F$204,0)),IF(AK284="","番号なし",AK284)))</f>
        <v/>
      </c>
      <c r="D284" s="47" t="n"/>
      <c r="E284" s="47" t="n"/>
      <c r="F284" s="47" t="n"/>
      <c r="G284" s="47" t="n"/>
      <c r="H284" s="47" t="n"/>
      <c r="I284" s="47" t="n"/>
      <c r="J284" s="47" t="n"/>
      <c r="K284" s="47" t="n"/>
      <c r="L284" s="47" t="n"/>
      <c r="M284" s="47" t="n"/>
      <c r="N284" s="47" t="n"/>
      <c r="O284" s="47" t="n"/>
      <c r="P284" s="47" t="n"/>
      <c r="Q284" s="47" t="n"/>
      <c r="R284" s="47" t="n"/>
      <c r="S284" s="47" t="n"/>
      <c r="T284" s="47" t="n"/>
      <c r="U284" s="53" t="n"/>
      <c r="V284" s="53" t="n"/>
      <c r="W284" s="47" t="n"/>
      <c r="X284" s="47" t="n"/>
      <c r="Y284" s="47" t="n"/>
      <c r="Z284" s="47" t="n"/>
      <c r="AA284" s="47" t="n"/>
      <c r="AB284" s="47" t="n"/>
      <c r="AC284" s="47" t="n"/>
      <c r="AD284" s="47" t="n"/>
      <c r="AE284" s="47" t="n"/>
      <c r="AF284" s="20">
        <f>IF(A284="","",YEAR(EDATE(A284,-3)))</f>
        <v/>
      </c>
      <c r="AG284" s="20">
        <f>IF(OR(B284="",'経歴簿'!$C$4=""),"",IF(B284&amp;""='経歴簿'!$C$4&amp;"",MAX($AG$4:AG283)+1,""))</f>
        <v/>
      </c>
      <c r="AH284" s="20">
        <f>IF(A284="",0,IF(AND(OR('CSV抽出'!$C$4="",A284&gt;='CSV抽出'!$C$4),OR('CSV抽出'!$C$5="",A284&lt;='CSV抽出'!$C$5),OR('CSV抽出'!$C$6="すべて",'CSV抽出'!$C$6="",D284='CSV抽出'!$C$6),OR('CSV抽出'!$C$7="",B284&amp;""='CSV抽出'!$C$7&amp;"")),1,0))</f>
        <v/>
      </c>
      <c r="AI284" s="20">
        <f>IF(AH284=1,SUM($AH$5:AH284),"")</f>
        <v/>
      </c>
      <c r="AJ284" s="20">
        <f>IF(OR(S284="",'報告書'!$C$4=""),"",IF(S284&amp;""='報告書'!$C$4&amp;"",COUNTIF($S$5:S284,'報告書'!$C$4),""))</f>
        <v/>
      </c>
      <c r="AK284" s="20" t="n"/>
      <c r="AL284" s="47" t="n"/>
      <c r="AM284" s="47" t="n"/>
      <c r="AN284" s="53" t="n"/>
      <c r="AO284" s="47" t="n"/>
      <c r="AP284" s="47" t="n"/>
      <c r="AQ284" s="47" t="n"/>
      <c r="AR284" s="47" t="n"/>
      <c r="AS284" s="47" t="n"/>
      <c r="AT284" s="47" t="n"/>
      <c r="AU284" s="47" t="n"/>
      <c r="AV284" s="47" t="n"/>
      <c r="AW284" s="52" t="n"/>
    </row>
    <row r="285">
      <c r="A285" s="48" t="n"/>
      <c r="B285" s="52" t="n"/>
      <c r="C285" s="47">
        <f>IF(B285="","",IFERROR(INDEX('隊員マスタ'!$B$5:$B$204,MATCH(B285&amp;"",'隊員マスタ'!$F$5:$F$204,0)),IF(AK285="","番号なし",AK285)))</f>
        <v/>
      </c>
      <c r="D285" s="47" t="n"/>
      <c r="E285" s="47" t="n"/>
      <c r="F285" s="47" t="n"/>
      <c r="G285" s="47" t="n"/>
      <c r="H285" s="47" t="n"/>
      <c r="I285" s="47" t="n"/>
      <c r="J285" s="47" t="n"/>
      <c r="K285" s="47" t="n"/>
      <c r="L285" s="47" t="n"/>
      <c r="M285" s="47" t="n"/>
      <c r="N285" s="47" t="n"/>
      <c r="O285" s="47" t="n"/>
      <c r="P285" s="47" t="n"/>
      <c r="Q285" s="47" t="n"/>
      <c r="R285" s="47" t="n"/>
      <c r="S285" s="47" t="n"/>
      <c r="T285" s="47" t="n"/>
      <c r="U285" s="53" t="n"/>
      <c r="V285" s="53" t="n"/>
      <c r="W285" s="47" t="n"/>
      <c r="X285" s="47" t="n"/>
      <c r="Y285" s="47" t="n"/>
      <c r="Z285" s="47" t="n"/>
      <c r="AA285" s="47" t="n"/>
      <c r="AB285" s="47" t="n"/>
      <c r="AC285" s="47" t="n"/>
      <c r="AD285" s="47" t="n"/>
      <c r="AE285" s="47" t="n"/>
      <c r="AF285" s="20">
        <f>IF(A285="","",YEAR(EDATE(A285,-3)))</f>
        <v/>
      </c>
      <c r="AG285" s="20">
        <f>IF(OR(B285="",'経歴簿'!$C$4=""),"",IF(B285&amp;""='経歴簿'!$C$4&amp;"",MAX($AG$4:AG284)+1,""))</f>
        <v/>
      </c>
      <c r="AH285" s="20">
        <f>IF(A285="",0,IF(AND(OR('CSV抽出'!$C$4="",A285&gt;='CSV抽出'!$C$4),OR('CSV抽出'!$C$5="",A285&lt;='CSV抽出'!$C$5),OR('CSV抽出'!$C$6="すべて",'CSV抽出'!$C$6="",D285='CSV抽出'!$C$6),OR('CSV抽出'!$C$7="",B285&amp;""='CSV抽出'!$C$7&amp;"")),1,0))</f>
        <v/>
      </c>
      <c r="AI285" s="20">
        <f>IF(AH285=1,SUM($AH$5:AH285),"")</f>
        <v/>
      </c>
      <c r="AJ285" s="20">
        <f>IF(OR(S285="",'報告書'!$C$4=""),"",IF(S285&amp;""='報告書'!$C$4&amp;"",COUNTIF($S$5:S285,'報告書'!$C$4),""))</f>
        <v/>
      </c>
      <c r="AK285" s="20" t="n"/>
      <c r="AL285" s="47" t="n"/>
      <c r="AM285" s="47" t="n"/>
      <c r="AN285" s="53" t="n"/>
      <c r="AO285" s="47" t="n"/>
      <c r="AP285" s="47" t="n"/>
      <c r="AQ285" s="47" t="n"/>
      <c r="AR285" s="47" t="n"/>
      <c r="AS285" s="47" t="n"/>
      <c r="AT285" s="47" t="n"/>
      <c r="AU285" s="47" t="n"/>
      <c r="AV285" s="47" t="n"/>
      <c r="AW285" s="52" t="n"/>
    </row>
    <row r="286">
      <c r="A286" s="48" t="n"/>
      <c r="B286" s="52" t="n"/>
      <c r="C286" s="47">
        <f>IF(B286="","",IFERROR(INDEX('隊員マスタ'!$B$5:$B$204,MATCH(B286&amp;"",'隊員マスタ'!$F$5:$F$204,0)),IF(AK286="","番号なし",AK286)))</f>
        <v/>
      </c>
      <c r="D286" s="47" t="n"/>
      <c r="E286" s="47" t="n"/>
      <c r="F286" s="47" t="n"/>
      <c r="G286" s="47" t="n"/>
      <c r="H286" s="47" t="n"/>
      <c r="I286" s="47" t="n"/>
      <c r="J286" s="47" t="n"/>
      <c r="K286" s="47" t="n"/>
      <c r="L286" s="47" t="n"/>
      <c r="M286" s="47" t="n"/>
      <c r="N286" s="47" t="n"/>
      <c r="O286" s="47" t="n"/>
      <c r="P286" s="47" t="n"/>
      <c r="Q286" s="47" t="n"/>
      <c r="R286" s="47" t="n"/>
      <c r="S286" s="47" t="n"/>
      <c r="T286" s="47" t="n"/>
      <c r="U286" s="53" t="n"/>
      <c r="V286" s="53" t="n"/>
      <c r="W286" s="47" t="n"/>
      <c r="X286" s="47" t="n"/>
      <c r="Y286" s="47" t="n"/>
      <c r="Z286" s="47" t="n"/>
      <c r="AA286" s="47" t="n"/>
      <c r="AB286" s="47" t="n"/>
      <c r="AC286" s="47" t="n"/>
      <c r="AD286" s="47" t="n"/>
      <c r="AE286" s="47" t="n"/>
      <c r="AF286" s="20">
        <f>IF(A286="","",YEAR(EDATE(A286,-3)))</f>
        <v/>
      </c>
      <c r="AG286" s="20">
        <f>IF(OR(B286="",'経歴簿'!$C$4=""),"",IF(B286&amp;""='経歴簿'!$C$4&amp;"",MAX($AG$4:AG285)+1,""))</f>
        <v/>
      </c>
      <c r="AH286" s="20">
        <f>IF(A286="",0,IF(AND(OR('CSV抽出'!$C$4="",A286&gt;='CSV抽出'!$C$4),OR('CSV抽出'!$C$5="",A286&lt;='CSV抽出'!$C$5),OR('CSV抽出'!$C$6="すべて",'CSV抽出'!$C$6="",D286='CSV抽出'!$C$6),OR('CSV抽出'!$C$7="",B286&amp;""='CSV抽出'!$C$7&amp;"")),1,0))</f>
        <v/>
      </c>
      <c r="AI286" s="20">
        <f>IF(AH286=1,SUM($AH$5:AH286),"")</f>
        <v/>
      </c>
      <c r="AJ286" s="20">
        <f>IF(OR(S286="",'報告書'!$C$4=""),"",IF(S286&amp;""='報告書'!$C$4&amp;"",COUNTIF($S$5:S286,'報告書'!$C$4),""))</f>
        <v/>
      </c>
      <c r="AK286" s="20" t="n"/>
      <c r="AL286" s="47" t="n"/>
      <c r="AM286" s="47" t="n"/>
      <c r="AN286" s="53" t="n"/>
      <c r="AO286" s="47" t="n"/>
      <c r="AP286" s="47" t="n"/>
      <c r="AQ286" s="47" t="n"/>
      <c r="AR286" s="47" t="n"/>
      <c r="AS286" s="47" t="n"/>
      <c r="AT286" s="47" t="n"/>
      <c r="AU286" s="47" t="n"/>
      <c r="AV286" s="47" t="n"/>
      <c r="AW286" s="52" t="n"/>
    </row>
    <row r="287">
      <c r="A287" s="48" t="n"/>
      <c r="B287" s="52" t="n"/>
      <c r="C287" s="47">
        <f>IF(B287="","",IFERROR(INDEX('隊員マスタ'!$B$5:$B$204,MATCH(B287&amp;"",'隊員マスタ'!$F$5:$F$204,0)),IF(AK287="","番号なし",AK287)))</f>
        <v/>
      </c>
      <c r="D287" s="47" t="n"/>
      <c r="E287" s="47" t="n"/>
      <c r="F287" s="47" t="n"/>
      <c r="G287" s="47" t="n"/>
      <c r="H287" s="47" t="n"/>
      <c r="I287" s="47" t="n"/>
      <c r="J287" s="47" t="n"/>
      <c r="K287" s="47" t="n"/>
      <c r="L287" s="47" t="n"/>
      <c r="M287" s="47" t="n"/>
      <c r="N287" s="47" t="n"/>
      <c r="O287" s="47" t="n"/>
      <c r="P287" s="47" t="n"/>
      <c r="Q287" s="47" t="n"/>
      <c r="R287" s="47" t="n"/>
      <c r="S287" s="47" t="n"/>
      <c r="T287" s="47" t="n"/>
      <c r="U287" s="53" t="n"/>
      <c r="V287" s="53" t="n"/>
      <c r="W287" s="47" t="n"/>
      <c r="X287" s="47" t="n"/>
      <c r="Y287" s="47" t="n"/>
      <c r="Z287" s="47" t="n"/>
      <c r="AA287" s="47" t="n"/>
      <c r="AB287" s="47" t="n"/>
      <c r="AC287" s="47" t="n"/>
      <c r="AD287" s="47" t="n"/>
      <c r="AE287" s="47" t="n"/>
      <c r="AF287" s="20">
        <f>IF(A287="","",YEAR(EDATE(A287,-3)))</f>
        <v/>
      </c>
      <c r="AG287" s="20">
        <f>IF(OR(B287="",'経歴簿'!$C$4=""),"",IF(B287&amp;""='経歴簿'!$C$4&amp;"",MAX($AG$4:AG286)+1,""))</f>
        <v/>
      </c>
      <c r="AH287" s="20">
        <f>IF(A287="",0,IF(AND(OR('CSV抽出'!$C$4="",A287&gt;='CSV抽出'!$C$4),OR('CSV抽出'!$C$5="",A287&lt;='CSV抽出'!$C$5),OR('CSV抽出'!$C$6="すべて",'CSV抽出'!$C$6="",D287='CSV抽出'!$C$6),OR('CSV抽出'!$C$7="",B287&amp;""='CSV抽出'!$C$7&amp;"")),1,0))</f>
        <v/>
      </c>
      <c r="AI287" s="20">
        <f>IF(AH287=1,SUM($AH$5:AH287),"")</f>
        <v/>
      </c>
      <c r="AJ287" s="20">
        <f>IF(OR(S287="",'報告書'!$C$4=""),"",IF(S287&amp;""='報告書'!$C$4&amp;"",COUNTIF($S$5:S287,'報告書'!$C$4),""))</f>
        <v/>
      </c>
      <c r="AK287" s="20" t="n"/>
      <c r="AL287" s="47" t="n"/>
      <c r="AM287" s="47" t="n"/>
      <c r="AN287" s="53" t="n"/>
      <c r="AO287" s="47" t="n"/>
      <c r="AP287" s="47" t="n"/>
      <c r="AQ287" s="47" t="n"/>
      <c r="AR287" s="47" t="n"/>
      <c r="AS287" s="47" t="n"/>
      <c r="AT287" s="47" t="n"/>
      <c r="AU287" s="47" t="n"/>
      <c r="AV287" s="47" t="n"/>
      <c r="AW287" s="52" t="n"/>
    </row>
    <row r="288">
      <c r="A288" s="48" t="n"/>
      <c r="B288" s="52" t="n"/>
      <c r="C288" s="47">
        <f>IF(B288="","",IFERROR(INDEX('隊員マスタ'!$B$5:$B$204,MATCH(B288&amp;"",'隊員マスタ'!$F$5:$F$204,0)),IF(AK288="","番号なし",AK288)))</f>
        <v/>
      </c>
      <c r="D288" s="47" t="n"/>
      <c r="E288" s="47" t="n"/>
      <c r="F288" s="47" t="n"/>
      <c r="G288" s="47" t="n"/>
      <c r="H288" s="47" t="n"/>
      <c r="I288" s="47" t="n"/>
      <c r="J288" s="47" t="n"/>
      <c r="K288" s="47" t="n"/>
      <c r="L288" s="47" t="n"/>
      <c r="M288" s="47" t="n"/>
      <c r="N288" s="47" t="n"/>
      <c r="O288" s="47" t="n"/>
      <c r="P288" s="47" t="n"/>
      <c r="Q288" s="47" t="n"/>
      <c r="R288" s="47" t="n"/>
      <c r="S288" s="47" t="n"/>
      <c r="T288" s="47" t="n"/>
      <c r="U288" s="53" t="n"/>
      <c r="V288" s="53" t="n"/>
      <c r="W288" s="47" t="n"/>
      <c r="X288" s="47" t="n"/>
      <c r="Y288" s="47" t="n"/>
      <c r="Z288" s="47" t="n"/>
      <c r="AA288" s="47" t="n"/>
      <c r="AB288" s="47" t="n"/>
      <c r="AC288" s="47" t="n"/>
      <c r="AD288" s="47" t="n"/>
      <c r="AE288" s="47" t="n"/>
      <c r="AF288" s="20">
        <f>IF(A288="","",YEAR(EDATE(A288,-3)))</f>
        <v/>
      </c>
      <c r="AG288" s="20">
        <f>IF(OR(B288="",'経歴簿'!$C$4=""),"",IF(B288&amp;""='経歴簿'!$C$4&amp;"",MAX($AG$4:AG287)+1,""))</f>
        <v/>
      </c>
      <c r="AH288" s="20">
        <f>IF(A288="",0,IF(AND(OR('CSV抽出'!$C$4="",A288&gt;='CSV抽出'!$C$4),OR('CSV抽出'!$C$5="",A288&lt;='CSV抽出'!$C$5),OR('CSV抽出'!$C$6="すべて",'CSV抽出'!$C$6="",D288='CSV抽出'!$C$6),OR('CSV抽出'!$C$7="",B288&amp;""='CSV抽出'!$C$7&amp;"")),1,0))</f>
        <v/>
      </c>
      <c r="AI288" s="20">
        <f>IF(AH288=1,SUM($AH$5:AH288),"")</f>
        <v/>
      </c>
      <c r="AJ288" s="20">
        <f>IF(OR(S288="",'報告書'!$C$4=""),"",IF(S288&amp;""='報告書'!$C$4&amp;"",COUNTIF($S$5:S288,'報告書'!$C$4),""))</f>
        <v/>
      </c>
      <c r="AK288" s="20" t="n"/>
      <c r="AL288" s="47" t="n"/>
      <c r="AM288" s="47" t="n"/>
      <c r="AN288" s="53" t="n"/>
      <c r="AO288" s="47" t="n"/>
      <c r="AP288" s="47" t="n"/>
      <c r="AQ288" s="47" t="n"/>
      <c r="AR288" s="47" t="n"/>
      <c r="AS288" s="47" t="n"/>
      <c r="AT288" s="47" t="n"/>
      <c r="AU288" s="47" t="n"/>
      <c r="AV288" s="47" t="n"/>
      <c r="AW288" s="52" t="n"/>
    </row>
    <row r="289">
      <c r="A289" s="48" t="n"/>
      <c r="B289" s="52" t="n"/>
      <c r="C289" s="47">
        <f>IF(B289="","",IFERROR(INDEX('隊員マスタ'!$B$5:$B$204,MATCH(B289&amp;"",'隊員マスタ'!$F$5:$F$204,0)),IF(AK289="","番号なし",AK289)))</f>
        <v/>
      </c>
      <c r="D289" s="47" t="n"/>
      <c r="E289" s="47" t="n"/>
      <c r="F289" s="47" t="n"/>
      <c r="G289" s="47" t="n"/>
      <c r="H289" s="47" t="n"/>
      <c r="I289" s="47" t="n"/>
      <c r="J289" s="47" t="n"/>
      <c r="K289" s="47" t="n"/>
      <c r="L289" s="47" t="n"/>
      <c r="M289" s="47" t="n"/>
      <c r="N289" s="47" t="n"/>
      <c r="O289" s="47" t="n"/>
      <c r="P289" s="47" t="n"/>
      <c r="Q289" s="47" t="n"/>
      <c r="R289" s="47" t="n"/>
      <c r="S289" s="47" t="n"/>
      <c r="T289" s="47" t="n"/>
      <c r="U289" s="53" t="n"/>
      <c r="V289" s="53" t="n"/>
      <c r="W289" s="47" t="n"/>
      <c r="X289" s="47" t="n"/>
      <c r="Y289" s="47" t="n"/>
      <c r="Z289" s="47" t="n"/>
      <c r="AA289" s="47" t="n"/>
      <c r="AB289" s="47" t="n"/>
      <c r="AC289" s="47" t="n"/>
      <c r="AD289" s="47" t="n"/>
      <c r="AE289" s="47" t="n"/>
      <c r="AF289" s="20">
        <f>IF(A289="","",YEAR(EDATE(A289,-3)))</f>
        <v/>
      </c>
      <c r="AG289" s="20">
        <f>IF(OR(B289="",'経歴簿'!$C$4=""),"",IF(B289&amp;""='経歴簿'!$C$4&amp;"",MAX($AG$4:AG288)+1,""))</f>
        <v/>
      </c>
      <c r="AH289" s="20">
        <f>IF(A289="",0,IF(AND(OR('CSV抽出'!$C$4="",A289&gt;='CSV抽出'!$C$4),OR('CSV抽出'!$C$5="",A289&lt;='CSV抽出'!$C$5),OR('CSV抽出'!$C$6="すべて",'CSV抽出'!$C$6="",D289='CSV抽出'!$C$6),OR('CSV抽出'!$C$7="",B289&amp;""='CSV抽出'!$C$7&amp;"")),1,0))</f>
        <v/>
      </c>
      <c r="AI289" s="20">
        <f>IF(AH289=1,SUM($AH$5:AH289),"")</f>
        <v/>
      </c>
      <c r="AJ289" s="20">
        <f>IF(OR(S289="",'報告書'!$C$4=""),"",IF(S289&amp;""='報告書'!$C$4&amp;"",COUNTIF($S$5:S289,'報告書'!$C$4),""))</f>
        <v/>
      </c>
      <c r="AK289" s="20" t="n"/>
      <c r="AL289" s="47" t="n"/>
      <c r="AM289" s="47" t="n"/>
      <c r="AN289" s="53" t="n"/>
      <c r="AO289" s="47" t="n"/>
      <c r="AP289" s="47" t="n"/>
      <c r="AQ289" s="47" t="n"/>
      <c r="AR289" s="47" t="n"/>
      <c r="AS289" s="47" t="n"/>
      <c r="AT289" s="47" t="n"/>
      <c r="AU289" s="47" t="n"/>
      <c r="AV289" s="47" t="n"/>
      <c r="AW289" s="52" t="n"/>
    </row>
    <row r="290">
      <c r="A290" s="48" t="n"/>
      <c r="B290" s="52" t="n"/>
      <c r="C290" s="47">
        <f>IF(B290="","",IFERROR(INDEX('隊員マスタ'!$B$5:$B$204,MATCH(B290&amp;"",'隊員マスタ'!$F$5:$F$204,0)),IF(AK290="","番号なし",AK290)))</f>
        <v/>
      </c>
      <c r="D290" s="47" t="n"/>
      <c r="E290" s="47" t="n"/>
      <c r="F290" s="47" t="n"/>
      <c r="G290" s="47" t="n"/>
      <c r="H290" s="47" t="n"/>
      <c r="I290" s="47" t="n"/>
      <c r="J290" s="47" t="n"/>
      <c r="K290" s="47" t="n"/>
      <c r="L290" s="47" t="n"/>
      <c r="M290" s="47" t="n"/>
      <c r="N290" s="47" t="n"/>
      <c r="O290" s="47" t="n"/>
      <c r="P290" s="47" t="n"/>
      <c r="Q290" s="47" t="n"/>
      <c r="R290" s="47" t="n"/>
      <c r="S290" s="47" t="n"/>
      <c r="T290" s="47" t="n"/>
      <c r="U290" s="53" t="n"/>
      <c r="V290" s="53" t="n"/>
      <c r="W290" s="47" t="n"/>
      <c r="X290" s="47" t="n"/>
      <c r="Y290" s="47" t="n"/>
      <c r="Z290" s="47" t="n"/>
      <c r="AA290" s="47" t="n"/>
      <c r="AB290" s="47" t="n"/>
      <c r="AC290" s="47" t="n"/>
      <c r="AD290" s="47" t="n"/>
      <c r="AE290" s="47" t="n"/>
      <c r="AF290" s="20">
        <f>IF(A290="","",YEAR(EDATE(A290,-3)))</f>
        <v/>
      </c>
      <c r="AG290" s="20">
        <f>IF(OR(B290="",'経歴簿'!$C$4=""),"",IF(B290&amp;""='経歴簿'!$C$4&amp;"",MAX($AG$4:AG289)+1,""))</f>
        <v/>
      </c>
      <c r="AH290" s="20">
        <f>IF(A290="",0,IF(AND(OR('CSV抽出'!$C$4="",A290&gt;='CSV抽出'!$C$4),OR('CSV抽出'!$C$5="",A290&lt;='CSV抽出'!$C$5),OR('CSV抽出'!$C$6="すべて",'CSV抽出'!$C$6="",D290='CSV抽出'!$C$6),OR('CSV抽出'!$C$7="",B290&amp;""='CSV抽出'!$C$7&amp;"")),1,0))</f>
        <v/>
      </c>
      <c r="AI290" s="20">
        <f>IF(AH290=1,SUM($AH$5:AH290),"")</f>
        <v/>
      </c>
      <c r="AJ290" s="20">
        <f>IF(OR(S290="",'報告書'!$C$4=""),"",IF(S290&amp;""='報告書'!$C$4&amp;"",COUNTIF($S$5:S290,'報告書'!$C$4),""))</f>
        <v/>
      </c>
      <c r="AK290" s="20" t="n"/>
      <c r="AL290" s="47" t="n"/>
      <c r="AM290" s="47" t="n"/>
      <c r="AN290" s="53" t="n"/>
      <c r="AO290" s="47" t="n"/>
      <c r="AP290" s="47" t="n"/>
      <c r="AQ290" s="47" t="n"/>
      <c r="AR290" s="47" t="n"/>
      <c r="AS290" s="47" t="n"/>
      <c r="AT290" s="47" t="n"/>
      <c r="AU290" s="47" t="n"/>
      <c r="AV290" s="47" t="n"/>
      <c r="AW290" s="52" t="n"/>
    </row>
    <row r="291">
      <c r="A291" s="48" t="n"/>
      <c r="B291" s="52" t="n"/>
      <c r="C291" s="47">
        <f>IF(B291="","",IFERROR(INDEX('隊員マスタ'!$B$5:$B$204,MATCH(B291&amp;"",'隊員マスタ'!$F$5:$F$204,0)),IF(AK291="","番号なし",AK291)))</f>
        <v/>
      </c>
      <c r="D291" s="47" t="n"/>
      <c r="E291" s="47" t="n"/>
      <c r="F291" s="47" t="n"/>
      <c r="G291" s="47" t="n"/>
      <c r="H291" s="47" t="n"/>
      <c r="I291" s="47" t="n"/>
      <c r="J291" s="47" t="n"/>
      <c r="K291" s="47" t="n"/>
      <c r="L291" s="47" t="n"/>
      <c r="M291" s="47" t="n"/>
      <c r="N291" s="47" t="n"/>
      <c r="O291" s="47" t="n"/>
      <c r="P291" s="47" t="n"/>
      <c r="Q291" s="47" t="n"/>
      <c r="R291" s="47" t="n"/>
      <c r="S291" s="47" t="n"/>
      <c r="T291" s="47" t="n"/>
      <c r="U291" s="53" t="n"/>
      <c r="V291" s="53" t="n"/>
      <c r="W291" s="47" t="n"/>
      <c r="X291" s="47" t="n"/>
      <c r="Y291" s="47" t="n"/>
      <c r="Z291" s="47" t="n"/>
      <c r="AA291" s="47" t="n"/>
      <c r="AB291" s="47" t="n"/>
      <c r="AC291" s="47" t="n"/>
      <c r="AD291" s="47" t="n"/>
      <c r="AE291" s="47" t="n"/>
      <c r="AF291" s="20">
        <f>IF(A291="","",YEAR(EDATE(A291,-3)))</f>
        <v/>
      </c>
      <c r="AG291" s="20">
        <f>IF(OR(B291="",'経歴簿'!$C$4=""),"",IF(B291&amp;""='経歴簿'!$C$4&amp;"",MAX($AG$4:AG290)+1,""))</f>
        <v/>
      </c>
      <c r="AH291" s="20">
        <f>IF(A291="",0,IF(AND(OR('CSV抽出'!$C$4="",A291&gt;='CSV抽出'!$C$4),OR('CSV抽出'!$C$5="",A291&lt;='CSV抽出'!$C$5),OR('CSV抽出'!$C$6="すべて",'CSV抽出'!$C$6="",D291='CSV抽出'!$C$6),OR('CSV抽出'!$C$7="",B291&amp;""='CSV抽出'!$C$7&amp;"")),1,0))</f>
        <v/>
      </c>
      <c r="AI291" s="20">
        <f>IF(AH291=1,SUM($AH$5:AH291),"")</f>
        <v/>
      </c>
      <c r="AJ291" s="20">
        <f>IF(OR(S291="",'報告書'!$C$4=""),"",IF(S291&amp;""='報告書'!$C$4&amp;"",COUNTIF($S$5:S291,'報告書'!$C$4),""))</f>
        <v/>
      </c>
      <c r="AK291" s="20" t="n"/>
      <c r="AL291" s="47" t="n"/>
      <c r="AM291" s="47" t="n"/>
      <c r="AN291" s="53" t="n"/>
      <c r="AO291" s="47" t="n"/>
      <c r="AP291" s="47" t="n"/>
      <c r="AQ291" s="47" t="n"/>
      <c r="AR291" s="47" t="n"/>
      <c r="AS291" s="47" t="n"/>
      <c r="AT291" s="47" t="n"/>
      <c r="AU291" s="47" t="n"/>
      <c r="AV291" s="47" t="n"/>
      <c r="AW291" s="52" t="n"/>
    </row>
    <row r="292">
      <c r="A292" s="48" t="n"/>
      <c r="B292" s="52" t="n"/>
      <c r="C292" s="47">
        <f>IF(B292="","",IFERROR(INDEX('隊員マスタ'!$B$5:$B$204,MATCH(B292&amp;"",'隊員マスタ'!$F$5:$F$204,0)),IF(AK292="","番号なし",AK292)))</f>
        <v/>
      </c>
      <c r="D292" s="47" t="n"/>
      <c r="E292" s="47" t="n"/>
      <c r="F292" s="47" t="n"/>
      <c r="G292" s="47" t="n"/>
      <c r="H292" s="47" t="n"/>
      <c r="I292" s="47" t="n"/>
      <c r="J292" s="47" t="n"/>
      <c r="K292" s="47" t="n"/>
      <c r="L292" s="47" t="n"/>
      <c r="M292" s="47" t="n"/>
      <c r="N292" s="47" t="n"/>
      <c r="O292" s="47" t="n"/>
      <c r="P292" s="47" t="n"/>
      <c r="Q292" s="47" t="n"/>
      <c r="R292" s="47" t="n"/>
      <c r="S292" s="47" t="n"/>
      <c r="T292" s="47" t="n"/>
      <c r="U292" s="53" t="n"/>
      <c r="V292" s="53" t="n"/>
      <c r="W292" s="47" t="n"/>
      <c r="X292" s="47" t="n"/>
      <c r="Y292" s="47" t="n"/>
      <c r="Z292" s="47" t="n"/>
      <c r="AA292" s="47" t="n"/>
      <c r="AB292" s="47" t="n"/>
      <c r="AC292" s="47" t="n"/>
      <c r="AD292" s="47" t="n"/>
      <c r="AE292" s="47" t="n"/>
      <c r="AF292" s="20">
        <f>IF(A292="","",YEAR(EDATE(A292,-3)))</f>
        <v/>
      </c>
      <c r="AG292" s="20">
        <f>IF(OR(B292="",'経歴簿'!$C$4=""),"",IF(B292&amp;""='経歴簿'!$C$4&amp;"",MAX($AG$4:AG291)+1,""))</f>
        <v/>
      </c>
      <c r="AH292" s="20">
        <f>IF(A292="",0,IF(AND(OR('CSV抽出'!$C$4="",A292&gt;='CSV抽出'!$C$4),OR('CSV抽出'!$C$5="",A292&lt;='CSV抽出'!$C$5),OR('CSV抽出'!$C$6="すべて",'CSV抽出'!$C$6="",D292='CSV抽出'!$C$6),OR('CSV抽出'!$C$7="",B292&amp;""='CSV抽出'!$C$7&amp;"")),1,0))</f>
        <v/>
      </c>
      <c r="AI292" s="20">
        <f>IF(AH292=1,SUM($AH$5:AH292),"")</f>
        <v/>
      </c>
      <c r="AJ292" s="20">
        <f>IF(OR(S292="",'報告書'!$C$4=""),"",IF(S292&amp;""='報告書'!$C$4&amp;"",COUNTIF($S$5:S292,'報告書'!$C$4),""))</f>
        <v/>
      </c>
      <c r="AK292" s="20" t="n"/>
      <c r="AL292" s="47" t="n"/>
      <c r="AM292" s="47" t="n"/>
      <c r="AN292" s="53" t="n"/>
      <c r="AO292" s="47" t="n"/>
      <c r="AP292" s="47" t="n"/>
      <c r="AQ292" s="47" t="n"/>
      <c r="AR292" s="47" t="n"/>
      <c r="AS292" s="47" t="n"/>
      <c r="AT292" s="47" t="n"/>
      <c r="AU292" s="47" t="n"/>
      <c r="AV292" s="47" t="n"/>
      <c r="AW292" s="52" t="n"/>
    </row>
    <row r="293">
      <c r="A293" s="48" t="n"/>
      <c r="B293" s="52" t="n"/>
      <c r="C293" s="47">
        <f>IF(B293="","",IFERROR(INDEX('隊員マスタ'!$B$5:$B$204,MATCH(B293&amp;"",'隊員マスタ'!$F$5:$F$204,0)),IF(AK293="","番号なし",AK293)))</f>
        <v/>
      </c>
      <c r="D293" s="47" t="n"/>
      <c r="E293" s="47" t="n"/>
      <c r="F293" s="47" t="n"/>
      <c r="G293" s="47" t="n"/>
      <c r="H293" s="47" t="n"/>
      <c r="I293" s="47" t="n"/>
      <c r="J293" s="47" t="n"/>
      <c r="K293" s="47" t="n"/>
      <c r="L293" s="47" t="n"/>
      <c r="M293" s="47" t="n"/>
      <c r="N293" s="47" t="n"/>
      <c r="O293" s="47" t="n"/>
      <c r="P293" s="47" t="n"/>
      <c r="Q293" s="47" t="n"/>
      <c r="R293" s="47" t="n"/>
      <c r="S293" s="47" t="n"/>
      <c r="T293" s="47" t="n"/>
      <c r="U293" s="53" t="n"/>
      <c r="V293" s="53" t="n"/>
      <c r="W293" s="47" t="n"/>
      <c r="X293" s="47" t="n"/>
      <c r="Y293" s="47" t="n"/>
      <c r="Z293" s="47" t="n"/>
      <c r="AA293" s="47" t="n"/>
      <c r="AB293" s="47" t="n"/>
      <c r="AC293" s="47" t="n"/>
      <c r="AD293" s="47" t="n"/>
      <c r="AE293" s="47" t="n"/>
      <c r="AF293" s="20">
        <f>IF(A293="","",YEAR(EDATE(A293,-3)))</f>
        <v/>
      </c>
      <c r="AG293" s="20">
        <f>IF(OR(B293="",'経歴簿'!$C$4=""),"",IF(B293&amp;""='経歴簿'!$C$4&amp;"",MAX($AG$4:AG292)+1,""))</f>
        <v/>
      </c>
      <c r="AH293" s="20">
        <f>IF(A293="",0,IF(AND(OR('CSV抽出'!$C$4="",A293&gt;='CSV抽出'!$C$4),OR('CSV抽出'!$C$5="",A293&lt;='CSV抽出'!$C$5),OR('CSV抽出'!$C$6="すべて",'CSV抽出'!$C$6="",D293='CSV抽出'!$C$6),OR('CSV抽出'!$C$7="",B293&amp;""='CSV抽出'!$C$7&amp;"")),1,0))</f>
        <v/>
      </c>
      <c r="AI293" s="20">
        <f>IF(AH293=1,SUM($AH$5:AH293),"")</f>
        <v/>
      </c>
      <c r="AJ293" s="20">
        <f>IF(OR(S293="",'報告書'!$C$4=""),"",IF(S293&amp;""='報告書'!$C$4&amp;"",COUNTIF($S$5:S293,'報告書'!$C$4),""))</f>
        <v/>
      </c>
      <c r="AK293" s="20" t="n"/>
      <c r="AL293" s="47" t="n"/>
      <c r="AM293" s="47" t="n"/>
      <c r="AN293" s="53" t="n"/>
      <c r="AO293" s="47" t="n"/>
      <c r="AP293" s="47" t="n"/>
      <c r="AQ293" s="47" t="n"/>
      <c r="AR293" s="47" t="n"/>
      <c r="AS293" s="47" t="n"/>
      <c r="AT293" s="47" t="n"/>
      <c r="AU293" s="47" t="n"/>
      <c r="AV293" s="47" t="n"/>
      <c r="AW293" s="52" t="n"/>
    </row>
    <row r="294">
      <c r="A294" s="48" t="n"/>
      <c r="B294" s="52" t="n"/>
      <c r="C294" s="47">
        <f>IF(B294="","",IFERROR(INDEX('隊員マスタ'!$B$5:$B$204,MATCH(B294&amp;"",'隊員マスタ'!$F$5:$F$204,0)),IF(AK294="","番号なし",AK294)))</f>
        <v/>
      </c>
      <c r="D294" s="47" t="n"/>
      <c r="E294" s="47" t="n"/>
      <c r="F294" s="47" t="n"/>
      <c r="G294" s="47" t="n"/>
      <c r="H294" s="47" t="n"/>
      <c r="I294" s="47" t="n"/>
      <c r="J294" s="47" t="n"/>
      <c r="K294" s="47" t="n"/>
      <c r="L294" s="47" t="n"/>
      <c r="M294" s="47" t="n"/>
      <c r="N294" s="47" t="n"/>
      <c r="O294" s="47" t="n"/>
      <c r="P294" s="47" t="n"/>
      <c r="Q294" s="47" t="n"/>
      <c r="R294" s="47" t="n"/>
      <c r="S294" s="47" t="n"/>
      <c r="T294" s="47" t="n"/>
      <c r="U294" s="53" t="n"/>
      <c r="V294" s="53" t="n"/>
      <c r="W294" s="47" t="n"/>
      <c r="X294" s="47" t="n"/>
      <c r="Y294" s="47" t="n"/>
      <c r="Z294" s="47" t="n"/>
      <c r="AA294" s="47" t="n"/>
      <c r="AB294" s="47" t="n"/>
      <c r="AC294" s="47" t="n"/>
      <c r="AD294" s="47" t="n"/>
      <c r="AE294" s="47" t="n"/>
      <c r="AF294" s="20">
        <f>IF(A294="","",YEAR(EDATE(A294,-3)))</f>
        <v/>
      </c>
      <c r="AG294" s="20">
        <f>IF(OR(B294="",'経歴簿'!$C$4=""),"",IF(B294&amp;""='経歴簿'!$C$4&amp;"",MAX($AG$4:AG293)+1,""))</f>
        <v/>
      </c>
      <c r="AH294" s="20">
        <f>IF(A294="",0,IF(AND(OR('CSV抽出'!$C$4="",A294&gt;='CSV抽出'!$C$4),OR('CSV抽出'!$C$5="",A294&lt;='CSV抽出'!$C$5),OR('CSV抽出'!$C$6="すべて",'CSV抽出'!$C$6="",D294='CSV抽出'!$C$6),OR('CSV抽出'!$C$7="",B294&amp;""='CSV抽出'!$C$7&amp;"")),1,0))</f>
        <v/>
      </c>
      <c r="AI294" s="20">
        <f>IF(AH294=1,SUM($AH$5:AH294),"")</f>
        <v/>
      </c>
      <c r="AJ294" s="20">
        <f>IF(OR(S294="",'報告書'!$C$4=""),"",IF(S294&amp;""='報告書'!$C$4&amp;"",COUNTIF($S$5:S294,'報告書'!$C$4),""))</f>
        <v/>
      </c>
      <c r="AK294" s="20" t="n"/>
      <c r="AL294" s="47" t="n"/>
      <c r="AM294" s="47" t="n"/>
      <c r="AN294" s="53" t="n"/>
      <c r="AO294" s="47" t="n"/>
      <c r="AP294" s="47" t="n"/>
      <c r="AQ294" s="47" t="n"/>
      <c r="AR294" s="47" t="n"/>
      <c r="AS294" s="47" t="n"/>
      <c r="AT294" s="47" t="n"/>
      <c r="AU294" s="47" t="n"/>
      <c r="AV294" s="47" t="n"/>
      <c r="AW294" s="52" t="n"/>
    </row>
    <row r="295">
      <c r="A295" s="48" t="n"/>
      <c r="B295" s="52" t="n"/>
      <c r="C295" s="47">
        <f>IF(B295="","",IFERROR(INDEX('隊員マスタ'!$B$5:$B$204,MATCH(B295&amp;"",'隊員マスタ'!$F$5:$F$204,0)),IF(AK295="","番号なし",AK295)))</f>
        <v/>
      </c>
      <c r="D295" s="47" t="n"/>
      <c r="E295" s="47" t="n"/>
      <c r="F295" s="47" t="n"/>
      <c r="G295" s="47" t="n"/>
      <c r="H295" s="47" t="n"/>
      <c r="I295" s="47" t="n"/>
      <c r="J295" s="47" t="n"/>
      <c r="K295" s="47" t="n"/>
      <c r="L295" s="47" t="n"/>
      <c r="M295" s="47" t="n"/>
      <c r="N295" s="47" t="n"/>
      <c r="O295" s="47" t="n"/>
      <c r="P295" s="47" t="n"/>
      <c r="Q295" s="47" t="n"/>
      <c r="R295" s="47" t="n"/>
      <c r="S295" s="47" t="n"/>
      <c r="T295" s="47" t="n"/>
      <c r="U295" s="53" t="n"/>
      <c r="V295" s="53" t="n"/>
      <c r="W295" s="47" t="n"/>
      <c r="X295" s="47" t="n"/>
      <c r="Y295" s="47" t="n"/>
      <c r="Z295" s="47" t="n"/>
      <c r="AA295" s="47" t="n"/>
      <c r="AB295" s="47" t="n"/>
      <c r="AC295" s="47" t="n"/>
      <c r="AD295" s="47" t="n"/>
      <c r="AE295" s="47" t="n"/>
      <c r="AF295" s="20">
        <f>IF(A295="","",YEAR(EDATE(A295,-3)))</f>
        <v/>
      </c>
      <c r="AG295" s="20">
        <f>IF(OR(B295="",'経歴簿'!$C$4=""),"",IF(B295&amp;""='経歴簿'!$C$4&amp;"",MAX($AG$4:AG294)+1,""))</f>
        <v/>
      </c>
      <c r="AH295" s="20">
        <f>IF(A295="",0,IF(AND(OR('CSV抽出'!$C$4="",A295&gt;='CSV抽出'!$C$4),OR('CSV抽出'!$C$5="",A295&lt;='CSV抽出'!$C$5),OR('CSV抽出'!$C$6="すべて",'CSV抽出'!$C$6="",D295='CSV抽出'!$C$6),OR('CSV抽出'!$C$7="",B295&amp;""='CSV抽出'!$C$7&amp;"")),1,0))</f>
        <v/>
      </c>
      <c r="AI295" s="20">
        <f>IF(AH295=1,SUM($AH$5:AH295),"")</f>
        <v/>
      </c>
      <c r="AJ295" s="20">
        <f>IF(OR(S295="",'報告書'!$C$4=""),"",IF(S295&amp;""='報告書'!$C$4&amp;"",COUNTIF($S$5:S295,'報告書'!$C$4),""))</f>
        <v/>
      </c>
      <c r="AK295" s="20" t="n"/>
      <c r="AL295" s="47" t="n"/>
      <c r="AM295" s="47" t="n"/>
      <c r="AN295" s="53" t="n"/>
      <c r="AO295" s="47" t="n"/>
      <c r="AP295" s="47" t="n"/>
      <c r="AQ295" s="47" t="n"/>
      <c r="AR295" s="47" t="n"/>
      <c r="AS295" s="47" t="n"/>
      <c r="AT295" s="47" t="n"/>
      <c r="AU295" s="47" t="n"/>
      <c r="AV295" s="47" t="n"/>
      <c r="AW295" s="52" t="n"/>
    </row>
    <row r="296">
      <c r="A296" s="48" t="n"/>
      <c r="B296" s="52" t="n"/>
      <c r="C296" s="47">
        <f>IF(B296="","",IFERROR(INDEX('隊員マスタ'!$B$5:$B$204,MATCH(B296&amp;"",'隊員マスタ'!$F$5:$F$204,0)),IF(AK296="","番号なし",AK296)))</f>
        <v/>
      </c>
      <c r="D296" s="47" t="n"/>
      <c r="E296" s="47" t="n"/>
      <c r="F296" s="47" t="n"/>
      <c r="G296" s="47" t="n"/>
      <c r="H296" s="47" t="n"/>
      <c r="I296" s="47" t="n"/>
      <c r="J296" s="47" t="n"/>
      <c r="K296" s="47" t="n"/>
      <c r="L296" s="47" t="n"/>
      <c r="M296" s="47" t="n"/>
      <c r="N296" s="47" t="n"/>
      <c r="O296" s="47" t="n"/>
      <c r="P296" s="47" t="n"/>
      <c r="Q296" s="47" t="n"/>
      <c r="R296" s="47" t="n"/>
      <c r="S296" s="47" t="n"/>
      <c r="T296" s="47" t="n"/>
      <c r="U296" s="53" t="n"/>
      <c r="V296" s="53" t="n"/>
      <c r="W296" s="47" t="n"/>
      <c r="X296" s="47" t="n"/>
      <c r="Y296" s="47" t="n"/>
      <c r="Z296" s="47" t="n"/>
      <c r="AA296" s="47" t="n"/>
      <c r="AB296" s="47" t="n"/>
      <c r="AC296" s="47" t="n"/>
      <c r="AD296" s="47" t="n"/>
      <c r="AE296" s="47" t="n"/>
      <c r="AF296" s="20">
        <f>IF(A296="","",YEAR(EDATE(A296,-3)))</f>
        <v/>
      </c>
      <c r="AG296" s="20">
        <f>IF(OR(B296="",'経歴簿'!$C$4=""),"",IF(B296&amp;""='経歴簿'!$C$4&amp;"",MAX($AG$4:AG295)+1,""))</f>
        <v/>
      </c>
      <c r="AH296" s="20">
        <f>IF(A296="",0,IF(AND(OR('CSV抽出'!$C$4="",A296&gt;='CSV抽出'!$C$4),OR('CSV抽出'!$C$5="",A296&lt;='CSV抽出'!$C$5),OR('CSV抽出'!$C$6="すべて",'CSV抽出'!$C$6="",D296='CSV抽出'!$C$6),OR('CSV抽出'!$C$7="",B296&amp;""='CSV抽出'!$C$7&amp;"")),1,0))</f>
        <v/>
      </c>
      <c r="AI296" s="20">
        <f>IF(AH296=1,SUM($AH$5:AH296),"")</f>
        <v/>
      </c>
      <c r="AJ296" s="20">
        <f>IF(OR(S296="",'報告書'!$C$4=""),"",IF(S296&amp;""='報告書'!$C$4&amp;"",COUNTIF($S$5:S296,'報告書'!$C$4),""))</f>
        <v/>
      </c>
      <c r="AK296" s="20" t="n"/>
      <c r="AL296" s="47" t="n"/>
      <c r="AM296" s="47" t="n"/>
      <c r="AN296" s="53" t="n"/>
      <c r="AO296" s="47" t="n"/>
      <c r="AP296" s="47" t="n"/>
      <c r="AQ296" s="47" t="n"/>
      <c r="AR296" s="47" t="n"/>
      <c r="AS296" s="47" t="n"/>
      <c r="AT296" s="47" t="n"/>
      <c r="AU296" s="47" t="n"/>
      <c r="AV296" s="47" t="n"/>
      <c r="AW296" s="52" t="n"/>
    </row>
    <row r="297">
      <c r="A297" s="48" t="n"/>
      <c r="B297" s="52" t="n"/>
      <c r="C297" s="47">
        <f>IF(B297="","",IFERROR(INDEX('隊員マスタ'!$B$5:$B$204,MATCH(B297&amp;"",'隊員マスタ'!$F$5:$F$204,0)),IF(AK297="","番号なし",AK297)))</f>
        <v/>
      </c>
      <c r="D297" s="47" t="n"/>
      <c r="E297" s="47" t="n"/>
      <c r="F297" s="47" t="n"/>
      <c r="G297" s="47" t="n"/>
      <c r="H297" s="47" t="n"/>
      <c r="I297" s="47" t="n"/>
      <c r="J297" s="47" t="n"/>
      <c r="K297" s="47" t="n"/>
      <c r="L297" s="47" t="n"/>
      <c r="M297" s="47" t="n"/>
      <c r="N297" s="47" t="n"/>
      <c r="O297" s="47" t="n"/>
      <c r="P297" s="47" t="n"/>
      <c r="Q297" s="47" t="n"/>
      <c r="R297" s="47" t="n"/>
      <c r="S297" s="47" t="n"/>
      <c r="T297" s="47" t="n"/>
      <c r="U297" s="53" t="n"/>
      <c r="V297" s="53" t="n"/>
      <c r="W297" s="47" t="n"/>
      <c r="X297" s="47" t="n"/>
      <c r="Y297" s="47" t="n"/>
      <c r="Z297" s="47" t="n"/>
      <c r="AA297" s="47" t="n"/>
      <c r="AB297" s="47" t="n"/>
      <c r="AC297" s="47" t="n"/>
      <c r="AD297" s="47" t="n"/>
      <c r="AE297" s="47" t="n"/>
      <c r="AF297" s="20">
        <f>IF(A297="","",YEAR(EDATE(A297,-3)))</f>
        <v/>
      </c>
      <c r="AG297" s="20">
        <f>IF(OR(B297="",'経歴簿'!$C$4=""),"",IF(B297&amp;""='経歴簿'!$C$4&amp;"",MAX($AG$4:AG296)+1,""))</f>
        <v/>
      </c>
      <c r="AH297" s="20">
        <f>IF(A297="",0,IF(AND(OR('CSV抽出'!$C$4="",A297&gt;='CSV抽出'!$C$4),OR('CSV抽出'!$C$5="",A297&lt;='CSV抽出'!$C$5),OR('CSV抽出'!$C$6="すべて",'CSV抽出'!$C$6="",D297='CSV抽出'!$C$6),OR('CSV抽出'!$C$7="",B297&amp;""='CSV抽出'!$C$7&amp;"")),1,0))</f>
        <v/>
      </c>
      <c r="AI297" s="20">
        <f>IF(AH297=1,SUM($AH$5:AH297),"")</f>
        <v/>
      </c>
      <c r="AJ297" s="20">
        <f>IF(OR(S297="",'報告書'!$C$4=""),"",IF(S297&amp;""='報告書'!$C$4&amp;"",COUNTIF($S$5:S297,'報告書'!$C$4),""))</f>
        <v/>
      </c>
      <c r="AK297" s="20" t="n"/>
      <c r="AL297" s="47" t="n"/>
      <c r="AM297" s="47" t="n"/>
      <c r="AN297" s="53" t="n"/>
      <c r="AO297" s="47" t="n"/>
      <c r="AP297" s="47" t="n"/>
      <c r="AQ297" s="47" t="n"/>
      <c r="AR297" s="47" t="n"/>
      <c r="AS297" s="47" t="n"/>
      <c r="AT297" s="47" t="n"/>
      <c r="AU297" s="47" t="n"/>
      <c r="AV297" s="47" t="n"/>
      <c r="AW297" s="52" t="n"/>
    </row>
    <row r="298">
      <c r="A298" s="48" t="n"/>
      <c r="B298" s="52" t="n"/>
      <c r="C298" s="47">
        <f>IF(B298="","",IFERROR(INDEX('隊員マスタ'!$B$5:$B$204,MATCH(B298&amp;"",'隊員マスタ'!$F$5:$F$204,0)),IF(AK298="","番号なし",AK298)))</f>
        <v/>
      </c>
      <c r="D298" s="47" t="n"/>
      <c r="E298" s="47" t="n"/>
      <c r="F298" s="47" t="n"/>
      <c r="G298" s="47" t="n"/>
      <c r="H298" s="47" t="n"/>
      <c r="I298" s="47" t="n"/>
      <c r="J298" s="47" t="n"/>
      <c r="K298" s="47" t="n"/>
      <c r="L298" s="47" t="n"/>
      <c r="M298" s="47" t="n"/>
      <c r="N298" s="47" t="n"/>
      <c r="O298" s="47" t="n"/>
      <c r="P298" s="47" t="n"/>
      <c r="Q298" s="47" t="n"/>
      <c r="R298" s="47" t="n"/>
      <c r="S298" s="47" t="n"/>
      <c r="T298" s="47" t="n"/>
      <c r="U298" s="53" t="n"/>
      <c r="V298" s="53" t="n"/>
      <c r="W298" s="47" t="n"/>
      <c r="X298" s="47" t="n"/>
      <c r="Y298" s="47" t="n"/>
      <c r="Z298" s="47" t="n"/>
      <c r="AA298" s="47" t="n"/>
      <c r="AB298" s="47" t="n"/>
      <c r="AC298" s="47" t="n"/>
      <c r="AD298" s="47" t="n"/>
      <c r="AE298" s="47" t="n"/>
      <c r="AF298" s="20">
        <f>IF(A298="","",YEAR(EDATE(A298,-3)))</f>
        <v/>
      </c>
      <c r="AG298" s="20">
        <f>IF(OR(B298="",'経歴簿'!$C$4=""),"",IF(B298&amp;""='経歴簿'!$C$4&amp;"",MAX($AG$4:AG297)+1,""))</f>
        <v/>
      </c>
      <c r="AH298" s="20">
        <f>IF(A298="",0,IF(AND(OR('CSV抽出'!$C$4="",A298&gt;='CSV抽出'!$C$4),OR('CSV抽出'!$C$5="",A298&lt;='CSV抽出'!$C$5),OR('CSV抽出'!$C$6="すべて",'CSV抽出'!$C$6="",D298='CSV抽出'!$C$6),OR('CSV抽出'!$C$7="",B298&amp;""='CSV抽出'!$C$7&amp;"")),1,0))</f>
        <v/>
      </c>
      <c r="AI298" s="20">
        <f>IF(AH298=1,SUM($AH$5:AH298),"")</f>
        <v/>
      </c>
      <c r="AJ298" s="20">
        <f>IF(OR(S298="",'報告書'!$C$4=""),"",IF(S298&amp;""='報告書'!$C$4&amp;"",COUNTIF($S$5:S298,'報告書'!$C$4),""))</f>
        <v/>
      </c>
      <c r="AK298" s="20" t="n"/>
      <c r="AL298" s="47" t="n"/>
      <c r="AM298" s="47" t="n"/>
      <c r="AN298" s="53" t="n"/>
      <c r="AO298" s="47" t="n"/>
      <c r="AP298" s="47" t="n"/>
      <c r="AQ298" s="47" t="n"/>
      <c r="AR298" s="47" t="n"/>
      <c r="AS298" s="47" t="n"/>
      <c r="AT298" s="47" t="n"/>
      <c r="AU298" s="47" t="n"/>
      <c r="AV298" s="47" t="n"/>
      <c r="AW298" s="52" t="n"/>
    </row>
    <row r="299">
      <c r="A299" s="48" t="n"/>
      <c r="B299" s="52" t="n"/>
      <c r="C299" s="47">
        <f>IF(B299="","",IFERROR(INDEX('隊員マスタ'!$B$5:$B$204,MATCH(B299&amp;"",'隊員マスタ'!$F$5:$F$204,0)),IF(AK299="","番号なし",AK299)))</f>
        <v/>
      </c>
      <c r="D299" s="47" t="n"/>
      <c r="E299" s="47" t="n"/>
      <c r="F299" s="47" t="n"/>
      <c r="G299" s="47" t="n"/>
      <c r="H299" s="47" t="n"/>
      <c r="I299" s="47" t="n"/>
      <c r="J299" s="47" t="n"/>
      <c r="K299" s="47" t="n"/>
      <c r="L299" s="47" t="n"/>
      <c r="M299" s="47" t="n"/>
      <c r="N299" s="47" t="n"/>
      <c r="O299" s="47" t="n"/>
      <c r="P299" s="47" t="n"/>
      <c r="Q299" s="47" t="n"/>
      <c r="R299" s="47" t="n"/>
      <c r="S299" s="47" t="n"/>
      <c r="T299" s="47" t="n"/>
      <c r="U299" s="53" t="n"/>
      <c r="V299" s="53" t="n"/>
      <c r="W299" s="47" t="n"/>
      <c r="X299" s="47" t="n"/>
      <c r="Y299" s="47" t="n"/>
      <c r="Z299" s="47" t="n"/>
      <c r="AA299" s="47" t="n"/>
      <c r="AB299" s="47" t="n"/>
      <c r="AC299" s="47" t="n"/>
      <c r="AD299" s="47" t="n"/>
      <c r="AE299" s="47" t="n"/>
      <c r="AF299" s="20">
        <f>IF(A299="","",YEAR(EDATE(A299,-3)))</f>
        <v/>
      </c>
      <c r="AG299" s="20">
        <f>IF(OR(B299="",'経歴簿'!$C$4=""),"",IF(B299&amp;""='経歴簿'!$C$4&amp;"",MAX($AG$4:AG298)+1,""))</f>
        <v/>
      </c>
      <c r="AH299" s="20">
        <f>IF(A299="",0,IF(AND(OR('CSV抽出'!$C$4="",A299&gt;='CSV抽出'!$C$4),OR('CSV抽出'!$C$5="",A299&lt;='CSV抽出'!$C$5),OR('CSV抽出'!$C$6="すべて",'CSV抽出'!$C$6="",D299='CSV抽出'!$C$6),OR('CSV抽出'!$C$7="",B299&amp;""='CSV抽出'!$C$7&amp;"")),1,0))</f>
        <v/>
      </c>
      <c r="AI299" s="20">
        <f>IF(AH299=1,SUM($AH$5:AH299),"")</f>
        <v/>
      </c>
      <c r="AJ299" s="20">
        <f>IF(OR(S299="",'報告書'!$C$4=""),"",IF(S299&amp;""='報告書'!$C$4&amp;"",COUNTIF($S$5:S299,'報告書'!$C$4),""))</f>
        <v/>
      </c>
      <c r="AK299" s="20" t="n"/>
      <c r="AL299" s="47" t="n"/>
      <c r="AM299" s="47" t="n"/>
      <c r="AN299" s="53" t="n"/>
      <c r="AO299" s="47" t="n"/>
      <c r="AP299" s="47" t="n"/>
      <c r="AQ299" s="47" t="n"/>
      <c r="AR299" s="47" t="n"/>
      <c r="AS299" s="47" t="n"/>
      <c r="AT299" s="47" t="n"/>
      <c r="AU299" s="47" t="n"/>
      <c r="AV299" s="47" t="n"/>
      <c r="AW299" s="52" t="n"/>
    </row>
    <row r="300">
      <c r="A300" s="48" t="n"/>
      <c r="B300" s="52" t="n"/>
      <c r="C300" s="47">
        <f>IF(B300="","",IFERROR(INDEX('隊員マスタ'!$B$5:$B$204,MATCH(B300&amp;"",'隊員マスタ'!$F$5:$F$204,0)),IF(AK300="","番号なし",AK300)))</f>
        <v/>
      </c>
      <c r="D300" s="47" t="n"/>
      <c r="E300" s="47" t="n"/>
      <c r="F300" s="47" t="n"/>
      <c r="G300" s="47" t="n"/>
      <c r="H300" s="47" t="n"/>
      <c r="I300" s="47" t="n"/>
      <c r="J300" s="47" t="n"/>
      <c r="K300" s="47" t="n"/>
      <c r="L300" s="47" t="n"/>
      <c r="M300" s="47" t="n"/>
      <c r="N300" s="47" t="n"/>
      <c r="O300" s="47" t="n"/>
      <c r="P300" s="47" t="n"/>
      <c r="Q300" s="47" t="n"/>
      <c r="R300" s="47" t="n"/>
      <c r="S300" s="47" t="n"/>
      <c r="T300" s="47" t="n"/>
      <c r="U300" s="53" t="n"/>
      <c r="V300" s="53" t="n"/>
      <c r="W300" s="47" t="n"/>
      <c r="X300" s="47" t="n"/>
      <c r="Y300" s="47" t="n"/>
      <c r="Z300" s="47" t="n"/>
      <c r="AA300" s="47" t="n"/>
      <c r="AB300" s="47" t="n"/>
      <c r="AC300" s="47" t="n"/>
      <c r="AD300" s="47" t="n"/>
      <c r="AE300" s="47" t="n"/>
      <c r="AF300" s="20">
        <f>IF(A300="","",YEAR(EDATE(A300,-3)))</f>
        <v/>
      </c>
      <c r="AG300" s="20">
        <f>IF(OR(B300="",'経歴簿'!$C$4=""),"",IF(B300&amp;""='経歴簿'!$C$4&amp;"",MAX($AG$4:AG299)+1,""))</f>
        <v/>
      </c>
      <c r="AH300" s="20">
        <f>IF(A300="",0,IF(AND(OR('CSV抽出'!$C$4="",A300&gt;='CSV抽出'!$C$4),OR('CSV抽出'!$C$5="",A300&lt;='CSV抽出'!$C$5),OR('CSV抽出'!$C$6="すべて",'CSV抽出'!$C$6="",D300='CSV抽出'!$C$6),OR('CSV抽出'!$C$7="",B300&amp;""='CSV抽出'!$C$7&amp;"")),1,0))</f>
        <v/>
      </c>
      <c r="AI300" s="20">
        <f>IF(AH300=1,SUM($AH$5:AH300),"")</f>
        <v/>
      </c>
      <c r="AJ300" s="20">
        <f>IF(OR(S300="",'報告書'!$C$4=""),"",IF(S300&amp;""='報告書'!$C$4&amp;"",COUNTIF($S$5:S300,'報告書'!$C$4),""))</f>
        <v/>
      </c>
      <c r="AK300" s="20" t="n"/>
      <c r="AL300" s="47" t="n"/>
      <c r="AM300" s="47" t="n"/>
      <c r="AN300" s="53" t="n"/>
      <c r="AO300" s="47" t="n"/>
      <c r="AP300" s="47" t="n"/>
      <c r="AQ300" s="47" t="n"/>
      <c r="AR300" s="47" t="n"/>
      <c r="AS300" s="47" t="n"/>
      <c r="AT300" s="47" t="n"/>
      <c r="AU300" s="47" t="n"/>
      <c r="AV300" s="47" t="n"/>
      <c r="AW300" s="52" t="n"/>
    </row>
    <row r="301">
      <c r="A301" s="48" t="n"/>
      <c r="B301" s="52" t="n"/>
      <c r="C301" s="47">
        <f>IF(B301="","",IFERROR(INDEX('隊員マスタ'!$B$5:$B$204,MATCH(B301&amp;"",'隊員マスタ'!$F$5:$F$204,0)),IF(AK301="","番号なし",AK301)))</f>
        <v/>
      </c>
      <c r="D301" s="47" t="n"/>
      <c r="E301" s="47" t="n"/>
      <c r="F301" s="47" t="n"/>
      <c r="G301" s="47" t="n"/>
      <c r="H301" s="47" t="n"/>
      <c r="I301" s="47" t="n"/>
      <c r="J301" s="47" t="n"/>
      <c r="K301" s="47" t="n"/>
      <c r="L301" s="47" t="n"/>
      <c r="M301" s="47" t="n"/>
      <c r="N301" s="47" t="n"/>
      <c r="O301" s="47" t="n"/>
      <c r="P301" s="47" t="n"/>
      <c r="Q301" s="47" t="n"/>
      <c r="R301" s="47" t="n"/>
      <c r="S301" s="47" t="n"/>
      <c r="T301" s="47" t="n"/>
      <c r="U301" s="53" t="n"/>
      <c r="V301" s="53" t="n"/>
      <c r="W301" s="47" t="n"/>
      <c r="X301" s="47" t="n"/>
      <c r="Y301" s="47" t="n"/>
      <c r="Z301" s="47" t="n"/>
      <c r="AA301" s="47" t="n"/>
      <c r="AB301" s="47" t="n"/>
      <c r="AC301" s="47" t="n"/>
      <c r="AD301" s="47" t="n"/>
      <c r="AE301" s="47" t="n"/>
      <c r="AF301" s="20">
        <f>IF(A301="","",YEAR(EDATE(A301,-3)))</f>
        <v/>
      </c>
      <c r="AG301" s="20">
        <f>IF(OR(B301="",'経歴簿'!$C$4=""),"",IF(B301&amp;""='経歴簿'!$C$4&amp;"",MAX($AG$4:AG300)+1,""))</f>
        <v/>
      </c>
      <c r="AH301" s="20">
        <f>IF(A301="",0,IF(AND(OR('CSV抽出'!$C$4="",A301&gt;='CSV抽出'!$C$4),OR('CSV抽出'!$C$5="",A301&lt;='CSV抽出'!$C$5),OR('CSV抽出'!$C$6="すべて",'CSV抽出'!$C$6="",D301='CSV抽出'!$C$6),OR('CSV抽出'!$C$7="",B301&amp;""='CSV抽出'!$C$7&amp;"")),1,0))</f>
        <v/>
      </c>
      <c r="AI301" s="20">
        <f>IF(AH301=1,SUM($AH$5:AH301),"")</f>
        <v/>
      </c>
      <c r="AJ301" s="20">
        <f>IF(OR(S301="",'報告書'!$C$4=""),"",IF(S301&amp;""='報告書'!$C$4&amp;"",COUNTIF($S$5:S301,'報告書'!$C$4),""))</f>
        <v/>
      </c>
      <c r="AK301" s="20" t="n"/>
      <c r="AL301" s="47" t="n"/>
      <c r="AM301" s="47" t="n"/>
      <c r="AN301" s="53" t="n"/>
      <c r="AO301" s="47" t="n"/>
      <c r="AP301" s="47" t="n"/>
      <c r="AQ301" s="47" t="n"/>
      <c r="AR301" s="47" t="n"/>
      <c r="AS301" s="47" t="n"/>
      <c r="AT301" s="47" t="n"/>
      <c r="AU301" s="47" t="n"/>
      <c r="AV301" s="47" t="n"/>
      <c r="AW301" s="52" t="n"/>
    </row>
    <row r="302">
      <c r="A302" s="48" t="n"/>
      <c r="B302" s="52" t="n"/>
      <c r="C302" s="47">
        <f>IF(B302="","",IFERROR(INDEX('隊員マスタ'!$B$5:$B$204,MATCH(B302&amp;"",'隊員マスタ'!$F$5:$F$204,0)),IF(AK302="","番号なし",AK302)))</f>
        <v/>
      </c>
      <c r="D302" s="47" t="n"/>
      <c r="E302" s="47" t="n"/>
      <c r="F302" s="47" t="n"/>
      <c r="G302" s="47" t="n"/>
      <c r="H302" s="47" t="n"/>
      <c r="I302" s="47" t="n"/>
      <c r="J302" s="47" t="n"/>
      <c r="K302" s="47" t="n"/>
      <c r="L302" s="47" t="n"/>
      <c r="M302" s="47" t="n"/>
      <c r="N302" s="47" t="n"/>
      <c r="O302" s="47" t="n"/>
      <c r="P302" s="47" t="n"/>
      <c r="Q302" s="47" t="n"/>
      <c r="R302" s="47" t="n"/>
      <c r="S302" s="47" t="n"/>
      <c r="T302" s="47" t="n"/>
      <c r="U302" s="53" t="n"/>
      <c r="V302" s="53" t="n"/>
      <c r="W302" s="47" t="n"/>
      <c r="X302" s="47" t="n"/>
      <c r="Y302" s="47" t="n"/>
      <c r="Z302" s="47" t="n"/>
      <c r="AA302" s="47" t="n"/>
      <c r="AB302" s="47" t="n"/>
      <c r="AC302" s="47" t="n"/>
      <c r="AD302" s="47" t="n"/>
      <c r="AE302" s="47" t="n"/>
      <c r="AF302" s="20">
        <f>IF(A302="","",YEAR(EDATE(A302,-3)))</f>
        <v/>
      </c>
      <c r="AG302" s="20">
        <f>IF(OR(B302="",'経歴簿'!$C$4=""),"",IF(B302&amp;""='経歴簿'!$C$4&amp;"",MAX($AG$4:AG301)+1,""))</f>
        <v/>
      </c>
      <c r="AH302" s="20">
        <f>IF(A302="",0,IF(AND(OR('CSV抽出'!$C$4="",A302&gt;='CSV抽出'!$C$4),OR('CSV抽出'!$C$5="",A302&lt;='CSV抽出'!$C$5),OR('CSV抽出'!$C$6="すべて",'CSV抽出'!$C$6="",D302='CSV抽出'!$C$6),OR('CSV抽出'!$C$7="",B302&amp;""='CSV抽出'!$C$7&amp;"")),1,0))</f>
        <v/>
      </c>
      <c r="AI302" s="20">
        <f>IF(AH302=1,SUM($AH$5:AH302),"")</f>
        <v/>
      </c>
      <c r="AJ302" s="20">
        <f>IF(OR(S302="",'報告書'!$C$4=""),"",IF(S302&amp;""='報告書'!$C$4&amp;"",COUNTIF($S$5:S302,'報告書'!$C$4),""))</f>
        <v/>
      </c>
      <c r="AK302" s="20" t="n"/>
      <c r="AL302" s="47" t="n"/>
      <c r="AM302" s="47" t="n"/>
      <c r="AN302" s="53" t="n"/>
      <c r="AO302" s="47" t="n"/>
      <c r="AP302" s="47" t="n"/>
      <c r="AQ302" s="47" t="n"/>
      <c r="AR302" s="47" t="n"/>
      <c r="AS302" s="47" t="n"/>
      <c r="AT302" s="47" t="n"/>
      <c r="AU302" s="47" t="n"/>
      <c r="AV302" s="47" t="n"/>
      <c r="AW302" s="52" t="n"/>
    </row>
    <row r="303">
      <c r="A303" s="48" t="n"/>
      <c r="B303" s="52" t="n"/>
      <c r="C303" s="47">
        <f>IF(B303="","",IFERROR(INDEX('隊員マスタ'!$B$5:$B$204,MATCH(B303&amp;"",'隊員マスタ'!$F$5:$F$204,0)),IF(AK303="","番号なし",AK303)))</f>
        <v/>
      </c>
      <c r="D303" s="47" t="n"/>
      <c r="E303" s="47" t="n"/>
      <c r="F303" s="47" t="n"/>
      <c r="G303" s="47" t="n"/>
      <c r="H303" s="47" t="n"/>
      <c r="I303" s="47" t="n"/>
      <c r="J303" s="47" t="n"/>
      <c r="K303" s="47" t="n"/>
      <c r="L303" s="47" t="n"/>
      <c r="M303" s="47" t="n"/>
      <c r="N303" s="47" t="n"/>
      <c r="O303" s="47" t="n"/>
      <c r="P303" s="47" t="n"/>
      <c r="Q303" s="47" t="n"/>
      <c r="R303" s="47" t="n"/>
      <c r="S303" s="47" t="n"/>
      <c r="T303" s="47" t="n"/>
      <c r="U303" s="53" t="n"/>
      <c r="V303" s="53" t="n"/>
      <c r="W303" s="47" t="n"/>
      <c r="X303" s="47" t="n"/>
      <c r="Y303" s="47" t="n"/>
      <c r="Z303" s="47" t="n"/>
      <c r="AA303" s="47" t="n"/>
      <c r="AB303" s="47" t="n"/>
      <c r="AC303" s="47" t="n"/>
      <c r="AD303" s="47" t="n"/>
      <c r="AE303" s="47" t="n"/>
      <c r="AF303" s="20">
        <f>IF(A303="","",YEAR(EDATE(A303,-3)))</f>
        <v/>
      </c>
      <c r="AG303" s="20">
        <f>IF(OR(B303="",'経歴簿'!$C$4=""),"",IF(B303&amp;""='経歴簿'!$C$4&amp;"",MAX($AG$4:AG302)+1,""))</f>
        <v/>
      </c>
      <c r="AH303" s="20">
        <f>IF(A303="",0,IF(AND(OR('CSV抽出'!$C$4="",A303&gt;='CSV抽出'!$C$4),OR('CSV抽出'!$C$5="",A303&lt;='CSV抽出'!$C$5),OR('CSV抽出'!$C$6="すべて",'CSV抽出'!$C$6="",D303='CSV抽出'!$C$6),OR('CSV抽出'!$C$7="",B303&amp;""='CSV抽出'!$C$7&amp;"")),1,0))</f>
        <v/>
      </c>
      <c r="AI303" s="20">
        <f>IF(AH303=1,SUM($AH$5:AH303),"")</f>
        <v/>
      </c>
      <c r="AJ303" s="20">
        <f>IF(OR(S303="",'報告書'!$C$4=""),"",IF(S303&amp;""='報告書'!$C$4&amp;"",COUNTIF($S$5:S303,'報告書'!$C$4),""))</f>
        <v/>
      </c>
      <c r="AK303" s="20" t="n"/>
      <c r="AL303" s="47" t="n"/>
      <c r="AM303" s="47" t="n"/>
      <c r="AN303" s="53" t="n"/>
      <c r="AO303" s="47" t="n"/>
      <c r="AP303" s="47" t="n"/>
      <c r="AQ303" s="47" t="n"/>
      <c r="AR303" s="47" t="n"/>
      <c r="AS303" s="47" t="n"/>
      <c r="AT303" s="47" t="n"/>
      <c r="AU303" s="47" t="n"/>
      <c r="AV303" s="47" t="n"/>
      <c r="AW303" s="52" t="n"/>
    </row>
    <row r="304">
      <c r="A304" s="48" t="n"/>
      <c r="B304" s="52" t="n"/>
      <c r="C304" s="47">
        <f>IF(B304="","",IFERROR(INDEX('隊員マスタ'!$B$5:$B$204,MATCH(B304&amp;"",'隊員マスタ'!$F$5:$F$204,0)),IF(AK304="","番号なし",AK304)))</f>
        <v/>
      </c>
      <c r="D304" s="47" t="n"/>
      <c r="E304" s="47" t="n"/>
      <c r="F304" s="47" t="n"/>
      <c r="G304" s="47" t="n"/>
      <c r="H304" s="47" t="n"/>
      <c r="I304" s="47" t="n"/>
      <c r="J304" s="47" t="n"/>
      <c r="K304" s="47" t="n"/>
      <c r="L304" s="47" t="n"/>
      <c r="M304" s="47" t="n"/>
      <c r="N304" s="47" t="n"/>
      <c r="O304" s="47" t="n"/>
      <c r="P304" s="47" t="n"/>
      <c r="Q304" s="47" t="n"/>
      <c r="R304" s="47" t="n"/>
      <c r="S304" s="47" t="n"/>
      <c r="T304" s="47" t="n"/>
      <c r="U304" s="53" t="n"/>
      <c r="V304" s="53" t="n"/>
      <c r="W304" s="47" t="n"/>
      <c r="X304" s="47" t="n"/>
      <c r="Y304" s="47" t="n"/>
      <c r="Z304" s="47" t="n"/>
      <c r="AA304" s="47" t="n"/>
      <c r="AB304" s="47" t="n"/>
      <c r="AC304" s="47" t="n"/>
      <c r="AD304" s="47" t="n"/>
      <c r="AE304" s="47" t="n"/>
      <c r="AF304" s="20">
        <f>IF(A304="","",YEAR(EDATE(A304,-3)))</f>
        <v/>
      </c>
      <c r="AG304" s="20">
        <f>IF(OR(B304="",'経歴簿'!$C$4=""),"",IF(B304&amp;""='経歴簿'!$C$4&amp;"",MAX($AG$4:AG303)+1,""))</f>
        <v/>
      </c>
      <c r="AH304" s="20">
        <f>IF(A304="",0,IF(AND(OR('CSV抽出'!$C$4="",A304&gt;='CSV抽出'!$C$4),OR('CSV抽出'!$C$5="",A304&lt;='CSV抽出'!$C$5),OR('CSV抽出'!$C$6="すべて",'CSV抽出'!$C$6="",D304='CSV抽出'!$C$6),OR('CSV抽出'!$C$7="",B304&amp;""='CSV抽出'!$C$7&amp;"")),1,0))</f>
        <v/>
      </c>
      <c r="AI304" s="20">
        <f>IF(AH304=1,SUM($AH$5:AH304),"")</f>
        <v/>
      </c>
      <c r="AJ304" s="20">
        <f>IF(OR(S304="",'報告書'!$C$4=""),"",IF(S304&amp;""='報告書'!$C$4&amp;"",COUNTIF($S$5:S304,'報告書'!$C$4),""))</f>
        <v/>
      </c>
      <c r="AK304" s="20" t="n"/>
      <c r="AL304" s="47" t="n"/>
      <c r="AM304" s="47" t="n"/>
      <c r="AN304" s="53" t="n"/>
      <c r="AO304" s="47" t="n"/>
      <c r="AP304" s="47" t="n"/>
      <c r="AQ304" s="47" t="n"/>
      <c r="AR304" s="47" t="n"/>
      <c r="AS304" s="47" t="n"/>
      <c r="AT304" s="47" t="n"/>
      <c r="AU304" s="47" t="n"/>
      <c r="AV304" s="47" t="n"/>
      <c r="AW304" s="52" t="n"/>
    </row>
    <row r="305">
      <c r="A305" s="48" t="n"/>
      <c r="B305" s="52" t="n"/>
      <c r="C305" s="47">
        <f>IF(B305="","",IFERROR(INDEX('隊員マスタ'!$B$5:$B$204,MATCH(B305&amp;"",'隊員マスタ'!$F$5:$F$204,0)),IF(AK305="","番号なし",AK305)))</f>
        <v/>
      </c>
      <c r="D305" s="47" t="n"/>
      <c r="E305" s="47" t="n"/>
      <c r="F305" s="47" t="n"/>
      <c r="G305" s="47" t="n"/>
      <c r="H305" s="47" t="n"/>
      <c r="I305" s="47" t="n"/>
      <c r="J305" s="47" t="n"/>
      <c r="K305" s="47" t="n"/>
      <c r="L305" s="47" t="n"/>
      <c r="M305" s="47" t="n"/>
      <c r="N305" s="47" t="n"/>
      <c r="O305" s="47" t="n"/>
      <c r="P305" s="47" t="n"/>
      <c r="Q305" s="47" t="n"/>
      <c r="R305" s="47" t="n"/>
      <c r="S305" s="47" t="n"/>
      <c r="T305" s="47" t="n"/>
      <c r="U305" s="53" t="n"/>
      <c r="V305" s="53" t="n"/>
      <c r="W305" s="47" t="n"/>
      <c r="X305" s="47" t="n"/>
      <c r="Y305" s="47" t="n"/>
      <c r="Z305" s="47" t="n"/>
      <c r="AA305" s="47" t="n"/>
      <c r="AB305" s="47" t="n"/>
      <c r="AC305" s="47" t="n"/>
      <c r="AD305" s="47" t="n"/>
      <c r="AE305" s="47" t="n"/>
      <c r="AF305" s="20">
        <f>IF(A305="","",YEAR(EDATE(A305,-3)))</f>
        <v/>
      </c>
      <c r="AG305" s="20">
        <f>IF(OR(B305="",'経歴簿'!$C$4=""),"",IF(B305&amp;""='経歴簿'!$C$4&amp;"",MAX($AG$4:AG304)+1,""))</f>
        <v/>
      </c>
      <c r="AH305" s="20">
        <f>IF(A305="",0,IF(AND(OR('CSV抽出'!$C$4="",A305&gt;='CSV抽出'!$C$4),OR('CSV抽出'!$C$5="",A305&lt;='CSV抽出'!$C$5),OR('CSV抽出'!$C$6="すべて",'CSV抽出'!$C$6="",D305='CSV抽出'!$C$6),OR('CSV抽出'!$C$7="",B305&amp;""='CSV抽出'!$C$7&amp;"")),1,0))</f>
        <v/>
      </c>
      <c r="AI305" s="20">
        <f>IF(AH305=1,SUM($AH$5:AH305),"")</f>
        <v/>
      </c>
      <c r="AJ305" s="20">
        <f>IF(OR(S305="",'報告書'!$C$4=""),"",IF(S305&amp;""='報告書'!$C$4&amp;"",COUNTIF($S$5:S305,'報告書'!$C$4),""))</f>
        <v/>
      </c>
      <c r="AK305" s="20" t="n"/>
      <c r="AL305" s="47" t="n"/>
      <c r="AM305" s="47" t="n"/>
      <c r="AN305" s="53" t="n"/>
      <c r="AO305" s="47" t="n"/>
      <c r="AP305" s="47" t="n"/>
      <c r="AQ305" s="47" t="n"/>
      <c r="AR305" s="47" t="n"/>
      <c r="AS305" s="47" t="n"/>
      <c r="AT305" s="47" t="n"/>
      <c r="AU305" s="47" t="n"/>
      <c r="AV305" s="47" t="n"/>
      <c r="AW305" s="52" t="n"/>
    </row>
    <row r="306">
      <c r="A306" s="48" t="n"/>
      <c r="B306" s="52" t="n"/>
      <c r="C306" s="47">
        <f>IF(B306="","",IFERROR(INDEX('隊員マスタ'!$B$5:$B$204,MATCH(B306&amp;"",'隊員マスタ'!$F$5:$F$204,0)),IF(AK306="","番号なし",AK306)))</f>
        <v/>
      </c>
      <c r="D306" s="47" t="n"/>
      <c r="E306" s="47" t="n"/>
      <c r="F306" s="47" t="n"/>
      <c r="G306" s="47" t="n"/>
      <c r="H306" s="47" t="n"/>
      <c r="I306" s="47" t="n"/>
      <c r="J306" s="47" t="n"/>
      <c r="K306" s="47" t="n"/>
      <c r="L306" s="47" t="n"/>
      <c r="M306" s="47" t="n"/>
      <c r="N306" s="47" t="n"/>
      <c r="O306" s="47" t="n"/>
      <c r="P306" s="47" t="n"/>
      <c r="Q306" s="47" t="n"/>
      <c r="R306" s="47" t="n"/>
      <c r="S306" s="47" t="n"/>
      <c r="T306" s="47" t="n"/>
      <c r="U306" s="53" t="n"/>
      <c r="V306" s="53" t="n"/>
      <c r="W306" s="47" t="n"/>
      <c r="X306" s="47" t="n"/>
      <c r="Y306" s="47" t="n"/>
      <c r="Z306" s="47" t="n"/>
      <c r="AA306" s="47" t="n"/>
      <c r="AB306" s="47" t="n"/>
      <c r="AC306" s="47" t="n"/>
      <c r="AD306" s="47" t="n"/>
      <c r="AE306" s="47" t="n"/>
      <c r="AF306" s="20">
        <f>IF(A306="","",YEAR(EDATE(A306,-3)))</f>
        <v/>
      </c>
      <c r="AG306" s="20">
        <f>IF(OR(B306="",'経歴簿'!$C$4=""),"",IF(B306&amp;""='経歴簿'!$C$4&amp;"",MAX($AG$4:AG305)+1,""))</f>
        <v/>
      </c>
      <c r="AH306" s="20">
        <f>IF(A306="",0,IF(AND(OR('CSV抽出'!$C$4="",A306&gt;='CSV抽出'!$C$4),OR('CSV抽出'!$C$5="",A306&lt;='CSV抽出'!$C$5),OR('CSV抽出'!$C$6="すべて",'CSV抽出'!$C$6="",D306='CSV抽出'!$C$6),OR('CSV抽出'!$C$7="",B306&amp;""='CSV抽出'!$C$7&amp;"")),1,0))</f>
        <v/>
      </c>
      <c r="AI306" s="20">
        <f>IF(AH306=1,SUM($AH$5:AH306),"")</f>
        <v/>
      </c>
      <c r="AJ306" s="20">
        <f>IF(OR(S306="",'報告書'!$C$4=""),"",IF(S306&amp;""='報告書'!$C$4&amp;"",COUNTIF($S$5:S306,'報告書'!$C$4),""))</f>
        <v/>
      </c>
      <c r="AK306" s="20" t="n"/>
      <c r="AL306" s="47" t="n"/>
      <c r="AM306" s="47" t="n"/>
      <c r="AN306" s="53" t="n"/>
      <c r="AO306" s="47" t="n"/>
      <c r="AP306" s="47" t="n"/>
      <c r="AQ306" s="47" t="n"/>
      <c r="AR306" s="47" t="n"/>
      <c r="AS306" s="47" t="n"/>
      <c r="AT306" s="47" t="n"/>
      <c r="AU306" s="47" t="n"/>
      <c r="AV306" s="47" t="n"/>
      <c r="AW306" s="52" t="n"/>
    </row>
    <row r="307">
      <c r="A307" s="48" t="n"/>
      <c r="B307" s="52" t="n"/>
      <c r="C307" s="47">
        <f>IF(B307="","",IFERROR(INDEX('隊員マスタ'!$B$5:$B$204,MATCH(B307&amp;"",'隊員マスタ'!$F$5:$F$204,0)),IF(AK307="","番号なし",AK307)))</f>
        <v/>
      </c>
      <c r="D307" s="47" t="n"/>
      <c r="E307" s="47" t="n"/>
      <c r="F307" s="47" t="n"/>
      <c r="G307" s="47" t="n"/>
      <c r="H307" s="47" t="n"/>
      <c r="I307" s="47" t="n"/>
      <c r="J307" s="47" t="n"/>
      <c r="K307" s="47" t="n"/>
      <c r="L307" s="47" t="n"/>
      <c r="M307" s="47" t="n"/>
      <c r="N307" s="47" t="n"/>
      <c r="O307" s="47" t="n"/>
      <c r="P307" s="47" t="n"/>
      <c r="Q307" s="47" t="n"/>
      <c r="R307" s="47" t="n"/>
      <c r="S307" s="47" t="n"/>
      <c r="T307" s="47" t="n"/>
      <c r="U307" s="53" t="n"/>
      <c r="V307" s="53" t="n"/>
      <c r="W307" s="47" t="n"/>
      <c r="X307" s="47" t="n"/>
      <c r="Y307" s="47" t="n"/>
      <c r="Z307" s="47" t="n"/>
      <c r="AA307" s="47" t="n"/>
      <c r="AB307" s="47" t="n"/>
      <c r="AC307" s="47" t="n"/>
      <c r="AD307" s="47" t="n"/>
      <c r="AE307" s="47" t="n"/>
      <c r="AF307" s="20">
        <f>IF(A307="","",YEAR(EDATE(A307,-3)))</f>
        <v/>
      </c>
      <c r="AG307" s="20">
        <f>IF(OR(B307="",'経歴簿'!$C$4=""),"",IF(B307&amp;""='経歴簿'!$C$4&amp;"",MAX($AG$4:AG306)+1,""))</f>
        <v/>
      </c>
      <c r="AH307" s="20">
        <f>IF(A307="",0,IF(AND(OR('CSV抽出'!$C$4="",A307&gt;='CSV抽出'!$C$4),OR('CSV抽出'!$C$5="",A307&lt;='CSV抽出'!$C$5),OR('CSV抽出'!$C$6="すべて",'CSV抽出'!$C$6="",D307='CSV抽出'!$C$6),OR('CSV抽出'!$C$7="",B307&amp;""='CSV抽出'!$C$7&amp;"")),1,0))</f>
        <v/>
      </c>
      <c r="AI307" s="20">
        <f>IF(AH307=1,SUM($AH$5:AH307),"")</f>
        <v/>
      </c>
      <c r="AJ307" s="20">
        <f>IF(OR(S307="",'報告書'!$C$4=""),"",IF(S307&amp;""='報告書'!$C$4&amp;"",COUNTIF($S$5:S307,'報告書'!$C$4),""))</f>
        <v/>
      </c>
      <c r="AK307" s="20" t="n"/>
      <c r="AL307" s="47" t="n"/>
      <c r="AM307" s="47" t="n"/>
      <c r="AN307" s="53" t="n"/>
      <c r="AO307" s="47" t="n"/>
      <c r="AP307" s="47" t="n"/>
      <c r="AQ307" s="47" t="n"/>
      <c r="AR307" s="47" t="n"/>
      <c r="AS307" s="47" t="n"/>
      <c r="AT307" s="47" t="n"/>
      <c r="AU307" s="47" t="n"/>
      <c r="AV307" s="47" t="n"/>
      <c r="AW307" s="52" t="n"/>
    </row>
    <row r="308">
      <c r="A308" s="48" t="n"/>
      <c r="B308" s="52" t="n"/>
      <c r="C308" s="47">
        <f>IF(B308="","",IFERROR(INDEX('隊員マスタ'!$B$5:$B$204,MATCH(B308&amp;"",'隊員マスタ'!$F$5:$F$204,0)),IF(AK308="","番号なし",AK308)))</f>
        <v/>
      </c>
      <c r="D308" s="47" t="n"/>
      <c r="E308" s="47" t="n"/>
      <c r="F308" s="47" t="n"/>
      <c r="G308" s="47" t="n"/>
      <c r="H308" s="47" t="n"/>
      <c r="I308" s="47" t="n"/>
      <c r="J308" s="47" t="n"/>
      <c r="K308" s="47" t="n"/>
      <c r="L308" s="47" t="n"/>
      <c r="M308" s="47" t="n"/>
      <c r="N308" s="47" t="n"/>
      <c r="O308" s="47" t="n"/>
      <c r="P308" s="47" t="n"/>
      <c r="Q308" s="47" t="n"/>
      <c r="R308" s="47" t="n"/>
      <c r="S308" s="47" t="n"/>
      <c r="T308" s="47" t="n"/>
      <c r="U308" s="53" t="n"/>
      <c r="V308" s="53" t="n"/>
      <c r="W308" s="47" t="n"/>
      <c r="X308" s="47" t="n"/>
      <c r="Y308" s="47" t="n"/>
      <c r="Z308" s="47" t="n"/>
      <c r="AA308" s="47" t="n"/>
      <c r="AB308" s="47" t="n"/>
      <c r="AC308" s="47" t="n"/>
      <c r="AD308" s="47" t="n"/>
      <c r="AE308" s="47" t="n"/>
      <c r="AF308" s="20">
        <f>IF(A308="","",YEAR(EDATE(A308,-3)))</f>
        <v/>
      </c>
      <c r="AG308" s="20">
        <f>IF(OR(B308="",'経歴簿'!$C$4=""),"",IF(B308&amp;""='経歴簿'!$C$4&amp;"",MAX($AG$4:AG307)+1,""))</f>
        <v/>
      </c>
      <c r="AH308" s="20">
        <f>IF(A308="",0,IF(AND(OR('CSV抽出'!$C$4="",A308&gt;='CSV抽出'!$C$4),OR('CSV抽出'!$C$5="",A308&lt;='CSV抽出'!$C$5),OR('CSV抽出'!$C$6="すべて",'CSV抽出'!$C$6="",D308='CSV抽出'!$C$6),OR('CSV抽出'!$C$7="",B308&amp;""='CSV抽出'!$C$7&amp;"")),1,0))</f>
        <v/>
      </c>
      <c r="AI308" s="20">
        <f>IF(AH308=1,SUM($AH$5:AH308),"")</f>
        <v/>
      </c>
      <c r="AJ308" s="20">
        <f>IF(OR(S308="",'報告書'!$C$4=""),"",IF(S308&amp;""='報告書'!$C$4&amp;"",COUNTIF($S$5:S308,'報告書'!$C$4),""))</f>
        <v/>
      </c>
      <c r="AK308" s="20" t="n"/>
      <c r="AL308" s="47" t="n"/>
      <c r="AM308" s="47" t="n"/>
      <c r="AN308" s="53" t="n"/>
      <c r="AO308" s="47" t="n"/>
      <c r="AP308" s="47" t="n"/>
      <c r="AQ308" s="47" t="n"/>
      <c r="AR308" s="47" t="n"/>
      <c r="AS308" s="47" t="n"/>
      <c r="AT308" s="47" t="n"/>
      <c r="AU308" s="47" t="n"/>
      <c r="AV308" s="47" t="n"/>
      <c r="AW308" s="52" t="n"/>
    </row>
    <row r="309">
      <c r="A309" s="48" t="n"/>
      <c r="B309" s="52" t="n"/>
      <c r="C309" s="47">
        <f>IF(B309="","",IFERROR(INDEX('隊員マスタ'!$B$5:$B$204,MATCH(B309&amp;"",'隊員マスタ'!$F$5:$F$204,0)),IF(AK309="","番号なし",AK309)))</f>
        <v/>
      </c>
      <c r="D309" s="47" t="n"/>
      <c r="E309" s="47" t="n"/>
      <c r="F309" s="47" t="n"/>
      <c r="G309" s="47" t="n"/>
      <c r="H309" s="47" t="n"/>
      <c r="I309" s="47" t="n"/>
      <c r="J309" s="47" t="n"/>
      <c r="K309" s="47" t="n"/>
      <c r="L309" s="47" t="n"/>
      <c r="M309" s="47" t="n"/>
      <c r="N309" s="47" t="n"/>
      <c r="O309" s="47" t="n"/>
      <c r="P309" s="47" t="n"/>
      <c r="Q309" s="47" t="n"/>
      <c r="R309" s="47" t="n"/>
      <c r="S309" s="47" t="n"/>
      <c r="T309" s="47" t="n"/>
      <c r="U309" s="53" t="n"/>
      <c r="V309" s="53" t="n"/>
      <c r="W309" s="47" t="n"/>
      <c r="X309" s="47" t="n"/>
      <c r="Y309" s="47" t="n"/>
      <c r="Z309" s="47" t="n"/>
      <c r="AA309" s="47" t="n"/>
      <c r="AB309" s="47" t="n"/>
      <c r="AC309" s="47" t="n"/>
      <c r="AD309" s="47" t="n"/>
      <c r="AE309" s="47" t="n"/>
      <c r="AF309" s="20">
        <f>IF(A309="","",YEAR(EDATE(A309,-3)))</f>
        <v/>
      </c>
      <c r="AG309" s="20">
        <f>IF(OR(B309="",'経歴簿'!$C$4=""),"",IF(B309&amp;""='経歴簿'!$C$4&amp;"",MAX($AG$4:AG308)+1,""))</f>
        <v/>
      </c>
      <c r="AH309" s="20">
        <f>IF(A309="",0,IF(AND(OR('CSV抽出'!$C$4="",A309&gt;='CSV抽出'!$C$4),OR('CSV抽出'!$C$5="",A309&lt;='CSV抽出'!$C$5),OR('CSV抽出'!$C$6="すべて",'CSV抽出'!$C$6="",D309='CSV抽出'!$C$6),OR('CSV抽出'!$C$7="",B309&amp;""='CSV抽出'!$C$7&amp;"")),1,0))</f>
        <v/>
      </c>
      <c r="AI309" s="20">
        <f>IF(AH309=1,SUM($AH$5:AH309),"")</f>
        <v/>
      </c>
      <c r="AJ309" s="20">
        <f>IF(OR(S309="",'報告書'!$C$4=""),"",IF(S309&amp;""='報告書'!$C$4&amp;"",COUNTIF($S$5:S309,'報告書'!$C$4),""))</f>
        <v/>
      </c>
      <c r="AK309" s="20" t="n"/>
      <c r="AL309" s="47" t="n"/>
      <c r="AM309" s="47" t="n"/>
      <c r="AN309" s="53" t="n"/>
      <c r="AO309" s="47" t="n"/>
      <c r="AP309" s="47" t="n"/>
      <c r="AQ309" s="47" t="n"/>
      <c r="AR309" s="47" t="n"/>
      <c r="AS309" s="47" t="n"/>
      <c r="AT309" s="47" t="n"/>
      <c r="AU309" s="47" t="n"/>
      <c r="AV309" s="47" t="n"/>
      <c r="AW309" s="52" t="n"/>
    </row>
    <row r="310">
      <c r="A310" s="48" t="n"/>
      <c r="B310" s="52" t="n"/>
      <c r="C310" s="47">
        <f>IF(B310="","",IFERROR(INDEX('隊員マスタ'!$B$5:$B$204,MATCH(B310&amp;"",'隊員マスタ'!$F$5:$F$204,0)),IF(AK310="","番号なし",AK310)))</f>
        <v/>
      </c>
      <c r="D310" s="47" t="n"/>
      <c r="E310" s="47" t="n"/>
      <c r="F310" s="47" t="n"/>
      <c r="G310" s="47" t="n"/>
      <c r="H310" s="47" t="n"/>
      <c r="I310" s="47" t="n"/>
      <c r="J310" s="47" t="n"/>
      <c r="K310" s="47" t="n"/>
      <c r="L310" s="47" t="n"/>
      <c r="M310" s="47" t="n"/>
      <c r="N310" s="47" t="n"/>
      <c r="O310" s="47" t="n"/>
      <c r="P310" s="47" t="n"/>
      <c r="Q310" s="47" t="n"/>
      <c r="R310" s="47" t="n"/>
      <c r="S310" s="47" t="n"/>
      <c r="T310" s="47" t="n"/>
      <c r="U310" s="53" t="n"/>
      <c r="V310" s="53" t="n"/>
      <c r="W310" s="47" t="n"/>
      <c r="X310" s="47" t="n"/>
      <c r="Y310" s="47" t="n"/>
      <c r="Z310" s="47" t="n"/>
      <c r="AA310" s="47" t="n"/>
      <c r="AB310" s="47" t="n"/>
      <c r="AC310" s="47" t="n"/>
      <c r="AD310" s="47" t="n"/>
      <c r="AE310" s="47" t="n"/>
      <c r="AF310" s="20">
        <f>IF(A310="","",YEAR(EDATE(A310,-3)))</f>
        <v/>
      </c>
      <c r="AG310" s="20">
        <f>IF(OR(B310="",'経歴簿'!$C$4=""),"",IF(B310&amp;""='経歴簿'!$C$4&amp;"",MAX($AG$4:AG309)+1,""))</f>
        <v/>
      </c>
      <c r="AH310" s="20">
        <f>IF(A310="",0,IF(AND(OR('CSV抽出'!$C$4="",A310&gt;='CSV抽出'!$C$4),OR('CSV抽出'!$C$5="",A310&lt;='CSV抽出'!$C$5),OR('CSV抽出'!$C$6="すべて",'CSV抽出'!$C$6="",D310='CSV抽出'!$C$6),OR('CSV抽出'!$C$7="",B310&amp;""='CSV抽出'!$C$7&amp;"")),1,0))</f>
        <v/>
      </c>
      <c r="AI310" s="20">
        <f>IF(AH310=1,SUM($AH$5:AH310),"")</f>
        <v/>
      </c>
      <c r="AJ310" s="20">
        <f>IF(OR(S310="",'報告書'!$C$4=""),"",IF(S310&amp;""='報告書'!$C$4&amp;"",COUNTIF($S$5:S310,'報告書'!$C$4),""))</f>
        <v/>
      </c>
      <c r="AK310" s="20" t="n"/>
      <c r="AL310" s="47" t="n"/>
      <c r="AM310" s="47" t="n"/>
      <c r="AN310" s="53" t="n"/>
      <c r="AO310" s="47" t="n"/>
      <c r="AP310" s="47" t="n"/>
      <c r="AQ310" s="47" t="n"/>
      <c r="AR310" s="47" t="n"/>
      <c r="AS310" s="47" t="n"/>
      <c r="AT310" s="47" t="n"/>
      <c r="AU310" s="47" t="n"/>
      <c r="AV310" s="47" t="n"/>
      <c r="AW310" s="52" t="n"/>
    </row>
    <row r="311">
      <c r="A311" s="48" t="n"/>
      <c r="B311" s="52" t="n"/>
      <c r="C311" s="47">
        <f>IF(B311="","",IFERROR(INDEX('隊員マスタ'!$B$5:$B$204,MATCH(B311&amp;"",'隊員マスタ'!$F$5:$F$204,0)),IF(AK311="","番号なし",AK311)))</f>
        <v/>
      </c>
      <c r="D311" s="47" t="n"/>
      <c r="E311" s="47" t="n"/>
      <c r="F311" s="47" t="n"/>
      <c r="G311" s="47" t="n"/>
      <c r="H311" s="47" t="n"/>
      <c r="I311" s="47" t="n"/>
      <c r="J311" s="47" t="n"/>
      <c r="K311" s="47" t="n"/>
      <c r="L311" s="47" t="n"/>
      <c r="M311" s="47" t="n"/>
      <c r="N311" s="47" t="n"/>
      <c r="O311" s="47" t="n"/>
      <c r="P311" s="47" t="n"/>
      <c r="Q311" s="47" t="n"/>
      <c r="R311" s="47" t="n"/>
      <c r="S311" s="47" t="n"/>
      <c r="T311" s="47" t="n"/>
      <c r="U311" s="53" t="n"/>
      <c r="V311" s="53" t="n"/>
      <c r="W311" s="47" t="n"/>
      <c r="X311" s="47" t="n"/>
      <c r="Y311" s="47" t="n"/>
      <c r="Z311" s="47" t="n"/>
      <c r="AA311" s="47" t="n"/>
      <c r="AB311" s="47" t="n"/>
      <c r="AC311" s="47" t="n"/>
      <c r="AD311" s="47" t="n"/>
      <c r="AE311" s="47" t="n"/>
      <c r="AF311" s="20">
        <f>IF(A311="","",YEAR(EDATE(A311,-3)))</f>
        <v/>
      </c>
      <c r="AG311" s="20">
        <f>IF(OR(B311="",'経歴簿'!$C$4=""),"",IF(B311&amp;""='経歴簿'!$C$4&amp;"",MAX($AG$4:AG310)+1,""))</f>
        <v/>
      </c>
      <c r="AH311" s="20">
        <f>IF(A311="",0,IF(AND(OR('CSV抽出'!$C$4="",A311&gt;='CSV抽出'!$C$4),OR('CSV抽出'!$C$5="",A311&lt;='CSV抽出'!$C$5),OR('CSV抽出'!$C$6="すべて",'CSV抽出'!$C$6="",D311='CSV抽出'!$C$6),OR('CSV抽出'!$C$7="",B311&amp;""='CSV抽出'!$C$7&amp;"")),1,0))</f>
        <v/>
      </c>
      <c r="AI311" s="20">
        <f>IF(AH311=1,SUM($AH$5:AH311),"")</f>
        <v/>
      </c>
      <c r="AJ311" s="20">
        <f>IF(OR(S311="",'報告書'!$C$4=""),"",IF(S311&amp;""='報告書'!$C$4&amp;"",COUNTIF($S$5:S311,'報告書'!$C$4),""))</f>
        <v/>
      </c>
      <c r="AK311" s="20" t="n"/>
      <c r="AL311" s="47" t="n"/>
      <c r="AM311" s="47" t="n"/>
      <c r="AN311" s="53" t="n"/>
      <c r="AO311" s="47" t="n"/>
      <c r="AP311" s="47" t="n"/>
      <c r="AQ311" s="47" t="n"/>
      <c r="AR311" s="47" t="n"/>
      <c r="AS311" s="47" t="n"/>
      <c r="AT311" s="47" t="n"/>
      <c r="AU311" s="47" t="n"/>
      <c r="AV311" s="47" t="n"/>
      <c r="AW311" s="52" t="n"/>
    </row>
    <row r="312">
      <c r="A312" s="48" t="n"/>
      <c r="B312" s="52" t="n"/>
      <c r="C312" s="47">
        <f>IF(B312="","",IFERROR(INDEX('隊員マスタ'!$B$5:$B$204,MATCH(B312&amp;"",'隊員マスタ'!$F$5:$F$204,0)),IF(AK312="","番号なし",AK312)))</f>
        <v/>
      </c>
      <c r="D312" s="47" t="n"/>
      <c r="E312" s="47" t="n"/>
      <c r="F312" s="47" t="n"/>
      <c r="G312" s="47" t="n"/>
      <c r="H312" s="47" t="n"/>
      <c r="I312" s="47" t="n"/>
      <c r="J312" s="47" t="n"/>
      <c r="K312" s="47" t="n"/>
      <c r="L312" s="47" t="n"/>
      <c r="M312" s="47" t="n"/>
      <c r="N312" s="47" t="n"/>
      <c r="O312" s="47" t="n"/>
      <c r="P312" s="47" t="n"/>
      <c r="Q312" s="47" t="n"/>
      <c r="R312" s="47" t="n"/>
      <c r="S312" s="47" t="n"/>
      <c r="T312" s="47" t="n"/>
      <c r="U312" s="53" t="n"/>
      <c r="V312" s="53" t="n"/>
      <c r="W312" s="47" t="n"/>
      <c r="X312" s="47" t="n"/>
      <c r="Y312" s="47" t="n"/>
      <c r="Z312" s="47" t="n"/>
      <c r="AA312" s="47" t="n"/>
      <c r="AB312" s="47" t="n"/>
      <c r="AC312" s="47" t="n"/>
      <c r="AD312" s="47" t="n"/>
      <c r="AE312" s="47" t="n"/>
      <c r="AF312" s="20">
        <f>IF(A312="","",YEAR(EDATE(A312,-3)))</f>
        <v/>
      </c>
      <c r="AG312" s="20">
        <f>IF(OR(B312="",'経歴簿'!$C$4=""),"",IF(B312&amp;""='経歴簿'!$C$4&amp;"",MAX($AG$4:AG311)+1,""))</f>
        <v/>
      </c>
      <c r="AH312" s="20">
        <f>IF(A312="",0,IF(AND(OR('CSV抽出'!$C$4="",A312&gt;='CSV抽出'!$C$4),OR('CSV抽出'!$C$5="",A312&lt;='CSV抽出'!$C$5),OR('CSV抽出'!$C$6="すべて",'CSV抽出'!$C$6="",D312='CSV抽出'!$C$6),OR('CSV抽出'!$C$7="",B312&amp;""='CSV抽出'!$C$7&amp;"")),1,0))</f>
        <v/>
      </c>
      <c r="AI312" s="20">
        <f>IF(AH312=1,SUM($AH$5:AH312),"")</f>
        <v/>
      </c>
      <c r="AJ312" s="20">
        <f>IF(OR(S312="",'報告書'!$C$4=""),"",IF(S312&amp;""='報告書'!$C$4&amp;"",COUNTIF($S$5:S312,'報告書'!$C$4),""))</f>
        <v/>
      </c>
      <c r="AK312" s="20" t="n"/>
      <c r="AL312" s="47" t="n"/>
      <c r="AM312" s="47" t="n"/>
      <c r="AN312" s="53" t="n"/>
      <c r="AO312" s="47" t="n"/>
      <c r="AP312" s="47" t="n"/>
      <c r="AQ312" s="47" t="n"/>
      <c r="AR312" s="47" t="n"/>
      <c r="AS312" s="47" t="n"/>
      <c r="AT312" s="47" t="n"/>
      <c r="AU312" s="47" t="n"/>
      <c r="AV312" s="47" t="n"/>
      <c r="AW312" s="52" t="n"/>
    </row>
    <row r="313">
      <c r="A313" s="48" t="n"/>
      <c r="B313" s="52" t="n"/>
      <c r="C313" s="47">
        <f>IF(B313="","",IFERROR(INDEX('隊員マスタ'!$B$5:$B$204,MATCH(B313&amp;"",'隊員マスタ'!$F$5:$F$204,0)),IF(AK313="","番号なし",AK313)))</f>
        <v/>
      </c>
      <c r="D313" s="47" t="n"/>
      <c r="E313" s="47" t="n"/>
      <c r="F313" s="47" t="n"/>
      <c r="G313" s="47" t="n"/>
      <c r="H313" s="47" t="n"/>
      <c r="I313" s="47" t="n"/>
      <c r="J313" s="47" t="n"/>
      <c r="K313" s="47" t="n"/>
      <c r="L313" s="47" t="n"/>
      <c r="M313" s="47" t="n"/>
      <c r="N313" s="47" t="n"/>
      <c r="O313" s="47" t="n"/>
      <c r="P313" s="47" t="n"/>
      <c r="Q313" s="47" t="n"/>
      <c r="R313" s="47" t="n"/>
      <c r="S313" s="47" t="n"/>
      <c r="T313" s="47" t="n"/>
      <c r="U313" s="53" t="n"/>
      <c r="V313" s="53" t="n"/>
      <c r="W313" s="47" t="n"/>
      <c r="X313" s="47" t="n"/>
      <c r="Y313" s="47" t="n"/>
      <c r="Z313" s="47" t="n"/>
      <c r="AA313" s="47" t="n"/>
      <c r="AB313" s="47" t="n"/>
      <c r="AC313" s="47" t="n"/>
      <c r="AD313" s="47" t="n"/>
      <c r="AE313" s="47" t="n"/>
      <c r="AF313" s="20">
        <f>IF(A313="","",YEAR(EDATE(A313,-3)))</f>
        <v/>
      </c>
      <c r="AG313" s="20">
        <f>IF(OR(B313="",'経歴簿'!$C$4=""),"",IF(B313&amp;""='経歴簿'!$C$4&amp;"",MAX($AG$4:AG312)+1,""))</f>
        <v/>
      </c>
      <c r="AH313" s="20">
        <f>IF(A313="",0,IF(AND(OR('CSV抽出'!$C$4="",A313&gt;='CSV抽出'!$C$4),OR('CSV抽出'!$C$5="",A313&lt;='CSV抽出'!$C$5),OR('CSV抽出'!$C$6="すべて",'CSV抽出'!$C$6="",D313='CSV抽出'!$C$6),OR('CSV抽出'!$C$7="",B313&amp;""='CSV抽出'!$C$7&amp;"")),1,0))</f>
        <v/>
      </c>
      <c r="AI313" s="20">
        <f>IF(AH313=1,SUM($AH$5:AH313),"")</f>
        <v/>
      </c>
      <c r="AJ313" s="20">
        <f>IF(OR(S313="",'報告書'!$C$4=""),"",IF(S313&amp;""='報告書'!$C$4&amp;"",COUNTIF($S$5:S313,'報告書'!$C$4),""))</f>
        <v/>
      </c>
      <c r="AK313" s="20" t="n"/>
      <c r="AL313" s="47" t="n"/>
      <c r="AM313" s="47" t="n"/>
      <c r="AN313" s="53" t="n"/>
      <c r="AO313" s="47" t="n"/>
      <c r="AP313" s="47" t="n"/>
      <c r="AQ313" s="47" t="n"/>
      <c r="AR313" s="47" t="n"/>
      <c r="AS313" s="47" t="n"/>
      <c r="AT313" s="47" t="n"/>
      <c r="AU313" s="47" t="n"/>
      <c r="AV313" s="47" t="n"/>
      <c r="AW313" s="52" t="n"/>
    </row>
    <row r="314">
      <c r="A314" s="48" t="n"/>
      <c r="B314" s="52" t="n"/>
      <c r="C314" s="47">
        <f>IF(B314="","",IFERROR(INDEX('隊員マスタ'!$B$5:$B$204,MATCH(B314&amp;"",'隊員マスタ'!$F$5:$F$204,0)),IF(AK314="","番号なし",AK314)))</f>
        <v/>
      </c>
      <c r="D314" s="47" t="n"/>
      <c r="E314" s="47" t="n"/>
      <c r="F314" s="47" t="n"/>
      <c r="G314" s="47" t="n"/>
      <c r="H314" s="47" t="n"/>
      <c r="I314" s="47" t="n"/>
      <c r="J314" s="47" t="n"/>
      <c r="K314" s="47" t="n"/>
      <c r="L314" s="47" t="n"/>
      <c r="M314" s="47" t="n"/>
      <c r="N314" s="47" t="n"/>
      <c r="O314" s="47" t="n"/>
      <c r="P314" s="47" t="n"/>
      <c r="Q314" s="47" t="n"/>
      <c r="R314" s="47" t="n"/>
      <c r="S314" s="47" t="n"/>
      <c r="T314" s="47" t="n"/>
      <c r="U314" s="53" t="n"/>
      <c r="V314" s="53" t="n"/>
      <c r="W314" s="47" t="n"/>
      <c r="X314" s="47" t="n"/>
      <c r="Y314" s="47" t="n"/>
      <c r="Z314" s="47" t="n"/>
      <c r="AA314" s="47" t="n"/>
      <c r="AB314" s="47" t="n"/>
      <c r="AC314" s="47" t="n"/>
      <c r="AD314" s="47" t="n"/>
      <c r="AE314" s="47" t="n"/>
      <c r="AF314" s="20">
        <f>IF(A314="","",YEAR(EDATE(A314,-3)))</f>
        <v/>
      </c>
      <c r="AG314" s="20">
        <f>IF(OR(B314="",'経歴簿'!$C$4=""),"",IF(B314&amp;""='経歴簿'!$C$4&amp;"",MAX($AG$4:AG313)+1,""))</f>
        <v/>
      </c>
      <c r="AH314" s="20">
        <f>IF(A314="",0,IF(AND(OR('CSV抽出'!$C$4="",A314&gt;='CSV抽出'!$C$4),OR('CSV抽出'!$C$5="",A314&lt;='CSV抽出'!$C$5),OR('CSV抽出'!$C$6="すべて",'CSV抽出'!$C$6="",D314='CSV抽出'!$C$6),OR('CSV抽出'!$C$7="",B314&amp;""='CSV抽出'!$C$7&amp;"")),1,0))</f>
        <v/>
      </c>
      <c r="AI314" s="20">
        <f>IF(AH314=1,SUM($AH$5:AH314),"")</f>
        <v/>
      </c>
      <c r="AJ314" s="20">
        <f>IF(OR(S314="",'報告書'!$C$4=""),"",IF(S314&amp;""='報告書'!$C$4&amp;"",COUNTIF($S$5:S314,'報告書'!$C$4),""))</f>
        <v/>
      </c>
      <c r="AK314" s="20" t="n"/>
      <c r="AL314" s="47" t="n"/>
      <c r="AM314" s="47" t="n"/>
      <c r="AN314" s="53" t="n"/>
      <c r="AO314" s="47" t="n"/>
      <c r="AP314" s="47" t="n"/>
      <c r="AQ314" s="47" t="n"/>
      <c r="AR314" s="47" t="n"/>
      <c r="AS314" s="47" t="n"/>
      <c r="AT314" s="47" t="n"/>
      <c r="AU314" s="47" t="n"/>
      <c r="AV314" s="47" t="n"/>
      <c r="AW314" s="52" t="n"/>
    </row>
    <row r="315">
      <c r="A315" s="48" t="n"/>
      <c r="B315" s="52" t="n"/>
      <c r="C315" s="47">
        <f>IF(B315="","",IFERROR(INDEX('隊員マスタ'!$B$5:$B$204,MATCH(B315&amp;"",'隊員マスタ'!$F$5:$F$204,0)),IF(AK315="","番号なし",AK315)))</f>
        <v/>
      </c>
      <c r="D315" s="47" t="n"/>
      <c r="E315" s="47" t="n"/>
      <c r="F315" s="47" t="n"/>
      <c r="G315" s="47" t="n"/>
      <c r="H315" s="47" t="n"/>
      <c r="I315" s="47" t="n"/>
      <c r="J315" s="47" t="n"/>
      <c r="K315" s="47" t="n"/>
      <c r="L315" s="47" t="n"/>
      <c r="M315" s="47" t="n"/>
      <c r="N315" s="47" t="n"/>
      <c r="O315" s="47" t="n"/>
      <c r="P315" s="47" t="n"/>
      <c r="Q315" s="47" t="n"/>
      <c r="R315" s="47" t="n"/>
      <c r="S315" s="47" t="n"/>
      <c r="T315" s="47" t="n"/>
      <c r="U315" s="53" t="n"/>
      <c r="V315" s="53" t="n"/>
      <c r="W315" s="47" t="n"/>
      <c r="X315" s="47" t="n"/>
      <c r="Y315" s="47" t="n"/>
      <c r="Z315" s="47" t="n"/>
      <c r="AA315" s="47" t="n"/>
      <c r="AB315" s="47" t="n"/>
      <c r="AC315" s="47" t="n"/>
      <c r="AD315" s="47" t="n"/>
      <c r="AE315" s="47" t="n"/>
      <c r="AF315" s="20">
        <f>IF(A315="","",YEAR(EDATE(A315,-3)))</f>
        <v/>
      </c>
      <c r="AG315" s="20">
        <f>IF(OR(B315="",'経歴簿'!$C$4=""),"",IF(B315&amp;""='経歴簿'!$C$4&amp;"",MAX($AG$4:AG314)+1,""))</f>
        <v/>
      </c>
      <c r="AH315" s="20">
        <f>IF(A315="",0,IF(AND(OR('CSV抽出'!$C$4="",A315&gt;='CSV抽出'!$C$4),OR('CSV抽出'!$C$5="",A315&lt;='CSV抽出'!$C$5),OR('CSV抽出'!$C$6="すべて",'CSV抽出'!$C$6="",D315='CSV抽出'!$C$6),OR('CSV抽出'!$C$7="",B315&amp;""='CSV抽出'!$C$7&amp;"")),1,0))</f>
        <v/>
      </c>
      <c r="AI315" s="20">
        <f>IF(AH315=1,SUM($AH$5:AH315),"")</f>
        <v/>
      </c>
      <c r="AJ315" s="20">
        <f>IF(OR(S315="",'報告書'!$C$4=""),"",IF(S315&amp;""='報告書'!$C$4&amp;"",COUNTIF($S$5:S315,'報告書'!$C$4),""))</f>
        <v/>
      </c>
      <c r="AK315" s="20" t="n"/>
      <c r="AL315" s="47" t="n"/>
      <c r="AM315" s="47" t="n"/>
      <c r="AN315" s="53" t="n"/>
      <c r="AO315" s="47" t="n"/>
      <c r="AP315" s="47" t="n"/>
      <c r="AQ315" s="47" t="n"/>
      <c r="AR315" s="47" t="n"/>
      <c r="AS315" s="47" t="n"/>
      <c r="AT315" s="47" t="n"/>
      <c r="AU315" s="47" t="n"/>
      <c r="AV315" s="47" t="n"/>
      <c r="AW315" s="52" t="n"/>
    </row>
    <row r="316">
      <c r="A316" s="48" t="n"/>
      <c r="B316" s="52" t="n"/>
      <c r="C316" s="47">
        <f>IF(B316="","",IFERROR(INDEX('隊員マスタ'!$B$5:$B$204,MATCH(B316&amp;"",'隊員マスタ'!$F$5:$F$204,0)),IF(AK316="","番号なし",AK316)))</f>
        <v/>
      </c>
      <c r="D316" s="47" t="n"/>
      <c r="E316" s="47" t="n"/>
      <c r="F316" s="47" t="n"/>
      <c r="G316" s="47" t="n"/>
      <c r="H316" s="47" t="n"/>
      <c r="I316" s="47" t="n"/>
      <c r="J316" s="47" t="n"/>
      <c r="K316" s="47" t="n"/>
      <c r="L316" s="47" t="n"/>
      <c r="M316" s="47" t="n"/>
      <c r="N316" s="47" t="n"/>
      <c r="O316" s="47" t="n"/>
      <c r="P316" s="47" t="n"/>
      <c r="Q316" s="47" t="n"/>
      <c r="R316" s="47" t="n"/>
      <c r="S316" s="47" t="n"/>
      <c r="T316" s="47" t="n"/>
      <c r="U316" s="53" t="n"/>
      <c r="V316" s="53" t="n"/>
      <c r="W316" s="47" t="n"/>
      <c r="X316" s="47" t="n"/>
      <c r="Y316" s="47" t="n"/>
      <c r="Z316" s="47" t="n"/>
      <c r="AA316" s="47" t="n"/>
      <c r="AB316" s="47" t="n"/>
      <c r="AC316" s="47" t="n"/>
      <c r="AD316" s="47" t="n"/>
      <c r="AE316" s="47" t="n"/>
      <c r="AF316" s="20">
        <f>IF(A316="","",YEAR(EDATE(A316,-3)))</f>
        <v/>
      </c>
      <c r="AG316" s="20">
        <f>IF(OR(B316="",'経歴簿'!$C$4=""),"",IF(B316&amp;""='経歴簿'!$C$4&amp;"",MAX($AG$4:AG315)+1,""))</f>
        <v/>
      </c>
      <c r="AH316" s="20">
        <f>IF(A316="",0,IF(AND(OR('CSV抽出'!$C$4="",A316&gt;='CSV抽出'!$C$4),OR('CSV抽出'!$C$5="",A316&lt;='CSV抽出'!$C$5),OR('CSV抽出'!$C$6="すべて",'CSV抽出'!$C$6="",D316='CSV抽出'!$C$6),OR('CSV抽出'!$C$7="",B316&amp;""='CSV抽出'!$C$7&amp;"")),1,0))</f>
        <v/>
      </c>
      <c r="AI316" s="20">
        <f>IF(AH316=1,SUM($AH$5:AH316),"")</f>
        <v/>
      </c>
      <c r="AJ316" s="20">
        <f>IF(OR(S316="",'報告書'!$C$4=""),"",IF(S316&amp;""='報告書'!$C$4&amp;"",COUNTIF($S$5:S316,'報告書'!$C$4),""))</f>
        <v/>
      </c>
      <c r="AK316" s="20" t="n"/>
      <c r="AL316" s="47" t="n"/>
      <c r="AM316" s="47" t="n"/>
      <c r="AN316" s="53" t="n"/>
      <c r="AO316" s="47" t="n"/>
      <c r="AP316" s="47" t="n"/>
      <c r="AQ316" s="47" t="n"/>
      <c r="AR316" s="47" t="n"/>
      <c r="AS316" s="47" t="n"/>
      <c r="AT316" s="47" t="n"/>
      <c r="AU316" s="47" t="n"/>
      <c r="AV316" s="47" t="n"/>
      <c r="AW316" s="52" t="n"/>
    </row>
    <row r="317">
      <c r="A317" s="48" t="n"/>
      <c r="B317" s="52" t="n"/>
      <c r="C317" s="47">
        <f>IF(B317="","",IFERROR(INDEX('隊員マスタ'!$B$5:$B$204,MATCH(B317&amp;"",'隊員マスタ'!$F$5:$F$204,0)),IF(AK317="","番号なし",AK317)))</f>
        <v/>
      </c>
      <c r="D317" s="47" t="n"/>
      <c r="E317" s="47" t="n"/>
      <c r="F317" s="47" t="n"/>
      <c r="G317" s="47" t="n"/>
      <c r="H317" s="47" t="n"/>
      <c r="I317" s="47" t="n"/>
      <c r="J317" s="47" t="n"/>
      <c r="K317" s="47" t="n"/>
      <c r="L317" s="47" t="n"/>
      <c r="M317" s="47" t="n"/>
      <c r="N317" s="47" t="n"/>
      <c r="O317" s="47" t="n"/>
      <c r="P317" s="47" t="n"/>
      <c r="Q317" s="47" t="n"/>
      <c r="R317" s="47" t="n"/>
      <c r="S317" s="47" t="n"/>
      <c r="T317" s="47" t="n"/>
      <c r="U317" s="53" t="n"/>
      <c r="V317" s="53" t="n"/>
      <c r="W317" s="47" t="n"/>
      <c r="X317" s="47" t="n"/>
      <c r="Y317" s="47" t="n"/>
      <c r="Z317" s="47" t="n"/>
      <c r="AA317" s="47" t="n"/>
      <c r="AB317" s="47" t="n"/>
      <c r="AC317" s="47" t="n"/>
      <c r="AD317" s="47" t="n"/>
      <c r="AE317" s="47" t="n"/>
      <c r="AF317" s="20">
        <f>IF(A317="","",YEAR(EDATE(A317,-3)))</f>
        <v/>
      </c>
      <c r="AG317" s="20">
        <f>IF(OR(B317="",'経歴簿'!$C$4=""),"",IF(B317&amp;""='経歴簿'!$C$4&amp;"",MAX($AG$4:AG316)+1,""))</f>
        <v/>
      </c>
      <c r="AH317" s="20">
        <f>IF(A317="",0,IF(AND(OR('CSV抽出'!$C$4="",A317&gt;='CSV抽出'!$C$4),OR('CSV抽出'!$C$5="",A317&lt;='CSV抽出'!$C$5),OR('CSV抽出'!$C$6="すべて",'CSV抽出'!$C$6="",D317='CSV抽出'!$C$6),OR('CSV抽出'!$C$7="",B317&amp;""='CSV抽出'!$C$7&amp;"")),1,0))</f>
        <v/>
      </c>
      <c r="AI317" s="20">
        <f>IF(AH317=1,SUM($AH$5:AH317),"")</f>
        <v/>
      </c>
      <c r="AJ317" s="20">
        <f>IF(OR(S317="",'報告書'!$C$4=""),"",IF(S317&amp;""='報告書'!$C$4&amp;"",COUNTIF($S$5:S317,'報告書'!$C$4),""))</f>
        <v/>
      </c>
      <c r="AK317" s="20" t="n"/>
      <c r="AL317" s="47" t="n"/>
      <c r="AM317" s="47" t="n"/>
      <c r="AN317" s="53" t="n"/>
      <c r="AO317" s="47" t="n"/>
      <c r="AP317" s="47" t="n"/>
      <c r="AQ317" s="47" t="n"/>
      <c r="AR317" s="47" t="n"/>
      <c r="AS317" s="47" t="n"/>
      <c r="AT317" s="47" t="n"/>
      <c r="AU317" s="47" t="n"/>
      <c r="AV317" s="47" t="n"/>
      <c r="AW317" s="52" t="n"/>
    </row>
    <row r="318">
      <c r="A318" s="48" t="n"/>
      <c r="B318" s="52" t="n"/>
      <c r="C318" s="47">
        <f>IF(B318="","",IFERROR(INDEX('隊員マスタ'!$B$5:$B$204,MATCH(B318&amp;"",'隊員マスタ'!$F$5:$F$204,0)),IF(AK318="","番号なし",AK318)))</f>
        <v/>
      </c>
      <c r="D318" s="47" t="n"/>
      <c r="E318" s="47" t="n"/>
      <c r="F318" s="47" t="n"/>
      <c r="G318" s="47" t="n"/>
      <c r="H318" s="47" t="n"/>
      <c r="I318" s="47" t="n"/>
      <c r="J318" s="47" t="n"/>
      <c r="K318" s="47" t="n"/>
      <c r="L318" s="47" t="n"/>
      <c r="M318" s="47" t="n"/>
      <c r="N318" s="47" t="n"/>
      <c r="O318" s="47" t="n"/>
      <c r="P318" s="47" t="n"/>
      <c r="Q318" s="47" t="n"/>
      <c r="R318" s="47" t="n"/>
      <c r="S318" s="47" t="n"/>
      <c r="T318" s="47" t="n"/>
      <c r="U318" s="53" t="n"/>
      <c r="V318" s="53" t="n"/>
      <c r="W318" s="47" t="n"/>
      <c r="X318" s="47" t="n"/>
      <c r="Y318" s="47" t="n"/>
      <c r="Z318" s="47" t="n"/>
      <c r="AA318" s="47" t="n"/>
      <c r="AB318" s="47" t="n"/>
      <c r="AC318" s="47" t="n"/>
      <c r="AD318" s="47" t="n"/>
      <c r="AE318" s="47" t="n"/>
      <c r="AF318" s="20">
        <f>IF(A318="","",YEAR(EDATE(A318,-3)))</f>
        <v/>
      </c>
      <c r="AG318" s="20">
        <f>IF(OR(B318="",'経歴簿'!$C$4=""),"",IF(B318&amp;""='経歴簿'!$C$4&amp;"",MAX($AG$4:AG317)+1,""))</f>
        <v/>
      </c>
      <c r="AH318" s="20">
        <f>IF(A318="",0,IF(AND(OR('CSV抽出'!$C$4="",A318&gt;='CSV抽出'!$C$4),OR('CSV抽出'!$C$5="",A318&lt;='CSV抽出'!$C$5),OR('CSV抽出'!$C$6="すべて",'CSV抽出'!$C$6="",D318='CSV抽出'!$C$6),OR('CSV抽出'!$C$7="",B318&amp;""='CSV抽出'!$C$7&amp;"")),1,0))</f>
        <v/>
      </c>
      <c r="AI318" s="20">
        <f>IF(AH318=1,SUM($AH$5:AH318),"")</f>
        <v/>
      </c>
      <c r="AJ318" s="20">
        <f>IF(OR(S318="",'報告書'!$C$4=""),"",IF(S318&amp;""='報告書'!$C$4&amp;"",COUNTIF($S$5:S318,'報告書'!$C$4),""))</f>
        <v/>
      </c>
      <c r="AK318" s="20" t="n"/>
      <c r="AL318" s="47" t="n"/>
      <c r="AM318" s="47" t="n"/>
      <c r="AN318" s="53" t="n"/>
      <c r="AO318" s="47" t="n"/>
      <c r="AP318" s="47" t="n"/>
      <c r="AQ318" s="47" t="n"/>
      <c r="AR318" s="47" t="n"/>
      <c r="AS318" s="47" t="n"/>
      <c r="AT318" s="47" t="n"/>
      <c r="AU318" s="47" t="n"/>
      <c r="AV318" s="47" t="n"/>
      <c r="AW318" s="52" t="n"/>
    </row>
    <row r="319">
      <c r="A319" s="48" t="n"/>
      <c r="B319" s="52" t="n"/>
      <c r="C319" s="47">
        <f>IF(B319="","",IFERROR(INDEX('隊員マスタ'!$B$5:$B$204,MATCH(B319&amp;"",'隊員マスタ'!$F$5:$F$204,0)),IF(AK319="","番号なし",AK319)))</f>
        <v/>
      </c>
      <c r="D319" s="47" t="n"/>
      <c r="E319" s="47" t="n"/>
      <c r="F319" s="47" t="n"/>
      <c r="G319" s="47" t="n"/>
      <c r="H319" s="47" t="n"/>
      <c r="I319" s="47" t="n"/>
      <c r="J319" s="47" t="n"/>
      <c r="K319" s="47" t="n"/>
      <c r="L319" s="47" t="n"/>
      <c r="M319" s="47" t="n"/>
      <c r="N319" s="47" t="n"/>
      <c r="O319" s="47" t="n"/>
      <c r="P319" s="47" t="n"/>
      <c r="Q319" s="47" t="n"/>
      <c r="R319" s="47" t="n"/>
      <c r="S319" s="47" t="n"/>
      <c r="T319" s="47" t="n"/>
      <c r="U319" s="53" t="n"/>
      <c r="V319" s="53" t="n"/>
      <c r="W319" s="47" t="n"/>
      <c r="X319" s="47" t="n"/>
      <c r="Y319" s="47" t="n"/>
      <c r="Z319" s="47" t="n"/>
      <c r="AA319" s="47" t="n"/>
      <c r="AB319" s="47" t="n"/>
      <c r="AC319" s="47" t="n"/>
      <c r="AD319" s="47" t="n"/>
      <c r="AE319" s="47" t="n"/>
      <c r="AF319" s="20">
        <f>IF(A319="","",YEAR(EDATE(A319,-3)))</f>
        <v/>
      </c>
      <c r="AG319" s="20">
        <f>IF(OR(B319="",'経歴簿'!$C$4=""),"",IF(B319&amp;""='経歴簿'!$C$4&amp;"",MAX($AG$4:AG318)+1,""))</f>
        <v/>
      </c>
      <c r="AH319" s="20">
        <f>IF(A319="",0,IF(AND(OR('CSV抽出'!$C$4="",A319&gt;='CSV抽出'!$C$4),OR('CSV抽出'!$C$5="",A319&lt;='CSV抽出'!$C$5),OR('CSV抽出'!$C$6="すべて",'CSV抽出'!$C$6="",D319='CSV抽出'!$C$6),OR('CSV抽出'!$C$7="",B319&amp;""='CSV抽出'!$C$7&amp;"")),1,0))</f>
        <v/>
      </c>
      <c r="AI319" s="20">
        <f>IF(AH319=1,SUM($AH$5:AH319),"")</f>
        <v/>
      </c>
      <c r="AJ319" s="20">
        <f>IF(OR(S319="",'報告書'!$C$4=""),"",IF(S319&amp;""='報告書'!$C$4&amp;"",COUNTIF($S$5:S319,'報告書'!$C$4),""))</f>
        <v/>
      </c>
      <c r="AK319" s="20" t="n"/>
      <c r="AL319" s="47" t="n"/>
      <c r="AM319" s="47" t="n"/>
      <c r="AN319" s="53" t="n"/>
      <c r="AO319" s="47" t="n"/>
      <c r="AP319" s="47" t="n"/>
      <c r="AQ319" s="47" t="n"/>
      <c r="AR319" s="47" t="n"/>
      <c r="AS319" s="47" t="n"/>
      <c r="AT319" s="47" t="n"/>
      <c r="AU319" s="47" t="n"/>
      <c r="AV319" s="47" t="n"/>
      <c r="AW319" s="52" t="n"/>
    </row>
    <row r="320">
      <c r="A320" s="48" t="n"/>
      <c r="B320" s="52" t="n"/>
      <c r="C320" s="47">
        <f>IF(B320="","",IFERROR(INDEX('隊員マスタ'!$B$5:$B$204,MATCH(B320&amp;"",'隊員マスタ'!$F$5:$F$204,0)),IF(AK320="","番号なし",AK320)))</f>
        <v/>
      </c>
      <c r="D320" s="47" t="n"/>
      <c r="E320" s="47" t="n"/>
      <c r="F320" s="47" t="n"/>
      <c r="G320" s="47" t="n"/>
      <c r="H320" s="47" t="n"/>
      <c r="I320" s="47" t="n"/>
      <c r="J320" s="47" t="n"/>
      <c r="K320" s="47" t="n"/>
      <c r="L320" s="47" t="n"/>
      <c r="M320" s="47" t="n"/>
      <c r="N320" s="47" t="n"/>
      <c r="O320" s="47" t="n"/>
      <c r="P320" s="47" t="n"/>
      <c r="Q320" s="47" t="n"/>
      <c r="R320" s="47" t="n"/>
      <c r="S320" s="47" t="n"/>
      <c r="T320" s="47" t="n"/>
      <c r="U320" s="53" t="n"/>
      <c r="V320" s="53" t="n"/>
      <c r="W320" s="47" t="n"/>
      <c r="X320" s="47" t="n"/>
      <c r="Y320" s="47" t="n"/>
      <c r="Z320" s="47" t="n"/>
      <c r="AA320" s="47" t="n"/>
      <c r="AB320" s="47" t="n"/>
      <c r="AC320" s="47" t="n"/>
      <c r="AD320" s="47" t="n"/>
      <c r="AE320" s="47" t="n"/>
      <c r="AF320" s="20">
        <f>IF(A320="","",YEAR(EDATE(A320,-3)))</f>
        <v/>
      </c>
      <c r="AG320" s="20">
        <f>IF(OR(B320="",'経歴簿'!$C$4=""),"",IF(B320&amp;""='経歴簿'!$C$4&amp;"",MAX($AG$4:AG319)+1,""))</f>
        <v/>
      </c>
      <c r="AH320" s="20">
        <f>IF(A320="",0,IF(AND(OR('CSV抽出'!$C$4="",A320&gt;='CSV抽出'!$C$4),OR('CSV抽出'!$C$5="",A320&lt;='CSV抽出'!$C$5),OR('CSV抽出'!$C$6="すべて",'CSV抽出'!$C$6="",D320='CSV抽出'!$C$6),OR('CSV抽出'!$C$7="",B320&amp;""='CSV抽出'!$C$7&amp;"")),1,0))</f>
        <v/>
      </c>
      <c r="AI320" s="20">
        <f>IF(AH320=1,SUM($AH$5:AH320),"")</f>
        <v/>
      </c>
      <c r="AJ320" s="20">
        <f>IF(OR(S320="",'報告書'!$C$4=""),"",IF(S320&amp;""='報告書'!$C$4&amp;"",COUNTIF($S$5:S320,'報告書'!$C$4),""))</f>
        <v/>
      </c>
      <c r="AK320" s="20" t="n"/>
      <c r="AL320" s="47" t="n"/>
      <c r="AM320" s="47" t="n"/>
      <c r="AN320" s="53" t="n"/>
      <c r="AO320" s="47" t="n"/>
      <c r="AP320" s="47" t="n"/>
      <c r="AQ320" s="47" t="n"/>
      <c r="AR320" s="47" t="n"/>
      <c r="AS320" s="47" t="n"/>
      <c r="AT320" s="47" t="n"/>
      <c r="AU320" s="47" t="n"/>
      <c r="AV320" s="47" t="n"/>
      <c r="AW320" s="52" t="n"/>
    </row>
    <row r="321">
      <c r="A321" s="48" t="n"/>
      <c r="B321" s="52" t="n"/>
      <c r="C321" s="47">
        <f>IF(B321="","",IFERROR(INDEX('隊員マスタ'!$B$5:$B$204,MATCH(B321&amp;"",'隊員マスタ'!$F$5:$F$204,0)),IF(AK321="","番号なし",AK321)))</f>
        <v/>
      </c>
      <c r="D321" s="47" t="n"/>
      <c r="E321" s="47" t="n"/>
      <c r="F321" s="47" t="n"/>
      <c r="G321" s="47" t="n"/>
      <c r="H321" s="47" t="n"/>
      <c r="I321" s="47" t="n"/>
      <c r="J321" s="47" t="n"/>
      <c r="K321" s="47" t="n"/>
      <c r="L321" s="47" t="n"/>
      <c r="M321" s="47" t="n"/>
      <c r="N321" s="47" t="n"/>
      <c r="O321" s="47" t="n"/>
      <c r="P321" s="47" t="n"/>
      <c r="Q321" s="47" t="n"/>
      <c r="R321" s="47" t="n"/>
      <c r="S321" s="47" t="n"/>
      <c r="T321" s="47" t="n"/>
      <c r="U321" s="53" t="n"/>
      <c r="V321" s="53" t="n"/>
      <c r="W321" s="47" t="n"/>
      <c r="X321" s="47" t="n"/>
      <c r="Y321" s="47" t="n"/>
      <c r="Z321" s="47" t="n"/>
      <c r="AA321" s="47" t="n"/>
      <c r="AB321" s="47" t="n"/>
      <c r="AC321" s="47" t="n"/>
      <c r="AD321" s="47" t="n"/>
      <c r="AE321" s="47" t="n"/>
      <c r="AF321" s="20">
        <f>IF(A321="","",YEAR(EDATE(A321,-3)))</f>
        <v/>
      </c>
      <c r="AG321" s="20">
        <f>IF(OR(B321="",'経歴簿'!$C$4=""),"",IF(B321&amp;""='経歴簿'!$C$4&amp;"",MAX($AG$4:AG320)+1,""))</f>
        <v/>
      </c>
      <c r="AH321" s="20">
        <f>IF(A321="",0,IF(AND(OR('CSV抽出'!$C$4="",A321&gt;='CSV抽出'!$C$4),OR('CSV抽出'!$C$5="",A321&lt;='CSV抽出'!$C$5),OR('CSV抽出'!$C$6="すべて",'CSV抽出'!$C$6="",D321='CSV抽出'!$C$6),OR('CSV抽出'!$C$7="",B321&amp;""='CSV抽出'!$C$7&amp;"")),1,0))</f>
        <v/>
      </c>
      <c r="AI321" s="20">
        <f>IF(AH321=1,SUM($AH$5:AH321),"")</f>
        <v/>
      </c>
      <c r="AJ321" s="20">
        <f>IF(OR(S321="",'報告書'!$C$4=""),"",IF(S321&amp;""='報告書'!$C$4&amp;"",COUNTIF($S$5:S321,'報告書'!$C$4),""))</f>
        <v/>
      </c>
      <c r="AK321" s="20" t="n"/>
      <c r="AL321" s="47" t="n"/>
      <c r="AM321" s="47" t="n"/>
      <c r="AN321" s="53" t="n"/>
      <c r="AO321" s="47" t="n"/>
      <c r="AP321" s="47" t="n"/>
      <c r="AQ321" s="47" t="n"/>
      <c r="AR321" s="47" t="n"/>
      <c r="AS321" s="47" t="n"/>
      <c r="AT321" s="47" t="n"/>
      <c r="AU321" s="47" t="n"/>
      <c r="AV321" s="47" t="n"/>
      <c r="AW321" s="52" t="n"/>
    </row>
    <row r="322">
      <c r="A322" s="48" t="n"/>
      <c r="B322" s="52" t="n"/>
      <c r="C322" s="47">
        <f>IF(B322="","",IFERROR(INDEX('隊員マスタ'!$B$5:$B$204,MATCH(B322&amp;"",'隊員マスタ'!$F$5:$F$204,0)),IF(AK322="","番号なし",AK322)))</f>
        <v/>
      </c>
      <c r="D322" s="47" t="n"/>
      <c r="E322" s="47" t="n"/>
      <c r="F322" s="47" t="n"/>
      <c r="G322" s="47" t="n"/>
      <c r="H322" s="47" t="n"/>
      <c r="I322" s="47" t="n"/>
      <c r="J322" s="47" t="n"/>
      <c r="K322" s="47" t="n"/>
      <c r="L322" s="47" t="n"/>
      <c r="M322" s="47" t="n"/>
      <c r="N322" s="47" t="n"/>
      <c r="O322" s="47" t="n"/>
      <c r="P322" s="47" t="n"/>
      <c r="Q322" s="47" t="n"/>
      <c r="R322" s="47" t="n"/>
      <c r="S322" s="47" t="n"/>
      <c r="T322" s="47" t="n"/>
      <c r="U322" s="53" t="n"/>
      <c r="V322" s="53" t="n"/>
      <c r="W322" s="47" t="n"/>
      <c r="X322" s="47" t="n"/>
      <c r="Y322" s="47" t="n"/>
      <c r="Z322" s="47" t="n"/>
      <c r="AA322" s="47" t="n"/>
      <c r="AB322" s="47" t="n"/>
      <c r="AC322" s="47" t="n"/>
      <c r="AD322" s="47" t="n"/>
      <c r="AE322" s="47" t="n"/>
      <c r="AF322" s="20">
        <f>IF(A322="","",YEAR(EDATE(A322,-3)))</f>
        <v/>
      </c>
      <c r="AG322" s="20">
        <f>IF(OR(B322="",'経歴簿'!$C$4=""),"",IF(B322&amp;""='経歴簿'!$C$4&amp;"",MAX($AG$4:AG321)+1,""))</f>
        <v/>
      </c>
      <c r="AH322" s="20">
        <f>IF(A322="",0,IF(AND(OR('CSV抽出'!$C$4="",A322&gt;='CSV抽出'!$C$4),OR('CSV抽出'!$C$5="",A322&lt;='CSV抽出'!$C$5),OR('CSV抽出'!$C$6="すべて",'CSV抽出'!$C$6="",D322='CSV抽出'!$C$6),OR('CSV抽出'!$C$7="",B322&amp;""='CSV抽出'!$C$7&amp;"")),1,0))</f>
        <v/>
      </c>
      <c r="AI322" s="20">
        <f>IF(AH322=1,SUM($AH$5:AH322),"")</f>
        <v/>
      </c>
      <c r="AJ322" s="20">
        <f>IF(OR(S322="",'報告書'!$C$4=""),"",IF(S322&amp;""='報告書'!$C$4&amp;"",COUNTIF($S$5:S322,'報告書'!$C$4),""))</f>
        <v/>
      </c>
      <c r="AK322" s="20" t="n"/>
      <c r="AL322" s="47" t="n"/>
      <c r="AM322" s="47" t="n"/>
      <c r="AN322" s="53" t="n"/>
      <c r="AO322" s="47" t="n"/>
      <c r="AP322" s="47" t="n"/>
      <c r="AQ322" s="47" t="n"/>
      <c r="AR322" s="47" t="n"/>
      <c r="AS322" s="47" t="n"/>
      <c r="AT322" s="47" t="n"/>
      <c r="AU322" s="47" t="n"/>
      <c r="AV322" s="47" t="n"/>
      <c r="AW322" s="52" t="n"/>
    </row>
    <row r="323">
      <c r="A323" s="48" t="n"/>
      <c r="B323" s="52" t="n"/>
      <c r="C323" s="47">
        <f>IF(B323="","",IFERROR(INDEX('隊員マスタ'!$B$5:$B$204,MATCH(B323&amp;"",'隊員マスタ'!$F$5:$F$204,0)),IF(AK323="","番号なし",AK323)))</f>
        <v/>
      </c>
      <c r="D323" s="47" t="n"/>
      <c r="E323" s="47" t="n"/>
      <c r="F323" s="47" t="n"/>
      <c r="G323" s="47" t="n"/>
      <c r="H323" s="47" t="n"/>
      <c r="I323" s="47" t="n"/>
      <c r="J323" s="47" t="n"/>
      <c r="K323" s="47" t="n"/>
      <c r="L323" s="47" t="n"/>
      <c r="M323" s="47" t="n"/>
      <c r="N323" s="47" t="n"/>
      <c r="O323" s="47" t="n"/>
      <c r="P323" s="47" t="n"/>
      <c r="Q323" s="47" t="n"/>
      <c r="R323" s="47" t="n"/>
      <c r="S323" s="47" t="n"/>
      <c r="T323" s="47" t="n"/>
      <c r="U323" s="53" t="n"/>
      <c r="V323" s="53" t="n"/>
      <c r="W323" s="47" t="n"/>
      <c r="X323" s="47" t="n"/>
      <c r="Y323" s="47" t="n"/>
      <c r="Z323" s="47" t="n"/>
      <c r="AA323" s="47" t="n"/>
      <c r="AB323" s="47" t="n"/>
      <c r="AC323" s="47" t="n"/>
      <c r="AD323" s="47" t="n"/>
      <c r="AE323" s="47" t="n"/>
      <c r="AF323" s="20">
        <f>IF(A323="","",YEAR(EDATE(A323,-3)))</f>
        <v/>
      </c>
      <c r="AG323" s="20">
        <f>IF(OR(B323="",'経歴簿'!$C$4=""),"",IF(B323&amp;""='経歴簿'!$C$4&amp;"",MAX($AG$4:AG322)+1,""))</f>
        <v/>
      </c>
      <c r="AH323" s="20">
        <f>IF(A323="",0,IF(AND(OR('CSV抽出'!$C$4="",A323&gt;='CSV抽出'!$C$4),OR('CSV抽出'!$C$5="",A323&lt;='CSV抽出'!$C$5),OR('CSV抽出'!$C$6="すべて",'CSV抽出'!$C$6="",D323='CSV抽出'!$C$6),OR('CSV抽出'!$C$7="",B323&amp;""='CSV抽出'!$C$7&amp;"")),1,0))</f>
        <v/>
      </c>
      <c r="AI323" s="20">
        <f>IF(AH323=1,SUM($AH$5:AH323),"")</f>
        <v/>
      </c>
      <c r="AJ323" s="20">
        <f>IF(OR(S323="",'報告書'!$C$4=""),"",IF(S323&amp;""='報告書'!$C$4&amp;"",COUNTIF($S$5:S323,'報告書'!$C$4),""))</f>
        <v/>
      </c>
      <c r="AK323" s="20" t="n"/>
      <c r="AL323" s="47" t="n"/>
      <c r="AM323" s="47" t="n"/>
      <c r="AN323" s="53" t="n"/>
      <c r="AO323" s="47" t="n"/>
      <c r="AP323" s="47" t="n"/>
      <c r="AQ323" s="47" t="n"/>
      <c r="AR323" s="47" t="n"/>
      <c r="AS323" s="47" t="n"/>
      <c r="AT323" s="47" t="n"/>
      <c r="AU323" s="47" t="n"/>
      <c r="AV323" s="47" t="n"/>
      <c r="AW323" s="52" t="n"/>
    </row>
    <row r="324">
      <c r="A324" s="48" t="n"/>
      <c r="B324" s="52" t="n"/>
      <c r="C324" s="47">
        <f>IF(B324="","",IFERROR(INDEX('隊員マスタ'!$B$5:$B$204,MATCH(B324&amp;"",'隊員マスタ'!$F$5:$F$204,0)),IF(AK324="","番号なし",AK324)))</f>
        <v/>
      </c>
      <c r="D324" s="47" t="n"/>
      <c r="E324" s="47" t="n"/>
      <c r="F324" s="47" t="n"/>
      <c r="G324" s="47" t="n"/>
      <c r="H324" s="47" t="n"/>
      <c r="I324" s="47" t="n"/>
      <c r="J324" s="47" t="n"/>
      <c r="K324" s="47" t="n"/>
      <c r="L324" s="47" t="n"/>
      <c r="M324" s="47" t="n"/>
      <c r="N324" s="47" t="n"/>
      <c r="O324" s="47" t="n"/>
      <c r="P324" s="47" t="n"/>
      <c r="Q324" s="47" t="n"/>
      <c r="R324" s="47" t="n"/>
      <c r="S324" s="47" t="n"/>
      <c r="T324" s="47" t="n"/>
      <c r="U324" s="53" t="n"/>
      <c r="V324" s="53" t="n"/>
      <c r="W324" s="47" t="n"/>
      <c r="X324" s="47" t="n"/>
      <c r="Y324" s="47" t="n"/>
      <c r="Z324" s="47" t="n"/>
      <c r="AA324" s="47" t="n"/>
      <c r="AB324" s="47" t="n"/>
      <c r="AC324" s="47" t="n"/>
      <c r="AD324" s="47" t="n"/>
      <c r="AE324" s="47" t="n"/>
      <c r="AF324" s="20">
        <f>IF(A324="","",YEAR(EDATE(A324,-3)))</f>
        <v/>
      </c>
      <c r="AG324" s="20">
        <f>IF(OR(B324="",'経歴簿'!$C$4=""),"",IF(B324&amp;""='経歴簿'!$C$4&amp;"",MAX($AG$4:AG323)+1,""))</f>
        <v/>
      </c>
      <c r="AH324" s="20">
        <f>IF(A324="",0,IF(AND(OR('CSV抽出'!$C$4="",A324&gt;='CSV抽出'!$C$4),OR('CSV抽出'!$C$5="",A324&lt;='CSV抽出'!$C$5),OR('CSV抽出'!$C$6="すべて",'CSV抽出'!$C$6="",D324='CSV抽出'!$C$6),OR('CSV抽出'!$C$7="",B324&amp;""='CSV抽出'!$C$7&amp;"")),1,0))</f>
        <v/>
      </c>
      <c r="AI324" s="20">
        <f>IF(AH324=1,SUM($AH$5:AH324),"")</f>
        <v/>
      </c>
      <c r="AJ324" s="20">
        <f>IF(OR(S324="",'報告書'!$C$4=""),"",IF(S324&amp;""='報告書'!$C$4&amp;"",COUNTIF($S$5:S324,'報告書'!$C$4),""))</f>
        <v/>
      </c>
      <c r="AK324" s="20" t="n"/>
      <c r="AL324" s="47" t="n"/>
      <c r="AM324" s="47" t="n"/>
      <c r="AN324" s="53" t="n"/>
      <c r="AO324" s="47" t="n"/>
      <c r="AP324" s="47" t="n"/>
      <c r="AQ324" s="47" t="n"/>
      <c r="AR324" s="47" t="n"/>
      <c r="AS324" s="47" t="n"/>
      <c r="AT324" s="47" t="n"/>
      <c r="AU324" s="47" t="n"/>
      <c r="AV324" s="47" t="n"/>
      <c r="AW324" s="52" t="n"/>
    </row>
    <row r="325">
      <c r="A325" s="48" t="n"/>
      <c r="B325" s="52" t="n"/>
      <c r="C325" s="47">
        <f>IF(B325="","",IFERROR(INDEX('隊員マスタ'!$B$5:$B$204,MATCH(B325&amp;"",'隊員マスタ'!$F$5:$F$204,0)),IF(AK325="","番号なし",AK325)))</f>
        <v/>
      </c>
      <c r="D325" s="47" t="n"/>
      <c r="E325" s="47" t="n"/>
      <c r="F325" s="47" t="n"/>
      <c r="G325" s="47" t="n"/>
      <c r="H325" s="47" t="n"/>
      <c r="I325" s="47" t="n"/>
      <c r="J325" s="47" t="n"/>
      <c r="K325" s="47" t="n"/>
      <c r="L325" s="47" t="n"/>
      <c r="M325" s="47" t="n"/>
      <c r="N325" s="47" t="n"/>
      <c r="O325" s="47" t="n"/>
      <c r="P325" s="47" t="n"/>
      <c r="Q325" s="47" t="n"/>
      <c r="R325" s="47" t="n"/>
      <c r="S325" s="47" t="n"/>
      <c r="T325" s="47" t="n"/>
      <c r="U325" s="53" t="n"/>
      <c r="V325" s="53" t="n"/>
      <c r="W325" s="47" t="n"/>
      <c r="X325" s="47" t="n"/>
      <c r="Y325" s="47" t="n"/>
      <c r="Z325" s="47" t="n"/>
      <c r="AA325" s="47" t="n"/>
      <c r="AB325" s="47" t="n"/>
      <c r="AC325" s="47" t="n"/>
      <c r="AD325" s="47" t="n"/>
      <c r="AE325" s="47" t="n"/>
      <c r="AF325" s="20">
        <f>IF(A325="","",YEAR(EDATE(A325,-3)))</f>
        <v/>
      </c>
      <c r="AG325" s="20">
        <f>IF(OR(B325="",'経歴簿'!$C$4=""),"",IF(B325&amp;""='経歴簿'!$C$4&amp;"",MAX($AG$4:AG324)+1,""))</f>
        <v/>
      </c>
      <c r="AH325" s="20">
        <f>IF(A325="",0,IF(AND(OR('CSV抽出'!$C$4="",A325&gt;='CSV抽出'!$C$4),OR('CSV抽出'!$C$5="",A325&lt;='CSV抽出'!$C$5),OR('CSV抽出'!$C$6="すべて",'CSV抽出'!$C$6="",D325='CSV抽出'!$C$6),OR('CSV抽出'!$C$7="",B325&amp;""='CSV抽出'!$C$7&amp;"")),1,0))</f>
        <v/>
      </c>
      <c r="AI325" s="20">
        <f>IF(AH325=1,SUM($AH$5:AH325),"")</f>
        <v/>
      </c>
      <c r="AJ325" s="20">
        <f>IF(OR(S325="",'報告書'!$C$4=""),"",IF(S325&amp;""='報告書'!$C$4&amp;"",COUNTIF($S$5:S325,'報告書'!$C$4),""))</f>
        <v/>
      </c>
      <c r="AK325" s="20" t="n"/>
      <c r="AL325" s="47" t="n"/>
      <c r="AM325" s="47" t="n"/>
      <c r="AN325" s="53" t="n"/>
      <c r="AO325" s="47" t="n"/>
      <c r="AP325" s="47" t="n"/>
      <c r="AQ325" s="47" t="n"/>
      <c r="AR325" s="47" t="n"/>
      <c r="AS325" s="47" t="n"/>
      <c r="AT325" s="47" t="n"/>
      <c r="AU325" s="47" t="n"/>
      <c r="AV325" s="47" t="n"/>
      <c r="AW325" s="52" t="n"/>
    </row>
    <row r="326">
      <c r="A326" s="48" t="n"/>
      <c r="B326" s="52" t="n"/>
      <c r="C326" s="47">
        <f>IF(B326="","",IFERROR(INDEX('隊員マスタ'!$B$5:$B$204,MATCH(B326&amp;"",'隊員マスタ'!$F$5:$F$204,0)),IF(AK326="","番号なし",AK326)))</f>
        <v/>
      </c>
      <c r="D326" s="47" t="n"/>
      <c r="E326" s="47" t="n"/>
      <c r="F326" s="47" t="n"/>
      <c r="G326" s="47" t="n"/>
      <c r="H326" s="47" t="n"/>
      <c r="I326" s="47" t="n"/>
      <c r="J326" s="47" t="n"/>
      <c r="K326" s="47" t="n"/>
      <c r="L326" s="47" t="n"/>
      <c r="M326" s="47" t="n"/>
      <c r="N326" s="47" t="n"/>
      <c r="O326" s="47" t="n"/>
      <c r="P326" s="47" t="n"/>
      <c r="Q326" s="47" t="n"/>
      <c r="R326" s="47" t="n"/>
      <c r="S326" s="47" t="n"/>
      <c r="T326" s="47" t="n"/>
      <c r="U326" s="53" t="n"/>
      <c r="V326" s="53" t="n"/>
      <c r="W326" s="47" t="n"/>
      <c r="X326" s="47" t="n"/>
      <c r="Y326" s="47" t="n"/>
      <c r="Z326" s="47" t="n"/>
      <c r="AA326" s="47" t="n"/>
      <c r="AB326" s="47" t="n"/>
      <c r="AC326" s="47" t="n"/>
      <c r="AD326" s="47" t="n"/>
      <c r="AE326" s="47" t="n"/>
      <c r="AF326" s="20">
        <f>IF(A326="","",YEAR(EDATE(A326,-3)))</f>
        <v/>
      </c>
      <c r="AG326" s="20">
        <f>IF(OR(B326="",'経歴簿'!$C$4=""),"",IF(B326&amp;""='経歴簿'!$C$4&amp;"",MAX($AG$4:AG325)+1,""))</f>
        <v/>
      </c>
      <c r="AH326" s="20">
        <f>IF(A326="",0,IF(AND(OR('CSV抽出'!$C$4="",A326&gt;='CSV抽出'!$C$4),OR('CSV抽出'!$C$5="",A326&lt;='CSV抽出'!$C$5),OR('CSV抽出'!$C$6="すべて",'CSV抽出'!$C$6="",D326='CSV抽出'!$C$6),OR('CSV抽出'!$C$7="",B326&amp;""='CSV抽出'!$C$7&amp;"")),1,0))</f>
        <v/>
      </c>
      <c r="AI326" s="20">
        <f>IF(AH326=1,SUM($AH$5:AH326),"")</f>
        <v/>
      </c>
      <c r="AJ326" s="20">
        <f>IF(OR(S326="",'報告書'!$C$4=""),"",IF(S326&amp;""='報告書'!$C$4&amp;"",COUNTIF($S$5:S326,'報告書'!$C$4),""))</f>
        <v/>
      </c>
      <c r="AK326" s="20" t="n"/>
      <c r="AL326" s="47" t="n"/>
      <c r="AM326" s="47" t="n"/>
      <c r="AN326" s="53" t="n"/>
      <c r="AO326" s="47" t="n"/>
      <c r="AP326" s="47" t="n"/>
      <c r="AQ326" s="47" t="n"/>
      <c r="AR326" s="47" t="n"/>
      <c r="AS326" s="47" t="n"/>
      <c r="AT326" s="47" t="n"/>
      <c r="AU326" s="47" t="n"/>
      <c r="AV326" s="47" t="n"/>
      <c r="AW326" s="52" t="n"/>
    </row>
    <row r="327">
      <c r="A327" s="48" t="n"/>
      <c r="B327" s="52" t="n"/>
      <c r="C327" s="47">
        <f>IF(B327="","",IFERROR(INDEX('隊員マスタ'!$B$5:$B$204,MATCH(B327&amp;"",'隊員マスタ'!$F$5:$F$204,0)),IF(AK327="","番号なし",AK327)))</f>
        <v/>
      </c>
      <c r="D327" s="47" t="n"/>
      <c r="E327" s="47" t="n"/>
      <c r="F327" s="47" t="n"/>
      <c r="G327" s="47" t="n"/>
      <c r="H327" s="47" t="n"/>
      <c r="I327" s="47" t="n"/>
      <c r="J327" s="47" t="n"/>
      <c r="K327" s="47" t="n"/>
      <c r="L327" s="47" t="n"/>
      <c r="M327" s="47" t="n"/>
      <c r="N327" s="47" t="n"/>
      <c r="O327" s="47" t="n"/>
      <c r="P327" s="47" t="n"/>
      <c r="Q327" s="47" t="n"/>
      <c r="R327" s="47" t="n"/>
      <c r="S327" s="47" t="n"/>
      <c r="T327" s="47" t="n"/>
      <c r="U327" s="53" t="n"/>
      <c r="V327" s="53" t="n"/>
      <c r="W327" s="47" t="n"/>
      <c r="X327" s="47" t="n"/>
      <c r="Y327" s="47" t="n"/>
      <c r="Z327" s="47" t="n"/>
      <c r="AA327" s="47" t="n"/>
      <c r="AB327" s="47" t="n"/>
      <c r="AC327" s="47" t="n"/>
      <c r="AD327" s="47" t="n"/>
      <c r="AE327" s="47" t="n"/>
      <c r="AF327" s="20">
        <f>IF(A327="","",YEAR(EDATE(A327,-3)))</f>
        <v/>
      </c>
      <c r="AG327" s="20">
        <f>IF(OR(B327="",'経歴簿'!$C$4=""),"",IF(B327&amp;""='経歴簿'!$C$4&amp;"",MAX($AG$4:AG326)+1,""))</f>
        <v/>
      </c>
      <c r="AH327" s="20">
        <f>IF(A327="",0,IF(AND(OR('CSV抽出'!$C$4="",A327&gt;='CSV抽出'!$C$4),OR('CSV抽出'!$C$5="",A327&lt;='CSV抽出'!$C$5),OR('CSV抽出'!$C$6="すべて",'CSV抽出'!$C$6="",D327='CSV抽出'!$C$6),OR('CSV抽出'!$C$7="",B327&amp;""='CSV抽出'!$C$7&amp;"")),1,0))</f>
        <v/>
      </c>
      <c r="AI327" s="20">
        <f>IF(AH327=1,SUM($AH$5:AH327),"")</f>
        <v/>
      </c>
      <c r="AJ327" s="20">
        <f>IF(OR(S327="",'報告書'!$C$4=""),"",IF(S327&amp;""='報告書'!$C$4&amp;"",COUNTIF($S$5:S327,'報告書'!$C$4),""))</f>
        <v/>
      </c>
      <c r="AK327" s="20" t="n"/>
      <c r="AL327" s="47" t="n"/>
      <c r="AM327" s="47" t="n"/>
      <c r="AN327" s="53" t="n"/>
      <c r="AO327" s="47" t="n"/>
      <c r="AP327" s="47" t="n"/>
      <c r="AQ327" s="47" t="n"/>
      <c r="AR327" s="47" t="n"/>
      <c r="AS327" s="47" t="n"/>
      <c r="AT327" s="47" t="n"/>
      <c r="AU327" s="47" t="n"/>
      <c r="AV327" s="47" t="n"/>
      <c r="AW327" s="52" t="n"/>
    </row>
    <row r="328">
      <c r="A328" s="48" t="n"/>
      <c r="B328" s="52" t="n"/>
      <c r="C328" s="47">
        <f>IF(B328="","",IFERROR(INDEX('隊員マスタ'!$B$5:$B$204,MATCH(B328&amp;"",'隊員マスタ'!$F$5:$F$204,0)),IF(AK328="","番号なし",AK328)))</f>
        <v/>
      </c>
      <c r="D328" s="47" t="n"/>
      <c r="E328" s="47" t="n"/>
      <c r="F328" s="47" t="n"/>
      <c r="G328" s="47" t="n"/>
      <c r="H328" s="47" t="n"/>
      <c r="I328" s="47" t="n"/>
      <c r="J328" s="47" t="n"/>
      <c r="K328" s="47" t="n"/>
      <c r="L328" s="47" t="n"/>
      <c r="M328" s="47" t="n"/>
      <c r="N328" s="47" t="n"/>
      <c r="O328" s="47" t="n"/>
      <c r="P328" s="47" t="n"/>
      <c r="Q328" s="47" t="n"/>
      <c r="R328" s="47" t="n"/>
      <c r="S328" s="47" t="n"/>
      <c r="T328" s="47" t="n"/>
      <c r="U328" s="53" t="n"/>
      <c r="V328" s="53" t="n"/>
      <c r="W328" s="47" t="n"/>
      <c r="X328" s="47" t="n"/>
      <c r="Y328" s="47" t="n"/>
      <c r="Z328" s="47" t="n"/>
      <c r="AA328" s="47" t="n"/>
      <c r="AB328" s="47" t="n"/>
      <c r="AC328" s="47" t="n"/>
      <c r="AD328" s="47" t="n"/>
      <c r="AE328" s="47" t="n"/>
      <c r="AF328" s="20">
        <f>IF(A328="","",YEAR(EDATE(A328,-3)))</f>
        <v/>
      </c>
      <c r="AG328" s="20">
        <f>IF(OR(B328="",'経歴簿'!$C$4=""),"",IF(B328&amp;""='経歴簿'!$C$4&amp;"",MAX($AG$4:AG327)+1,""))</f>
        <v/>
      </c>
      <c r="AH328" s="20">
        <f>IF(A328="",0,IF(AND(OR('CSV抽出'!$C$4="",A328&gt;='CSV抽出'!$C$4),OR('CSV抽出'!$C$5="",A328&lt;='CSV抽出'!$C$5),OR('CSV抽出'!$C$6="すべて",'CSV抽出'!$C$6="",D328='CSV抽出'!$C$6),OR('CSV抽出'!$C$7="",B328&amp;""='CSV抽出'!$C$7&amp;"")),1,0))</f>
        <v/>
      </c>
      <c r="AI328" s="20">
        <f>IF(AH328=1,SUM($AH$5:AH328),"")</f>
        <v/>
      </c>
      <c r="AJ328" s="20">
        <f>IF(OR(S328="",'報告書'!$C$4=""),"",IF(S328&amp;""='報告書'!$C$4&amp;"",COUNTIF($S$5:S328,'報告書'!$C$4),""))</f>
        <v/>
      </c>
      <c r="AK328" s="20" t="n"/>
      <c r="AL328" s="47" t="n"/>
      <c r="AM328" s="47" t="n"/>
      <c r="AN328" s="53" t="n"/>
      <c r="AO328" s="47" t="n"/>
      <c r="AP328" s="47" t="n"/>
      <c r="AQ328" s="47" t="n"/>
      <c r="AR328" s="47" t="n"/>
      <c r="AS328" s="47" t="n"/>
      <c r="AT328" s="47" t="n"/>
      <c r="AU328" s="47" t="n"/>
      <c r="AV328" s="47" t="n"/>
      <c r="AW328" s="52" t="n"/>
    </row>
    <row r="329">
      <c r="A329" s="48" t="n"/>
      <c r="B329" s="52" t="n"/>
      <c r="C329" s="47">
        <f>IF(B329="","",IFERROR(INDEX('隊員マスタ'!$B$5:$B$204,MATCH(B329&amp;"",'隊員マスタ'!$F$5:$F$204,0)),IF(AK329="","番号なし",AK329)))</f>
        <v/>
      </c>
      <c r="D329" s="47" t="n"/>
      <c r="E329" s="47" t="n"/>
      <c r="F329" s="47" t="n"/>
      <c r="G329" s="47" t="n"/>
      <c r="H329" s="47" t="n"/>
      <c r="I329" s="47" t="n"/>
      <c r="J329" s="47" t="n"/>
      <c r="K329" s="47" t="n"/>
      <c r="L329" s="47" t="n"/>
      <c r="M329" s="47" t="n"/>
      <c r="N329" s="47" t="n"/>
      <c r="O329" s="47" t="n"/>
      <c r="P329" s="47" t="n"/>
      <c r="Q329" s="47" t="n"/>
      <c r="R329" s="47" t="n"/>
      <c r="S329" s="47" t="n"/>
      <c r="T329" s="47" t="n"/>
      <c r="U329" s="53" t="n"/>
      <c r="V329" s="53" t="n"/>
      <c r="W329" s="47" t="n"/>
      <c r="X329" s="47" t="n"/>
      <c r="Y329" s="47" t="n"/>
      <c r="Z329" s="47" t="n"/>
      <c r="AA329" s="47" t="n"/>
      <c r="AB329" s="47" t="n"/>
      <c r="AC329" s="47" t="n"/>
      <c r="AD329" s="47" t="n"/>
      <c r="AE329" s="47" t="n"/>
      <c r="AF329" s="20">
        <f>IF(A329="","",YEAR(EDATE(A329,-3)))</f>
        <v/>
      </c>
      <c r="AG329" s="20">
        <f>IF(OR(B329="",'経歴簿'!$C$4=""),"",IF(B329&amp;""='経歴簿'!$C$4&amp;"",MAX($AG$4:AG328)+1,""))</f>
        <v/>
      </c>
      <c r="AH329" s="20">
        <f>IF(A329="",0,IF(AND(OR('CSV抽出'!$C$4="",A329&gt;='CSV抽出'!$C$4),OR('CSV抽出'!$C$5="",A329&lt;='CSV抽出'!$C$5),OR('CSV抽出'!$C$6="すべて",'CSV抽出'!$C$6="",D329='CSV抽出'!$C$6),OR('CSV抽出'!$C$7="",B329&amp;""='CSV抽出'!$C$7&amp;"")),1,0))</f>
        <v/>
      </c>
      <c r="AI329" s="20">
        <f>IF(AH329=1,SUM($AH$5:AH329),"")</f>
        <v/>
      </c>
      <c r="AJ329" s="20">
        <f>IF(OR(S329="",'報告書'!$C$4=""),"",IF(S329&amp;""='報告書'!$C$4&amp;"",COUNTIF($S$5:S329,'報告書'!$C$4),""))</f>
        <v/>
      </c>
      <c r="AK329" s="20" t="n"/>
      <c r="AL329" s="47" t="n"/>
      <c r="AM329" s="47" t="n"/>
      <c r="AN329" s="53" t="n"/>
      <c r="AO329" s="47" t="n"/>
      <c r="AP329" s="47" t="n"/>
      <c r="AQ329" s="47" t="n"/>
      <c r="AR329" s="47" t="n"/>
      <c r="AS329" s="47" t="n"/>
      <c r="AT329" s="47" t="n"/>
      <c r="AU329" s="47" t="n"/>
      <c r="AV329" s="47" t="n"/>
      <c r="AW329" s="52" t="n"/>
    </row>
    <row r="330">
      <c r="A330" s="48" t="n"/>
      <c r="B330" s="52" t="n"/>
      <c r="C330" s="47">
        <f>IF(B330="","",IFERROR(INDEX('隊員マスタ'!$B$5:$B$204,MATCH(B330&amp;"",'隊員マスタ'!$F$5:$F$204,0)),IF(AK330="","番号なし",AK330)))</f>
        <v/>
      </c>
      <c r="D330" s="47" t="n"/>
      <c r="E330" s="47" t="n"/>
      <c r="F330" s="47" t="n"/>
      <c r="G330" s="47" t="n"/>
      <c r="H330" s="47" t="n"/>
      <c r="I330" s="47" t="n"/>
      <c r="J330" s="47" t="n"/>
      <c r="K330" s="47" t="n"/>
      <c r="L330" s="47" t="n"/>
      <c r="M330" s="47" t="n"/>
      <c r="N330" s="47" t="n"/>
      <c r="O330" s="47" t="n"/>
      <c r="P330" s="47" t="n"/>
      <c r="Q330" s="47" t="n"/>
      <c r="R330" s="47" t="n"/>
      <c r="S330" s="47" t="n"/>
      <c r="T330" s="47" t="n"/>
      <c r="U330" s="53" t="n"/>
      <c r="V330" s="53" t="n"/>
      <c r="W330" s="47" t="n"/>
      <c r="X330" s="47" t="n"/>
      <c r="Y330" s="47" t="n"/>
      <c r="Z330" s="47" t="n"/>
      <c r="AA330" s="47" t="n"/>
      <c r="AB330" s="47" t="n"/>
      <c r="AC330" s="47" t="n"/>
      <c r="AD330" s="47" t="n"/>
      <c r="AE330" s="47" t="n"/>
      <c r="AF330" s="20">
        <f>IF(A330="","",YEAR(EDATE(A330,-3)))</f>
        <v/>
      </c>
      <c r="AG330" s="20">
        <f>IF(OR(B330="",'経歴簿'!$C$4=""),"",IF(B330&amp;""='経歴簿'!$C$4&amp;"",MAX($AG$4:AG329)+1,""))</f>
        <v/>
      </c>
      <c r="AH330" s="20">
        <f>IF(A330="",0,IF(AND(OR('CSV抽出'!$C$4="",A330&gt;='CSV抽出'!$C$4),OR('CSV抽出'!$C$5="",A330&lt;='CSV抽出'!$C$5),OR('CSV抽出'!$C$6="すべて",'CSV抽出'!$C$6="",D330='CSV抽出'!$C$6),OR('CSV抽出'!$C$7="",B330&amp;""='CSV抽出'!$C$7&amp;"")),1,0))</f>
        <v/>
      </c>
      <c r="AI330" s="20">
        <f>IF(AH330=1,SUM($AH$5:AH330),"")</f>
        <v/>
      </c>
      <c r="AJ330" s="20">
        <f>IF(OR(S330="",'報告書'!$C$4=""),"",IF(S330&amp;""='報告書'!$C$4&amp;"",COUNTIF($S$5:S330,'報告書'!$C$4),""))</f>
        <v/>
      </c>
      <c r="AK330" s="20" t="n"/>
      <c r="AL330" s="47" t="n"/>
      <c r="AM330" s="47" t="n"/>
      <c r="AN330" s="53" t="n"/>
      <c r="AO330" s="47" t="n"/>
      <c r="AP330" s="47" t="n"/>
      <c r="AQ330" s="47" t="n"/>
      <c r="AR330" s="47" t="n"/>
      <c r="AS330" s="47" t="n"/>
      <c r="AT330" s="47" t="n"/>
      <c r="AU330" s="47" t="n"/>
      <c r="AV330" s="47" t="n"/>
      <c r="AW330" s="52" t="n"/>
    </row>
    <row r="331">
      <c r="A331" s="48" t="n"/>
      <c r="B331" s="52" t="n"/>
      <c r="C331" s="47">
        <f>IF(B331="","",IFERROR(INDEX('隊員マスタ'!$B$5:$B$204,MATCH(B331&amp;"",'隊員マスタ'!$F$5:$F$204,0)),IF(AK331="","番号なし",AK331)))</f>
        <v/>
      </c>
      <c r="D331" s="47" t="n"/>
      <c r="E331" s="47" t="n"/>
      <c r="F331" s="47" t="n"/>
      <c r="G331" s="47" t="n"/>
      <c r="H331" s="47" t="n"/>
      <c r="I331" s="47" t="n"/>
      <c r="J331" s="47" t="n"/>
      <c r="K331" s="47" t="n"/>
      <c r="L331" s="47" t="n"/>
      <c r="M331" s="47" t="n"/>
      <c r="N331" s="47" t="n"/>
      <c r="O331" s="47" t="n"/>
      <c r="P331" s="47" t="n"/>
      <c r="Q331" s="47" t="n"/>
      <c r="R331" s="47" t="n"/>
      <c r="S331" s="47" t="n"/>
      <c r="T331" s="47" t="n"/>
      <c r="U331" s="53" t="n"/>
      <c r="V331" s="53" t="n"/>
      <c r="W331" s="47" t="n"/>
      <c r="X331" s="47" t="n"/>
      <c r="Y331" s="47" t="n"/>
      <c r="Z331" s="47" t="n"/>
      <c r="AA331" s="47" t="n"/>
      <c r="AB331" s="47" t="n"/>
      <c r="AC331" s="47" t="n"/>
      <c r="AD331" s="47" t="n"/>
      <c r="AE331" s="47" t="n"/>
      <c r="AF331" s="20">
        <f>IF(A331="","",YEAR(EDATE(A331,-3)))</f>
        <v/>
      </c>
      <c r="AG331" s="20">
        <f>IF(OR(B331="",'経歴簿'!$C$4=""),"",IF(B331&amp;""='経歴簿'!$C$4&amp;"",MAX($AG$4:AG330)+1,""))</f>
        <v/>
      </c>
      <c r="AH331" s="20">
        <f>IF(A331="",0,IF(AND(OR('CSV抽出'!$C$4="",A331&gt;='CSV抽出'!$C$4),OR('CSV抽出'!$C$5="",A331&lt;='CSV抽出'!$C$5),OR('CSV抽出'!$C$6="すべて",'CSV抽出'!$C$6="",D331='CSV抽出'!$C$6),OR('CSV抽出'!$C$7="",B331&amp;""='CSV抽出'!$C$7&amp;"")),1,0))</f>
        <v/>
      </c>
      <c r="AI331" s="20">
        <f>IF(AH331=1,SUM($AH$5:AH331),"")</f>
        <v/>
      </c>
      <c r="AJ331" s="20">
        <f>IF(OR(S331="",'報告書'!$C$4=""),"",IF(S331&amp;""='報告書'!$C$4&amp;"",COUNTIF($S$5:S331,'報告書'!$C$4),""))</f>
        <v/>
      </c>
      <c r="AK331" s="20" t="n"/>
      <c r="AL331" s="47" t="n"/>
      <c r="AM331" s="47" t="n"/>
      <c r="AN331" s="53" t="n"/>
      <c r="AO331" s="47" t="n"/>
      <c r="AP331" s="47" t="n"/>
      <c r="AQ331" s="47" t="n"/>
      <c r="AR331" s="47" t="n"/>
      <c r="AS331" s="47" t="n"/>
      <c r="AT331" s="47" t="n"/>
      <c r="AU331" s="47" t="n"/>
      <c r="AV331" s="47" t="n"/>
      <c r="AW331" s="52" t="n"/>
    </row>
    <row r="332">
      <c r="A332" s="48" t="n"/>
      <c r="B332" s="52" t="n"/>
      <c r="C332" s="47">
        <f>IF(B332="","",IFERROR(INDEX('隊員マスタ'!$B$5:$B$204,MATCH(B332&amp;"",'隊員マスタ'!$F$5:$F$204,0)),IF(AK332="","番号なし",AK332)))</f>
        <v/>
      </c>
      <c r="D332" s="47" t="n"/>
      <c r="E332" s="47" t="n"/>
      <c r="F332" s="47" t="n"/>
      <c r="G332" s="47" t="n"/>
      <c r="H332" s="47" t="n"/>
      <c r="I332" s="47" t="n"/>
      <c r="J332" s="47" t="n"/>
      <c r="K332" s="47" t="n"/>
      <c r="L332" s="47" t="n"/>
      <c r="M332" s="47" t="n"/>
      <c r="N332" s="47" t="n"/>
      <c r="O332" s="47" t="n"/>
      <c r="P332" s="47" t="n"/>
      <c r="Q332" s="47" t="n"/>
      <c r="R332" s="47" t="n"/>
      <c r="S332" s="47" t="n"/>
      <c r="T332" s="47" t="n"/>
      <c r="U332" s="53" t="n"/>
      <c r="V332" s="53" t="n"/>
      <c r="W332" s="47" t="n"/>
      <c r="X332" s="47" t="n"/>
      <c r="Y332" s="47" t="n"/>
      <c r="Z332" s="47" t="n"/>
      <c r="AA332" s="47" t="n"/>
      <c r="AB332" s="47" t="n"/>
      <c r="AC332" s="47" t="n"/>
      <c r="AD332" s="47" t="n"/>
      <c r="AE332" s="47" t="n"/>
      <c r="AF332" s="20">
        <f>IF(A332="","",YEAR(EDATE(A332,-3)))</f>
        <v/>
      </c>
      <c r="AG332" s="20">
        <f>IF(OR(B332="",'経歴簿'!$C$4=""),"",IF(B332&amp;""='経歴簿'!$C$4&amp;"",MAX($AG$4:AG331)+1,""))</f>
        <v/>
      </c>
      <c r="AH332" s="20">
        <f>IF(A332="",0,IF(AND(OR('CSV抽出'!$C$4="",A332&gt;='CSV抽出'!$C$4),OR('CSV抽出'!$C$5="",A332&lt;='CSV抽出'!$C$5),OR('CSV抽出'!$C$6="すべて",'CSV抽出'!$C$6="",D332='CSV抽出'!$C$6),OR('CSV抽出'!$C$7="",B332&amp;""='CSV抽出'!$C$7&amp;"")),1,0))</f>
        <v/>
      </c>
      <c r="AI332" s="20">
        <f>IF(AH332=1,SUM($AH$5:AH332),"")</f>
        <v/>
      </c>
      <c r="AJ332" s="20">
        <f>IF(OR(S332="",'報告書'!$C$4=""),"",IF(S332&amp;""='報告書'!$C$4&amp;"",COUNTIF($S$5:S332,'報告書'!$C$4),""))</f>
        <v/>
      </c>
      <c r="AK332" s="20" t="n"/>
      <c r="AL332" s="47" t="n"/>
      <c r="AM332" s="47" t="n"/>
      <c r="AN332" s="53" t="n"/>
      <c r="AO332" s="47" t="n"/>
      <c r="AP332" s="47" t="n"/>
      <c r="AQ332" s="47" t="n"/>
      <c r="AR332" s="47" t="n"/>
      <c r="AS332" s="47" t="n"/>
      <c r="AT332" s="47" t="n"/>
      <c r="AU332" s="47" t="n"/>
      <c r="AV332" s="47" t="n"/>
      <c r="AW332" s="52" t="n"/>
    </row>
    <row r="333">
      <c r="A333" s="48" t="n"/>
      <c r="B333" s="52" t="n"/>
      <c r="C333" s="47">
        <f>IF(B333="","",IFERROR(INDEX('隊員マスタ'!$B$5:$B$204,MATCH(B333&amp;"",'隊員マスタ'!$F$5:$F$204,0)),IF(AK333="","番号なし",AK333)))</f>
        <v/>
      </c>
      <c r="D333" s="47" t="n"/>
      <c r="E333" s="47" t="n"/>
      <c r="F333" s="47" t="n"/>
      <c r="G333" s="47" t="n"/>
      <c r="H333" s="47" t="n"/>
      <c r="I333" s="47" t="n"/>
      <c r="J333" s="47" t="n"/>
      <c r="K333" s="47" t="n"/>
      <c r="L333" s="47" t="n"/>
      <c r="M333" s="47" t="n"/>
      <c r="N333" s="47" t="n"/>
      <c r="O333" s="47" t="n"/>
      <c r="P333" s="47" t="n"/>
      <c r="Q333" s="47" t="n"/>
      <c r="R333" s="47" t="n"/>
      <c r="S333" s="47" t="n"/>
      <c r="T333" s="47" t="n"/>
      <c r="U333" s="53" t="n"/>
      <c r="V333" s="53" t="n"/>
      <c r="W333" s="47" t="n"/>
      <c r="X333" s="47" t="n"/>
      <c r="Y333" s="47" t="n"/>
      <c r="Z333" s="47" t="n"/>
      <c r="AA333" s="47" t="n"/>
      <c r="AB333" s="47" t="n"/>
      <c r="AC333" s="47" t="n"/>
      <c r="AD333" s="47" t="n"/>
      <c r="AE333" s="47" t="n"/>
      <c r="AF333" s="20">
        <f>IF(A333="","",YEAR(EDATE(A333,-3)))</f>
        <v/>
      </c>
      <c r="AG333" s="20">
        <f>IF(OR(B333="",'経歴簿'!$C$4=""),"",IF(B333&amp;""='経歴簿'!$C$4&amp;"",MAX($AG$4:AG332)+1,""))</f>
        <v/>
      </c>
      <c r="AH333" s="20">
        <f>IF(A333="",0,IF(AND(OR('CSV抽出'!$C$4="",A333&gt;='CSV抽出'!$C$4),OR('CSV抽出'!$C$5="",A333&lt;='CSV抽出'!$C$5),OR('CSV抽出'!$C$6="すべて",'CSV抽出'!$C$6="",D333='CSV抽出'!$C$6),OR('CSV抽出'!$C$7="",B333&amp;""='CSV抽出'!$C$7&amp;"")),1,0))</f>
        <v/>
      </c>
      <c r="AI333" s="20">
        <f>IF(AH333=1,SUM($AH$5:AH333),"")</f>
        <v/>
      </c>
      <c r="AJ333" s="20">
        <f>IF(OR(S333="",'報告書'!$C$4=""),"",IF(S333&amp;""='報告書'!$C$4&amp;"",COUNTIF($S$5:S333,'報告書'!$C$4),""))</f>
        <v/>
      </c>
      <c r="AK333" s="20" t="n"/>
      <c r="AL333" s="47" t="n"/>
      <c r="AM333" s="47" t="n"/>
      <c r="AN333" s="53" t="n"/>
      <c r="AO333" s="47" t="n"/>
      <c r="AP333" s="47" t="n"/>
      <c r="AQ333" s="47" t="n"/>
      <c r="AR333" s="47" t="n"/>
      <c r="AS333" s="47" t="n"/>
      <c r="AT333" s="47" t="n"/>
      <c r="AU333" s="47" t="n"/>
      <c r="AV333" s="47" t="n"/>
      <c r="AW333" s="52" t="n"/>
    </row>
    <row r="334">
      <c r="A334" s="48" t="n"/>
      <c r="B334" s="52" t="n"/>
      <c r="C334" s="47">
        <f>IF(B334="","",IFERROR(INDEX('隊員マスタ'!$B$5:$B$204,MATCH(B334&amp;"",'隊員マスタ'!$F$5:$F$204,0)),IF(AK334="","番号なし",AK334)))</f>
        <v/>
      </c>
      <c r="D334" s="47" t="n"/>
      <c r="E334" s="47" t="n"/>
      <c r="F334" s="47" t="n"/>
      <c r="G334" s="47" t="n"/>
      <c r="H334" s="47" t="n"/>
      <c r="I334" s="47" t="n"/>
      <c r="J334" s="47" t="n"/>
      <c r="K334" s="47" t="n"/>
      <c r="L334" s="47" t="n"/>
      <c r="M334" s="47" t="n"/>
      <c r="N334" s="47" t="n"/>
      <c r="O334" s="47" t="n"/>
      <c r="P334" s="47" t="n"/>
      <c r="Q334" s="47" t="n"/>
      <c r="R334" s="47" t="n"/>
      <c r="S334" s="47" t="n"/>
      <c r="T334" s="47" t="n"/>
      <c r="U334" s="53" t="n"/>
      <c r="V334" s="53" t="n"/>
      <c r="W334" s="47" t="n"/>
      <c r="X334" s="47" t="n"/>
      <c r="Y334" s="47" t="n"/>
      <c r="Z334" s="47" t="n"/>
      <c r="AA334" s="47" t="n"/>
      <c r="AB334" s="47" t="n"/>
      <c r="AC334" s="47" t="n"/>
      <c r="AD334" s="47" t="n"/>
      <c r="AE334" s="47" t="n"/>
      <c r="AF334" s="20">
        <f>IF(A334="","",YEAR(EDATE(A334,-3)))</f>
        <v/>
      </c>
      <c r="AG334" s="20">
        <f>IF(OR(B334="",'経歴簿'!$C$4=""),"",IF(B334&amp;""='経歴簿'!$C$4&amp;"",MAX($AG$4:AG333)+1,""))</f>
        <v/>
      </c>
      <c r="AH334" s="20">
        <f>IF(A334="",0,IF(AND(OR('CSV抽出'!$C$4="",A334&gt;='CSV抽出'!$C$4),OR('CSV抽出'!$C$5="",A334&lt;='CSV抽出'!$C$5),OR('CSV抽出'!$C$6="すべて",'CSV抽出'!$C$6="",D334='CSV抽出'!$C$6),OR('CSV抽出'!$C$7="",B334&amp;""='CSV抽出'!$C$7&amp;"")),1,0))</f>
        <v/>
      </c>
      <c r="AI334" s="20">
        <f>IF(AH334=1,SUM($AH$5:AH334),"")</f>
        <v/>
      </c>
      <c r="AJ334" s="20">
        <f>IF(OR(S334="",'報告書'!$C$4=""),"",IF(S334&amp;""='報告書'!$C$4&amp;"",COUNTIF($S$5:S334,'報告書'!$C$4),""))</f>
        <v/>
      </c>
      <c r="AK334" s="20" t="n"/>
      <c r="AL334" s="47" t="n"/>
      <c r="AM334" s="47" t="n"/>
      <c r="AN334" s="53" t="n"/>
      <c r="AO334" s="47" t="n"/>
      <c r="AP334" s="47" t="n"/>
      <c r="AQ334" s="47" t="n"/>
      <c r="AR334" s="47" t="n"/>
      <c r="AS334" s="47" t="n"/>
      <c r="AT334" s="47" t="n"/>
      <c r="AU334" s="47" t="n"/>
      <c r="AV334" s="47" t="n"/>
      <c r="AW334" s="52" t="n"/>
    </row>
    <row r="335">
      <c r="A335" s="48" t="n"/>
      <c r="B335" s="52" t="n"/>
      <c r="C335" s="47">
        <f>IF(B335="","",IFERROR(INDEX('隊員マスタ'!$B$5:$B$204,MATCH(B335&amp;"",'隊員マスタ'!$F$5:$F$204,0)),IF(AK335="","番号なし",AK335)))</f>
        <v/>
      </c>
      <c r="D335" s="47" t="n"/>
      <c r="E335" s="47" t="n"/>
      <c r="F335" s="47" t="n"/>
      <c r="G335" s="47" t="n"/>
      <c r="H335" s="47" t="n"/>
      <c r="I335" s="47" t="n"/>
      <c r="J335" s="47" t="n"/>
      <c r="K335" s="47" t="n"/>
      <c r="L335" s="47" t="n"/>
      <c r="M335" s="47" t="n"/>
      <c r="N335" s="47" t="n"/>
      <c r="O335" s="47" t="n"/>
      <c r="P335" s="47" t="n"/>
      <c r="Q335" s="47" t="n"/>
      <c r="R335" s="47" t="n"/>
      <c r="S335" s="47" t="n"/>
      <c r="T335" s="47" t="n"/>
      <c r="U335" s="53" t="n"/>
      <c r="V335" s="53" t="n"/>
      <c r="W335" s="47" t="n"/>
      <c r="X335" s="47" t="n"/>
      <c r="Y335" s="47" t="n"/>
      <c r="Z335" s="47" t="n"/>
      <c r="AA335" s="47" t="n"/>
      <c r="AB335" s="47" t="n"/>
      <c r="AC335" s="47" t="n"/>
      <c r="AD335" s="47" t="n"/>
      <c r="AE335" s="47" t="n"/>
      <c r="AF335" s="20">
        <f>IF(A335="","",YEAR(EDATE(A335,-3)))</f>
        <v/>
      </c>
      <c r="AG335" s="20">
        <f>IF(OR(B335="",'経歴簿'!$C$4=""),"",IF(B335&amp;""='経歴簿'!$C$4&amp;"",MAX($AG$4:AG334)+1,""))</f>
        <v/>
      </c>
      <c r="AH335" s="20">
        <f>IF(A335="",0,IF(AND(OR('CSV抽出'!$C$4="",A335&gt;='CSV抽出'!$C$4),OR('CSV抽出'!$C$5="",A335&lt;='CSV抽出'!$C$5),OR('CSV抽出'!$C$6="すべて",'CSV抽出'!$C$6="",D335='CSV抽出'!$C$6),OR('CSV抽出'!$C$7="",B335&amp;""='CSV抽出'!$C$7&amp;"")),1,0))</f>
        <v/>
      </c>
      <c r="AI335" s="20">
        <f>IF(AH335=1,SUM($AH$5:AH335),"")</f>
        <v/>
      </c>
      <c r="AJ335" s="20">
        <f>IF(OR(S335="",'報告書'!$C$4=""),"",IF(S335&amp;""='報告書'!$C$4&amp;"",COUNTIF($S$5:S335,'報告書'!$C$4),""))</f>
        <v/>
      </c>
      <c r="AK335" s="20" t="n"/>
      <c r="AL335" s="47" t="n"/>
      <c r="AM335" s="47" t="n"/>
      <c r="AN335" s="53" t="n"/>
      <c r="AO335" s="47" t="n"/>
      <c r="AP335" s="47" t="n"/>
      <c r="AQ335" s="47" t="n"/>
      <c r="AR335" s="47" t="n"/>
      <c r="AS335" s="47" t="n"/>
      <c r="AT335" s="47" t="n"/>
      <c r="AU335" s="47" t="n"/>
      <c r="AV335" s="47" t="n"/>
      <c r="AW335" s="52" t="n"/>
    </row>
    <row r="336">
      <c r="A336" s="48" t="n"/>
      <c r="B336" s="52" t="n"/>
      <c r="C336" s="47">
        <f>IF(B336="","",IFERROR(INDEX('隊員マスタ'!$B$5:$B$204,MATCH(B336&amp;"",'隊員マスタ'!$F$5:$F$204,0)),IF(AK336="","番号なし",AK336)))</f>
        <v/>
      </c>
      <c r="D336" s="47" t="n"/>
      <c r="E336" s="47" t="n"/>
      <c r="F336" s="47" t="n"/>
      <c r="G336" s="47" t="n"/>
      <c r="H336" s="47" t="n"/>
      <c r="I336" s="47" t="n"/>
      <c r="J336" s="47" t="n"/>
      <c r="K336" s="47" t="n"/>
      <c r="L336" s="47" t="n"/>
      <c r="M336" s="47" t="n"/>
      <c r="N336" s="47" t="n"/>
      <c r="O336" s="47" t="n"/>
      <c r="P336" s="47" t="n"/>
      <c r="Q336" s="47" t="n"/>
      <c r="R336" s="47" t="n"/>
      <c r="S336" s="47" t="n"/>
      <c r="T336" s="47" t="n"/>
      <c r="U336" s="53" t="n"/>
      <c r="V336" s="53" t="n"/>
      <c r="W336" s="47" t="n"/>
      <c r="X336" s="47" t="n"/>
      <c r="Y336" s="47" t="n"/>
      <c r="Z336" s="47" t="n"/>
      <c r="AA336" s="47" t="n"/>
      <c r="AB336" s="47" t="n"/>
      <c r="AC336" s="47" t="n"/>
      <c r="AD336" s="47" t="n"/>
      <c r="AE336" s="47" t="n"/>
      <c r="AF336" s="20">
        <f>IF(A336="","",YEAR(EDATE(A336,-3)))</f>
        <v/>
      </c>
      <c r="AG336" s="20">
        <f>IF(OR(B336="",'経歴簿'!$C$4=""),"",IF(B336&amp;""='経歴簿'!$C$4&amp;"",MAX($AG$4:AG335)+1,""))</f>
        <v/>
      </c>
      <c r="AH336" s="20">
        <f>IF(A336="",0,IF(AND(OR('CSV抽出'!$C$4="",A336&gt;='CSV抽出'!$C$4),OR('CSV抽出'!$C$5="",A336&lt;='CSV抽出'!$C$5),OR('CSV抽出'!$C$6="すべて",'CSV抽出'!$C$6="",D336='CSV抽出'!$C$6),OR('CSV抽出'!$C$7="",B336&amp;""='CSV抽出'!$C$7&amp;"")),1,0))</f>
        <v/>
      </c>
      <c r="AI336" s="20">
        <f>IF(AH336=1,SUM($AH$5:AH336),"")</f>
        <v/>
      </c>
      <c r="AJ336" s="20">
        <f>IF(OR(S336="",'報告書'!$C$4=""),"",IF(S336&amp;""='報告書'!$C$4&amp;"",COUNTIF($S$5:S336,'報告書'!$C$4),""))</f>
        <v/>
      </c>
      <c r="AK336" s="20" t="n"/>
      <c r="AL336" s="47" t="n"/>
      <c r="AM336" s="47" t="n"/>
      <c r="AN336" s="53" t="n"/>
      <c r="AO336" s="47" t="n"/>
      <c r="AP336" s="47" t="n"/>
      <c r="AQ336" s="47" t="n"/>
      <c r="AR336" s="47" t="n"/>
      <c r="AS336" s="47" t="n"/>
      <c r="AT336" s="47" t="n"/>
      <c r="AU336" s="47" t="n"/>
      <c r="AV336" s="47" t="n"/>
      <c r="AW336" s="52" t="n"/>
    </row>
    <row r="337">
      <c r="A337" s="48" t="n"/>
      <c r="B337" s="52" t="n"/>
      <c r="C337" s="47">
        <f>IF(B337="","",IFERROR(INDEX('隊員マスタ'!$B$5:$B$204,MATCH(B337&amp;"",'隊員マスタ'!$F$5:$F$204,0)),IF(AK337="","番号なし",AK337)))</f>
        <v/>
      </c>
      <c r="D337" s="47" t="n"/>
      <c r="E337" s="47" t="n"/>
      <c r="F337" s="47" t="n"/>
      <c r="G337" s="47" t="n"/>
      <c r="H337" s="47" t="n"/>
      <c r="I337" s="47" t="n"/>
      <c r="J337" s="47" t="n"/>
      <c r="K337" s="47" t="n"/>
      <c r="L337" s="47" t="n"/>
      <c r="M337" s="47" t="n"/>
      <c r="N337" s="47" t="n"/>
      <c r="O337" s="47" t="n"/>
      <c r="P337" s="47" t="n"/>
      <c r="Q337" s="47" t="n"/>
      <c r="R337" s="47" t="n"/>
      <c r="S337" s="47" t="n"/>
      <c r="T337" s="47" t="n"/>
      <c r="U337" s="53" t="n"/>
      <c r="V337" s="53" t="n"/>
      <c r="W337" s="47" t="n"/>
      <c r="X337" s="47" t="n"/>
      <c r="Y337" s="47" t="n"/>
      <c r="Z337" s="47" t="n"/>
      <c r="AA337" s="47" t="n"/>
      <c r="AB337" s="47" t="n"/>
      <c r="AC337" s="47" t="n"/>
      <c r="AD337" s="47" t="n"/>
      <c r="AE337" s="47" t="n"/>
      <c r="AF337" s="20">
        <f>IF(A337="","",YEAR(EDATE(A337,-3)))</f>
        <v/>
      </c>
      <c r="AG337" s="20">
        <f>IF(OR(B337="",'経歴簿'!$C$4=""),"",IF(B337&amp;""='経歴簿'!$C$4&amp;"",MAX($AG$4:AG336)+1,""))</f>
        <v/>
      </c>
      <c r="AH337" s="20">
        <f>IF(A337="",0,IF(AND(OR('CSV抽出'!$C$4="",A337&gt;='CSV抽出'!$C$4),OR('CSV抽出'!$C$5="",A337&lt;='CSV抽出'!$C$5),OR('CSV抽出'!$C$6="すべて",'CSV抽出'!$C$6="",D337='CSV抽出'!$C$6),OR('CSV抽出'!$C$7="",B337&amp;""='CSV抽出'!$C$7&amp;"")),1,0))</f>
        <v/>
      </c>
      <c r="AI337" s="20">
        <f>IF(AH337=1,SUM($AH$5:AH337),"")</f>
        <v/>
      </c>
      <c r="AJ337" s="20">
        <f>IF(OR(S337="",'報告書'!$C$4=""),"",IF(S337&amp;""='報告書'!$C$4&amp;"",COUNTIF($S$5:S337,'報告書'!$C$4),""))</f>
        <v/>
      </c>
      <c r="AK337" s="20" t="n"/>
      <c r="AL337" s="47" t="n"/>
      <c r="AM337" s="47" t="n"/>
      <c r="AN337" s="53" t="n"/>
      <c r="AO337" s="47" t="n"/>
      <c r="AP337" s="47" t="n"/>
      <c r="AQ337" s="47" t="n"/>
      <c r="AR337" s="47" t="n"/>
      <c r="AS337" s="47" t="n"/>
      <c r="AT337" s="47" t="n"/>
      <c r="AU337" s="47" t="n"/>
      <c r="AV337" s="47" t="n"/>
      <c r="AW337" s="52" t="n"/>
    </row>
    <row r="338">
      <c r="A338" s="48" t="n"/>
      <c r="B338" s="52" t="n"/>
      <c r="C338" s="47">
        <f>IF(B338="","",IFERROR(INDEX('隊員マスタ'!$B$5:$B$204,MATCH(B338&amp;"",'隊員マスタ'!$F$5:$F$204,0)),IF(AK338="","番号なし",AK338)))</f>
        <v/>
      </c>
      <c r="D338" s="47" t="n"/>
      <c r="E338" s="47" t="n"/>
      <c r="F338" s="47" t="n"/>
      <c r="G338" s="47" t="n"/>
      <c r="H338" s="47" t="n"/>
      <c r="I338" s="47" t="n"/>
      <c r="J338" s="47" t="n"/>
      <c r="K338" s="47" t="n"/>
      <c r="L338" s="47" t="n"/>
      <c r="M338" s="47" t="n"/>
      <c r="N338" s="47" t="n"/>
      <c r="O338" s="47" t="n"/>
      <c r="P338" s="47" t="n"/>
      <c r="Q338" s="47" t="n"/>
      <c r="R338" s="47" t="n"/>
      <c r="S338" s="47" t="n"/>
      <c r="T338" s="47" t="n"/>
      <c r="U338" s="53" t="n"/>
      <c r="V338" s="53" t="n"/>
      <c r="W338" s="47" t="n"/>
      <c r="X338" s="47" t="n"/>
      <c r="Y338" s="47" t="n"/>
      <c r="Z338" s="47" t="n"/>
      <c r="AA338" s="47" t="n"/>
      <c r="AB338" s="47" t="n"/>
      <c r="AC338" s="47" t="n"/>
      <c r="AD338" s="47" t="n"/>
      <c r="AE338" s="47" t="n"/>
      <c r="AF338" s="20">
        <f>IF(A338="","",YEAR(EDATE(A338,-3)))</f>
        <v/>
      </c>
      <c r="AG338" s="20">
        <f>IF(OR(B338="",'経歴簿'!$C$4=""),"",IF(B338&amp;""='経歴簿'!$C$4&amp;"",MAX($AG$4:AG337)+1,""))</f>
        <v/>
      </c>
      <c r="AH338" s="20">
        <f>IF(A338="",0,IF(AND(OR('CSV抽出'!$C$4="",A338&gt;='CSV抽出'!$C$4),OR('CSV抽出'!$C$5="",A338&lt;='CSV抽出'!$C$5),OR('CSV抽出'!$C$6="すべて",'CSV抽出'!$C$6="",D338='CSV抽出'!$C$6),OR('CSV抽出'!$C$7="",B338&amp;""='CSV抽出'!$C$7&amp;"")),1,0))</f>
        <v/>
      </c>
      <c r="AI338" s="20">
        <f>IF(AH338=1,SUM($AH$5:AH338),"")</f>
        <v/>
      </c>
      <c r="AJ338" s="20">
        <f>IF(OR(S338="",'報告書'!$C$4=""),"",IF(S338&amp;""='報告書'!$C$4&amp;"",COUNTIF($S$5:S338,'報告書'!$C$4),""))</f>
        <v/>
      </c>
      <c r="AK338" s="20" t="n"/>
      <c r="AL338" s="47" t="n"/>
      <c r="AM338" s="47" t="n"/>
      <c r="AN338" s="53" t="n"/>
      <c r="AO338" s="47" t="n"/>
      <c r="AP338" s="47" t="n"/>
      <c r="AQ338" s="47" t="n"/>
      <c r="AR338" s="47" t="n"/>
      <c r="AS338" s="47" t="n"/>
      <c r="AT338" s="47" t="n"/>
      <c r="AU338" s="47" t="n"/>
      <c r="AV338" s="47" t="n"/>
      <c r="AW338" s="52" t="n"/>
    </row>
    <row r="339">
      <c r="A339" s="48" t="n"/>
      <c r="B339" s="52" t="n"/>
      <c r="C339" s="47">
        <f>IF(B339="","",IFERROR(INDEX('隊員マスタ'!$B$5:$B$204,MATCH(B339&amp;"",'隊員マスタ'!$F$5:$F$204,0)),IF(AK339="","番号なし",AK339)))</f>
        <v/>
      </c>
      <c r="D339" s="47" t="n"/>
      <c r="E339" s="47" t="n"/>
      <c r="F339" s="47" t="n"/>
      <c r="G339" s="47" t="n"/>
      <c r="H339" s="47" t="n"/>
      <c r="I339" s="47" t="n"/>
      <c r="J339" s="47" t="n"/>
      <c r="K339" s="47" t="n"/>
      <c r="L339" s="47" t="n"/>
      <c r="M339" s="47" t="n"/>
      <c r="N339" s="47" t="n"/>
      <c r="O339" s="47" t="n"/>
      <c r="P339" s="47" t="n"/>
      <c r="Q339" s="47" t="n"/>
      <c r="R339" s="47" t="n"/>
      <c r="S339" s="47" t="n"/>
      <c r="T339" s="47" t="n"/>
      <c r="U339" s="53" t="n"/>
      <c r="V339" s="53" t="n"/>
      <c r="W339" s="47" t="n"/>
      <c r="X339" s="47" t="n"/>
      <c r="Y339" s="47" t="n"/>
      <c r="Z339" s="47" t="n"/>
      <c r="AA339" s="47" t="n"/>
      <c r="AB339" s="47" t="n"/>
      <c r="AC339" s="47" t="n"/>
      <c r="AD339" s="47" t="n"/>
      <c r="AE339" s="47" t="n"/>
      <c r="AF339" s="20">
        <f>IF(A339="","",YEAR(EDATE(A339,-3)))</f>
        <v/>
      </c>
      <c r="AG339" s="20">
        <f>IF(OR(B339="",'経歴簿'!$C$4=""),"",IF(B339&amp;""='経歴簿'!$C$4&amp;"",MAX($AG$4:AG338)+1,""))</f>
        <v/>
      </c>
      <c r="AH339" s="20">
        <f>IF(A339="",0,IF(AND(OR('CSV抽出'!$C$4="",A339&gt;='CSV抽出'!$C$4),OR('CSV抽出'!$C$5="",A339&lt;='CSV抽出'!$C$5),OR('CSV抽出'!$C$6="すべて",'CSV抽出'!$C$6="",D339='CSV抽出'!$C$6),OR('CSV抽出'!$C$7="",B339&amp;""='CSV抽出'!$C$7&amp;"")),1,0))</f>
        <v/>
      </c>
      <c r="AI339" s="20">
        <f>IF(AH339=1,SUM($AH$5:AH339),"")</f>
        <v/>
      </c>
      <c r="AJ339" s="20">
        <f>IF(OR(S339="",'報告書'!$C$4=""),"",IF(S339&amp;""='報告書'!$C$4&amp;"",COUNTIF($S$5:S339,'報告書'!$C$4),""))</f>
        <v/>
      </c>
      <c r="AK339" s="20" t="n"/>
      <c r="AL339" s="47" t="n"/>
      <c r="AM339" s="47" t="n"/>
      <c r="AN339" s="53" t="n"/>
      <c r="AO339" s="47" t="n"/>
      <c r="AP339" s="47" t="n"/>
      <c r="AQ339" s="47" t="n"/>
      <c r="AR339" s="47" t="n"/>
      <c r="AS339" s="47" t="n"/>
      <c r="AT339" s="47" t="n"/>
      <c r="AU339" s="47" t="n"/>
      <c r="AV339" s="47" t="n"/>
      <c r="AW339" s="52" t="n"/>
    </row>
    <row r="340">
      <c r="A340" s="48" t="n"/>
      <c r="B340" s="52" t="n"/>
      <c r="C340" s="47">
        <f>IF(B340="","",IFERROR(INDEX('隊員マスタ'!$B$5:$B$204,MATCH(B340&amp;"",'隊員マスタ'!$F$5:$F$204,0)),IF(AK340="","番号なし",AK340)))</f>
        <v/>
      </c>
      <c r="D340" s="47" t="n"/>
      <c r="E340" s="47" t="n"/>
      <c r="F340" s="47" t="n"/>
      <c r="G340" s="47" t="n"/>
      <c r="H340" s="47" t="n"/>
      <c r="I340" s="47" t="n"/>
      <c r="J340" s="47" t="n"/>
      <c r="K340" s="47" t="n"/>
      <c r="L340" s="47" t="n"/>
      <c r="M340" s="47" t="n"/>
      <c r="N340" s="47" t="n"/>
      <c r="O340" s="47" t="n"/>
      <c r="P340" s="47" t="n"/>
      <c r="Q340" s="47" t="n"/>
      <c r="R340" s="47" t="n"/>
      <c r="S340" s="47" t="n"/>
      <c r="T340" s="47" t="n"/>
      <c r="U340" s="53" t="n"/>
      <c r="V340" s="53" t="n"/>
      <c r="W340" s="47" t="n"/>
      <c r="X340" s="47" t="n"/>
      <c r="Y340" s="47" t="n"/>
      <c r="Z340" s="47" t="n"/>
      <c r="AA340" s="47" t="n"/>
      <c r="AB340" s="47" t="n"/>
      <c r="AC340" s="47" t="n"/>
      <c r="AD340" s="47" t="n"/>
      <c r="AE340" s="47" t="n"/>
      <c r="AF340" s="20">
        <f>IF(A340="","",YEAR(EDATE(A340,-3)))</f>
        <v/>
      </c>
      <c r="AG340" s="20">
        <f>IF(OR(B340="",'経歴簿'!$C$4=""),"",IF(B340&amp;""='経歴簿'!$C$4&amp;"",MAX($AG$4:AG339)+1,""))</f>
        <v/>
      </c>
      <c r="AH340" s="20">
        <f>IF(A340="",0,IF(AND(OR('CSV抽出'!$C$4="",A340&gt;='CSV抽出'!$C$4),OR('CSV抽出'!$C$5="",A340&lt;='CSV抽出'!$C$5),OR('CSV抽出'!$C$6="すべて",'CSV抽出'!$C$6="",D340='CSV抽出'!$C$6),OR('CSV抽出'!$C$7="",B340&amp;""='CSV抽出'!$C$7&amp;"")),1,0))</f>
        <v/>
      </c>
      <c r="AI340" s="20">
        <f>IF(AH340=1,SUM($AH$5:AH340),"")</f>
        <v/>
      </c>
      <c r="AJ340" s="20">
        <f>IF(OR(S340="",'報告書'!$C$4=""),"",IF(S340&amp;""='報告書'!$C$4&amp;"",COUNTIF($S$5:S340,'報告書'!$C$4),""))</f>
        <v/>
      </c>
      <c r="AK340" s="20" t="n"/>
      <c r="AL340" s="47" t="n"/>
      <c r="AM340" s="47" t="n"/>
      <c r="AN340" s="53" t="n"/>
      <c r="AO340" s="47" t="n"/>
      <c r="AP340" s="47" t="n"/>
      <c r="AQ340" s="47" t="n"/>
      <c r="AR340" s="47" t="n"/>
      <c r="AS340" s="47" t="n"/>
      <c r="AT340" s="47" t="n"/>
      <c r="AU340" s="47" t="n"/>
      <c r="AV340" s="47" t="n"/>
      <c r="AW340" s="52" t="n"/>
    </row>
    <row r="341">
      <c r="A341" s="48" t="n"/>
      <c r="B341" s="52" t="n"/>
      <c r="C341" s="47">
        <f>IF(B341="","",IFERROR(INDEX('隊員マスタ'!$B$5:$B$204,MATCH(B341&amp;"",'隊員マスタ'!$F$5:$F$204,0)),IF(AK341="","番号なし",AK341)))</f>
        <v/>
      </c>
      <c r="D341" s="47" t="n"/>
      <c r="E341" s="47" t="n"/>
      <c r="F341" s="47" t="n"/>
      <c r="G341" s="47" t="n"/>
      <c r="H341" s="47" t="n"/>
      <c r="I341" s="47" t="n"/>
      <c r="J341" s="47" t="n"/>
      <c r="K341" s="47" t="n"/>
      <c r="L341" s="47" t="n"/>
      <c r="M341" s="47" t="n"/>
      <c r="N341" s="47" t="n"/>
      <c r="O341" s="47" t="n"/>
      <c r="P341" s="47" t="n"/>
      <c r="Q341" s="47" t="n"/>
      <c r="R341" s="47" t="n"/>
      <c r="S341" s="47" t="n"/>
      <c r="T341" s="47" t="n"/>
      <c r="U341" s="53" t="n"/>
      <c r="V341" s="53" t="n"/>
      <c r="W341" s="47" t="n"/>
      <c r="X341" s="47" t="n"/>
      <c r="Y341" s="47" t="n"/>
      <c r="Z341" s="47" t="n"/>
      <c r="AA341" s="47" t="n"/>
      <c r="AB341" s="47" t="n"/>
      <c r="AC341" s="47" t="n"/>
      <c r="AD341" s="47" t="n"/>
      <c r="AE341" s="47" t="n"/>
      <c r="AF341" s="20">
        <f>IF(A341="","",YEAR(EDATE(A341,-3)))</f>
        <v/>
      </c>
      <c r="AG341" s="20">
        <f>IF(OR(B341="",'経歴簿'!$C$4=""),"",IF(B341&amp;""='経歴簿'!$C$4&amp;"",MAX($AG$4:AG340)+1,""))</f>
        <v/>
      </c>
      <c r="AH341" s="20">
        <f>IF(A341="",0,IF(AND(OR('CSV抽出'!$C$4="",A341&gt;='CSV抽出'!$C$4),OR('CSV抽出'!$C$5="",A341&lt;='CSV抽出'!$C$5),OR('CSV抽出'!$C$6="すべて",'CSV抽出'!$C$6="",D341='CSV抽出'!$C$6),OR('CSV抽出'!$C$7="",B341&amp;""='CSV抽出'!$C$7&amp;"")),1,0))</f>
        <v/>
      </c>
      <c r="AI341" s="20">
        <f>IF(AH341=1,SUM($AH$5:AH341),"")</f>
        <v/>
      </c>
      <c r="AJ341" s="20">
        <f>IF(OR(S341="",'報告書'!$C$4=""),"",IF(S341&amp;""='報告書'!$C$4&amp;"",COUNTIF($S$5:S341,'報告書'!$C$4),""))</f>
        <v/>
      </c>
      <c r="AK341" s="20" t="n"/>
      <c r="AL341" s="47" t="n"/>
      <c r="AM341" s="47" t="n"/>
      <c r="AN341" s="53" t="n"/>
      <c r="AO341" s="47" t="n"/>
      <c r="AP341" s="47" t="n"/>
      <c r="AQ341" s="47" t="n"/>
      <c r="AR341" s="47" t="n"/>
      <c r="AS341" s="47" t="n"/>
      <c r="AT341" s="47" t="n"/>
      <c r="AU341" s="47" t="n"/>
      <c r="AV341" s="47" t="n"/>
      <c r="AW341" s="52" t="n"/>
    </row>
    <row r="342">
      <c r="A342" s="48" t="n"/>
      <c r="B342" s="52" t="n"/>
      <c r="C342" s="47">
        <f>IF(B342="","",IFERROR(INDEX('隊員マスタ'!$B$5:$B$204,MATCH(B342&amp;"",'隊員マスタ'!$F$5:$F$204,0)),IF(AK342="","番号なし",AK342)))</f>
        <v/>
      </c>
      <c r="D342" s="47" t="n"/>
      <c r="E342" s="47" t="n"/>
      <c r="F342" s="47" t="n"/>
      <c r="G342" s="47" t="n"/>
      <c r="H342" s="47" t="n"/>
      <c r="I342" s="47" t="n"/>
      <c r="J342" s="47" t="n"/>
      <c r="K342" s="47" t="n"/>
      <c r="L342" s="47" t="n"/>
      <c r="M342" s="47" t="n"/>
      <c r="N342" s="47" t="n"/>
      <c r="O342" s="47" t="n"/>
      <c r="P342" s="47" t="n"/>
      <c r="Q342" s="47" t="n"/>
      <c r="R342" s="47" t="n"/>
      <c r="S342" s="47" t="n"/>
      <c r="T342" s="47" t="n"/>
      <c r="U342" s="53" t="n"/>
      <c r="V342" s="53" t="n"/>
      <c r="W342" s="47" t="n"/>
      <c r="X342" s="47" t="n"/>
      <c r="Y342" s="47" t="n"/>
      <c r="Z342" s="47" t="n"/>
      <c r="AA342" s="47" t="n"/>
      <c r="AB342" s="47" t="n"/>
      <c r="AC342" s="47" t="n"/>
      <c r="AD342" s="47" t="n"/>
      <c r="AE342" s="47" t="n"/>
      <c r="AF342" s="20">
        <f>IF(A342="","",YEAR(EDATE(A342,-3)))</f>
        <v/>
      </c>
      <c r="AG342" s="20">
        <f>IF(OR(B342="",'経歴簿'!$C$4=""),"",IF(B342&amp;""='経歴簿'!$C$4&amp;"",MAX($AG$4:AG341)+1,""))</f>
        <v/>
      </c>
      <c r="AH342" s="20">
        <f>IF(A342="",0,IF(AND(OR('CSV抽出'!$C$4="",A342&gt;='CSV抽出'!$C$4),OR('CSV抽出'!$C$5="",A342&lt;='CSV抽出'!$C$5),OR('CSV抽出'!$C$6="すべて",'CSV抽出'!$C$6="",D342='CSV抽出'!$C$6),OR('CSV抽出'!$C$7="",B342&amp;""='CSV抽出'!$C$7&amp;"")),1,0))</f>
        <v/>
      </c>
      <c r="AI342" s="20">
        <f>IF(AH342=1,SUM($AH$5:AH342),"")</f>
        <v/>
      </c>
      <c r="AJ342" s="20">
        <f>IF(OR(S342="",'報告書'!$C$4=""),"",IF(S342&amp;""='報告書'!$C$4&amp;"",COUNTIF($S$5:S342,'報告書'!$C$4),""))</f>
        <v/>
      </c>
      <c r="AK342" s="20" t="n"/>
      <c r="AL342" s="47" t="n"/>
      <c r="AM342" s="47" t="n"/>
      <c r="AN342" s="53" t="n"/>
      <c r="AO342" s="47" t="n"/>
      <c r="AP342" s="47" t="n"/>
      <c r="AQ342" s="47" t="n"/>
      <c r="AR342" s="47" t="n"/>
      <c r="AS342" s="47" t="n"/>
      <c r="AT342" s="47" t="n"/>
      <c r="AU342" s="47" t="n"/>
      <c r="AV342" s="47" t="n"/>
      <c r="AW342" s="52" t="n"/>
    </row>
    <row r="343">
      <c r="A343" s="48" t="n"/>
      <c r="B343" s="52" t="n"/>
      <c r="C343" s="47">
        <f>IF(B343="","",IFERROR(INDEX('隊員マスタ'!$B$5:$B$204,MATCH(B343&amp;"",'隊員マスタ'!$F$5:$F$204,0)),IF(AK343="","番号なし",AK343)))</f>
        <v/>
      </c>
      <c r="D343" s="47" t="n"/>
      <c r="E343" s="47" t="n"/>
      <c r="F343" s="47" t="n"/>
      <c r="G343" s="47" t="n"/>
      <c r="H343" s="47" t="n"/>
      <c r="I343" s="47" t="n"/>
      <c r="J343" s="47" t="n"/>
      <c r="K343" s="47" t="n"/>
      <c r="L343" s="47" t="n"/>
      <c r="M343" s="47" t="n"/>
      <c r="N343" s="47" t="n"/>
      <c r="O343" s="47" t="n"/>
      <c r="P343" s="47" t="n"/>
      <c r="Q343" s="47" t="n"/>
      <c r="R343" s="47" t="n"/>
      <c r="S343" s="47" t="n"/>
      <c r="T343" s="47" t="n"/>
      <c r="U343" s="53" t="n"/>
      <c r="V343" s="53" t="n"/>
      <c r="W343" s="47" t="n"/>
      <c r="X343" s="47" t="n"/>
      <c r="Y343" s="47" t="n"/>
      <c r="Z343" s="47" t="n"/>
      <c r="AA343" s="47" t="n"/>
      <c r="AB343" s="47" t="n"/>
      <c r="AC343" s="47" t="n"/>
      <c r="AD343" s="47" t="n"/>
      <c r="AE343" s="47" t="n"/>
      <c r="AF343" s="20">
        <f>IF(A343="","",YEAR(EDATE(A343,-3)))</f>
        <v/>
      </c>
      <c r="AG343" s="20">
        <f>IF(OR(B343="",'経歴簿'!$C$4=""),"",IF(B343&amp;""='経歴簿'!$C$4&amp;"",MAX($AG$4:AG342)+1,""))</f>
        <v/>
      </c>
      <c r="AH343" s="20">
        <f>IF(A343="",0,IF(AND(OR('CSV抽出'!$C$4="",A343&gt;='CSV抽出'!$C$4),OR('CSV抽出'!$C$5="",A343&lt;='CSV抽出'!$C$5),OR('CSV抽出'!$C$6="すべて",'CSV抽出'!$C$6="",D343='CSV抽出'!$C$6),OR('CSV抽出'!$C$7="",B343&amp;""='CSV抽出'!$C$7&amp;"")),1,0))</f>
        <v/>
      </c>
      <c r="AI343" s="20">
        <f>IF(AH343=1,SUM($AH$5:AH343),"")</f>
        <v/>
      </c>
      <c r="AJ343" s="20">
        <f>IF(OR(S343="",'報告書'!$C$4=""),"",IF(S343&amp;""='報告書'!$C$4&amp;"",COUNTIF($S$5:S343,'報告書'!$C$4),""))</f>
        <v/>
      </c>
      <c r="AK343" s="20" t="n"/>
      <c r="AL343" s="47" t="n"/>
      <c r="AM343" s="47" t="n"/>
      <c r="AN343" s="53" t="n"/>
      <c r="AO343" s="47" t="n"/>
      <c r="AP343" s="47" t="n"/>
      <c r="AQ343" s="47" t="n"/>
      <c r="AR343" s="47" t="n"/>
      <c r="AS343" s="47" t="n"/>
      <c r="AT343" s="47" t="n"/>
      <c r="AU343" s="47" t="n"/>
      <c r="AV343" s="47" t="n"/>
      <c r="AW343" s="52" t="n"/>
    </row>
    <row r="344">
      <c r="A344" s="48" t="n"/>
      <c r="B344" s="52" t="n"/>
      <c r="C344" s="47">
        <f>IF(B344="","",IFERROR(INDEX('隊員マスタ'!$B$5:$B$204,MATCH(B344&amp;"",'隊員マスタ'!$F$5:$F$204,0)),IF(AK344="","番号なし",AK344)))</f>
        <v/>
      </c>
      <c r="D344" s="47" t="n"/>
      <c r="E344" s="47" t="n"/>
      <c r="F344" s="47" t="n"/>
      <c r="G344" s="47" t="n"/>
      <c r="H344" s="47" t="n"/>
      <c r="I344" s="47" t="n"/>
      <c r="J344" s="47" t="n"/>
      <c r="K344" s="47" t="n"/>
      <c r="L344" s="47" t="n"/>
      <c r="M344" s="47" t="n"/>
      <c r="N344" s="47" t="n"/>
      <c r="O344" s="47" t="n"/>
      <c r="P344" s="47" t="n"/>
      <c r="Q344" s="47" t="n"/>
      <c r="R344" s="47" t="n"/>
      <c r="S344" s="47" t="n"/>
      <c r="T344" s="47" t="n"/>
      <c r="U344" s="53" t="n"/>
      <c r="V344" s="53" t="n"/>
      <c r="W344" s="47" t="n"/>
      <c r="X344" s="47" t="n"/>
      <c r="Y344" s="47" t="n"/>
      <c r="Z344" s="47" t="n"/>
      <c r="AA344" s="47" t="n"/>
      <c r="AB344" s="47" t="n"/>
      <c r="AC344" s="47" t="n"/>
      <c r="AD344" s="47" t="n"/>
      <c r="AE344" s="47" t="n"/>
      <c r="AF344" s="20">
        <f>IF(A344="","",YEAR(EDATE(A344,-3)))</f>
        <v/>
      </c>
      <c r="AG344" s="20">
        <f>IF(OR(B344="",'経歴簿'!$C$4=""),"",IF(B344&amp;""='経歴簿'!$C$4&amp;"",MAX($AG$4:AG343)+1,""))</f>
        <v/>
      </c>
      <c r="AH344" s="20">
        <f>IF(A344="",0,IF(AND(OR('CSV抽出'!$C$4="",A344&gt;='CSV抽出'!$C$4),OR('CSV抽出'!$C$5="",A344&lt;='CSV抽出'!$C$5),OR('CSV抽出'!$C$6="すべて",'CSV抽出'!$C$6="",D344='CSV抽出'!$C$6),OR('CSV抽出'!$C$7="",B344&amp;""='CSV抽出'!$C$7&amp;"")),1,0))</f>
        <v/>
      </c>
      <c r="AI344" s="20">
        <f>IF(AH344=1,SUM($AH$5:AH344),"")</f>
        <v/>
      </c>
      <c r="AJ344" s="20">
        <f>IF(OR(S344="",'報告書'!$C$4=""),"",IF(S344&amp;""='報告書'!$C$4&amp;"",COUNTIF($S$5:S344,'報告書'!$C$4),""))</f>
        <v/>
      </c>
      <c r="AK344" s="20" t="n"/>
      <c r="AL344" s="47" t="n"/>
      <c r="AM344" s="47" t="n"/>
      <c r="AN344" s="53" t="n"/>
      <c r="AO344" s="47" t="n"/>
      <c r="AP344" s="47" t="n"/>
      <c r="AQ344" s="47" t="n"/>
      <c r="AR344" s="47" t="n"/>
      <c r="AS344" s="47" t="n"/>
      <c r="AT344" s="47" t="n"/>
      <c r="AU344" s="47" t="n"/>
      <c r="AV344" s="47" t="n"/>
      <c r="AW344" s="52" t="n"/>
    </row>
    <row r="345">
      <c r="A345" s="48" t="n"/>
      <c r="B345" s="52" t="n"/>
      <c r="C345" s="47">
        <f>IF(B345="","",IFERROR(INDEX('隊員マスタ'!$B$5:$B$204,MATCH(B345&amp;"",'隊員マスタ'!$F$5:$F$204,0)),IF(AK345="","番号なし",AK345)))</f>
        <v/>
      </c>
      <c r="D345" s="47" t="n"/>
      <c r="E345" s="47" t="n"/>
      <c r="F345" s="47" t="n"/>
      <c r="G345" s="47" t="n"/>
      <c r="H345" s="47" t="n"/>
      <c r="I345" s="47" t="n"/>
      <c r="J345" s="47" t="n"/>
      <c r="K345" s="47" t="n"/>
      <c r="L345" s="47" t="n"/>
      <c r="M345" s="47" t="n"/>
      <c r="N345" s="47" t="n"/>
      <c r="O345" s="47" t="n"/>
      <c r="P345" s="47" t="n"/>
      <c r="Q345" s="47" t="n"/>
      <c r="R345" s="47" t="n"/>
      <c r="S345" s="47" t="n"/>
      <c r="T345" s="47" t="n"/>
      <c r="U345" s="53" t="n"/>
      <c r="V345" s="53" t="n"/>
      <c r="W345" s="47" t="n"/>
      <c r="X345" s="47" t="n"/>
      <c r="Y345" s="47" t="n"/>
      <c r="Z345" s="47" t="n"/>
      <c r="AA345" s="47" t="n"/>
      <c r="AB345" s="47" t="n"/>
      <c r="AC345" s="47" t="n"/>
      <c r="AD345" s="47" t="n"/>
      <c r="AE345" s="47" t="n"/>
      <c r="AF345" s="20">
        <f>IF(A345="","",YEAR(EDATE(A345,-3)))</f>
        <v/>
      </c>
      <c r="AG345" s="20">
        <f>IF(OR(B345="",'経歴簿'!$C$4=""),"",IF(B345&amp;""='経歴簿'!$C$4&amp;"",MAX($AG$4:AG344)+1,""))</f>
        <v/>
      </c>
      <c r="AH345" s="20">
        <f>IF(A345="",0,IF(AND(OR('CSV抽出'!$C$4="",A345&gt;='CSV抽出'!$C$4),OR('CSV抽出'!$C$5="",A345&lt;='CSV抽出'!$C$5),OR('CSV抽出'!$C$6="すべて",'CSV抽出'!$C$6="",D345='CSV抽出'!$C$6),OR('CSV抽出'!$C$7="",B345&amp;""='CSV抽出'!$C$7&amp;"")),1,0))</f>
        <v/>
      </c>
      <c r="AI345" s="20">
        <f>IF(AH345=1,SUM($AH$5:AH345),"")</f>
        <v/>
      </c>
      <c r="AJ345" s="20">
        <f>IF(OR(S345="",'報告書'!$C$4=""),"",IF(S345&amp;""='報告書'!$C$4&amp;"",COUNTIF($S$5:S345,'報告書'!$C$4),""))</f>
        <v/>
      </c>
      <c r="AK345" s="20" t="n"/>
      <c r="AL345" s="47" t="n"/>
      <c r="AM345" s="47" t="n"/>
      <c r="AN345" s="53" t="n"/>
      <c r="AO345" s="47" t="n"/>
      <c r="AP345" s="47" t="n"/>
      <c r="AQ345" s="47" t="n"/>
      <c r="AR345" s="47" t="n"/>
      <c r="AS345" s="47" t="n"/>
      <c r="AT345" s="47" t="n"/>
      <c r="AU345" s="47" t="n"/>
      <c r="AV345" s="47" t="n"/>
      <c r="AW345" s="52" t="n"/>
    </row>
    <row r="346">
      <c r="A346" s="48" t="n"/>
      <c r="B346" s="52" t="n"/>
      <c r="C346" s="47">
        <f>IF(B346="","",IFERROR(INDEX('隊員マスタ'!$B$5:$B$204,MATCH(B346&amp;"",'隊員マスタ'!$F$5:$F$204,0)),IF(AK346="","番号なし",AK346)))</f>
        <v/>
      </c>
      <c r="D346" s="47" t="n"/>
      <c r="E346" s="47" t="n"/>
      <c r="F346" s="47" t="n"/>
      <c r="G346" s="47" t="n"/>
      <c r="H346" s="47" t="n"/>
      <c r="I346" s="47" t="n"/>
      <c r="J346" s="47" t="n"/>
      <c r="K346" s="47" t="n"/>
      <c r="L346" s="47" t="n"/>
      <c r="M346" s="47" t="n"/>
      <c r="N346" s="47" t="n"/>
      <c r="O346" s="47" t="n"/>
      <c r="P346" s="47" t="n"/>
      <c r="Q346" s="47" t="n"/>
      <c r="R346" s="47" t="n"/>
      <c r="S346" s="47" t="n"/>
      <c r="T346" s="47" t="n"/>
      <c r="U346" s="53" t="n"/>
      <c r="V346" s="53" t="n"/>
      <c r="W346" s="47" t="n"/>
      <c r="X346" s="47" t="n"/>
      <c r="Y346" s="47" t="n"/>
      <c r="Z346" s="47" t="n"/>
      <c r="AA346" s="47" t="n"/>
      <c r="AB346" s="47" t="n"/>
      <c r="AC346" s="47" t="n"/>
      <c r="AD346" s="47" t="n"/>
      <c r="AE346" s="47" t="n"/>
      <c r="AF346" s="20">
        <f>IF(A346="","",YEAR(EDATE(A346,-3)))</f>
        <v/>
      </c>
      <c r="AG346" s="20">
        <f>IF(OR(B346="",'経歴簿'!$C$4=""),"",IF(B346&amp;""='経歴簿'!$C$4&amp;"",MAX($AG$4:AG345)+1,""))</f>
        <v/>
      </c>
      <c r="AH346" s="20">
        <f>IF(A346="",0,IF(AND(OR('CSV抽出'!$C$4="",A346&gt;='CSV抽出'!$C$4),OR('CSV抽出'!$C$5="",A346&lt;='CSV抽出'!$C$5),OR('CSV抽出'!$C$6="すべて",'CSV抽出'!$C$6="",D346='CSV抽出'!$C$6),OR('CSV抽出'!$C$7="",B346&amp;""='CSV抽出'!$C$7&amp;"")),1,0))</f>
        <v/>
      </c>
      <c r="AI346" s="20">
        <f>IF(AH346=1,SUM($AH$5:AH346),"")</f>
        <v/>
      </c>
      <c r="AJ346" s="20">
        <f>IF(OR(S346="",'報告書'!$C$4=""),"",IF(S346&amp;""='報告書'!$C$4&amp;"",COUNTIF($S$5:S346,'報告書'!$C$4),""))</f>
        <v/>
      </c>
      <c r="AK346" s="20" t="n"/>
      <c r="AL346" s="47" t="n"/>
      <c r="AM346" s="47" t="n"/>
      <c r="AN346" s="53" t="n"/>
      <c r="AO346" s="47" t="n"/>
      <c r="AP346" s="47" t="n"/>
      <c r="AQ346" s="47" t="n"/>
      <c r="AR346" s="47" t="n"/>
      <c r="AS346" s="47" t="n"/>
      <c r="AT346" s="47" t="n"/>
      <c r="AU346" s="47" t="n"/>
      <c r="AV346" s="47" t="n"/>
      <c r="AW346" s="52" t="n"/>
    </row>
    <row r="347">
      <c r="A347" s="48" t="n"/>
      <c r="B347" s="52" t="n"/>
      <c r="C347" s="47">
        <f>IF(B347="","",IFERROR(INDEX('隊員マスタ'!$B$5:$B$204,MATCH(B347&amp;"",'隊員マスタ'!$F$5:$F$204,0)),IF(AK347="","番号なし",AK347)))</f>
        <v/>
      </c>
      <c r="D347" s="47" t="n"/>
      <c r="E347" s="47" t="n"/>
      <c r="F347" s="47" t="n"/>
      <c r="G347" s="47" t="n"/>
      <c r="H347" s="47" t="n"/>
      <c r="I347" s="47" t="n"/>
      <c r="J347" s="47" t="n"/>
      <c r="K347" s="47" t="n"/>
      <c r="L347" s="47" t="n"/>
      <c r="M347" s="47" t="n"/>
      <c r="N347" s="47" t="n"/>
      <c r="O347" s="47" t="n"/>
      <c r="P347" s="47" t="n"/>
      <c r="Q347" s="47" t="n"/>
      <c r="R347" s="47" t="n"/>
      <c r="S347" s="47" t="n"/>
      <c r="T347" s="47" t="n"/>
      <c r="U347" s="53" t="n"/>
      <c r="V347" s="53" t="n"/>
      <c r="W347" s="47" t="n"/>
      <c r="X347" s="47" t="n"/>
      <c r="Y347" s="47" t="n"/>
      <c r="Z347" s="47" t="n"/>
      <c r="AA347" s="47" t="n"/>
      <c r="AB347" s="47" t="n"/>
      <c r="AC347" s="47" t="n"/>
      <c r="AD347" s="47" t="n"/>
      <c r="AE347" s="47" t="n"/>
      <c r="AF347" s="20">
        <f>IF(A347="","",YEAR(EDATE(A347,-3)))</f>
        <v/>
      </c>
      <c r="AG347" s="20">
        <f>IF(OR(B347="",'経歴簿'!$C$4=""),"",IF(B347&amp;""='経歴簿'!$C$4&amp;"",MAX($AG$4:AG346)+1,""))</f>
        <v/>
      </c>
      <c r="AH347" s="20">
        <f>IF(A347="",0,IF(AND(OR('CSV抽出'!$C$4="",A347&gt;='CSV抽出'!$C$4),OR('CSV抽出'!$C$5="",A347&lt;='CSV抽出'!$C$5),OR('CSV抽出'!$C$6="すべて",'CSV抽出'!$C$6="",D347='CSV抽出'!$C$6),OR('CSV抽出'!$C$7="",B347&amp;""='CSV抽出'!$C$7&amp;"")),1,0))</f>
        <v/>
      </c>
      <c r="AI347" s="20">
        <f>IF(AH347=1,SUM($AH$5:AH347),"")</f>
        <v/>
      </c>
      <c r="AJ347" s="20">
        <f>IF(OR(S347="",'報告書'!$C$4=""),"",IF(S347&amp;""='報告書'!$C$4&amp;"",COUNTIF($S$5:S347,'報告書'!$C$4),""))</f>
        <v/>
      </c>
      <c r="AK347" s="20" t="n"/>
      <c r="AL347" s="47" t="n"/>
      <c r="AM347" s="47" t="n"/>
      <c r="AN347" s="53" t="n"/>
      <c r="AO347" s="47" t="n"/>
      <c r="AP347" s="47" t="n"/>
      <c r="AQ347" s="47" t="n"/>
      <c r="AR347" s="47" t="n"/>
      <c r="AS347" s="47" t="n"/>
      <c r="AT347" s="47" t="n"/>
      <c r="AU347" s="47" t="n"/>
      <c r="AV347" s="47" t="n"/>
      <c r="AW347" s="52" t="n"/>
    </row>
    <row r="348">
      <c r="A348" s="48" t="n"/>
      <c r="B348" s="52" t="n"/>
      <c r="C348" s="47">
        <f>IF(B348="","",IFERROR(INDEX('隊員マスタ'!$B$5:$B$204,MATCH(B348&amp;"",'隊員マスタ'!$F$5:$F$204,0)),IF(AK348="","番号なし",AK348)))</f>
        <v/>
      </c>
      <c r="D348" s="47" t="n"/>
      <c r="E348" s="47" t="n"/>
      <c r="F348" s="47" t="n"/>
      <c r="G348" s="47" t="n"/>
      <c r="H348" s="47" t="n"/>
      <c r="I348" s="47" t="n"/>
      <c r="J348" s="47" t="n"/>
      <c r="K348" s="47" t="n"/>
      <c r="L348" s="47" t="n"/>
      <c r="M348" s="47" t="n"/>
      <c r="N348" s="47" t="n"/>
      <c r="O348" s="47" t="n"/>
      <c r="P348" s="47" t="n"/>
      <c r="Q348" s="47" t="n"/>
      <c r="R348" s="47" t="n"/>
      <c r="S348" s="47" t="n"/>
      <c r="T348" s="47" t="n"/>
      <c r="U348" s="53" t="n"/>
      <c r="V348" s="53" t="n"/>
      <c r="W348" s="47" t="n"/>
      <c r="X348" s="47" t="n"/>
      <c r="Y348" s="47" t="n"/>
      <c r="Z348" s="47" t="n"/>
      <c r="AA348" s="47" t="n"/>
      <c r="AB348" s="47" t="n"/>
      <c r="AC348" s="47" t="n"/>
      <c r="AD348" s="47" t="n"/>
      <c r="AE348" s="47" t="n"/>
      <c r="AF348" s="20">
        <f>IF(A348="","",YEAR(EDATE(A348,-3)))</f>
        <v/>
      </c>
      <c r="AG348" s="20">
        <f>IF(OR(B348="",'経歴簿'!$C$4=""),"",IF(B348&amp;""='経歴簿'!$C$4&amp;"",MAX($AG$4:AG347)+1,""))</f>
        <v/>
      </c>
      <c r="AH348" s="20">
        <f>IF(A348="",0,IF(AND(OR('CSV抽出'!$C$4="",A348&gt;='CSV抽出'!$C$4),OR('CSV抽出'!$C$5="",A348&lt;='CSV抽出'!$C$5),OR('CSV抽出'!$C$6="すべて",'CSV抽出'!$C$6="",D348='CSV抽出'!$C$6),OR('CSV抽出'!$C$7="",B348&amp;""='CSV抽出'!$C$7&amp;"")),1,0))</f>
        <v/>
      </c>
      <c r="AI348" s="20">
        <f>IF(AH348=1,SUM($AH$5:AH348),"")</f>
        <v/>
      </c>
      <c r="AJ348" s="20">
        <f>IF(OR(S348="",'報告書'!$C$4=""),"",IF(S348&amp;""='報告書'!$C$4&amp;"",COUNTIF($S$5:S348,'報告書'!$C$4),""))</f>
        <v/>
      </c>
      <c r="AK348" s="20" t="n"/>
      <c r="AL348" s="47" t="n"/>
      <c r="AM348" s="47" t="n"/>
      <c r="AN348" s="53" t="n"/>
      <c r="AO348" s="47" t="n"/>
      <c r="AP348" s="47" t="n"/>
      <c r="AQ348" s="47" t="n"/>
      <c r="AR348" s="47" t="n"/>
      <c r="AS348" s="47" t="n"/>
      <c r="AT348" s="47" t="n"/>
      <c r="AU348" s="47" t="n"/>
      <c r="AV348" s="47" t="n"/>
      <c r="AW348" s="52" t="n"/>
    </row>
    <row r="349">
      <c r="A349" s="48" t="n"/>
      <c r="B349" s="52" t="n"/>
      <c r="C349" s="47">
        <f>IF(B349="","",IFERROR(INDEX('隊員マスタ'!$B$5:$B$204,MATCH(B349&amp;"",'隊員マスタ'!$F$5:$F$204,0)),IF(AK349="","番号なし",AK349)))</f>
        <v/>
      </c>
      <c r="D349" s="47" t="n"/>
      <c r="E349" s="47" t="n"/>
      <c r="F349" s="47" t="n"/>
      <c r="G349" s="47" t="n"/>
      <c r="H349" s="47" t="n"/>
      <c r="I349" s="47" t="n"/>
      <c r="J349" s="47" t="n"/>
      <c r="K349" s="47" t="n"/>
      <c r="L349" s="47" t="n"/>
      <c r="M349" s="47" t="n"/>
      <c r="N349" s="47" t="n"/>
      <c r="O349" s="47" t="n"/>
      <c r="P349" s="47" t="n"/>
      <c r="Q349" s="47" t="n"/>
      <c r="R349" s="47" t="n"/>
      <c r="S349" s="47" t="n"/>
      <c r="T349" s="47" t="n"/>
      <c r="U349" s="53" t="n"/>
      <c r="V349" s="53" t="n"/>
      <c r="W349" s="47" t="n"/>
      <c r="X349" s="47" t="n"/>
      <c r="Y349" s="47" t="n"/>
      <c r="Z349" s="47" t="n"/>
      <c r="AA349" s="47" t="n"/>
      <c r="AB349" s="47" t="n"/>
      <c r="AC349" s="47" t="n"/>
      <c r="AD349" s="47" t="n"/>
      <c r="AE349" s="47" t="n"/>
      <c r="AF349" s="20">
        <f>IF(A349="","",YEAR(EDATE(A349,-3)))</f>
        <v/>
      </c>
      <c r="AG349" s="20">
        <f>IF(OR(B349="",'経歴簿'!$C$4=""),"",IF(B349&amp;""='経歴簿'!$C$4&amp;"",MAX($AG$4:AG348)+1,""))</f>
        <v/>
      </c>
      <c r="AH349" s="20">
        <f>IF(A349="",0,IF(AND(OR('CSV抽出'!$C$4="",A349&gt;='CSV抽出'!$C$4),OR('CSV抽出'!$C$5="",A349&lt;='CSV抽出'!$C$5),OR('CSV抽出'!$C$6="すべて",'CSV抽出'!$C$6="",D349='CSV抽出'!$C$6),OR('CSV抽出'!$C$7="",B349&amp;""='CSV抽出'!$C$7&amp;"")),1,0))</f>
        <v/>
      </c>
      <c r="AI349" s="20">
        <f>IF(AH349=1,SUM($AH$5:AH349),"")</f>
        <v/>
      </c>
      <c r="AJ349" s="20">
        <f>IF(OR(S349="",'報告書'!$C$4=""),"",IF(S349&amp;""='報告書'!$C$4&amp;"",COUNTIF($S$5:S349,'報告書'!$C$4),""))</f>
        <v/>
      </c>
      <c r="AK349" s="20" t="n"/>
      <c r="AL349" s="47" t="n"/>
      <c r="AM349" s="47" t="n"/>
      <c r="AN349" s="53" t="n"/>
      <c r="AO349" s="47" t="n"/>
      <c r="AP349" s="47" t="n"/>
      <c r="AQ349" s="47" t="n"/>
      <c r="AR349" s="47" t="n"/>
      <c r="AS349" s="47" t="n"/>
      <c r="AT349" s="47" t="n"/>
      <c r="AU349" s="47" t="n"/>
      <c r="AV349" s="47" t="n"/>
      <c r="AW349" s="52" t="n"/>
    </row>
    <row r="350">
      <c r="A350" s="48" t="n"/>
      <c r="B350" s="52" t="n"/>
      <c r="C350" s="47">
        <f>IF(B350="","",IFERROR(INDEX('隊員マスタ'!$B$5:$B$204,MATCH(B350&amp;"",'隊員マスタ'!$F$5:$F$204,0)),IF(AK350="","番号なし",AK350)))</f>
        <v/>
      </c>
      <c r="D350" s="47" t="n"/>
      <c r="E350" s="47" t="n"/>
      <c r="F350" s="47" t="n"/>
      <c r="G350" s="47" t="n"/>
      <c r="H350" s="47" t="n"/>
      <c r="I350" s="47" t="n"/>
      <c r="J350" s="47" t="n"/>
      <c r="K350" s="47" t="n"/>
      <c r="L350" s="47" t="n"/>
      <c r="M350" s="47" t="n"/>
      <c r="N350" s="47" t="n"/>
      <c r="O350" s="47" t="n"/>
      <c r="P350" s="47" t="n"/>
      <c r="Q350" s="47" t="n"/>
      <c r="R350" s="47" t="n"/>
      <c r="S350" s="47" t="n"/>
      <c r="T350" s="47" t="n"/>
      <c r="U350" s="53" t="n"/>
      <c r="V350" s="53" t="n"/>
      <c r="W350" s="47" t="n"/>
      <c r="X350" s="47" t="n"/>
      <c r="Y350" s="47" t="n"/>
      <c r="Z350" s="47" t="n"/>
      <c r="AA350" s="47" t="n"/>
      <c r="AB350" s="47" t="n"/>
      <c r="AC350" s="47" t="n"/>
      <c r="AD350" s="47" t="n"/>
      <c r="AE350" s="47" t="n"/>
      <c r="AF350" s="20">
        <f>IF(A350="","",YEAR(EDATE(A350,-3)))</f>
        <v/>
      </c>
      <c r="AG350" s="20">
        <f>IF(OR(B350="",'経歴簿'!$C$4=""),"",IF(B350&amp;""='経歴簿'!$C$4&amp;"",MAX($AG$4:AG349)+1,""))</f>
        <v/>
      </c>
      <c r="AH350" s="20">
        <f>IF(A350="",0,IF(AND(OR('CSV抽出'!$C$4="",A350&gt;='CSV抽出'!$C$4),OR('CSV抽出'!$C$5="",A350&lt;='CSV抽出'!$C$5),OR('CSV抽出'!$C$6="すべて",'CSV抽出'!$C$6="",D350='CSV抽出'!$C$6),OR('CSV抽出'!$C$7="",B350&amp;""='CSV抽出'!$C$7&amp;"")),1,0))</f>
        <v/>
      </c>
      <c r="AI350" s="20">
        <f>IF(AH350=1,SUM($AH$5:AH350),"")</f>
        <v/>
      </c>
      <c r="AJ350" s="20">
        <f>IF(OR(S350="",'報告書'!$C$4=""),"",IF(S350&amp;""='報告書'!$C$4&amp;"",COUNTIF($S$5:S350,'報告書'!$C$4),""))</f>
        <v/>
      </c>
      <c r="AK350" s="20" t="n"/>
      <c r="AL350" s="47" t="n"/>
      <c r="AM350" s="47" t="n"/>
      <c r="AN350" s="53" t="n"/>
      <c r="AO350" s="47" t="n"/>
      <c r="AP350" s="47" t="n"/>
      <c r="AQ350" s="47" t="n"/>
      <c r="AR350" s="47" t="n"/>
      <c r="AS350" s="47" t="n"/>
      <c r="AT350" s="47" t="n"/>
      <c r="AU350" s="47" t="n"/>
      <c r="AV350" s="47" t="n"/>
      <c r="AW350" s="52" t="n"/>
    </row>
    <row r="351">
      <c r="A351" s="48" t="n"/>
      <c r="B351" s="52" t="n"/>
      <c r="C351" s="47">
        <f>IF(B351="","",IFERROR(INDEX('隊員マスタ'!$B$5:$B$204,MATCH(B351&amp;"",'隊員マスタ'!$F$5:$F$204,0)),IF(AK351="","番号なし",AK351)))</f>
        <v/>
      </c>
      <c r="D351" s="47" t="n"/>
      <c r="E351" s="47" t="n"/>
      <c r="F351" s="47" t="n"/>
      <c r="G351" s="47" t="n"/>
      <c r="H351" s="47" t="n"/>
      <c r="I351" s="47" t="n"/>
      <c r="J351" s="47" t="n"/>
      <c r="K351" s="47" t="n"/>
      <c r="L351" s="47" t="n"/>
      <c r="M351" s="47" t="n"/>
      <c r="N351" s="47" t="n"/>
      <c r="O351" s="47" t="n"/>
      <c r="P351" s="47" t="n"/>
      <c r="Q351" s="47" t="n"/>
      <c r="R351" s="47" t="n"/>
      <c r="S351" s="47" t="n"/>
      <c r="T351" s="47" t="n"/>
      <c r="U351" s="53" t="n"/>
      <c r="V351" s="53" t="n"/>
      <c r="W351" s="47" t="n"/>
      <c r="X351" s="47" t="n"/>
      <c r="Y351" s="47" t="n"/>
      <c r="Z351" s="47" t="n"/>
      <c r="AA351" s="47" t="n"/>
      <c r="AB351" s="47" t="n"/>
      <c r="AC351" s="47" t="n"/>
      <c r="AD351" s="47" t="n"/>
      <c r="AE351" s="47" t="n"/>
      <c r="AF351" s="20">
        <f>IF(A351="","",YEAR(EDATE(A351,-3)))</f>
        <v/>
      </c>
      <c r="AG351" s="20">
        <f>IF(OR(B351="",'経歴簿'!$C$4=""),"",IF(B351&amp;""='経歴簿'!$C$4&amp;"",MAX($AG$4:AG350)+1,""))</f>
        <v/>
      </c>
      <c r="AH351" s="20">
        <f>IF(A351="",0,IF(AND(OR('CSV抽出'!$C$4="",A351&gt;='CSV抽出'!$C$4),OR('CSV抽出'!$C$5="",A351&lt;='CSV抽出'!$C$5),OR('CSV抽出'!$C$6="すべて",'CSV抽出'!$C$6="",D351='CSV抽出'!$C$6),OR('CSV抽出'!$C$7="",B351&amp;""='CSV抽出'!$C$7&amp;"")),1,0))</f>
        <v/>
      </c>
      <c r="AI351" s="20">
        <f>IF(AH351=1,SUM($AH$5:AH351),"")</f>
        <v/>
      </c>
      <c r="AJ351" s="20">
        <f>IF(OR(S351="",'報告書'!$C$4=""),"",IF(S351&amp;""='報告書'!$C$4&amp;"",COUNTIF($S$5:S351,'報告書'!$C$4),""))</f>
        <v/>
      </c>
      <c r="AK351" s="20" t="n"/>
      <c r="AL351" s="47" t="n"/>
      <c r="AM351" s="47" t="n"/>
      <c r="AN351" s="53" t="n"/>
      <c r="AO351" s="47" t="n"/>
      <c r="AP351" s="47" t="n"/>
      <c r="AQ351" s="47" t="n"/>
      <c r="AR351" s="47" t="n"/>
      <c r="AS351" s="47" t="n"/>
      <c r="AT351" s="47" t="n"/>
      <c r="AU351" s="47" t="n"/>
      <c r="AV351" s="47" t="n"/>
      <c r="AW351" s="52" t="n"/>
    </row>
    <row r="352">
      <c r="A352" s="48" t="n"/>
      <c r="B352" s="52" t="n"/>
      <c r="C352" s="47">
        <f>IF(B352="","",IFERROR(INDEX('隊員マスタ'!$B$5:$B$204,MATCH(B352&amp;"",'隊員マスタ'!$F$5:$F$204,0)),IF(AK352="","番号なし",AK352)))</f>
        <v/>
      </c>
      <c r="D352" s="47" t="n"/>
      <c r="E352" s="47" t="n"/>
      <c r="F352" s="47" t="n"/>
      <c r="G352" s="47" t="n"/>
      <c r="H352" s="47" t="n"/>
      <c r="I352" s="47" t="n"/>
      <c r="J352" s="47" t="n"/>
      <c r="K352" s="47" t="n"/>
      <c r="L352" s="47" t="n"/>
      <c r="M352" s="47" t="n"/>
      <c r="N352" s="47" t="n"/>
      <c r="O352" s="47" t="n"/>
      <c r="P352" s="47" t="n"/>
      <c r="Q352" s="47" t="n"/>
      <c r="R352" s="47" t="n"/>
      <c r="S352" s="47" t="n"/>
      <c r="T352" s="47" t="n"/>
      <c r="U352" s="53" t="n"/>
      <c r="V352" s="53" t="n"/>
      <c r="W352" s="47" t="n"/>
      <c r="X352" s="47" t="n"/>
      <c r="Y352" s="47" t="n"/>
      <c r="Z352" s="47" t="n"/>
      <c r="AA352" s="47" t="n"/>
      <c r="AB352" s="47" t="n"/>
      <c r="AC352" s="47" t="n"/>
      <c r="AD352" s="47" t="n"/>
      <c r="AE352" s="47" t="n"/>
      <c r="AF352" s="20">
        <f>IF(A352="","",YEAR(EDATE(A352,-3)))</f>
        <v/>
      </c>
      <c r="AG352" s="20">
        <f>IF(OR(B352="",'経歴簿'!$C$4=""),"",IF(B352&amp;""='経歴簿'!$C$4&amp;"",MAX($AG$4:AG351)+1,""))</f>
        <v/>
      </c>
      <c r="AH352" s="20">
        <f>IF(A352="",0,IF(AND(OR('CSV抽出'!$C$4="",A352&gt;='CSV抽出'!$C$4),OR('CSV抽出'!$C$5="",A352&lt;='CSV抽出'!$C$5),OR('CSV抽出'!$C$6="すべて",'CSV抽出'!$C$6="",D352='CSV抽出'!$C$6),OR('CSV抽出'!$C$7="",B352&amp;""='CSV抽出'!$C$7&amp;"")),1,0))</f>
        <v/>
      </c>
      <c r="AI352" s="20">
        <f>IF(AH352=1,SUM($AH$5:AH352),"")</f>
        <v/>
      </c>
      <c r="AJ352" s="20">
        <f>IF(OR(S352="",'報告書'!$C$4=""),"",IF(S352&amp;""='報告書'!$C$4&amp;"",COUNTIF($S$5:S352,'報告書'!$C$4),""))</f>
        <v/>
      </c>
      <c r="AK352" s="20" t="n"/>
      <c r="AL352" s="47" t="n"/>
      <c r="AM352" s="47" t="n"/>
      <c r="AN352" s="53" t="n"/>
      <c r="AO352" s="47" t="n"/>
      <c r="AP352" s="47" t="n"/>
      <c r="AQ352" s="47" t="n"/>
      <c r="AR352" s="47" t="n"/>
      <c r="AS352" s="47" t="n"/>
      <c r="AT352" s="47" t="n"/>
      <c r="AU352" s="47" t="n"/>
      <c r="AV352" s="47" t="n"/>
      <c r="AW352" s="52" t="n"/>
    </row>
    <row r="353">
      <c r="A353" s="48" t="n"/>
      <c r="B353" s="52" t="n"/>
      <c r="C353" s="47">
        <f>IF(B353="","",IFERROR(INDEX('隊員マスタ'!$B$5:$B$204,MATCH(B353&amp;"",'隊員マスタ'!$F$5:$F$204,0)),IF(AK353="","番号なし",AK353)))</f>
        <v/>
      </c>
      <c r="D353" s="47" t="n"/>
      <c r="E353" s="47" t="n"/>
      <c r="F353" s="47" t="n"/>
      <c r="G353" s="47" t="n"/>
      <c r="H353" s="47" t="n"/>
      <c r="I353" s="47" t="n"/>
      <c r="J353" s="47" t="n"/>
      <c r="K353" s="47" t="n"/>
      <c r="L353" s="47" t="n"/>
      <c r="M353" s="47" t="n"/>
      <c r="N353" s="47" t="n"/>
      <c r="O353" s="47" t="n"/>
      <c r="P353" s="47" t="n"/>
      <c r="Q353" s="47" t="n"/>
      <c r="R353" s="47" t="n"/>
      <c r="S353" s="47" t="n"/>
      <c r="T353" s="47" t="n"/>
      <c r="U353" s="53" t="n"/>
      <c r="V353" s="53" t="n"/>
      <c r="W353" s="47" t="n"/>
      <c r="X353" s="47" t="n"/>
      <c r="Y353" s="47" t="n"/>
      <c r="Z353" s="47" t="n"/>
      <c r="AA353" s="47" t="n"/>
      <c r="AB353" s="47" t="n"/>
      <c r="AC353" s="47" t="n"/>
      <c r="AD353" s="47" t="n"/>
      <c r="AE353" s="47" t="n"/>
      <c r="AF353" s="20">
        <f>IF(A353="","",YEAR(EDATE(A353,-3)))</f>
        <v/>
      </c>
      <c r="AG353" s="20">
        <f>IF(OR(B353="",'経歴簿'!$C$4=""),"",IF(B353&amp;""='経歴簿'!$C$4&amp;"",MAX($AG$4:AG352)+1,""))</f>
        <v/>
      </c>
      <c r="AH353" s="20">
        <f>IF(A353="",0,IF(AND(OR('CSV抽出'!$C$4="",A353&gt;='CSV抽出'!$C$4),OR('CSV抽出'!$C$5="",A353&lt;='CSV抽出'!$C$5),OR('CSV抽出'!$C$6="すべて",'CSV抽出'!$C$6="",D353='CSV抽出'!$C$6),OR('CSV抽出'!$C$7="",B353&amp;""='CSV抽出'!$C$7&amp;"")),1,0))</f>
        <v/>
      </c>
      <c r="AI353" s="20">
        <f>IF(AH353=1,SUM($AH$5:AH353),"")</f>
        <v/>
      </c>
      <c r="AJ353" s="20">
        <f>IF(OR(S353="",'報告書'!$C$4=""),"",IF(S353&amp;""='報告書'!$C$4&amp;"",COUNTIF($S$5:S353,'報告書'!$C$4),""))</f>
        <v/>
      </c>
      <c r="AK353" s="20" t="n"/>
      <c r="AL353" s="47" t="n"/>
      <c r="AM353" s="47" t="n"/>
      <c r="AN353" s="53" t="n"/>
      <c r="AO353" s="47" t="n"/>
      <c r="AP353" s="47" t="n"/>
      <c r="AQ353" s="47" t="n"/>
      <c r="AR353" s="47" t="n"/>
      <c r="AS353" s="47" t="n"/>
      <c r="AT353" s="47" t="n"/>
      <c r="AU353" s="47" t="n"/>
      <c r="AV353" s="47" t="n"/>
      <c r="AW353" s="52" t="n"/>
    </row>
    <row r="354">
      <c r="A354" s="48" t="n"/>
      <c r="B354" s="52" t="n"/>
      <c r="C354" s="47">
        <f>IF(B354="","",IFERROR(INDEX('隊員マスタ'!$B$5:$B$204,MATCH(B354&amp;"",'隊員マスタ'!$F$5:$F$204,0)),IF(AK354="","番号なし",AK354)))</f>
        <v/>
      </c>
      <c r="D354" s="47" t="n"/>
      <c r="E354" s="47" t="n"/>
      <c r="F354" s="47" t="n"/>
      <c r="G354" s="47" t="n"/>
      <c r="H354" s="47" t="n"/>
      <c r="I354" s="47" t="n"/>
      <c r="J354" s="47" t="n"/>
      <c r="K354" s="47" t="n"/>
      <c r="L354" s="47" t="n"/>
      <c r="M354" s="47" t="n"/>
      <c r="N354" s="47" t="n"/>
      <c r="O354" s="47" t="n"/>
      <c r="P354" s="47" t="n"/>
      <c r="Q354" s="47" t="n"/>
      <c r="R354" s="47" t="n"/>
      <c r="S354" s="47" t="n"/>
      <c r="T354" s="47" t="n"/>
      <c r="U354" s="53" t="n"/>
      <c r="V354" s="53" t="n"/>
      <c r="W354" s="47" t="n"/>
      <c r="X354" s="47" t="n"/>
      <c r="Y354" s="47" t="n"/>
      <c r="Z354" s="47" t="n"/>
      <c r="AA354" s="47" t="n"/>
      <c r="AB354" s="47" t="n"/>
      <c r="AC354" s="47" t="n"/>
      <c r="AD354" s="47" t="n"/>
      <c r="AE354" s="47" t="n"/>
      <c r="AF354" s="20">
        <f>IF(A354="","",YEAR(EDATE(A354,-3)))</f>
        <v/>
      </c>
      <c r="AG354" s="20">
        <f>IF(OR(B354="",'経歴簿'!$C$4=""),"",IF(B354&amp;""='経歴簿'!$C$4&amp;"",MAX($AG$4:AG353)+1,""))</f>
        <v/>
      </c>
      <c r="AH354" s="20">
        <f>IF(A354="",0,IF(AND(OR('CSV抽出'!$C$4="",A354&gt;='CSV抽出'!$C$4),OR('CSV抽出'!$C$5="",A354&lt;='CSV抽出'!$C$5),OR('CSV抽出'!$C$6="すべて",'CSV抽出'!$C$6="",D354='CSV抽出'!$C$6),OR('CSV抽出'!$C$7="",B354&amp;""='CSV抽出'!$C$7&amp;"")),1,0))</f>
        <v/>
      </c>
      <c r="AI354" s="20">
        <f>IF(AH354=1,SUM($AH$5:AH354),"")</f>
        <v/>
      </c>
      <c r="AJ354" s="20">
        <f>IF(OR(S354="",'報告書'!$C$4=""),"",IF(S354&amp;""='報告書'!$C$4&amp;"",COUNTIF($S$5:S354,'報告書'!$C$4),""))</f>
        <v/>
      </c>
      <c r="AK354" s="20" t="n"/>
      <c r="AL354" s="47" t="n"/>
      <c r="AM354" s="47" t="n"/>
      <c r="AN354" s="53" t="n"/>
      <c r="AO354" s="47" t="n"/>
      <c r="AP354" s="47" t="n"/>
      <c r="AQ354" s="47" t="n"/>
      <c r="AR354" s="47" t="n"/>
      <c r="AS354" s="47" t="n"/>
      <c r="AT354" s="47" t="n"/>
      <c r="AU354" s="47" t="n"/>
      <c r="AV354" s="47" t="n"/>
      <c r="AW354" s="52" t="n"/>
    </row>
    <row r="355">
      <c r="A355" s="48" t="n"/>
      <c r="B355" s="52" t="n"/>
      <c r="C355" s="47">
        <f>IF(B355="","",IFERROR(INDEX('隊員マスタ'!$B$5:$B$204,MATCH(B355&amp;"",'隊員マスタ'!$F$5:$F$204,0)),IF(AK355="","番号なし",AK355)))</f>
        <v/>
      </c>
      <c r="D355" s="47" t="n"/>
      <c r="E355" s="47" t="n"/>
      <c r="F355" s="47" t="n"/>
      <c r="G355" s="47" t="n"/>
      <c r="H355" s="47" t="n"/>
      <c r="I355" s="47" t="n"/>
      <c r="J355" s="47" t="n"/>
      <c r="K355" s="47" t="n"/>
      <c r="L355" s="47" t="n"/>
      <c r="M355" s="47" t="n"/>
      <c r="N355" s="47" t="n"/>
      <c r="O355" s="47" t="n"/>
      <c r="P355" s="47" t="n"/>
      <c r="Q355" s="47" t="n"/>
      <c r="R355" s="47" t="n"/>
      <c r="S355" s="47" t="n"/>
      <c r="T355" s="47" t="n"/>
      <c r="U355" s="53" t="n"/>
      <c r="V355" s="53" t="n"/>
      <c r="W355" s="47" t="n"/>
      <c r="X355" s="47" t="n"/>
      <c r="Y355" s="47" t="n"/>
      <c r="Z355" s="47" t="n"/>
      <c r="AA355" s="47" t="n"/>
      <c r="AB355" s="47" t="n"/>
      <c r="AC355" s="47" t="n"/>
      <c r="AD355" s="47" t="n"/>
      <c r="AE355" s="47" t="n"/>
      <c r="AF355" s="20">
        <f>IF(A355="","",YEAR(EDATE(A355,-3)))</f>
        <v/>
      </c>
      <c r="AG355" s="20">
        <f>IF(OR(B355="",'経歴簿'!$C$4=""),"",IF(B355&amp;""='経歴簿'!$C$4&amp;"",MAX($AG$4:AG354)+1,""))</f>
        <v/>
      </c>
      <c r="AH355" s="20">
        <f>IF(A355="",0,IF(AND(OR('CSV抽出'!$C$4="",A355&gt;='CSV抽出'!$C$4),OR('CSV抽出'!$C$5="",A355&lt;='CSV抽出'!$C$5),OR('CSV抽出'!$C$6="すべて",'CSV抽出'!$C$6="",D355='CSV抽出'!$C$6),OR('CSV抽出'!$C$7="",B355&amp;""='CSV抽出'!$C$7&amp;"")),1,0))</f>
        <v/>
      </c>
      <c r="AI355" s="20">
        <f>IF(AH355=1,SUM($AH$5:AH355),"")</f>
        <v/>
      </c>
      <c r="AJ355" s="20">
        <f>IF(OR(S355="",'報告書'!$C$4=""),"",IF(S355&amp;""='報告書'!$C$4&amp;"",COUNTIF($S$5:S355,'報告書'!$C$4),""))</f>
        <v/>
      </c>
      <c r="AK355" s="20" t="n"/>
      <c r="AL355" s="47" t="n"/>
      <c r="AM355" s="47" t="n"/>
      <c r="AN355" s="53" t="n"/>
      <c r="AO355" s="47" t="n"/>
      <c r="AP355" s="47" t="n"/>
      <c r="AQ355" s="47" t="n"/>
      <c r="AR355" s="47" t="n"/>
      <c r="AS355" s="47" t="n"/>
      <c r="AT355" s="47" t="n"/>
      <c r="AU355" s="47" t="n"/>
      <c r="AV355" s="47" t="n"/>
      <c r="AW355" s="52" t="n"/>
    </row>
    <row r="356">
      <c r="A356" s="48" t="n"/>
      <c r="B356" s="52" t="n"/>
      <c r="C356" s="47">
        <f>IF(B356="","",IFERROR(INDEX('隊員マスタ'!$B$5:$B$204,MATCH(B356&amp;"",'隊員マスタ'!$F$5:$F$204,0)),IF(AK356="","番号なし",AK356)))</f>
        <v/>
      </c>
      <c r="D356" s="47" t="n"/>
      <c r="E356" s="47" t="n"/>
      <c r="F356" s="47" t="n"/>
      <c r="G356" s="47" t="n"/>
      <c r="H356" s="47" t="n"/>
      <c r="I356" s="47" t="n"/>
      <c r="J356" s="47" t="n"/>
      <c r="K356" s="47" t="n"/>
      <c r="L356" s="47" t="n"/>
      <c r="M356" s="47" t="n"/>
      <c r="N356" s="47" t="n"/>
      <c r="O356" s="47" t="n"/>
      <c r="P356" s="47" t="n"/>
      <c r="Q356" s="47" t="n"/>
      <c r="R356" s="47" t="n"/>
      <c r="S356" s="47" t="n"/>
      <c r="T356" s="47" t="n"/>
      <c r="U356" s="53" t="n"/>
      <c r="V356" s="53" t="n"/>
      <c r="W356" s="47" t="n"/>
      <c r="X356" s="47" t="n"/>
      <c r="Y356" s="47" t="n"/>
      <c r="Z356" s="47" t="n"/>
      <c r="AA356" s="47" t="n"/>
      <c r="AB356" s="47" t="n"/>
      <c r="AC356" s="47" t="n"/>
      <c r="AD356" s="47" t="n"/>
      <c r="AE356" s="47" t="n"/>
      <c r="AF356" s="20">
        <f>IF(A356="","",YEAR(EDATE(A356,-3)))</f>
        <v/>
      </c>
      <c r="AG356" s="20">
        <f>IF(OR(B356="",'経歴簿'!$C$4=""),"",IF(B356&amp;""='経歴簿'!$C$4&amp;"",MAX($AG$4:AG355)+1,""))</f>
        <v/>
      </c>
      <c r="AH356" s="20">
        <f>IF(A356="",0,IF(AND(OR('CSV抽出'!$C$4="",A356&gt;='CSV抽出'!$C$4),OR('CSV抽出'!$C$5="",A356&lt;='CSV抽出'!$C$5),OR('CSV抽出'!$C$6="すべて",'CSV抽出'!$C$6="",D356='CSV抽出'!$C$6),OR('CSV抽出'!$C$7="",B356&amp;""='CSV抽出'!$C$7&amp;"")),1,0))</f>
        <v/>
      </c>
      <c r="AI356" s="20">
        <f>IF(AH356=1,SUM($AH$5:AH356),"")</f>
        <v/>
      </c>
      <c r="AJ356" s="20">
        <f>IF(OR(S356="",'報告書'!$C$4=""),"",IF(S356&amp;""='報告書'!$C$4&amp;"",COUNTIF($S$5:S356,'報告書'!$C$4),""))</f>
        <v/>
      </c>
      <c r="AK356" s="20" t="n"/>
      <c r="AL356" s="47" t="n"/>
      <c r="AM356" s="47" t="n"/>
      <c r="AN356" s="53" t="n"/>
      <c r="AO356" s="47" t="n"/>
      <c r="AP356" s="47" t="n"/>
      <c r="AQ356" s="47" t="n"/>
      <c r="AR356" s="47" t="n"/>
      <c r="AS356" s="47" t="n"/>
      <c r="AT356" s="47" t="n"/>
      <c r="AU356" s="47" t="n"/>
      <c r="AV356" s="47" t="n"/>
      <c r="AW356" s="52" t="n"/>
    </row>
    <row r="357">
      <c r="A357" s="48" t="n"/>
      <c r="B357" s="52" t="n"/>
      <c r="C357" s="47">
        <f>IF(B357="","",IFERROR(INDEX('隊員マスタ'!$B$5:$B$204,MATCH(B357&amp;"",'隊員マスタ'!$F$5:$F$204,0)),IF(AK357="","番号なし",AK357)))</f>
        <v/>
      </c>
      <c r="D357" s="47" t="n"/>
      <c r="E357" s="47" t="n"/>
      <c r="F357" s="47" t="n"/>
      <c r="G357" s="47" t="n"/>
      <c r="H357" s="47" t="n"/>
      <c r="I357" s="47" t="n"/>
      <c r="J357" s="47" t="n"/>
      <c r="K357" s="47" t="n"/>
      <c r="L357" s="47" t="n"/>
      <c r="M357" s="47" t="n"/>
      <c r="N357" s="47" t="n"/>
      <c r="O357" s="47" t="n"/>
      <c r="P357" s="47" t="n"/>
      <c r="Q357" s="47" t="n"/>
      <c r="R357" s="47" t="n"/>
      <c r="S357" s="47" t="n"/>
      <c r="T357" s="47" t="n"/>
      <c r="U357" s="53" t="n"/>
      <c r="V357" s="53" t="n"/>
      <c r="W357" s="47" t="n"/>
      <c r="X357" s="47" t="n"/>
      <c r="Y357" s="47" t="n"/>
      <c r="Z357" s="47" t="n"/>
      <c r="AA357" s="47" t="n"/>
      <c r="AB357" s="47" t="n"/>
      <c r="AC357" s="47" t="n"/>
      <c r="AD357" s="47" t="n"/>
      <c r="AE357" s="47" t="n"/>
      <c r="AF357" s="20">
        <f>IF(A357="","",YEAR(EDATE(A357,-3)))</f>
        <v/>
      </c>
      <c r="AG357" s="20">
        <f>IF(OR(B357="",'経歴簿'!$C$4=""),"",IF(B357&amp;""='経歴簿'!$C$4&amp;"",MAX($AG$4:AG356)+1,""))</f>
        <v/>
      </c>
      <c r="AH357" s="20">
        <f>IF(A357="",0,IF(AND(OR('CSV抽出'!$C$4="",A357&gt;='CSV抽出'!$C$4),OR('CSV抽出'!$C$5="",A357&lt;='CSV抽出'!$C$5),OR('CSV抽出'!$C$6="すべて",'CSV抽出'!$C$6="",D357='CSV抽出'!$C$6),OR('CSV抽出'!$C$7="",B357&amp;""='CSV抽出'!$C$7&amp;"")),1,0))</f>
        <v/>
      </c>
      <c r="AI357" s="20">
        <f>IF(AH357=1,SUM($AH$5:AH357),"")</f>
        <v/>
      </c>
      <c r="AJ357" s="20">
        <f>IF(OR(S357="",'報告書'!$C$4=""),"",IF(S357&amp;""='報告書'!$C$4&amp;"",COUNTIF($S$5:S357,'報告書'!$C$4),""))</f>
        <v/>
      </c>
      <c r="AK357" s="20" t="n"/>
      <c r="AL357" s="47" t="n"/>
      <c r="AM357" s="47" t="n"/>
      <c r="AN357" s="53" t="n"/>
      <c r="AO357" s="47" t="n"/>
      <c r="AP357" s="47" t="n"/>
      <c r="AQ357" s="47" t="n"/>
      <c r="AR357" s="47" t="n"/>
      <c r="AS357" s="47" t="n"/>
      <c r="AT357" s="47" t="n"/>
      <c r="AU357" s="47" t="n"/>
      <c r="AV357" s="47" t="n"/>
      <c r="AW357" s="52" t="n"/>
    </row>
    <row r="358">
      <c r="A358" s="48" t="n"/>
      <c r="B358" s="52" t="n"/>
      <c r="C358" s="47">
        <f>IF(B358="","",IFERROR(INDEX('隊員マスタ'!$B$5:$B$204,MATCH(B358&amp;"",'隊員マスタ'!$F$5:$F$204,0)),IF(AK358="","番号なし",AK358)))</f>
        <v/>
      </c>
      <c r="D358" s="47" t="n"/>
      <c r="E358" s="47" t="n"/>
      <c r="F358" s="47" t="n"/>
      <c r="G358" s="47" t="n"/>
      <c r="H358" s="47" t="n"/>
      <c r="I358" s="47" t="n"/>
      <c r="J358" s="47" t="n"/>
      <c r="K358" s="47" t="n"/>
      <c r="L358" s="47" t="n"/>
      <c r="M358" s="47" t="n"/>
      <c r="N358" s="47" t="n"/>
      <c r="O358" s="47" t="n"/>
      <c r="P358" s="47" t="n"/>
      <c r="Q358" s="47" t="n"/>
      <c r="R358" s="47" t="n"/>
      <c r="S358" s="47" t="n"/>
      <c r="T358" s="47" t="n"/>
      <c r="U358" s="53" t="n"/>
      <c r="V358" s="53" t="n"/>
      <c r="W358" s="47" t="n"/>
      <c r="X358" s="47" t="n"/>
      <c r="Y358" s="47" t="n"/>
      <c r="Z358" s="47" t="n"/>
      <c r="AA358" s="47" t="n"/>
      <c r="AB358" s="47" t="n"/>
      <c r="AC358" s="47" t="n"/>
      <c r="AD358" s="47" t="n"/>
      <c r="AE358" s="47" t="n"/>
      <c r="AF358" s="20">
        <f>IF(A358="","",YEAR(EDATE(A358,-3)))</f>
        <v/>
      </c>
      <c r="AG358" s="20">
        <f>IF(OR(B358="",'経歴簿'!$C$4=""),"",IF(B358&amp;""='経歴簿'!$C$4&amp;"",MAX($AG$4:AG357)+1,""))</f>
        <v/>
      </c>
      <c r="AH358" s="20">
        <f>IF(A358="",0,IF(AND(OR('CSV抽出'!$C$4="",A358&gt;='CSV抽出'!$C$4),OR('CSV抽出'!$C$5="",A358&lt;='CSV抽出'!$C$5),OR('CSV抽出'!$C$6="すべて",'CSV抽出'!$C$6="",D358='CSV抽出'!$C$6),OR('CSV抽出'!$C$7="",B358&amp;""='CSV抽出'!$C$7&amp;"")),1,0))</f>
        <v/>
      </c>
      <c r="AI358" s="20">
        <f>IF(AH358=1,SUM($AH$5:AH358),"")</f>
        <v/>
      </c>
      <c r="AJ358" s="20">
        <f>IF(OR(S358="",'報告書'!$C$4=""),"",IF(S358&amp;""='報告書'!$C$4&amp;"",COUNTIF($S$5:S358,'報告書'!$C$4),""))</f>
        <v/>
      </c>
      <c r="AK358" s="20" t="n"/>
      <c r="AL358" s="47" t="n"/>
      <c r="AM358" s="47" t="n"/>
      <c r="AN358" s="53" t="n"/>
      <c r="AO358" s="47" t="n"/>
      <c r="AP358" s="47" t="n"/>
      <c r="AQ358" s="47" t="n"/>
      <c r="AR358" s="47" t="n"/>
      <c r="AS358" s="47" t="n"/>
      <c r="AT358" s="47" t="n"/>
      <c r="AU358" s="47" t="n"/>
      <c r="AV358" s="47" t="n"/>
      <c r="AW358" s="52" t="n"/>
    </row>
    <row r="359">
      <c r="A359" s="48" t="n"/>
      <c r="B359" s="52" t="n"/>
      <c r="C359" s="47">
        <f>IF(B359="","",IFERROR(INDEX('隊員マスタ'!$B$5:$B$204,MATCH(B359&amp;"",'隊員マスタ'!$F$5:$F$204,0)),IF(AK359="","番号なし",AK359)))</f>
        <v/>
      </c>
      <c r="D359" s="47" t="n"/>
      <c r="E359" s="47" t="n"/>
      <c r="F359" s="47" t="n"/>
      <c r="G359" s="47" t="n"/>
      <c r="H359" s="47" t="n"/>
      <c r="I359" s="47" t="n"/>
      <c r="J359" s="47" t="n"/>
      <c r="K359" s="47" t="n"/>
      <c r="L359" s="47" t="n"/>
      <c r="M359" s="47" t="n"/>
      <c r="N359" s="47" t="n"/>
      <c r="O359" s="47" t="n"/>
      <c r="P359" s="47" t="n"/>
      <c r="Q359" s="47" t="n"/>
      <c r="R359" s="47" t="n"/>
      <c r="S359" s="47" t="n"/>
      <c r="T359" s="47" t="n"/>
      <c r="U359" s="53" t="n"/>
      <c r="V359" s="53" t="n"/>
      <c r="W359" s="47" t="n"/>
      <c r="X359" s="47" t="n"/>
      <c r="Y359" s="47" t="n"/>
      <c r="Z359" s="47" t="n"/>
      <c r="AA359" s="47" t="n"/>
      <c r="AB359" s="47" t="n"/>
      <c r="AC359" s="47" t="n"/>
      <c r="AD359" s="47" t="n"/>
      <c r="AE359" s="47" t="n"/>
      <c r="AF359" s="20">
        <f>IF(A359="","",YEAR(EDATE(A359,-3)))</f>
        <v/>
      </c>
      <c r="AG359" s="20">
        <f>IF(OR(B359="",'経歴簿'!$C$4=""),"",IF(B359&amp;""='経歴簿'!$C$4&amp;"",MAX($AG$4:AG358)+1,""))</f>
        <v/>
      </c>
      <c r="AH359" s="20">
        <f>IF(A359="",0,IF(AND(OR('CSV抽出'!$C$4="",A359&gt;='CSV抽出'!$C$4),OR('CSV抽出'!$C$5="",A359&lt;='CSV抽出'!$C$5),OR('CSV抽出'!$C$6="すべて",'CSV抽出'!$C$6="",D359='CSV抽出'!$C$6),OR('CSV抽出'!$C$7="",B359&amp;""='CSV抽出'!$C$7&amp;"")),1,0))</f>
        <v/>
      </c>
      <c r="AI359" s="20">
        <f>IF(AH359=1,SUM($AH$5:AH359),"")</f>
        <v/>
      </c>
      <c r="AJ359" s="20">
        <f>IF(OR(S359="",'報告書'!$C$4=""),"",IF(S359&amp;""='報告書'!$C$4&amp;"",COUNTIF($S$5:S359,'報告書'!$C$4),""))</f>
        <v/>
      </c>
      <c r="AK359" s="20" t="n"/>
      <c r="AL359" s="47" t="n"/>
      <c r="AM359" s="47" t="n"/>
      <c r="AN359" s="53" t="n"/>
      <c r="AO359" s="47" t="n"/>
      <c r="AP359" s="47" t="n"/>
      <c r="AQ359" s="47" t="n"/>
      <c r="AR359" s="47" t="n"/>
      <c r="AS359" s="47" t="n"/>
      <c r="AT359" s="47" t="n"/>
      <c r="AU359" s="47" t="n"/>
      <c r="AV359" s="47" t="n"/>
      <c r="AW359" s="52" t="n"/>
    </row>
    <row r="360">
      <c r="A360" s="48" t="n"/>
      <c r="B360" s="52" t="n"/>
      <c r="C360" s="47">
        <f>IF(B360="","",IFERROR(INDEX('隊員マスタ'!$B$5:$B$204,MATCH(B360&amp;"",'隊員マスタ'!$F$5:$F$204,0)),IF(AK360="","番号なし",AK360)))</f>
        <v/>
      </c>
      <c r="D360" s="47" t="n"/>
      <c r="E360" s="47" t="n"/>
      <c r="F360" s="47" t="n"/>
      <c r="G360" s="47" t="n"/>
      <c r="H360" s="47" t="n"/>
      <c r="I360" s="47" t="n"/>
      <c r="J360" s="47" t="n"/>
      <c r="K360" s="47" t="n"/>
      <c r="L360" s="47" t="n"/>
      <c r="M360" s="47" t="n"/>
      <c r="N360" s="47" t="n"/>
      <c r="O360" s="47" t="n"/>
      <c r="P360" s="47" t="n"/>
      <c r="Q360" s="47" t="n"/>
      <c r="R360" s="47" t="n"/>
      <c r="S360" s="47" t="n"/>
      <c r="T360" s="47" t="n"/>
      <c r="U360" s="53" t="n"/>
      <c r="V360" s="53" t="n"/>
      <c r="W360" s="47" t="n"/>
      <c r="X360" s="47" t="n"/>
      <c r="Y360" s="47" t="n"/>
      <c r="Z360" s="47" t="n"/>
      <c r="AA360" s="47" t="n"/>
      <c r="AB360" s="47" t="n"/>
      <c r="AC360" s="47" t="n"/>
      <c r="AD360" s="47" t="n"/>
      <c r="AE360" s="47" t="n"/>
      <c r="AF360" s="20">
        <f>IF(A360="","",YEAR(EDATE(A360,-3)))</f>
        <v/>
      </c>
      <c r="AG360" s="20">
        <f>IF(OR(B360="",'経歴簿'!$C$4=""),"",IF(B360&amp;""='経歴簿'!$C$4&amp;"",MAX($AG$4:AG359)+1,""))</f>
        <v/>
      </c>
      <c r="AH360" s="20">
        <f>IF(A360="",0,IF(AND(OR('CSV抽出'!$C$4="",A360&gt;='CSV抽出'!$C$4),OR('CSV抽出'!$C$5="",A360&lt;='CSV抽出'!$C$5),OR('CSV抽出'!$C$6="すべて",'CSV抽出'!$C$6="",D360='CSV抽出'!$C$6),OR('CSV抽出'!$C$7="",B360&amp;""='CSV抽出'!$C$7&amp;"")),1,0))</f>
        <v/>
      </c>
      <c r="AI360" s="20">
        <f>IF(AH360=1,SUM($AH$5:AH360),"")</f>
        <v/>
      </c>
      <c r="AJ360" s="20">
        <f>IF(OR(S360="",'報告書'!$C$4=""),"",IF(S360&amp;""='報告書'!$C$4&amp;"",COUNTIF($S$5:S360,'報告書'!$C$4),""))</f>
        <v/>
      </c>
      <c r="AK360" s="20" t="n"/>
      <c r="AL360" s="47" t="n"/>
      <c r="AM360" s="47" t="n"/>
      <c r="AN360" s="53" t="n"/>
      <c r="AO360" s="47" t="n"/>
      <c r="AP360" s="47" t="n"/>
      <c r="AQ360" s="47" t="n"/>
      <c r="AR360" s="47" t="n"/>
      <c r="AS360" s="47" t="n"/>
      <c r="AT360" s="47" t="n"/>
      <c r="AU360" s="47" t="n"/>
      <c r="AV360" s="47" t="n"/>
      <c r="AW360" s="52" t="n"/>
    </row>
    <row r="361">
      <c r="A361" s="48" t="n"/>
      <c r="B361" s="52" t="n"/>
      <c r="C361" s="47">
        <f>IF(B361="","",IFERROR(INDEX('隊員マスタ'!$B$5:$B$204,MATCH(B361&amp;"",'隊員マスタ'!$F$5:$F$204,0)),IF(AK361="","番号なし",AK361)))</f>
        <v/>
      </c>
      <c r="D361" s="47" t="n"/>
      <c r="E361" s="47" t="n"/>
      <c r="F361" s="47" t="n"/>
      <c r="G361" s="47" t="n"/>
      <c r="H361" s="47" t="n"/>
      <c r="I361" s="47" t="n"/>
      <c r="J361" s="47" t="n"/>
      <c r="K361" s="47" t="n"/>
      <c r="L361" s="47" t="n"/>
      <c r="M361" s="47" t="n"/>
      <c r="N361" s="47" t="n"/>
      <c r="O361" s="47" t="n"/>
      <c r="P361" s="47" t="n"/>
      <c r="Q361" s="47" t="n"/>
      <c r="R361" s="47" t="n"/>
      <c r="S361" s="47" t="n"/>
      <c r="T361" s="47" t="n"/>
      <c r="U361" s="53" t="n"/>
      <c r="V361" s="53" t="n"/>
      <c r="W361" s="47" t="n"/>
      <c r="X361" s="47" t="n"/>
      <c r="Y361" s="47" t="n"/>
      <c r="Z361" s="47" t="n"/>
      <c r="AA361" s="47" t="n"/>
      <c r="AB361" s="47" t="n"/>
      <c r="AC361" s="47" t="n"/>
      <c r="AD361" s="47" t="n"/>
      <c r="AE361" s="47" t="n"/>
      <c r="AF361" s="20">
        <f>IF(A361="","",YEAR(EDATE(A361,-3)))</f>
        <v/>
      </c>
      <c r="AG361" s="20">
        <f>IF(OR(B361="",'経歴簿'!$C$4=""),"",IF(B361&amp;""='経歴簿'!$C$4&amp;"",MAX($AG$4:AG360)+1,""))</f>
        <v/>
      </c>
      <c r="AH361" s="20">
        <f>IF(A361="",0,IF(AND(OR('CSV抽出'!$C$4="",A361&gt;='CSV抽出'!$C$4),OR('CSV抽出'!$C$5="",A361&lt;='CSV抽出'!$C$5),OR('CSV抽出'!$C$6="すべて",'CSV抽出'!$C$6="",D361='CSV抽出'!$C$6),OR('CSV抽出'!$C$7="",B361&amp;""='CSV抽出'!$C$7&amp;"")),1,0))</f>
        <v/>
      </c>
      <c r="AI361" s="20">
        <f>IF(AH361=1,SUM($AH$5:AH361),"")</f>
        <v/>
      </c>
      <c r="AJ361" s="20">
        <f>IF(OR(S361="",'報告書'!$C$4=""),"",IF(S361&amp;""='報告書'!$C$4&amp;"",COUNTIF($S$5:S361,'報告書'!$C$4),""))</f>
        <v/>
      </c>
      <c r="AK361" s="20" t="n"/>
      <c r="AL361" s="47" t="n"/>
      <c r="AM361" s="47" t="n"/>
      <c r="AN361" s="53" t="n"/>
      <c r="AO361" s="47" t="n"/>
      <c r="AP361" s="47" t="n"/>
      <c r="AQ361" s="47" t="n"/>
      <c r="AR361" s="47" t="n"/>
      <c r="AS361" s="47" t="n"/>
      <c r="AT361" s="47" t="n"/>
      <c r="AU361" s="47" t="n"/>
      <c r="AV361" s="47" t="n"/>
      <c r="AW361" s="52" t="n"/>
    </row>
    <row r="362">
      <c r="A362" s="48" t="n"/>
      <c r="B362" s="52" t="n"/>
      <c r="C362" s="47">
        <f>IF(B362="","",IFERROR(INDEX('隊員マスタ'!$B$5:$B$204,MATCH(B362&amp;"",'隊員マスタ'!$F$5:$F$204,0)),IF(AK362="","番号なし",AK362)))</f>
        <v/>
      </c>
      <c r="D362" s="47" t="n"/>
      <c r="E362" s="47" t="n"/>
      <c r="F362" s="47" t="n"/>
      <c r="G362" s="47" t="n"/>
      <c r="H362" s="47" t="n"/>
      <c r="I362" s="47" t="n"/>
      <c r="J362" s="47" t="n"/>
      <c r="K362" s="47" t="n"/>
      <c r="L362" s="47" t="n"/>
      <c r="M362" s="47" t="n"/>
      <c r="N362" s="47" t="n"/>
      <c r="O362" s="47" t="n"/>
      <c r="P362" s="47" t="n"/>
      <c r="Q362" s="47" t="n"/>
      <c r="R362" s="47" t="n"/>
      <c r="S362" s="47" t="n"/>
      <c r="T362" s="47" t="n"/>
      <c r="U362" s="53" t="n"/>
      <c r="V362" s="53" t="n"/>
      <c r="W362" s="47" t="n"/>
      <c r="X362" s="47" t="n"/>
      <c r="Y362" s="47" t="n"/>
      <c r="Z362" s="47" t="n"/>
      <c r="AA362" s="47" t="n"/>
      <c r="AB362" s="47" t="n"/>
      <c r="AC362" s="47" t="n"/>
      <c r="AD362" s="47" t="n"/>
      <c r="AE362" s="47" t="n"/>
      <c r="AF362" s="20">
        <f>IF(A362="","",YEAR(EDATE(A362,-3)))</f>
        <v/>
      </c>
      <c r="AG362" s="20">
        <f>IF(OR(B362="",'経歴簿'!$C$4=""),"",IF(B362&amp;""='経歴簿'!$C$4&amp;"",MAX($AG$4:AG361)+1,""))</f>
        <v/>
      </c>
      <c r="AH362" s="20">
        <f>IF(A362="",0,IF(AND(OR('CSV抽出'!$C$4="",A362&gt;='CSV抽出'!$C$4),OR('CSV抽出'!$C$5="",A362&lt;='CSV抽出'!$C$5),OR('CSV抽出'!$C$6="すべて",'CSV抽出'!$C$6="",D362='CSV抽出'!$C$6),OR('CSV抽出'!$C$7="",B362&amp;""='CSV抽出'!$C$7&amp;"")),1,0))</f>
        <v/>
      </c>
      <c r="AI362" s="20">
        <f>IF(AH362=1,SUM($AH$5:AH362),"")</f>
        <v/>
      </c>
      <c r="AJ362" s="20">
        <f>IF(OR(S362="",'報告書'!$C$4=""),"",IF(S362&amp;""='報告書'!$C$4&amp;"",COUNTIF($S$5:S362,'報告書'!$C$4),""))</f>
        <v/>
      </c>
      <c r="AK362" s="20" t="n"/>
      <c r="AL362" s="47" t="n"/>
      <c r="AM362" s="47" t="n"/>
      <c r="AN362" s="53" t="n"/>
      <c r="AO362" s="47" t="n"/>
      <c r="AP362" s="47" t="n"/>
      <c r="AQ362" s="47" t="n"/>
      <c r="AR362" s="47" t="n"/>
      <c r="AS362" s="47" t="n"/>
      <c r="AT362" s="47" t="n"/>
      <c r="AU362" s="47" t="n"/>
      <c r="AV362" s="47" t="n"/>
      <c r="AW362" s="52" t="n"/>
    </row>
    <row r="363">
      <c r="A363" s="48" t="n"/>
      <c r="B363" s="52" t="n"/>
      <c r="C363" s="47">
        <f>IF(B363="","",IFERROR(INDEX('隊員マスタ'!$B$5:$B$204,MATCH(B363&amp;"",'隊員マスタ'!$F$5:$F$204,0)),IF(AK363="","番号なし",AK363)))</f>
        <v/>
      </c>
      <c r="D363" s="47" t="n"/>
      <c r="E363" s="47" t="n"/>
      <c r="F363" s="47" t="n"/>
      <c r="G363" s="47" t="n"/>
      <c r="H363" s="47" t="n"/>
      <c r="I363" s="47" t="n"/>
      <c r="J363" s="47" t="n"/>
      <c r="K363" s="47" t="n"/>
      <c r="L363" s="47" t="n"/>
      <c r="M363" s="47" t="n"/>
      <c r="N363" s="47" t="n"/>
      <c r="O363" s="47" t="n"/>
      <c r="P363" s="47" t="n"/>
      <c r="Q363" s="47" t="n"/>
      <c r="R363" s="47" t="n"/>
      <c r="S363" s="47" t="n"/>
      <c r="T363" s="47" t="n"/>
      <c r="U363" s="53" t="n"/>
      <c r="V363" s="53" t="n"/>
      <c r="W363" s="47" t="n"/>
      <c r="X363" s="47" t="n"/>
      <c r="Y363" s="47" t="n"/>
      <c r="Z363" s="47" t="n"/>
      <c r="AA363" s="47" t="n"/>
      <c r="AB363" s="47" t="n"/>
      <c r="AC363" s="47" t="n"/>
      <c r="AD363" s="47" t="n"/>
      <c r="AE363" s="47" t="n"/>
      <c r="AF363" s="20">
        <f>IF(A363="","",YEAR(EDATE(A363,-3)))</f>
        <v/>
      </c>
      <c r="AG363" s="20">
        <f>IF(OR(B363="",'経歴簿'!$C$4=""),"",IF(B363&amp;""='経歴簿'!$C$4&amp;"",MAX($AG$4:AG362)+1,""))</f>
        <v/>
      </c>
      <c r="AH363" s="20">
        <f>IF(A363="",0,IF(AND(OR('CSV抽出'!$C$4="",A363&gt;='CSV抽出'!$C$4),OR('CSV抽出'!$C$5="",A363&lt;='CSV抽出'!$C$5),OR('CSV抽出'!$C$6="すべて",'CSV抽出'!$C$6="",D363='CSV抽出'!$C$6),OR('CSV抽出'!$C$7="",B363&amp;""='CSV抽出'!$C$7&amp;"")),1,0))</f>
        <v/>
      </c>
      <c r="AI363" s="20">
        <f>IF(AH363=1,SUM($AH$5:AH363),"")</f>
        <v/>
      </c>
      <c r="AJ363" s="20">
        <f>IF(OR(S363="",'報告書'!$C$4=""),"",IF(S363&amp;""='報告書'!$C$4&amp;"",COUNTIF($S$5:S363,'報告書'!$C$4),""))</f>
        <v/>
      </c>
      <c r="AK363" s="20" t="n"/>
      <c r="AL363" s="47" t="n"/>
      <c r="AM363" s="47" t="n"/>
      <c r="AN363" s="53" t="n"/>
      <c r="AO363" s="47" t="n"/>
      <c r="AP363" s="47" t="n"/>
      <c r="AQ363" s="47" t="n"/>
      <c r="AR363" s="47" t="n"/>
      <c r="AS363" s="47" t="n"/>
      <c r="AT363" s="47" t="n"/>
      <c r="AU363" s="47" t="n"/>
      <c r="AV363" s="47" t="n"/>
      <c r="AW363" s="52" t="n"/>
    </row>
    <row r="364">
      <c r="A364" s="48" t="n"/>
      <c r="B364" s="52" t="n"/>
      <c r="C364" s="47">
        <f>IF(B364="","",IFERROR(INDEX('隊員マスタ'!$B$5:$B$204,MATCH(B364&amp;"",'隊員マスタ'!$F$5:$F$204,0)),IF(AK364="","番号なし",AK364)))</f>
        <v/>
      </c>
      <c r="D364" s="47" t="n"/>
      <c r="E364" s="47" t="n"/>
      <c r="F364" s="47" t="n"/>
      <c r="G364" s="47" t="n"/>
      <c r="H364" s="47" t="n"/>
      <c r="I364" s="47" t="n"/>
      <c r="J364" s="47" t="n"/>
      <c r="K364" s="47" t="n"/>
      <c r="L364" s="47" t="n"/>
      <c r="M364" s="47" t="n"/>
      <c r="N364" s="47" t="n"/>
      <c r="O364" s="47" t="n"/>
      <c r="P364" s="47" t="n"/>
      <c r="Q364" s="47" t="n"/>
      <c r="R364" s="47" t="n"/>
      <c r="S364" s="47" t="n"/>
      <c r="T364" s="47" t="n"/>
      <c r="U364" s="53" t="n"/>
      <c r="V364" s="53" t="n"/>
      <c r="W364" s="47" t="n"/>
      <c r="X364" s="47" t="n"/>
      <c r="Y364" s="47" t="n"/>
      <c r="Z364" s="47" t="n"/>
      <c r="AA364" s="47" t="n"/>
      <c r="AB364" s="47" t="n"/>
      <c r="AC364" s="47" t="n"/>
      <c r="AD364" s="47" t="n"/>
      <c r="AE364" s="47" t="n"/>
      <c r="AF364" s="20">
        <f>IF(A364="","",YEAR(EDATE(A364,-3)))</f>
        <v/>
      </c>
      <c r="AG364" s="20">
        <f>IF(OR(B364="",'経歴簿'!$C$4=""),"",IF(B364&amp;""='経歴簿'!$C$4&amp;"",MAX($AG$4:AG363)+1,""))</f>
        <v/>
      </c>
      <c r="AH364" s="20">
        <f>IF(A364="",0,IF(AND(OR('CSV抽出'!$C$4="",A364&gt;='CSV抽出'!$C$4),OR('CSV抽出'!$C$5="",A364&lt;='CSV抽出'!$C$5),OR('CSV抽出'!$C$6="すべて",'CSV抽出'!$C$6="",D364='CSV抽出'!$C$6),OR('CSV抽出'!$C$7="",B364&amp;""='CSV抽出'!$C$7&amp;"")),1,0))</f>
        <v/>
      </c>
      <c r="AI364" s="20">
        <f>IF(AH364=1,SUM($AH$5:AH364),"")</f>
        <v/>
      </c>
      <c r="AJ364" s="20">
        <f>IF(OR(S364="",'報告書'!$C$4=""),"",IF(S364&amp;""='報告書'!$C$4&amp;"",COUNTIF($S$5:S364,'報告書'!$C$4),""))</f>
        <v/>
      </c>
      <c r="AK364" s="20" t="n"/>
      <c r="AL364" s="47" t="n"/>
      <c r="AM364" s="47" t="n"/>
      <c r="AN364" s="53" t="n"/>
      <c r="AO364" s="47" t="n"/>
      <c r="AP364" s="47" t="n"/>
      <c r="AQ364" s="47" t="n"/>
      <c r="AR364" s="47" t="n"/>
      <c r="AS364" s="47" t="n"/>
      <c r="AT364" s="47" t="n"/>
      <c r="AU364" s="47" t="n"/>
      <c r="AV364" s="47" t="n"/>
      <c r="AW364" s="52" t="n"/>
    </row>
    <row r="365">
      <c r="A365" s="48" t="n"/>
      <c r="B365" s="52" t="n"/>
      <c r="C365" s="47">
        <f>IF(B365="","",IFERROR(INDEX('隊員マスタ'!$B$5:$B$204,MATCH(B365&amp;"",'隊員マスタ'!$F$5:$F$204,0)),IF(AK365="","番号なし",AK365)))</f>
        <v/>
      </c>
      <c r="D365" s="47" t="n"/>
      <c r="E365" s="47" t="n"/>
      <c r="F365" s="47" t="n"/>
      <c r="G365" s="47" t="n"/>
      <c r="H365" s="47" t="n"/>
      <c r="I365" s="47" t="n"/>
      <c r="J365" s="47" t="n"/>
      <c r="K365" s="47" t="n"/>
      <c r="L365" s="47" t="n"/>
      <c r="M365" s="47" t="n"/>
      <c r="N365" s="47" t="n"/>
      <c r="O365" s="47" t="n"/>
      <c r="P365" s="47" t="n"/>
      <c r="Q365" s="47" t="n"/>
      <c r="R365" s="47" t="n"/>
      <c r="S365" s="47" t="n"/>
      <c r="T365" s="47" t="n"/>
      <c r="U365" s="53" t="n"/>
      <c r="V365" s="53" t="n"/>
      <c r="W365" s="47" t="n"/>
      <c r="X365" s="47" t="n"/>
      <c r="Y365" s="47" t="n"/>
      <c r="Z365" s="47" t="n"/>
      <c r="AA365" s="47" t="n"/>
      <c r="AB365" s="47" t="n"/>
      <c r="AC365" s="47" t="n"/>
      <c r="AD365" s="47" t="n"/>
      <c r="AE365" s="47" t="n"/>
      <c r="AF365" s="20">
        <f>IF(A365="","",YEAR(EDATE(A365,-3)))</f>
        <v/>
      </c>
      <c r="AG365" s="20">
        <f>IF(OR(B365="",'経歴簿'!$C$4=""),"",IF(B365&amp;""='経歴簿'!$C$4&amp;"",MAX($AG$4:AG364)+1,""))</f>
        <v/>
      </c>
      <c r="AH365" s="20">
        <f>IF(A365="",0,IF(AND(OR('CSV抽出'!$C$4="",A365&gt;='CSV抽出'!$C$4),OR('CSV抽出'!$C$5="",A365&lt;='CSV抽出'!$C$5),OR('CSV抽出'!$C$6="すべて",'CSV抽出'!$C$6="",D365='CSV抽出'!$C$6),OR('CSV抽出'!$C$7="",B365&amp;""='CSV抽出'!$C$7&amp;"")),1,0))</f>
        <v/>
      </c>
      <c r="AI365" s="20">
        <f>IF(AH365=1,SUM($AH$5:AH365),"")</f>
        <v/>
      </c>
      <c r="AJ365" s="20">
        <f>IF(OR(S365="",'報告書'!$C$4=""),"",IF(S365&amp;""='報告書'!$C$4&amp;"",COUNTIF($S$5:S365,'報告書'!$C$4),""))</f>
        <v/>
      </c>
      <c r="AK365" s="20" t="n"/>
      <c r="AL365" s="47" t="n"/>
      <c r="AM365" s="47" t="n"/>
      <c r="AN365" s="53" t="n"/>
      <c r="AO365" s="47" t="n"/>
      <c r="AP365" s="47" t="n"/>
      <c r="AQ365" s="47" t="n"/>
      <c r="AR365" s="47" t="n"/>
      <c r="AS365" s="47" t="n"/>
      <c r="AT365" s="47" t="n"/>
      <c r="AU365" s="47" t="n"/>
      <c r="AV365" s="47" t="n"/>
      <c r="AW365" s="52" t="n"/>
    </row>
    <row r="366">
      <c r="A366" s="48" t="n"/>
      <c r="B366" s="52" t="n"/>
      <c r="C366" s="47">
        <f>IF(B366="","",IFERROR(INDEX('隊員マスタ'!$B$5:$B$204,MATCH(B366&amp;"",'隊員マスタ'!$F$5:$F$204,0)),IF(AK366="","番号なし",AK366)))</f>
        <v/>
      </c>
      <c r="D366" s="47" t="n"/>
      <c r="E366" s="47" t="n"/>
      <c r="F366" s="47" t="n"/>
      <c r="G366" s="47" t="n"/>
      <c r="H366" s="47" t="n"/>
      <c r="I366" s="47" t="n"/>
      <c r="J366" s="47" t="n"/>
      <c r="K366" s="47" t="n"/>
      <c r="L366" s="47" t="n"/>
      <c r="M366" s="47" t="n"/>
      <c r="N366" s="47" t="n"/>
      <c r="O366" s="47" t="n"/>
      <c r="P366" s="47" t="n"/>
      <c r="Q366" s="47" t="n"/>
      <c r="R366" s="47" t="n"/>
      <c r="S366" s="47" t="n"/>
      <c r="T366" s="47" t="n"/>
      <c r="U366" s="53" t="n"/>
      <c r="V366" s="53" t="n"/>
      <c r="W366" s="47" t="n"/>
      <c r="X366" s="47" t="n"/>
      <c r="Y366" s="47" t="n"/>
      <c r="Z366" s="47" t="n"/>
      <c r="AA366" s="47" t="n"/>
      <c r="AB366" s="47" t="n"/>
      <c r="AC366" s="47" t="n"/>
      <c r="AD366" s="47" t="n"/>
      <c r="AE366" s="47" t="n"/>
      <c r="AF366" s="20">
        <f>IF(A366="","",YEAR(EDATE(A366,-3)))</f>
        <v/>
      </c>
      <c r="AG366" s="20">
        <f>IF(OR(B366="",'経歴簿'!$C$4=""),"",IF(B366&amp;""='経歴簿'!$C$4&amp;"",MAX($AG$4:AG365)+1,""))</f>
        <v/>
      </c>
      <c r="AH366" s="20">
        <f>IF(A366="",0,IF(AND(OR('CSV抽出'!$C$4="",A366&gt;='CSV抽出'!$C$4),OR('CSV抽出'!$C$5="",A366&lt;='CSV抽出'!$C$5),OR('CSV抽出'!$C$6="すべて",'CSV抽出'!$C$6="",D366='CSV抽出'!$C$6),OR('CSV抽出'!$C$7="",B366&amp;""='CSV抽出'!$C$7&amp;"")),1,0))</f>
        <v/>
      </c>
      <c r="AI366" s="20">
        <f>IF(AH366=1,SUM($AH$5:AH366),"")</f>
        <v/>
      </c>
      <c r="AJ366" s="20">
        <f>IF(OR(S366="",'報告書'!$C$4=""),"",IF(S366&amp;""='報告書'!$C$4&amp;"",COUNTIF($S$5:S366,'報告書'!$C$4),""))</f>
        <v/>
      </c>
      <c r="AK366" s="20" t="n"/>
      <c r="AL366" s="47" t="n"/>
      <c r="AM366" s="47" t="n"/>
      <c r="AN366" s="53" t="n"/>
      <c r="AO366" s="47" t="n"/>
      <c r="AP366" s="47" t="n"/>
      <c r="AQ366" s="47" t="n"/>
      <c r="AR366" s="47" t="n"/>
      <c r="AS366" s="47" t="n"/>
      <c r="AT366" s="47" t="n"/>
      <c r="AU366" s="47" t="n"/>
      <c r="AV366" s="47" t="n"/>
      <c r="AW366" s="52" t="n"/>
    </row>
    <row r="367">
      <c r="A367" s="48" t="n"/>
      <c r="B367" s="52" t="n"/>
      <c r="C367" s="47">
        <f>IF(B367="","",IFERROR(INDEX('隊員マスタ'!$B$5:$B$204,MATCH(B367&amp;"",'隊員マスタ'!$F$5:$F$204,0)),IF(AK367="","番号なし",AK367)))</f>
        <v/>
      </c>
      <c r="D367" s="47" t="n"/>
      <c r="E367" s="47" t="n"/>
      <c r="F367" s="47" t="n"/>
      <c r="G367" s="47" t="n"/>
      <c r="H367" s="47" t="n"/>
      <c r="I367" s="47" t="n"/>
      <c r="J367" s="47" t="n"/>
      <c r="K367" s="47" t="n"/>
      <c r="L367" s="47" t="n"/>
      <c r="M367" s="47" t="n"/>
      <c r="N367" s="47" t="n"/>
      <c r="O367" s="47" t="n"/>
      <c r="P367" s="47" t="n"/>
      <c r="Q367" s="47" t="n"/>
      <c r="R367" s="47" t="n"/>
      <c r="S367" s="47" t="n"/>
      <c r="T367" s="47" t="n"/>
      <c r="U367" s="53" t="n"/>
      <c r="V367" s="53" t="n"/>
      <c r="W367" s="47" t="n"/>
      <c r="X367" s="47" t="n"/>
      <c r="Y367" s="47" t="n"/>
      <c r="Z367" s="47" t="n"/>
      <c r="AA367" s="47" t="n"/>
      <c r="AB367" s="47" t="n"/>
      <c r="AC367" s="47" t="n"/>
      <c r="AD367" s="47" t="n"/>
      <c r="AE367" s="47" t="n"/>
      <c r="AF367" s="20">
        <f>IF(A367="","",YEAR(EDATE(A367,-3)))</f>
        <v/>
      </c>
      <c r="AG367" s="20">
        <f>IF(OR(B367="",'経歴簿'!$C$4=""),"",IF(B367&amp;""='経歴簿'!$C$4&amp;"",MAX($AG$4:AG366)+1,""))</f>
        <v/>
      </c>
      <c r="AH367" s="20">
        <f>IF(A367="",0,IF(AND(OR('CSV抽出'!$C$4="",A367&gt;='CSV抽出'!$C$4),OR('CSV抽出'!$C$5="",A367&lt;='CSV抽出'!$C$5),OR('CSV抽出'!$C$6="すべて",'CSV抽出'!$C$6="",D367='CSV抽出'!$C$6),OR('CSV抽出'!$C$7="",B367&amp;""='CSV抽出'!$C$7&amp;"")),1,0))</f>
        <v/>
      </c>
      <c r="AI367" s="20">
        <f>IF(AH367=1,SUM($AH$5:AH367),"")</f>
        <v/>
      </c>
      <c r="AJ367" s="20">
        <f>IF(OR(S367="",'報告書'!$C$4=""),"",IF(S367&amp;""='報告書'!$C$4&amp;"",COUNTIF($S$5:S367,'報告書'!$C$4),""))</f>
        <v/>
      </c>
      <c r="AK367" s="20" t="n"/>
      <c r="AL367" s="47" t="n"/>
      <c r="AM367" s="47" t="n"/>
      <c r="AN367" s="53" t="n"/>
      <c r="AO367" s="47" t="n"/>
      <c r="AP367" s="47" t="n"/>
      <c r="AQ367" s="47" t="n"/>
      <c r="AR367" s="47" t="n"/>
      <c r="AS367" s="47" t="n"/>
      <c r="AT367" s="47" t="n"/>
      <c r="AU367" s="47" t="n"/>
      <c r="AV367" s="47" t="n"/>
      <c r="AW367" s="52" t="n"/>
    </row>
    <row r="368">
      <c r="A368" s="48" t="n"/>
      <c r="B368" s="52" t="n"/>
      <c r="C368" s="47">
        <f>IF(B368="","",IFERROR(INDEX('隊員マスタ'!$B$5:$B$204,MATCH(B368&amp;"",'隊員マスタ'!$F$5:$F$204,0)),IF(AK368="","番号なし",AK368)))</f>
        <v/>
      </c>
      <c r="D368" s="47" t="n"/>
      <c r="E368" s="47" t="n"/>
      <c r="F368" s="47" t="n"/>
      <c r="G368" s="47" t="n"/>
      <c r="H368" s="47" t="n"/>
      <c r="I368" s="47" t="n"/>
      <c r="J368" s="47" t="n"/>
      <c r="K368" s="47" t="n"/>
      <c r="L368" s="47" t="n"/>
      <c r="M368" s="47" t="n"/>
      <c r="N368" s="47" t="n"/>
      <c r="O368" s="47" t="n"/>
      <c r="P368" s="47" t="n"/>
      <c r="Q368" s="47" t="n"/>
      <c r="R368" s="47" t="n"/>
      <c r="S368" s="47" t="n"/>
      <c r="T368" s="47" t="n"/>
      <c r="U368" s="53" t="n"/>
      <c r="V368" s="53" t="n"/>
      <c r="W368" s="47" t="n"/>
      <c r="X368" s="47" t="n"/>
      <c r="Y368" s="47" t="n"/>
      <c r="Z368" s="47" t="n"/>
      <c r="AA368" s="47" t="n"/>
      <c r="AB368" s="47" t="n"/>
      <c r="AC368" s="47" t="n"/>
      <c r="AD368" s="47" t="n"/>
      <c r="AE368" s="47" t="n"/>
      <c r="AF368" s="20">
        <f>IF(A368="","",YEAR(EDATE(A368,-3)))</f>
        <v/>
      </c>
      <c r="AG368" s="20">
        <f>IF(OR(B368="",'経歴簿'!$C$4=""),"",IF(B368&amp;""='経歴簿'!$C$4&amp;"",MAX($AG$4:AG367)+1,""))</f>
        <v/>
      </c>
      <c r="AH368" s="20">
        <f>IF(A368="",0,IF(AND(OR('CSV抽出'!$C$4="",A368&gt;='CSV抽出'!$C$4),OR('CSV抽出'!$C$5="",A368&lt;='CSV抽出'!$C$5),OR('CSV抽出'!$C$6="すべて",'CSV抽出'!$C$6="",D368='CSV抽出'!$C$6),OR('CSV抽出'!$C$7="",B368&amp;""='CSV抽出'!$C$7&amp;"")),1,0))</f>
        <v/>
      </c>
      <c r="AI368" s="20">
        <f>IF(AH368=1,SUM($AH$5:AH368),"")</f>
        <v/>
      </c>
      <c r="AJ368" s="20">
        <f>IF(OR(S368="",'報告書'!$C$4=""),"",IF(S368&amp;""='報告書'!$C$4&amp;"",COUNTIF($S$5:S368,'報告書'!$C$4),""))</f>
        <v/>
      </c>
      <c r="AK368" s="20" t="n"/>
      <c r="AL368" s="47" t="n"/>
      <c r="AM368" s="47" t="n"/>
      <c r="AN368" s="53" t="n"/>
      <c r="AO368" s="47" t="n"/>
      <c r="AP368" s="47" t="n"/>
      <c r="AQ368" s="47" t="n"/>
      <c r="AR368" s="47" t="n"/>
      <c r="AS368" s="47" t="n"/>
      <c r="AT368" s="47" t="n"/>
      <c r="AU368" s="47" t="n"/>
      <c r="AV368" s="47" t="n"/>
      <c r="AW368" s="52" t="n"/>
    </row>
    <row r="369">
      <c r="A369" s="48" t="n"/>
      <c r="B369" s="52" t="n"/>
      <c r="C369" s="47">
        <f>IF(B369="","",IFERROR(INDEX('隊員マスタ'!$B$5:$B$204,MATCH(B369&amp;"",'隊員マスタ'!$F$5:$F$204,0)),IF(AK369="","番号なし",AK369)))</f>
        <v/>
      </c>
      <c r="D369" s="47" t="n"/>
      <c r="E369" s="47" t="n"/>
      <c r="F369" s="47" t="n"/>
      <c r="G369" s="47" t="n"/>
      <c r="H369" s="47" t="n"/>
      <c r="I369" s="47" t="n"/>
      <c r="J369" s="47" t="n"/>
      <c r="K369" s="47" t="n"/>
      <c r="L369" s="47" t="n"/>
      <c r="M369" s="47" t="n"/>
      <c r="N369" s="47" t="n"/>
      <c r="O369" s="47" t="n"/>
      <c r="P369" s="47" t="n"/>
      <c r="Q369" s="47" t="n"/>
      <c r="R369" s="47" t="n"/>
      <c r="S369" s="47" t="n"/>
      <c r="T369" s="47" t="n"/>
      <c r="U369" s="53" t="n"/>
      <c r="V369" s="53" t="n"/>
      <c r="W369" s="47" t="n"/>
      <c r="X369" s="47" t="n"/>
      <c r="Y369" s="47" t="n"/>
      <c r="Z369" s="47" t="n"/>
      <c r="AA369" s="47" t="n"/>
      <c r="AB369" s="47" t="n"/>
      <c r="AC369" s="47" t="n"/>
      <c r="AD369" s="47" t="n"/>
      <c r="AE369" s="47" t="n"/>
      <c r="AF369" s="20">
        <f>IF(A369="","",YEAR(EDATE(A369,-3)))</f>
        <v/>
      </c>
      <c r="AG369" s="20">
        <f>IF(OR(B369="",'経歴簿'!$C$4=""),"",IF(B369&amp;""='経歴簿'!$C$4&amp;"",MAX($AG$4:AG368)+1,""))</f>
        <v/>
      </c>
      <c r="AH369" s="20">
        <f>IF(A369="",0,IF(AND(OR('CSV抽出'!$C$4="",A369&gt;='CSV抽出'!$C$4),OR('CSV抽出'!$C$5="",A369&lt;='CSV抽出'!$C$5),OR('CSV抽出'!$C$6="すべて",'CSV抽出'!$C$6="",D369='CSV抽出'!$C$6),OR('CSV抽出'!$C$7="",B369&amp;""='CSV抽出'!$C$7&amp;"")),1,0))</f>
        <v/>
      </c>
      <c r="AI369" s="20">
        <f>IF(AH369=1,SUM($AH$5:AH369),"")</f>
        <v/>
      </c>
      <c r="AJ369" s="20">
        <f>IF(OR(S369="",'報告書'!$C$4=""),"",IF(S369&amp;""='報告書'!$C$4&amp;"",COUNTIF($S$5:S369,'報告書'!$C$4),""))</f>
        <v/>
      </c>
      <c r="AK369" s="20" t="n"/>
      <c r="AL369" s="47" t="n"/>
      <c r="AM369" s="47" t="n"/>
      <c r="AN369" s="53" t="n"/>
      <c r="AO369" s="47" t="n"/>
      <c r="AP369" s="47" t="n"/>
      <c r="AQ369" s="47" t="n"/>
      <c r="AR369" s="47" t="n"/>
      <c r="AS369" s="47" t="n"/>
      <c r="AT369" s="47" t="n"/>
      <c r="AU369" s="47" t="n"/>
      <c r="AV369" s="47" t="n"/>
      <c r="AW369" s="52" t="n"/>
    </row>
    <row r="370">
      <c r="A370" s="48" t="n"/>
      <c r="B370" s="52" t="n"/>
      <c r="C370" s="47">
        <f>IF(B370="","",IFERROR(INDEX('隊員マスタ'!$B$5:$B$204,MATCH(B370&amp;"",'隊員マスタ'!$F$5:$F$204,0)),IF(AK370="","番号なし",AK370)))</f>
        <v/>
      </c>
      <c r="D370" s="47" t="n"/>
      <c r="E370" s="47" t="n"/>
      <c r="F370" s="47" t="n"/>
      <c r="G370" s="47" t="n"/>
      <c r="H370" s="47" t="n"/>
      <c r="I370" s="47" t="n"/>
      <c r="J370" s="47" t="n"/>
      <c r="K370" s="47" t="n"/>
      <c r="L370" s="47" t="n"/>
      <c r="M370" s="47" t="n"/>
      <c r="N370" s="47" t="n"/>
      <c r="O370" s="47" t="n"/>
      <c r="P370" s="47" t="n"/>
      <c r="Q370" s="47" t="n"/>
      <c r="R370" s="47" t="n"/>
      <c r="S370" s="47" t="n"/>
      <c r="T370" s="47" t="n"/>
      <c r="U370" s="53" t="n"/>
      <c r="V370" s="53" t="n"/>
      <c r="W370" s="47" t="n"/>
      <c r="X370" s="47" t="n"/>
      <c r="Y370" s="47" t="n"/>
      <c r="Z370" s="47" t="n"/>
      <c r="AA370" s="47" t="n"/>
      <c r="AB370" s="47" t="n"/>
      <c r="AC370" s="47" t="n"/>
      <c r="AD370" s="47" t="n"/>
      <c r="AE370" s="47" t="n"/>
      <c r="AF370" s="20">
        <f>IF(A370="","",YEAR(EDATE(A370,-3)))</f>
        <v/>
      </c>
      <c r="AG370" s="20">
        <f>IF(OR(B370="",'経歴簿'!$C$4=""),"",IF(B370&amp;""='経歴簿'!$C$4&amp;"",MAX($AG$4:AG369)+1,""))</f>
        <v/>
      </c>
      <c r="AH370" s="20">
        <f>IF(A370="",0,IF(AND(OR('CSV抽出'!$C$4="",A370&gt;='CSV抽出'!$C$4),OR('CSV抽出'!$C$5="",A370&lt;='CSV抽出'!$C$5),OR('CSV抽出'!$C$6="すべて",'CSV抽出'!$C$6="",D370='CSV抽出'!$C$6),OR('CSV抽出'!$C$7="",B370&amp;""='CSV抽出'!$C$7&amp;"")),1,0))</f>
        <v/>
      </c>
      <c r="AI370" s="20">
        <f>IF(AH370=1,SUM($AH$5:AH370),"")</f>
        <v/>
      </c>
      <c r="AJ370" s="20">
        <f>IF(OR(S370="",'報告書'!$C$4=""),"",IF(S370&amp;""='報告書'!$C$4&amp;"",COUNTIF($S$5:S370,'報告書'!$C$4),""))</f>
        <v/>
      </c>
      <c r="AK370" s="20" t="n"/>
      <c r="AL370" s="47" t="n"/>
      <c r="AM370" s="47" t="n"/>
      <c r="AN370" s="53" t="n"/>
      <c r="AO370" s="47" t="n"/>
      <c r="AP370" s="47" t="n"/>
      <c r="AQ370" s="47" t="n"/>
      <c r="AR370" s="47" t="n"/>
      <c r="AS370" s="47" t="n"/>
      <c r="AT370" s="47" t="n"/>
      <c r="AU370" s="47" t="n"/>
      <c r="AV370" s="47" t="n"/>
      <c r="AW370" s="52" t="n"/>
    </row>
    <row r="371">
      <c r="A371" s="48" t="n"/>
      <c r="B371" s="52" t="n"/>
      <c r="C371" s="47">
        <f>IF(B371="","",IFERROR(INDEX('隊員マスタ'!$B$5:$B$204,MATCH(B371&amp;"",'隊員マスタ'!$F$5:$F$204,0)),IF(AK371="","番号なし",AK371)))</f>
        <v/>
      </c>
      <c r="D371" s="47" t="n"/>
      <c r="E371" s="47" t="n"/>
      <c r="F371" s="47" t="n"/>
      <c r="G371" s="47" t="n"/>
      <c r="H371" s="47" t="n"/>
      <c r="I371" s="47" t="n"/>
      <c r="J371" s="47" t="n"/>
      <c r="K371" s="47" t="n"/>
      <c r="L371" s="47" t="n"/>
      <c r="M371" s="47" t="n"/>
      <c r="N371" s="47" t="n"/>
      <c r="O371" s="47" t="n"/>
      <c r="P371" s="47" t="n"/>
      <c r="Q371" s="47" t="n"/>
      <c r="R371" s="47" t="n"/>
      <c r="S371" s="47" t="n"/>
      <c r="T371" s="47" t="n"/>
      <c r="U371" s="53" t="n"/>
      <c r="V371" s="53" t="n"/>
      <c r="W371" s="47" t="n"/>
      <c r="X371" s="47" t="n"/>
      <c r="Y371" s="47" t="n"/>
      <c r="Z371" s="47" t="n"/>
      <c r="AA371" s="47" t="n"/>
      <c r="AB371" s="47" t="n"/>
      <c r="AC371" s="47" t="n"/>
      <c r="AD371" s="47" t="n"/>
      <c r="AE371" s="47" t="n"/>
      <c r="AF371" s="20">
        <f>IF(A371="","",YEAR(EDATE(A371,-3)))</f>
        <v/>
      </c>
      <c r="AG371" s="20">
        <f>IF(OR(B371="",'経歴簿'!$C$4=""),"",IF(B371&amp;""='経歴簿'!$C$4&amp;"",MAX($AG$4:AG370)+1,""))</f>
        <v/>
      </c>
      <c r="AH371" s="20">
        <f>IF(A371="",0,IF(AND(OR('CSV抽出'!$C$4="",A371&gt;='CSV抽出'!$C$4),OR('CSV抽出'!$C$5="",A371&lt;='CSV抽出'!$C$5),OR('CSV抽出'!$C$6="すべて",'CSV抽出'!$C$6="",D371='CSV抽出'!$C$6),OR('CSV抽出'!$C$7="",B371&amp;""='CSV抽出'!$C$7&amp;"")),1,0))</f>
        <v/>
      </c>
      <c r="AI371" s="20">
        <f>IF(AH371=1,SUM($AH$5:AH371),"")</f>
        <v/>
      </c>
      <c r="AJ371" s="20">
        <f>IF(OR(S371="",'報告書'!$C$4=""),"",IF(S371&amp;""='報告書'!$C$4&amp;"",COUNTIF($S$5:S371,'報告書'!$C$4),""))</f>
        <v/>
      </c>
      <c r="AK371" s="20" t="n"/>
      <c r="AL371" s="47" t="n"/>
      <c r="AM371" s="47" t="n"/>
      <c r="AN371" s="53" t="n"/>
      <c r="AO371" s="47" t="n"/>
      <c r="AP371" s="47" t="n"/>
      <c r="AQ371" s="47" t="n"/>
      <c r="AR371" s="47" t="n"/>
      <c r="AS371" s="47" t="n"/>
      <c r="AT371" s="47" t="n"/>
      <c r="AU371" s="47" t="n"/>
      <c r="AV371" s="47" t="n"/>
      <c r="AW371" s="52" t="n"/>
    </row>
    <row r="372">
      <c r="A372" s="48" t="n"/>
      <c r="B372" s="52" t="n"/>
      <c r="C372" s="47">
        <f>IF(B372="","",IFERROR(INDEX('隊員マスタ'!$B$5:$B$204,MATCH(B372&amp;"",'隊員マスタ'!$F$5:$F$204,0)),IF(AK372="","番号なし",AK372)))</f>
        <v/>
      </c>
      <c r="D372" s="47" t="n"/>
      <c r="E372" s="47" t="n"/>
      <c r="F372" s="47" t="n"/>
      <c r="G372" s="47" t="n"/>
      <c r="H372" s="47" t="n"/>
      <c r="I372" s="47" t="n"/>
      <c r="J372" s="47" t="n"/>
      <c r="K372" s="47" t="n"/>
      <c r="L372" s="47" t="n"/>
      <c r="M372" s="47" t="n"/>
      <c r="N372" s="47" t="n"/>
      <c r="O372" s="47" t="n"/>
      <c r="P372" s="47" t="n"/>
      <c r="Q372" s="47" t="n"/>
      <c r="R372" s="47" t="n"/>
      <c r="S372" s="47" t="n"/>
      <c r="T372" s="47" t="n"/>
      <c r="U372" s="53" t="n"/>
      <c r="V372" s="53" t="n"/>
      <c r="W372" s="47" t="n"/>
      <c r="X372" s="47" t="n"/>
      <c r="Y372" s="47" t="n"/>
      <c r="Z372" s="47" t="n"/>
      <c r="AA372" s="47" t="n"/>
      <c r="AB372" s="47" t="n"/>
      <c r="AC372" s="47" t="n"/>
      <c r="AD372" s="47" t="n"/>
      <c r="AE372" s="47" t="n"/>
      <c r="AF372" s="20">
        <f>IF(A372="","",YEAR(EDATE(A372,-3)))</f>
        <v/>
      </c>
      <c r="AG372" s="20">
        <f>IF(OR(B372="",'経歴簿'!$C$4=""),"",IF(B372&amp;""='経歴簿'!$C$4&amp;"",MAX($AG$4:AG371)+1,""))</f>
        <v/>
      </c>
      <c r="AH372" s="20">
        <f>IF(A372="",0,IF(AND(OR('CSV抽出'!$C$4="",A372&gt;='CSV抽出'!$C$4),OR('CSV抽出'!$C$5="",A372&lt;='CSV抽出'!$C$5),OR('CSV抽出'!$C$6="すべて",'CSV抽出'!$C$6="",D372='CSV抽出'!$C$6),OR('CSV抽出'!$C$7="",B372&amp;""='CSV抽出'!$C$7&amp;"")),1,0))</f>
        <v/>
      </c>
      <c r="AI372" s="20">
        <f>IF(AH372=1,SUM($AH$5:AH372),"")</f>
        <v/>
      </c>
      <c r="AJ372" s="20">
        <f>IF(OR(S372="",'報告書'!$C$4=""),"",IF(S372&amp;""='報告書'!$C$4&amp;"",COUNTIF($S$5:S372,'報告書'!$C$4),""))</f>
        <v/>
      </c>
      <c r="AK372" s="20" t="n"/>
      <c r="AL372" s="47" t="n"/>
      <c r="AM372" s="47" t="n"/>
      <c r="AN372" s="53" t="n"/>
      <c r="AO372" s="47" t="n"/>
      <c r="AP372" s="47" t="n"/>
      <c r="AQ372" s="47" t="n"/>
      <c r="AR372" s="47" t="n"/>
      <c r="AS372" s="47" t="n"/>
      <c r="AT372" s="47" t="n"/>
      <c r="AU372" s="47" t="n"/>
      <c r="AV372" s="47" t="n"/>
      <c r="AW372" s="52" t="n"/>
    </row>
    <row r="373">
      <c r="A373" s="48" t="n"/>
      <c r="B373" s="52" t="n"/>
      <c r="C373" s="47">
        <f>IF(B373="","",IFERROR(INDEX('隊員マスタ'!$B$5:$B$204,MATCH(B373&amp;"",'隊員マスタ'!$F$5:$F$204,0)),IF(AK373="","番号なし",AK373)))</f>
        <v/>
      </c>
      <c r="D373" s="47" t="n"/>
      <c r="E373" s="47" t="n"/>
      <c r="F373" s="47" t="n"/>
      <c r="G373" s="47" t="n"/>
      <c r="H373" s="47" t="n"/>
      <c r="I373" s="47" t="n"/>
      <c r="J373" s="47" t="n"/>
      <c r="K373" s="47" t="n"/>
      <c r="L373" s="47" t="n"/>
      <c r="M373" s="47" t="n"/>
      <c r="N373" s="47" t="n"/>
      <c r="O373" s="47" t="n"/>
      <c r="P373" s="47" t="n"/>
      <c r="Q373" s="47" t="n"/>
      <c r="R373" s="47" t="n"/>
      <c r="S373" s="47" t="n"/>
      <c r="T373" s="47" t="n"/>
      <c r="U373" s="53" t="n"/>
      <c r="V373" s="53" t="n"/>
      <c r="W373" s="47" t="n"/>
      <c r="X373" s="47" t="n"/>
      <c r="Y373" s="47" t="n"/>
      <c r="Z373" s="47" t="n"/>
      <c r="AA373" s="47" t="n"/>
      <c r="AB373" s="47" t="n"/>
      <c r="AC373" s="47" t="n"/>
      <c r="AD373" s="47" t="n"/>
      <c r="AE373" s="47" t="n"/>
      <c r="AF373" s="20">
        <f>IF(A373="","",YEAR(EDATE(A373,-3)))</f>
        <v/>
      </c>
      <c r="AG373" s="20">
        <f>IF(OR(B373="",'経歴簿'!$C$4=""),"",IF(B373&amp;""='経歴簿'!$C$4&amp;"",MAX($AG$4:AG372)+1,""))</f>
        <v/>
      </c>
      <c r="AH373" s="20">
        <f>IF(A373="",0,IF(AND(OR('CSV抽出'!$C$4="",A373&gt;='CSV抽出'!$C$4),OR('CSV抽出'!$C$5="",A373&lt;='CSV抽出'!$C$5),OR('CSV抽出'!$C$6="すべて",'CSV抽出'!$C$6="",D373='CSV抽出'!$C$6),OR('CSV抽出'!$C$7="",B373&amp;""='CSV抽出'!$C$7&amp;"")),1,0))</f>
        <v/>
      </c>
      <c r="AI373" s="20">
        <f>IF(AH373=1,SUM($AH$5:AH373),"")</f>
        <v/>
      </c>
      <c r="AJ373" s="20">
        <f>IF(OR(S373="",'報告書'!$C$4=""),"",IF(S373&amp;""='報告書'!$C$4&amp;"",COUNTIF($S$5:S373,'報告書'!$C$4),""))</f>
        <v/>
      </c>
      <c r="AK373" s="20" t="n"/>
      <c r="AL373" s="47" t="n"/>
      <c r="AM373" s="47" t="n"/>
      <c r="AN373" s="53" t="n"/>
      <c r="AO373" s="47" t="n"/>
      <c r="AP373" s="47" t="n"/>
      <c r="AQ373" s="47" t="n"/>
      <c r="AR373" s="47" t="n"/>
      <c r="AS373" s="47" t="n"/>
      <c r="AT373" s="47" t="n"/>
      <c r="AU373" s="47" t="n"/>
      <c r="AV373" s="47" t="n"/>
      <c r="AW373" s="52" t="n"/>
    </row>
    <row r="374">
      <c r="A374" s="48" t="n"/>
      <c r="B374" s="52" t="n"/>
      <c r="C374" s="47">
        <f>IF(B374="","",IFERROR(INDEX('隊員マスタ'!$B$5:$B$204,MATCH(B374&amp;"",'隊員マスタ'!$F$5:$F$204,0)),IF(AK374="","番号なし",AK374)))</f>
        <v/>
      </c>
      <c r="D374" s="47" t="n"/>
      <c r="E374" s="47" t="n"/>
      <c r="F374" s="47" t="n"/>
      <c r="G374" s="47" t="n"/>
      <c r="H374" s="47" t="n"/>
      <c r="I374" s="47" t="n"/>
      <c r="J374" s="47" t="n"/>
      <c r="K374" s="47" t="n"/>
      <c r="L374" s="47" t="n"/>
      <c r="M374" s="47" t="n"/>
      <c r="N374" s="47" t="n"/>
      <c r="O374" s="47" t="n"/>
      <c r="P374" s="47" t="n"/>
      <c r="Q374" s="47" t="n"/>
      <c r="R374" s="47" t="n"/>
      <c r="S374" s="47" t="n"/>
      <c r="T374" s="47" t="n"/>
      <c r="U374" s="53" t="n"/>
      <c r="V374" s="53" t="n"/>
      <c r="W374" s="47" t="n"/>
      <c r="X374" s="47" t="n"/>
      <c r="Y374" s="47" t="n"/>
      <c r="Z374" s="47" t="n"/>
      <c r="AA374" s="47" t="n"/>
      <c r="AB374" s="47" t="n"/>
      <c r="AC374" s="47" t="n"/>
      <c r="AD374" s="47" t="n"/>
      <c r="AE374" s="47" t="n"/>
      <c r="AF374" s="20">
        <f>IF(A374="","",YEAR(EDATE(A374,-3)))</f>
        <v/>
      </c>
      <c r="AG374" s="20">
        <f>IF(OR(B374="",'経歴簿'!$C$4=""),"",IF(B374&amp;""='経歴簿'!$C$4&amp;"",MAX($AG$4:AG373)+1,""))</f>
        <v/>
      </c>
      <c r="AH374" s="20">
        <f>IF(A374="",0,IF(AND(OR('CSV抽出'!$C$4="",A374&gt;='CSV抽出'!$C$4),OR('CSV抽出'!$C$5="",A374&lt;='CSV抽出'!$C$5),OR('CSV抽出'!$C$6="すべて",'CSV抽出'!$C$6="",D374='CSV抽出'!$C$6),OR('CSV抽出'!$C$7="",B374&amp;""='CSV抽出'!$C$7&amp;"")),1,0))</f>
        <v/>
      </c>
      <c r="AI374" s="20">
        <f>IF(AH374=1,SUM($AH$5:AH374),"")</f>
        <v/>
      </c>
      <c r="AJ374" s="20">
        <f>IF(OR(S374="",'報告書'!$C$4=""),"",IF(S374&amp;""='報告書'!$C$4&amp;"",COUNTIF($S$5:S374,'報告書'!$C$4),""))</f>
        <v/>
      </c>
      <c r="AK374" s="20" t="n"/>
      <c r="AL374" s="47" t="n"/>
      <c r="AM374" s="47" t="n"/>
      <c r="AN374" s="53" t="n"/>
      <c r="AO374" s="47" t="n"/>
      <c r="AP374" s="47" t="n"/>
      <c r="AQ374" s="47" t="n"/>
      <c r="AR374" s="47" t="n"/>
      <c r="AS374" s="47" t="n"/>
      <c r="AT374" s="47" t="n"/>
      <c r="AU374" s="47" t="n"/>
      <c r="AV374" s="47" t="n"/>
      <c r="AW374" s="52" t="n"/>
    </row>
    <row r="375">
      <c r="A375" s="48" t="n"/>
      <c r="B375" s="52" t="n"/>
      <c r="C375" s="47">
        <f>IF(B375="","",IFERROR(INDEX('隊員マスタ'!$B$5:$B$204,MATCH(B375&amp;"",'隊員マスタ'!$F$5:$F$204,0)),IF(AK375="","番号なし",AK375)))</f>
        <v/>
      </c>
      <c r="D375" s="47" t="n"/>
      <c r="E375" s="47" t="n"/>
      <c r="F375" s="47" t="n"/>
      <c r="G375" s="47" t="n"/>
      <c r="H375" s="47" t="n"/>
      <c r="I375" s="47" t="n"/>
      <c r="J375" s="47" t="n"/>
      <c r="K375" s="47" t="n"/>
      <c r="L375" s="47" t="n"/>
      <c r="M375" s="47" t="n"/>
      <c r="N375" s="47" t="n"/>
      <c r="O375" s="47" t="n"/>
      <c r="P375" s="47" t="n"/>
      <c r="Q375" s="47" t="n"/>
      <c r="R375" s="47" t="n"/>
      <c r="S375" s="47" t="n"/>
      <c r="T375" s="47" t="n"/>
      <c r="U375" s="53" t="n"/>
      <c r="V375" s="53" t="n"/>
      <c r="W375" s="47" t="n"/>
      <c r="X375" s="47" t="n"/>
      <c r="Y375" s="47" t="n"/>
      <c r="Z375" s="47" t="n"/>
      <c r="AA375" s="47" t="n"/>
      <c r="AB375" s="47" t="n"/>
      <c r="AC375" s="47" t="n"/>
      <c r="AD375" s="47" t="n"/>
      <c r="AE375" s="47" t="n"/>
      <c r="AF375" s="20">
        <f>IF(A375="","",YEAR(EDATE(A375,-3)))</f>
        <v/>
      </c>
      <c r="AG375" s="20">
        <f>IF(OR(B375="",'経歴簿'!$C$4=""),"",IF(B375&amp;""='経歴簿'!$C$4&amp;"",MAX($AG$4:AG374)+1,""))</f>
        <v/>
      </c>
      <c r="AH375" s="20">
        <f>IF(A375="",0,IF(AND(OR('CSV抽出'!$C$4="",A375&gt;='CSV抽出'!$C$4),OR('CSV抽出'!$C$5="",A375&lt;='CSV抽出'!$C$5),OR('CSV抽出'!$C$6="すべて",'CSV抽出'!$C$6="",D375='CSV抽出'!$C$6),OR('CSV抽出'!$C$7="",B375&amp;""='CSV抽出'!$C$7&amp;"")),1,0))</f>
        <v/>
      </c>
      <c r="AI375" s="20">
        <f>IF(AH375=1,SUM($AH$5:AH375),"")</f>
        <v/>
      </c>
      <c r="AJ375" s="20">
        <f>IF(OR(S375="",'報告書'!$C$4=""),"",IF(S375&amp;""='報告書'!$C$4&amp;"",COUNTIF($S$5:S375,'報告書'!$C$4),""))</f>
        <v/>
      </c>
      <c r="AK375" s="20" t="n"/>
      <c r="AL375" s="47" t="n"/>
      <c r="AM375" s="47" t="n"/>
      <c r="AN375" s="53" t="n"/>
      <c r="AO375" s="47" t="n"/>
      <c r="AP375" s="47" t="n"/>
      <c r="AQ375" s="47" t="n"/>
      <c r="AR375" s="47" t="n"/>
      <c r="AS375" s="47" t="n"/>
      <c r="AT375" s="47" t="n"/>
      <c r="AU375" s="47" t="n"/>
      <c r="AV375" s="47" t="n"/>
      <c r="AW375" s="52" t="n"/>
    </row>
    <row r="376">
      <c r="A376" s="48" t="n"/>
      <c r="B376" s="52" t="n"/>
      <c r="C376" s="47">
        <f>IF(B376="","",IFERROR(INDEX('隊員マスタ'!$B$5:$B$204,MATCH(B376&amp;"",'隊員マスタ'!$F$5:$F$204,0)),IF(AK376="","番号なし",AK376)))</f>
        <v/>
      </c>
      <c r="D376" s="47" t="n"/>
      <c r="E376" s="47" t="n"/>
      <c r="F376" s="47" t="n"/>
      <c r="G376" s="47" t="n"/>
      <c r="H376" s="47" t="n"/>
      <c r="I376" s="47" t="n"/>
      <c r="J376" s="47" t="n"/>
      <c r="K376" s="47" t="n"/>
      <c r="L376" s="47" t="n"/>
      <c r="M376" s="47" t="n"/>
      <c r="N376" s="47" t="n"/>
      <c r="O376" s="47" t="n"/>
      <c r="P376" s="47" t="n"/>
      <c r="Q376" s="47" t="n"/>
      <c r="R376" s="47" t="n"/>
      <c r="S376" s="47" t="n"/>
      <c r="T376" s="47" t="n"/>
      <c r="U376" s="53" t="n"/>
      <c r="V376" s="53" t="n"/>
      <c r="W376" s="47" t="n"/>
      <c r="X376" s="47" t="n"/>
      <c r="Y376" s="47" t="n"/>
      <c r="Z376" s="47" t="n"/>
      <c r="AA376" s="47" t="n"/>
      <c r="AB376" s="47" t="n"/>
      <c r="AC376" s="47" t="n"/>
      <c r="AD376" s="47" t="n"/>
      <c r="AE376" s="47" t="n"/>
      <c r="AF376" s="20">
        <f>IF(A376="","",YEAR(EDATE(A376,-3)))</f>
        <v/>
      </c>
      <c r="AG376" s="20">
        <f>IF(OR(B376="",'経歴簿'!$C$4=""),"",IF(B376&amp;""='経歴簿'!$C$4&amp;"",MAX($AG$4:AG375)+1,""))</f>
        <v/>
      </c>
      <c r="AH376" s="20">
        <f>IF(A376="",0,IF(AND(OR('CSV抽出'!$C$4="",A376&gt;='CSV抽出'!$C$4),OR('CSV抽出'!$C$5="",A376&lt;='CSV抽出'!$C$5),OR('CSV抽出'!$C$6="すべて",'CSV抽出'!$C$6="",D376='CSV抽出'!$C$6),OR('CSV抽出'!$C$7="",B376&amp;""='CSV抽出'!$C$7&amp;"")),1,0))</f>
        <v/>
      </c>
      <c r="AI376" s="20">
        <f>IF(AH376=1,SUM($AH$5:AH376),"")</f>
        <v/>
      </c>
      <c r="AJ376" s="20">
        <f>IF(OR(S376="",'報告書'!$C$4=""),"",IF(S376&amp;""='報告書'!$C$4&amp;"",COUNTIF($S$5:S376,'報告書'!$C$4),""))</f>
        <v/>
      </c>
      <c r="AK376" s="20" t="n"/>
      <c r="AL376" s="47" t="n"/>
      <c r="AM376" s="47" t="n"/>
      <c r="AN376" s="53" t="n"/>
      <c r="AO376" s="47" t="n"/>
      <c r="AP376" s="47" t="n"/>
      <c r="AQ376" s="47" t="n"/>
      <c r="AR376" s="47" t="n"/>
      <c r="AS376" s="47" t="n"/>
      <c r="AT376" s="47" t="n"/>
      <c r="AU376" s="47" t="n"/>
      <c r="AV376" s="47" t="n"/>
      <c r="AW376" s="52" t="n"/>
    </row>
    <row r="377">
      <c r="A377" s="48" t="n"/>
      <c r="B377" s="52" t="n"/>
      <c r="C377" s="47">
        <f>IF(B377="","",IFERROR(INDEX('隊員マスタ'!$B$5:$B$204,MATCH(B377&amp;"",'隊員マスタ'!$F$5:$F$204,0)),IF(AK377="","番号なし",AK377)))</f>
        <v/>
      </c>
      <c r="D377" s="47" t="n"/>
      <c r="E377" s="47" t="n"/>
      <c r="F377" s="47" t="n"/>
      <c r="G377" s="47" t="n"/>
      <c r="H377" s="47" t="n"/>
      <c r="I377" s="47" t="n"/>
      <c r="J377" s="47" t="n"/>
      <c r="K377" s="47" t="n"/>
      <c r="L377" s="47" t="n"/>
      <c r="M377" s="47" t="n"/>
      <c r="N377" s="47" t="n"/>
      <c r="O377" s="47" t="n"/>
      <c r="P377" s="47" t="n"/>
      <c r="Q377" s="47" t="n"/>
      <c r="R377" s="47" t="n"/>
      <c r="S377" s="47" t="n"/>
      <c r="T377" s="47" t="n"/>
      <c r="U377" s="53" t="n"/>
      <c r="V377" s="53" t="n"/>
      <c r="W377" s="47" t="n"/>
      <c r="X377" s="47" t="n"/>
      <c r="Y377" s="47" t="n"/>
      <c r="Z377" s="47" t="n"/>
      <c r="AA377" s="47" t="n"/>
      <c r="AB377" s="47" t="n"/>
      <c r="AC377" s="47" t="n"/>
      <c r="AD377" s="47" t="n"/>
      <c r="AE377" s="47" t="n"/>
      <c r="AF377" s="20">
        <f>IF(A377="","",YEAR(EDATE(A377,-3)))</f>
        <v/>
      </c>
      <c r="AG377" s="20">
        <f>IF(OR(B377="",'経歴簿'!$C$4=""),"",IF(B377&amp;""='経歴簿'!$C$4&amp;"",MAX($AG$4:AG376)+1,""))</f>
        <v/>
      </c>
      <c r="AH377" s="20">
        <f>IF(A377="",0,IF(AND(OR('CSV抽出'!$C$4="",A377&gt;='CSV抽出'!$C$4),OR('CSV抽出'!$C$5="",A377&lt;='CSV抽出'!$C$5),OR('CSV抽出'!$C$6="すべて",'CSV抽出'!$C$6="",D377='CSV抽出'!$C$6),OR('CSV抽出'!$C$7="",B377&amp;""='CSV抽出'!$C$7&amp;"")),1,0))</f>
        <v/>
      </c>
      <c r="AI377" s="20">
        <f>IF(AH377=1,SUM($AH$5:AH377),"")</f>
        <v/>
      </c>
      <c r="AJ377" s="20">
        <f>IF(OR(S377="",'報告書'!$C$4=""),"",IF(S377&amp;""='報告書'!$C$4&amp;"",COUNTIF($S$5:S377,'報告書'!$C$4),""))</f>
        <v/>
      </c>
      <c r="AK377" s="20" t="n"/>
      <c r="AL377" s="47" t="n"/>
      <c r="AM377" s="47" t="n"/>
      <c r="AN377" s="53" t="n"/>
      <c r="AO377" s="47" t="n"/>
      <c r="AP377" s="47" t="n"/>
      <c r="AQ377" s="47" t="n"/>
      <c r="AR377" s="47" t="n"/>
      <c r="AS377" s="47" t="n"/>
      <c r="AT377" s="47" t="n"/>
      <c r="AU377" s="47" t="n"/>
      <c r="AV377" s="47" t="n"/>
      <c r="AW377" s="52" t="n"/>
    </row>
    <row r="378">
      <c r="A378" s="48" t="n"/>
      <c r="B378" s="52" t="n"/>
      <c r="C378" s="47">
        <f>IF(B378="","",IFERROR(INDEX('隊員マスタ'!$B$5:$B$204,MATCH(B378&amp;"",'隊員マスタ'!$F$5:$F$204,0)),IF(AK378="","番号なし",AK378)))</f>
        <v/>
      </c>
      <c r="D378" s="47" t="n"/>
      <c r="E378" s="47" t="n"/>
      <c r="F378" s="47" t="n"/>
      <c r="G378" s="47" t="n"/>
      <c r="H378" s="47" t="n"/>
      <c r="I378" s="47" t="n"/>
      <c r="J378" s="47" t="n"/>
      <c r="K378" s="47" t="n"/>
      <c r="L378" s="47" t="n"/>
      <c r="M378" s="47" t="n"/>
      <c r="N378" s="47" t="n"/>
      <c r="O378" s="47" t="n"/>
      <c r="P378" s="47" t="n"/>
      <c r="Q378" s="47" t="n"/>
      <c r="R378" s="47" t="n"/>
      <c r="S378" s="47" t="n"/>
      <c r="T378" s="47" t="n"/>
      <c r="U378" s="53" t="n"/>
      <c r="V378" s="53" t="n"/>
      <c r="W378" s="47" t="n"/>
      <c r="X378" s="47" t="n"/>
      <c r="Y378" s="47" t="n"/>
      <c r="Z378" s="47" t="n"/>
      <c r="AA378" s="47" t="n"/>
      <c r="AB378" s="47" t="n"/>
      <c r="AC378" s="47" t="n"/>
      <c r="AD378" s="47" t="n"/>
      <c r="AE378" s="47" t="n"/>
      <c r="AF378" s="20">
        <f>IF(A378="","",YEAR(EDATE(A378,-3)))</f>
        <v/>
      </c>
      <c r="AG378" s="20">
        <f>IF(OR(B378="",'経歴簿'!$C$4=""),"",IF(B378&amp;""='経歴簿'!$C$4&amp;"",MAX($AG$4:AG377)+1,""))</f>
        <v/>
      </c>
      <c r="AH378" s="20">
        <f>IF(A378="",0,IF(AND(OR('CSV抽出'!$C$4="",A378&gt;='CSV抽出'!$C$4),OR('CSV抽出'!$C$5="",A378&lt;='CSV抽出'!$C$5),OR('CSV抽出'!$C$6="すべて",'CSV抽出'!$C$6="",D378='CSV抽出'!$C$6),OR('CSV抽出'!$C$7="",B378&amp;""='CSV抽出'!$C$7&amp;"")),1,0))</f>
        <v/>
      </c>
      <c r="AI378" s="20">
        <f>IF(AH378=1,SUM($AH$5:AH378),"")</f>
        <v/>
      </c>
      <c r="AJ378" s="20">
        <f>IF(OR(S378="",'報告書'!$C$4=""),"",IF(S378&amp;""='報告書'!$C$4&amp;"",COUNTIF($S$5:S378,'報告書'!$C$4),""))</f>
        <v/>
      </c>
      <c r="AK378" s="20" t="n"/>
      <c r="AL378" s="47" t="n"/>
      <c r="AM378" s="47" t="n"/>
      <c r="AN378" s="53" t="n"/>
      <c r="AO378" s="47" t="n"/>
      <c r="AP378" s="47" t="n"/>
      <c r="AQ378" s="47" t="n"/>
      <c r="AR378" s="47" t="n"/>
      <c r="AS378" s="47" t="n"/>
      <c r="AT378" s="47" t="n"/>
      <c r="AU378" s="47" t="n"/>
      <c r="AV378" s="47" t="n"/>
      <c r="AW378" s="52" t="n"/>
    </row>
    <row r="379">
      <c r="A379" s="48" t="n"/>
      <c r="B379" s="52" t="n"/>
      <c r="C379" s="47">
        <f>IF(B379="","",IFERROR(INDEX('隊員マスタ'!$B$5:$B$204,MATCH(B379&amp;"",'隊員マスタ'!$F$5:$F$204,0)),IF(AK379="","番号なし",AK379)))</f>
        <v/>
      </c>
      <c r="D379" s="47" t="n"/>
      <c r="E379" s="47" t="n"/>
      <c r="F379" s="47" t="n"/>
      <c r="G379" s="47" t="n"/>
      <c r="H379" s="47" t="n"/>
      <c r="I379" s="47" t="n"/>
      <c r="J379" s="47" t="n"/>
      <c r="K379" s="47" t="n"/>
      <c r="L379" s="47" t="n"/>
      <c r="M379" s="47" t="n"/>
      <c r="N379" s="47" t="n"/>
      <c r="O379" s="47" t="n"/>
      <c r="P379" s="47" t="n"/>
      <c r="Q379" s="47" t="n"/>
      <c r="R379" s="47" t="n"/>
      <c r="S379" s="47" t="n"/>
      <c r="T379" s="47" t="n"/>
      <c r="U379" s="53" t="n"/>
      <c r="V379" s="53" t="n"/>
      <c r="W379" s="47" t="n"/>
      <c r="X379" s="47" t="n"/>
      <c r="Y379" s="47" t="n"/>
      <c r="Z379" s="47" t="n"/>
      <c r="AA379" s="47" t="n"/>
      <c r="AB379" s="47" t="n"/>
      <c r="AC379" s="47" t="n"/>
      <c r="AD379" s="47" t="n"/>
      <c r="AE379" s="47" t="n"/>
      <c r="AF379" s="20">
        <f>IF(A379="","",YEAR(EDATE(A379,-3)))</f>
        <v/>
      </c>
      <c r="AG379" s="20">
        <f>IF(OR(B379="",'経歴簿'!$C$4=""),"",IF(B379&amp;""='経歴簿'!$C$4&amp;"",MAX($AG$4:AG378)+1,""))</f>
        <v/>
      </c>
      <c r="AH379" s="20">
        <f>IF(A379="",0,IF(AND(OR('CSV抽出'!$C$4="",A379&gt;='CSV抽出'!$C$4),OR('CSV抽出'!$C$5="",A379&lt;='CSV抽出'!$C$5),OR('CSV抽出'!$C$6="すべて",'CSV抽出'!$C$6="",D379='CSV抽出'!$C$6),OR('CSV抽出'!$C$7="",B379&amp;""='CSV抽出'!$C$7&amp;"")),1,0))</f>
        <v/>
      </c>
      <c r="AI379" s="20">
        <f>IF(AH379=1,SUM($AH$5:AH379),"")</f>
        <v/>
      </c>
      <c r="AJ379" s="20">
        <f>IF(OR(S379="",'報告書'!$C$4=""),"",IF(S379&amp;""='報告書'!$C$4&amp;"",COUNTIF($S$5:S379,'報告書'!$C$4),""))</f>
        <v/>
      </c>
      <c r="AK379" s="20" t="n"/>
      <c r="AL379" s="47" t="n"/>
      <c r="AM379" s="47" t="n"/>
      <c r="AN379" s="53" t="n"/>
      <c r="AO379" s="47" t="n"/>
      <c r="AP379" s="47" t="n"/>
      <c r="AQ379" s="47" t="n"/>
      <c r="AR379" s="47" t="n"/>
      <c r="AS379" s="47" t="n"/>
      <c r="AT379" s="47" t="n"/>
      <c r="AU379" s="47" t="n"/>
      <c r="AV379" s="47" t="n"/>
      <c r="AW379" s="52" t="n"/>
    </row>
    <row r="380">
      <c r="A380" s="48" t="n"/>
      <c r="B380" s="52" t="n"/>
      <c r="C380" s="47">
        <f>IF(B380="","",IFERROR(INDEX('隊員マスタ'!$B$5:$B$204,MATCH(B380&amp;"",'隊員マスタ'!$F$5:$F$204,0)),IF(AK380="","番号なし",AK380)))</f>
        <v/>
      </c>
      <c r="D380" s="47" t="n"/>
      <c r="E380" s="47" t="n"/>
      <c r="F380" s="47" t="n"/>
      <c r="G380" s="47" t="n"/>
      <c r="H380" s="47" t="n"/>
      <c r="I380" s="47" t="n"/>
      <c r="J380" s="47" t="n"/>
      <c r="K380" s="47" t="n"/>
      <c r="L380" s="47" t="n"/>
      <c r="M380" s="47" t="n"/>
      <c r="N380" s="47" t="n"/>
      <c r="O380" s="47" t="n"/>
      <c r="P380" s="47" t="n"/>
      <c r="Q380" s="47" t="n"/>
      <c r="R380" s="47" t="n"/>
      <c r="S380" s="47" t="n"/>
      <c r="T380" s="47" t="n"/>
      <c r="U380" s="53" t="n"/>
      <c r="V380" s="53" t="n"/>
      <c r="W380" s="47" t="n"/>
      <c r="X380" s="47" t="n"/>
      <c r="Y380" s="47" t="n"/>
      <c r="Z380" s="47" t="n"/>
      <c r="AA380" s="47" t="n"/>
      <c r="AB380" s="47" t="n"/>
      <c r="AC380" s="47" t="n"/>
      <c r="AD380" s="47" t="n"/>
      <c r="AE380" s="47" t="n"/>
      <c r="AF380" s="20">
        <f>IF(A380="","",YEAR(EDATE(A380,-3)))</f>
        <v/>
      </c>
      <c r="AG380" s="20">
        <f>IF(OR(B380="",'経歴簿'!$C$4=""),"",IF(B380&amp;""='経歴簿'!$C$4&amp;"",MAX($AG$4:AG379)+1,""))</f>
        <v/>
      </c>
      <c r="AH380" s="20">
        <f>IF(A380="",0,IF(AND(OR('CSV抽出'!$C$4="",A380&gt;='CSV抽出'!$C$4),OR('CSV抽出'!$C$5="",A380&lt;='CSV抽出'!$C$5),OR('CSV抽出'!$C$6="すべて",'CSV抽出'!$C$6="",D380='CSV抽出'!$C$6),OR('CSV抽出'!$C$7="",B380&amp;""='CSV抽出'!$C$7&amp;"")),1,0))</f>
        <v/>
      </c>
      <c r="AI380" s="20">
        <f>IF(AH380=1,SUM($AH$5:AH380),"")</f>
        <v/>
      </c>
      <c r="AJ380" s="20">
        <f>IF(OR(S380="",'報告書'!$C$4=""),"",IF(S380&amp;""='報告書'!$C$4&amp;"",COUNTIF($S$5:S380,'報告書'!$C$4),""))</f>
        <v/>
      </c>
      <c r="AK380" s="20" t="n"/>
      <c r="AL380" s="47" t="n"/>
      <c r="AM380" s="47" t="n"/>
      <c r="AN380" s="53" t="n"/>
      <c r="AO380" s="47" t="n"/>
      <c r="AP380" s="47" t="n"/>
      <c r="AQ380" s="47" t="n"/>
      <c r="AR380" s="47" t="n"/>
      <c r="AS380" s="47" t="n"/>
      <c r="AT380" s="47" t="n"/>
      <c r="AU380" s="47" t="n"/>
      <c r="AV380" s="47" t="n"/>
      <c r="AW380" s="52" t="n"/>
    </row>
    <row r="381">
      <c r="A381" s="48" t="n"/>
      <c r="B381" s="52" t="n"/>
      <c r="C381" s="47">
        <f>IF(B381="","",IFERROR(INDEX('隊員マスタ'!$B$5:$B$204,MATCH(B381&amp;"",'隊員マスタ'!$F$5:$F$204,0)),IF(AK381="","番号なし",AK381)))</f>
        <v/>
      </c>
      <c r="D381" s="47" t="n"/>
      <c r="E381" s="47" t="n"/>
      <c r="F381" s="47" t="n"/>
      <c r="G381" s="47" t="n"/>
      <c r="H381" s="47" t="n"/>
      <c r="I381" s="47" t="n"/>
      <c r="J381" s="47" t="n"/>
      <c r="K381" s="47" t="n"/>
      <c r="L381" s="47" t="n"/>
      <c r="M381" s="47" t="n"/>
      <c r="N381" s="47" t="n"/>
      <c r="O381" s="47" t="n"/>
      <c r="P381" s="47" t="n"/>
      <c r="Q381" s="47" t="n"/>
      <c r="R381" s="47" t="n"/>
      <c r="S381" s="47" t="n"/>
      <c r="T381" s="47" t="n"/>
      <c r="U381" s="53" t="n"/>
      <c r="V381" s="53" t="n"/>
      <c r="W381" s="47" t="n"/>
      <c r="X381" s="47" t="n"/>
      <c r="Y381" s="47" t="n"/>
      <c r="Z381" s="47" t="n"/>
      <c r="AA381" s="47" t="n"/>
      <c r="AB381" s="47" t="n"/>
      <c r="AC381" s="47" t="n"/>
      <c r="AD381" s="47" t="n"/>
      <c r="AE381" s="47" t="n"/>
      <c r="AF381" s="20">
        <f>IF(A381="","",YEAR(EDATE(A381,-3)))</f>
        <v/>
      </c>
      <c r="AG381" s="20">
        <f>IF(OR(B381="",'経歴簿'!$C$4=""),"",IF(B381&amp;""='経歴簿'!$C$4&amp;"",MAX($AG$4:AG380)+1,""))</f>
        <v/>
      </c>
      <c r="AH381" s="20">
        <f>IF(A381="",0,IF(AND(OR('CSV抽出'!$C$4="",A381&gt;='CSV抽出'!$C$4),OR('CSV抽出'!$C$5="",A381&lt;='CSV抽出'!$C$5),OR('CSV抽出'!$C$6="すべて",'CSV抽出'!$C$6="",D381='CSV抽出'!$C$6),OR('CSV抽出'!$C$7="",B381&amp;""='CSV抽出'!$C$7&amp;"")),1,0))</f>
        <v/>
      </c>
      <c r="AI381" s="20">
        <f>IF(AH381=1,SUM($AH$5:AH381),"")</f>
        <v/>
      </c>
      <c r="AJ381" s="20">
        <f>IF(OR(S381="",'報告書'!$C$4=""),"",IF(S381&amp;""='報告書'!$C$4&amp;"",COUNTIF($S$5:S381,'報告書'!$C$4),""))</f>
        <v/>
      </c>
      <c r="AK381" s="20" t="n"/>
      <c r="AL381" s="47" t="n"/>
      <c r="AM381" s="47" t="n"/>
      <c r="AN381" s="53" t="n"/>
      <c r="AO381" s="47" t="n"/>
      <c r="AP381" s="47" t="n"/>
      <c r="AQ381" s="47" t="n"/>
      <c r="AR381" s="47" t="n"/>
      <c r="AS381" s="47" t="n"/>
      <c r="AT381" s="47" t="n"/>
      <c r="AU381" s="47" t="n"/>
      <c r="AV381" s="47" t="n"/>
      <c r="AW381" s="52" t="n"/>
    </row>
    <row r="382">
      <c r="A382" s="48" t="n"/>
      <c r="B382" s="52" t="n"/>
      <c r="C382" s="47">
        <f>IF(B382="","",IFERROR(INDEX('隊員マスタ'!$B$5:$B$204,MATCH(B382&amp;"",'隊員マスタ'!$F$5:$F$204,0)),IF(AK382="","番号なし",AK382)))</f>
        <v/>
      </c>
      <c r="D382" s="47" t="n"/>
      <c r="E382" s="47" t="n"/>
      <c r="F382" s="47" t="n"/>
      <c r="G382" s="47" t="n"/>
      <c r="H382" s="47" t="n"/>
      <c r="I382" s="47" t="n"/>
      <c r="J382" s="47" t="n"/>
      <c r="K382" s="47" t="n"/>
      <c r="L382" s="47" t="n"/>
      <c r="M382" s="47" t="n"/>
      <c r="N382" s="47" t="n"/>
      <c r="O382" s="47" t="n"/>
      <c r="P382" s="47" t="n"/>
      <c r="Q382" s="47" t="n"/>
      <c r="R382" s="47" t="n"/>
      <c r="S382" s="47" t="n"/>
      <c r="T382" s="47" t="n"/>
      <c r="U382" s="53" t="n"/>
      <c r="V382" s="53" t="n"/>
      <c r="W382" s="47" t="n"/>
      <c r="X382" s="47" t="n"/>
      <c r="Y382" s="47" t="n"/>
      <c r="Z382" s="47" t="n"/>
      <c r="AA382" s="47" t="n"/>
      <c r="AB382" s="47" t="n"/>
      <c r="AC382" s="47" t="n"/>
      <c r="AD382" s="47" t="n"/>
      <c r="AE382" s="47" t="n"/>
      <c r="AF382" s="20">
        <f>IF(A382="","",YEAR(EDATE(A382,-3)))</f>
        <v/>
      </c>
      <c r="AG382" s="20">
        <f>IF(OR(B382="",'経歴簿'!$C$4=""),"",IF(B382&amp;""='経歴簿'!$C$4&amp;"",MAX($AG$4:AG381)+1,""))</f>
        <v/>
      </c>
      <c r="AH382" s="20">
        <f>IF(A382="",0,IF(AND(OR('CSV抽出'!$C$4="",A382&gt;='CSV抽出'!$C$4),OR('CSV抽出'!$C$5="",A382&lt;='CSV抽出'!$C$5),OR('CSV抽出'!$C$6="すべて",'CSV抽出'!$C$6="",D382='CSV抽出'!$C$6),OR('CSV抽出'!$C$7="",B382&amp;""='CSV抽出'!$C$7&amp;"")),1,0))</f>
        <v/>
      </c>
      <c r="AI382" s="20">
        <f>IF(AH382=1,SUM($AH$5:AH382),"")</f>
        <v/>
      </c>
      <c r="AJ382" s="20">
        <f>IF(OR(S382="",'報告書'!$C$4=""),"",IF(S382&amp;""='報告書'!$C$4&amp;"",COUNTIF($S$5:S382,'報告書'!$C$4),""))</f>
        <v/>
      </c>
      <c r="AK382" s="20" t="n"/>
      <c r="AL382" s="47" t="n"/>
      <c r="AM382" s="47" t="n"/>
      <c r="AN382" s="53" t="n"/>
      <c r="AO382" s="47" t="n"/>
      <c r="AP382" s="47" t="n"/>
      <c r="AQ382" s="47" t="n"/>
      <c r="AR382" s="47" t="n"/>
      <c r="AS382" s="47" t="n"/>
      <c r="AT382" s="47" t="n"/>
      <c r="AU382" s="47" t="n"/>
      <c r="AV382" s="47" t="n"/>
      <c r="AW382" s="52" t="n"/>
    </row>
    <row r="383">
      <c r="A383" s="48" t="n"/>
      <c r="B383" s="52" t="n"/>
      <c r="C383" s="47">
        <f>IF(B383="","",IFERROR(INDEX('隊員マスタ'!$B$5:$B$204,MATCH(B383&amp;"",'隊員マスタ'!$F$5:$F$204,0)),IF(AK383="","番号なし",AK383)))</f>
        <v/>
      </c>
      <c r="D383" s="47" t="n"/>
      <c r="E383" s="47" t="n"/>
      <c r="F383" s="47" t="n"/>
      <c r="G383" s="47" t="n"/>
      <c r="H383" s="47" t="n"/>
      <c r="I383" s="47" t="n"/>
      <c r="J383" s="47" t="n"/>
      <c r="K383" s="47" t="n"/>
      <c r="L383" s="47" t="n"/>
      <c r="M383" s="47" t="n"/>
      <c r="N383" s="47" t="n"/>
      <c r="O383" s="47" t="n"/>
      <c r="P383" s="47" t="n"/>
      <c r="Q383" s="47" t="n"/>
      <c r="R383" s="47" t="n"/>
      <c r="S383" s="47" t="n"/>
      <c r="T383" s="47" t="n"/>
      <c r="U383" s="53" t="n"/>
      <c r="V383" s="53" t="n"/>
      <c r="W383" s="47" t="n"/>
      <c r="X383" s="47" t="n"/>
      <c r="Y383" s="47" t="n"/>
      <c r="Z383" s="47" t="n"/>
      <c r="AA383" s="47" t="n"/>
      <c r="AB383" s="47" t="n"/>
      <c r="AC383" s="47" t="n"/>
      <c r="AD383" s="47" t="n"/>
      <c r="AE383" s="47" t="n"/>
      <c r="AF383" s="20">
        <f>IF(A383="","",YEAR(EDATE(A383,-3)))</f>
        <v/>
      </c>
      <c r="AG383" s="20">
        <f>IF(OR(B383="",'経歴簿'!$C$4=""),"",IF(B383&amp;""='経歴簿'!$C$4&amp;"",MAX($AG$4:AG382)+1,""))</f>
        <v/>
      </c>
      <c r="AH383" s="20">
        <f>IF(A383="",0,IF(AND(OR('CSV抽出'!$C$4="",A383&gt;='CSV抽出'!$C$4),OR('CSV抽出'!$C$5="",A383&lt;='CSV抽出'!$C$5),OR('CSV抽出'!$C$6="すべて",'CSV抽出'!$C$6="",D383='CSV抽出'!$C$6),OR('CSV抽出'!$C$7="",B383&amp;""='CSV抽出'!$C$7&amp;"")),1,0))</f>
        <v/>
      </c>
      <c r="AI383" s="20">
        <f>IF(AH383=1,SUM($AH$5:AH383),"")</f>
        <v/>
      </c>
      <c r="AJ383" s="20">
        <f>IF(OR(S383="",'報告書'!$C$4=""),"",IF(S383&amp;""='報告書'!$C$4&amp;"",COUNTIF($S$5:S383,'報告書'!$C$4),""))</f>
        <v/>
      </c>
      <c r="AK383" s="20" t="n"/>
      <c r="AL383" s="47" t="n"/>
      <c r="AM383" s="47" t="n"/>
      <c r="AN383" s="53" t="n"/>
      <c r="AO383" s="47" t="n"/>
      <c r="AP383" s="47" t="n"/>
      <c r="AQ383" s="47" t="n"/>
      <c r="AR383" s="47" t="n"/>
      <c r="AS383" s="47" t="n"/>
      <c r="AT383" s="47" t="n"/>
      <c r="AU383" s="47" t="n"/>
      <c r="AV383" s="47" t="n"/>
      <c r="AW383" s="52" t="n"/>
    </row>
    <row r="384">
      <c r="A384" s="48" t="n"/>
      <c r="B384" s="52" t="n"/>
      <c r="C384" s="47">
        <f>IF(B384="","",IFERROR(INDEX('隊員マスタ'!$B$5:$B$204,MATCH(B384&amp;"",'隊員マスタ'!$F$5:$F$204,0)),IF(AK384="","番号なし",AK384)))</f>
        <v/>
      </c>
      <c r="D384" s="47" t="n"/>
      <c r="E384" s="47" t="n"/>
      <c r="F384" s="47" t="n"/>
      <c r="G384" s="47" t="n"/>
      <c r="H384" s="47" t="n"/>
      <c r="I384" s="47" t="n"/>
      <c r="J384" s="47" t="n"/>
      <c r="K384" s="47" t="n"/>
      <c r="L384" s="47" t="n"/>
      <c r="M384" s="47" t="n"/>
      <c r="N384" s="47" t="n"/>
      <c r="O384" s="47" t="n"/>
      <c r="P384" s="47" t="n"/>
      <c r="Q384" s="47" t="n"/>
      <c r="R384" s="47" t="n"/>
      <c r="S384" s="47" t="n"/>
      <c r="T384" s="47" t="n"/>
      <c r="U384" s="53" t="n"/>
      <c r="V384" s="53" t="n"/>
      <c r="W384" s="47" t="n"/>
      <c r="X384" s="47" t="n"/>
      <c r="Y384" s="47" t="n"/>
      <c r="Z384" s="47" t="n"/>
      <c r="AA384" s="47" t="n"/>
      <c r="AB384" s="47" t="n"/>
      <c r="AC384" s="47" t="n"/>
      <c r="AD384" s="47" t="n"/>
      <c r="AE384" s="47" t="n"/>
      <c r="AF384" s="20">
        <f>IF(A384="","",YEAR(EDATE(A384,-3)))</f>
        <v/>
      </c>
      <c r="AG384" s="20">
        <f>IF(OR(B384="",'経歴簿'!$C$4=""),"",IF(B384&amp;""='経歴簿'!$C$4&amp;"",MAX($AG$4:AG383)+1,""))</f>
        <v/>
      </c>
      <c r="AH384" s="20">
        <f>IF(A384="",0,IF(AND(OR('CSV抽出'!$C$4="",A384&gt;='CSV抽出'!$C$4),OR('CSV抽出'!$C$5="",A384&lt;='CSV抽出'!$C$5),OR('CSV抽出'!$C$6="すべて",'CSV抽出'!$C$6="",D384='CSV抽出'!$C$6),OR('CSV抽出'!$C$7="",B384&amp;""='CSV抽出'!$C$7&amp;"")),1,0))</f>
        <v/>
      </c>
      <c r="AI384" s="20">
        <f>IF(AH384=1,SUM($AH$5:AH384),"")</f>
        <v/>
      </c>
      <c r="AJ384" s="20">
        <f>IF(OR(S384="",'報告書'!$C$4=""),"",IF(S384&amp;""='報告書'!$C$4&amp;"",COUNTIF($S$5:S384,'報告書'!$C$4),""))</f>
        <v/>
      </c>
      <c r="AK384" s="20" t="n"/>
      <c r="AL384" s="47" t="n"/>
      <c r="AM384" s="47" t="n"/>
      <c r="AN384" s="53" t="n"/>
      <c r="AO384" s="47" t="n"/>
      <c r="AP384" s="47" t="n"/>
      <c r="AQ384" s="47" t="n"/>
      <c r="AR384" s="47" t="n"/>
      <c r="AS384" s="47" t="n"/>
      <c r="AT384" s="47" t="n"/>
      <c r="AU384" s="47" t="n"/>
      <c r="AV384" s="47" t="n"/>
      <c r="AW384" s="52" t="n"/>
    </row>
    <row r="385">
      <c r="A385" s="48" t="n"/>
      <c r="B385" s="52" t="n"/>
      <c r="C385" s="47">
        <f>IF(B385="","",IFERROR(INDEX('隊員マスタ'!$B$5:$B$204,MATCH(B385&amp;"",'隊員マスタ'!$F$5:$F$204,0)),IF(AK385="","番号なし",AK385)))</f>
        <v/>
      </c>
      <c r="D385" s="47" t="n"/>
      <c r="E385" s="47" t="n"/>
      <c r="F385" s="47" t="n"/>
      <c r="G385" s="47" t="n"/>
      <c r="H385" s="47" t="n"/>
      <c r="I385" s="47" t="n"/>
      <c r="J385" s="47" t="n"/>
      <c r="K385" s="47" t="n"/>
      <c r="L385" s="47" t="n"/>
      <c r="M385" s="47" t="n"/>
      <c r="N385" s="47" t="n"/>
      <c r="O385" s="47" t="n"/>
      <c r="P385" s="47" t="n"/>
      <c r="Q385" s="47" t="n"/>
      <c r="R385" s="47" t="n"/>
      <c r="S385" s="47" t="n"/>
      <c r="T385" s="47" t="n"/>
      <c r="U385" s="53" t="n"/>
      <c r="V385" s="53" t="n"/>
      <c r="W385" s="47" t="n"/>
      <c r="X385" s="47" t="n"/>
      <c r="Y385" s="47" t="n"/>
      <c r="Z385" s="47" t="n"/>
      <c r="AA385" s="47" t="n"/>
      <c r="AB385" s="47" t="n"/>
      <c r="AC385" s="47" t="n"/>
      <c r="AD385" s="47" t="n"/>
      <c r="AE385" s="47" t="n"/>
      <c r="AF385" s="20">
        <f>IF(A385="","",YEAR(EDATE(A385,-3)))</f>
        <v/>
      </c>
      <c r="AG385" s="20">
        <f>IF(OR(B385="",'経歴簿'!$C$4=""),"",IF(B385&amp;""='経歴簿'!$C$4&amp;"",MAX($AG$4:AG384)+1,""))</f>
        <v/>
      </c>
      <c r="AH385" s="20">
        <f>IF(A385="",0,IF(AND(OR('CSV抽出'!$C$4="",A385&gt;='CSV抽出'!$C$4),OR('CSV抽出'!$C$5="",A385&lt;='CSV抽出'!$C$5),OR('CSV抽出'!$C$6="すべて",'CSV抽出'!$C$6="",D385='CSV抽出'!$C$6),OR('CSV抽出'!$C$7="",B385&amp;""='CSV抽出'!$C$7&amp;"")),1,0))</f>
        <v/>
      </c>
      <c r="AI385" s="20">
        <f>IF(AH385=1,SUM($AH$5:AH385),"")</f>
        <v/>
      </c>
      <c r="AJ385" s="20">
        <f>IF(OR(S385="",'報告書'!$C$4=""),"",IF(S385&amp;""='報告書'!$C$4&amp;"",COUNTIF($S$5:S385,'報告書'!$C$4),""))</f>
        <v/>
      </c>
      <c r="AK385" s="20" t="n"/>
      <c r="AL385" s="47" t="n"/>
      <c r="AM385" s="47" t="n"/>
      <c r="AN385" s="53" t="n"/>
      <c r="AO385" s="47" t="n"/>
      <c r="AP385" s="47" t="n"/>
      <c r="AQ385" s="47" t="n"/>
      <c r="AR385" s="47" t="n"/>
      <c r="AS385" s="47" t="n"/>
      <c r="AT385" s="47" t="n"/>
      <c r="AU385" s="47" t="n"/>
      <c r="AV385" s="47" t="n"/>
      <c r="AW385" s="52" t="n"/>
    </row>
    <row r="386">
      <c r="A386" s="48" t="n"/>
      <c r="B386" s="52" t="n"/>
      <c r="C386" s="47">
        <f>IF(B386="","",IFERROR(INDEX('隊員マスタ'!$B$5:$B$204,MATCH(B386&amp;"",'隊員マスタ'!$F$5:$F$204,0)),IF(AK386="","番号なし",AK386)))</f>
        <v/>
      </c>
      <c r="D386" s="47" t="n"/>
      <c r="E386" s="47" t="n"/>
      <c r="F386" s="47" t="n"/>
      <c r="G386" s="47" t="n"/>
      <c r="H386" s="47" t="n"/>
      <c r="I386" s="47" t="n"/>
      <c r="J386" s="47" t="n"/>
      <c r="K386" s="47" t="n"/>
      <c r="L386" s="47" t="n"/>
      <c r="M386" s="47" t="n"/>
      <c r="N386" s="47" t="n"/>
      <c r="O386" s="47" t="n"/>
      <c r="P386" s="47" t="n"/>
      <c r="Q386" s="47" t="n"/>
      <c r="R386" s="47" t="n"/>
      <c r="S386" s="47" t="n"/>
      <c r="T386" s="47" t="n"/>
      <c r="U386" s="53" t="n"/>
      <c r="V386" s="53" t="n"/>
      <c r="W386" s="47" t="n"/>
      <c r="X386" s="47" t="n"/>
      <c r="Y386" s="47" t="n"/>
      <c r="Z386" s="47" t="n"/>
      <c r="AA386" s="47" t="n"/>
      <c r="AB386" s="47" t="n"/>
      <c r="AC386" s="47" t="n"/>
      <c r="AD386" s="47" t="n"/>
      <c r="AE386" s="47" t="n"/>
      <c r="AF386" s="20">
        <f>IF(A386="","",YEAR(EDATE(A386,-3)))</f>
        <v/>
      </c>
      <c r="AG386" s="20">
        <f>IF(OR(B386="",'経歴簿'!$C$4=""),"",IF(B386&amp;""='経歴簿'!$C$4&amp;"",MAX($AG$4:AG385)+1,""))</f>
        <v/>
      </c>
      <c r="AH386" s="20">
        <f>IF(A386="",0,IF(AND(OR('CSV抽出'!$C$4="",A386&gt;='CSV抽出'!$C$4),OR('CSV抽出'!$C$5="",A386&lt;='CSV抽出'!$C$5),OR('CSV抽出'!$C$6="すべて",'CSV抽出'!$C$6="",D386='CSV抽出'!$C$6),OR('CSV抽出'!$C$7="",B386&amp;""='CSV抽出'!$C$7&amp;"")),1,0))</f>
        <v/>
      </c>
      <c r="AI386" s="20">
        <f>IF(AH386=1,SUM($AH$5:AH386),"")</f>
        <v/>
      </c>
      <c r="AJ386" s="20">
        <f>IF(OR(S386="",'報告書'!$C$4=""),"",IF(S386&amp;""='報告書'!$C$4&amp;"",COUNTIF($S$5:S386,'報告書'!$C$4),""))</f>
        <v/>
      </c>
      <c r="AK386" s="20" t="n"/>
      <c r="AL386" s="47" t="n"/>
      <c r="AM386" s="47" t="n"/>
      <c r="AN386" s="53" t="n"/>
      <c r="AO386" s="47" t="n"/>
      <c r="AP386" s="47" t="n"/>
      <c r="AQ386" s="47" t="n"/>
      <c r="AR386" s="47" t="n"/>
      <c r="AS386" s="47" t="n"/>
      <c r="AT386" s="47" t="n"/>
      <c r="AU386" s="47" t="n"/>
      <c r="AV386" s="47" t="n"/>
      <c r="AW386" s="52" t="n"/>
    </row>
    <row r="387">
      <c r="A387" s="48" t="n"/>
      <c r="B387" s="52" t="n"/>
      <c r="C387" s="47">
        <f>IF(B387="","",IFERROR(INDEX('隊員マスタ'!$B$5:$B$204,MATCH(B387&amp;"",'隊員マスタ'!$F$5:$F$204,0)),IF(AK387="","番号なし",AK387)))</f>
        <v/>
      </c>
      <c r="D387" s="47" t="n"/>
      <c r="E387" s="47" t="n"/>
      <c r="F387" s="47" t="n"/>
      <c r="G387" s="47" t="n"/>
      <c r="H387" s="47" t="n"/>
      <c r="I387" s="47" t="n"/>
      <c r="J387" s="47" t="n"/>
      <c r="K387" s="47" t="n"/>
      <c r="L387" s="47" t="n"/>
      <c r="M387" s="47" t="n"/>
      <c r="N387" s="47" t="n"/>
      <c r="O387" s="47" t="n"/>
      <c r="P387" s="47" t="n"/>
      <c r="Q387" s="47" t="n"/>
      <c r="R387" s="47" t="n"/>
      <c r="S387" s="47" t="n"/>
      <c r="T387" s="47" t="n"/>
      <c r="U387" s="53" t="n"/>
      <c r="V387" s="53" t="n"/>
      <c r="W387" s="47" t="n"/>
      <c r="X387" s="47" t="n"/>
      <c r="Y387" s="47" t="n"/>
      <c r="Z387" s="47" t="n"/>
      <c r="AA387" s="47" t="n"/>
      <c r="AB387" s="47" t="n"/>
      <c r="AC387" s="47" t="n"/>
      <c r="AD387" s="47" t="n"/>
      <c r="AE387" s="47" t="n"/>
      <c r="AF387" s="20">
        <f>IF(A387="","",YEAR(EDATE(A387,-3)))</f>
        <v/>
      </c>
      <c r="AG387" s="20">
        <f>IF(OR(B387="",'経歴簿'!$C$4=""),"",IF(B387&amp;""='経歴簿'!$C$4&amp;"",MAX($AG$4:AG386)+1,""))</f>
        <v/>
      </c>
      <c r="AH387" s="20">
        <f>IF(A387="",0,IF(AND(OR('CSV抽出'!$C$4="",A387&gt;='CSV抽出'!$C$4),OR('CSV抽出'!$C$5="",A387&lt;='CSV抽出'!$C$5),OR('CSV抽出'!$C$6="すべて",'CSV抽出'!$C$6="",D387='CSV抽出'!$C$6),OR('CSV抽出'!$C$7="",B387&amp;""='CSV抽出'!$C$7&amp;"")),1,0))</f>
        <v/>
      </c>
      <c r="AI387" s="20">
        <f>IF(AH387=1,SUM($AH$5:AH387),"")</f>
        <v/>
      </c>
      <c r="AJ387" s="20">
        <f>IF(OR(S387="",'報告書'!$C$4=""),"",IF(S387&amp;""='報告書'!$C$4&amp;"",COUNTIF($S$5:S387,'報告書'!$C$4),""))</f>
        <v/>
      </c>
      <c r="AK387" s="20" t="n"/>
      <c r="AL387" s="47" t="n"/>
      <c r="AM387" s="47" t="n"/>
      <c r="AN387" s="53" t="n"/>
      <c r="AO387" s="47" t="n"/>
      <c r="AP387" s="47" t="n"/>
      <c r="AQ387" s="47" t="n"/>
      <c r="AR387" s="47" t="n"/>
      <c r="AS387" s="47" t="n"/>
      <c r="AT387" s="47" t="n"/>
      <c r="AU387" s="47" t="n"/>
      <c r="AV387" s="47" t="n"/>
      <c r="AW387" s="52" t="n"/>
    </row>
    <row r="388">
      <c r="A388" s="48" t="n"/>
      <c r="B388" s="52" t="n"/>
      <c r="C388" s="47">
        <f>IF(B388="","",IFERROR(INDEX('隊員マスタ'!$B$5:$B$204,MATCH(B388&amp;"",'隊員マスタ'!$F$5:$F$204,0)),IF(AK388="","番号なし",AK388)))</f>
        <v/>
      </c>
      <c r="D388" s="47" t="n"/>
      <c r="E388" s="47" t="n"/>
      <c r="F388" s="47" t="n"/>
      <c r="G388" s="47" t="n"/>
      <c r="H388" s="47" t="n"/>
      <c r="I388" s="47" t="n"/>
      <c r="J388" s="47" t="n"/>
      <c r="K388" s="47" t="n"/>
      <c r="L388" s="47" t="n"/>
      <c r="M388" s="47" t="n"/>
      <c r="N388" s="47" t="n"/>
      <c r="O388" s="47" t="n"/>
      <c r="P388" s="47" t="n"/>
      <c r="Q388" s="47" t="n"/>
      <c r="R388" s="47" t="n"/>
      <c r="S388" s="47" t="n"/>
      <c r="T388" s="47" t="n"/>
      <c r="U388" s="53" t="n"/>
      <c r="V388" s="53" t="n"/>
      <c r="W388" s="47" t="n"/>
      <c r="X388" s="47" t="n"/>
      <c r="Y388" s="47" t="n"/>
      <c r="Z388" s="47" t="n"/>
      <c r="AA388" s="47" t="n"/>
      <c r="AB388" s="47" t="n"/>
      <c r="AC388" s="47" t="n"/>
      <c r="AD388" s="47" t="n"/>
      <c r="AE388" s="47" t="n"/>
      <c r="AF388" s="20">
        <f>IF(A388="","",YEAR(EDATE(A388,-3)))</f>
        <v/>
      </c>
      <c r="AG388" s="20">
        <f>IF(OR(B388="",'経歴簿'!$C$4=""),"",IF(B388&amp;""='経歴簿'!$C$4&amp;"",MAX($AG$4:AG387)+1,""))</f>
        <v/>
      </c>
      <c r="AH388" s="20">
        <f>IF(A388="",0,IF(AND(OR('CSV抽出'!$C$4="",A388&gt;='CSV抽出'!$C$4),OR('CSV抽出'!$C$5="",A388&lt;='CSV抽出'!$C$5),OR('CSV抽出'!$C$6="すべて",'CSV抽出'!$C$6="",D388='CSV抽出'!$C$6),OR('CSV抽出'!$C$7="",B388&amp;""='CSV抽出'!$C$7&amp;"")),1,0))</f>
        <v/>
      </c>
      <c r="AI388" s="20">
        <f>IF(AH388=1,SUM($AH$5:AH388),"")</f>
        <v/>
      </c>
      <c r="AJ388" s="20">
        <f>IF(OR(S388="",'報告書'!$C$4=""),"",IF(S388&amp;""='報告書'!$C$4&amp;"",COUNTIF($S$5:S388,'報告書'!$C$4),""))</f>
        <v/>
      </c>
      <c r="AK388" s="20" t="n"/>
      <c r="AL388" s="47" t="n"/>
      <c r="AM388" s="47" t="n"/>
      <c r="AN388" s="53" t="n"/>
      <c r="AO388" s="47" t="n"/>
      <c r="AP388" s="47" t="n"/>
      <c r="AQ388" s="47" t="n"/>
      <c r="AR388" s="47" t="n"/>
      <c r="AS388" s="47" t="n"/>
      <c r="AT388" s="47" t="n"/>
      <c r="AU388" s="47" t="n"/>
      <c r="AV388" s="47" t="n"/>
      <c r="AW388" s="52" t="n"/>
    </row>
    <row r="389">
      <c r="A389" s="48" t="n"/>
      <c r="B389" s="52" t="n"/>
      <c r="C389" s="47">
        <f>IF(B389="","",IFERROR(INDEX('隊員マスタ'!$B$5:$B$204,MATCH(B389&amp;"",'隊員マスタ'!$F$5:$F$204,0)),IF(AK389="","番号なし",AK389)))</f>
        <v/>
      </c>
      <c r="D389" s="47" t="n"/>
      <c r="E389" s="47" t="n"/>
      <c r="F389" s="47" t="n"/>
      <c r="G389" s="47" t="n"/>
      <c r="H389" s="47" t="n"/>
      <c r="I389" s="47" t="n"/>
      <c r="J389" s="47" t="n"/>
      <c r="K389" s="47" t="n"/>
      <c r="L389" s="47" t="n"/>
      <c r="M389" s="47" t="n"/>
      <c r="N389" s="47" t="n"/>
      <c r="O389" s="47" t="n"/>
      <c r="P389" s="47" t="n"/>
      <c r="Q389" s="47" t="n"/>
      <c r="R389" s="47" t="n"/>
      <c r="S389" s="47" t="n"/>
      <c r="T389" s="47" t="n"/>
      <c r="U389" s="53" t="n"/>
      <c r="V389" s="53" t="n"/>
      <c r="W389" s="47" t="n"/>
      <c r="X389" s="47" t="n"/>
      <c r="Y389" s="47" t="n"/>
      <c r="Z389" s="47" t="n"/>
      <c r="AA389" s="47" t="n"/>
      <c r="AB389" s="47" t="n"/>
      <c r="AC389" s="47" t="n"/>
      <c r="AD389" s="47" t="n"/>
      <c r="AE389" s="47" t="n"/>
      <c r="AF389" s="20">
        <f>IF(A389="","",YEAR(EDATE(A389,-3)))</f>
        <v/>
      </c>
      <c r="AG389" s="20">
        <f>IF(OR(B389="",'経歴簿'!$C$4=""),"",IF(B389&amp;""='経歴簿'!$C$4&amp;"",MAX($AG$4:AG388)+1,""))</f>
        <v/>
      </c>
      <c r="AH389" s="20">
        <f>IF(A389="",0,IF(AND(OR('CSV抽出'!$C$4="",A389&gt;='CSV抽出'!$C$4),OR('CSV抽出'!$C$5="",A389&lt;='CSV抽出'!$C$5),OR('CSV抽出'!$C$6="すべて",'CSV抽出'!$C$6="",D389='CSV抽出'!$C$6),OR('CSV抽出'!$C$7="",B389&amp;""='CSV抽出'!$C$7&amp;"")),1,0))</f>
        <v/>
      </c>
      <c r="AI389" s="20">
        <f>IF(AH389=1,SUM($AH$5:AH389),"")</f>
        <v/>
      </c>
      <c r="AJ389" s="20">
        <f>IF(OR(S389="",'報告書'!$C$4=""),"",IF(S389&amp;""='報告書'!$C$4&amp;"",COUNTIF($S$5:S389,'報告書'!$C$4),""))</f>
        <v/>
      </c>
      <c r="AK389" s="20" t="n"/>
      <c r="AL389" s="47" t="n"/>
      <c r="AM389" s="47" t="n"/>
      <c r="AN389" s="53" t="n"/>
      <c r="AO389" s="47" t="n"/>
      <c r="AP389" s="47" t="n"/>
      <c r="AQ389" s="47" t="n"/>
      <c r="AR389" s="47" t="n"/>
      <c r="AS389" s="47" t="n"/>
      <c r="AT389" s="47" t="n"/>
      <c r="AU389" s="47" t="n"/>
      <c r="AV389" s="47" t="n"/>
      <c r="AW389" s="52" t="n"/>
    </row>
    <row r="390">
      <c r="A390" s="48" t="n"/>
      <c r="B390" s="52" t="n"/>
      <c r="C390" s="47">
        <f>IF(B390="","",IFERROR(INDEX('隊員マスタ'!$B$5:$B$204,MATCH(B390&amp;"",'隊員マスタ'!$F$5:$F$204,0)),IF(AK390="","番号なし",AK390)))</f>
        <v/>
      </c>
      <c r="D390" s="47" t="n"/>
      <c r="E390" s="47" t="n"/>
      <c r="F390" s="47" t="n"/>
      <c r="G390" s="47" t="n"/>
      <c r="H390" s="47" t="n"/>
      <c r="I390" s="47" t="n"/>
      <c r="J390" s="47" t="n"/>
      <c r="K390" s="47" t="n"/>
      <c r="L390" s="47" t="n"/>
      <c r="M390" s="47" t="n"/>
      <c r="N390" s="47" t="n"/>
      <c r="O390" s="47" t="n"/>
      <c r="P390" s="47" t="n"/>
      <c r="Q390" s="47" t="n"/>
      <c r="R390" s="47" t="n"/>
      <c r="S390" s="47" t="n"/>
      <c r="T390" s="47" t="n"/>
      <c r="U390" s="53" t="n"/>
      <c r="V390" s="53" t="n"/>
      <c r="W390" s="47" t="n"/>
      <c r="X390" s="47" t="n"/>
      <c r="Y390" s="47" t="n"/>
      <c r="Z390" s="47" t="n"/>
      <c r="AA390" s="47" t="n"/>
      <c r="AB390" s="47" t="n"/>
      <c r="AC390" s="47" t="n"/>
      <c r="AD390" s="47" t="n"/>
      <c r="AE390" s="47" t="n"/>
      <c r="AF390" s="20">
        <f>IF(A390="","",YEAR(EDATE(A390,-3)))</f>
        <v/>
      </c>
      <c r="AG390" s="20">
        <f>IF(OR(B390="",'経歴簿'!$C$4=""),"",IF(B390&amp;""='経歴簿'!$C$4&amp;"",MAX($AG$4:AG389)+1,""))</f>
        <v/>
      </c>
      <c r="AH390" s="20">
        <f>IF(A390="",0,IF(AND(OR('CSV抽出'!$C$4="",A390&gt;='CSV抽出'!$C$4),OR('CSV抽出'!$C$5="",A390&lt;='CSV抽出'!$C$5),OR('CSV抽出'!$C$6="すべて",'CSV抽出'!$C$6="",D390='CSV抽出'!$C$6),OR('CSV抽出'!$C$7="",B390&amp;""='CSV抽出'!$C$7&amp;"")),1,0))</f>
        <v/>
      </c>
      <c r="AI390" s="20">
        <f>IF(AH390=1,SUM($AH$5:AH390),"")</f>
        <v/>
      </c>
      <c r="AJ390" s="20">
        <f>IF(OR(S390="",'報告書'!$C$4=""),"",IF(S390&amp;""='報告書'!$C$4&amp;"",COUNTIF($S$5:S390,'報告書'!$C$4),""))</f>
        <v/>
      </c>
      <c r="AK390" s="20" t="n"/>
      <c r="AL390" s="47" t="n"/>
      <c r="AM390" s="47" t="n"/>
      <c r="AN390" s="53" t="n"/>
      <c r="AO390" s="47" t="n"/>
      <c r="AP390" s="47" t="n"/>
      <c r="AQ390" s="47" t="n"/>
      <c r="AR390" s="47" t="n"/>
      <c r="AS390" s="47" t="n"/>
      <c r="AT390" s="47" t="n"/>
      <c r="AU390" s="47" t="n"/>
      <c r="AV390" s="47" t="n"/>
      <c r="AW390" s="52" t="n"/>
    </row>
    <row r="391">
      <c r="A391" s="48" t="n"/>
      <c r="B391" s="52" t="n"/>
      <c r="C391" s="47">
        <f>IF(B391="","",IFERROR(INDEX('隊員マスタ'!$B$5:$B$204,MATCH(B391&amp;"",'隊員マスタ'!$F$5:$F$204,0)),IF(AK391="","番号なし",AK391)))</f>
        <v/>
      </c>
      <c r="D391" s="47" t="n"/>
      <c r="E391" s="47" t="n"/>
      <c r="F391" s="47" t="n"/>
      <c r="G391" s="47" t="n"/>
      <c r="H391" s="47" t="n"/>
      <c r="I391" s="47" t="n"/>
      <c r="J391" s="47" t="n"/>
      <c r="K391" s="47" t="n"/>
      <c r="L391" s="47" t="n"/>
      <c r="M391" s="47" t="n"/>
      <c r="N391" s="47" t="n"/>
      <c r="O391" s="47" t="n"/>
      <c r="P391" s="47" t="n"/>
      <c r="Q391" s="47" t="n"/>
      <c r="R391" s="47" t="n"/>
      <c r="S391" s="47" t="n"/>
      <c r="T391" s="47" t="n"/>
      <c r="U391" s="53" t="n"/>
      <c r="V391" s="53" t="n"/>
      <c r="W391" s="47" t="n"/>
      <c r="X391" s="47" t="n"/>
      <c r="Y391" s="47" t="n"/>
      <c r="Z391" s="47" t="n"/>
      <c r="AA391" s="47" t="n"/>
      <c r="AB391" s="47" t="n"/>
      <c r="AC391" s="47" t="n"/>
      <c r="AD391" s="47" t="n"/>
      <c r="AE391" s="47" t="n"/>
      <c r="AF391" s="20">
        <f>IF(A391="","",YEAR(EDATE(A391,-3)))</f>
        <v/>
      </c>
      <c r="AG391" s="20">
        <f>IF(OR(B391="",'経歴簿'!$C$4=""),"",IF(B391&amp;""='経歴簿'!$C$4&amp;"",MAX($AG$4:AG390)+1,""))</f>
        <v/>
      </c>
      <c r="AH391" s="20">
        <f>IF(A391="",0,IF(AND(OR('CSV抽出'!$C$4="",A391&gt;='CSV抽出'!$C$4),OR('CSV抽出'!$C$5="",A391&lt;='CSV抽出'!$C$5),OR('CSV抽出'!$C$6="すべて",'CSV抽出'!$C$6="",D391='CSV抽出'!$C$6),OR('CSV抽出'!$C$7="",B391&amp;""='CSV抽出'!$C$7&amp;"")),1,0))</f>
        <v/>
      </c>
      <c r="AI391" s="20">
        <f>IF(AH391=1,SUM($AH$5:AH391),"")</f>
        <v/>
      </c>
      <c r="AJ391" s="20">
        <f>IF(OR(S391="",'報告書'!$C$4=""),"",IF(S391&amp;""='報告書'!$C$4&amp;"",COUNTIF($S$5:S391,'報告書'!$C$4),""))</f>
        <v/>
      </c>
      <c r="AK391" s="20" t="n"/>
      <c r="AL391" s="47" t="n"/>
      <c r="AM391" s="47" t="n"/>
      <c r="AN391" s="53" t="n"/>
      <c r="AO391" s="47" t="n"/>
      <c r="AP391" s="47" t="n"/>
      <c r="AQ391" s="47" t="n"/>
      <c r="AR391" s="47" t="n"/>
      <c r="AS391" s="47" t="n"/>
      <c r="AT391" s="47" t="n"/>
      <c r="AU391" s="47" t="n"/>
      <c r="AV391" s="47" t="n"/>
      <c r="AW391" s="52" t="n"/>
    </row>
    <row r="392">
      <c r="A392" s="48" t="n"/>
      <c r="B392" s="52" t="n"/>
      <c r="C392" s="47">
        <f>IF(B392="","",IFERROR(INDEX('隊員マスタ'!$B$5:$B$204,MATCH(B392&amp;"",'隊員マスタ'!$F$5:$F$204,0)),IF(AK392="","番号なし",AK392)))</f>
        <v/>
      </c>
      <c r="D392" s="47" t="n"/>
      <c r="E392" s="47" t="n"/>
      <c r="F392" s="47" t="n"/>
      <c r="G392" s="47" t="n"/>
      <c r="H392" s="47" t="n"/>
      <c r="I392" s="47" t="n"/>
      <c r="J392" s="47" t="n"/>
      <c r="K392" s="47" t="n"/>
      <c r="L392" s="47" t="n"/>
      <c r="M392" s="47" t="n"/>
      <c r="N392" s="47" t="n"/>
      <c r="O392" s="47" t="n"/>
      <c r="P392" s="47" t="n"/>
      <c r="Q392" s="47" t="n"/>
      <c r="R392" s="47" t="n"/>
      <c r="S392" s="47" t="n"/>
      <c r="T392" s="47" t="n"/>
      <c r="U392" s="53" t="n"/>
      <c r="V392" s="53" t="n"/>
      <c r="W392" s="47" t="n"/>
      <c r="X392" s="47" t="n"/>
      <c r="Y392" s="47" t="n"/>
      <c r="Z392" s="47" t="n"/>
      <c r="AA392" s="47" t="n"/>
      <c r="AB392" s="47" t="n"/>
      <c r="AC392" s="47" t="n"/>
      <c r="AD392" s="47" t="n"/>
      <c r="AE392" s="47" t="n"/>
      <c r="AF392" s="20">
        <f>IF(A392="","",YEAR(EDATE(A392,-3)))</f>
        <v/>
      </c>
      <c r="AG392" s="20">
        <f>IF(OR(B392="",'経歴簿'!$C$4=""),"",IF(B392&amp;""='経歴簿'!$C$4&amp;"",MAX($AG$4:AG391)+1,""))</f>
        <v/>
      </c>
      <c r="AH392" s="20">
        <f>IF(A392="",0,IF(AND(OR('CSV抽出'!$C$4="",A392&gt;='CSV抽出'!$C$4),OR('CSV抽出'!$C$5="",A392&lt;='CSV抽出'!$C$5),OR('CSV抽出'!$C$6="すべて",'CSV抽出'!$C$6="",D392='CSV抽出'!$C$6),OR('CSV抽出'!$C$7="",B392&amp;""='CSV抽出'!$C$7&amp;"")),1,0))</f>
        <v/>
      </c>
      <c r="AI392" s="20">
        <f>IF(AH392=1,SUM($AH$5:AH392),"")</f>
        <v/>
      </c>
      <c r="AJ392" s="20">
        <f>IF(OR(S392="",'報告書'!$C$4=""),"",IF(S392&amp;""='報告書'!$C$4&amp;"",COUNTIF($S$5:S392,'報告書'!$C$4),""))</f>
        <v/>
      </c>
      <c r="AK392" s="20" t="n"/>
      <c r="AL392" s="47" t="n"/>
      <c r="AM392" s="47" t="n"/>
      <c r="AN392" s="53" t="n"/>
      <c r="AO392" s="47" t="n"/>
      <c r="AP392" s="47" t="n"/>
      <c r="AQ392" s="47" t="n"/>
      <c r="AR392" s="47" t="n"/>
      <c r="AS392" s="47" t="n"/>
      <c r="AT392" s="47" t="n"/>
      <c r="AU392" s="47" t="n"/>
      <c r="AV392" s="47" t="n"/>
      <c r="AW392" s="52" t="n"/>
    </row>
    <row r="393">
      <c r="A393" s="48" t="n"/>
      <c r="B393" s="52" t="n"/>
      <c r="C393" s="47">
        <f>IF(B393="","",IFERROR(INDEX('隊員マスタ'!$B$5:$B$204,MATCH(B393&amp;"",'隊員マスタ'!$F$5:$F$204,0)),IF(AK393="","番号なし",AK393)))</f>
        <v/>
      </c>
      <c r="D393" s="47" t="n"/>
      <c r="E393" s="47" t="n"/>
      <c r="F393" s="47" t="n"/>
      <c r="G393" s="47" t="n"/>
      <c r="H393" s="47" t="n"/>
      <c r="I393" s="47" t="n"/>
      <c r="J393" s="47" t="n"/>
      <c r="K393" s="47" t="n"/>
      <c r="L393" s="47" t="n"/>
      <c r="M393" s="47" t="n"/>
      <c r="N393" s="47" t="n"/>
      <c r="O393" s="47" t="n"/>
      <c r="P393" s="47" t="n"/>
      <c r="Q393" s="47" t="n"/>
      <c r="R393" s="47" t="n"/>
      <c r="S393" s="47" t="n"/>
      <c r="T393" s="47" t="n"/>
      <c r="U393" s="53" t="n"/>
      <c r="V393" s="53" t="n"/>
      <c r="W393" s="47" t="n"/>
      <c r="X393" s="47" t="n"/>
      <c r="Y393" s="47" t="n"/>
      <c r="Z393" s="47" t="n"/>
      <c r="AA393" s="47" t="n"/>
      <c r="AB393" s="47" t="n"/>
      <c r="AC393" s="47" t="n"/>
      <c r="AD393" s="47" t="n"/>
      <c r="AE393" s="47" t="n"/>
      <c r="AF393" s="20">
        <f>IF(A393="","",YEAR(EDATE(A393,-3)))</f>
        <v/>
      </c>
      <c r="AG393" s="20">
        <f>IF(OR(B393="",'経歴簿'!$C$4=""),"",IF(B393&amp;""='経歴簿'!$C$4&amp;"",MAX($AG$4:AG392)+1,""))</f>
        <v/>
      </c>
      <c r="AH393" s="20">
        <f>IF(A393="",0,IF(AND(OR('CSV抽出'!$C$4="",A393&gt;='CSV抽出'!$C$4),OR('CSV抽出'!$C$5="",A393&lt;='CSV抽出'!$C$5),OR('CSV抽出'!$C$6="すべて",'CSV抽出'!$C$6="",D393='CSV抽出'!$C$6),OR('CSV抽出'!$C$7="",B393&amp;""='CSV抽出'!$C$7&amp;"")),1,0))</f>
        <v/>
      </c>
      <c r="AI393" s="20">
        <f>IF(AH393=1,SUM($AH$5:AH393),"")</f>
        <v/>
      </c>
      <c r="AJ393" s="20">
        <f>IF(OR(S393="",'報告書'!$C$4=""),"",IF(S393&amp;""='報告書'!$C$4&amp;"",COUNTIF($S$5:S393,'報告書'!$C$4),""))</f>
        <v/>
      </c>
      <c r="AK393" s="20" t="n"/>
      <c r="AL393" s="47" t="n"/>
      <c r="AM393" s="47" t="n"/>
      <c r="AN393" s="53" t="n"/>
      <c r="AO393" s="47" t="n"/>
      <c r="AP393" s="47" t="n"/>
      <c r="AQ393" s="47" t="n"/>
      <c r="AR393" s="47" t="n"/>
      <c r="AS393" s="47" t="n"/>
      <c r="AT393" s="47" t="n"/>
      <c r="AU393" s="47" t="n"/>
      <c r="AV393" s="47" t="n"/>
      <c r="AW393" s="52" t="n"/>
    </row>
    <row r="394">
      <c r="A394" s="48" t="n"/>
      <c r="B394" s="52" t="n"/>
      <c r="C394" s="47">
        <f>IF(B394="","",IFERROR(INDEX('隊員マスタ'!$B$5:$B$204,MATCH(B394&amp;"",'隊員マスタ'!$F$5:$F$204,0)),IF(AK394="","番号なし",AK394)))</f>
        <v/>
      </c>
      <c r="D394" s="47" t="n"/>
      <c r="E394" s="47" t="n"/>
      <c r="F394" s="47" t="n"/>
      <c r="G394" s="47" t="n"/>
      <c r="H394" s="47" t="n"/>
      <c r="I394" s="47" t="n"/>
      <c r="J394" s="47" t="n"/>
      <c r="K394" s="47" t="n"/>
      <c r="L394" s="47" t="n"/>
      <c r="M394" s="47" t="n"/>
      <c r="N394" s="47" t="n"/>
      <c r="O394" s="47" t="n"/>
      <c r="P394" s="47" t="n"/>
      <c r="Q394" s="47" t="n"/>
      <c r="R394" s="47" t="n"/>
      <c r="S394" s="47" t="n"/>
      <c r="T394" s="47" t="n"/>
      <c r="U394" s="53" t="n"/>
      <c r="V394" s="53" t="n"/>
      <c r="W394" s="47" t="n"/>
      <c r="X394" s="47" t="n"/>
      <c r="Y394" s="47" t="n"/>
      <c r="Z394" s="47" t="n"/>
      <c r="AA394" s="47" t="n"/>
      <c r="AB394" s="47" t="n"/>
      <c r="AC394" s="47" t="n"/>
      <c r="AD394" s="47" t="n"/>
      <c r="AE394" s="47" t="n"/>
      <c r="AF394" s="20">
        <f>IF(A394="","",YEAR(EDATE(A394,-3)))</f>
        <v/>
      </c>
      <c r="AG394" s="20">
        <f>IF(OR(B394="",'経歴簿'!$C$4=""),"",IF(B394&amp;""='経歴簿'!$C$4&amp;"",MAX($AG$4:AG393)+1,""))</f>
        <v/>
      </c>
      <c r="AH394" s="20">
        <f>IF(A394="",0,IF(AND(OR('CSV抽出'!$C$4="",A394&gt;='CSV抽出'!$C$4),OR('CSV抽出'!$C$5="",A394&lt;='CSV抽出'!$C$5),OR('CSV抽出'!$C$6="すべて",'CSV抽出'!$C$6="",D394='CSV抽出'!$C$6),OR('CSV抽出'!$C$7="",B394&amp;""='CSV抽出'!$C$7&amp;"")),1,0))</f>
        <v/>
      </c>
      <c r="AI394" s="20">
        <f>IF(AH394=1,SUM($AH$5:AH394),"")</f>
        <v/>
      </c>
      <c r="AJ394" s="20">
        <f>IF(OR(S394="",'報告書'!$C$4=""),"",IF(S394&amp;""='報告書'!$C$4&amp;"",COUNTIF($S$5:S394,'報告書'!$C$4),""))</f>
        <v/>
      </c>
      <c r="AK394" s="20" t="n"/>
      <c r="AL394" s="47" t="n"/>
      <c r="AM394" s="47" t="n"/>
      <c r="AN394" s="53" t="n"/>
      <c r="AO394" s="47" t="n"/>
      <c r="AP394" s="47" t="n"/>
      <c r="AQ394" s="47" t="n"/>
      <c r="AR394" s="47" t="n"/>
      <c r="AS394" s="47" t="n"/>
      <c r="AT394" s="47" t="n"/>
      <c r="AU394" s="47" t="n"/>
      <c r="AV394" s="47" t="n"/>
      <c r="AW394" s="52" t="n"/>
    </row>
    <row r="395">
      <c r="A395" s="48" t="n"/>
      <c r="B395" s="52" t="n"/>
      <c r="C395" s="47">
        <f>IF(B395="","",IFERROR(INDEX('隊員マスタ'!$B$5:$B$204,MATCH(B395&amp;"",'隊員マスタ'!$F$5:$F$204,0)),IF(AK395="","番号なし",AK395)))</f>
        <v/>
      </c>
      <c r="D395" s="47" t="n"/>
      <c r="E395" s="47" t="n"/>
      <c r="F395" s="47" t="n"/>
      <c r="G395" s="47" t="n"/>
      <c r="H395" s="47" t="n"/>
      <c r="I395" s="47" t="n"/>
      <c r="J395" s="47" t="n"/>
      <c r="K395" s="47" t="n"/>
      <c r="L395" s="47" t="n"/>
      <c r="M395" s="47" t="n"/>
      <c r="N395" s="47" t="n"/>
      <c r="O395" s="47" t="n"/>
      <c r="P395" s="47" t="n"/>
      <c r="Q395" s="47" t="n"/>
      <c r="R395" s="47" t="n"/>
      <c r="S395" s="47" t="n"/>
      <c r="T395" s="47" t="n"/>
      <c r="U395" s="53" t="n"/>
      <c r="V395" s="53" t="n"/>
      <c r="W395" s="47" t="n"/>
      <c r="X395" s="47" t="n"/>
      <c r="Y395" s="47" t="n"/>
      <c r="Z395" s="47" t="n"/>
      <c r="AA395" s="47" t="n"/>
      <c r="AB395" s="47" t="n"/>
      <c r="AC395" s="47" t="n"/>
      <c r="AD395" s="47" t="n"/>
      <c r="AE395" s="47" t="n"/>
      <c r="AF395" s="20">
        <f>IF(A395="","",YEAR(EDATE(A395,-3)))</f>
        <v/>
      </c>
      <c r="AG395" s="20">
        <f>IF(OR(B395="",'経歴簿'!$C$4=""),"",IF(B395&amp;""='経歴簿'!$C$4&amp;"",MAX($AG$4:AG394)+1,""))</f>
        <v/>
      </c>
      <c r="AH395" s="20">
        <f>IF(A395="",0,IF(AND(OR('CSV抽出'!$C$4="",A395&gt;='CSV抽出'!$C$4),OR('CSV抽出'!$C$5="",A395&lt;='CSV抽出'!$C$5),OR('CSV抽出'!$C$6="すべて",'CSV抽出'!$C$6="",D395='CSV抽出'!$C$6),OR('CSV抽出'!$C$7="",B395&amp;""='CSV抽出'!$C$7&amp;"")),1,0))</f>
        <v/>
      </c>
      <c r="AI395" s="20">
        <f>IF(AH395=1,SUM($AH$5:AH395),"")</f>
        <v/>
      </c>
      <c r="AJ395" s="20">
        <f>IF(OR(S395="",'報告書'!$C$4=""),"",IF(S395&amp;""='報告書'!$C$4&amp;"",COUNTIF($S$5:S395,'報告書'!$C$4),""))</f>
        <v/>
      </c>
      <c r="AK395" s="20" t="n"/>
      <c r="AL395" s="47" t="n"/>
      <c r="AM395" s="47" t="n"/>
      <c r="AN395" s="53" t="n"/>
      <c r="AO395" s="47" t="n"/>
      <c r="AP395" s="47" t="n"/>
      <c r="AQ395" s="47" t="n"/>
      <c r="AR395" s="47" t="n"/>
      <c r="AS395" s="47" t="n"/>
      <c r="AT395" s="47" t="n"/>
      <c r="AU395" s="47" t="n"/>
      <c r="AV395" s="47" t="n"/>
      <c r="AW395" s="52" t="n"/>
    </row>
    <row r="396">
      <c r="A396" s="48" t="n"/>
      <c r="B396" s="52" t="n"/>
      <c r="C396" s="47">
        <f>IF(B396="","",IFERROR(INDEX('隊員マスタ'!$B$5:$B$204,MATCH(B396&amp;"",'隊員マスタ'!$F$5:$F$204,0)),IF(AK396="","番号なし",AK396)))</f>
        <v/>
      </c>
      <c r="D396" s="47" t="n"/>
      <c r="E396" s="47" t="n"/>
      <c r="F396" s="47" t="n"/>
      <c r="G396" s="47" t="n"/>
      <c r="H396" s="47" t="n"/>
      <c r="I396" s="47" t="n"/>
      <c r="J396" s="47" t="n"/>
      <c r="K396" s="47" t="n"/>
      <c r="L396" s="47" t="n"/>
      <c r="M396" s="47" t="n"/>
      <c r="N396" s="47" t="n"/>
      <c r="O396" s="47" t="n"/>
      <c r="P396" s="47" t="n"/>
      <c r="Q396" s="47" t="n"/>
      <c r="R396" s="47" t="n"/>
      <c r="S396" s="47" t="n"/>
      <c r="T396" s="47" t="n"/>
      <c r="U396" s="53" t="n"/>
      <c r="V396" s="53" t="n"/>
      <c r="W396" s="47" t="n"/>
      <c r="X396" s="47" t="n"/>
      <c r="Y396" s="47" t="n"/>
      <c r="Z396" s="47" t="n"/>
      <c r="AA396" s="47" t="n"/>
      <c r="AB396" s="47" t="n"/>
      <c r="AC396" s="47" t="n"/>
      <c r="AD396" s="47" t="n"/>
      <c r="AE396" s="47" t="n"/>
      <c r="AF396" s="20">
        <f>IF(A396="","",YEAR(EDATE(A396,-3)))</f>
        <v/>
      </c>
      <c r="AG396" s="20">
        <f>IF(OR(B396="",'経歴簿'!$C$4=""),"",IF(B396&amp;""='経歴簿'!$C$4&amp;"",MAX($AG$4:AG395)+1,""))</f>
        <v/>
      </c>
      <c r="AH396" s="20">
        <f>IF(A396="",0,IF(AND(OR('CSV抽出'!$C$4="",A396&gt;='CSV抽出'!$C$4),OR('CSV抽出'!$C$5="",A396&lt;='CSV抽出'!$C$5),OR('CSV抽出'!$C$6="すべて",'CSV抽出'!$C$6="",D396='CSV抽出'!$C$6),OR('CSV抽出'!$C$7="",B396&amp;""='CSV抽出'!$C$7&amp;"")),1,0))</f>
        <v/>
      </c>
      <c r="AI396" s="20">
        <f>IF(AH396=1,SUM($AH$5:AH396),"")</f>
        <v/>
      </c>
      <c r="AJ396" s="20">
        <f>IF(OR(S396="",'報告書'!$C$4=""),"",IF(S396&amp;""='報告書'!$C$4&amp;"",COUNTIF($S$5:S396,'報告書'!$C$4),""))</f>
        <v/>
      </c>
      <c r="AK396" s="20" t="n"/>
      <c r="AL396" s="47" t="n"/>
      <c r="AM396" s="47" t="n"/>
      <c r="AN396" s="53" t="n"/>
      <c r="AO396" s="47" t="n"/>
      <c r="AP396" s="47" t="n"/>
      <c r="AQ396" s="47" t="n"/>
      <c r="AR396" s="47" t="n"/>
      <c r="AS396" s="47" t="n"/>
      <c r="AT396" s="47" t="n"/>
      <c r="AU396" s="47" t="n"/>
      <c r="AV396" s="47" t="n"/>
      <c r="AW396" s="52" t="n"/>
    </row>
    <row r="397">
      <c r="A397" s="48" t="n"/>
      <c r="B397" s="52" t="n"/>
      <c r="C397" s="47">
        <f>IF(B397="","",IFERROR(INDEX('隊員マスタ'!$B$5:$B$204,MATCH(B397&amp;"",'隊員マスタ'!$F$5:$F$204,0)),IF(AK397="","番号なし",AK397)))</f>
        <v/>
      </c>
      <c r="D397" s="47" t="n"/>
      <c r="E397" s="47" t="n"/>
      <c r="F397" s="47" t="n"/>
      <c r="G397" s="47" t="n"/>
      <c r="H397" s="47" t="n"/>
      <c r="I397" s="47" t="n"/>
      <c r="J397" s="47" t="n"/>
      <c r="K397" s="47" t="n"/>
      <c r="L397" s="47" t="n"/>
      <c r="M397" s="47" t="n"/>
      <c r="N397" s="47" t="n"/>
      <c r="O397" s="47" t="n"/>
      <c r="P397" s="47" t="n"/>
      <c r="Q397" s="47" t="n"/>
      <c r="R397" s="47" t="n"/>
      <c r="S397" s="47" t="n"/>
      <c r="T397" s="47" t="n"/>
      <c r="U397" s="53" t="n"/>
      <c r="V397" s="53" t="n"/>
      <c r="W397" s="47" t="n"/>
      <c r="X397" s="47" t="n"/>
      <c r="Y397" s="47" t="n"/>
      <c r="Z397" s="47" t="n"/>
      <c r="AA397" s="47" t="n"/>
      <c r="AB397" s="47" t="n"/>
      <c r="AC397" s="47" t="n"/>
      <c r="AD397" s="47" t="n"/>
      <c r="AE397" s="47" t="n"/>
      <c r="AF397" s="20">
        <f>IF(A397="","",YEAR(EDATE(A397,-3)))</f>
        <v/>
      </c>
      <c r="AG397" s="20">
        <f>IF(OR(B397="",'経歴簿'!$C$4=""),"",IF(B397&amp;""='経歴簿'!$C$4&amp;"",MAX($AG$4:AG396)+1,""))</f>
        <v/>
      </c>
      <c r="AH397" s="20">
        <f>IF(A397="",0,IF(AND(OR('CSV抽出'!$C$4="",A397&gt;='CSV抽出'!$C$4),OR('CSV抽出'!$C$5="",A397&lt;='CSV抽出'!$C$5),OR('CSV抽出'!$C$6="すべて",'CSV抽出'!$C$6="",D397='CSV抽出'!$C$6),OR('CSV抽出'!$C$7="",B397&amp;""='CSV抽出'!$C$7&amp;"")),1,0))</f>
        <v/>
      </c>
      <c r="AI397" s="20">
        <f>IF(AH397=1,SUM($AH$5:AH397),"")</f>
        <v/>
      </c>
      <c r="AJ397" s="20">
        <f>IF(OR(S397="",'報告書'!$C$4=""),"",IF(S397&amp;""='報告書'!$C$4&amp;"",COUNTIF($S$5:S397,'報告書'!$C$4),""))</f>
        <v/>
      </c>
      <c r="AK397" s="20" t="n"/>
      <c r="AL397" s="47" t="n"/>
      <c r="AM397" s="47" t="n"/>
      <c r="AN397" s="53" t="n"/>
      <c r="AO397" s="47" t="n"/>
      <c r="AP397" s="47" t="n"/>
      <c r="AQ397" s="47" t="n"/>
      <c r="AR397" s="47" t="n"/>
      <c r="AS397" s="47" t="n"/>
      <c r="AT397" s="47" t="n"/>
      <c r="AU397" s="47" t="n"/>
      <c r="AV397" s="47" t="n"/>
      <c r="AW397" s="52" t="n"/>
    </row>
    <row r="398">
      <c r="A398" s="48" t="n"/>
      <c r="B398" s="52" t="n"/>
      <c r="C398" s="47">
        <f>IF(B398="","",IFERROR(INDEX('隊員マスタ'!$B$5:$B$204,MATCH(B398&amp;"",'隊員マスタ'!$F$5:$F$204,0)),IF(AK398="","番号なし",AK398)))</f>
        <v/>
      </c>
      <c r="D398" s="47" t="n"/>
      <c r="E398" s="47" t="n"/>
      <c r="F398" s="47" t="n"/>
      <c r="G398" s="47" t="n"/>
      <c r="H398" s="47" t="n"/>
      <c r="I398" s="47" t="n"/>
      <c r="J398" s="47" t="n"/>
      <c r="K398" s="47" t="n"/>
      <c r="L398" s="47" t="n"/>
      <c r="M398" s="47" t="n"/>
      <c r="N398" s="47" t="n"/>
      <c r="O398" s="47" t="n"/>
      <c r="P398" s="47" t="n"/>
      <c r="Q398" s="47" t="n"/>
      <c r="R398" s="47" t="n"/>
      <c r="S398" s="47" t="n"/>
      <c r="T398" s="47" t="n"/>
      <c r="U398" s="53" t="n"/>
      <c r="V398" s="53" t="n"/>
      <c r="W398" s="47" t="n"/>
      <c r="X398" s="47" t="n"/>
      <c r="Y398" s="47" t="n"/>
      <c r="Z398" s="47" t="n"/>
      <c r="AA398" s="47" t="n"/>
      <c r="AB398" s="47" t="n"/>
      <c r="AC398" s="47" t="n"/>
      <c r="AD398" s="47" t="n"/>
      <c r="AE398" s="47" t="n"/>
      <c r="AF398" s="20">
        <f>IF(A398="","",YEAR(EDATE(A398,-3)))</f>
        <v/>
      </c>
      <c r="AG398" s="20">
        <f>IF(OR(B398="",'経歴簿'!$C$4=""),"",IF(B398&amp;""='経歴簿'!$C$4&amp;"",MAX($AG$4:AG397)+1,""))</f>
        <v/>
      </c>
      <c r="AH398" s="20">
        <f>IF(A398="",0,IF(AND(OR('CSV抽出'!$C$4="",A398&gt;='CSV抽出'!$C$4),OR('CSV抽出'!$C$5="",A398&lt;='CSV抽出'!$C$5),OR('CSV抽出'!$C$6="すべて",'CSV抽出'!$C$6="",D398='CSV抽出'!$C$6),OR('CSV抽出'!$C$7="",B398&amp;""='CSV抽出'!$C$7&amp;"")),1,0))</f>
        <v/>
      </c>
      <c r="AI398" s="20">
        <f>IF(AH398=1,SUM($AH$5:AH398),"")</f>
        <v/>
      </c>
      <c r="AJ398" s="20">
        <f>IF(OR(S398="",'報告書'!$C$4=""),"",IF(S398&amp;""='報告書'!$C$4&amp;"",COUNTIF($S$5:S398,'報告書'!$C$4),""))</f>
        <v/>
      </c>
      <c r="AK398" s="20" t="n"/>
      <c r="AL398" s="47" t="n"/>
      <c r="AM398" s="47" t="n"/>
      <c r="AN398" s="53" t="n"/>
      <c r="AO398" s="47" t="n"/>
      <c r="AP398" s="47" t="n"/>
      <c r="AQ398" s="47" t="n"/>
      <c r="AR398" s="47" t="n"/>
      <c r="AS398" s="47" t="n"/>
      <c r="AT398" s="47" t="n"/>
      <c r="AU398" s="47" t="n"/>
      <c r="AV398" s="47" t="n"/>
      <c r="AW398" s="52" t="n"/>
    </row>
    <row r="399">
      <c r="A399" s="48" t="n"/>
      <c r="B399" s="52" t="n"/>
      <c r="C399" s="47">
        <f>IF(B399="","",IFERROR(INDEX('隊員マスタ'!$B$5:$B$204,MATCH(B399&amp;"",'隊員マスタ'!$F$5:$F$204,0)),IF(AK399="","番号なし",AK399)))</f>
        <v/>
      </c>
      <c r="D399" s="47" t="n"/>
      <c r="E399" s="47" t="n"/>
      <c r="F399" s="47" t="n"/>
      <c r="G399" s="47" t="n"/>
      <c r="H399" s="47" t="n"/>
      <c r="I399" s="47" t="n"/>
      <c r="J399" s="47" t="n"/>
      <c r="K399" s="47" t="n"/>
      <c r="L399" s="47" t="n"/>
      <c r="M399" s="47" t="n"/>
      <c r="N399" s="47" t="n"/>
      <c r="O399" s="47" t="n"/>
      <c r="P399" s="47" t="n"/>
      <c r="Q399" s="47" t="n"/>
      <c r="R399" s="47" t="n"/>
      <c r="S399" s="47" t="n"/>
      <c r="T399" s="47" t="n"/>
      <c r="U399" s="53" t="n"/>
      <c r="V399" s="53" t="n"/>
      <c r="W399" s="47" t="n"/>
      <c r="X399" s="47" t="n"/>
      <c r="Y399" s="47" t="n"/>
      <c r="Z399" s="47" t="n"/>
      <c r="AA399" s="47" t="n"/>
      <c r="AB399" s="47" t="n"/>
      <c r="AC399" s="47" t="n"/>
      <c r="AD399" s="47" t="n"/>
      <c r="AE399" s="47" t="n"/>
      <c r="AF399" s="20">
        <f>IF(A399="","",YEAR(EDATE(A399,-3)))</f>
        <v/>
      </c>
      <c r="AG399" s="20">
        <f>IF(OR(B399="",'経歴簿'!$C$4=""),"",IF(B399&amp;""='経歴簿'!$C$4&amp;"",MAX($AG$4:AG398)+1,""))</f>
        <v/>
      </c>
      <c r="AH399" s="20">
        <f>IF(A399="",0,IF(AND(OR('CSV抽出'!$C$4="",A399&gt;='CSV抽出'!$C$4),OR('CSV抽出'!$C$5="",A399&lt;='CSV抽出'!$C$5),OR('CSV抽出'!$C$6="すべて",'CSV抽出'!$C$6="",D399='CSV抽出'!$C$6),OR('CSV抽出'!$C$7="",B399&amp;""='CSV抽出'!$C$7&amp;"")),1,0))</f>
        <v/>
      </c>
      <c r="AI399" s="20">
        <f>IF(AH399=1,SUM($AH$5:AH399),"")</f>
        <v/>
      </c>
      <c r="AJ399" s="20">
        <f>IF(OR(S399="",'報告書'!$C$4=""),"",IF(S399&amp;""='報告書'!$C$4&amp;"",COUNTIF($S$5:S399,'報告書'!$C$4),""))</f>
        <v/>
      </c>
      <c r="AK399" s="20" t="n"/>
      <c r="AL399" s="47" t="n"/>
      <c r="AM399" s="47" t="n"/>
      <c r="AN399" s="53" t="n"/>
      <c r="AO399" s="47" t="n"/>
      <c r="AP399" s="47" t="n"/>
      <c r="AQ399" s="47" t="n"/>
      <c r="AR399" s="47" t="n"/>
      <c r="AS399" s="47" t="n"/>
      <c r="AT399" s="47" t="n"/>
      <c r="AU399" s="47" t="n"/>
      <c r="AV399" s="47" t="n"/>
      <c r="AW399" s="52" t="n"/>
    </row>
    <row r="400">
      <c r="A400" s="48" t="n"/>
      <c r="B400" s="52" t="n"/>
      <c r="C400" s="47">
        <f>IF(B400="","",IFERROR(INDEX('隊員マスタ'!$B$5:$B$204,MATCH(B400&amp;"",'隊員マスタ'!$F$5:$F$204,0)),IF(AK400="","番号なし",AK400)))</f>
        <v/>
      </c>
      <c r="D400" s="47" t="n"/>
      <c r="E400" s="47" t="n"/>
      <c r="F400" s="47" t="n"/>
      <c r="G400" s="47" t="n"/>
      <c r="H400" s="47" t="n"/>
      <c r="I400" s="47" t="n"/>
      <c r="J400" s="47" t="n"/>
      <c r="K400" s="47" t="n"/>
      <c r="L400" s="47" t="n"/>
      <c r="M400" s="47" t="n"/>
      <c r="N400" s="47" t="n"/>
      <c r="O400" s="47" t="n"/>
      <c r="P400" s="47" t="n"/>
      <c r="Q400" s="47" t="n"/>
      <c r="R400" s="47" t="n"/>
      <c r="S400" s="47" t="n"/>
      <c r="T400" s="47" t="n"/>
      <c r="U400" s="53" t="n"/>
      <c r="V400" s="53" t="n"/>
      <c r="W400" s="47" t="n"/>
      <c r="X400" s="47" t="n"/>
      <c r="Y400" s="47" t="n"/>
      <c r="Z400" s="47" t="n"/>
      <c r="AA400" s="47" t="n"/>
      <c r="AB400" s="47" t="n"/>
      <c r="AC400" s="47" t="n"/>
      <c r="AD400" s="47" t="n"/>
      <c r="AE400" s="47" t="n"/>
      <c r="AF400" s="20">
        <f>IF(A400="","",YEAR(EDATE(A400,-3)))</f>
        <v/>
      </c>
      <c r="AG400" s="20">
        <f>IF(OR(B400="",'経歴簿'!$C$4=""),"",IF(B400&amp;""='経歴簿'!$C$4&amp;"",MAX($AG$4:AG399)+1,""))</f>
        <v/>
      </c>
      <c r="AH400" s="20">
        <f>IF(A400="",0,IF(AND(OR('CSV抽出'!$C$4="",A400&gt;='CSV抽出'!$C$4),OR('CSV抽出'!$C$5="",A400&lt;='CSV抽出'!$C$5),OR('CSV抽出'!$C$6="すべて",'CSV抽出'!$C$6="",D400='CSV抽出'!$C$6),OR('CSV抽出'!$C$7="",B400&amp;""='CSV抽出'!$C$7&amp;"")),1,0))</f>
        <v/>
      </c>
      <c r="AI400" s="20">
        <f>IF(AH400=1,SUM($AH$5:AH400),"")</f>
        <v/>
      </c>
      <c r="AJ400" s="20">
        <f>IF(OR(S400="",'報告書'!$C$4=""),"",IF(S400&amp;""='報告書'!$C$4&amp;"",COUNTIF($S$5:S400,'報告書'!$C$4),""))</f>
        <v/>
      </c>
      <c r="AK400" s="20" t="n"/>
      <c r="AL400" s="47" t="n"/>
      <c r="AM400" s="47" t="n"/>
      <c r="AN400" s="53" t="n"/>
      <c r="AO400" s="47" t="n"/>
      <c r="AP400" s="47" t="n"/>
      <c r="AQ400" s="47" t="n"/>
      <c r="AR400" s="47" t="n"/>
      <c r="AS400" s="47" t="n"/>
      <c r="AT400" s="47" t="n"/>
      <c r="AU400" s="47" t="n"/>
      <c r="AV400" s="47" t="n"/>
      <c r="AW400" s="52" t="n"/>
    </row>
    <row r="401">
      <c r="A401" s="48" t="n"/>
      <c r="B401" s="52" t="n"/>
      <c r="C401" s="47">
        <f>IF(B401="","",IFERROR(INDEX('隊員マスタ'!$B$5:$B$204,MATCH(B401&amp;"",'隊員マスタ'!$F$5:$F$204,0)),IF(AK401="","番号なし",AK401)))</f>
        <v/>
      </c>
      <c r="D401" s="47" t="n"/>
      <c r="E401" s="47" t="n"/>
      <c r="F401" s="47" t="n"/>
      <c r="G401" s="47" t="n"/>
      <c r="H401" s="47" t="n"/>
      <c r="I401" s="47" t="n"/>
      <c r="J401" s="47" t="n"/>
      <c r="K401" s="47" t="n"/>
      <c r="L401" s="47" t="n"/>
      <c r="M401" s="47" t="n"/>
      <c r="N401" s="47" t="n"/>
      <c r="O401" s="47" t="n"/>
      <c r="P401" s="47" t="n"/>
      <c r="Q401" s="47" t="n"/>
      <c r="R401" s="47" t="n"/>
      <c r="S401" s="47" t="n"/>
      <c r="T401" s="47" t="n"/>
      <c r="U401" s="53" t="n"/>
      <c r="V401" s="53" t="n"/>
      <c r="W401" s="47" t="n"/>
      <c r="X401" s="47" t="n"/>
      <c r="Y401" s="47" t="n"/>
      <c r="Z401" s="47" t="n"/>
      <c r="AA401" s="47" t="n"/>
      <c r="AB401" s="47" t="n"/>
      <c r="AC401" s="47" t="n"/>
      <c r="AD401" s="47" t="n"/>
      <c r="AE401" s="47" t="n"/>
      <c r="AF401" s="20">
        <f>IF(A401="","",YEAR(EDATE(A401,-3)))</f>
        <v/>
      </c>
      <c r="AG401" s="20">
        <f>IF(OR(B401="",'経歴簿'!$C$4=""),"",IF(B401&amp;""='経歴簿'!$C$4&amp;"",MAX($AG$4:AG400)+1,""))</f>
        <v/>
      </c>
      <c r="AH401" s="20">
        <f>IF(A401="",0,IF(AND(OR('CSV抽出'!$C$4="",A401&gt;='CSV抽出'!$C$4),OR('CSV抽出'!$C$5="",A401&lt;='CSV抽出'!$C$5),OR('CSV抽出'!$C$6="すべて",'CSV抽出'!$C$6="",D401='CSV抽出'!$C$6),OR('CSV抽出'!$C$7="",B401&amp;""='CSV抽出'!$C$7&amp;"")),1,0))</f>
        <v/>
      </c>
      <c r="AI401" s="20">
        <f>IF(AH401=1,SUM($AH$5:AH401),"")</f>
        <v/>
      </c>
      <c r="AJ401" s="20">
        <f>IF(OR(S401="",'報告書'!$C$4=""),"",IF(S401&amp;""='報告書'!$C$4&amp;"",COUNTIF($S$5:S401,'報告書'!$C$4),""))</f>
        <v/>
      </c>
      <c r="AK401" s="20" t="n"/>
      <c r="AL401" s="47" t="n"/>
      <c r="AM401" s="47" t="n"/>
      <c r="AN401" s="53" t="n"/>
      <c r="AO401" s="47" t="n"/>
      <c r="AP401" s="47" t="n"/>
      <c r="AQ401" s="47" t="n"/>
      <c r="AR401" s="47" t="n"/>
      <c r="AS401" s="47" t="n"/>
      <c r="AT401" s="47" t="n"/>
      <c r="AU401" s="47" t="n"/>
      <c r="AV401" s="47" t="n"/>
      <c r="AW401" s="52" t="n"/>
    </row>
    <row r="402">
      <c r="A402" s="48" t="n"/>
      <c r="B402" s="52" t="n"/>
      <c r="C402" s="47">
        <f>IF(B402="","",IFERROR(INDEX('隊員マスタ'!$B$5:$B$204,MATCH(B402&amp;"",'隊員マスタ'!$F$5:$F$204,0)),IF(AK402="","番号なし",AK402)))</f>
        <v/>
      </c>
      <c r="D402" s="47" t="n"/>
      <c r="E402" s="47" t="n"/>
      <c r="F402" s="47" t="n"/>
      <c r="G402" s="47" t="n"/>
      <c r="H402" s="47" t="n"/>
      <c r="I402" s="47" t="n"/>
      <c r="J402" s="47" t="n"/>
      <c r="K402" s="47" t="n"/>
      <c r="L402" s="47" t="n"/>
      <c r="M402" s="47" t="n"/>
      <c r="N402" s="47" t="n"/>
      <c r="O402" s="47" t="n"/>
      <c r="P402" s="47" t="n"/>
      <c r="Q402" s="47" t="n"/>
      <c r="R402" s="47" t="n"/>
      <c r="S402" s="47" t="n"/>
      <c r="T402" s="47" t="n"/>
      <c r="U402" s="53" t="n"/>
      <c r="V402" s="53" t="n"/>
      <c r="W402" s="47" t="n"/>
      <c r="X402" s="47" t="n"/>
      <c r="Y402" s="47" t="n"/>
      <c r="Z402" s="47" t="n"/>
      <c r="AA402" s="47" t="n"/>
      <c r="AB402" s="47" t="n"/>
      <c r="AC402" s="47" t="n"/>
      <c r="AD402" s="47" t="n"/>
      <c r="AE402" s="47" t="n"/>
      <c r="AF402" s="20">
        <f>IF(A402="","",YEAR(EDATE(A402,-3)))</f>
        <v/>
      </c>
      <c r="AG402" s="20">
        <f>IF(OR(B402="",'経歴簿'!$C$4=""),"",IF(B402&amp;""='経歴簿'!$C$4&amp;"",MAX($AG$4:AG401)+1,""))</f>
        <v/>
      </c>
      <c r="AH402" s="20">
        <f>IF(A402="",0,IF(AND(OR('CSV抽出'!$C$4="",A402&gt;='CSV抽出'!$C$4),OR('CSV抽出'!$C$5="",A402&lt;='CSV抽出'!$C$5),OR('CSV抽出'!$C$6="すべて",'CSV抽出'!$C$6="",D402='CSV抽出'!$C$6),OR('CSV抽出'!$C$7="",B402&amp;""='CSV抽出'!$C$7&amp;"")),1,0))</f>
        <v/>
      </c>
      <c r="AI402" s="20">
        <f>IF(AH402=1,SUM($AH$5:AH402),"")</f>
        <v/>
      </c>
      <c r="AJ402" s="20">
        <f>IF(OR(S402="",'報告書'!$C$4=""),"",IF(S402&amp;""='報告書'!$C$4&amp;"",COUNTIF($S$5:S402,'報告書'!$C$4),""))</f>
        <v/>
      </c>
      <c r="AK402" s="20" t="n"/>
      <c r="AL402" s="47" t="n"/>
      <c r="AM402" s="47" t="n"/>
      <c r="AN402" s="53" t="n"/>
      <c r="AO402" s="47" t="n"/>
      <c r="AP402" s="47" t="n"/>
      <c r="AQ402" s="47" t="n"/>
      <c r="AR402" s="47" t="n"/>
      <c r="AS402" s="47" t="n"/>
      <c r="AT402" s="47" t="n"/>
      <c r="AU402" s="47" t="n"/>
      <c r="AV402" s="47" t="n"/>
      <c r="AW402" s="52" t="n"/>
    </row>
    <row r="403">
      <c r="A403" s="48" t="n"/>
      <c r="B403" s="52" t="n"/>
      <c r="C403" s="47">
        <f>IF(B403="","",IFERROR(INDEX('隊員マスタ'!$B$5:$B$204,MATCH(B403&amp;"",'隊員マスタ'!$F$5:$F$204,0)),IF(AK403="","番号なし",AK403)))</f>
        <v/>
      </c>
      <c r="D403" s="47" t="n"/>
      <c r="E403" s="47" t="n"/>
      <c r="F403" s="47" t="n"/>
      <c r="G403" s="47" t="n"/>
      <c r="H403" s="47" t="n"/>
      <c r="I403" s="47" t="n"/>
      <c r="J403" s="47" t="n"/>
      <c r="K403" s="47" t="n"/>
      <c r="L403" s="47" t="n"/>
      <c r="M403" s="47" t="n"/>
      <c r="N403" s="47" t="n"/>
      <c r="O403" s="47" t="n"/>
      <c r="P403" s="47" t="n"/>
      <c r="Q403" s="47" t="n"/>
      <c r="R403" s="47" t="n"/>
      <c r="S403" s="47" t="n"/>
      <c r="T403" s="47" t="n"/>
      <c r="U403" s="53" t="n"/>
      <c r="V403" s="53" t="n"/>
      <c r="W403" s="47" t="n"/>
      <c r="X403" s="47" t="n"/>
      <c r="Y403" s="47" t="n"/>
      <c r="Z403" s="47" t="n"/>
      <c r="AA403" s="47" t="n"/>
      <c r="AB403" s="47" t="n"/>
      <c r="AC403" s="47" t="n"/>
      <c r="AD403" s="47" t="n"/>
      <c r="AE403" s="47" t="n"/>
      <c r="AF403" s="20">
        <f>IF(A403="","",YEAR(EDATE(A403,-3)))</f>
        <v/>
      </c>
      <c r="AG403" s="20">
        <f>IF(OR(B403="",'経歴簿'!$C$4=""),"",IF(B403&amp;""='経歴簿'!$C$4&amp;"",MAX($AG$4:AG402)+1,""))</f>
        <v/>
      </c>
      <c r="AH403" s="20">
        <f>IF(A403="",0,IF(AND(OR('CSV抽出'!$C$4="",A403&gt;='CSV抽出'!$C$4),OR('CSV抽出'!$C$5="",A403&lt;='CSV抽出'!$C$5),OR('CSV抽出'!$C$6="すべて",'CSV抽出'!$C$6="",D403='CSV抽出'!$C$6),OR('CSV抽出'!$C$7="",B403&amp;""='CSV抽出'!$C$7&amp;"")),1,0))</f>
        <v/>
      </c>
      <c r="AI403" s="20">
        <f>IF(AH403=1,SUM($AH$5:AH403),"")</f>
        <v/>
      </c>
      <c r="AJ403" s="20">
        <f>IF(OR(S403="",'報告書'!$C$4=""),"",IF(S403&amp;""='報告書'!$C$4&amp;"",COUNTIF($S$5:S403,'報告書'!$C$4),""))</f>
        <v/>
      </c>
      <c r="AK403" s="20" t="n"/>
      <c r="AL403" s="47" t="n"/>
      <c r="AM403" s="47" t="n"/>
      <c r="AN403" s="53" t="n"/>
      <c r="AO403" s="47" t="n"/>
      <c r="AP403" s="47" t="n"/>
      <c r="AQ403" s="47" t="n"/>
      <c r="AR403" s="47" t="n"/>
      <c r="AS403" s="47" t="n"/>
      <c r="AT403" s="47" t="n"/>
      <c r="AU403" s="47" t="n"/>
      <c r="AV403" s="47" t="n"/>
      <c r="AW403" s="52" t="n"/>
    </row>
    <row r="404">
      <c r="A404" s="48" t="n"/>
      <c r="B404" s="52" t="n"/>
      <c r="C404" s="47">
        <f>IF(B404="","",IFERROR(INDEX('隊員マスタ'!$B$5:$B$204,MATCH(B404&amp;"",'隊員マスタ'!$F$5:$F$204,0)),IF(AK404="","番号なし",AK404)))</f>
        <v/>
      </c>
      <c r="D404" s="47" t="n"/>
      <c r="E404" s="47" t="n"/>
      <c r="F404" s="47" t="n"/>
      <c r="G404" s="47" t="n"/>
      <c r="H404" s="47" t="n"/>
      <c r="I404" s="47" t="n"/>
      <c r="J404" s="47" t="n"/>
      <c r="K404" s="47" t="n"/>
      <c r="L404" s="47" t="n"/>
      <c r="M404" s="47" t="n"/>
      <c r="N404" s="47" t="n"/>
      <c r="O404" s="47" t="n"/>
      <c r="P404" s="47" t="n"/>
      <c r="Q404" s="47" t="n"/>
      <c r="R404" s="47" t="n"/>
      <c r="S404" s="47" t="n"/>
      <c r="T404" s="47" t="n"/>
      <c r="U404" s="53" t="n"/>
      <c r="V404" s="53" t="n"/>
      <c r="W404" s="47" t="n"/>
      <c r="X404" s="47" t="n"/>
      <c r="Y404" s="47" t="n"/>
      <c r="Z404" s="47" t="n"/>
      <c r="AA404" s="47" t="n"/>
      <c r="AB404" s="47" t="n"/>
      <c r="AC404" s="47" t="n"/>
      <c r="AD404" s="47" t="n"/>
      <c r="AE404" s="47" t="n"/>
      <c r="AF404" s="20">
        <f>IF(A404="","",YEAR(EDATE(A404,-3)))</f>
        <v/>
      </c>
      <c r="AG404" s="20">
        <f>IF(OR(B404="",'経歴簿'!$C$4=""),"",IF(B404&amp;""='経歴簿'!$C$4&amp;"",MAX($AG$4:AG403)+1,""))</f>
        <v/>
      </c>
      <c r="AH404" s="20">
        <f>IF(A404="",0,IF(AND(OR('CSV抽出'!$C$4="",A404&gt;='CSV抽出'!$C$4),OR('CSV抽出'!$C$5="",A404&lt;='CSV抽出'!$C$5),OR('CSV抽出'!$C$6="すべて",'CSV抽出'!$C$6="",D404='CSV抽出'!$C$6),OR('CSV抽出'!$C$7="",B404&amp;""='CSV抽出'!$C$7&amp;"")),1,0))</f>
        <v/>
      </c>
      <c r="AI404" s="20">
        <f>IF(AH404=1,SUM($AH$5:AH404),"")</f>
        <v/>
      </c>
      <c r="AJ404" s="20">
        <f>IF(OR(S404="",'報告書'!$C$4=""),"",IF(S404&amp;""='報告書'!$C$4&amp;"",COUNTIF($S$5:S404,'報告書'!$C$4),""))</f>
        <v/>
      </c>
      <c r="AK404" s="20" t="n"/>
      <c r="AL404" s="47" t="n"/>
      <c r="AM404" s="47" t="n"/>
      <c r="AN404" s="53" t="n"/>
      <c r="AO404" s="47" t="n"/>
      <c r="AP404" s="47" t="n"/>
      <c r="AQ404" s="47" t="n"/>
      <c r="AR404" s="47" t="n"/>
      <c r="AS404" s="47" t="n"/>
      <c r="AT404" s="47" t="n"/>
      <c r="AU404" s="47" t="n"/>
      <c r="AV404" s="47" t="n"/>
      <c r="AW404" s="52" t="n"/>
    </row>
    <row r="405">
      <c r="A405" s="48" t="n"/>
      <c r="B405" s="52" t="n"/>
      <c r="C405" s="47">
        <f>IF(B405="","",IFERROR(INDEX('隊員マスタ'!$B$5:$B$204,MATCH(B405&amp;"",'隊員マスタ'!$F$5:$F$204,0)),IF(AK405="","番号なし",AK405)))</f>
        <v/>
      </c>
      <c r="D405" s="47" t="n"/>
      <c r="E405" s="47" t="n"/>
      <c r="F405" s="47" t="n"/>
      <c r="G405" s="47" t="n"/>
      <c r="H405" s="47" t="n"/>
      <c r="I405" s="47" t="n"/>
      <c r="J405" s="47" t="n"/>
      <c r="K405" s="47" t="n"/>
      <c r="L405" s="47" t="n"/>
      <c r="M405" s="47" t="n"/>
      <c r="N405" s="47" t="n"/>
      <c r="O405" s="47" t="n"/>
      <c r="P405" s="47" t="n"/>
      <c r="Q405" s="47" t="n"/>
      <c r="R405" s="47" t="n"/>
      <c r="S405" s="47" t="n"/>
      <c r="T405" s="47" t="n"/>
      <c r="U405" s="53" t="n"/>
      <c r="V405" s="53" t="n"/>
      <c r="W405" s="47" t="n"/>
      <c r="X405" s="47" t="n"/>
      <c r="Y405" s="47" t="n"/>
      <c r="Z405" s="47" t="n"/>
      <c r="AA405" s="47" t="n"/>
      <c r="AB405" s="47" t="n"/>
      <c r="AC405" s="47" t="n"/>
      <c r="AD405" s="47" t="n"/>
      <c r="AE405" s="47" t="n"/>
      <c r="AF405" s="20">
        <f>IF(A405="","",YEAR(EDATE(A405,-3)))</f>
        <v/>
      </c>
      <c r="AG405" s="20">
        <f>IF(OR(B405="",'経歴簿'!$C$4=""),"",IF(B405&amp;""='経歴簿'!$C$4&amp;"",MAX($AG$4:AG404)+1,""))</f>
        <v/>
      </c>
      <c r="AH405" s="20">
        <f>IF(A405="",0,IF(AND(OR('CSV抽出'!$C$4="",A405&gt;='CSV抽出'!$C$4),OR('CSV抽出'!$C$5="",A405&lt;='CSV抽出'!$C$5),OR('CSV抽出'!$C$6="すべて",'CSV抽出'!$C$6="",D405='CSV抽出'!$C$6),OR('CSV抽出'!$C$7="",B405&amp;""='CSV抽出'!$C$7&amp;"")),1,0))</f>
        <v/>
      </c>
      <c r="AI405" s="20">
        <f>IF(AH405=1,SUM($AH$5:AH405),"")</f>
        <v/>
      </c>
      <c r="AJ405" s="20">
        <f>IF(OR(S405="",'報告書'!$C$4=""),"",IF(S405&amp;""='報告書'!$C$4&amp;"",COUNTIF($S$5:S405,'報告書'!$C$4),""))</f>
        <v/>
      </c>
      <c r="AK405" s="20" t="n"/>
      <c r="AL405" s="47" t="n"/>
      <c r="AM405" s="47" t="n"/>
      <c r="AN405" s="53" t="n"/>
      <c r="AO405" s="47" t="n"/>
      <c r="AP405" s="47" t="n"/>
      <c r="AQ405" s="47" t="n"/>
      <c r="AR405" s="47" t="n"/>
      <c r="AS405" s="47" t="n"/>
      <c r="AT405" s="47" t="n"/>
      <c r="AU405" s="47" t="n"/>
      <c r="AV405" s="47" t="n"/>
      <c r="AW405" s="52" t="n"/>
    </row>
    <row r="406">
      <c r="A406" s="48" t="n"/>
      <c r="B406" s="52" t="n"/>
      <c r="C406" s="47">
        <f>IF(B406="","",IFERROR(INDEX('隊員マスタ'!$B$5:$B$204,MATCH(B406&amp;"",'隊員マスタ'!$F$5:$F$204,0)),IF(AK406="","番号なし",AK406)))</f>
        <v/>
      </c>
      <c r="D406" s="47" t="n"/>
      <c r="E406" s="47" t="n"/>
      <c r="F406" s="47" t="n"/>
      <c r="G406" s="47" t="n"/>
      <c r="H406" s="47" t="n"/>
      <c r="I406" s="47" t="n"/>
      <c r="J406" s="47" t="n"/>
      <c r="K406" s="47" t="n"/>
      <c r="L406" s="47" t="n"/>
      <c r="M406" s="47" t="n"/>
      <c r="N406" s="47" t="n"/>
      <c r="O406" s="47" t="n"/>
      <c r="P406" s="47" t="n"/>
      <c r="Q406" s="47" t="n"/>
      <c r="R406" s="47" t="n"/>
      <c r="S406" s="47" t="n"/>
      <c r="T406" s="47" t="n"/>
      <c r="U406" s="53" t="n"/>
      <c r="V406" s="53" t="n"/>
      <c r="W406" s="47" t="n"/>
      <c r="X406" s="47" t="n"/>
      <c r="Y406" s="47" t="n"/>
      <c r="Z406" s="47" t="n"/>
      <c r="AA406" s="47" t="n"/>
      <c r="AB406" s="47" t="n"/>
      <c r="AC406" s="47" t="n"/>
      <c r="AD406" s="47" t="n"/>
      <c r="AE406" s="47" t="n"/>
      <c r="AF406" s="20">
        <f>IF(A406="","",YEAR(EDATE(A406,-3)))</f>
        <v/>
      </c>
      <c r="AG406" s="20">
        <f>IF(OR(B406="",'経歴簿'!$C$4=""),"",IF(B406&amp;""='経歴簿'!$C$4&amp;"",MAX($AG$4:AG405)+1,""))</f>
        <v/>
      </c>
      <c r="AH406" s="20">
        <f>IF(A406="",0,IF(AND(OR('CSV抽出'!$C$4="",A406&gt;='CSV抽出'!$C$4),OR('CSV抽出'!$C$5="",A406&lt;='CSV抽出'!$C$5),OR('CSV抽出'!$C$6="すべて",'CSV抽出'!$C$6="",D406='CSV抽出'!$C$6),OR('CSV抽出'!$C$7="",B406&amp;""='CSV抽出'!$C$7&amp;"")),1,0))</f>
        <v/>
      </c>
      <c r="AI406" s="20">
        <f>IF(AH406=1,SUM($AH$5:AH406),"")</f>
        <v/>
      </c>
      <c r="AJ406" s="20">
        <f>IF(OR(S406="",'報告書'!$C$4=""),"",IF(S406&amp;""='報告書'!$C$4&amp;"",COUNTIF($S$5:S406,'報告書'!$C$4),""))</f>
        <v/>
      </c>
      <c r="AK406" s="20" t="n"/>
      <c r="AL406" s="47" t="n"/>
      <c r="AM406" s="47" t="n"/>
      <c r="AN406" s="53" t="n"/>
      <c r="AO406" s="47" t="n"/>
      <c r="AP406" s="47" t="n"/>
      <c r="AQ406" s="47" t="n"/>
      <c r="AR406" s="47" t="n"/>
      <c r="AS406" s="47" t="n"/>
      <c r="AT406" s="47" t="n"/>
      <c r="AU406" s="47" t="n"/>
      <c r="AV406" s="47" t="n"/>
      <c r="AW406" s="52" t="n"/>
    </row>
    <row r="407">
      <c r="A407" s="48" t="n"/>
      <c r="B407" s="52" t="n"/>
      <c r="C407" s="47">
        <f>IF(B407="","",IFERROR(INDEX('隊員マスタ'!$B$5:$B$204,MATCH(B407&amp;"",'隊員マスタ'!$F$5:$F$204,0)),IF(AK407="","番号なし",AK407)))</f>
        <v/>
      </c>
      <c r="D407" s="47" t="n"/>
      <c r="E407" s="47" t="n"/>
      <c r="F407" s="47" t="n"/>
      <c r="G407" s="47" t="n"/>
      <c r="H407" s="47" t="n"/>
      <c r="I407" s="47" t="n"/>
      <c r="J407" s="47" t="n"/>
      <c r="K407" s="47" t="n"/>
      <c r="L407" s="47" t="n"/>
      <c r="M407" s="47" t="n"/>
      <c r="N407" s="47" t="n"/>
      <c r="O407" s="47" t="n"/>
      <c r="P407" s="47" t="n"/>
      <c r="Q407" s="47" t="n"/>
      <c r="R407" s="47" t="n"/>
      <c r="S407" s="47" t="n"/>
      <c r="T407" s="47" t="n"/>
      <c r="U407" s="53" t="n"/>
      <c r="V407" s="53" t="n"/>
      <c r="W407" s="47" t="n"/>
      <c r="X407" s="47" t="n"/>
      <c r="Y407" s="47" t="n"/>
      <c r="Z407" s="47" t="n"/>
      <c r="AA407" s="47" t="n"/>
      <c r="AB407" s="47" t="n"/>
      <c r="AC407" s="47" t="n"/>
      <c r="AD407" s="47" t="n"/>
      <c r="AE407" s="47" t="n"/>
      <c r="AF407" s="20">
        <f>IF(A407="","",YEAR(EDATE(A407,-3)))</f>
        <v/>
      </c>
      <c r="AG407" s="20">
        <f>IF(OR(B407="",'経歴簿'!$C$4=""),"",IF(B407&amp;""='経歴簿'!$C$4&amp;"",MAX($AG$4:AG406)+1,""))</f>
        <v/>
      </c>
      <c r="AH407" s="20">
        <f>IF(A407="",0,IF(AND(OR('CSV抽出'!$C$4="",A407&gt;='CSV抽出'!$C$4),OR('CSV抽出'!$C$5="",A407&lt;='CSV抽出'!$C$5),OR('CSV抽出'!$C$6="すべて",'CSV抽出'!$C$6="",D407='CSV抽出'!$C$6),OR('CSV抽出'!$C$7="",B407&amp;""='CSV抽出'!$C$7&amp;"")),1,0))</f>
        <v/>
      </c>
      <c r="AI407" s="20">
        <f>IF(AH407=1,SUM($AH$5:AH407),"")</f>
        <v/>
      </c>
      <c r="AJ407" s="20">
        <f>IF(OR(S407="",'報告書'!$C$4=""),"",IF(S407&amp;""='報告書'!$C$4&amp;"",COUNTIF($S$5:S407,'報告書'!$C$4),""))</f>
        <v/>
      </c>
      <c r="AK407" s="20" t="n"/>
      <c r="AL407" s="47" t="n"/>
      <c r="AM407" s="47" t="n"/>
      <c r="AN407" s="53" t="n"/>
      <c r="AO407" s="47" t="n"/>
      <c r="AP407" s="47" t="n"/>
      <c r="AQ407" s="47" t="n"/>
      <c r="AR407" s="47" t="n"/>
      <c r="AS407" s="47" t="n"/>
      <c r="AT407" s="47" t="n"/>
      <c r="AU407" s="47" t="n"/>
      <c r="AV407" s="47" t="n"/>
      <c r="AW407" s="52" t="n"/>
    </row>
    <row r="408">
      <c r="A408" s="48" t="n"/>
      <c r="B408" s="52" t="n"/>
      <c r="C408" s="47">
        <f>IF(B408="","",IFERROR(INDEX('隊員マスタ'!$B$5:$B$204,MATCH(B408&amp;"",'隊員マスタ'!$F$5:$F$204,0)),IF(AK408="","番号なし",AK408)))</f>
        <v/>
      </c>
      <c r="D408" s="47" t="n"/>
      <c r="E408" s="47" t="n"/>
      <c r="F408" s="47" t="n"/>
      <c r="G408" s="47" t="n"/>
      <c r="H408" s="47" t="n"/>
      <c r="I408" s="47" t="n"/>
      <c r="J408" s="47" t="n"/>
      <c r="K408" s="47" t="n"/>
      <c r="L408" s="47" t="n"/>
      <c r="M408" s="47" t="n"/>
      <c r="N408" s="47" t="n"/>
      <c r="O408" s="47" t="n"/>
      <c r="P408" s="47" t="n"/>
      <c r="Q408" s="47" t="n"/>
      <c r="R408" s="47" t="n"/>
      <c r="S408" s="47" t="n"/>
      <c r="T408" s="47" t="n"/>
      <c r="U408" s="53" t="n"/>
      <c r="V408" s="53" t="n"/>
      <c r="W408" s="47" t="n"/>
      <c r="X408" s="47" t="n"/>
      <c r="Y408" s="47" t="n"/>
      <c r="Z408" s="47" t="n"/>
      <c r="AA408" s="47" t="n"/>
      <c r="AB408" s="47" t="n"/>
      <c r="AC408" s="47" t="n"/>
      <c r="AD408" s="47" t="n"/>
      <c r="AE408" s="47" t="n"/>
      <c r="AF408" s="20">
        <f>IF(A408="","",YEAR(EDATE(A408,-3)))</f>
        <v/>
      </c>
      <c r="AG408" s="20">
        <f>IF(OR(B408="",'経歴簿'!$C$4=""),"",IF(B408&amp;""='経歴簿'!$C$4&amp;"",MAX($AG$4:AG407)+1,""))</f>
        <v/>
      </c>
      <c r="AH408" s="20">
        <f>IF(A408="",0,IF(AND(OR('CSV抽出'!$C$4="",A408&gt;='CSV抽出'!$C$4),OR('CSV抽出'!$C$5="",A408&lt;='CSV抽出'!$C$5),OR('CSV抽出'!$C$6="すべて",'CSV抽出'!$C$6="",D408='CSV抽出'!$C$6),OR('CSV抽出'!$C$7="",B408&amp;""='CSV抽出'!$C$7&amp;"")),1,0))</f>
        <v/>
      </c>
      <c r="AI408" s="20">
        <f>IF(AH408=1,SUM($AH$5:AH408),"")</f>
        <v/>
      </c>
      <c r="AJ408" s="20">
        <f>IF(OR(S408="",'報告書'!$C$4=""),"",IF(S408&amp;""='報告書'!$C$4&amp;"",COUNTIF($S$5:S408,'報告書'!$C$4),""))</f>
        <v/>
      </c>
      <c r="AK408" s="20" t="n"/>
      <c r="AL408" s="47" t="n"/>
      <c r="AM408" s="47" t="n"/>
      <c r="AN408" s="53" t="n"/>
      <c r="AO408" s="47" t="n"/>
      <c r="AP408" s="47" t="n"/>
      <c r="AQ408" s="47" t="n"/>
      <c r="AR408" s="47" t="n"/>
      <c r="AS408" s="47" t="n"/>
      <c r="AT408" s="47" t="n"/>
      <c r="AU408" s="47" t="n"/>
      <c r="AV408" s="47" t="n"/>
      <c r="AW408" s="52" t="n"/>
    </row>
    <row r="409">
      <c r="A409" s="48" t="n"/>
      <c r="B409" s="52" t="n"/>
      <c r="C409" s="47">
        <f>IF(B409="","",IFERROR(INDEX('隊員マスタ'!$B$5:$B$204,MATCH(B409&amp;"",'隊員マスタ'!$F$5:$F$204,0)),IF(AK409="","番号なし",AK409)))</f>
        <v/>
      </c>
      <c r="D409" s="47" t="n"/>
      <c r="E409" s="47" t="n"/>
      <c r="F409" s="47" t="n"/>
      <c r="G409" s="47" t="n"/>
      <c r="H409" s="47" t="n"/>
      <c r="I409" s="47" t="n"/>
      <c r="J409" s="47" t="n"/>
      <c r="K409" s="47" t="n"/>
      <c r="L409" s="47" t="n"/>
      <c r="M409" s="47" t="n"/>
      <c r="N409" s="47" t="n"/>
      <c r="O409" s="47" t="n"/>
      <c r="P409" s="47" t="n"/>
      <c r="Q409" s="47" t="n"/>
      <c r="R409" s="47" t="n"/>
      <c r="S409" s="47" t="n"/>
      <c r="T409" s="47" t="n"/>
      <c r="U409" s="53" t="n"/>
      <c r="V409" s="53" t="n"/>
      <c r="W409" s="47" t="n"/>
      <c r="X409" s="47" t="n"/>
      <c r="Y409" s="47" t="n"/>
      <c r="Z409" s="47" t="n"/>
      <c r="AA409" s="47" t="n"/>
      <c r="AB409" s="47" t="n"/>
      <c r="AC409" s="47" t="n"/>
      <c r="AD409" s="47" t="n"/>
      <c r="AE409" s="47" t="n"/>
      <c r="AF409" s="20">
        <f>IF(A409="","",YEAR(EDATE(A409,-3)))</f>
        <v/>
      </c>
      <c r="AG409" s="20">
        <f>IF(OR(B409="",'経歴簿'!$C$4=""),"",IF(B409&amp;""='経歴簿'!$C$4&amp;"",MAX($AG$4:AG408)+1,""))</f>
        <v/>
      </c>
      <c r="AH409" s="20">
        <f>IF(A409="",0,IF(AND(OR('CSV抽出'!$C$4="",A409&gt;='CSV抽出'!$C$4),OR('CSV抽出'!$C$5="",A409&lt;='CSV抽出'!$C$5),OR('CSV抽出'!$C$6="すべて",'CSV抽出'!$C$6="",D409='CSV抽出'!$C$6),OR('CSV抽出'!$C$7="",B409&amp;""='CSV抽出'!$C$7&amp;"")),1,0))</f>
        <v/>
      </c>
      <c r="AI409" s="20">
        <f>IF(AH409=1,SUM($AH$5:AH409),"")</f>
        <v/>
      </c>
      <c r="AJ409" s="20">
        <f>IF(OR(S409="",'報告書'!$C$4=""),"",IF(S409&amp;""='報告書'!$C$4&amp;"",COUNTIF($S$5:S409,'報告書'!$C$4),""))</f>
        <v/>
      </c>
      <c r="AK409" s="20" t="n"/>
      <c r="AL409" s="47" t="n"/>
      <c r="AM409" s="47" t="n"/>
      <c r="AN409" s="53" t="n"/>
      <c r="AO409" s="47" t="n"/>
      <c r="AP409" s="47" t="n"/>
      <c r="AQ409" s="47" t="n"/>
      <c r="AR409" s="47" t="n"/>
      <c r="AS409" s="47" t="n"/>
      <c r="AT409" s="47" t="n"/>
      <c r="AU409" s="47" t="n"/>
      <c r="AV409" s="47" t="n"/>
      <c r="AW409" s="52" t="n"/>
    </row>
    <row r="410">
      <c r="A410" s="48" t="n"/>
      <c r="B410" s="52" t="n"/>
      <c r="C410" s="47">
        <f>IF(B410="","",IFERROR(INDEX('隊員マスタ'!$B$5:$B$204,MATCH(B410&amp;"",'隊員マスタ'!$F$5:$F$204,0)),IF(AK410="","番号なし",AK410)))</f>
        <v/>
      </c>
      <c r="D410" s="47" t="n"/>
      <c r="E410" s="47" t="n"/>
      <c r="F410" s="47" t="n"/>
      <c r="G410" s="47" t="n"/>
      <c r="H410" s="47" t="n"/>
      <c r="I410" s="47" t="n"/>
      <c r="J410" s="47" t="n"/>
      <c r="K410" s="47" t="n"/>
      <c r="L410" s="47" t="n"/>
      <c r="M410" s="47" t="n"/>
      <c r="N410" s="47" t="n"/>
      <c r="O410" s="47" t="n"/>
      <c r="P410" s="47" t="n"/>
      <c r="Q410" s="47" t="n"/>
      <c r="R410" s="47" t="n"/>
      <c r="S410" s="47" t="n"/>
      <c r="T410" s="47" t="n"/>
      <c r="U410" s="53" t="n"/>
      <c r="V410" s="53" t="n"/>
      <c r="W410" s="47" t="n"/>
      <c r="X410" s="47" t="n"/>
      <c r="Y410" s="47" t="n"/>
      <c r="Z410" s="47" t="n"/>
      <c r="AA410" s="47" t="n"/>
      <c r="AB410" s="47" t="n"/>
      <c r="AC410" s="47" t="n"/>
      <c r="AD410" s="47" t="n"/>
      <c r="AE410" s="47" t="n"/>
      <c r="AF410" s="20">
        <f>IF(A410="","",YEAR(EDATE(A410,-3)))</f>
        <v/>
      </c>
      <c r="AG410" s="20">
        <f>IF(OR(B410="",'経歴簿'!$C$4=""),"",IF(B410&amp;""='経歴簿'!$C$4&amp;"",MAX($AG$4:AG409)+1,""))</f>
        <v/>
      </c>
      <c r="AH410" s="20">
        <f>IF(A410="",0,IF(AND(OR('CSV抽出'!$C$4="",A410&gt;='CSV抽出'!$C$4),OR('CSV抽出'!$C$5="",A410&lt;='CSV抽出'!$C$5),OR('CSV抽出'!$C$6="すべて",'CSV抽出'!$C$6="",D410='CSV抽出'!$C$6),OR('CSV抽出'!$C$7="",B410&amp;""='CSV抽出'!$C$7&amp;"")),1,0))</f>
        <v/>
      </c>
      <c r="AI410" s="20">
        <f>IF(AH410=1,SUM($AH$5:AH410),"")</f>
        <v/>
      </c>
      <c r="AJ410" s="20">
        <f>IF(OR(S410="",'報告書'!$C$4=""),"",IF(S410&amp;""='報告書'!$C$4&amp;"",COUNTIF($S$5:S410,'報告書'!$C$4),""))</f>
        <v/>
      </c>
      <c r="AK410" s="20" t="n"/>
      <c r="AL410" s="47" t="n"/>
      <c r="AM410" s="47" t="n"/>
      <c r="AN410" s="53" t="n"/>
      <c r="AO410" s="47" t="n"/>
      <c r="AP410" s="47" t="n"/>
      <c r="AQ410" s="47" t="n"/>
      <c r="AR410" s="47" t="n"/>
      <c r="AS410" s="47" t="n"/>
      <c r="AT410" s="47" t="n"/>
      <c r="AU410" s="47" t="n"/>
      <c r="AV410" s="47" t="n"/>
      <c r="AW410" s="52" t="n"/>
    </row>
    <row r="411">
      <c r="A411" s="48" t="n"/>
      <c r="B411" s="52" t="n"/>
      <c r="C411" s="47">
        <f>IF(B411="","",IFERROR(INDEX('隊員マスタ'!$B$5:$B$204,MATCH(B411&amp;"",'隊員マスタ'!$F$5:$F$204,0)),IF(AK411="","番号なし",AK411)))</f>
        <v/>
      </c>
      <c r="D411" s="47" t="n"/>
      <c r="E411" s="47" t="n"/>
      <c r="F411" s="47" t="n"/>
      <c r="G411" s="47" t="n"/>
      <c r="H411" s="47" t="n"/>
      <c r="I411" s="47" t="n"/>
      <c r="J411" s="47" t="n"/>
      <c r="K411" s="47" t="n"/>
      <c r="L411" s="47" t="n"/>
      <c r="M411" s="47" t="n"/>
      <c r="N411" s="47" t="n"/>
      <c r="O411" s="47" t="n"/>
      <c r="P411" s="47" t="n"/>
      <c r="Q411" s="47" t="n"/>
      <c r="R411" s="47" t="n"/>
      <c r="S411" s="47" t="n"/>
      <c r="T411" s="47" t="n"/>
      <c r="U411" s="53" t="n"/>
      <c r="V411" s="53" t="n"/>
      <c r="W411" s="47" t="n"/>
      <c r="X411" s="47" t="n"/>
      <c r="Y411" s="47" t="n"/>
      <c r="Z411" s="47" t="n"/>
      <c r="AA411" s="47" t="n"/>
      <c r="AB411" s="47" t="n"/>
      <c r="AC411" s="47" t="n"/>
      <c r="AD411" s="47" t="n"/>
      <c r="AE411" s="47" t="n"/>
      <c r="AF411" s="20">
        <f>IF(A411="","",YEAR(EDATE(A411,-3)))</f>
        <v/>
      </c>
      <c r="AG411" s="20">
        <f>IF(OR(B411="",'経歴簿'!$C$4=""),"",IF(B411&amp;""='経歴簿'!$C$4&amp;"",MAX($AG$4:AG410)+1,""))</f>
        <v/>
      </c>
      <c r="AH411" s="20">
        <f>IF(A411="",0,IF(AND(OR('CSV抽出'!$C$4="",A411&gt;='CSV抽出'!$C$4),OR('CSV抽出'!$C$5="",A411&lt;='CSV抽出'!$C$5),OR('CSV抽出'!$C$6="すべて",'CSV抽出'!$C$6="",D411='CSV抽出'!$C$6),OR('CSV抽出'!$C$7="",B411&amp;""='CSV抽出'!$C$7&amp;"")),1,0))</f>
        <v/>
      </c>
      <c r="AI411" s="20">
        <f>IF(AH411=1,SUM($AH$5:AH411),"")</f>
        <v/>
      </c>
      <c r="AJ411" s="20">
        <f>IF(OR(S411="",'報告書'!$C$4=""),"",IF(S411&amp;""='報告書'!$C$4&amp;"",COUNTIF($S$5:S411,'報告書'!$C$4),""))</f>
        <v/>
      </c>
      <c r="AK411" s="20" t="n"/>
      <c r="AL411" s="47" t="n"/>
      <c r="AM411" s="47" t="n"/>
      <c r="AN411" s="53" t="n"/>
      <c r="AO411" s="47" t="n"/>
      <c r="AP411" s="47" t="n"/>
      <c r="AQ411" s="47" t="n"/>
      <c r="AR411" s="47" t="n"/>
      <c r="AS411" s="47" t="n"/>
      <c r="AT411" s="47" t="n"/>
      <c r="AU411" s="47" t="n"/>
      <c r="AV411" s="47" t="n"/>
      <c r="AW411" s="52" t="n"/>
    </row>
    <row r="412">
      <c r="A412" s="48" t="n"/>
      <c r="B412" s="52" t="n"/>
      <c r="C412" s="47">
        <f>IF(B412="","",IFERROR(INDEX('隊員マスタ'!$B$5:$B$204,MATCH(B412&amp;"",'隊員マスタ'!$F$5:$F$204,0)),IF(AK412="","番号なし",AK412)))</f>
        <v/>
      </c>
      <c r="D412" s="47" t="n"/>
      <c r="E412" s="47" t="n"/>
      <c r="F412" s="47" t="n"/>
      <c r="G412" s="47" t="n"/>
      <c r="H412" s="47" t="n"/>
      <c r="I412" s="47" t="n"/>
      <c r="J412" s="47" t="n"/>
      <c r="K412" s="47" t="n"/>
      <c r="L412" s="47" t="n"/>
      <c r="M412" s="47" t="n"/>
      <c r="N412" s="47" t="n"/>
      <c r="O412" s="47" t="n"/>
      <c r="P412" s="47" t="n"/>
      <c r="Q412" s="47" t="n"/>
      <c r="R412" s="47" t="n"/>
      <c r="S412" s="47" t="n"/>
      <c r="T412" s="47" t="n"/>
      <c r="U412" s="53" t="n"/>
      <c r="V412" s="53" t="n"/>
      <c r="W412" s="47" t="n"/>
      <c r="X412" s="47" t="n"/>
      <c r="Y412" s="47" t="n"/>
      <c r="Z412" s="47" t="n"/>
      <c r="AA412" s="47" t="n"/>
      <c r="AB412" s="47" t="n"/>
      <c r="AC412" s="47" t="n"/>
      <c r="AD412" s="47" t="n"/>
      <c r="AE412" s="47" t="n"/>
      <c r="AF412" s="20">
        <f>IF(A412="","",YEAR(EDATE(A412,-3)))</f>
        <v/>
      </c>
      <c r="AG412" s="20">
        <f>IF(OR(B412="",'経歴簿'!$C$4=""),"",IF(B412&amp;""='経歴簿'!$C$4&amp;"",MAX($AG$4:AG411)+1,""))</f>
        <v/>
      </c>
      <c r="AH412" s="20">
        <f>IF(A412="",0,IF(AND(OR('CSV抽出'!$C$4="",A412&gt;='CSV抽出'!$C$4),OR('CSV抽出'!$C$5="",A412&lt;='CSV抽出'!$C$5),OR('CSV抽出'!$C$6="すべて",'CSV抽出'!$C$6="",D412='CSV抽出'!$C$6),OR('CSV抽出'!$C$7="",B412&amp;""='CSV抽出'!$C$7&amp;"")),1,0))</f>
        <v/>
      </c>
      <c r="AI412" s="20">
        <f>IF(AH412=1,SUM($AH$5:AH412),"")</f>
        <v/>
      </c>
      <c r="AJ412" s="20">
        <f>IF(OR(S412="",'報告書'!$C$4=""),"",IF(S412&amp;""='報告書'!$C$4&amp;"",COUNTIF($S$5:S412,'報告書'!$C$4),""))</f>
        <v/>
      </c>
      <c r="AK412" s="20" t="n"/>
      <c r="AL412" s="47" t="n"/>
      <c r="AM412" s="47" t="n"/>
      <c r="AN412" s="53" t="n"/>
      <c r="AO412" s="47" t="n"/>
      <c r="AP412" s="47" t="n"/>
      <c r="AQ412" s="47" t="n"/>
      <c r="AR412" s="47" t="n"/>
      <c r="AS412" s="47" t="n"/>
      <c r="AT412" s="47" t="n"/>
      <c r="AU412" s="47" t="n"/>
      <c r="AV412" s="47" t="n"/>
      <c r="AW412" s="52" t="n"/>
    </row>
    <row r="413">
      <c r="A413" s="48" t="n"/>
      <c r="B413" s="52" t="n"/>
      <c r="C413" s="47">
        <f>IF(B413="","",IFERROR(INDEX('隊員マスタ'!$B$5:$B$204,MATCH(B413&amp;"",'隊員マスタ'!$F$5:$F$204,0)),IF(AK413="","番号なし",AK413)))</f>
        <v/>
      </c>
      <c r="D413" s="47" t="n"/>
      <c r="E413" s="47" t="n"/>
      <c r="F413" s="47" t="n"/>
      <c r="G413" s="47" t="n"/>
      <c r="H413" s="47" t="n"/>
      <c r="I413" s="47" t="n"/>
      <c r="J413" s="47" t="n"/>
      <c r="K413" s="47" t="n"/>
      <c r="L413" s="47" t="n"/>
      <c r="M413" s="47" t="n"/>
      <c r="N413" s="47" t="n"/>
      <c r="O413" s="47" t="n"/>
      <c r="P413" s="47" t="n"/>
      <c r="Q413" s="47" t="n"/>
      <c r="R413" s="47" t="n"/>
      <c r="S413" s="47" t="n"/>
      <c r="T413" s="47" t="n"/>
      <c r="U413" s="53" t="n"/>
      <c r="V413" s="53" t="n"/>
      <c r="W413" s="47" t="n"/>
      <c r="X413" s="47" t="n"/>
      <c r="Y413" s="47" t="n"/>
      <c r="Z413" s="47" t="n"/>
      <c r="AA413" s="47" t="n"/>
      <c r="AB413" s="47" t="n"/>
      <c r="AC413" s="47" t="n"/>
      <c r="AD413" s="47" t="n"/>
      <c r="AE413" s="47" t="n"/>
      <c r="AF413" s="20">
        <f>IF(A413="","",YEAR(EDATE(A413,-3)))</f>
        <v/>
      </c>
      <c r="AG413" s="20">
        <f>IF(OR(B413="",'経歴簿'!$C$4=""),"",IF(B413&amp;""='経歴簿'!$C$4&amp;"",MAX($AG$4:AG412)+1,""))</f>
        <v/>
      </c>
      <c r="AH413" s="20">
        <f>IF(A413="",0,IF(AND(OR('CSV抽出'!$C$4="",A413&gt;='CSV抽出'!$C$4),OR('CSV抽出'!$C$5="",A413&lt;='CSV抽出'!$C$5),OR('CSV抽出'!$C$6="すべて",'CSV抽出'!$C$6="",D413='CSV抽出'!$C$6),OR('CSV抽出'!$C$7="",B413&amp;""='CSV抽出'!$C$7&amp;"")),1,0))</f>
        <v/>
      </c>
      <c r="AI413" s="20">
        <f>IF(AH413=1,SUM($AH$5:AH413),"")</f>
        <v/>
      </c>
      <c r="AJ413" s="20">
        <f>IF(OR(S413="",'報告書'!$C$4=""),"",IF(S413&amp;""='報告書'!$C$4&amp;"",COUNTIF($S$5:S413,'報告書'!$C$4),""))</f>
        <v/>
      </c>
      <c r="AK413" s="20" t="n"/>
      <c r="AL413" s="47" t="n"/>
      <c r="AM413" s="47" t="n"/>
      <c r="AN413" s="53" t="n"/>
      <c r="AO413" s="47" t="n"/>
      <c r="AP413" s="47" t="n"/>
      <c r="AQ413" s="47" t="n"/>
      <c r="AR413" s="47" t="n"/>
      <c r="AS413" s="47" t="n"/>
      <c r="AT413" s="47" t="n"/>
      <c r="AU413" s="47" t="n"/>
      <c r="AV413" s="47" t="n"/>
      <c r="AW413" s="52" t="n"/>
    </row>
    <row r="414">
      <c r="A414" s="48" t="n"/>
      <c r="B414" s="52" t="n"/>
      <c r="C414" s="47">
        <f>IF(B414="","",IFERROR(INDEX('隊員マスタ'!$B$5:$B$204,MATCH(B414&amp;"",'隊員マスタ'!$F$5:$F$204,0)),IF(AK414="","番号なし",AK414)))</f>
        <v/>
      </c>
      <c r="D414" s="47" t="n"/>
      <c r="E414" s="47" t="n"/>
      <c r="F414" s="47" t="n"/>
      <c r="G414" s="47" t="n"/>
      <c r="H414" s="47" t="n"/>
      <c r="I414" s="47" t="n"/>
      <c r="J414" s="47" t="n"/>
      <c r="K414" s="47" t="n"/>
      <c r="L414" s="47" t="n"/>
      <c r="M414" s="47" t="n"/>
      <c r="N414" s="47" t="n"/>
      <c r="O414" s="47" t="n"/>
      <c r="P414" s="47" t="n"/>
      <c r="Q414" s="47" t="n"/>
      <c r="R414" s="47" t="n"/>
      <c r="S414" s="47" t="n"/>
      <c r="T414" s="47" t="n"/>
      <c r="U414" s="53" t="n"/>
      <c r="V414" s="53" t="n"/>
      <c r="W414" s="47" t="n"/>
      <c r="X414" s="47" t="n"/>
      <c r="Y414" s="47" t="n"/>
      <c r="Z414" s="47" t="n"/>
      <c r="AA414" s="47" t="n"/>
      <c r="AB414" s="47" t="n"/>
      <c r="AC414" s="47" t="n"/>
      <c r="AD414" s="47" t="n"/>
      <c r="AE414" s="47" t="n"/>
      <c r="AF414" s="20">
        <f>IF(A414="","",YEAR(EDATE(A414,-3)))</f>
        <v/>
      </c>
      <c r="AG414" s="20">
        <f>IF(OR(B414="",'経歴簿'!$C$4=""),"",IF(B414&amp;""='経歴簿'!$C$4&amp;"",MAX($AG$4:AG413)+1,""))</f>
        <v/>
      </c>
      <c r="AH414" s="20">
        <f>IF(A414="",0,IF(AND(OR('CSV抽出'!$C$4="",A414&gt;='CSV抽出'!$C$4),OR('CSV抽出'!$C$5="",A414&lt;='CSV抽出'!$C$5),OR('CSV抽出'!$C$6="すべて",'CSV抽出'!$C$6="",D414='CSV抽出'!$C$6),OR('CSV抽出'!$C$7="",B414&amp;""='CSV抽出'!$C$7&amp;"")),1,0))</f>
        <v/>
      </c>
      <c r="AI414" s="20">
        <f>IF(AH414=1,SUM($AH$5:AH414),"")</f>
        <v/>
      </c>
      <c r="AJ414" s="20">
        <f>IF(OR(S414="",'報告書'!$C$4=""),"",IF(S414&amp;""='報告書'!$C$4&amp;"",COUNTIF($S$5:S414,'報告書'!$C$4),""))</f>
        <v/>
      </c>
      <c r="AK414" s="20" t="n"/>
      <c r="AL414" s="47" t="n"/>
      <c r="AM414" s="47" t="n"/>
      <c r="AN414" s="53" t="n"/>
      <c r="AO414" s="47" t="n"/>
      <c r="AP414" s="47" t="n"/>
      <c r="AQ414" s="47" t="n"/>
      <c r="AR414" s="47" t="n"/>
      <c r="AS414" s="47" t="n"/>
      <c r="AT414" s="47" t="n"/>
      <c r="AU414" s="47" t="n"/>
      <c r="AV414" s="47" t="n"/>
      <c r="AW414" s="52" t="n"/>
    </row>
    <row r="415">
      <c r="A415" s="48" t="n"/>
      <c r="B415" s="52" t="n"/>
      <c r="C415" s="47">
        <f>IF(B415="","",IFERROR(INDEX('隊員マスタ'!$B$5:$B$204,MATCH(B415&amp;"",'隊員マスタ'!$F$5:$F$204,0)),IF(AK415="","番号なし",AK415)))</f>
        <v/>
      </c>
      <c r="D415" s="47" t="n"/>
      <c r="E415" s="47" t="n"/>
      <c r="F415" s="47" t="n"/>
      <c r="G415" s="47" t="n"/>
      <c r="H415" s="47" t="n"/>
      <c r="I415" s="47" t="n"/>
      <c r="J415" s="47" t="n"/>
      <c r="K415" s="47" t="n"/>
      <c r="L415" s="47" t="n"/>
      <c r="M415" s="47" t="n"/>
      <c r="N415" s="47" t="n"/>
      <c r="O415" s="47" t="n"/>
      <c r="P415" s="47" t="n"/>
      <c r="Q415" s="47" t="n"/>
      <c r="R415" s="47" t="n"/>
      <c r="S415" s="47" t="n"/>
      <c r="T415" s="47" t="n"/>
      <c r="U415" s="53" t="n"/>
      <c r="V415" s="53" t="n"/>
      <c r="W415" s="47" t="n"/>
      <c r="X415" s="47" t="n"/>
      <c r="Y415" s="47" t="n"/>
      <c r="Z415" s="47" t="n"/>
      <c r="AA415" s="47" t="n"/>
      <c r="AB415" s="47" t="n"/>
      <c r="AC415" s="47" t="n"/>
      <c r="AD415" s="47" t="n"/>
      <c r="AE415" s="47" t="n"/>
      <c r="AF415" s="20">
        <f>IF(A415="","",YEAR(EDATE(A415,-3)))</f>
        <v/>
      </c>
      <c r="AG415" s="20">
        <f>IF(OR(B415="",'経歴簿'!$C$4=""),"",IF(B415&amp;""='経歴簿'!$C$4&amp;"",MAX($AG$4:AG414)+1,""))</f>
        <v/>
      </c>
      <c r="AH415" s="20">
        <f>IF(A415="",0,IF(AND(OR('CSV抽出'!$C$4="",A415&gt;='CSV抽出'!$C$4),OR('CSV抽出'!$C$5="",A415&lt;='CSV抽出'!$C$5),OR('CSV抽出'!$C$6="すべて",'CSV抽出'!$C$6="",D415='CSV抽出'!$C$6),OR('CSV抽出'!$C$7="",B415&amp;""='CSV抽出'!$C$7&amp;"")),1,0))</f>
        <v/>
      </c>
      <c r="AI415" s="20">
        <f>IF(AH415=1,SUM($AH$5:AH415),"")</f>
        <v/>
      </c>
      <c r="AJ415" s="20">
        <f>IF(OR(S415="",'報告書'!$C$4=""),"",IF(S415&amp;""='報告書'!$C$4&amp;"",COUNTIF($S$5:S415,'報告書'!$C$4),""))</f>
        <v/>
      </c>
      <c r="AK415" s="20" t="n"/>
      <c r="AL415" s="47" t="n"/>
      <c r="AM415" s="47" t="n"/>
      <c r="AN415" s="53" t="n"/>
      <c r="AO415" s="47" t="n"/>
      <c r="AP415" s="47" t="n"/>
      <c r="AQ415" s="47" t="n"/>
      <c r="AR415" s="47" t="n"/>
      <c r="AS415" s="47" t="n"/>
      <c r="AT415" s="47" t="n"/>
      <c r="AU415" s="47" t="n"/>
      <c r="AV415" s="47" t="n"/>
      <c r="AW415" s="52" t="n"/>
    </row>
    <row r="416">
      <c r="A416" s="48" t="n"/>
      <c r="B416" s="52" t="n"/>
      <c r="C416" s="47">
        <f>IF(B416="","",IFERROR(INDEX('隊員マスタ'!$B$5:$B$204,MATCH(B416&amp;"",'隊員マスタ'!$F$5:$F$204,0)),IF(AK416="","番号なし",AK416)))</f>
        <v/>
      </c>
      <c r="D416" s="47" t="n"/>
      <c r="E416" s="47" t="n"/>
      <c r="F416" s="47" t="n"/>
      <c r="G416" s="47" t="n"/>
      <c r="H416" s="47" t="n"/>
      <c r="I416" s="47" t="n"/>
      <c r="J416" s="47" t="n"/>
      <c r="K416" s="47" t="n"/>
      <c r="L416" s="47" t="n"/>
      <c r="M416" s="47" t="n"/>
      <c r="N416" s="47" t="n"/>
      <c r="O416" s="47" t="n"/>
      <c r="P416" s="47" t="n"/>
      <c r="Q416" s="47" t="n"/>
      <c r="R416" s="47" t="n"/>
      <c r="S416" s="47" t="n"/>
      <c r="T416" s="47" t="n"/>
      <c r="U416" s="53" t="n"/>
      <c r="V416" s="53" t="n"/>
      <c r="W416" s="47" t="n"/>
      <c r="X416" s="47" t="n"/>
      <c r="Y416" s="47" t="n"/>
      <c r="Z416" s="47" t="n"/>
      <c r="AA416" s="47" t="n"/>
      <c r="AB416" s="47" t="n"/>
      <c r="AC416" s="47" t="n"/>
      <c r="AD416" s="47" t="n"/>
      <c r="AE416" s="47" t="n"/>
      <c r="AF416" s="20">
        <f>IF(A416="","",YEAR(EDATE(A416,-3)))</f>
        <v/>
      </c>
      <c r="AG416" s="20">
        <f>IF(OR(B416="",'経歴簿'!$C$4=""),"",IF(B416&amp;""='経歴簿'!$C$4&amp;"",MAX($AG$4:AG415)+1,""))</f>
        <v/>
      </c>
      <c r="AH416" s="20">
        <f>IF(A416="",0,IF(AND(OR('CSV抽出'!$C$4="",A416&gt;='CSV抽出'!$C$4),OR('CSV抽出'!$C$5="",A416&lt;='CSV抽出'!$C$5),OR('CSV抽出'!$C$6="すべて",'CSV抽出'!$C$6="",D416='CSV抽出'!$C$6),OR('CSV抽出'!$C$7="",B416&amp;""='CSV抽出'!$C$7&amp;"")),1,0))</f>
        <v/>
      </c>
      <c r="AI416" s="20">
        <f>IF(AH416=1,SUM($AH$5:AH416),"")</f>
        <v/>
      </c>
      <c r="AJ416" s="20">
        <f>IF(OR(S416="",'報告書'!$C$4=""),"",IF(S416&amp;""='報告書'!$C$4&amp;"",COUNTIF($S$5:S416,'報告書'!$C$4),""))</f>
        <v/>
      </c>
      <c r="AK416" s="20" t="n"/>
      <c r="AL416" s="47" t="n"/>
      <c r="AM416" s="47" t="n"/>
      <c r="AN416" s="53" t="n"/>
      <c r="AO416" s="47" t="n"/>
      <c r="AP416" s="47" t="n"/>
      <c r="AQ416" s="47" t="n"/>
      <c r="AR416" s="47" t="n"/>
      <c r="AS416" s="47" t="n"/>
      <c r="AT416" s="47" t="n"/>
      <c r="AU416" s="47" t="n"/>
      <c r="AV416" s="47" t="n"/>
      <c r="AW416" s="52" t="n"/>
    </row>
    <row r="417">
      <c r="A417" s="48" t="n"/>
      <c r="B417" s="52" t="n"/>
      <c r="C417" s="47">
        <f>IF(B417="","",IFERROR(INDEX('隊員マスタ'!$B$5:$B$204,MATCH(B417&amp;"",'隊員マスタ'!$F$5:$F$204,0)),IF(AK417="","番号なし",AK417)))</f>
        <v/>
      </c>
      <c r="D417" s="47" t="n"/>
      <c r="E417" s="47" t="n"/>
      <c r="F417" s="47" t="n"/>
      <c r="G417" s="47" t="n"/>
      <c r="H417" s="47" t="n"/>
      <c r="I417" s="47" t="n"/>
      <c r="J417" s="47" t="n"/>
      <c r="K417" s="47" t="n"/>
      <c r="L417" s="47" t="n"/>
      <c r="M417" s="47" t="n"/>
      <c r="N417" s="47" t="n"/>
      <c r="O417" s="47" t="n"/>
      <c r="P417" s="47" t="n"/>
      <c r="Q417" s="47" t="n"/>
      <c r="R417" s="47" t="n"/>
      <c r="S417" s="47" t="n"/>
      <c r="T417" s="47" t="n"/>
      <c r="U417" s="53" t="n"/>
      <c r="V417" s="53" t="n"/>
      <c r="W417" s="47" t="n"/>
      <c r="X417" s="47" t="n"/>
      <c r="Y417" s="47" t="n"/>
      <c r="Z417" s="47" t="n"/>
      <c r="AA417" s="47" t="n"/>
      <c r="AB417" s="47" t="n"/>
      <c r="AC417" s="47" t="n"/>
      <c r="AD417" s="47" t="n"/>
      <c r="AE417" s="47" t="n"/>
      <c r="AF417" s="20">
        <f>IF(A417="","",YEAR(EDATE(A417,-3)))</f>
        <v/>
      </c>
      <c r="AG417" s="20">
        <f>IF(OR(B417="",'経歴簿'!$C$4=""),"",IF(B417&amp;""='経歴簿'!$C$4&amp;"",MAX($AG$4:AG416)+1,""))</f>
        <v/>
      </c>
      <c r="AH417" s="20">
        <f>IF(A417="",0,IF(AND(OR('CSV抽出'!$C$4="",A417&gt;='CSV抽出'!$C$4),OR('CSV抽出'!$C$5="",A417&lt;='CSV抽出'!$C$5),OR('CSV抽出'!$C$6="すべて",'CSV抽出'!$C$6="",D417='CSV抽出'!$C$6),OR('CSV抽出'!$C$7="",B417&amp;""='CSV抽出'!$C$7&amp;"")),1,0))</f>
        <v/>
      </c>
      <c r="AI417" s="20">
        <f>IF(AH417=1,SUM($AH$5:AH417),"")</f>
        <v/>
      </c>
      <c r="AJ417" s="20">
        <f>IF(OR(S417="",'報告書'!$C$4=""),"",IF(S417&amp;""='報告書'!$C$4&amp;"",COUNTIF($S$5:S417,'報告書'!$C$4),""))</f>
        <v/>
      </c>
      <c r="AK417" s="20" t="n"/>
      <c r="AL417" s="47" t="n"/>
      <c r="AM417" s="47" t="n"/>
      <c r="AN417" s="53" t="n"/>
      <c r="AO417" s="47" t="n"/>
      <c r="AP417" s="47" t="n"/>
      <c r="AQ417" s="47" t="n"/>
      <c r="AR417" s="47" t="n"/>
      <c r="AS417" s="47" t="n"/>
      <c r="AT417" s="47" t="n"/>
      <c r="AU417" s="47" t="n"/>
      <c r="AV417" s="47" t="n"/>
      <c r="AW417" s="52" t="n"/>
    </row>
    <row r="418">
      <c r="A418" s="48" t="n"/>
      <c r="B418" s="52" t="n"/>
      <c r="C418" s="47">
        <f>IF(B418="","",IFERROR(INDEX('隊員マスタ'!$B$5:$B$204,MATCH(B418&amp;"",'隊員マスタ'!$F$5:$F$204,0)),IF(AK418="","番号なし",AK418)))</f>
        <v/>
      </c>
      <c r="D418" s="47" t="n"/>
      <c r="E418" s="47" t="n"/>
      <c r="F418" s="47" t="n"/>
      <c r="G418" s="47" t="n"/>
      <c r="H418" s="47" t="n"/>
      <c r="I418" s="47" t="n"/>
      <c r="J418" s="47" t="n"/>
      <c r="K418" s="47" t="n"/>
      <c r="L418" s="47" t="n"/>
      <c r="M418" s="47" t="n"/>
      <c r="N418" s="47" t="n"/>
      <c r="O418" s="47" t="n"/>
      <c r="P418" s="47" t="n"/>
      <c r="Q418" s="47" t="n"/>
      <c r="R418" s="47" t="n"/>
      <c r="S418" s="47" t="n"/>
      <c r="T418" s="47" t="n"/>
      <c r="U418" s="53" t="n"/>
      <c r="V418" s="53" t="n"/>
      <c r="W418" s="47" t="n"/>
      <c r="X418" s="47" t="n"/>
      <c r="Y418" s="47" t="n"/>
      <c r="Z418" s="47" t="n"/>
      <c r="AA418" s="47" t="n"/>
      <c r="AB418" s="47" t="n"/>
      <c r="AC418" s="47" t="n"/>
      <c r="AD418" s="47" t="n"/>
      <c r="AE418" s="47" t="n"/>
      <c r="AF418" s="20">
        <f>IF(A418="","",YEAR(EDATE(A418,-3)))</f>
        <v/>
      </c>
      <c r="AG418" s="20">
        <f>IF(OR(B418="",'経歴簿'!$C$4=""),"",IF(B418&amp;""='経歴簿'!$C$4&amp;"",MAX($AG$4:AG417)+1,""))</f>
        <v/>
      </c>
      <c r="AH418" s="20">
        <f>IF(A418="",0,IF(AND(OR('CSV抽出'!$C$4="",A418&gt;='CSV抽出'!$C$4),OR('CSV抽出'!$C$5="",A418&lt;='CSV抽出'!$C$5),OR('CSV抽出'!$C$6="すべて",'CSV抽出'!$C$6="",D418='CSV抽出'!$C$6),OR('CSV抽出'!$C$7="",B418&amp;""='CSV抽出'!$C$7&amp;"")),1,0))</f>
        <v/>
      </c>
      <c r="AI418" s="20">
        <f>IF(AH418=1,SUM($AH$5:AH418),"")</f>
        <v/>
      </c>
      <c r="AJ418" s="20">
        <f>IF(OR(S418="",'報告書'!$C$4=""),"",IF(S418&amp;""='報告書'!$C$4&amp;"",COUNTIF($S$5:S418,'報告書'!$C$4),""))</f>
        <v/>
      </c>
      <c r="AK418" s="20" t="n"/>
      <c r="AL418" s="47" t="n"/>
      <c r="AM418" s="47" t="n"/>
      <c r="AN418" s="53" t="n"/>
      <c r="AO418" s="47" t="n"/>
      <c r="AP418" s="47" t="n"/>
      <c r="AQ418" s="47" t="n"/>
      <c r="AR418" s="47" t="n"/>
      <c r="AS418" s="47" t="n"/>
      <c r="AT418" s="47" t="n"/>
      <c r="AU418" s="47" t="n"/>
      <c r="AV418" s="47" t="n"/>
      <c r="AW418" s="52" t="n"/>
    </row>
    <row r="419">
      <c r="A419" s="48" t="n"/>
      <c r="B419" s="52" t="n"/>
      <c r="C419" s="47">
        <f>IF(B419="","",IFERROR(INDEX('隊員マスタ'!$B$5:$B$204,MATCH(B419&amp;"",'隊員マスタ'!$F$5:$F$204,0)),IF(AK419="","番号なし",AK419)))</f>
        <v/>
      </c>
      <c r="D419" s="47" t="n"/>
      <c r="E419" s="47" t="n"/>
      <c r="F419" s="47" t="n"/>
      <c r="G419" s="47" t="n"/>
      <c r="H419" s="47" t="n"/>
      <c r="I419" s="47" t="n"/>
      <c r="J419" s="47" t="n"/>
      <c r="K419" s="47" t="n"/>
      <c r="L419" s="47" t="n"/>
      <c r="M419" s="47" t="n"/>
      <c r="N419" s="47" t="n"/>
      <c r="O419" s="47" t="n"/>
      <c r="P419" s="47" t="n"/>
      <c r="Q419" s="47" t="n"/>
      <c r="R419" s="47" t="n"/>
      <c r="S419" s="47" t="n"/>
      <c r="T419" s="47" t="n"/>
      <c r="U419" s="53" t="n"/>
      <c r="V419" s="53" t="n"/>
      <c r="W419" s="47" t="n"/>
      <c r="X419" s="47" t="n"/>
      <c r="Y419" s="47" t="n"/>
      <c r="Z419" s="47" t="n"/>
      <c r="AA419" s="47" t="n"/>
      <c r="AB419" s="47" t="n"/>
      <c r="AC419" s="47" t="n"/>
      <c r="AD419" s="47" t="n"/>
      <c r="AE419" s="47" t="n"/>
      <c r="AF419" s="20">
        <f>IF(A419="","",YEAR(EDATE(A419,-3)))</f>
        <v/>
      </c>
      <c r="AG419" s="20">
        <f>IF(OR(B419="",'経歴簿'!$C$4=""),"",IF(B419&amp;""='経歴簿'!$C$4&amp;"",MAX($AG$4:AG418)+1,""))</f>
        <v/>
      </c>
      <c r="AH419" s="20">
        <f>IF(A419="",0,IF(AND(OR('CSV抽出'!$C$4="",A419&gt;='CSV抽出'!$C$4),OR('CSV抽出'!$C$5="",A419&lt;='CSV抽出'!$C$5),OR('CSV抽出'!$C$6="すべて",'CSV抽出'!$C$6="",D419='CSV抽出'!$C$6),OR('CSV抽出'!$C$7="",B419&amp;""='CSV抽出'!$C$7&amp;"")),1,0))</f>
        <v/>
      </c>
      <c r="AI419" s="20">
        <f>IF(AH419=1,SUM($AH$5:AH419),"")</f>
        <v/>
      </c>
      <c r="AJ419" s="20">
        <f>IF(OR(S419="",'報告書'!$C$4=""),"",IF(S419&amp;""='報告書'!$C$4&amp;"",COUNTIF($S$5:S419,'報告書'!$C$4),""))</f>
        <v/>
      </c>
      <c r="AK419" s="20" t="n"/>
      <c r="AL419" s="47" t="n"/>
      <c r="AM419" s="47" t="n"/>
      <c r="AN419" s="53" t="n"/>
      <c r="AO419" s="47" t="n"/>
      <c r="AP419" s="47" t="n"/>
      <c r="AQ419" s="47" t="n"/>
      <c r="AR419" s="47" t="n"/>
      <c r="AS419" s="47" t="n"/>
      <c r="AT419" s="47" t="n"/>
      <c r="AU419" s="47" t="n"/>
      <c r="AV419" s="47" t="n"/>
      <c r="AW419" s="52" t="n"/>
    </row>
    <row r="420">
      <c r="A420" s="48" t="n"/>
      <c r="B420" s="52" t="n"/>
      <c r="C420" s="47">
        <f>IF(B420="","",IFERROR(INDEX('隊員マスタ'!$B$5:$B$204,MATCH(B420&amp;"",'隊員マスタ'!$F$5:$F$204,0)),IF(AK420="","番号なし",AK420)))</f>
        <v/>
      </c>
      <c r="D420" s="47" t="n"/>
      <c r="E420" s="47" t="n"/>
      <c r="F420" s="47" t="n"/>
      <c r="G420" s="47" t="n"/>
      <c r="H420" s="47" t="n"/>
      <c r="I420" s="47" t="n"/>
      <c r="J420" s="47" t="n"/>
      <c r="K420" s="47" t="n"/>
      <c r="L420" s="47" t="n"/>
      <c r="M420" s="47" t="n"/>
      <c r="N420" s="47" t="n"/>
      <c r="O420" s="47" t="n"/>
      <c r="P420" s="47" t="n"/>
      <c r="Q420" s="47" t="n"/>
      <c r="R420" s="47" t="n"/>
      <c r="S420" s="47" t="n"/>
      <c r="T420" s="47" t="n"/>
      <c r="U420" s="53" t="n"/>
      <c r="V420" s="53" t="n"/>
      <c r="W420" s="47" t="n"/>
      <c r="X420" s="47" t="n"/>
      <c r="Y420" s="47" t="n"/>
      <c r="Z420" s="47" t="n"/>
      <c r="AA420" s="47" t="n"/>
      <c r="AB420" s="47" t="n"/>
      <c r="AC420" s="47" t="n"/>
      <c r="AD420" s="47" t="n"/>
      <c r="AE420" s="47" t="n"/>
      <c r="AF420" s="20">
        <f>IF(A420="","",YEAR(EDATE(A420,-3)))</f>
        <v/>
      </c>
      <c r="AG420" s="20">
        <f>IF(OR(B420="",'経歴簿'!$C$4=""),"",IF(B420&amp;""='経歴簿'!$C$4&amp;"",MAX($AG$4:AG419)+1,""))</f>
        <v/>
      </c>
      <c r="AH420" s="20">
        <f>IF(A420="",0,IF(AND(OR('CSV抽出'!$C$4="",A420&gt;='CSV抽出'!$C$4),OR('CSV抽出'!$C$5="",A420&lt;='CSV抽出'!$C$5),OR('CSV抽出'!$C$6="すべて",'CSV抽出'!$C$6="",D420='CSV抽出'!$C$6),OR('CSV抽出'!$C$7="",B420&amp;""='CSV抽出'!$C$7&amp;"")),1,0))</f>
        <v/>
      </c>
      <c r="AI420" s="20">
        <f>IF(AH420=1,SUM($AH$5:AH420),"")</f>
        <v/>
      </c>
      <c r="AJ420" s="20">
        <f>IF(OR(S420="",'報告書'!$C$4=""),"",IF(S420&amp;""='報告書'!$C$4&amp;"",COUNTIF($S$5:S420,'報告書'!$C$4),""))</f>
        <v/>
      </c>
      <c r="AK420" s="20" t="n"/>
      <c r="AL420" s="47" t="n"/>
      <c r="AM420" s="47" t="n"/>
      <c r="AN420" s="53" t="n"/>
      <c r="AO420" s="47" t="n"/>
      <c r="AP420" s="47" t="n"/>
      <c r="AQ420" s="47" t="n"/>
      <c r="AR420" s="47" t="n"/>
      <c r="AS420" s="47" t="n"/>
      <c r="AT420" s="47" t="n"/>
      <c r="AU420" s="47" t="n"/>
      <c r="AV420" s="47" t="n"/>
      <c r="AW420" s="52" t="n"/>
    </row>
    <row r="421">
      <c r="A421" s="48" t="n"/>
      <c r="B421" s="52" t="n"/>
      <c r="C421" s="47">
        <f>IF(B421="","",IFERROR(INDEX('隊員マスタ'!$B$5:$B$204,MATCH(B421&amp;"",'隊員マスタ'!$F$5:$F$204,0)),IF(AK421="","番号なし",AK421)))</f>
        <v/>
      </c>
      <c r="D421" s="47" t="n"/>
      <c r="E421" s="47" t="n"/>
      <c r="F421" s="47" t="n"/>
      <c r="G421" s="47" t="n"/>
      <c r="H421" s="47" t="n"/>
      <c r="I421" s="47" t="n"/>
      <c r="J421" s="47" t="n"/>
      <c r="K421" s="47" t="n"/>
      <c r="L421" s="47" t="n"/>
      <c r="M421" s="47" t="n"/>
      <c r="N421" s="47" t="n"/>
      <c r="O421" s="47" t="n"/>
      <c r="P421" s="47" t="n"/>
      <c r="Q421" s="47" t="n"/>
      <c r="R421" s="47" t="n"/>
      <c r="S421" s="47" t="n"/>
      <c r="T421" s="47" t="n"/>
      <c r="U421" s="53" t="n"/>
      <c r="V421" s="53" t="n"/>
      <c r="W421" s="47" t="n"/>
      <c r="X421" s="47" t="n"/>
      <c r="Y421" s="47" t="n"/>
      <c r="Z421" s="47" t="n"/>
      <c r="AA421" s="47" t="n"/>
      <c r="AB421" s="47" t="n"/>
      <c r="AC421" s="47" t="n"/>
      <c r="AD421" s="47" t="n"/>
      <c r="AE421" s="47" t="n"/>
      <c r="AF421" s="20">
        <f>IF(A421="","",YEAR(EDATE(A421,-3)))</f>
        <v/>
      </c>
      <c r="AG421" s="20">
        <f>IF(OR(B421="",'経歴簿'!$C$4=""),"",IF(B421&amp;""='経歴簿'!$C$4&amp;"",MAX($AG$4:AG420)+1,""))</f>
        <v/>
      </c>
      <c r="AH421" s="20">
        <f>IF(A421="",0,IF(AND(OR('CSV抽出'!$C$4="",A421&gt;='CSV抽出'!$C$4),OR('CSV抽出'!$C$5="",A421&lt;='CSV抽出'!$C$5),OR('CSV抽出'!$C$6="すべて",'CSV抽出'!$C$6="",D421='CSV抽出'!$C$6),OR('CSV抽出'!$C$7="",B421&amp;""='CSV抽出'!$C$7&amp;"")),1,0))</f>
        <v/>
      </c>
      <c r="AI421" s="20">
        <f>IF(AH421=1,SUM($AH$5:AH421),"")</f>
        <v/>
      </c>
      <c r="AJ421" s="20">
        <f>IF(OR(S421="",'報告書'!$C$4=""),"",IF(S421&amp;""='報告書'!$C$4&amp;"",COUNTIF($S$5:S421,'報告書'!$C$4),""))</f>
        <v/>
      </c>
      <c r="AK421" s="20" t="n"/>
      <c r="AL421" s="47" t="n"/>
      <c r="AM421" s="47" t="n"/>
      <c r="AN421" s="53" t="n"/>
      <c r="AO421" s="47" t="n"/>
      <c r="AP421" s="47" t="n"/>
      <c r="AQ421" s="47" t="n"/>
      <c r="AR421" s="47" t="n"/>
      <c r="AS421" s="47" t="n"/>
      <c r="AT421" s="47" t="n"/>
      <c r="AU421" s="47" t="n"/>
      <c r="AV421" s="47" t="n"/>
      <c r="AW421" s="52" t="n"/>
    </row>
    <row r="422">
      <c r="A422" s="48" t="n"/>
      <c r="B422" s="52" t="n"/>
      <c r="C422" s="47">
        <f>IF(B422="","",IFERROR(INDEX('隊員マスタ'!$B$5:$B$204,MATCH(B422&amp;"",'隊員マスタ'!$F$5:$F$204,0)),IF(AK422="","番号なし",AK422)))</f>
        <v/>
      </c>
      <c r="D422" s="47" t="n"/>
      <c r="E422" s="47" t="n"/>
      <c r="F422" s="47" t="n"/>
      <c r="G422" s="47" t="n"/>
      <c r="H422" s="47" t="n"/>
      <c r="I422" s="47" t="n"/>
      <c r="J422" s="47" t="n"/>
      <c r="K422" s="47" t="n"/>
      <c r="L422" s="47" t="n"/>
      <c r="M422" s="47" t="n"/>
      <c r="N422" s="47" t="n"/>
      <c r="O422" s="47" t="n"/>
      <c r="P422" s="47" t="n"/>
      <c r="Q422" s="47" t="n"/>
      <c r="R422" s="47" t="n"/>
      <c r="S422" s="47" t="n"/>
      <c r="T422" s="47" t="n"/>
      <c r="U422" s="53" t="n"/>
      <c r="V422" s="53" t="n"/>
      <c r="W422" s="47" t="n"/>
      <c r="X422" s="47" t="n"/>
      <c r="Y422" s="47" t="n"/>
      <c r="Z422" s="47" t="n"/>
      <c r="AA422" s="47" t="n"/>
      <c r="AB422" s="47" t="n"/>
      <c r="AC422" s="47" t="n"/>
      <c r="AD422" s="47" t="n"/>
      <c r="AE422" s="47" t="n"/>
      <c r="AF422" s="20">
        <f>IF(A422="","",YEAR(EDATE(A422,-3)))</f>
        <v/>
      </c>
      <c r="AG422" s="20">
        <f>IF(OR(B422="",'経歴簿'!$C$4=""),"",IF(B422&amp;""='経歴簿'!$C$4&amp;"",MAX($AG$4:AG421)+1,""))</f>
        <v/>
      </c>
      <c r="AH422" s="20">
        <f>IF(A422="",0,IF(AND(OR('CSV抽出'!$C$4="",A422&gt;='CSV抽出'!$C$4),OR('CSV抽出'!$C$5="",A422&lt;='CSV抽出'!$C$5),OR('CSV抽出'!$C$6="すべて",'CSV抽出'!$C$6="",D422='CSV抽出'!$C$6),OR('CSV抽出'!$C$7="",B422&amp;""='CSV抽出'!$C$7&amp;"")),1,0))</f>
        <v/>
      </c>
      <c r="AI422" s="20">
        <f>IF(AH422=1,SUM($AH$5:AH422),"")</f>
        <v/>
      </c>
      <c r="AJ422" s="20">
        <f>IF(OR(S422="",'報告書'!$C$4=""),"",IF(S422&amp;""='報告書'!$C$4&amp;"",COUNTIF($S$5:S422,'報告書'!$C$4),""))</f>
        <v/>
      </c>
      <c r="AK422" s="20" t="n"/>
      <c r="AL422" s="47" t="n"/>
      <c r="AM422" s="47" t="n"/>
      <c r="AN422" s="53" t="n"/>
      <c r="AO422" s="47" t="n"/>
      <c r="AP422" s="47" t="n"/>
      <c r="AQ422" s="47" t="n"/>
      <c r="AR422" s="47" t="n"/>
      <c r="AS422" s="47" t="n"/>
      <c r="AT422" s="47" t="n"/>
      <c r="AU422" s="47" t="n"/>
      <c r="AV422" s="47" t="n"/>
      <c r="AW422" s="52" t="n"/>
    </row>
    <row r="423">
      <c r="A423" s="48" t="n"/>
      <c r="B423" s="52" t="n"/>
      <c r="C423" s="47">
        <f>IF(B423="","",IFERROR(INDEX('隊員マスタ'!$B$5:$B$204,MATCH(B423&amp;"",'隊員マスタ'!$F$5:$F$204,0)),IF(AK423="","番号なし",AK423)))</f>
        <v/>
      </c>
      <c r="D423" s="47" t="n"/>
      <c r="E423" s="47" t="n"/>
      <c r="F423" s="47" t="n"/>
      <c r="G423" s="47" t="n"/>
      <c r="H423" s="47" t="n"/>
      <c r="I423" s="47" t="n"/>
      <c r="J423" s="47" t="n"/>
      <c r="K423" s="47" t="n"/>
      <c r="L423" s="47" t="n"/>
      <c r="M423" s="47" t="n"/>
      <c r="N423" s="47" t="n"/>
      <c r="O423" s="47" t="n"/>
      <c r="P423" s="47" t="n"/>
      <c r="Q423" s="47" t="n"/>
      <c r="R423" s="47" t="n"/>
      <c r="S423" s="47" t="n"/>
      <c r="T423" s="47" t="n"/>
      <c r="U423" s="53" t="n"/>
      <c r="V423" s="53" t="n"/>
      <c r="W423" s="47" t="n"/>
      <c r="X423" s="47" t="n"/>
      <c r="Y423" s="47" t="n"/>
      <c r="Z423" s="47" t="n"/>
      <c r="AA423" s="47" t="n"/>
      <c r="AB423" s="47" t="n"/>
      <c r="AC423" s="47" t="n"/>
      <c r="AD423" s="47" t="n"/>
      <c r="AE423" s="47" t="n"/>
      <c r="AF423" s="20">
        <f>IF(A423="","",YEAR(EDATE(A423,-3)))</f>
        <v/>
      </c>
      <c r="AG423" s="20">
        <f>IF(OR(B423="",'経歴簿'!$C$4=""),"",IF(B423&amp;""='経歴簿'!$C$4&amp;"",MAX($AG$4:AG422)+1,""))</f>
        <v/>
      </c>
      <c r="AH423" s="20">
        <f>IF(A423="",0,IF(AND(OR('CSV抽出'!$C$4="",A423&gt;='CSV抽出'!$C$4),OR('CSV抽出'!$C$5="",A423&lt;='CSV抽出'!$C$5),OR('CSV抽出'!$C$6="すべて",'CSV抽出'!$C$6="",D423='CSV抽出'!$C$6),OR('CSV抽出'!$C$7="",B423&amp;""='CSV抽出'!$C$7&amp;"")),1,0))</f>
        <v/>
      </c>
      <c r="AI423" s="20">
        <f>IF(AH423=1,SUM($AH$5:AH423),"")</f>
        <v/>
      </c>
      <c r="AJ423" s="20">
        <f>IF(OR(S423="",'報告書'!$C$4=""),"",IF(S423&amp;""='報告書'!$C$4&amp;"",COUNTIF($S$5:S423,'報告書'!$C$4),""))</f>
        <v/>
      </c>
      <c r="AK423" s="20" t="n"/>
      <c r="AL423" s="47" t="n"/>
      <c r="AM423" s="47" t="n"/>
      <c r="AN423" s="53" t="n"/>
      <c r="AO423" s="47" t="n"/>
      <c r="AP423" s="47" t="n"/>
      <c r="AQ423" s="47" t="n"/>
      <c r="AR423" s="47" t="n"/>
      <c r="AS423" s="47" t="n"/>
      <c r="AT423" s="47" t="n"/>
      <c r="AU423" s="47" t="n"/>
      <c r="AV423" s="47" t="n"/>
      <c r="AW423" s="52" t="n"/>
    </row>
    <row r="424">
      <c r="A424" s="48" t="n"/>
      <c r="B424" s="52" t="n"/>
      <c r="C424" s="47">
        <f>IF(B424="","",IFERROR(INDEX('隊員マスタ'!$B$5:$B$204,MATCH(B424&amp;"",'隊員マスタ'!$F$5:$F$204,0)),IF(AK424="","番号なし",AK424)))</f>
        <v/>
      </c>
      <c r="D424" s="47" t="n"/>
      <c r="E424" s="47" t="n"/>
      <c r="F424" s="47" t="n"/>
      <c r="G424" s="47" t="n"/>
      <c r="H424" s="47" t="n"/>
      <c r="I424" s="47" t="n"/>
      <c r="J424" s="47" t="n"/>
      <c r="K424" s="47" t="n"/>
      <c r="L424" s="47" t="n"/>
      <c r="M424" s="47" t="n"/>
      <c r="N424" s="47" t="n"/>
      <c r="O424" s="47" t="n"/>
      <c r="P424" s="47" t="n"/>
      <c r="Q424" s="47" t="n"/>
      <c r="R424" s="47" t="n"/>
      <c r="S424" s="47" t="n"/>
      <c r="T424" s="47" t="n"/>
      <c r="U424" s="53" t="n"/>
      <c r="V424" s="53" t="n"/>
      <c r="W424" s="47" t="n"/>
      <c r="X424" s="47" t="n"/>
      <c r="Y424" s="47" t="n"/>
      <c r="Z424" s="47" t="n"/>
      <c r="AA424" s="47" t="n"/>
      <c r="AB424" s="47" t="n"/>
      <c r="AC424" s="47" t="n"/>
      <c r="AD424" s="47" t="n"/>
      <c r="AE424" s="47" t="n"/>
      <c r="AF424" s="20">
        <f>IF(A424="","",YEAR(EDATE(A424,-3)))</f>
        <v/>
      </c>
      <c r="AG424" s="20">
        <f>IF(OR(B424="",'経歴簿'!$C$4=""),"",IF(B424&amp;""='経歴簿'!$C$4&amp;"",MAX($AG$4:AG423)+1,""))</f>
        <v/>
      </c>
      <c r="AH424" s="20">
        <f>IF(A424="",0,IF(AND(OR('CSV抽出'!$C$4="",A424&gt;='CSV抽出'!$C$4),OR('CSV抽出'!$C$5="",A424&lt;='CSV抽出'!$C$5),OR('CSV抽出'!$C$6="すべて",'CSV抽出'!$C$6="",D424='CSV抽出'!$C$6),OR('CSV抽出'!$C$7="",B424&amp;""='CSV抽出'!$C$7&amp;"")),1,0))</f>
        <v/>
      </c>
      <c r="AI424" s="20">
        <f>IF(AH424=1,SUM($AH$5:AH424),"")</f>
        <v/>
      </c>
      <c r="AJ424" s="20">
        <f>IF(OR(S424="",'報告書'!$C$4=""),"",IF(S424&amp;""='報告書'!$C$4&amp;"",COUNTIF($S$5:S424,'報告書'!$C$4),""))</f>
        <v/>
      </c>
      <c r="AK424" s="20" t="n"/>
      <c r="AL424" s="47" t="n"/>
      <c r="AM424" s="47" t="n"/>
      <c r="AN424" s="53" t="n"/>
      <c r="AO424" s="47" t="n"/>
      <c r="AP424" s="47" t="n"/>
      <c r="AQ424" s="47" t="n"/>
      <c r="AR424" s="47" t="n"/>
      <c r="AS424" s="47" t="n"/>
      <c r="AT424" s="47" t="n"/>
      <c r="AU424" s="47" t="n"/>
      <c r="AV424" s="47" t="n"/>
      <c r="AW424" s="52" t="n"/>
    </row>
    <row r="425">
      <c r="A425" s="48" t="n"/>
      <c r="B425" s="52" t="n"/>
      <c r="C425" s="47">
        <f>IF(B425="","",IFERROR(INDEX('隊員マスタ'!$B$5:$B$204,MATCH(B425&amp;"",'隊員マスタ'!$F$5:$F$204,0)),IF(AK425="","番号なし",AK425)))</f>
        <v/>
      </c>
      <c r="D425" s="47" t="n"/>
      <c r="E425" s="47" t="n"/>
      <c r="F425" s="47" t="n"/>
      <c r="G425" s="47" t="n"/>
      <c r="H425" s="47" t="n"/>
      <c r="I425" s="47" t="n"/>
      <c r="J425" s="47" t="n"/>
      <c r="K425" s="47" t="n"/>
      <c r="L425" s="47" t="n"/>
      <c r="M425" s="47" t="n"/>
      <c r="N425" s="47" t="n"/>
      <c r="O425" s="47" t="n"/>
      <c r="P425" s="47" t="n"/>
      <c r="Q425" s="47" t="n"/>
      <c r="R425" s="47" t="n"/>
      <c r="S425" s="47" t="n"/>
      <c r="T425" s="47" t="n"/>
      <c r="U425" s="53" t="n"/>
      <c r="V425" s="53" t="n"/>
      <c r="W425" s="47" t="n"/>
      <c r="X425" s="47" t="n"/>
      <c r="Y425" s="47" t="n"/>
      <c r="Z425" s="47" t="n"/>
      <c r="AA425" s="47" t="n"/>
      <c r="AB425" s="47" t="n"/>
      <c r="AC425" s="47" t="n"/>
      <c r="AD425" s="47" t="n"/>
      <c r="AE425" s="47" t="n"/>
      <c r="AF425" s="20">
        <f>IF(A425="","",YEAR(EDATE(A425,-3)))</f>
        <v/>
      </c>
      <c r="AG425" s="20">
        <f>IF(OR(B425="",'経歴簿'!$C$4=""),"",IF(B425&amp;""='経歴簿'!$C$4&amp;"",MAX($AG$4:AG424)+1,""))</f>
        <v/>
      </c>
      <c r="AH425" s="20">
        <f>IF(A425="",0,IF(AND(OR('CSV抽出'!$C$4="",A425&gt;='CSV抽出'!$C$4),OR('CSV抽出'!$C$5="",A425&lt;='CSV抽出'!$C$5),OR('CSV抽出'!$C$6="すべて",'CSV抽出'!$C$6="",D425='CSV抽出'!$C$6),OR('CSV抽出'!$C$7="",B425&amp;""='CSV抽出'!$C$7&amp;"")),1,0))</f>
        <v/>
      </c>
      <c r="AI425" s="20">
        <f>IF(AH425=1,SUM($AH$5:AH425),"")</f>
        <v/>
      </c>
      <c r="AJ425" s="20">
        <f>IF(OR(S425="",'報告書'!$C$4=""),"",IF(S425&amp;""='報告書'!$C$4&amp;"",COUNTIF($S$5:S425,'報告書'!$C$4),""))</f>
        <v/>
      </c>
      <c r="AK425" s="20" t="n"/>
      <c r="AL425" s="47" t="n"/>
      <c r="AM425" s="47" t="n"/>
      <c r="AN425" s="53" t="n"/>
      <c r="AO425" s="47" t="n"/>
      <c r="AP425" s="47" t="n"/>
      <c r="AQ425" s="47" t="n"/>
      <c r="AR425" s="47" t="n"/>
      <c r="AS425" s="47" t="n"/>
      <c r="AT425" s="47" t="n"/>
      <c r="AU425" s="47" t="n"/>
      <c r="AV425" s="47" t="n"/>
      <c r="AW425" s="52" t="n"/>
    </row>
    <row r="426">
      <c r="A426" s="48" t="n"/>
      <c r="B426" s="52" t="n"/>
      <c r="C426" s="47">
        <f>IF(B426="","",IFERROR(INDEX('隊員マスタ'!$B$5:$B$204,MATCH(B426&amp;"",'隊員マスタ'!$F$5:$F$204,0)),IF(AK426="","番号なし",AK426)))</f>
        <v/>
      </c>
      <c r="D426" s="47" t="n"/>
      <c r="E426" s="47" t="n"/>
      <c r="F426" s="47" t="n"/>
      <c r="G426" s="47" t="n"/>
      <c r="H426" s="47" t="n"/>
      <c r="I426" s="47" t="n"/>
      <c r="J426" s="47" t="n"/>
      <c r="K426" s="47" t="n"/>
      <c r="L426" s="47" t="n"/>
      <c r="M426" s="47" t="n"/>
      <c r="N426" s="47" t="n"/>
      <c r="O426" s="47" t="n"/>
      <c r="P426" s="47" t="n"/>
      <c r="Q426" s="47" t="n"/>
      <c r="R426" s="47" t="n"/>
      <c r="S426" s="47" t="n"/>
      <c r="T426" s="47" t="n"/>
      <c r="U426" s="53" t="n"/>
      <c r="V426" s="53" t="n"/>
      <c r="W426" s="47" t="n"/>
      <c r="X426" s="47" t="n"/>
      <c r="Y426" s="47" t="n"/>
      <c r="Z426" s="47" t="n"/>
      <c r="AA426" s="47" t="n"/>
      <c r="AB426" s="47" t="n"/>
      <c r="AC426" s="47" t="n"/>
      <c r="AD426" s="47" t="n"/>
      <c r="AE426" s="47" t="n"/>
      <c r="AF426" s="20">
        <f>IF(A426="","",YEAR(EDATE(A426,-3)))</f>
        <v/>
      </c>
      <c r="AG426" s="20">
        <f>IF(OR(B426="",'経歴簿'!$C$4=""),"",IF(B426&amp;""='経歴簿'!$C$4&amp;"",MAX($AG$4:AG425)+1,""))</f>
        <v/>
      </c>
      <c r="AH426" s="20">
        <f>IF(A426="",0,IF(AND(OR('CSV抽出'!$C$4="",A426&gt;='CSV抽出'!$C$4),OR('CSV抽出'!$C$5="",A426&lt;='CSV抽出'!$C$5),OR('CSV抽出'!$C$6="すべて",'CSV抽出'!$C$6="",D426='CSV抽出'!$C$6),OR('CSV抽出'!$C$7="",B426&amp;""='CSV抽出'!$C$7&amp;"")),1,0))</f>
        <v/>
      </c>
      <c r="AI426" s="20">
        <f>IF(AH426=1,SUM($AH$5:AH426),"")</f>
        <v/>
      </c>
      <c r="AJ426" s="20">
        <f>IF(OR(S426="",'報告書'!$C$4=""),"",IF(S426&amp;""='報告書'!$C$4&amp;"",COUNTIF($S$5:S426,'報告書'!$C$4),""))</f>
        <v/>
      </c>
      <c r="AK426" s="20" t="n"/>
      <c r="AL426" s="47" t="n"/>
      <c r="AM426" s="47" t="n"/>
      <c r="AN426" s="53" t="n"/>
      <c r="AO426" s="47" t="n"/>
      <c r="AP426" s="47" t="n"/>
      <c r="AQ426" s="47" t="n"/>
      <c r="AR426" s="47" t="n"/>
      <c r="AS426" s="47" t="n"/>
      <c r="AT426" s="47" t="n"/>
      <c r="AU426" s="47" t="n"/>
      <c r="AV426" s="47" t="n"/>
      <c r="AW426" s="52" t="n"/>
    </row>
    <row r="427">
      <c r="A427" s="48" t="n"/>
      <c r="B427" s="52" t="n"/>
      <c r="C427" s="47">
        <f>IF(B427="","",IFERROR(INDEX('隊員マスタ'!$B$5:$B$204,MATCH(B427&amp;"",'隊員マスタ'!$F$5:$F$204,0)),IF(AK427="","番号なし",AK427)))</f>
        <v/>
      </c>
      <c r="D427" s="47" t="n"/>
      <c r="E427" s="47" t="n"/>
      <c r="F427" s="47" t="n"/>
      <c r="G427" s="47" t="n"/>
      <c r="H427" s="47" t="n"/>
      <c r="I427" s="47" t="n"/>
      <c r="J427" s="47" t="n"/>
      <c r="K427" s="47" t="n"/>
      <c r="L427" s="47" t="n"/>
      <c r="M427" s="47" t="n"/>
      <c r="N427" s="47" t="n"/>
      <c r="O427" s="47" t="n"/>
      <c r="P427" s="47" t="n"/>
      <c r="Q427" s="47" t="n"/>
      <c r="R427" s="47" t="n"/>
      <c r="S427" s="47" t="n"/>
      <c r="T427" s="47" t="n"/>
      <c r="U427" s="53" t="n"/>
      <c r="V427" s="53" t="n"/>
      <c r="W427" s="47" t="n"/>
      <c r="X427" s="47" t="n"/>
      <c r="Y427" s="47" t="n"/>
      <c r="Z427" s="47" t="n"/>
      <c r="AA427" s="47" t="n"/>
      <c r="AB427" s="47" t="n"/>
      <c r="AC427" s="47" t="n"/>
      <c r="AD427" s="47" t="n"/>
      <c r="AE427" s="47" t="n"/>
      <c r="AF427" s="20">
        <f>IF(A427="","",YEAR(EDATE(A427,-3)))</f>
        <v/>
      </c>
      <c r="AG427" s="20">
        <f>IF(OR(B427="",'経歴簿'!$C$4=""),"",IF(B427&amp;""='経歴簿'!$C$4&amp;"",MAX($AG$4:AG426)+1,""))</f>
        <v/>
      </c>
      <c r="AH427" s="20">
        <f>IF(A427="",0,IF(AND(OR('CSV抽出'!$C$4="",A427&gt;='CSV抽出'!$C$4),OR('CSV抽出'!$C$5="",A427&lt;='CSV抽出'!$C$5),OR('CSV抽出'!$C$6="すべて",'CSV抽出'!$C$6="",D427='CSV抽出'!$C$6),OR('CSV抽出'!$C$7="",B427&amp;""='CSV抽出'!$C$7&amp;"")),1,0))</f>
        <v/>
      </c>
      <c r="AI427" s="20">
        <f>IF(AH427=1,SUM($AH$5:AH427),"")</f>
        <v/>
      </c>
      <c r="AJ427" s="20">
        <f>IF(OR(S427="",'報告書'!$C$4=""),"",IF(S427&amp;""='報告書'!$C$4&amp;"",COUNTIF($S$5:S427,'報告書'!$C$4),""))</f>
        <v/>
      </c>
      <c r="AK427" s="20" t="n"/>
      <c r="AL427" s="47" t="n"/>
      <c r="AM427" s="47" t="n"/>
      <c r="AN427" s="53" t="n"/>
      <c r="AO427" s="47" t="n"/>
      <c r="AP427" s="47" t="n"/>
      <c r="AQ427" s="47" t="n"/>
      <c r="AR427" s="47" t="n"/>
      <c r="AS427" s="47" t="n"/>
      <c r="AT427" s="47" t="n"/>
      <c r="AU427" s="47" t="n"/>
      <c r="AV427" s="47" t="n"/>
      <c r="AW427" s="52" t="n"/>
    </row>
    <row r="428">
      <c r="A428" s="48" t="n"/>
      <c r="B428" s="52" t="n"/>
      <c r="C428" s="47">
        <f>IF(B428="","",IFERROR(INDEX('隊員マスタ'!$B$5:$B$204,MATCH(B428&amp;"",'隊員マスタ'!$F$5:$F$204,0)),IF(AK428="","番号なし",AK428)))</f>
        <v/>
      </c>
      <c r="D428" s="47" t="n"/>
      <c r="E428" s="47" t="n"/>
      <c r="F428" s="47" t="n"/>
      <c r="G428" s="47" t="n"/>
      <c r="H428" s="47" t="n"/>
      <c r="I428" s="47" t="n"/>
      <c r="J428" s="47" t="n"/>
      <c r="K428" s="47" t="n"/>
      <c r="L428" s="47" t="n"/>
      <c r="M428" s="47" t="n"/>
      <c r="N428" s="47" t="n"/>
      <c r="O428" s="47" t="n"/>
      <c r="P428" s="47" t="n"/>
      <c r="Q428" s="47" t="n"/>
      <c r="R428" s="47" t="n"/>
      <c r="S428" s="47" t="n"/>
      <c r="T428" s="47" t="n"/>
      <c r="U428" s="53" t="n"/>
      <c r="V428" s="53" t="n"/>
      <c r="W428" s="47" t="n"/>
      <c r="X428" s="47" t="n"/>
      <c r="Y428" s="47" t="n"/>
      <c r="Z428" s="47" t="n"/>
      <c r="AA428" s="47" t="n"/>
      <c r="AB428" s="47" t="n"/>
      <c r="AC428" s="47" t="n"/>
      <c r="AD428" s="47" t="n"/>
      <c r="AE428" s="47" t="n"/>
      <c r="AF428" s="20">
        <f>IF(A428="","",YEAR(EDATE(A428,-3)))</f>
        <v/>
      </c>
      <c r="AG428" s="20">
        <f>IF(OR(B428="",'経歴簿'!$C$4=""),"",IF(B428&amp;""='経歴簿'!$C$4&amp;"",MAX($AG$4:AG427)+1,""))</f>
        <v/>
      </c>
      <c r="AH428" s="20">
        <f>IF(A428="",0,IF(AND(OR('CSV抽出'!$C$4="",A428&gt;='CSV抽出'!$C$4),OR('CSV抽出'!$C$5="",A428&lt;='CSV抽出'!$C$5),OR('CSV抽出'!$C$6="すべて",'CSV抽出'!$C$6="",D428='CSV抽出'!$C$6),OR('CSV抽出'!$C$7="",B428&amp;""='CSV抽出'!$C$7&amp;"")),1,0))</f>
        <v/>
      </c>
      <c r="AI428" s="20">
        <f>IF(AH428=1,SUM($AH$5:AH428),"")</f>
        <v/>
      </c>
      <c r="AJ428" s="20">
        <f>IF(OR(S428="",'報告書'!$C$4=""),"",IF(S428&amp;""='報告書'!$C$4&amp;"",COUNTIF($S$5:S428,'報告書'!$C$4),""))</f>
        <v/>
      </c>
      <c r="AK428" s="20" t="n"/>
      <c r="AL428" s="47" t="n"/>
      <c r="AM428" s="47" t="n"/>
      <c r="AN428" s="53" t="n"/>
      <c r="AO428" s="47" t="n"/>
      <c r="AP428" s="47" t="n"/>
      <c r="AQ428" s="47" t="n"/>
      <c r="AR428" s="47" t="n"/>
      <c r="AS428" s="47" t="n"/>
      <c r="AT428" s="47" t="n"/>
      <c r="AU428" s="47" t="n"/>
      <c r="AV428" s="47" t="n"/>
      <c r="AW428" s="52" t="n"/>
    </row>
    <row r="429">
      <c r="A429" s="48" t="n"/>
      <c r="B429" s="52" t="n"/>
      <c r="C429" s="47">
        <f>IF(B429="","",IFERROR(INDEX('隊員マスタ'!$B$5:$B$204,MATCH(B429&amp;"",'隊員マスタ'!$F$5:$F$204,0)),IF(AK429="","番号なし",AK429)))</f>
        <v/>
      </c>
      <c r="D429" s="47" t="n"/>
      <c r="E429" s="47" t="n"/>
      <c r="F429" s="47" t="n"/>
      <c r="G429" s="47" t="n"/>
      <c r="H429" s="47" t="n"/>
      <c r="I429" s="47" t="n"/>
      <c r="J429" s="47" t="n"/>
      <c r="K429" s="47" t="n"/>
      <c r="L429" s="47" t="n"/>
      <c r="M429" s="47" t="n"/>
      <c r="N429" s="47" t="n"/>
      <c r="O429" s="47" t="n"/>
      <c r="P429" s="47" t="n"/>
      <c r="Q429" s="47" t="n"/>
      <c r="R429" s="47" t="n"/>
      <c r="S429" s="47" t="n"/>
      <c r="T429" s="47" t="n"/>
      <c r="U429" s="53" t="n"/>
      <c r="V429" s="53" t="n"/>
      <c r="W429" s="47" t="n"/>
      <c r="X429" s="47" t="n"/>
      <c r="Y429" s="47" t="n"/>
      <c r="Z429" s="47" t="n"/>
      <c r="AA429" s="47" t="n"/>
      <c r="AB429" s="47" t="n"/>
      <c r="AC429" s="47" t="n"/>
      <c r="AD429" s="47" t="n"/>
      <c r="AE429" s="47" t="n"/>
      <c r="AF429" s="20">
        <f>IF(A429="","",YEAR(EDATE(A429,-3)))</f>
        <v/>
      </c>
      <c r="AG429" s="20">
        <f>IF(OR(B429="",'経歴簿'!$C$4=""),"",IF(B429&amp;""='経歴簿'!$C$4&amp;"",MAX($AG$4:AG428)+1,""))</f>
        <v/>
      </c>
      <c r="AH429" s="20">
        <f>IF(A429="",0,IF(AND(OR('CSV抽出'!$C$4="",A429&gt;='CSV抽出'!$C$4),OR('CSV抽出'!$C$5="",A429&lt;='CSV抽出'!$C$5),OR('CSV抽出'!$C$6="すべて",'CSV抽出'!$C$6="",D429='CSV抽出'!$C$6),OR('CSV抽出'!$C$7="",B429&amp;""='CSV抽出'!$C$7&amp;"")),1,0))</f>
        <v/>
      </c>
      <c r="AI429" s="20">
        <f>IF(AH429=1,SUM($AH$5:AH429),"")</f>
        <v/>
      </c>
      <c r="AJ429" s="20">
        <f>IF(OR(S429="",'報告書'!$C$4=""),"",IF(S429&amp;""='報告書'!$C$4&amp;"",COUNTIF($S$5:S429,'報告書'!$C$4),""))</f>
        <v/>
      </c>
      <c r="AK429" s="20" t="n"/>
      <c r="AL429" s="47" t="n"/>
      <c r="AM429" s="47" t="n"/>
      <c r="AN429" s="53" t="n"/>
      <c r="AO429" s="47" t="n"/>
      <c r="AP429" s="47" t="n"/>
      <c r="AQ429" s="47" t="n"/>
      <c r="AR429" s="47" t="n"/>
      <c r="AS429" s="47" t="n"/>
      <c r="AT429" s="47" t="n"/>
      <c r="AU429" s="47" t="n"/>
      <c r="AV429" s="47" t="n"/>
      <c r="AW429" s="52" t="n"/>
    </row>
    <row r="430">
      <c r="A430" s="48" t="n"/>
      <c r="B430" s="52" t="n"/>
      <c r="C430" s="47">
        <f>IF(B430="","",IFERROR(INDEX('隊員マスタ'!$B$5:$B$204,MATCH(B430&amp;"",'隊員マスタ'!$F$5:$F$204,0)),IF(AK430="","番号なし",AK430)))</f>
        <v/>
      </c>
      <c r="D430" s="47" t="n"/>
      <c r="E430" s="47" t="n"/>
      <c r="F430" s="47" t="n"/>
      <c r="G430" s="47" t="n"/>
      <c r="H430" s="47" t="n"/>
      <c r="I430" s="47" t="n"/>
      <c r="J430" s="47" t="n"/>
      <c r="K430" s="47" t="n"/>
      <c r="L430" s="47" t="n"/>
      <c r="M430" s="47" t="n"/>
      <c r="N430" s="47" t="n"/>
      <c r="O430" s="47" t="n"/>
      <c r="P430" s="47" t="n"/>
      <c r="Q430" s="47" t="n"/>
      <c r="R430" s="47" t="n"/>
      <c r="S430" s="47" t="n"/>
      <c r="T430" s="47" t="n"/>
      <c r="U430" s="53" t="n"/>
      <c r="V430" s="53" t="n"/>
      <c r="W430" s="47" t="n"/>
      <c r="X430" s="47" t="n"/>
      <c r="Y430" s="47" t="n"/>
      <c r="Z430" s="47" t="n"/>
      <c r="AA430" s="47" t="n"/>
      <c r="AB430" s="47" t="n"/>
      <c r="AC430" s="47" t="n"/>
      <c r="AD430" s="47" t="n"/>
      <c r="AE430" s="47" t="n"/>
      <c r="AF430" s="20">
        <f>IF(A430="","",YEAR(EDATE(A430,-3)))</f>
        <v/>
      </c>
      <c r="AG430" s="20">
        <f>IF(OR(B430="",'経歴簿'!$C$4=""),"",IF(B430&amp;""='経歴簿'!$C$4&amp;"",MAX($AG$4:AG429)+1,""))</f>
        <v/>
      </c>
      <c r="AH430" s="20">
        <f>IF(A430="",0,IF(AND(OR('CSV抽出'!$C$4="",A430&gt;='CSV抽出'!$C$4),OR('CSV抽出'!$C$5="",A430&lt;='CSV抽出'!$C$5),OR('CSV抽出'!$C$6="すべて",'CSV抽出'!$C$6="",D430='CSV抽出'!$C$6),OR('CSV抽出'!$C$7="",B430&amp;""='CSV抽出'!$C$7&amp;"")),1,0))</f>
        <v/>
      </c>
      <c r="AI430" s="20">
        <f>IF(AH430=1,SUM($AH$5:AH430),"")</f>
        <v/>
      </c>
      <c r="AJ430" s="20">
        <f>IF(OR(S430="",'報告書'!$C$4=""),"",IF(S430&amp;""='報告書'!$C$4&amp;"",COUNTIF($S$5:S430,'報告書'!$C$4),""))</f>
        <v/>
      </c>
      <c r="AK430" s="20" t="n"/>
      <c r="AL430" s="47" t="n"/>
      <c r="AM430" s="47" t="n"/>
      <c r="AN430" s="53" t="n"/>
      <c r="AO430" s="47" t="n"/>
      <c r="AP430" s="47" t="n"/>
      <c r="AQ430" s="47" t="n"/>
      <c r="AR430" s="47" t="n"/>
      <c r="AS430" s="47" t="n"/>
      <c r="AT430" s="47" t="n"/>
      <c r="AU430" s="47" t="n"/>
      <c r="AV430" s="47" t="n"/>
      <c r="AW430" s="52" t="n"/>
    </row>
    <row r="431">
      <c r="A431" s="48" t="n"/>
      <c r="B431" s="52" t="n"/>
      <c r="C431" s="47">
        <f>IF(B431="","",IFERROR(INDEX('隊員マスタ'!$B$5:$B$204,MATCH(B431&amp;"",'隊員マスタ'!$F$5:$F$204,0)),IF(AK431="","番号なし",AK431)))</f>
        <v/>
      </c>
      <c r="D431" s="47" t="n"/>
      <c r="E431" s="47" t="n"/>
      <c r="F431" s="47" t="n"/>
      <c r="G431" s="47" t="n"/>
      <c r="H431" s="47" t="n"/>
      <c r="I431" s="47" t="n"/>
      <c r="J431" s="47" t="n"/>
      <c r="K431" s="47" t="n"/>
      <c r="L431" s="47" t="n"/>
      <c r="M431" s="47" t="n"/>
      <c r="N431" s="47" t="n"/>
      <c r="O431" s="47" t="n"/>
      <c r="P431" s="47" t="n"/>
      <c r="Q431" s="47" t="n"/>
      <c r="R431" s="47" t="n"/>
      <c r="S431" s="47" t="n"/>
      <c r="T431" s="47" t="n"/>
      <c r="U431" s="53" t="n"/>
      <c r="V431" s="53" t="n"/>
      <c r="W431" s="47" t="n"/>
      <c r="X431" s="47" t="n"/>
      <c r="Y431" s="47" t="n"/>
      <c r="Z431" s="47" t="n"/>
      <c r="AA431" s="47" t="n"/>
      <c r="AB431" s="47" t="n"/>
      <c r="AC431" s="47" t="n"/>
      <c r="AD431" s="47" t="n"/>
      <c r="AE431" s="47" t="n"/>
      <c r="AF431" s="20">
        <f>IF(A431="","",YEAR(EDATE(A431,-3)))</f>
        <v/>
      </c>
      <c r="AG431" s="20">
        <f>IF(OR(B431="",'経歴簿'!$C$4=""),"",IF(B431&amp;""='経歴簿'!$C$4&amp;"",MAX($AG$4:AG430)+1,""))</f>
        <v/>
      </c>
      <c r="AH431" s="20">
        <f>IF(A431="",0,IF(AND(OR('CSV抽出'!$C$4="",A431&gt;='CSV抽出'!$C$4),OR('CSV抽出'!$C$5="",A431&lt;='CSV抽出'!$C$5),OR('CSV抽出'!$C$6="すべて",'CSV抽出'!$C$6="",D431='CSV抽出'!$C$6),OR('CSV抽出'!$C$7="",B431&amp;""='CSV抽出'!$C$7&amp;"")),1,0))</f>
        <v/>
      </c>
      <c r="AI431" s="20">
        <f>IF(AH431=1,SUM($AH$5:AH431),"")</f>
        <v/>
      </c>
      <c r="AJ431" s="20">
        <f>IF(OR(S431="",'報告書'!$C$4=""),"",IF(S431&amp;""='報告書'!$C$4&amp;"",COUNTIF($S$5:S431,'報告書'!$C$4),""))</f>
        <v/>
      </c>
      <c r="AK431" s="20" t="n"/>
      <c r="AL431" s="47" t="n"/>
      <c r="AM431" s="47" t="n"/>
      <c r="AN431" s="53" t="n"/>
      <c r="AO431" s="47" t="n"/>
      <c r="AP431" s="47" t="n"/>
      <c r="AQ431" s="47" t="n"/>
      <c r="AR431" s="47" t="n"/>
      <c r="AS431" s="47" t="n"/>
      <c r="AT431" s="47" t="n"/>
      <c r="AU431" s="47" t="n"/>
      <c r="AV431" s="47" t="n"/>
      <c r="AW431" s="52" t="n"/>
    </row>
    <row r="432">
      <c r="A432" s="48" t="n"/>
      <c r="B432" s="52" t="n"/>
      <c r="C432" s="47">
        <f>IF(B432="","",IFERROR(INDEX('隊員マスタ'!$B$5:$B$204,MATCH(B432&amp;"",'隊員マスタ'!$F$5:$F$204,0)),IF(AK432="","番号なし",AK432)))</f>
        <v/>
      </c>
      <c r="D432" s="47" t="n"/>
      <c r="E432" s="47" t="n"/>
      <c r="F432" s="47" t="n"/>
      <c r="G432" s="47" t="n"/>
      <c r="H432" s="47" t="n"/>
      <c r="I432" s="47" t="n"/>
      <c r="J432" s="47" t="n"/>
      <c r="K432" s="47" t="n"/>
      <c r="L432" s="47" t="n"/>
      <c r="M432" s="47" t="n"/>
      <c r="N432" s="47" t="n"/>
      <c r="O432" s="47" t="n"/>
      <c r="P432" s="47" t="n"/>
      <c r="Q432" s="47" t="n"/>
      <c r="R432" s="47" t="n"/>
      <c r="S432" s="47" t="n"/>
      <c r="T432" s="47" t="n"/>
      <c r="U432" s="53" t="n"/>
      <c r="V432" s="53" t="n"/>
      <c r="W432" s="47" t="n"/>
      <c r="X432" s="47" t="n"/>
      <c r="Y432" s="47" t="n"/>
      <c r="Z432" s="47" t="n"/>
      <c r="AA432" s="47" t="n"/>
      <c r="AB432" s="47" t="n"/>
      <c r="AC432" s="47" t="n"/>
      <c r="AD432" s="47" t="n"/>
      <c r="AE432" s="47" t="n"/>
      <c r="AF432" s="20">
        <f>IF(A432="","",YEAR(EDATE(A432,-3)))</f>
        <v/>
      </c>
      <c r="AG432" s="20">
        <f>IF(OR(B432="",'経歴簿'!$C$4=""),"",IF(B432&amp;""='経歴簿'!$C$4&amp;"",MAX($AG$4:AG431)+1,""))</f>
        <v/>
      </c>
      <c r="AH432" s="20">
        <f>IF(A432="",0,IF(AND(OR('CSV抽出'!$C$4="",A432&gt;='CSV抽出'!$C$4),OR('CSV抽出'!$C$5="",A432&lt;='CSV抽出'!$C$5),OR('CSV抽出'!$C$6="すべて",'CSV抽出'!$C$6="",D432='CSV抽出'!$C$6),OR('CSV抽出'!$C$7="",B432&amp;""='CSV抽出'!$C$7&amp;"")),1,0))</f>
        <v/>
      </c>
      <c r="AI432" s="20">
        <f>IF(AH432=1,SUM($AH$5:AH432),"")</f>
        <v/>
      </c>
      <c r="AJ432" s="20">
        <f>IF(OR(S432="",'報告書'!$C$4=""),"",IF(S432&amp;""='報告書'!$C$4&amp;"",COUNTIF($S$5:S432,'報告書'!$C$4),""))</f>
        <v/>
      </c>
      <c r="AK432" s="20" t="n"/>
      <c r="AL432" s="47" t="n"/>
      <c r="AM432" s="47" t="n"/>
      <c r="AN432" s="53" t="n"/>
      <c r="AO432" s="47" t="n"/>
      <c r="AP432" s="47" t="n"/>
      <c r="AQ432" s="47" t="n"/>
      <c r="AR432" s="47" t="n"/>
      <c r="AS432" s="47" t="n"/>
      <c r="AT432" s="47" t="n"/>
      <c r="AU432" s="47" t="n"/>
      <c r="AV432" s="47" t="n"/>
      <c r="AW432" s="52" t="n"/>
    </row>
    <row r="433">
      <c r="A433" s="48" t="n"/>
      <c r="B433" s="52" t="n"/>
      <c r="C433" s="47">
        <f>IF(B433="","",IFERROR(INDEX('隊員マスタ'!$B$5:$B$204,MATCH(B433&amp;"",'隊員マスタ'!$F$5:$F$204,0)),IF(AK433="","番号なし",AK433)))</f>
        <v/>
      </c>
      <c r="D433" s="47" t="n"/>
      <c r="E433" s="47" t="n"/>
      <c r="F433" s="47" t="n"/>
      <c r="G433" s="47" t="n"/>
      <c r="H433" s="47" t="n"/>
      <c r="I433" s="47" t="n"/>
      <c r="J433" s="47" t="n"/>
      <c r="K433" s="47" t="n"/>
      <c r="L433" s="47" t="n"/>
      <c r="M433" s="47" t="n"/>
      <c r="N433" s="47" t="n"/>
      <c r="O433" s="47" t="n"/>
      <c r="P433" s="47" t="n"/>
      <c r="Q433" s="47" t="n"/>
      <c r="R433" s="47" t="n"/>
      <c r="S433" s="47" t="n"/>
      <c r="T433" s="47" t="n"/>
      <c r="U433" s="53" t="n"/>
      <c r="V433" s="53" t="n"/>
      <c r="W433" s="47" t="n"/>
      <c r="X433" s="47" t="n"/>
      <c r="Y433" s="47" t="n"/>
      <c r="Z433" s="47" t="n"/>
      <c r="AA433" s="47" t="n"/>
      <c r="AB433" s="47" t="n"/>
      <c r="AC433" s="47" t="n"/>
      <c r="AD433" s="47" t="n"/>
      <c r="AE433" s="47" t="n"/>
      <c r="AF433" s="20">
        <f>IF(A433="","",YEAR(EDATE(A433,-3)))</f>
        <v/>
      </c>
      <c r="AG433" s="20">
        <f>IF(OR(B433="",'経歴簿'!$C$4=""),"",IF(B433&amp;""='経歴簿'!$C$4&amp;"",MAX($AG$4:AG432)+1,""))</f>
        <v/>
      </c>
      <c r="AH433" s="20">
        <f>IF(A433="",0,IF(AND(OR('CSV抽出'!$C$4="",A433&gt;='CSV抽出'!$C$4),OR('CSV抽出'!$C$5="",A433&lt;='CSV抽出'!$C$5),OR('CSV抽出'!$C$6="すべて",'CSV抽出'!$C$6="",D433='CSV抽出'!$C$6),OR('CSV抽出'!$C$7="",B433&amp;""='CSV抽出'!$C$7&amp;"")),1,0))</f>
        <v/>
      </c>
      <c r="AI433" s="20">
        <f>IF(AH433=1,SUM($AH$5:AH433),"")</f>
        <v/>
      </c>
      <c r="AJ433" s="20">
        <f>IF(OR(S433="",'報告書'!$C$4=""),"",IF(S433&amp;""='報告書'!$C$4&amp;"",COUNTIF($S$5:S433,'報告書'!$C$4),""))</f>
        <v/>
      </c>
      <c r="AK433" s="20" t="n"/>
      <c r="AL433" s="47" t="n"/>
      <c r="AM433" s="47" t="n"/>
      <c r="AN433" s="53" t="n"/>
      <c r="AO433" s="47" t="n"/>
      <c r="AP433" s="47" t="n"/>
      <c r="AQ433" s="47" t="n"/>
      <c r="AR433" s="47" t="n"/>
      <c r="AS433" s="47" t="n"/>
      <c r="AT433" s="47" t="n"/>
      <c r="AU433" s="47" t="n"/>
      <c r="AV433" s="47" t="n"/>
      <c r="AW433" s="52" t="n"/>
    </row>
    <row r="434">
      <c r="A434" s="48" t="n"/>
      <c r="B434" s="52" t="n"/>
      <c r="C434" s="47">
        <f>IF(B434="","",IFERROR(INDEX('隊員マスタ'!$B$5:$B$204,MATCH(B434&amp;"",'隊員マスタ'!$F$5:$F$204,0)),IF(AK434="","番号なし",AK434)))</f>
        <v/>
      </c>
      <c r="D434" s="47" t="n"/>
      <c r="E434" s="47" t="n"/>
      <c r="F434" s="47" t="n"/>
      <c r="G434" s="47" t="n"/>
      <c r="H434" s="47" t="n"/>
      <c r="I434" s="47" t="n"/>
      <c r="J434" s="47" t="n"/>
      <c r="K434" s="47" t="n"/>
      <c r="L434" s="47" t="n"/>
      <c r="M434" s="47" t="n"/>
      <c r="N434" s="47" t="n"/>
      <c r="O434" s="47" t="n"/>
      <c r="P434" s="47" t="n"/>
      <c r="Q434" s="47" t="n"/>
      <c r="R434" s="47" t="n"/>
      <c r="S434" s="47" t="n"/>
      <c r="T434" s="47" t="n"/>
      <c r="U434" s="53" t="n"/>
      <c r="V434" s="53" t="n"/>
      <c r="W434" s="47" t="n"/>
      <c r="X434" s="47" t="n"/>
      <c r="Y434" s="47" t="n"/>
      <c r="Z434" s="47" t="n"/>
      <c r="AA434" s="47" t="n"/>
      <c r="AB434" s="47" t="n"/>
      <c r="AC434" s="47" t="n"/>
      <c r="AD434" s="47" t="n"/>
      <c r="AE434" s="47" t="n"/>
      <c r="AF434" s="20">
        <f>IF(A434="","",YEAR(EDATE(A434,-3)))</f>
        <v/>
      </c>
      <c r="AG434" s="20">
        <f>IF(OR(B434="",'経歴簿'!$C$4=""),"",IF(B434&amp;""='経歴簿'!$C$4&amp;"",MAX($AG$4:AG433)+1,""))</f>
        <v/>
      </c>
      <c r="AH434" s="20">
        <f>IF(A434="",0,IF(AND(OR('CSV抽出'!$C$4="",A434&gt;='CSV抽出'!$C$4),OR('CSV抽出'!$C$5="",A434&lt;='CSV抽出'!$C$5),OR('CSV抽出'!$C$6="すべて",'CSV抽出'!$C$6="",D434='CSV抽出'!$C$6),OR('CSV抽出'!$C$7="",B434&amp;""='CSV抽出'!$C$7&amp;"")),1,0))</f>
        <v/>
      </c>
      <c r="AI434" s="20">
        <f>IF(AH434=1,SUM($AH$5:AH434),"")</f>
        <v/>
      </c>
      <c r="AJ434" s="20">
        <f>IF(OR(S434="",'報告書'!$C$4=""),"",IF(S434&amp;""='報告書'!$C$4&amp;"",COUNTIF($S$5:S434,'報告書'!$C$4),""))</f>
        <v/>
      </c>
      <c r="AK434" s="20" t="n"/>
      <c r="AL434" s="47" t="n"/>
      <c r="AM434" s="47" t="n"/>
      <c r="AN434" s="53" t="n"/>
      <c r="AO434" s="47" t="n"/>
      <c r="AP434" s="47" t="n"/>
      <c r="AQ434" s="47" t="n"/>
      <c r="AR434" s="47" t="n"/>
      <c r="AS434" s="47" t="n"/>
      <c r="AT434" s="47" t="n"/>
      <c r="AU434" s="47" t="n"/>
      <c r="AV434" s="47" t="n"/>
      <c r="AW434" s="52" t="n"/>
    </row>
    <row r="435">
      <c r="A435" s="48" t="n"/>
      <c r="B435" s="52" t="n"/>
      <c r="C435" s="47">
        <f>IF(B435="","",IFERROR(INDEX('隊員マスタ'!$B$5:$B$204,MATCH(B435&amp;"",'隊員マスタ'!$F$5:$F$204,0)),IF(AK435="","番号なし",AK435)))</f>
        <v/>
      </c>
      <c r="D435" s="47" t="n"/>
      <c r="E435" s="47" t="n"/>
      <c r="F435" s="47" t="n"/>
      <c r="G435" s="47" t="n"/>
      <c r="H435" s="47" t="n"/>
      <c r="I435" s="47" t="n"/>
      <c r="J435" s="47" t="n"/>
      <c r="K435" s="47" t="n"/>
      <c r="L435" s="47" t="n"/>
      <c r="M435" s="47" t="n"/>
      <c r="N435" s="47" t="n"/>
      <c r="O435" s="47" t="n"/>
      <c r="P435" s="47" t="n"/>
      <c r="Q435" s="47" t="n"/>
      <c r="R435" s="47" t="n"/>
      <c r="S435" s="47" t="n"/>
      <c r="T435" s="47" t="n"/>
      <c r="U435" s="53" t="n"/>
      <c r="V435" s="53" t="n"/>
      <c r="W435" s="47" t="n"/>
      <c r="X435" s="47" t="n"/>
      <c r="Y435" s="47" t="n"/>
      <c r="Z435" s="47" t="n"/>
      <c r="AA435" s="47" t="n"/>
      <c r="AB435" s="47" t="n"/>
      <c r="AC435" s="47" t="n"/>
      <c r="AD435" s="47" t="n"/>
      <c r="AE435" s="47" t="n"/>
      <c r="AF435" s="20">
        <f>IF(A435="","",YEAR(EDATE(A435,-3)))</f>
        <v/>
      </c>
      <c r="AG435" s="20">
        <f>IF(OR(B435="",'経歴簿'!$C$4=""),"",IF(B435&amp;""='経歴簿'!$C$4&amp;"",MAX($AG$4:AG434)+1,""))</f>
        <v/>
      </c>
      <c r="AH435" s="20">
        <f>IF(A435="",0,IF(AND(OR('CSV抽出'!$C$4="",A435&gt;='CSV抽出'!$C$4),OR('CSV抽出'!$C$5="",A435&lt;='CSV抽出'!$C$5),OR('CSV抽出'!$C$6="すべて",'CSV抽出'!$C$6="",D435='CSV抽出'!$C$6),OR('CSV抽出'!$C$7="",B435&amp;""='CSV抽出'!$C$7&amp;"")),1,0))</f>
        <v/>
      </c>
      <c r="AI435" s="20">
        <f>IF(AH435=1,SUM($AH$5:AH435),"")</f>
        <v/>
      </c>
      <c r="AJ435" s="20">
        <f>IF(OR(S435="",'報告書'!$C$4=""),"",IF(S435&amp;""='報告書'!$C$4&amp;"",COUNTIF($S$5:S435,'報告書'!$C$4),""))</f>
        <v/>
      </c>
      <c r="AK435" s="20" t="n"/>
      <c r="AL435" s="47" t="n"/>
      <c r="AM435" s="47" t="n"/>
      <c r="AN435" s="53" t="n"/>
      <c r="AO435" s="47" t="n"/>
      <c r="AP435" s="47" t="n"/>
      <c r="AQ435" s="47" t="n"/>
      <c r="AR435" s="47" t="n"/>
      <c r="AS435" s="47" t="n"/>
      <c r="AT435" s="47" t="n"/>
      <c r="AU435" s="47" t="n"/>
      <c r="AV435" s="47" t="n"/>
      <c r="AW435" s="52" t="n"/>
    </row>
    <row r="436">
      <c r="A436" s="48" t="n"/>
      <c r="B436" s="52" t="n"/>
      <c r="C436" s="47">
        <f>IF(B436="","",IFERROR(INDEX('隊員マスタ'!$B$5:$B$204,MATCH(B436&amp;"",'隊員マスタ'!$F$5:$F$204,0)),IF(AK436="","番号なし",AK436)))</f>
        <v/>
      </c>
      <c r="D436" s="47" t="n"/>
      <c r="E436" s="47" t="n"/>
      <c r="F436" s="47" t="n"/>
      <c r="G436" s="47" t="n"/>
      <c r="H436" s="47" t="n"/>
      <c r="I436" s="47" t="n"/>
      <c r="J436" s="47" t="n"/>
      <c r="K436" s="47" t="n"/>
      <c r="L436" s="47" t="n"/>
      <c r="M436" s="47" t="n"/>
      <c r="N436" s="47" t="n"/>
      <c r="O436" s="47" t="n"/>
      <c r="P436" s="47" t="n"/>
      <c r="Q436" s="47" t="n"/>
      <c r="R436" s="47" t="n"/>
      <c r="S436" s="47" t="n"/>
      <c r="T436" s="47" t="n"/>
      <c r="U436" s="53" t="n"/>
      <c r="V436" s="53" t="n"/>
      <c r="W436" s="47" t="n"/>
      <c r="X436" s="47" t="n"/>
      <c r="Y436" s="47" t="n"/>
      <c r="Z436" s="47" t="n"/>
      <c r="AA436" s="47" t="n"/>
      <c r="AB436" s="47" t="n"/>
      <c r="AC436" s="47" t="n"/>
      <c r="AD436" s="47" t="n"/>
      <c r="AE436" s="47" t="n"/>
      <c r="AF436" s="20">
        <f>IF(A436="","",YEAR(EDATE(A436,-3)))</f>
        <v/>
      </c>
      <c r="AG436" s="20">
        <f>IF(OR(B436="",'経歴簿'!$C$4=""),"",IF(B436&amp;""='経歴簿'!$C$4&amp;"",MAX($AG$4:AG435)+1,""))</f>
        <v/>
      </c>
      <c r="AH436" s="20">
        <f>IF(A436="",0,IF(AND(OR('CSV抽出'!$C$4="",A436&gt;='CSV抽出'!$C$4),OR('CSV抽出'!$C$5="",A436&lt;='CSV抽出'!$C$5),OR('CSV抽出'!$C$6="すべて",'CSV抽出'!$C$6="",D436='CSV抽出'!$C$6),OR('CSV抽出'!$C$7="",B436&amp;""='CSV抽出'!$C$7&amp;"")),1,0))</f>
        <v/>
      </c>
      <c r="AI436" s="20">
        <f>IF(AH436=1,SUM($AH$5:AH436),"")</f>
        <v/>
      </c>
      <c r="AJ436" s="20">
        <f>IF(OR(S436="",'報告書'!$C$4=""),"",IF(S436&amp;""='報告書'!$C$4&amp;"",COUNTIF($S$5:S436,'報告書'!$C$4),""))</f>
        <v/>
      </c>
      <c r="AK436" s="20" t="n"/>
      <c r="AL436" s="47" t="n"/>
      <c r="AM436" s="47" t="n"/>
      <c r="AN436" s="53" t="n"/>
      <c r="AO436" s="47" t="n"/>
      <c r="AP436" s="47" t="n"/>
      <c r="AQ436" s="47" t="n"/>
      <c r="AR436" s="47" t="n"/>
      <c r="AS436" s="47" t="n"/>
      <c r="AT436" s="47" t="n"/>
      <c r="AU436" s="47" t="n"/>
      <c r="AV436" s="47" t="n"/>
      <c r="AW436" s="52" t="n"/>
    </row>
    <row r="437">
      <c r="A437" s="48" t="n"/>
      <c r="B437" s="52" t="n"/>
      <c r="C437" s="47">
        <f>IF(B437="","",IFERROR(INDEX('隊員マスタ'!$B$5:$B$204,MATCH(B437&amp;"",'隊員マスタ'!$F$5:$F$204,0)),IF(AK437="","番号なし",AK437)))</f>
        <v/>
      </c>
      <c r="D437" s="47" t="n"/>
      <c r="E437" s="47" t="n"/>
      <c r="F437" s="47" t="n"/>
      <c r="G437" s="47" t="n"/>
      <c r="H437" s="47" t="n"/>
      <c r="I437" s="47" t="n"/>
      <c r="J437" s="47" t="n"/>
      <c r="K437" s="47" t="n"/>
      <c r="L437" s="47" t="n"/>
      <c r="M437" s="47" t="n"/>
      <c r="N437" s="47" t="n"/>
      <c r="O437" s="47" t="n"/>
      <c r="P437" s="47" t="n"/>
      <c r="Q437" s="47" t="n"/>
      <c r="R437" s="47" t="n"/>
      <c r="S437" s="47" t="n"/>
      <c r="T437" s="47" t="n"/>
      <c r="U437" s="53" t="n"/>
      <c r="V437" s="53" t="n"/>
      <c r="W437" s="47" t="n"/>
      <c r="X437" s="47" t="n"/>
      <c r="Y437" s="47" t="n"/>
      <c r="Z437" s="47" t="n"/>
      <c r="AA437" s="47" t="n"/>
      <c r="AB437" s="47" t="n"/>
      <c r="AC437" s="47" t="n"/>
      <c r="AD437" s="47" t="n"/>
      <c r="AE437" s="47" t="n"/>
      <c r="AF437" s="20">
        <f>IF(A437="","",YEAR(EDATE(A437,-3)))</f>
        <v/>
      </c>
      <c r="AG437" s="20">
        <f>IF(OR(B437="",'経歴簿'!$C$4=""),"",IF(B437&amp;""='経歴簿'!$C$4&amp;"",MAX($AG$4:AG436)+1,""))</f>
        <v/>
      </c>
      <c r="AH437" s="20">
        <f>IF(A437="",0,IF(AND(OR('CSV抽出'!$C$4="",A437&gt;='CSV抽出'!$C$4),OR('CSV抽出'!$C$5="",A437&lt;='CSV抽出'!$C$5),OR('CSV抽出'!$C$6="すべて",'CSV抽出'!$C$6="",D437='CSV抽出'!$C$6),OR('CSV抽出'!$C$7="",B437&amp;""='CSV抽出'!$C$7&amp;"")),1,0))</f>
        <v/>
      </c>
      <c r="AI437" s="20">
        <f>IF(AH437=1,SUM($AH$5:AH437),"")</f>
        <v/>
      </c>
      <c r="AJ437" s="20">
        <f>IF(OR(S437="",'報告書'!$C$4=""),"",IF(S437&amp;""='報告書'!$C$4&amp;"",COUNTIF($S$5:S437,'報告書'!$C$4),""))</f>
        <v/>
      </c>
      <c r="AK437" s="20" t="n"/>
      <c r="AL437" s="47" t="n"/>
      <c r="AM437" s="47" t="n"/>
      <c r="AN437" s="53" t="n"/>
      <c r="AO437" s="47" t="n"/>
      <c r="AP437" s="47" t="n"/>
      <c r="AQ437" s="47" t="n"/>
      <c r="AR437" s="47" t="n"/>
      <c r="AS437" s="47" t="n"/>
      <c r="AT437" s="47" t="n"/>
      <c r="AU437" s="47" t="n"/>
      <c r="AV437" s="47" t="n"/>
      <c r="AW437" s="52" t="n"/>
    </row>
    <row r="438">
      <c r="A438" s="48" t="n"/>
      <c r="B438" s="52" t="n"/>
      <c r="C438" s="47">
        <f>IF(B438="","",IFERROR(INDEX('隊員マスタ'!$B$5:$B$204,MATCH(B438&amp;"",'隊員マスタ'!$F$5:$F$204,0)),IF(AK438="","番号なし",AK438)))</f>
        <v/>
      </c>
      <c r="D438" s="47" t="n"/>
      <c r="E438" s="47" t="n"/>
      <c r="F438" s="47" t="n"/>
      <c r="G438" s="47" t="n"/>
      <c r="H438" s="47" t="n"/>
      <c r="I438" s="47" t="n"/>
      <c r="J438" s="47" t="n"/>
      <c r="K438" s="47" t="n"/>
      <c r="L438" s="47" t="n"/>
      <c r="M438" s="47" t="n"/>
      <c r="N438" s="47" t="n"/>
      <c r="O438" s="47" t="n"/>
      <c r="P438" s="47" t="n"/>
      <c r="Q438" s="47" t="n"/>
      <c r="R438" s="47" t="n"/>
      <c r="S438" s="47" t="n"/>
      <c r="T438" s="47" t="n"/>
      <c r="U438" s="53" t="n"/>
      <c r="V438" s="53" t="n"/>
      <c r="W438" s="47" t="n"/>
      <c r="X438" s="47" t="n"/>
      <c r="Y438" s="47" t="n"/>
      <c r="Z438" s="47" t="n"/>
      <c r="AA438" s="47" t="n"/>
      <c r="AB438" s="47" t="n"/>
      <c r="AC438" s="47" t="n"/>
      <c r="AD438" s="47" t="n"/>
      <c r="AE438" s="47" t="n"/>
      <c r="AF438" s="20">
        <f>IF(A438="","",YEAR(EDATE(A438,-3)))</f>
        <v/>
      </c>
      <c r="AG438" s="20">
        <f>IF(OR(B438="",'経歴簿'!$C$4=""),"",IF(B438&amp;""='経歴簿'!$C$4&amp;"",MAX($AG$4:AG437)+1,""))</f>
        <v/>
      </c>
      <c r="AH438" s="20">
        <f>IF(A438="",0,IF(AND(OR('CSV抽出'!$C$4="",A438&gt;='CSV抽出'!$C$4),OR('CSV抽出'!$C$5="",A438&lt;='CSV抽出'!$C$5),OR('CSV抽出'!$C$6="すべて",'CSV抽出'!$C$6="",D438='CSV抽出'!$C$6),OR('CSV抽出'!$C$7="",B438&amp;""='CSV抽出'!$C$7&amp;"")),1,0))</f>
        <v/>
      </c>
      <c r="AI438" s="20">
        <f>IF(AH438=1,SUM($AH$5:AH438),"")</f>
        <v/>
      </c>
      <c r="AJ438" s="20">
        <f>IF(OR(S438="",'報告書'!$C$4=""),"",IF(S438&amp;""='報告書'!$C$4&amp;"",COUNTIF($S$5:S438,'報告書'!$C$4),""))</f>
        <v/>
      </c>
      <c r="AK438" s="20" t="n"/>
      <c r="AL438" s="47" t="n"/>
      <c r="AM438" s="47" t="n"/>
      <c r="AN438" s="53" t="n"/>
      <c r="AO438" s="47" t="n"/>
      <c r="AP438" s="47" t="n"/>
      <c r="AQ438" s="47" t="n"/>
      <c r="AR438" s="47" t="n"/>
      <c r="AS438" s="47" t="n"/>
      <c r="AT438" s="47" t="n"/>
      <c r="AU438" s="47" t="n"/>
      <c r="AV438" s="47" t="n"/>
      <c r="AW438" s="52" t="n"/>
    </row>
    <row r="439">
      <c r="A439" s="48" t="n"/>
      <c r="B439" s="52" t="n"/>
      <c r="C439" s="47">
        <f>IF(B439="","",IFERROR(INDEX('隊員マスタ'!$B$5:$B$204,MATCH(B439&amp;"",'隊員マスタ'!$F$5:$F$204,0)),IF(AK439="","番号なし",AK439)))</f>
        <v/>
      </c>
      <c r="D439" s="47" t="n"/>
      <c r="E439" s="47" t="n"/>
      <c r="F439" s="47" t="n"/>
      <c r="G439" s="47" t="n"/>
      <c r="H439" s="47" t="n"/>
      <c r="I439" s="47" t="n"/>
      <c r="J439" s="47" t="n"/>
      <c r="K439" s="47" t="n"/>
      <c r="L439" s="47" t="n"/>
      <c r="M439" s="47" t="n"/>
      <c r="N439" s="47" t="n"/>
      <c r="O439" s="47" t="n"/>
      <c r="P439" s="47" t="n"/>
      <c r="Q439" s="47" t="n"/>
      <c r="R439" s="47" t="n"/>
      <c r="S439" s="47" t="n"/>
      <c r="T439" s="47" t="n"/>
      <c r="U439" s="53" t="n"/>
      <c r="V439" s="53" t="n"/>
      <c r="W439" s="47" t="n"/>
      <c r="X439" s="47" t="n"/>
      <c r="Y439" s="47" t="n"/>
      <c r="Z439" s="47" t="n"/>
      <c r="AA439" s="47" t="n"/>
      <c r="AB439" s="47" t="n"/>
      <c r="AC439" s="47" t="n"/>
      <c r="AD439" s="47" t="n"/>
      <c r="AE439" s="47" t="n"/>
      <c r="AF439" s="20">
        <f>IF(A439="","",YEAR(EDATE(A439,-3)))</f>
        <v/>
      </c>
      <c r="AG439" s="20">
        <f>IF(OR(B439="",'経歴簿'!$C$4=""),"",IF(B439&amp;""='経歴簿'!$C$4&amp;"",MAX($AG$4:AG438)+1,""))</f>
        <v/>
      </c>
      <c r="AH439" s="20">
        <f>IF(A439="",0,IF(AND(OR('CSV抽出'!$C$4="",A439&gt;='CSV抽出'!$C$4),OR('CSV抽出'!$C$5="",A439&lt;='CSV抽出'!$C$5),OR('CSV抽出'!$C$6="すべて",'CSV抽出'!$C$6="",D439='CSV抽出'!$C$6),OR('CSV抽出'!$C$7="",B439&amp;""='CSV抽出'!$C$7&amp;"")),1,0))</f>
        <v/>
      </c>
      <c r="AI439" s="20">
        <f>IF(AH439=1,SUM($AH$5:AH439),"")</f>
        <v/>
      </c>
      <c r="AJ439" s="20">
        <f>IF(OR(S439="",'報告書'!$C$4=""),"",IF(S439&amp;""='報告書'!$C$4&amp;"",COUNTIF($S$5:S439,'報告書'!$C$4),""))</f>
        <v/>
      </c>
      <c r="AK439" s="20" t="n"/>
      <c r="AL439" s="47" t="n"/>
      <c r="AM439" s="47" t="n"/>
      <c r="AN439" s="53" t="n"/>
      <c r="AO439" s="47" t="n"/>
      <c r="AP439" s="47" t="n"/>
      <c r="AQ439" s="47" t="n"/>
      <c r="AR439" s="47" t="n"/>
      <c r="AS439" s="47" t="n"/>
      <c r="AT439" s="47" t="n"/>
      <c r="AU439" s="47" t="n"/>
      <c r="AV439" s="47" t="n"/>
      <c r="AW439" s="52" t="n"/>
    </row>
    <row r="440">
      <c r="A440" s="48" t="n"/>
      <c r="B440" s="52" t="n"/>
      <c r="C440" s="47">
        <f>IF(B440="","",IFERROR(INDEX('隊員マスタ'!$B$5:$B$204,MATCH(B440&amp;"",'隊員マスタ'!$F$5:$F$204,0)),IF(AK440="","番号なし",AK440)))</f>
        <v/>
      </c>
      <c r="D440" s="47" t="n"/>
      <c r="E440" s="47" t="n"/>
      <c r="F440" s="47" t="n"/>
      <c r="G440" s="47" t="n"/>
      <c r="H440" s="47" t="n"/>
      <c r="I440" s="47" t="n"/>
      <c r="J440" s="47" t="n"/>
      <c r="K440" s="47" t="n"/>
      <c r="L440" s="47" t="n"/>
      <c r="M440" s="47" t="n"/>
      <c r="N440" s="47" t="n"/>
      <c r="O440" s="47" t="n"/>
      <c r="P440" s="47" t="n"/>
      <c r="Q440" s="47" t="n"/>
      <c r="R440" s="47" t="n"/>
      <c r="S440" s="47" t="n"/>
      <c r="T440" s="47" t="n"/>
      <c r="U440" s="53" t="n"/>
      <c r="V440" s="53" t="n"/>
      <c r="W440" s="47" t="n"/>
      <c r="X440" s="47" t="n"/>
      <c r="Y440" s="47" t="n"/>
      <c r="Z440" s="47" t="n"/>
      <c r="AA440" s="47" t="n"/>
      <c r="AB440" s="47" t="n"/>
      <c r="AC440" s="47" t="n"/>
      <c r="AD440" s="47" t="n"/>
      <c r="AE440" s="47" t="n"/>
      <c r="AF440" s="20">
        <f>IF(A440="","",YEAR(EDATE(A440,-3)))</f>
        <v/>
      </c>
      <c r="AG440" s="20">
        <f>IF(OR(B440="",'経歴簿'!$C$4=""),"",IF(B440&amp;""='経歴簿'!$C$4&amp;"",MAX($AG$4:AG439)+1,""))</f>
        <v/>
      </c>
      <c r="AH440" s="20">
        <f>IF(A440="",0,IF(AND(OR('CSV抽出'!$C$4="",A440&gt;='CSV抽出'!$C$4),OR('CSV抽出'!$C$5="",A440&lt;='CSV抽出'!$C$5),OR('CSV抽出'!$C$6="すべて",'CSV抽出'!$C$6="",D440='CSV抽出'!$C$6),OR('CSV抽出'!$C$7="",B440&amp;""='CSV抽出'!$C$7&amp;"")),1,0))</f>
        <v/>
      </c>
      <c r="AI440" s="20">
        <f>IF(AH440=1,SUM($AH$5:AH440),"")</f>
        <v/>
      </c>
      <c r="AJ440" s="20">
        <f>IF(OR(S440="",'報告書'!$C$4=""),"",IF(S440&amp;""='報告書'!$C$4&amp;"",COUNTIF($S$5:S440,'報告書'!$C$4),""))</f>
        <v/>
      </c>
      <c r="AK440" s="20" t="n"/>
      <c r="AL440" s="47" t="n"/>
      <c r="AM440" s="47" t="n"/>
      <c r="AN440" s="53" t="n"/>
      <c r="AO440" s="47" t="n"/>
      <c r="AP440" s="47" t="n"/>
      <c r="AQ440" s="47" t="n"/>
      <c r="AR440" s="47" t="n"/>
      <c r="AS440" s="47" t="n"/>
      <c r="AT440" s="47" t="n"/>
      <c r="AU440" s="47" t="n"/>
      <c r="AV440" s="47" t="n"/>
      <c r="AW440" s="52" t="n"/>
    </row>
    <row r="441">
      <c r="A441" s="48" t="n"/>
      <c r="B441" s="52" t="n"/>
      <c r="C441" s="47">
        <f>IF(B441="","",IFERROR(INDEX('隊員マスタ'!$B$5:$B$204,MATCH(B441&amp;"",'隊員マスタ'!$F$5:$F$204,0)),IF(AK441="","番号なし",AK441)))</f>
        <v/>
      </c>
      <c r="D441" s="47" t="n"/>
      <c r="E441" s="47" t="n"/>
      <c r="F441" s="47" t="n"/>
      <c r="G441" s="47" t="n"/>
      <c r="H441" s="47" t="n"/>
      <c r="I441" s="47" t="n"/>
      <c r="J441" s="47" t="n"/>
      <c r="K441" s="47" t="n"/>
      <c r="L441" s="47" t="n"/>
      <c r="M441" s="47" t="n"/>
      <c r="N441" s="47" t="n"/>
      <c r="O441" s="47" t="n"/>
      <c r="P441" s="47" t="n"/>
      <c r="Q441" s="47" t="n"/>
      <c r="R441" s="47" t="n"/>
      <c r="S441" s="47" t="n"/>
      <c r="T441" s="47" t="n"/>
      <c r="U441" s="53" t="n"/>
      <c r="V441" s="53" t="n"/>
      <c r="W441" s="47" t="n"/>
      <c r="X441" s="47" t="n"/>
      <c r="Y441" s="47" t="n"/>
      <c r="Z441" s="47" t="n"/>
      <c r="AA441" s="47" t="n"/>
      <c r="AB441" s="47" t="n"/>
      <c r="AC441" s="47" t="n"/>
      <c r="AD441" s="47" t="n"/>
      <c r="AE441" s="47" t="n"/>
      <c r="AF441" s="20">
        <f>IF(A441="","",YEAR(EDATE(A441,-3)))</f>
        <v/>
      </c>
      <c r="AG441" s="20">
        <f>IF(OR(B441="",'経歴簿'!$C$4=""),"",IF(B441&amp;""='経歴簿'!$C$4&amp;"",MAX($AG$4:AG440)+1,""))</f>
        <v/>
      </c>
      <c r="AH441" s="20">
        <f>IF(A441="",0,IF(AND(OR('CSV抽出'!$C$4="",A441&gt;='CSV抽出'!$C$4),OR('CSV抽出'!$C$5="",A441&lt;='CSV抽出'!$C$5),OR('CSV抽出'!$C$6="すべて",'CSV抽出'!$C$6="",D441='CSV抽出'!$C$6),OR('CSV抽出'!$C$7="",B441&amp;""='CSV抽出'!$C$7&amp;"")),1,0))</f>
        <v/>
      </c>
      <c r="AI441" s="20">
        <f>IF(AH441=1,SUM($AH$5:AH441),"")</f>
        <v/>
      </c>
      <c r="AJ441" s="20">
        <f>IF(OR(S441="",'報告書'!$C$4=""),"",IF(S441&amp;""='報告書'!$C$4&amp;"",COUNTIF($S$5:S441,'報告書'!$C$4),""))</f>
        <v/>
      </c>
      <c r="AK441" s="20" t="n"/>
      <c r="AL441" s="47" t="n"/>
      <c r="AM441" s="47" t="n"/>
      <c r="AN441" s="53" t="n"/>
      <c r="AO441" s="47" t="n"/>
      <c r="AP441" s="47" t="n"/>
      <c r="AQ441" s="47" t="n"/>
      <c r="AR441" s="47" t="n"/>
      <c r="AS441" s="47" t="n"/>
      <c r="AT441" s="47" t="n"/>
      <c r="AU441" s="47" t="n"/>
      <c r="AV441" s="47" t="n"/>
      <c r="AW441" s="52" t="n"/>
    </row>
    <row r="442">
      <c r="A442" s="48" t="n"/>
      <c r="B442" s="52" t="n"/>
      <c r="C442" s="47">
        <f>IF(B442="","",IFERROR(INDEX('隊員マスタ'!$B$5:$B$204,MATCH(B442&amp;"",'隊員マスタ'!$F$5:$F$204,0)),IF(AK442="","番号なし",AK442)))</f>
        <v/>
      </c>
      <c r="D442" s="47" t="n"/>
      <c r="E442" s="47" t="n"/>
      <c r="F442" s="47" t="n"/>
      <c r="G442" s="47" t="n"/>
      <c r="H442" s="47" t="n"/>
      <c r="I442" s="47" t="n"/>
      <c r="J442" s="47" t="n"/>
      <c r="K442" s="47" t="n"/>
      <c r="L442" s="47" t="n"/>
      <c r="M442" s="47" t="n"/>
      <c r="N442" s="47" t="n"/>
      <c r="O442" s="47" t="n"/>
      <c r="P442" s="47" t="n"/>
      <c r="Q442" s="47" t="n"/>
      <c r="R442" s="47" t="n"/>
      <c r="S442" s="47" t="n"/>
      <c r="T442" s="47" t="n"/>
      <c r="U442" s="53" t="n"/>
      <c r="V442" s="53" t="n"/>
      <c r="W442" s="47" t="n"/>
      <c r="X442" s="47" t="n"/>
      <c r="Y442" s="47" t="n"/>
      <c r="Z442" s="47" t="n"/>
      <c r="AA442" s="47" t="n"/>
      <c r="AB442" s="47" t="n"/>
      <c r="AC442" s="47" t="n"/>
      <c r="AD442" s="47" t="n"/>
      <c r="AE442" s="47" t="n"/>
      <c r="AF442" s="20">
        <f>IF(A442="","",YEAR(EDATE(A442,-3)))</f>
        <v/>
      </c>
      <c r="AG442" s="20">
        <f>IF(OR(B442="",'経歴簿'!$C$4=""),"",IF(B442&amp;""='経歴簿'!$C$4&amp;"",MAX($AG$4:AG441)+1,""))</f>
        <v/>
      </c>
      <c r="AH442" s="20">
        <f>IF(A442="",0,IF(AND(OR('CSV抽出'!$C$4="",A442&gt;='CSV抽出'!$C$4),OR('CSV抽出'!$C$5="",A442&lt;='CSV抽出'!$C$5),OR('CSV抽出'!$C$6="すべて",'CSV抽出'!$C$6="",D442='CSV抽出'!$C$6),OR('CSV抽出'!$C$7="",B442&amp;""='CSV抽出'!$C$7&amp;"")),1,0))</f>
        <v/>
      </c>
      <c r="AI442" s="20">
        <f>IF(AH442=1,SUM($AH$5:AH442),"")</f>
        <v/>
      </c>
      <c r="AJ442" s="20">
        <f>IF(OR(S442="",'報告書'!$C$4=""),"",IF(S442&amp;""='報告書'!$C$4&amp;"",COUNTIF($S$5:S442,'報告書'!$C$4),""))</f>
        <v/>
      </c>
      <c r="AK442" s="20" t="n"/>
      <c r="AL442" s="47" t="n"/>
      <c r="AM442" s="47" t="n"/>
      <c r="AN442" s="53" t="n"/>
      <c r="AO442" s="47" t="n"/>
      <c r="AP442" s="47" t="n"/>
      <c r="AQ442" s="47" t="n"/>
      <c r="AR442" s="47" t="n"/>
      <c r="AS442" s="47" t="n"/>
      <c r="AT442" s="47" t="n"/>
      <c r="AU442" s="47" t="n"/>
      <c r="AV442" s="47" t="n"/>
      <c r="AW442" s="52" t="n"/>
    </row>
    <row r="443">
      <c r="A443" s="48" t="n"/>
      <c r="B443" s="52" t="n"/>
      <c r="C443" s="47">
        <f>IF(B443="","",IFERROR(INDEX('隊員マスタ'!$B$5:$B$204,MATCH(B443&amp;"",'隊員マスタ'!$F$5:$F$204,0)),IF(AK443="","番号なし",AK443)))</f>
        <v/>
      </c>
      <c r="D443" s="47" t="n"/>
      <c r="E443" s="47" t="n"/>
      <c r="F443" s="47" t="n"/>
      <c r="G443" s="47" t="n"/>
      <c r="H443" s="47" t="n"/>
      <c r="I443" s="47" t="n"/>
      <c r="J443" s="47" t="n"/>
      <c r="K443" s="47" t="n"/>
      <c r="L443" s="47" t="n"/>
      <c r="M443" s="47" t="n"/>
      <c r="N443" s="47" t="n"/>
      <c r="O443" s="47" t="n"/>
      <c r="P443" s="47" t="n"/>
      <c r="Q443" s="47" t="n"/>
      <c r="R443" s="47" t="n"/>
      <c r="S443" s="47" t="n"/>
      <c r="T443" s="47" t="n"/>
      <c r="U443" s="53" t="n"/>
      <c r="V443" s="53" t="n"/>
      <c r="W443" s="47" t="n"/>
      <c r="X443" s="47" t="n"/>
      <c r="Y443" s="47" t="n"/>
      <c r="Z443" s="47" t="n"/>
      <c r="AA443" s="47" t="n"/>
      <c r="AB443" s="47" t="n"/>
      <c r="AC443" s="47" t="n"/>
      <c r="AD443" s="47" t="n"/>
      <c r="AE443" s="47" t="n"/>
      <c r="AF443" s="20">
        <f>IF(A443="","",YEAR(EDATE(A443,-3)))</f>
        <v/>
      </c>
      <c r="AG443" s="20">
        <f>IF(OR(B443="",'経歴簿'!$C$4=""),"",IF(B443&amp;""='経歴簿'!$C$4&amp;"",MAX($AG$4:AG442)+1,""))</f>
        <v/>
      </c>
      <c r="AH443" s="20">
        <f>IF(A443="",0,IF(AND(OR('CSV抽出'!$C$4="",A443&gt;='CSV抽出'!$C$4),OR('CSV抽出'!$C$5="",A443&lt;='CSV抽出'!$C$5),OR('CSV抽出'!$C$6="すべて",'CSV抽出'!$C$6="",D443='CSV抽出'!$C$6),OR('CSV抽出'!$C$7="",B443&amp;""='CSV抽出'!$C$7&amp;"")),1,0))</f>
        <v/>
      </c>
      <c r="AI443" s="20">
        <f>IF(AH443=1,SUM($AH$5:AH443),"")</f>
        <v/>
      </c>
      <c r="AJ443" s="20">
        <f>IF(OR(S443="",'報告書'!$C$4=""),"",IF(S443&amp;""='報告書'!$C$4&amp;"",COUNTIF($S$5:S443,'報告書'!$C$4),""))</f>
        <v/>
      </c>
      <c r="AK443" s="20" t="n"/>
      <c r="AL443" s="47" t="n"/>
      <c r="AM443" s="47" t="n"/>
      <c r="AN443" s="53" t="n"/>
      <c r="AO443" s="47" t="n"/>
      <c r="AP443" s="47" t="n"/>
      <c r="AQ443" s="47" t="n"/>
      <c r="AR443" s="47" t="n"/>
      <c r="AS443" s="47" t="n"/>
      <c r="AT443" s="47" t="n"/>
      <c r="AU443" s="47" t="n"/>
      <c r="AV443" s="47" t="n"/>
      <c r="AW443" s="52" t="n"/>
    </row>
    <row r="444">
      <c r="A444" s="48" t="n"/>
      <c r="B444" s="52" t="n"/>
      <c r="C444" s="47">
        <f>IF(B444="","",IFERROR(INDEX('隊員マスタ'!$B$5:$B$204,MATCH(B444&amp;"",'隊員マスタ'!$F$5:$F$204,0)),IF(AK444="","番号なし",AK444)))</f>
        <v/>
      </c>
      <c r="D444" s="47" t="n"/>
      <c r="E444" s="47" t="n"/>
      <c r="F444" s="47" t="n"/>
      <c r="G444" s="47" t="n"/>
      <c r="H444" s="47" t="n"/>
      <c r="I444" s="47" t="n"/>
      <c r="J444" s="47" t="n"/>
      <c r="K444" s="47" t="n"/>
      <c r="L444" s="47" t="n"/>
      <c r="M444" s="47" t="n"/>
      <c r="N444" s="47" t="n"/>
      <c r="O444" s="47" t="n"/>
      <c r="P444" s="47" t="n"/>
      <c r="Q444" s="47" t="n"/>
      <c r="R444" s="47" t="n"/>
      <c r="S444" s="47" t="n"/>
      <c r="T444" s="47" t="n"/>
      <c r="U444" s="53" t="n"/>
      <c r="V444" s="53" t="n"/>
      <c r="W444" s="47" t="n"/>
      <c r="X444" s="47" t="n"/>
      <c r="Y444" s="47" t="n"/>
      <c r="Z444" s="47" t="n"/>
      <c r="AA444" s="47" t="n"/>
      <c r="AB444" s="47" t="n"/>
      <c r="AC444" s="47" t="n"/>
      <c r="AD444" s="47" t="n"/>
      <c r="AE444" s="47" t="n"/>
      <c r="AF444" s="20">
        <f>IF(A444="","",YEAR(EDATE(A444,-3)))</f>
        <v/>
      </c>
      <c r="AG444" s="20">
        <f>IF(OR(B444="",'経歴簿'!$C$4=""),"",IF(B444&amp;""='経歴簿'!$C$4&amp;"",MAX($AG$4:AG443)+1,""))</f>
        <v/>
      </c>
      <c r="AH444" s="20">
        <f>IF(A444="",0,IF(AND(OR('CSV抽出'!$C$4="",A444&gt;='CSV抽出'!$C$4),OR('CSV抽出'!$C$5="",A444&lt;='CSV抽出'!$C$5),OR('CSV抽出'!$C$6="すべて",'CSV抽出'!$C$6="",D444='CSV抽出'!$C$6),OR('CSV抽出'!$C$7="",B444&amp;""='CSV抽出'!$C$7&amp;"")),1,0))</f>
        <v/>
      </c>
      <c r="AI444" s="20">
        <f>IF(AH444=1,SUM($AH$5:AH444),"")</f>
        <v/>
      </c>
      <c r="AJ444" s="20">
        <f>IF(OR(S444="",'報告書'!$C$4=""),"",IF(S444&amp;""='報告書'!$C$4&amp;"",COUNTIF($S$5:S444,'報告書'!$C$4),""))</f>
        <v/>
      </c>
      <c r="AK444" s="20" t="n"/>
      <c r="AL444" s="47" t="n"/>
      <c r="AM444" s="47" t="n"/>
      <c r="AN444" s="53" t="n"/>
      <c r="AO444" s="47" t="n"/>
      <c r="AP444" s="47" t="n"/>
      <c r="AQ444" s="47" t="n"/>
      <c r="AR444" s="47" t="n"/>
      <c r="AS444" s="47" t="n"/>
      <c r="AT444" s="47" t="n"/>
      <c r="AU444" s="47" t="n"/>
      <c r="AV444" s="47" t="n"/>
      <c r="AW444" s="52" t="n"/>
    </row>
    <row r="445">
      <c r="A445" s="48" t="n"/>
      <c r="B445" s="52" t="n"/>
      <c r="C445" s="47">
        <f>IF(B445="","",IFERROR(INDEX('隊員マスタ'!$B$5:$B$204,MATCH(B445&amp;"",'隊員マスタ'!$F$5:$F$204,0)),IF(AK445="","番号なし",AK445)))</f>
        <v/>
      </c>
      <c r="D445" s="47" t="n"/>
      <c r="E445" s="47" t="n"/>
      <c r="F445" s="47" t="n"/>
      <c r="G445" s="47" t="n"/>
      <c r="H445" s="47" t="n"/>
      <c r="I445" s="47" t="n"/>
      <c r="J445" s="47" t="n"/>
      <c r="K445" s="47" t="n"/>
      <c r="L445" s="47" t="n"/>
      <c r="M445" s="47" t="n"/>
      <c r="N445" s="47" t="n"/>
      <c r="O445" s="47" t="n"/>
      <c r="P445" s="47" t="n"/>
      <c r="Q445" s="47" t="n"/>
      <c r="R445" s="47" t="n"/>
      <c r="S445" s="47" t="n"/>
      <c r="T445" s="47" t="n"/>
      <c r="U445" s="53" t="n"/>
      <c r="V445" s="53" t="n"/>
      <c r="W445" s="47" t="n"/>
      <c r="X445" s="47" t="n"/>
      <c r="Y445" s="47" t="n"/>
      <c r="Z445" s="47" t="n"/>
      <c r="AA445" s="47" t="n"/>
      <c r="AB445" s="47" t="n"/>
      <c r="AC445" s="47" t="n"/>
      <c r="AD445" s="47" t="n"/>
      <c r="AE445" s="47" t="n"/>
      <c r="AF445" s="20">
        <f>IF(A445="","",YEAR(EDATE(A445,-3)))</f>
        <v/>
      </c>
      <c r="AG445" s="20">
        <f>IF(OR(B445="",'経歴簿'!$C$4=""),"",IF(B445&amp;""='経歴簿'!$C$4&amp;"",MAX($AG$4:AG444)+1,""))</f>
        <v/>
      </c>
      <c r="AH445" s="20">
        <f>IF(A445="",0,IF(AND(OR('CSV抽出'!$C$4="",A445&gt;='CSV抽出'!$C$4),OR('CSV抽出'!$C$5="",A445&lt;='CSV抽出'!$C$5),OR('CSV抽出'!$C$6="すべて",'CSV抽出'!$C$6="",D445='CSV抽出'!$C$6),OR('CSV抽出'!$C$7="",B445&amp;""='CSV抽出'!$C$7&amp;"")),1,0))</f>
        <v/>
      </c>
      <c r="AI445" s="20">
        <f>IF(AH445=1,SUM($AH$5:AH445),"")</f>
        <v/>
      </c>
      <c r="AJ445" s="20">
        <f>IF(OR(S445="",'報告書'!$C$4=""),"",IF(S445&amp;""='報告書'!$C$4&amp;"",COUNTIF($S$5:S445,'報告書'!$C$4),""))</f>
        <v/>
      </c>
      <c r="AK445" s="20" t="n"/>
      <c r="AL445" s="47" t="n"/>
      <c r="AM445" s="47" t="n"/>
      <c r="AN445" s="53" t="n"/>
      <c r="AO445" s="47" t="n"/>
      <c r="AP445" s="47" t="n"/>
      <c r="AQ445" s="47" t="n"/>
      <c r="AR445" s="47" t="n"/>
      <c r="AS445" s="47" t="n"/>
      <c r="AT445" s="47" t="n"/>
      <c r="AU445" s="47" t="n"/>
      <c r="AV445" s="47" t="n"/>
      <c r="AW445" s="52" t="n"/>
    </row>
    <row r="446">
      <c r="A446" s="48" t="n"/>
      <c r="B446" s="52" t="n"/>
      <c r="C446" s="47">
        <f>IF(B446="","",IFERROR(INDEX('隊員マスタ'!$B$5:$B$204,MATCH(B446&amp;"",'隊員マスタ'!$F$5:$F$204,0)),IF(AK446="","番号なし",AK446)))</f>
        <v/>
      </c>
      <c r="D446" s="47" t="n"/>
      <c r="E446" s="47" t="n"/>
      <c r="F446" s="47" t="n"/>
      <c r="G446" s="47" t="n"/>
      <c r="H446" s="47" t="n"/>
      <c r="I446" s="47" t="n"/>
      <c r="J446" s="47" t="n"/>
      <c r="K446" s="47" t="n"/>
      <c r="L446" s="47" t="n"/>
      <c r="M446" s="47" t="n"/>
      <c r="N446" s="47" t="n"/>
      <c r="O446" s="47" t="n"/>
      <c r="P446" s="47" t="n"/>
      <c r="Q446" s="47" t="n"/>
      <c r="R446" s="47" t="n"/>
      <c r="S446" s="47" t="n"/>
      <c r="T446" s="47" t="n"/>
      <c r="U446" s="53" t="n"/>
      <c r="V446" s="53" t="n"/>
      <c r="W446" s="47" t="n"/>
      <c r="X446" s="47" t="n"/>
      <c r="Y446" s="47" t="n"/>
      <c r="Z446" s="47" t="n"/>
      <c r="AA446" s="47" t="n"/>
      <c r="AB446" s="47" t="n"/>
      <c r="AC446" s="47" t="n"/>
      <c r="AD446" s="47" t="n"/>
      <c r="AE446" s="47" t="n"/>
      <c r="AF446" s="20">
        <f>IF(A446="","",YEAR(EDATE(A446,-3)))</f>
        <v/>
      </c>
      <c r="AG446" s="20">
        <f>IF(OR(B446="",'経歴簿'!$C$4=""),"",IF(B446&amp;""='経歴簿'!$C$4&amp;"",MAX($AG$4:AG445)+1,""))</f>
        <v/>
      </c>
      <c r="AH446" s="20">
        <f>IF(A446="",0,IF(AND(OR('CSV抽出'!$C$4="",A446&gt;='CSV抽出'!$C$4),OR('CSV抽出'!$C$5="",A446&lt;='CSV抽出'!$C$5),OR('CSV抽出'!$C$6="すべて",'CSV抽出'!$C$6="",D446='CSV抽出'!$C$6),OR('CSV抽出'!$C$7="",B446&amp;""='CSV抽出'!$C$7&amp;"")),1,0))</f>
        <v/>
      </c>
      <c r="AI446" s="20">
        <f>IF(AH446=1,SUM($AH$5:AH446),"")</f>
        <v/>
      </c>
      <c r="AJ446" s="20">
        <f>IF(OR(S446="",'報告書'!$C$4=""),"",IF(S446&amp;""='報告書'!$C$4&amp;"",COUNTIF($S$5:S446,'報告書'!$C$4),""))</f>
        <v/>
      </c>
      <c r="AK446" s="20" t="n"/>
      <c r="AL446" s="47" t="n"/>
      <c r="AM446" s="47" t="n"/>
      <c r="AN446" s="53" t="n"/>
      <c r="AO446" s="47" t="n"/>
      <c r="AP446" s="47" t="n"/>
      <c r="AQ446" s="47" t="n"/>
      <c r="AR446" s="47" t="n"/>
      <c r="AS446" s="47" t="n"/>
      <c r="AT446" s="47" t="n"/>
      <c r="AU446" s="47" t="n"/>
      <c r="AV446" s="47" t="n"/>
      <c r="AW446" s="52" t="n"/>
    </row>
    <row r="447">
      <c r="A447" s="48" t="n"/>
      <c r="B447" s="52" t="n"/>
      <c r="C447" s="47">
        <f>IF(B447="","",IFERROR(INDEX('隊員マスタ'!$B$5:$B$204,MATCH(B447&amp;"",'隊員マスタ'!$F$5:$F$204,0)),IF(AK447="","番号なし",AK447)))</f>
        <v/>
      </c>
      <c r="D447" s="47" t="n"/>
      <c r="E447" s="47" t="n"/>
      <c r="F447" s="47" t="n"/>
      <c r="G447" s="47" t="n"/>
      <c r="H447" s="47" t="n"/>
      <c r="I447" s="47" t="n"/>
      <c r="J447" s="47" t="n"/>
      <c r="K447" s="47" t="n"/>
      <c r="L447" s="47" t="n"/>
      <c r="M447" s="47" t="n"/>
      <c r="N447" s="47" t="n"/>
      <c r="O447" s="47" t="n"/>
      <c r="P447" s="47" t="n"/>
      <c r="Q447" s="47" t="n"/>
      <c r="R447" s="47" t="n"/>
      <c r="S447" s="47" t="n"/>
      <c r="T447" s="47" t="n"/>
      <c r="U447" s="53" t="n"/>
      <c r="V447" s="53" t="n"/>
      <c r="W447" s="47" t="n"/>
      <c r="X447" s="47" t="n"/>
      <c r="Y447" s="47" t="n"/>
      <c r="Z447" s="47" t="n"/>
      <c r="AA447" s="47" t="n"/>
      <c r="AB447" s="47" t="n"/>
      <c r="AC447" s="47" t="n"/>
      <c r="AD447" s="47" t="n"/>
      <c r="AE447" s="47" t="n"/>
      <c r="AF447" s="20">
        <f>IF(A447="","",YEAR(EDATE(A447,-3)))</f>
        <v/>
      </c>
      <c r="AG447" s="20">
        <f>IF(OR(B447="",'経歴簿'!$C$4=""),"",IF(B447&amp;""='経歴簿'!$C$4&amp;"",MAX($AG$4:AG446)+1,""))</f>
        <v/>
      </c>
      <c r="AH447" s="20">
        <f>IF(A447="",0,IF(AND(OR('CSV抽出'!$C$4="",A447&gt;='CSV抽出'!$C$4),OR('CSV抽出'!$C$5="",A447&lt;='CSV抽出'!$C$5),OR('CSV抽出'!$C$6="すべて",'CSV抽出'!$C$6="",D447='CSV抽出'!$C$6),OR('CSV抽出'!$C$7="",B447&amp;""='CSV抽出'!$C$7&amp;"")),1,0))</f>
        <v/>
      </c>
      <c r="AI447" s="20">
        <f>IF(AH447=1,SUM($AH$5:AH447),"")</f>
        <v/>
      </c>
      <c r="AJ447" s="20">
        <f>IF(OR(S447="",'報告書'!$C$4=""),"",IF(S447&amp;""='報告書'!$C$4&amp;"",COUNTIF($S$5:S447,'報告書'!$C$4),""))</f>
        <v/>
      </c>
      <c r="AK447" s="20" t="n"/>
      <c r="AL447" s="47" t="n"/>
      <c r="AM447" s="47" t="n"/>
      <c r="AN447" s="53" t="n"/>
      <c r="AO447" s="47" t="n"/>
      <c r="AP447" s="47" t="n"/>
      <c r="AQ447" s="47" t="n"/>
      <c r="AR447" s="47" t="n"/>
      <c r="AS447" s="47" t="n"/>
      <c r="AT447" s="47" t="n"/>
      <c r="AU447" s="47" t="n"/>
      <c r="AV447" s="47" t="n"/>
      <c r="AW447" s="52" t="n"/>
    </row>
    <row r="448">
      <c r="A448" s="48" t="n"/>
      <c r="B448" s="52" t="n"/>
      <c r="C448" s="47">
        <f>IF(B448="","",IFERROR(INDEX('隊員マスタ'!$B$5:$B$204,MATCH(B448&amp;"",'隊員マスタ'!$F$5:$F$204,0)),IF(AK448="","番号なし",AK448)))</f>
        <v/>
      </c>
      <c r="D448" s="47" t="n"/>
      <c r="E448" s="47" t="n"/>
      <c r="F448" s="47" t="n"/>
      <c r="G448" s="47" t="n"/>
      <c r="H448" s="47" t="n"/>
      <c r="I448" s="47" t="n"/>
      <c r="J448" s="47" t="n"/>
      <c r="K448" s="47" t="n"/>
      <c r="L448" s="47" t="n"/>
      <c r="M448" s="47" t="n"/>
      <c r="N448" s="47" t="n"/>
      <c r="O448" s="47" t="n"/>
      <c r="P448" s="47" t="n"/>
      <c r="Q448" s="47" t="n"/>
      <c r="R448" s="47" t="n"/>
      <c r="S448" s="47" t="n"/>
      <c r="T448" s="47" t="n"/>
      <c r="U448" s="53" t="n"/>
      <c r="V448" s="53" t="n"/>
      <c r="W448" s="47" t="n"/>
      <c r="X448" s="47" t="n"/>
      <c r="Y448" s="47" t="n"/>
      <c r="Z448" s="47" t="n"/>
      <c r="AA448" s="47" t="n"/>
      <c r="AB448" s="47" t="n"/>
      <c r="AC448" s="47" t="n"/>
      <c r="AD448" s="47" t="n"/>
      <c r="AE448" s="47" t="n"/>
      <c r="AF448" s="20">
        <f>IF(A448="","",YEAR(EDATE(A448,-3)))</f>
        <v/>
      </c>
      <c r="AG448" s="20">
        <f>IF(OR(B448="",'経歴簿'!$C$4=""),"",IF(B448&amp;""='経歴簿'!$C$4&amp;"",MAX($AG$4:AG447)+1,""))</f>
        <v/>
      </c>
      <c r="AH448" s="20">
        <f>IF(A448="",0,IF(AND(OR('CSV抽出'!$C$4="",A448&gt;='CSV抽出'!$C$4),OR('CSV抽出'!$C$5="",A448&lt;='CSV抽出'!$C$5),OR('CSV抽出'!$C$6="すべて",'CSV抽出'!$C$6="",D448='CSV抽出'!$C$6),OR('CSV抽出'!$C$7="",B448&amp;""='CSV抽出'!$C$7&amp;"")),1,0))</f>
        <v/>
      </c>
      <c r="AI448" s="20">
        <f>IF(AH448=1,SUM($AH$5:AH448),"")</f>
        <v/>
      </c>
      <c r="AJ448" s="20">
        <f>IF(OR(S448="",'報告書'!$C$4=""),"",IF(S448&amp;""='報告書'!$C$4&amp;"",COUNTIF($S$5:S448,'報告書'!$C$4),""))</f>
        <v/>
      </c>
      <c r="AK448" s="20" t="n"/>
      <c r="AL448" s="47" t="n"/>
      <c r="AM448" s="47" t="n"/>
      <c r="AN448" s="53" t="n"/>
      <c r="AO448" s="47" t="n"/>
      <c r="AP448" s="47" t="n"/>
      <c r="AQ448" s="47" t="n"/>
      <c r="AR448" s="47" t="n"/>
      <c r="AS448" s="47" t="n"/>
      <c r="AT448" s="47" t="n"/>
      <c r="AU448" s="47" t="n"/>
      <c r="AV448" s="47" t="n"/>
      <c r="AW448" s="52" t="n"/>
    </row>
    <row r="449">
      <c r="A449" s="48" t="n"/>
      <c r="B449" s="52" t="n"/>
      <c r="C449" s="47">
        <f>IF(B449="","",IFERROR(INDEX('隊員マスタ'!$B$5:$B$204,MATCH(B449&amp;"",'隊員マスタ'!$F$5:$F$204,0)),IF(AK449="","番号なし",AK449)))</f>
        <v/>
      </c>
      <c r="D449" s="47" t="n"/>
      <c r="E449" s="47" t="n"/>
      <c r="F449" s="47" t="n"/>
      <c r="G449" s="47" t="n"/>
      <c r="H449" s="47" t="n"/>
      <c r="I449" s="47" t="n"/>
      <c r="J449" s="47" t="n"/>
      <c r="K449" s="47" t="n"/>
      <c r="L449" s="47" t="n"/>
      <c r="M449" s="47" t="n"/>
      <c r="N449" s="47" t="n"/>
      <c r="O449" s="47" t="n"/>
      <c r="P449" s="47" t="n"/>
      <c r="Q449" s="47" t="n"/>
      <c r="R449" s="47" t="n"/>
      <c r="S449" s="47" t="n"/>
      <c r="T449" s="47" t="n"/>
      <c r="U449" s="53" t="n"/>
      <c r="V449" s="53" t="n"/>
      <c r="W449" s="47" t="n"/>
      <c r="X449" s="47" t="n"/>
      <c r="Y449" s="47" t="n"/>
      <c r="Z449" s="47" t="n"/>
      <c r="AA449" s="47" t="n"/>
      <c r="AB449" s="47" t="n"/>
      <c r="AC449" s="47" t="n"/>
      <c r="AD449" s="47" t="n"/>
      <c r="AE449" s="47" t="n"/>
      <c r="AF449" s="20">
        <f>IF(A449="","",YEAR(EDATE(A449,-3)))</f>
        <v/>
      </c>
      <c r="AG449" s="20">
        <f>IF(OR(B449="",'経歴簿'!$C$4=""),"",IF(B449&amp;""='経歴簿'!$C$4&amp;"",MAX($AG$4:AG448)+1,""))</f>
        <v/>
      </c>
      <c r="AH449" s="20">
        <f>IF(A449="",0,IF(AND(OR('CSV抽出'!$C$4="",A449&gt;='CSV抽出'!$C$4),OR('CSV抽出'!$C$5="",A449&lt;='CSV抽出'!$C$5),OR('CSV抽出'!$C$6="すべて",'CSV抽出'!$C$6="",D449='CSV抽出'!$C$6),OR('CSV抽出'!$C$7="",B449&amp;""='CSV抽出'!$C$7&amp;"")),1,0))</f>
        <v/>
      </c>
      <c r="AI449" s="20">
        <f>IF(AH449=1,SUM($AH$5:AH449),"")</f>
        <v/>
      </c>
      <c r="AJ449" s="20">
        <f>IF(OR(S449="",'報告書'!$C$4=""),"",IF(S449&amp;""='報告書'!$C$4&amp;"",COUNTIF($S$5:S449,'報告書'!$C$4),""))</f>
        <v/>
      </c>
      <c r="AK449" s="20" t="n"/>
      <c r="AL449" s="47" t="n"/>
      <c r="AM449" s="47" t="n"/>
      <c r="AN449" s="53" t="n"/>
      <c r="AO449" s="47" t="n"/>
      <c r="AP449" s="47" t="n"/>
      <c r="AQ449" s="47" t="n"/>
      <c r="AR449" s="47" t="n"/>
      <c r="AS449" s="47" t="n"/>
      <c r="AT449" s="47" t="n"/>
      <c r="AU449" s="47" t="n"/>
      <c r="AV449" s="47" t="n"/>
      <c r="AW449" s="52" t="n"/>
    </row>
    <row r="450">
      <c r="A450" s="48" t="n"/>
      <c r="B450" s="52" t="n"/>
      <c r="C450" s="47">
        <f>IF(B450="","",IFERROR(INDEX('隊員マスタ'!$B$5:$B$204,MATCH(B450&amp;"",'隊員マスタ'!$F$5:$F$204,0)),IF(AK450="","番号なし",AK450)))</f>
        <v/>
      </c>
      <c r="D450" s="47" t="n"/>
      <c r="E450" s="47" t="n"/>
      <c r="F450" s="47" t="n"/>
      <c r="G450" s="47" t="n"/>
      <c r="H450" s="47" t="n"/>
      <c r="I450" s="47" t="n"/>
      <c r="J450" s="47" t="n"/>
      <c r="K450" s="47" t="n"/>
      <c r="L450" s="47" t="n"/>
      <c r="M450" s="47" t="n"/>
      <c r="N450" s="47" t="n"/>
      <c r="O450" s="47" t="n"/>
      <c r="P450" s="47" t="n"/>
      <c r="Q450" s="47" t="n"/>
      <c r="R450" s="47" t="n"/>
      <c r="S450" s="47" t="n"/>
      <c r="T450" s="47" t="n"/>
      <c r="U450" s="53" t="n"/>
      <c r="V450" s="53" t="n"/>
      <c r="W450" s="47" t="n"/>
      <c r="X450" s="47" t="n"/>
      <c r="Y450" s="47" t="n"/>
      <c r="Z450" s="47" t="n"/>
      <c r="AA450" s="47" t="n"/>
      <c r="AB450" s="47" t="n"/>
      <c r="AC450" s="47" t="n"/>
      <c r="AD450" s="47" t="n"/>
      <c r="AE450" s="47" t="n"/>
      <c r="AF450" s="20">
        <f>IF(A450="","",YEAR(EDATE(A450,-3)))</f>
        <v/>
      </c>
      <c r="AG450" s="20">
        <f>IF(OR(B450="",'経歴簿'!$C$4=""),"",IF(B450&amp;""='経歴簿'!$C$4&amp;"",MAX($AG$4:AG449)+1,""))</f>
        <v/>
      </c>
      <c r="AH450" s="20">
        <f>IF(A450="",0,IF(AND(OR('CSV抽出'!$C$4="",A450&gt;='CSV抽出'!$C$4),OR('CSV抽出'!$C$5="",A450&lt;='CSV抽出'!$C$5),OR('CSV抽出'!$C$6="すべて",'CSV抽出'!$C$6="",D450='CSV抽出'!$C$6),OR('CSV抽出'!$C$7="",B450&amp;""='CSV抽出'!$C$7&amp;"")),1,0))</f>
        <v/>
      </c>
      <c r="AI450" s="20">
        <f>IF(AH450=1,SUM($AH$5:AH450),"")</f>
        <v/>
      </c>
      <c r="AJ450" s="20">
        <f>IF(OR(S450="",'報告書'!$C$4=""),"",IF(S450&amp;""='報告書'!$C$4&amp;"",COUNTIF($S$5:S450,'報告書'!$C$4),""))</f>
        <v/>
      </c>
      <c r="AK450" s="20" t="n"/>
      <c r="AL450" s="47" t="n"/>
      <c r="AM450" s="47" t="n"/>
      <c r="AN450" s="53" t="n"/>
      <c r="AO450" s="47" t="n"/>
      <c r="AP450" s="47" t="n"/>
      <c r="AQ450" s="47" t="n"/>
      <c r="AR450" s="47" t="n"/>
      <c r="AS450" s="47" t="n"/>
      <c r="AT450" s="47" t="n"/>
      <c r="AU450" s="47" t="n"/>
      <c r="AV450" s="47" t="n"/>
      <c r="AW450" s="52" t="n"/>
    </row>
    <row r="451">
      <c r="A451" s="48" t="n"/>
      <c r="B451" s="52" t="n"/>
      <c r="C451" s="47">
        <f>IF(B451="","",IFERROR(INDEX('隊員マスタ'!$B$5:$B$204,MATCH(B451&amp;"",'隊員マスタ'!$F$5:$F$204,0)),IF(AK451="","番号なし",AK451)))</f>
        <v/>
      </c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  <c r="N451" s="47" t="n"/>
      <c r="O451" s="47" t="n"/>
      <c r="P451" s="47" t="n"/>
      <c r="Q451" s="47" t="n"/>
      <c r="R451" s="47" t="n"/>
      <c r="S451" s="47" t="n"/>
      <c r="T451" s="47" t="n"/>
      <c r="U451" s="53" t="n"/>
      <c r="V451" s="53" t="n"/>
      <c r="W451" s="47" t="n"/>
      <c r="X451" s="47" t="n"/>
      <c r="Y451" s="47" t="n"/>
      <c r="Z451" s="47" t="n"/>
      <c r="AA451" s="47" t="n"/>
      <c r="AB451" s="47" t="n"/>
      <c r="AC451" s="47" t="n"/>
      <c r="AD451" s="47" t="n"/>
      <c r="AE451" s="47" t="n"/>
      <c r="AF451" s="20">
        <f>IF(A451="","",YEAR(EDATE(A451,-3)))</f>
        <v/>
      </c>
      <c r="AG451" s="20">
        <f>IF(OR(B451="",'経歴簿'!$C$4=""),"",IF(B451&amp;""='経歴簿'!$C$4&amp;"",MAX($AG$4:AG450)+1,""))</f>
        <v/>
      </c>
      <c r="AH451" s="20">
        <f>IF(A451="",0,IF(AND(OR('CSV抽出'!$C$4="",A451&gt;='CSV抽出'!$C$4),OR('CSV抽出'!$C$5="",A451&lt;='CSV抽出'!$C$5),OR('CSV抽出'!$C$6="すべて",'CSV抽出'!$C$6="",D451='CSV抽出'!$C$6),OR('CSV抽出'!$C$7="",B451&amp;""='CSV抽出'!$C$7&amp;"")),1,0))</f>
        <v/>
      </c>
      <c r="AI451" s="20">
        <f>IF(AH451=1,SUM($AH$5:AH451),"")</f>
        <v/>
      </c>
      <c r="AJ451" s="20">
        <f>IF(OR(S451="",'報告書'!$C$4=""),"",IF(S451&amp;""='報告書'!$C$4&amp;"",COUNTIF($S$5:S451,'報告書'!$C$4),""))</f>
        <v/>
      </c>
      <c r="AK451" s="20" t="n"/>
      <c r="AL451" s="47" t="n"/>
      <c r="AM451" s="47" t="n"/>
      <c r="AN451" s="53" t="n"/>
      <c r="AO451" s="47" t="n"/>
      <c r="AP451" s="47" t="n"/>
      <c r="AQ451" s="47" t="n"/>
      <c r="AR451" s="47" t="n"/>
      <c r="AS451" s="47" t="n"/>
      <c r="AT451" s="47" t="n"/>
      <c r="AU451" s="47" t="n"/>
      <c r="AV451" s="47" t="n"/>
      <c r="AW451" s="52" t="n"/>
    </row>
    <row r="452">
      <c r="A452" s="48" t="n"/>
      <c r="B452" s="52" t="n"/>
      <c r="C452" s="47">
        <f>IF(B452="","",IFERROR(INDEX('隊員マスタ'!$B$5:$B$204,MATCH(B452&amp;"",'隊員マスタ'!$F$5:$F$204,0)),IF(AK452="","番号なし",AK452)))</f>
        <v/>
      </c>
      <c r="D452" s="47" t="n"/>
      <c r="E452" s="47" t="n"/>
      <c r="F452" s="47" t="n"/>
      <c r="G452" s="47" t="n"/>
      <c r="H452" s="47" t="n"/>
      <c r="I452" s="47" t="n"/>
      <c r="J452" s="47" t="n"/>
      <c r="K452" s="47" t="n"/>
      <c r="L452" s="47" t="n"/>
      <c r="M452" s="47" t="n"/>
      <c r="N452" s="47" t="n"/>
      <c r="O452" s="47" t="n"/>
      <c r="P452" s="47" t="n"/>
      <c r="Q452" s="47" t="n"/>
      <c r="R452" s="47" t="n"/>
      <c r="S452" s="47" t="n"/>
      <c r="T452" s="47" t="n"/>
      <c r="U452" s="53" t="n"/>
      <c r="V452" s="53" t="n"/>
      <c r="W452" s="47" t="n"/>
      <c r="X452" s="47" t="n"/>
      <c r="Y452" s="47" t="n"/>
      <c r="Z452" s="47" t="n"/>
      <c r="AA452" s="47" t="n"/>
      <c r="AB452" s="47" t="n"/>
      <c r="AC452" s="47" t="n"/>
      <c r="AD452" s="47" t="n"/>
      <c r="AE452" s="47" t="n"/>
      <c r="AF452" s="20">
        <f>IF(A452="","",YEAR(EDATE(A452,-3)))</f>
        <v/>
      </c>
      <c r="AG452" s="20">
        <f>IF(OR(B452="",'経歴簿'!$C$4=""),"",IF(B452&amp;""='経歴簿'!$C$4&amp;"",MAX($AG$4:AG451)+1,""))</f>
        <v/>
      </c>
      <c r="AH452" s="20">
        <f>IF(A452="",0,IF(AND(OR('CSV抽出'!$C$4="",A452&gt;='CSV抽出'!$C$4),OR('CSV抽出'!$C$5="",A452&lt;='CSV抽出'!$C$5),OR('CSV抽出'!$C$6="すべて",'CSV抽出'!$C$6="",D452='CSV抽出'!$C$6),OR('CSV抽出'!$C$7="",B452&amp;""='CSV抽出'!$C$7&amp;"")),1,0))</f>
        <v/>
      </c>
      <c r="AI452" s="20">
        <f>IF(AH452=1,SUM($AH$5:AH452),"")</f>
        <v/>
      </c>
      <c r="AJ452" s="20">
        <f>IF(OR(S452="",'報告書'!$C$4=""),"",IF(S452&amp;""='報告書'!$C$4&amp;"",COUNTIF($S$5:S452,'報告書'!$C$4),""))</f>
        <v/>
      </c>
      <c r="AK452" s="20" t="n"/>
      <c r="AL452" s="47" t="n"/>
      <c r="AM452" s="47" t="n"/>
      <c r="AN452" s="53" t="n"/>
      <c r="AO452" s="47" t="n"/>
      <c r="AP452" s="47" t="n"/>
      <c r="AQ452" s="47" t="n"/>
      <c r="AR452" s="47" t="n"/>
      <c r="AS452" s="47" t="n"/>
      <c r="AT452" s="47" t="n"/>
      <c r="AU452" s="47" t="n"/>
      <c r="AV452" s="47" t="n"/>
      <c r="AW452" s="52" t="n"/>
    </row>
    <row r="453">
      <c r="A453" s="48" t="n"/>
      <c r="B453" s="52" t="n"/>
      <c r="C453" s="47">
        <f>IF(B453="","",IFERROR(INDEX('隊員マスタ'!$B$5:$B$204,MATCH(B453&amp;"",'隊員マスタ'!$F$5:$F$204,0)),IF(AK453="","番号なし",AK453)))</f>
        <v/>
      </c>
      <c r="D453" s="47" t="n"/>
      <c r="E453" s="47" t="n"/>
      <c r="F453" s="47" t="n"/>
      <c r="G453" s="47" t="n"/>
      <c r="H453" s="47" t="n"/>
      <c r="I453" s="47" t="n"/>
      <c r="J453" s="47" t="n"/>
      <c r="K453" s="47" t="n"/>
      <c r="L453" s="47" t="n"/>
      <c r="M453" s="47" t="n"/>
      <c r="N453" s="47" t="n"/>
      <c r="O453" s="47" t="n"/>
      <c r="P453" s="47" t="n"/>
      <c r="Q453" s="47" t="n"/>
      <c r="R453" s="47" t="n"/>
      <c r="S453" s="47" t="n"/>
      <c r="T453" s="47" t="n"/>
      <c r="U453" s="53" t="n"/>
      <c r="V453" s="53" t="n"/>
      <c r="W453" s="47" t="n"/>
      <c r="X453" s="47" t="n"/>
      <c r="Y453" s="47" t="n"/>
      <c r="Z453" s="47" t="n"/>
      <c r="AA453" s="47" t="n"/>
      <c r="AB453" s="47" t="n"/>
      <c r="AC453" s="47" t="n"/>
      <c r="AD453" s="47" t="n"/>
      <c r="AE453" s="47" t="n"/>
      <c r="AF453" s="20">
        <f>IF(A453="","",YEAR(EDATE(A453,-3)))</f>
        <v/>
      </c>
      <c r="AG453" s="20">
        <f>IF(OR(B453="",'経歴簿'!$C$4=""),"",IF(B453&amp;""='経歴簿'!$C$4&amp;"",MAX($AG$4:AG452)+1,""))</f>
        <v/>
      </c>
      <c r="AH453" s="20">
        <f>IF(A453="",0,IF(AND(OR('CSV抽出'!$C$4="",A453&gt;='CSV抽出'!$C$4),OR('CSV抽出'!$C$5="",A453&lt;='CSV抽出'!$C$5),OR('CSV抽出'!$C$6="すべて",'CSV抽出'!$C$6="",D453='CSV抽出'!$C$6),OR('CSV抽出'!$C$7="",B453&amp;""='CSV抽出'!$C$7&amp;"")),1,0))</f>
        <v/>
      </c>
      <c r="AI453" s="20">
        <f>IF(AH453=1,SUM($AH$5:AH453),"")</f>
        <v/>
      </c>
      <c r="AJ453" s="20">
        <f>IF(OR(S453="",'報告書'!$C$4=""),"",IF(S453&amp;""='報告書'!$C$4&amp;"",COUNTIF($S$5:S453,'報告書'!$C$4),""))</f>
        <v/>
      </c>
      <c r="AK453" s="20" t="n"/>
      <c r="AL453" s="47" t="n"/>
      <c r="AM453" s="47" t="n"/>
      <c r="AN453" s="53" t="n"/>
      <c r="AO453" s="47" t="n"/>
      <c r="AP453" s="47" t="n"/>
      <c r="AQ453" s="47" t="n"/>
      <c r="AR453" s="47" t="n"/>
      <c r="AS453" s="47" t="n"/>
      <c r="AT453" s="47" t="n"/>
      <c r="AU453" s="47" t="n"/>
      <c r="AV453" s="47" t="n"/>
      <c r="AW453" s="52" t="n"/>
    </row>
    <row r="454">
      <c r="A454" s="48" t="n"/>
      <c r="B454" s="52" t="n"/>
      <c r="C454" s="47">
        <f>IF(B454="","",IFERROR(INDEX('隊員マスタ'!$B$5:$B$204,MATCH(B454&amp;"",'隊員マスタ'!$F$5:$F$204,0)),IF(AK454="","番号なし",AK454)))</f>
        <v/>
      </c>
      <c r="D454" s="47" t="n"/>
      <c r="E454" s="47" t="n"/>
      <c r="F454" s="47" t="n"/>
      <c r="G454" s="47" t="n"/>
      <c r="H454" s="47" t="n"/>
      <c r="I454" s="47" t="n"/>
      <c r="J454" s="47" t="n"/>
      <c r="K454" s="47" t="n"/>
      <c r="L454" s="47" t="n"/>
      <c r="M454" s="47" t="n"/>
      <c r="N454" s="47" t="n"/>
      <c r="O454" s="47" t="n"/>
      <c r="P454" s="47" t="n"/>
      <c r="Q454" s="47" t="n"/>
      <c r="R454" s="47" t="n"/>
      <c r="S454" s="47" t="n"/>
      <c r="T454" s="47" t="n"/>
      <c r="U454" s="53" t="n"/>
      <c r="V454" s="53" t="n"/>
      <c r="W454" s="47" t="n"/>
      <c r="X454" s="47" t="n"/>
      <c r="Y454" s="47" t="n"/>
      <c r="Z454" s="47" t="n"/>
      <c r="AA454" s="47" t="n"/>
      <c r="AB454" s="47" t="n"/>
      <c r="AC454" s="47" t="n"/>
      <c r="AD454" s="47" t="n"/>
      <c r="AE454" s="47" t="n"/>
      <c r="AF454" s="20">
        <f>IF(A454="","",YEAR(EDATE(A454,-3)))</f>
        <v/>
      </c>
      <c r="AG454" s="20">
        <f>IF(OR(B454="",'経歴簿'!$C$4=""),"",IF(B454&amp;""='経歴簿'!$C$4&amp;"",MAX($AG$4:AG453)+1,""))</f>
        <v/>
      </c>
      <c r="AH454" s="20">
        <f>IF(A454="",0,IF(AND(OR('CSV抽出'!$C$4="",A454&gt;='CSV抽出'!$C$4),OR('CSV抽出'!$C$5="",A454&lt;='CSV抽出'!$C$5),OR('CSV抽出'!$C$6="すべて",'CSV抽出'!$C$6="",D454='CSV抽出'!$C$6),OR('CSV抽出'!$C$7="",B454&amp;""='CSV抽出'!$C$7&amp;"")),1,0))</f>
        <v/>
      </c>
      <c r="AI454" s="20">
        <f>IF(AH454=1,SUM($AH$5:AH454),"")</f>
        <v/>
      </c>
      <c r="AJ454" s="20">
        <f>IF(OR(S454="",'報告書'!$C$4=""),"",IF(S454&amp;""='報告書'!$C$4&amp;"",COUNTIF($S$5:S454,'報告書'!$C$4),""))</f>
        <v/>
      </c>
      <c r="AK454" s="20" t="n"/>
      <c r="AL454" s="47" t="n"/>
      <c r="AM454" s="47" t="n"/>
      <c r="AN454" s="53" t="n"/>
      <c r="AO454" s="47" t="n"/>
      <c r="AP454" s="47" t="n"/>
      <c r="AQ454" s="47" t="n"/>
      <c r="AR454" s="47" t="n"/>
      <c r="AS454" s="47" t="n"/>
      <c r="AT454" s="47" t="n"/>
      <c r="AU454" s="47" t="n"/>
      <c r="AV454" s="47" t="n"/>
      <c r="AW454" s="52" t="n"/>
    </row>
    <row r="455">
      <c r="A455" s="48" t="n"/>
      <c r="B455" s="52" t="n"/>
      <c r="C455" s="47">
        <f>IF(B455="","",IFERROR(INDEX('隊員マスタ'!$B$5:$B$204,MATCH(B455&amp;"",'隊員マスタ'!$F$5:$F$204,0)),IF(AK455="","番号なし",AK455)))</f>
        <v/>
      </c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  <c r="N455" s="47" t="n"/>
      <c r="O455" s="47" t="n"/>
      <c r="P455" s="47" t="n"/>
      <c r="Q455" s="47" t="n"/>
      <c r="R455" s="47" t="n"/>
      <c r="S455" s="47" t="n"/>
      <c r="T455" s="47" t="n"/>
      <c r="U455" s="53" t="n"/>
      <c r="V455" s="53" t="n"/>
      <c r="W455" s="47" t="n"/>
      <c r="X455" s="47" t="n"/>
      <c r="Y455" s="47" t="n"/>
      <c r="Z455" s="47" t="n"/>
      <c r="AA455" s="47" t="n"/>
      <c r="AB455" s="47" t="n"/>
      <c r="AC455" s="47" t="n"/>
      <c r="AD455" s="47" t="n"/>
      <c r="AE455" s="47" t="n"/>
      <c r="AF455" s="20">
        <f>IF(A455="","",YEAR(EDATE(A455,-3)))</f>
        <v/>
      </c>
      <c r="AG455" s="20">
        <f>IF(OR(B455="",'経歴簿'!$C$4=""),"",IF(B455&amp;""='経歴簿'!$C$4&amp;"",MAX($AG$4:AG454)+1,""))</f>
        <v/>
      </c>
      <c r="AH455" s="20">
        <f>IF(A455="",0,IF(AND(OR('CSV抽出'!$C$4="",A455&gt;='CSV抽出'!$C$4),OR('CSV抽出'!$C$5="",A455&lt;='CSV抽出'!$C$5),OR('CSV抽出'!$C$6="すべて",'CSV抽出'!$C$6="",D455='CSV抽出'!$C$6),OR('CSV抽出'!$C$7="",B455&amp;""='CSV抽出'!$C$7&amp;"")),1,0))</f>
        <v/>
      </c>
      <c r="AI455" s="20">
        <f>IF(AH455=1,SUM($AH$5:AH455),"")</f>
        <v/>
      </c>
      <c r="AJ455" s="20">
        <f>IF(OR(S455="",'報告書'!$C$4=""),"",IF(S455&amp;""='報告書'!$C$4&amp;"",COUNTIF($S$5:S455,'報告書'!$C$4),""))</f>
        <v/>
      </c>
      <c r="AK455" s="20" t="n"/>
      <c r="AL455" s="47" t="n"/>
      <c r="AM455" s="47" t="n"/>
      <c r="AN455" s="53" t="n"/>
      <c r="AO455" s="47" t="n"/>
      <c r="AP455" s="47" t="n"/>
      <c r="AQ455" s="47" t="n"/>
      <c r="AR455" s="47" t="n"/>
      <c r="AS455" s="47" t="n"/>
      <c r="AT455" s="47" t="n"/>
      <c r="AU455" s="47" t="n"/>
      <c r="AV455" s="47" t="n"/>
      <c r="AW455" s="52" t="n"/>
    </row>
    <row r="456">
      <c r="A456" s="48" t="n"/>
      <c r="B456" s="52" t="n"/>
      <c r="C456" s="47">
        <f>IF(B456="","",IFERROR(INDEX('隊員マスタ'!$B$5:$B$204,MATCH(B456&amp;"",'隊員マスタ'!$F$5:$F$204,0)),IF(AK456="","番号なし",AK456)))</f>
        <v/>
      </c>
      <c r="D456" s="47" t="n"/>
      <c r="E456" s="47" t="n"/>
      <c r="F456" s="47" t="n"/>
      <c r="G456" s="47" t="n"/>
      <c r="H456" s="47" t="n"/>
      <c r="I456" s="47" t="n"/>
      <c r="J456" s="47" t="n"/>
      <c r="K456" s="47" t="n"/>
      <c r="L456" s="47" t="n"/>
      <c r="M456" s="47" t="n"/>
      <c r="N456" s="47" t="n"/>
      <c r="O456" s="47" t="n"/>
      <c r="P456" s="47" t="n"/>
      <c r="Q456" s="47" t="n"/>
      <c r="R456" s="47" t="n"/>
      <c r="S456" s="47" t="n"/>
      <c r="T456" s="47" t="n"/>
      <c r="U456" s="53" t="n"/>
      <c r="V456" s="53" t="n"/>
      <c r="W456" s="47" t="n"/>
      <c r="X456" s="47" t="n"/>
      <c r="Y456" s="47" t="n"/>
      <c r="Z456" s="47" t="n"/>
      <c r="AA456" s="47" t="n"/>
      <c r="AB456" s="47" t="n"/>
      <c r="AC456" s="47" t="n"/>
      <c r="AD456" s="47" t="n"/>
      <c r="AE456" s="47" t="n"/>
      <c r="AF456" s="20">
        <f>IF(A456="","",YEAR(EDATE(A456,-3)))</f>
        <v/>
      </c>
      <c r="AG456" s="20">
        <f>IF(OR(B456="",'経歴簿'!$C$4=""),"",IF(B456&amp;""='経歴簿'!$C$4&amp;"",MAX($AG$4:AG455)+1,""))</f>
        <v/>
      </c>
      <c r="AH456" s="20">
        <f>IF(A456="",0,IF(AND(OR('CSV抽出'!$C$4="",A456&gt;='CSV抽出'!$C$4),OR('CSV抽出'!$C$5="",A456&lt;='CSV抽出'!$C$5),OR('CSV抽出'!$C$6="すべて",'CSV抽出'!$C$6="",D456='CSV抽出'!$C$6),OR('CSV抽出'!$C$7="",B456&amp;""='CSV抽出'!$C$7&amp;"")),1,0))</f>
        <v/>
      </c>
      <c r="AI456" s="20">
        <f>IF(AH456=1,SUM($AH$5:AH456),"")</f>
        <v/>
      </c>
      <c r="AJ456" s="20">
        <f>IF(OR(S456="",'報告書'!$C$4=""),"",IF(S456&amp;""='報告書'!$C$4&amp;"",COUNTIF($S$5:S456,'報告書'!$C$4),""))</f>
        <v/>
      </c>
      <c r="AK456" s="20" t="n"/>
      <c r="AL456" s="47" t="n"/>
      <c r="AM456" s="47" t="n"/>
      <c r="AN456" s="53" t="n"/>
      <c r="AO456" s="47" t="n"/>
      <c r="AP456" s="47" t="n"/>
      <c r="AQ456" s="47" t="n"/>
      <c r="AR456" s="47" t="n"/>
      <c r="AS456" s="47" t="n"/>
      <c r="AT456" s="47" t="n"/>
      <c r="AU456" s="47" t="n"/>
      <c r="AV456" s="47" t="n"/>
      <c r="AW456" s="52" t="n"/>
    </row>
    <row r="457">
      <c r="A457" s="48" t="n"/>
      <c r="B457" s="52" t="n"/>
      <c r="C457" s="47">
        <f>IF(B457="","",IFERROR(INDEX('隊員マスタ'!$B$5:$B$204,MATCH(B457&amp;"",'隊員マスタ'!$F$5:$F$204,0)),IF(AK457="","番号なし",AK457)))</f>
        <v/>
      </c>
      <c r="D457" s="47" t="n"/>
      <c r="E457" s="47" t="n"/>
      <c r="F457" s="47" t="n"/>
      <c r="G457" s="47" t="n"/>
      <c r="H457" s="47" t="n"/>
      <c r="I457" s="47" t="n"/>
      <c r="J457" s="47" t="n"/>
      <c r="K457" s="47" t="n"/>
      <c r="L457" s="47" t="n"/>
      <c r="M457" s="47" t="n"/>
      <c r="N457" s="47" t="n"/>
      <c r="O457" s="47" t="n"/>
      <c r="P457" s="47" t="n"/>
      <c r="Q457" s="47" t="n"/>
      <c r="R457" s="47" t="n"/>
      <c r="S457" s="47" t="n"/>
      <c r="T457" s="47" t="n"/>
      <c r="U457" s="53" t="n"/>
      <c r="V457" s="53" t="n"/>
      <c r="W457" s="47" t="n"/>
      <c r="X457" s="47" t="n"/>
      <c r="Y457" s="47" t="n"/>
      <c r="Z457" s="47" t="n"/>
      <c r="AA457" s="47" t="n"/>
      <c r="AB457" s="47" t="n"/>
      <c r="AC457" s="47" t="n"/>
      <c r="AD457" s="47" t="n"/>
      <c r="AE457" s="47" t="n"/>
      <c r="AF457" s="20">
        <f>IF(A457="","",YEAR(EDATE(A457,-3)))</f>
        <v/>
      </c>
      <c r="AG457" s="20">
        <f>IF(OR(B457="",'経歴簿'!$C$4=""),"",IF(B457&amp;""='経歴簿'!$C$4&amp;"",MAX($AG$4:AG456)+1,""))</f>
        <v/>
      </c>
      <c r="AH457" s="20">
        <f>IF(A457="",0,IF(AND(OR('CSV抽出'!$C$4="",A457&gt;='CSV抽出'!$C$4),OR('CSV抽出'!$C$5="",A457&lt;='CSV抽出'!$C$5),OR('CSV抽出'!$C$6="すべて",'CSV抽出'!$C$6="",D457='CSV抽出'!$C$6),OR('CSV抽出'!$C$7="",B457&amp;""='CSV抽出'!$C$7&amp;"")),1,0))</f>
        <v/>
      </c>
      <c r="AI457" s="20">
        <f>IF(AH457=1,SUM($AH$5:AH457),"")</f>
        <v/>
      </c>
      <c r="AJ457" s="20">
        <f>IF(OR(S457="",'報告書'!$C$4=""),"",IF(S457&amp;""='報告書'!$C$4&amp;"",COUNTIF($S$5:S457,'報告書'!$C$4),""))</f>
        <v/>
      </c>
      <c r="AK457" s="20" t="n"/>
      <c r="AL457" s="47" t="n"/>
      <c r="AM457" s="47" t="n"/>
      <c r="AN457" s="53" t="n"/>
      <c r="AO457" s="47" t="n"/>
      <c r="AP457" s="47" t="n"/>
      <c r="AQ457" s="47" t="n"/>
      <c r="AR457" s="47" t="n"/>
      <c r="AS457" s="47" t="n"/>
      <c r="AT457" s="47" t="n"/>
      <c r="AU457" s="47" t="n"/>
      <c r="AV457" s="47" t="n"/>
      <c r="AW457" s="52" t="n"/>
    </row>
    <row r="458">
      <c r="A458" s="48" t="n"/>
      <c r="B458" s="52" t="n"/>
      <c r="C458" s="47">
        <f>IF(B458="","",IFERROR(INDEX('隊員マスタ'!$B$5:$B$204,MATCH(B458&amp;"",'隊員マスタ'!$F$5:$F$204,0)),IF(AK458="","番号なし",AK458)))</f>
        <v/>
      </c>
      <c r="D458" s="47" t="n"/>
      <c r="E458" s="47" t="n"/>
      <c r="F458" s="47" t="n"/>
      <c r="G458" s="47" t="n"/>
      <c r="H458" s="47" t="n"/>
      <c r="I458" s="47" t="n"/>
      <c r="J458" s="47" t="n"/>
      <c r="K458" s="47" t="n"/>
      <c r="L458" s="47" t="n"/>
      <c r="M458" s="47" t="n"/>
      <c r="N458" s="47" t="n"/>
      <c r="O458" s="47" t="n"/>
      <c r="P458" s="47" t="n"/>
      <c r="Q458" s="47" t="n"/>
      <c r="R458" s="47" t="n"/>
      <c r="S458" s="47" t="n"/>
      <c r="T458" s="47" t="n"/>
      <c r="U458" s="53" t="n"/>
      <c r="V458" s="53" t="n"/>
      <c r="W458" s="47" t="n"/>
      <c r="X458" s="47" t="n"/>
      <c r="Y458" s="47" t="n"/>
      <c r="Z458" s="47" t="n"/>
      <c r="AA458" s="47" t="n"/>
      <c r="AB458" s="47" t="n"/>
      <c r="AC458" s="47" t="n"/>
      <c r="AD458" s="47" t="n"/>
      <c r="AE458" s="47" t="n"/>
      <c r="AF458" s="20">
        <f>IF(A458="","",YEAR(EDATE(A458,-3)))</f>
        <v/>
      </c>
      <c r="AG458" s="20">
        <f>IF(OR(B458="",'経歴簿'!$C$4=""),"",IF(B458&amp;""='経歴簿'!$C$4&amp;"",MAX($AG$4:AG457)+1,""))</f>
        <v/>
      </c>
      <c r="AH458" s="20">
        <f>IF(A458="",0,IF(AND(OR('CSV抽出'!$C$4="",A458&gt;='CSV抽出'!$C$4),OR('CSV抽出'!$C$5="",A458&lt;='CSV抽出'!$C$5),OR('CSV抽出'!$C$6="すべて",'CSV抽出'!$C$6="",D458='CSV抽出'!$C$6),OR('CSV抽出'!$C$7="",B458&amp;""='CSV抽出'!$C$7&amp;"")),1,0))</f>
        <v/>
      </c>
      <c r="AI458" s="20">
        <f>IF(AH458=1,SUM($AH$5:AH458),"")</f>
        <v/>
      </c>
      <c r="AJ458" s="20">
        <f>IF(OR(S458="",'報告書'!$C$4=""),"",IF(S458&amp;""='報告書'!$C$4&amp;"",COUNTIF($S$5:S458,'報告書'!$C$4),""))</f>
        <v/>
      </c>
      <c r="AK458" s="20" t="n"/>
      <c r="AL458" s="47" t="n"/>
      <c r="AM458" s="47" t="n"/>
      <c r="AN458" s="53" t="n"/>
      <c r="AO458" s="47" t="n"/>
      <c r="AP458" s="47" t="n"/>
      <c r="AQ458" s="47" t="n"/>
      <c r="AR458" s="47" t="n"/>
      <c r="AS458" s="47" t="n"/>
      <c r="AT458" s="47" t="n"/>
      <c r="AU458" s="47" t="n"/>
      <c r="AV458" s="47" t="n"/>
      <c r="AW458" s="52" t="n"/>
    </row>
    <row r="459">
      <c r="A459" s="48" t="n"/>
      <c r="B459" s="52" t="n"/>
      <c r="C459" s="47">
        <f>IF(B459="","",IFERROR(INDEX('隊員マスタ'!$B$5:$B$204,MATCH(B459&amp;"",'隊員マスタ'!$F$5:$F$204,0)),IF(AK459="","番号なし",AK459)))</f>
        <v/>
      </c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  <c r="N459" s="47" t="n"/>
      <c r="O459" s="47" t="n"/>
      <c r="P459" s="47" t="n"/>
      <c r="Q459" s="47" t="n"/>
      <c r="R459" s="47" t="n"/>
      <c r="S459" s="47" t="n"/>
      <c r="T459" s="47" t="n"/>
      <c r="U459" s="53" t="n"/>
      <c r="V459" s="53" t="n"/>
      <c r="W459" s="47" t="n"/>
      <c r="X459" s="47" t="n"/>
      <c r="Y459" s="47" t="n"/>
      <c r="Z459" s="47" t="n"/>
      <c r="AA459" s="47" t="n"/>
      <c r="AB459" s="47" t="n"/>
      <c r="AC459" s="47" t="n"/>
      <c r="AD459" s="47" t="n"/>
      <c r="AE459" s="47" t="n"/>
      <c r="AF459" s="20">
        <f>IF(A459="","",YEAR(EDATE(A459,-3)))</f>
        <v/>
      </c>
      <c r="AG459" s="20">
        <f>IF(OR(B459="",'経歴簿'!$C$4=""),"",IF(B459&amp;""='経歴簿'!$C$4&amp;"",MAX($AG$4:AG458)+1,""))</f>
        <v/>
      </c>
      <c r="AH459" s="20">
        <f>IF(A459="",0,IF(AND(OR('CSV抽出'!$C$4="",A459&gt;='CSV抽出'!$C$4),OR('CSV抽出'!$C$5="",A459&lt;='CSV抽出'!$C$5),OR('CSV抽出'!$C$6="すべて",'CSV抽出'!$C$6="",D459='CSV抽出'!$C$6),OR('CSV抽出'!$C$7="",B459&amp;""='CSV抽出'!$C$7&amp;"")),1,0))</f>
        <v/>
      </c>
      <c r="AI459" s="20">
        <f>IF(AH459=1,SUM($AH$5:AH459),"")</f>
        <v/>
      </c>
      <c r="AJ459" s="20">
        <f>IF(OR(S459="",'報告書'!$C$4=""),"",IF(S459&amp;""='報告書'!$C$4&amp;"",COUNTIF($S$5:S459,'報告書'!$C$4),""))</f>
        <v/>
      </c>
      <c r="AK459" s="20" t="n"/>
      <c r="AL459" s="47" t="n"/>
      <c r="AM459" s="47" t="n"/>
      <c r="AN459" s="53" t="n"/>
      <c r="AO459" s="47" t="n"/>
      <c r="AP459" s="47" t="n"/>
      <c r="AQ459" s="47" t="n"/>
      <c r="AR459" s="47" t="n"/>
      <c r="AS459" s="47" t="n"/>
      <c r="AT459" s="47" t="n"/>
      <c r="AU459" s="47" t="n"/>
      <c r="AV459" s="47" t="n"/>
      <c r="AW459" s="52" t="n"/>
    </row>
    <row r="460">
      <c r="A460" s="48" t="n"/>
      <c r="B460" s="52" t="n"/>
      <c r="C460" s="47">
        <f>IF(B460="","",IFERROR(INDEX('隊員マスタ'!$B$5:$B$204,MATCH(B460&amp;"",'隊員マスタ'!$F$5:$F$204,0)),IF(AK460="","番号なし",AK460)))</f>
        <v/>
      </c>
      <c r="D460" s="47" t="n"/>
      <c r="E460" s="47" t="n"/>
      <c r="F460" s="47" t="n"/>
      <c r="G460" s="47" t="n"/>
      <c r="H460" s="47" t="n"/>
      <c r="I460" s="47" t="n"/>
      <c r="J460" s="47" t="n"/>
      <c r="K460" s="47" t="n"/>
      <c r="L460" s="47" t="n"/>
      <c r="M460" s="47" t="n"/>
      <c r="N460" s="47" t="n"/>
      <c r="O460" s="47" t="n"/>
      <c r="P460" s="47" t="n"/>
      <c r="Q460" s="47" t="n"/>
      <c r="R460" s="47" t="n"/>
      <c r="S460" s="47" t="n"/>
      <c r="T460" s="47" t="n"/>
      <c r="U460" s="53" t="n"/>
      <c r="V460" s="53" t="n"/>
      <c r="W460" s="47" t="n"/>
      <c r="X460" s="47" t="n"/>
      <c r="Y460" s="47" t="n"/>
      <c r="Z460" s="47" t="n"/>
      <c r="AA460" s="47" t="n"/>
      <c r="AB460" s="47" t="n"/>
      <c r="AC460" s="47" t="n"/>
      <c r="AD460" s="47" t="n"/>
      <c r="AE460" s="47" t="n"/>
      <c r="AF460" s="20">
        <f>IF(A460="","",YEAR(EDATE(A460,-3)))</f>
        <v/>
      </c>
      <c r="AG460" s="20">
        <f>IF(OR(B460="",'経歴簿'!$C$4=""),"",IF(B460&amp;""='経歴簿'!$C$4&amp;"",MAX($AG$4:AG459)+1,""))</f>
        <v/>
      </c>
      <c r="AH460" s="20">
        <f>IF(A460="",0,IF(AND(OR('CSV抽出'!$C$4="",A460&gt;='CSV抽出'!$C$4),OR('CSV抽出'!$C$5="",A460&lt;='CSV抽出'!$C$5),OR('CSV抽出'!$C$6="すべて",'CSV抽出'!$C$6="",D460='CSV抽出'!$C$6),OR('CSV抽出'!$C$7="",B460&amp;""='CSV抽出'!$C$7&amp;"")),1,0))</f>
        <v/>
      </c>
      <c r="AI460" s="20">
        <f>IF(AH460=1,SUM($AH$5:AH460),"")</f>
        <v/>
      </c>
      <c r="AJ460" s="20">
        <f>IF(OR(S460="",'報告書'!$C$4=""),"",IF(S460&amp;""='報告書'!$C$4&amp;"",COUNTIF($S$5:S460,'報告書'!$C$4),""))</f>
        <v/>
      </c>
      <c r="AK460" s="20" t="n"/>
      <c r="AL460" s="47" t="n"/>
      <c r="AM460" s="47" t="n"/>
      <c r="AN460" s="53" t="n"/>
      <c r="AO460" s="47" t="n"/>
      <c r="AP460" s="47" t="n"/>
      <c r="AQ460" s="47" t="n"/>
      <c r="AR460" s="47" t="n"/>
      <c r="AS460" s="47" t="n"/>
      <c r="AT460" s="47" t="n"/>
      <c r="AU460" s="47" t="n"/>
      <c r="AV460" s="47" t="n"/>
      <c r="AW460" s="52" t="n"/>
    </row>
    <row r="461">
      <c r="A461" s="48" t="n"/>
      <c r="B461" s="52" t="n"/>
      <c r="C461" s="47">
        <f>IF(B461="","",IFERROR(INDEX('隊員マスタ'!$B$5:$B$204,MATCH(B461&amp;"",'隊員マスタ'!$F$5:$F$204,0)),IF(AK461="","番号なし",AK461)))</f>
        <v/>
      </c>
      <c r="D461" s="47" t="n"/>
      <c r="E461" s="47" t="n"/>
      <c r="F461" s="47" t="n"/>
      <c r="G461" s="47" t="n"/>
      <c r="H461" s="47" t="n"/>
      <c r="I461" s="47" t="n"/>
      <c r="J461" s="47" t="n"/>
      <c r="K461" s="47" t="n"/>
      <c r="L461" s="47" t="n"/>
      <c r="M461" s="47" t="n"/>
      <c r="N461" s="47" t="n"/>
      <c r="O461" s="47" t="n"/>
      <c r="P461" s="47" t="n"/>
      <c r="Q461" s="47" t="n"/>
      <c r="R461" s="47" t="n"/>
      <c r="S461" s="47" t="n"/>
      <c r="T461" s="47" t="n"/>
      <c r="U461" s="53" t="n"/>
      <c r="V461" s="53" t="n"/>
      <c r="W461" s="47" t="n"/>
      <c r="X461" s="47" t="n"/>
      <c r="Y461" s="47" t="n"/>
      <c r="Z461" s="47" t="n"/>
      <c r="AA461" s="47" t="n"/>
      <c r="AB461" s="47" t="n"/>
      <c r="AC461" s="47" t="n"/>
      <c r="AD461" s="47" t="n"/>
      <c r="AE461" s="47" t="n"/>
      <c r="AF461" s="20">
        <f>IF(A461="","",YEAR(EDATE(A461,-3)))</f>
        <v/>
      </c>
      <c r="AG461" s="20">
        <f>IF(OR(B461="",'経歴簿'!$C$4=""),"",IF(B461&amp;""='経歴簿'!$C$4&amp;"",MAX($AG$4:AG460)+1,""))</f>
        <v/>
      </c>
      <c r="AH461" s="20">
        <f>IF(A461="",0,IF(AND(OR('CSV抽出'!$C$4="",A461&gt;='CSV抽出'!$C$4),OR('CSV抽出'!$C$5="",A461&lt;='CSV抽出'!$C$5),OR('CSV抽出'!$C$6="すべて",'CSV抽出'!$C$6="",D461='CSV抽出'!$C$6),OR('CSV抽出'!$C$7="",B461&amp;""='CSV抽出'!$C$7&amp;"")),1,0))</f>
        <v/>
      </c>
      <c r="AI461" s="20">
        <f>IF(AH461=1,SUM($AH$5:AH461),"")</f>
        <v/>
      </c>
      <c r="AJ461" s="20">
        <f>IF(OR(S461="",'報告書'!$C$4=""),"",IF(S461&amp;""='報告書'!$C$4&amp;"",COUNTIF($S$5:S461,'報告書'!$C$4),""))</f>
        <v/>
      </c>
      <c r="AK461" s="20" t="n"/>
      <c r="AL461" s="47" t="n"/>
      <c r="AM461" s="47" t="n"/>
      <c r="AN461" s="53" t="n"/>
      <c r="AO461" s="47" t="n"/>
      <c r="AP461" s="47" t="n"/>
      <c r="AQ461" s="47" t="n"/>
      <c r="AR461" s="47" t="n"/>
      <c r="AS461" s="47" t="n"/>
      <c r="AT461" s="47" t="n"/>
      <c r="AU461" s="47" t="n"/>
      <c r="AV461" s="47" t="n"/>
      <c r="AW461" s="52" t="n"/>
    </row>
    <row r="462">
      <c r="A462" s="48" t="n"/>
      <c r="B462" s="52" t="n"/>
      <c r="C462" s="47">
        <f>IF(B462="","",IFERROR(INDEX('隊員マスタ'!$B$5:$B$204,MATCH(B462&amp;"",'隊員マスタ'!$F$5:$F$204,0)),IF(AK462="","番号なし",AK462)))</f>
        <v/>
      </c>
      <c r="D462" s="47" t="n"/>
      <c r="E462" s="47" t="n"/>
      <c r="F462" s="47" t="n"/>
      <c r="G462" s="47" t="n"/>
      <c r="H462" s="47" t="n"/>
      <c r="I462" s="47" t="n"/>
      <c r="J462" s="47" t="n"/>
      <c r="K462" s="47" t="n"/>
      <c r="L462" s="47" t="n"/>
      <c r="M462" s="47" t="n"/>
      <c r="N462" s="47" t="n"/>
      <c r="O462" s="47" t="n"/>
      <c r="P462" s="47" t="n"/>
      <c r="Q462" s="47" t="n"/>
      <c r="R462" s="47" t="n"/>
      <c r="S462" s="47" t="n"/>
      <c r="T462" s="47" t="n"/>
      <c r="U462" s="53" t="n"/>
      <c r="V462" s="53" t="n"/>
      <c r="W462" s="47" t="n"/>
      <c r="X462" s="47" t="n"/>
      <c r="Y462" s="47" t="n"/>
      <c r="Z462" s="47" t="n"/>
      <c r="AA462" s="47" t="n"/>
      <c r="AB462" s="47" t="n"/>
      <c r="AC462" s="47" t="n"/>
      <c r="AD462" s="47" t="n"/>
      <c r="AE462" s="47" t="n"/>
      <c r="AF462" s="20">
        <f>IF(A462="","",YEAR(EDATE(A462,-3)))</f>
        <v/>
      </c>
      <c r="AG462" s="20">
        <f>IF(OR(B462="",'経歴簿'!$C$4=""),"",IF(B462&amp;""='経歴簿'!$C$4&amp;"",MAX($AG$4:AG461)+1,""))</f>
        <v/>
      </c>
      <c r="AH462" s="20">
        <f>IF(A462="",0,IF(AND(OR('CSV抽出'!$C$4="",A462&gt;='CSV抽出'!$C$4),OR('CSV抽出'!$C$5="",A462&lt;='CSV抽出'!$C$5),OR('CSV抽出'!$C$6="すべて",'CSV抽出'!$C$6="",D462='CSV抽出'!$C$6),OR('CSV抽出'!$C$7="",B462&amp;""='CSV抽出'!$C$7&amp;"")),1,0))</f>
        <v/>
      </c>
      <c r="AI462" s="20">
        <f>IF(AH462=1,SUM($AH$5:AH462),"")</f>
        <v/>
      </c>
      <c r="AJ462" s="20">
        <f>IF(OR(S462="",'報告書'!$C$4=""),"",IF(S462&amp;""='報告書'!$C$4&amp;"",COUNTIF($S$5:S462,'報告書'!$C$4),""))</f>
        <v/>
      </c>
      <c r="AK462" s="20" t="n"/>
      <c r="AL462" s="47" t="n"/>
      <c r="AM462" s="47" t="n"/>
      <c r="AN462" s="53" t="n"/>
      <c r="AO462" s="47" t="n"/>
      <c r="AP462" s="47" t="n"/>
      <c r="AQ462" s="47" t="n"/>
      <c r="AR462" s="47" t="n"/>
      <c r="AS462" s="47" t="n"/>
      <c r="AT462" s="47" t="n"/>
      <c r="AU462" s="47" t="n"/>
      <c r="AV462" s="47" t="n"/>
      <c r="AW462" s="52" t="n"/>
    </row>
    <row r="463">
      <c r="A463" s="48" t="n"/>
      <c r="B463" s="52" t="n"/>
      <c r="C463" s="47">
        <f>IF(B463="","",IFERROR(INDEX('隊員マスタ'!$B$5:$B$204,MATCH(B463&amp;"",'隊員マスタ'!$F$5:$F$204,0)),IF(AK463="","番号なし",AK463)))</f>
        <v/>
      </c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  <c r="N463" s="47" t="n"/>
      <c r="O463" s="47" t="n"/>
      <c r="P463" s="47" t="n"/>
      <c r="Q463" s="47" t="n"/>
      <c r="R463" s="47" t="n"/>
      <c r="S463" s="47" t="n"/>
      <c r="T463" s="47" t="n"/>
      <c r="U463" s="53" t="n"/>
      <c r="V463" s="53" t="n"/>
      <c r="W463" s="47" t="n"/>
      <c r="X463" s="47" t="n"/>
      <c r="Y463" s="47" t="n"/>
      <c r="Z463" s="47" t="n"/>
      <c r="AA463" s="47" t="n"/>
      <c r="AB463" s="47" t="n"/>
      <c r="AC463" s="47" t="n"/>
      <c r="AD463" s="47" t="n"/>
      <c r="AE463" s="47" t="n"/>
      <c r="AF463" s="20">
        <f>IF(A463="","",YEAR(EDATE(A463,-3)))</f>
        <v/>
      </c>
      <c r="AG463" s="20">
        <f>IF(OR(B463="",'経歴簿'!$C$4=""),"",IF(B463&amp;""='経歴簿'!$C$4&amp;"",MAX($AG$4:AG462)+1,""))</f>
        <v/>
      </c>
      <c r="AH463" s="20">
        <f>IF(A463="",0,IF(AND(OR('CSV抽出'!$C$4="",A463&gt;='CSV抽出'!$C$4),OR('CSV抽出'!$C$5="",A463&lt;='CSV抽出'!$C$5),OR('CSV抽出'!$C$6="すべて",'CSV抽出'!$C$6="",D463='CSV抽出'!$C$6),OR('CSV抽出'!$C$7="",B463&amp;""='CSV抽出'!$C$7&amp;"")),1,0))</f>
        <v/>
      </c>
      <c r="AI463" s="20">
        <f>IF(AH463=1,SUM($AH$5:AH463),"")</f>
        <v/>
      </c>
      <c r="AJ463" s="20">
        <f>IF(OR(S463="",'報告書'!$C$4=""),"",IF(S463&amp;""='報告書'!$C$4&amp;"",COUNTIF($S$5:S463,'報告書'!$C$4),""))</f>
        <v/>
      </c>
      <c r="AK463" s="20" t="n"/>
      <c r="AL463" s="47" t="n"/>
      <c r="AM463" s="47" t="n"/>
      <c r="AN463" s="53" t="n"/>
      <c r="AO463" s="47" t="n"/>
      <c r="AP463" s="47" t="n"/>
      <c r="AQ463" s="47" t="n"/>
      <c r="AR463" s="47" t="n"/>
      <c r="AS463" s="47" t="n"/>
      <c r="AT463" s="47" t="n"/>
      <c r="AU463" s="47" t="n"/>
      <c r="AV463" s="47" t="n"/>
      <c r="AW463" s="52" t="n"/>
    </row>
    <row r="464">
      <c r="A464" s="48" t="n"/>
      <c r="B464" s="52" t="n"/>
      <c r="C464" s="47">
        <f>IF(B464="","",IFERROR(INDEX('隊員マスタ'!$B$5:$B$204,MATCH(B464&amp;"",'隊員マスタ'!$F$5:$F$204,0)),IF(AK464="","番号なし",AK464)))</f>
        <v/>
      </c>
      <c r="D464" s="47" t="n"/>
      <c r="E464" s="47" t="n"/>
      <c r="F464" s="47" t="n"/>
      <c r="G464" s="47" t="n"/>
      <c r="H464" s="47" t="n"/>
      <c r="I464" s="47" t="n"/>
      <c r="J464" s="47" t="n"/>
      <c r="K464" s="47" t="n"/>
      <c r="L464" s="47" t="n"/>
      <c r="M464" s="47" t="n"/>
      <c r="N464" s="47" t="n"/>
      <c r="O464" s="47" t="n"/>
      <c r="P464" s="47" t="n"/>
      <c r="Q464" s="47" t="n"/>
      <c r="R464" s="47" t="n"/>
      <c r="S464" s="47" t="n"/>
      <c r="T464" s="47" t="n"/>
      <c r="U464" s="53" t="n"/>
      <c r="V464" s="53" t="n"/>
      <c r="W464" s="47" t="n"/>
      <c r="X464" s="47" t="n"/>
      <c r="Y464" s="47" t="n"/>
      <c r="Z464" s="47" t="n"/>
      <c r="AA464" s="47" t="n"/>
      <c r="AB464" s="47" t="n"/>
      <c r="AC464" s="47" t="n"/>
      <c r="AD464" s="47" t="n"/>
      <c r="AE464" s="47" t="n"/>
      <c r="AF464" s="20">
        <f>IF(A464="","",YEAR(EDATE(A464,-3)))</f>
        <v/>
      </c>
      <c r="AG464" s="20">
        <f>IF(OR(B464="",'経歴簿'!$C$4=""),"",IF(B464&amp;""='経歴簿'!$C$4&amp;"",MAX($AG$4:AG463)+1,""))</f>
        <v/>
      </c>
      <c r="AH464" s="20">
        <f>IF(A464="",0,IF(AND(OR('CSV抽出'!$C$4="",A464&gt;='CSV抽出'!$C$4),OR('CSV抽出'!$C$5="",A464&lt;='CSV抽出'!$C$5),OR('CSV抽出'!$C$6="すべて",'CSV抽出'!$C$6="",D464='CSV抽出'!$C$6),OR('CSV抽出'!$C$7="",B464&amp;""='CSV抽出'!$C$7&amp;"")),1,0))</f>
        <v/>
      </c>
      <c r="AI464" s="20">
        <f>IF(AH464=1,SUM($AH$5:AH464),"")</f>
        <v/>
      </c>
      <c r="AJ464" s="20">
        <f>IF(OR(S464="",'報告書'!$C$4=""),"",IF(S464&amp;""='報告書'!$C$4&amp;"",COUNTIF($S$5:S464,'報告書'!$C$4),""))</f>
        <v/>
      </c>
      <c r="AK464" s="20" t="n"/>
      <c r="AL464" s="47" t="n"/>
      <c r="AM464" s="47" t="n"/>
      <c r="AN464" s="53" t="n"/>
      <c r="AO464" s="47" t="n"/>
      <c r="AP464" s="47" t="n"/>
      <c r="AQ464" s="47" t="n"/>
      <c r="AR464" s="47" t="n"/>
      <c r="AS464" s="47" t="n"/>
      <c r="AT464" s="47" t="n"/>
      <c r="AU464" s="47" t="n"/>
      <c r="AV464" s="47" t="n"/>
      <c r="AW464" s="52" t="n"/>
    </row>
    <row r="465">
      <c r="A465" s="48" t="n"/>
      <c r="B465" s="52" t="n"/>
      <c r="C465" s="47">
        <f>IF(B465="","",IFERROR(INDEX('隊員マスタ'!$B$5:$B$204,MATCH(B465&amp;"",'隊員マスタ'!$F$5:$F$204,0)),IF(AK465="","番号なし",AK465)))</f>
        <v/>
      </c>
      <c r="D465" s="47" t="n"/>
      <c r="E465" s="47" t="n"/>
      <c r="F465" s="47" t="n"/>
      <c r="G465" s="47" t="n"/>
      <c r="H465" s="47" t="n"/>
      <c r="I465" s="47" t="n"/>
      <c r="J465" s="47" t="n"/>
      <c r="K465" s="47" t="n"/>
      <c r="L465" s="47" t="n"/>
      <c r="M465" s="47" t="n"/>
      <c r="N465" s="47" t="n"/>
      <c r="O465" s="47" t="n"/>
      <c r="P465" s="47" t="n"/>
      <c r="Q465" s="47" t="n"/>
      <c r="R465" s="47" t="n"/>
      <c r="S465" s="47" t="n"/>
      <c r="T465" s="47" t="n"/>
      <c r="U465" s="53" t="n"/>
      <c r="V465" s="53" t="n"/>
      <c r="W465" s="47" t="n"/>
      <c r="X465" s="47" t="n"/>
      <c r="Y465" s="47" t="n"/>
      <c r="Z465" s="47" t="n"/>
      <c r="AA465" s="47" t="n"/>
      <c r="AB465" s="47" t="n"/>
      <c r="AC465" s="47" t="n"/>
      <c r="AD465" s="47" t="n"/>
      <c r="AE465" s="47" t="n"/>
      <c r="AF465" s="20">
        <f>IF(A465="","",YEAR(EDATE(A465,-3)))</f>
        <v/>
      </c>
      <c r="AG465" s="20">
        <f>IF(OR(B465="",'経歴簿'!$C$4=""),"",IF(B465&amp;""='経歴簿'!$C$4&amp;"",MAX($AG$4:AG464)+1,""))</f>
        <v/>
      </c>
      <c r="AH465" s="20">
        <f>IF(A465="",0,IF(AND(OR('CSV抽出'!$C$4="",A465&gt;='CSV抽出'!$C$4),OR('CSV抽出'!$C$5="",A465&lt;='CSV抽出'!$C$5),OR('CSV抽出'!$C$6="すべて",'CSV抽出'!$C$6="",D465='CSV抽出'!$C$6),OR('CSV抽出'!$C$7="",B465&amp;""='CSV抽出'!$C$7&amp;"")),1,0))</f>
        <v/>
      </c>
      <c r="AI465" s="20">
        <f>IF(AH465=1,SUM($AH$5:AH465),"")</f>
        <v/>
      </c>
      <c r="AJ465" s="20">
        <f>IF(OR(S465="",'報告書'!$C$4=""),"",IF(S465&amp;""='報告書'!$C$4&amp;"",COUNTIF($S$5:S465,'報告書'!$C$4),""))</f>
        <v/>
      </c>
      <c r="AK465" s="20" t="n"/>
      <c r="AL465" s="47" t="n"/>
      <c r="AM465" s="47" t="n"/>
      <c r="AN465" s="53" t="n"/>
      <c r="AO465" s="47" t="n"/>
      <c r="AP465" s="47" t="n"/>
      <c r="AQ465" s="47" t="n"/>
      <c r="AR465" s="47" t="n"/>
      <c r="AS465" s="47" t="n"/>
      <c r="AT465" s="47" t="n"/>
      <c r="AU465" s="47" t="n"/>
      <c r="AV465" s="47" t="n"/>
      <c r="AW465" s="52" t="n"/>
    </row>
    <row r="466">
      <c r="A466" s="48" t="n"/>
      <c r="B466" s="52" t="n"/>
      <c r="C466" s="47">
        <f>IF(B466="","",IFERROR(INDEX('隊員マスタ'!$B$5:$B$204,MATCH(B466&amp;"",'隊員マスタ'!$F$5:$F$204,0)),IF(AK466="","番号なし",AK466)))</f>
        <v/>
      </c>
      <c r="D466" s="47" t="n"/>
      <c r="E466" s="47" t="n"/>
      <c r="F466" s="47" t="n"/>
      <c r="G466" s="47" t="n"/>
      <c r="H466" s="47" t="n"/>
      <c r="I466" s="47" t="n"/>
      <c r="J466" s="47" t="n"/>
      <c r="K466" s="47" t="n"/>
      <c r="L466" s="47" t="n"/>
      <c r="M466" s="47" t="n"/>
      <c r="N466" s="47" t="n"/>
      <c r="O466" s="47" t="n"/>
      <c r="P466" s="47" t="n"/>
      <c r="Q466" s="47" t="n"/>
      <c r="R466" s="47" t="n"/>
      <c r="S466" s="47" t="n"/>
      <c r="T466" s="47" t="n"/>
      <c r="U466" s="53" t="n"/>
      <c r="V466" s="53" t="n"/>
      <c r="W466" s="47" t="n"/>
      <c r="X466" s="47" t="n"/>
      <c r="Y466" s="47" t="n"/>
      <c r="Z466" s="47" t="n"/>
      <c r="AA466" s="47" t="n"/>
      <c r="AB466" s="47" t="n"/>
      <c r="AC466" s="47" t="n"/>
      <c r="AD466" s="47" t="n"/>
      <c r="AE466" s="47" t="n"/>
      <c r="AF466" s="20">
        <f>IF(A466="","",YEAR(EDATE(A466,-3)))</f>
        <v/>
      </c>
      <c r="AG466" s="20">
        <f>IF(OR(B466="",'経歴簿'!$C$4=""),"",IF(B466&amp;""='経歴簿'!$C$4&amp;"",MAX($AG$4:AG465)+1,""))</f>
        <v/>
      </c>
      <c r="AH466" s="20">
        <f>IF(A466="",0,IF(AND(OR('CSV抽出'!$C$4="",A466&gt;='CSV抽出'!$C$4),OR('CSV抽出'!$C$5="",A466&lt;='CSV抽出'!$C$5),OR('CSV抽出'!$C$6="すべて",'CSV抽出'!$C$6="",D466='CSV抽出'!$C$6),OR('CSV抽出'!$C$7="",B466&amp;""='CSV抽出'!$C$7&amp;"")),1,0))</f>
        <v/>
      </c>
      <c r="AI466" s="20">
        <f>IF(AH466=1,SUM($AH$5:AH466),"")</f>
        <v/>
      </c>
      <c r="AJ466" s="20">
        <f>IF(OR(S466="",'報告書'!$C$4=""),"",IF(S466&amp;""='報告書'!$C$4&amp;"",COUNTIF($S$5:S466,'報告書'!$C$4),""))</f>
        <v/>
      </c>
      <c r="AK466" s="20" t="n"/>
      <c r="AL466" s="47" t="n"/>
      <c r="AM466" s="47" t="n"/>
      <c r="AN466" s="53" t="n"/>
      <c r="AO466" s="47" t="n"/>
      <c r="AP466" s="47" t="n"/>
      <c r="AQ466" s="47" t="n"/>
      <c r="AR466" s="47" t="n"/>
      <c r="AS466" s="47" t="n"/>
      <c r="AT466" s="47" t="n"/>
      <c r="AU466" s="47" t="n"/>
      <c r="AV466" s="47" t="n"/>
      <c r="AW466" s="52" t="n"/>
    </row>
    <row r="467">
      <c r="A467" s="48" t="n"/>
      <c r="B467" s="52" t="n"/>
      <c r="C467" s="47">
        <f>IF(B467="","",IFERROR(INDEX('隊員マスタ'!$B$5:$B$204,MATCH(B467&amp;"",'隊員マスタ'!$F$5:$F$204,0)),IF(AK467="","番号なし",AK467)))</f>
        <v/>
      </c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  <c r="N467" s="47" t="n"/>
      <c r="O467" s="47" t="n"/>
      <c r="P467" s="47" t="n"/>
      <c r="Q467" s="47" t="n"/>
      <c r="R467" s="47" t="n"/>
      <c r="S467" s="47" t="n"/>
      <c r="T467" s="47" t="n"/>
      <c r="U467" s="53" t="n"/>
      <c r="V467" s="53" t="n"/>
      <c r="W467" s="47" t="n"/>
      <c r="X467" s="47" t="n"/>
      <c r="Y467" s="47" t="n"/>
      <c r="Z467" s="47" t="n"/>
      <c r="AA467" s="47" t="n"/>
      <c r="AB467" s="47" t="n"/>
      <c r="AC467" s="47" t="n"/>
      <c r="AD467" s="47" t="n"/>
      <c r="AE467" s="47" t="n"/>
      <c r="AF467" s="20">
        <f>IF(A467="","",YEAR(EDATE(A467,-3)))</f>
        <v/>
      </c>
      <c r="AG467" s="20">
        <f>IF(OR(B467="",'経歴簿'!$C$4=""),"",IF(B467&amp;""='経歴簿'!$C$4&amp;"",MAX($AG$4:AG466)+1,""))</f>
        <v/>
      </c>
      <c r="AH467" s="20">
        <f>IF(A467="",0,IF(AND(OR('CSV抽出'!$C$4="",A467&gt;='CSV抽出'!$C$4),OR('CSV抽出'!$C$5="",A467&lt;='CSV抽出'!$C$5),OR('CSV抽出'!$C$6="すべて",'CSV抽出'!$C$6="",D467='CSV抽出'!$C$6),OR('CSV抽出'!$C$7="",B467&amp;""='CSV抽出'!$C$7&amp;"")),1,0))</f>
        <v/>
      </c>
      <c r="AI467" s="20">
        <f>IF(AH467=1,SUM($AH$5:AH467),"")</f>
        <v/>
      </c>
      <c r="AJ467" s="20">
        <f>IF(OR(S467="",'報告書'!$C$4=""),"",IF(S467&amp;""='報告書'!$C$4&amp;"",COUNTIF($S$5:S467,'報告書'!$C$4),""))</f>
        <v/>
      </c>
      <c r="AK467" s="20" t="n"/>
      <c r="AL467" s="47" t="n"/>
      <c r="AM467" s="47" t="n"/>
      <c r="AN467" s="53" t="n"/>
      <c r="AO467" s="47" t="n"/>
      <c r="AP467" s="47" t="n"/>
      <c r="AQ467" s="47" t="n"/>
      <c r="AR467" s="47" t="n"/>
      <c r="AS467" s="47" t="n"/>
      <c r="AT467" s="47" t="n"/>
      <c r="AU467" s="47" t="n"/>
      <c r="AV467" s="47" t="n"/>
      <c r="AW467" s="52" t="n"/>
    </row>
    <row r="468">
      <c r="A468" s="48" t="n"/>
      <c r="B468" s="52" t="n"/>
      <c r="C468" s="47">
        <f>IF(B468="","",IFERROR(INDEX('隊員マスタ'!$B$5:$B$204,MATCH(B468&amp;"",'隊員マスタ'!$F$5:$F$204,0)),IF(AK468="","番号なし",AK468)))</f>
        <v/>
      </c>
      <c r="D468" s="47" t="n"/>
      <c r="E468" s="47" t="n"/>
      <c r="F468" s="47" t="n"/>
      <c r="G468" s="47" t="n"/>
      <c r="H468" s="47" t="n"/>
      <c r="I468" s="47" t="n"/>
      <c r="J468" s="47" t="n"/>
      <c r="K468" s="47" t="n"/>
      <c r="L468" s="47" t="n"/>
      <c r="M468" s="47" t="n"/>
      <c r="N468" s="47" t="n"/>
      <c r="O468" s="47" t="n"/>
      <c r="P468" s="47" t="n"/>
      <c r="Q468" s="47" t="n"/>
      <c r="R468" s="47" t="n"/>
      <c r="S468" s="47" t="n"/>
      <c r="T468" s="47" t="n"/>
      <c r="U468" s="53" t="n"/>
      <c r="V468" s="53" t="n"/>
      <c r="W468" s="47" t="n"/>
      <c r="X468" s="47" t="n"/>
      <c r="Y468" s="47" t="n"/>
      <c r="Z468" s="47" t="n"/>
      <c r="AA468" s="47" t="n"/>
      <c r="AB468" s="47" t="n"/>
      <c r="AC468" s="47" t="n"/>
      <c r="AD468" s="47" t="n"/>
      <c r="AE468" s="47" t="n"/>
      <c r="AF468" s="20">
        <f>IF(A468="","",YEAR(EDATE(A468,-3)))</f>
        <v/>
      </c>
      <c r="AG468" s="20">
        <f>IF(OR(B468="",'経歴簿'!$C$4=""),"",IF(B468&amp;""='経歴簿'!$C$4&amp;"",MAX($AG$4:AG467)+1,""))</f>
        <v/>
      </c>
      <c r="AH468" s="20">
        <f>IF(A468="",0,IF(AND(OR('CSV抽出'!$C$4="",A468&gt;='CSV抽出'!$C$4),OR('CSV抽出'!$C$5="",A468&lt;='CSV抽出'!$C$5),OR('CSV抽出'!$C$6="すべて",'CSV抽出'!$C$6="",D468='CSV抽出'!$C$6),OR('CSV抽出'!$C$7="",B468&amp;""='CSV抽出'!$C$7&amp;"")),1,0))</f>
        <v/>
      </c>
      <c r="AI468" s="20">
        <f>IF(AH468=1,SUM($AH$5:AH468),"")</f>
        <v/>
      </c>
      <c r="AJ468" s="20">
        <f>IF(OR(S468="",'報告書'!$C$4=""),"",IF(S468&amp;""='報告書'!$C$4&amp;"",COUNTIF($S$5:S468,'報告書'!$C$4),""))</f>
        <v/>
      </c>
      <c r="AK468" s="20" t="n"/>
      <c r="AL468" s="47" t="n"/>
      <c r="AM468" s="47" t="n"/>
      <c r="AN468" s="53" t="n"/>
      <c r="AO468" s="47" t="n"/>
      <c r="AP468" s="47" t="n"/>
      <c r="AQ468" s="47" t="n"/>
      <c r="AR468" s="47" t="n"/>
      <c r="AS468" s="47" t="n"/>
      <c r="AT468" s="47" t="n"/>
      <c r="AU468" s="47" t="n"/>
      <c r="AV468" s="47" t="n"/>
      <c r="AW468" s="52" t="n"/>
    </row>
    <row r="469">
      <c r="A469" s="48" t="n"/>
      <c r="B469" s="52" t="n"/>
      <c r="C469" s="47">
        <f>IF(B469="","",IFERROR(INDEX('隊員マスタ'!$B$5:$B$204,MATCH(B469&amp;"",'隊員マスタ'!$F$5:$F$204,0)),IF(AK469="","番号なし",AK469)))</f>
        <v/>
      </c>
      <c r="D469" s="47" t="n"/>
      <c r="E469" s="47" t="n"/>
      <c r="F469" s="47" t="n"/>
      <c r="G469" s="47" t="n"/>
      <c r="H469" s="47" t="n"/>
      <c r="I469" s="47" t="n"/>
      <c r="J469" s="47" t="n"/>
      <c r="K469" s="47" t="n"/>
      <c r="L469" s="47" t="n"/>
      <c r="M469" s="47" t="n"/>
      <c r="N469" s="47" t="n"/>
      <c r="O469" s="47" t="n"/>
      <c r="P469" s="47" t="n"/>
      <c r="Q469" s="47" t="n"/>
      <c r="R469" s="47" t="n"/>
      <c r="S469" s="47" t="n"/>
      <c r="T469" s="47" t="n"/>
      <c r="U469" s="53" t="n"/>
      <c r="V469" s="53" t="n"/>
      <c r="W469" s="47" t="n"/>
      <c r="X469" s="47" t="n"/>
      <c r="Y469" s="47" t="n"/>
      <c r="Z469" s="47" t="n"/>
      <c r="AA469" s="47" t="n"/>
      <c r="AB469" s="47" t="n"/>
      <c r="AC469" s="47" t="n"/>
      <c r="AD469" s="47" t="n"/>
      <c r="AE469" s="47" t="n"/>
      <c r="AF469" s="20">
        <f>IF(A469="","",YEAR(EDATE(A469,-3)))</f>
        <v/>
      </c>
      <c r="AG469" s="20">
        <f>IF(OR(B469="",'経歴簿'!$C$4=""),"",IF(B469&amp;""='経歴簿'!$C$4&amp;"",MAX($AG$4:AG468)+1,""))</f>
        <v/>
      </c>
      <c r="AH469" s="20">
        <f>IF(A469="",0,IF(AND(OR('CSV抽出'!$C$4="",A469&gt;='CSV抽出'!$C$4),OR('CSV抽出'!$C$5="",A469&lt;='CSV抽出'!$C$5),OR('CSV抽出'!$C$6="すべて",'CSV抽出'!$C$6="",D469='CSV抽出'!$C$6),OR('CSV抽出'!$C$7="",B469&amp;""='CSV抽出'!$C$7&amp;"")),1,0))</f>
        <v/>
      </c>
      <c r="AI469" s="20">
        <f>IF(AH469=1,SUM($AH$5:AH469),"")</f>
        <v/>
      </c>
      <c r="AJ469" s="20">
        <f>IF(OR(S469="",'報告書'!$C$4=""),"",IF(S469&amp;""='報告書'!$C$4&amp;"",COUNTIF($S$5:S469,'報告書'!$C$4),""))</f>
        <v/>
      </c>
      <c r="AK469" s="20" t="n"/>
      <c r="AL469" s="47" t="n"/>
      <c r="AM469" s="47" t="n"/>
      <c r="AN469" s="53" t="n"/>
      <c r="AO469" s="47" t="n"/>
      <c r="AP469" s="47" t="n"/>
      <c r="AQ469" s="47" t="n"/>
      <c r="AR469" s="47" t="n"/>
      <c r="AS469" s="47" t="n"/>
      <c r="AT469" s="47" t="n"/>
      <c r="AU469" s="47" t="n"/>
      <c r="AV469" s="47" t="n"/>
      <c r="AW469" s="52" t="n"/>
    </row>
    <row r="470">
      <c r="A470" s="48" t="n"/>
      <c r="B470" s="52" t="n"/>
      <c r="C470" s="47">
        <f>IF(B470="","",IFERROR(INDEX('隊員マスタ'!$B$5:$B$204,MATCH(B470&amp;"",'隊員マスタ'!$F$5:$F$204,0)),IF(AK470="","番号なし",AK470)))</f>
        <v/>
      </c>
      <c r="D470" s="47" t="n"/>
      <c r="E470" s="47" t="n"/>
      <c r="F470" s="47" t="n"/>
      <c r="G470" s="47" t="n"/>
      <c r="H470" s="47" t="n"/>
      <c r="I470" s="47" t="n"/>
      <c r="J470" s="47" t="n"/>
      <c r="K470" s="47" t="n"/>
      <c r="L470" s="47" t="n"/>
      <c r="M470" s="47" t="n"/>
      <c r="N470" s="47" t="n"/>
      <c r="O470" s="47" t="n"/>
      <c r="P470" s="47" t="n"/>
      <c r="Q470" s="47" t="n"/>
      <c r="R470" s="47" t="n"/>
      <c r="S470" s="47" t="n"/>
      <c r="T470" s="47" t="n"/>
      <c r="U470" s="53" t="n"/>
      <c r="V470" s="53" t="n"/>
      <c r="W470" s="47" t="n"/>
      <c r="X470" s="47" t="n"/>
      <c r="Y470" s="47" t="n"/>
      <c r="Z470" s="47" t="n"/>
      <c r="AA470" s="47" t="n"/>
      <c r="AB470" s="47" t="n"/>
      <c r="AC470" s="47" t="n"/>
      <c r="AD470" s="47" t="n"/>
      <c r="AE470" s="47" t="n"/>
      <c r="AF470" s="20">
        <f>IF(A470="","",YEAR(EDATE(A470,-3)))</f>
        <v/>
      </c>
      <c r="AG470" s="20">
        <f>IF(OR(B470="",'経歴簿'!$C$4=""),"",IF(B470&amp;""='経歴簿'!$C$4&amp;"",MAX($AG$4:AG469)+1,""))</f>
        <v/>
      </c>
      <c r="AH470" s="20">
        <f>IF(A470="",0,IF(AND(OR('CSV抽出'!$C$4="",A470&gt;='CSV抽出'!$C$4),OR('CSV抽出'!$C$5="",A470&lt;='CSV抽出'!$C$5),OR('CSV抽出'!$C$6="すべて",'CSV抽出'!$C$6="",D470='CSV抽出'!$C$6),OR('CSV抽出'!$C$7="",B470&amp;""='CSV抽出'!$C$7&amp;"")),1,0))</f>
        <v/>
      </c>
      <c r="AI470" s="20">
        <f>IF(AH470=1,SUM($AH$5:AH470),"")</f>
        <v/>
      </c>
      <c r="AJ470" s="20">
        <f>IF(OR(S470="",'報告書'!$C$4=""),"",IF(S470&amp;""='報告書'!$C$4&amp;"",COUNTIF($S$5:S470,'報告書'!$C$4),""))</f>
        <v/>
      </c>
      <c r="AK470" s="20" t="n"/>
      <c r="AL470" s="47" t="n"/>
      <c r="AM470" s="47" t="n"/>
      <c r="AN470" s="53" t="n"/>
      <c r="AO470" s="47" t="n"/>
      <c r="AP470" s="47" t="n"/>
      <c r="AQ470" s="47" t="n"/>
      <c r="AR470" s="47" t="n"/>
      <c r="AS470" s="47" t="n"/>
      <c r="AT470" s="47" t="n"/>
      <c r="AU470" s="47" t="n"/>
      <c r="AV470" s="47" t="n"/>
      <c r="AW470" s="52" t="n"/>
    </row>
    <row r="471">
      <c r="A471" s="48" t="n"/>
      <c r="B471" s="52" t="n"/>
      <c r="C471" s="47">
        <f>IF(B471="","",IFERROR(INDEX('隊員マスタ'!$B$5:$B$204,MATCH(B471&amp;"",'隊員マスタ'!$F$5:$F$204,0)),IF(AK471="","番号なし",AK471)))</f>
        <v/>
      </c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  <c r="N471" s="47" t="n"/>
      <c r="O471" s="47" t="n"/>
      <c r="P471" s="47" t="n"/>
      <c r="Q471" s="47" t="n"/>
      <c r="R471" s="47" t="n"/>
      <c r="S471" s="47" t="n"/>
      <c r="T471" s="47" t="n"/>
      <c r="U471" s="53" t="n"/>
      <c r="V471" s="53" t="n"/>
      <c r="W471" s="47" t="n"/>
      <c r="X471" s="47" t="n"/>
      <c r="Y471" s="47" t="n"/>
      <c r="Z471" s="47" t="n"/>
      <c r="AA471" s="47" t="n"/>
      <c r="AB471" s="47" t="n"/>
      <c r="AC471" s="47" t="n"/>
      <c r="AD471" s="47" t="n"/>
      <c r="AE471" s="47" t="n"/>
      <c r="AF471" s="20">
        <f>IF(A471="","",YEAR(EDATE(A471,-3)))</f>
        <v/>
      </c>
      <c r="AG471" s="20">
        <f>IF(OR(B471="",'経歴簿'!$C$4=""),"",IF(B471&amp;""='経歴簿'!$C$4&amp;"",MAX($AG$4:AG470)+1,""))</f>
        <v/>
      </c>
      <c r="AH471" s="20">
        <f>IF(A471="",0,IF(AND(OR('CSV抽出'!$C$4="",A471&gt;='CSV抽出'!$C$4),OR('CSV抽出'!$C$5="",A471&lt;='CSV抽出'!$C$5),OR('CSV抽出'!$C$6="すべて",'CSV抽出'!$C$6="",D471='CSV抽出'!$C$6),OR('CSV抽出'!$C$7="",B471&amp;""='CSV抽出'!$C$7&amp;"")),1,0))</f>
        <v/>
      </c>
      <c r="AI471" s="20">
        <f>IF(AH471=1,SUM($AH$5:AH471),"")</f>
        <v/>
      </c>
      <c r="AJ471" s="20">
        <f>IF(OR(S471="",'報告書'!$C$4=""),"",IF(S471&amp;""='報告書'!$C$4&amp;"",COUNTIF($S$5:S471,'報告書'!$C$4),""))</f>
        <v/>
      </c>
      <c r="AK471" s="20" t="n"/>
      <c r="AL471" s="47" t="n"/>
      <c r="AM471" s="47" t="n"/>
      <c r="AN471" s="53" t="n"/>
      <c r="AO471" s="47" t="n"/>
      <c r="AP471" s="47" t="n"/>
      <c r="AQ471" s="47" t="n"/>
      <c r="AR471" s="47" t="n"/>
      <c r="AS471" s="47" t="n"/>
      <c r="AT471" s="47" t="n"/>
      <c r="AU471" s="47" t="n"/>
      <c r="AV471" s="47" t="n"/>
      <c r="AW471" s="52" t="n"/>
    </row>
    <row r="472">
      <c r="A472" s="48" t="n"/>
      <c r="B472" s="52" t="n"/>
      <c r="C472" s="47">
        <f>IF(B472="","",IFERROR(INDEX('隊員マスタ'!$B$5:$B$204,MATCH(B472&amp;"",'隊員マスタ'!$F$5:$F$204,0)),IF(AK472="","番号なし",AK472)))</f>
        <v/>
      </c>
      <c r="D472" s="47" t="n"/>
      <c r="E472" s="47" t="n"/>
      <c r="F472" s="47" t="n"/>
      <c r="G472" s="47" t="n"/>
      <c r="H472" s="47" t="n"/>
      <c r="I472" s="47" t="n"/>
      <c r="J472" s="47" t="n"/>
      <c r="K472" s="47" t="n"/>
      <c r="L472" s="47" t="n"/>
      <c r="M472" s="47" t="n"/>
      <c r="N472" s="47" t="n"/>
      <c r="O472" s="47" t="n"/>
      <c r="P472" s="47" t="n"/>
      <c r="Q472" s="47" t="n"/>
      <c r="R472" s="47" t="n"/>
      <c r="S472" s="47" t="n"/>
      <c r="T472" s="47" t="n"/>
      <c r="U472" s="53" t="n"/>
      <c r="V472" s="53" t="n"/>
      <c r="W472" s="47" t="n"/>
      <c r="X472" s="47" t="n"/>
      <c r="Y472" s="47" t="n"/>
      <c r="Z472" s="47" t="n"/>
      <c r="AA472" s="47" t="n"/>
      <c r="AB472" s="47" t="n"/>
      <c r="AC472" s="47" t="n"/>
      <c r="AD472" s="47" t="n"/>
      <c r="AE472" s="47" t="n"/>
      <c r="AF472" s="20">
        <f>IF(A472="","",YEAR(EDATE(A472,-3)))</f>
        <v/>
      </c>
      <c r="AG472" s="20">
        <f>IF(OR(B472="",'経歴簿'!$C$4=""),"",IF(B472&amp;""='経歴簿'!$C$4&amp;"",MAX($AG$4:AG471)+1,""))</f>
        <v/>
      </c>
      <c r="AH472" s="20">
        <f>IF(A472="",0,IF(AND(OR('CSV抽出'!$C$4="",A472&gt;='CSV抽出'!$C$4),OR('CSV抽出'!$C$5="",A472&lt;='CSV抽出'!$C$5),OR('CSV抽出'!$C$6="すべて",'CSV抽出'!$C$6="",D472='CSV抽出'!$C$6),OR('CSV抽出'!$C$7="",B472&amp;""='CSV抽出'!$C$7&amp;"")),1,0))</f>
        <v/>
      </c>
      <c r="AI472" s="20">
        <f>IF(AH472=1,SUM($AH$5:AH472),"")</f>
        <v/>
      </c>
      <c r="AJ472" s="20">
        <f>IF(OR(S472="",'報告書'!$C$4=""),"",IF(S472&amp;""='報告書'!$C$4&amp;"",COUNTIF($S$5:S472,'報告書'!$C$4),""))</f>
        <v/>
      </c>
      <c r="AK472" s="20" t="n"/>
      <c r="AL472" s="47" t="n"/>
      <c r="AM472" s="47" t="n"/>
      <c r="AN472" s="53" t="n"/>
      <c r="AO472" s="47" t="n"/>
      <c r="AP472" s="47" t="n"/>
      <c r="AQ472" s="47" t="n"/>
      <c r="AR472" s="47" t="n"/>
      <c r="AS472" s="47" t="n"/>
      <c r="AT472" s="47" t="n"/>
      <c r="AU472" s="47" t="n"/>
      <c r="AV472" s="47" t="n"/>
      <c r="AW472" s="52" t="n"/>
    </row>
    <row r="473">
      <c r="A473" s="48" t="n"/>
      <c r="B473" s="52" t="n"/>
      <c r="C473" s="47">
        <f>IF(B473="","",IFERROR(INDEX('隊員マスタ'!$B$5:$B$204,MATCH(B473&amp;"",'隊員マスタ'!$F$5:$F$204,0)),IF(AK473="","番号なし",AK473)))</f>
        <v/>
      </c>
      <c r="D473" s="47" t="n"/>
      <c r="E473" s="47" t="n"/>
      <c r="F473" s="47" t="n"/>
      <c r="G473" s="47" t="n"/>
      <c r="H473" s="47" t="n"/>
      <c r="I473" s="47" t="n"/>
      <c r="J473" s="47" t="n"/>
      <c r="K473" s="47" t="n"/>
      <c r="L473" s="47" t="n"/>
      <c r="M473" s="47" t="n"/>
      <c r="N473" s="47" t="n"/>
      <c r="O473" s="47" t="n"/>
      <c r="P473" s="47" t="n"/>
      <c r="Q473" s="47" t="n"/>
      <c r="R473" s="47" t="n"/>
      <c r="S473" s="47" t="n"/>
      <c r="T473" s="47" t="n"/>
      <c r="U473" s="53" t="n"/>
      <c r="V473" s="53" t="n"/>
      <c r="W473" s="47" t="n"/>
      <c r="X473" s="47" t="n"/>
      <c r="Y473" s="47" t="n"/>
      <c r="Z473" s="47" t="n"/>
      <c r="AA473" s="47" t="n"/>
      <c r="AB473" s="47" t="n"/>
      <c r="AC473" s="47" t="n"/>
      <c r="AD473" s="47" t="n"/>
      <c r="AE473" s="47" t="n"/>
      <c r="AF473" s="20">
        <f>IF(A473="","",YEAR(EDATE(A473,-3)))</f>
        <v/>
      </c>
      <c r="AG473" s="20">
        <f>IF(OR(B473="",'経歴簿'!$C$4=""),"",IF(B473&amp;""='経歴簿'!$C$4&amp;"",MAX($AG$4:AG472)+1,""))</f>
        <v/>
      </c>
      <c r="AH473" s="20">
        <f>IF(A473="",0,IF(AND(OR('CSV抽出'!$C$4="",A473&gt;='CSV抽出'!$C$4),OR('CSV抽出'!$C$5="",A473&lt;='CSV抽出'!$C$5),OR('CSV抽出'!$C$6="すべて",'CSV抽出'!$C$6="",D473='CSV抽出'!$C$6),OR('CSV抽出'!$C$7="",B473&amp;""='CSV抽出'!$C$7&amp;"")),1,0))</f>
        <v/>
      </c>
      <c r="AI473" s="20">
        <f>IF(AH473=1,SUM($AH$5:AH473),"")</f>
        <v/>
      </c>
      <c r="AJ473" s="20">
        <f>IF(OR(S473="",'報告書'!$C$4=""),"",IF(S473&amp;""='報告書'!$C$4&amp;"",COUNTIF($S$5:S473,'報告書'!$C$4),""))</f>
        <v/>
      </c>
      <c r="AK473" s="20" t="n"/>
      <c r="AL473" s="47" t="n"/>
      <c r="AM473" s="47" t="n"/>
      <c r="AN473" s="53" t="n"/>
      <c r="AO473" s="47" t="n"/>
      <c r="AP473" s="47" t="n"/>
      <c r="AQ473" s="47" t="n"/>
      <c r="AR473" s="47" t="n"/>
      <c r="AS473" s="47" t="n"/>
      <c r="AT473" s="47" t="n"/>
      <c r="AU473" s="47" t="n"/>
      <c r="AV473" s="47" t="n"/>
      <c r="AW473" s="52" t="n"/>
    </row>
    <row r="474">
      <c r="A474" s="48" t="n"/>
      <c r="B474" s="52" t="n"/>
      <c r="C474" s="47">
        <f>IF(B474="","",IFERROR(INDEX('隊員マスタ'!$B$5:$B$204,MATCH(B474&amp;"",'隊員マスタ'!$F$5:$F$204,0)),IF(AK474="","番号なし",AK474)))</f>
        <v/>
      </c>
      <c r="D474" s="47" t="n"/>
      <c r="E474" s="47" t="n"/>
      <c r="F474" s="47" t="n"/>
      <c r="G474" s="47" t="n"/>
      <c r="H474" s="47" t="n"/>
      <c r="I474" s="47" t="n"/>
      <c r="J474" s="47" t="n"/>
      <c r="K474" s="47" t="n"/>
      <c r="L474" s="47" t="n"/>
      <c r="M474" s="47" t="n"/>
      <c r="N474" s="47" t="n"/>
      <c r="O474" s="47" t="n"/>
      <c r="P474" s="47" t="n"/>
      <c r="Q474" s="47" t="n"/>
      <c r="R474" s="47" t="n"/>
      <c r="S474" s="47" t="n"/>
      <c r="T474" s="47" t="n"/>
      <c r="U474" s="53" t="n"/>
      <c r="V474" s="53" t="n"/>
      <c r="W474" s="47" t="n"/>
      <c r="X474" s="47" t="n"/>
      <c r="Y474" s="47" t="n"/>
      <c r="Z474" s="47" t="n"/>
      <c r="AA474" s="47" t="n"/>
      <c r="AB474" s="47" t="n"/>
      <c r="AC474" s="47" t="n"/>
      <c r="AD474" s="47" t="n"/>
      <c r="AE474" s="47" t="n"/>
      <c r="AF474" s="20">
        <f>IF(A474="","",YEAR(EDATE(A474,-3)))</f>
        <v/>
      </c>
      <c r="AG474" s="20">
        <f>IF(OR(B474="",'経歴簿'!$C$4=""),"",IF(B474&amp;""='経歴簿'!$C$4&amp;"",MAX($AG$4:AG473)+1,""))</f>
        <v/>
      </c>
      <c r="AH474" s="20">
        <f>IF(A474="",0,IF(AND(OR('CSV抽出'!$C$4="",A474&gt;='CSV抽出'!$C$4),OR('CSV抽出'!$C$5="",A474&lt;='CSV抽出'!$C$5),OR('CSV抽出'!$C$6="すべて",'CSV抽出'!$C$6="",D474='CSV抽出'!$C$6),OR('CSV抽出'!$C$7="",B474&amp;""='CSV抽出'!$C$7&amp;"")),1,0))</f>
        <v/>
      </c>
      <c r="AI474" s="20">
        <f>IF(AH474=1,SUM($AH$5:AH474),"")</f>
        <v/>
      </c>
      <c r="AJ474" s="20">
        <f>IF(OR(S474="",'報告書'!$C$4=""),"",IF(S474&amp;""='報告書'!$C$4&amp;"",COUNTIF($S$5:S474,'報告書'!$C$4),""))</f>
        <v/>
      </c>
      <c r="AK474" s="20" t="n"/>
      <c r="AL474" s="47" t="n"/>
      <c r="AM474" s="47" t="n"/>
      <c r="AN474" s="53" t="n"/>
      <c r="AO474" s="47" t="n"/>
      <c r="AP474" s="47" t="n"/>
      <c r="AQ474" s="47" t="n"/>
      <c r="AR474" s="47" t="n"/>
      <c r="AS474" s="47" t="n"/>
      <c r="AT474" s="47" t="n"/>
      <c r="AU474" s="47" t="n"/>
      <c r="AV474" s="47" t="n"/>
      <c r="AW474" s="52" t="n"/>
    </row>
    <row r="475">
      <c r="A475" s="48" t="n"/>
      <c r="B475" s="52" t="n"/>
      <c r="C475" s="47">
        <f>IF(B475="","",IFERROR(INDEX('隊員マスタ'!$B$5:$B$204,MATCH(B475&amp;"",'隊員マスタ'!$F$5:$F$204,0)),IF(AK475="","番号なし",AK475)))</f>
        <v/>
      </c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  <c r="N475" s="47" t="n"/>
      <c r="O475" s="47" t="n"/>
      <c r="P475" s="47" t="n"/>
      <c r="Q475" s="47" t="n"/>
      <c r="R475" s="47" t="n"/>
      <c r="S475" s="47" t="n"/>
      <c r="T475" s="47" t="n"/>
      <c r="U475" s="53" t="n"/>
      <c r="V475" s="53" t="n"/>
      <c r="W475" s="47" t="n"/>
      <c r="X475" s="47" t="n"/>
      <c r="Y475" s="47" t="n"/>
      <c r="Z475" s="47" t="n"/>
      <c r="AA475" s="47" t="n"/>
      <c r="AB475" s="47" t="n"/>
      <c r="AC475" s="47" t="n"/>
      <c r="AD475" s="47" t="n"/>
      <c r="AE475" s="47" t="n"/>
      <c r="AF475" s="20">
        <f>IF(A475="","",YEAR(EDATE(A475,-3)))</f>
        <v/>
      </c>
      <c r="AG475" s="20">
        <f>IF(OR(B475="",'経歴簿'!$C$4=""),"",IF(B475&amp;""='経歴簿'!$C$4&amp;"",MAX($AG$4:AG474)+1,""))</f>
        <v/>
      </c>
      <c r="AH475" s="20">
        <f>IF(A475="",0,IF(AND(OR('CSV抽出'!$C$4="",A475&gt;='CSV抽出'!$C$4),OR('CSV抽出'!$C$5="",A475&lt;='CSV抽出'!$C$5),OR('CSV抽出'!$C$6="すべて",'CSV抽出'!$C$6="",D475='CSV抽出'!$C$6),OR('CSV抽出'!$C$7="",B475&amp;""='CSV抽出'!$C$7&amp;"")),1,0))</f>
        <v/>
      </c>
      <c r="AI475" s="20">
        <f>IF(AH475=1,SUM($AH$5:AH475),"")</f>
        <v/>
      </c>
      <c r="AJ475" s="20">
        <f>IF(OR(S475="",'報告書'!$C$4=""),"",IF(S475&amp;""='報告書'!$C$4&amp;"",COUNTIF($S$5:S475,'報告書'!$C$4),""))</f>
        <v/>
      </c>
      <c r="AK475" s="20" t="n"/>
      <c r="AL475" s="47" t="n"/>
      <c r="AM475" s="47" t="n"/>
      <c r="AN475" s="53" t="n"/>
      <c r="AO475" s="47" t="n"/>
      <c r="AP475" s="47" t="n"/>
      <c r="AQ475" s="47" t="n"/>
      <c r="AR475" s="47" t="n"/>
      <c r="AS475" s="47" t="n"/>
      <c r="AT475" s="47" t="n"/>
      <c r="AU475" s="47" t="n"/>
      <c r="AV475" s="47" t="n"/>
      <c r="AW475" s="52" t="n"/>
    </row>
    <row r="476">
      <c r="A476" s="48" t="n"/>
      <c r="B476" s="52" t="n"/>
      <c r="C476" s="47">
        <f>IF(B476="","",IFERROR(INDEX('隊員マスタ'!$B$5:$B$204,MATCH(B476&amp;"",'隊員マスタ'!$F$5:$F$204,0)),IF(AK476="","番号なし",AK476)))</f>
        <v/>
      </c>
      <c r="D476" s="47" t="n"/>
      <c r="E476" s="47" t="n"/>
      <c r="F476" s="47" t="n"/>
      <c r="G476" s="47" t="n"/>
      <c r="H476" s="47" t="n"/>
      <c r="I476" s="47" t="n"/>
      <c r="J476" s="47" t="n"/>
      <c r="K476" s="47" t="n"/>
      <c r="L476" s="47" t="n"/>
      <c r="M476" s="47" t="n"/>
      <c r="N476" s="47" t="n"/>
      <c r="O476" s="47" t="n"/>
      <c r="P476" s="47" t="n"/>
      <c r="Q476" s="47" t="n"/>
      <c r="R476" s="47" t="n"/>
      <c r="S476" s="47" t="n"/>
      <c r="T476" s="47" t="n"/>
      <c r="U476" s="53" t="n"/>
      <c r="V476" s="53" t="n"/>
      <c r="W476" s="47" t="n"/>
      <c r="X476" s="47" t="n"/>
      <c r="Y476" s="47" t="n"/>
      <c r="Z476" s="47" t="n"/>
      <c r="AA476" s="47" t="n"/>
      <c r="AB476" s="47" t="n"/>
      <c r="AC476" s="47" t="n"/>
      <c r="AD476" s="47" t="n"/>
      <c r="AE476" s="47" t="n"/>
      <c r="AF476" s="20">
        <f>IF(A476="","",YEAR(EDATE(A476,-3)))</f>
        <v/>
      </c>
      <c r="AG476" s="20">
        <f>IF(OR(B476="",'経歴簿'!$C$4=""),"",IF(B476&amp;""='経歴簿'!$C$4&amp;"",MAX($AG$4:AG475)+1,""))</f>
        <v/>
      </c>
      <c r="AH476" s="20">
        <f>IF(A476="",0,IF(AND(OR('CSV抽出'!$C$4="",A476&gt;='CSV抽出'!$C$4),OR('CSV抽出'!$C$5="",A476&lt;='CSV抽出'!$C$5),OR('CSV抽出'!$C$6="すべて",'CSV抽出'!$C$6="",D476='CSV抽出'!$C$6),OR('CSV抽出'!$C$7="",B476&amp;""='CSV抽出'!$C$7&amp;"")),1,0))</f>
        <v/>
      </c>
      <c r="AI476" s="20">
        <f>IF(AH476=1,SUM($AH$5:AH476),"")</f>
        <v/>
      </c>
      <c r="AJ476" s="20">
        <f>IF(OR(S476="",'報告書'!$C$4=""),"",IF(S476&amp;""='報告書'!$C$4&amp;"",COUNTIF($S$5:S476,'報告書'!$C$4),""))</f>
        <v/>
      </c>
      <c r="AK476" s="20" t="n"/>
      <c r="AL476" s="47" t="n"/>
      <c r="AM476" s="47" t="n"/>
      <c r="AN476" s="53" t="n"/>
      <c r="AO476" s="47" t="n"/>
      <c r="AP476" s="47" t="n"/>
      <c r="AQ476" s="47" t="n"/>
      <c r="AR476" s="47" t="n"/>
      <c r="AS476" s="47" t="n"/>
      <c r="AT476" s="47" t="n"/>
      <c r="AU476" s="47" t="n"/>
      <c r="AV476" s="47" t="n"/>
      <c r="AW476" s="52" t="n"/>
    </row>
    <row r="477">
      <c r="A477" s="48" t="n"/>
      <c r="B477" s="52" t="n"/>
      <c r="C477" s="47">
        <f>IF(B477="","",IFERROR(INDEX('隊員マスタ'!$B$5:$B$204,MATCH(B477&amp;"",'隊員マスタ'!$F$5:$F$204,0)),IF(AK477="","番号なし",AK477)))</f>
        <v/>
      </c>
      <c r="D477" s="47" t="n"/>
      <c r="E477" s="47" t="n"/>
      <c r="F477" s="47" t="n"/>
      <c r="G477" s="47" t="n"/>
      <c r="H477" s="47" t="n"/>
      <c r="I477" s="47" t="n"/>
      <c r="J477" s="47" t="n"/>
      <c r="K477" s="47" t="n"/>
      <c r="L477" s="47" t="n"/>
      <c r="M477" s="47" t="n"/>
      <c r="N477" s="47" t="n"/>
      <c r="O477" s="47" t="n"/>
      <c r="P477" s="47" t="n"/>
      <c r="Q477" s="47" t="n"/>
      <c r="R477" s="47" t="n"/>
      <c r="S477" s="47" t="n"/>
      <c r="T477" s="47" t="n"/>
      <c r="U477" s="53" t="n"/>
      <c r="V477" s="53" t="n"/>
      <c r="W477" s="47" t="n"/>
      <c r="X477" s="47" t="n"/>
      <c r="Y477" s="47" t="n"/>
      <c r="Z477" s="47" t="n"/>
      <c r="AA477" s="47" t="n"/>
      <c r="AB477" s="47" t="n"/>
      <c r="AC477" s="47" t="n"/>
      <c r="AD477" s="47" t="n"/>
      <c r="AE477" s="47" t="n"/>
      <c r="AF477" s="20">
        <f>IF(A477="","",YEAR(EDATE(A477,-3)))</f>
        <v/>
      </c>
      <c r="AG477" s="20">
        <f>IF(OR(B477="",'経歴簿'!$C$4=""),"",IF(B477&amp;""='経歴簿'!$C$4&amp;"",MAX($AG$4:AG476)+1,""))</f>
        <v/>
      </c>
      <c r="AH477" s="20">
        <f>IF(A477="",0,IF(AND(OR('CSV抽出'!$C$4="",A477&gt;='CSV抽出'!$C$4),OR('CSV抽出'!$C$5="",A477&lt;='CSV抽出'!$C$5),OR('CSV抽出'!$C$6="すべて",'CSV抽出'!$C$6="",D477='CSV抽出'!$C$6),OR('CSV抽出'!$C$7="",B477&amp;""='CSV抽出'!$C$7&amp;"")),1,0))</f>
        <v/>
      </c>
      <c r="AI477" s="20">
        <f>IF(AH477=1,SUM($AH$5:AH477),"")</f>
        <v/>
      </c>
      <c r="AJ477" s="20">
        <f>IF(OR(S477="",'報告書'!$C$4=""),"",IF(S477&amp;""='報告書'!$C$4&amp;"",COUNTIF($S$5:S477,'報告書'!$C$4),""))</f>
        <v/>
      </c>
      <c r="AK477" s="20" t="n"/>
      <c r="AL477" s="47" t="n"/>
      <c r="AM477" s="47" t="n"/>
      <c r="AN477" s="53" t="n"/>
      <c r="AO477" s="47" t="n"/>
      <c r="AP477" s="47" t="n"/>
      <c r="AQ477" s="47" t="n"/>
      <c r="AR477" s="47" t="n"/>
      <c r="AS477" s="47" t="n"/>
      <c r="AT477" s="47" t="n"/>
      <c r="AU477" s="47" t="n"/>
      <c r="AV477" s="47" t="n"/>
      <c r="AW477" s="52" t="n"/>
    </row>
    <row r="478">
      <c r="A478" s="48" t="n"/>
      <c r="B478" s="52" t="n"/>
      <c r="C478" s="47">
        <f>IF(B478="","",IFERROR(INDEX('隊員マスタ'!$B$5:$B$204,MATCH(B478&amp;"",'隊員マスタ'!$F$5:$F$204,0)),IF(AK478="","番号なし",AK478)))</f>
        <v/>
      </c>
      <c r="D478" s="47" t="n"/>
      <c r="E478" s="47" t="n"/>
      <c r="F478" s="47" t="n"/>
      <c r="G478" s="47" t="n"/>
      <c r="H478" s="47" t="n"/>
      <c r="I478" s="47" t="n"/>
      <c r="J478" s="47" t="n"/>
      <c r="K478" s="47" t="n"/>
      <c r="L478" s="47" t="n"/>
      <c r="M478" s="47" t="n"/>
      <c r="N478" s="47" t="n"/>
      <c r="O478" s="47" t="n"/>
      <c r="P478" s="47" t="n"/>
      <c r="Q478" s="47" t="n"/>
      <c r="R478" s="47" t="n"/>
      <c r="S478" s="47" t="n"/>
      <c r="T478" s="47" t="n"/>
      <c r="U478" s="53" t="n"/>
      <c r="V478" s="53" t="n"/>
      <c r="W478" s="47" t="n"/>
      <c r="X478" s="47" t="n"/>
      <c r="Y478" s="47" t="n"/>
      <c r="Z478" s="47" t="n"/>
      <c r="AA478" s="47" t="n"/>
      <c r="AB478" s="47" t="n"/>
      <c r="AC478" s="47" t="n"/>
      <c r="AD478" s="47" t="n"/>
      <c r="AE478" s="47" t="n"/>
      <c r="AF478" s="20">
        <f>IF(A478="","",YEAR(EDATE(A478,-3)))</f>
        <v/>
      </c>
      <c r="AG478" s="20">
        <f>IF(OR(B478="",'経歴簿'!$C$4=""),"",IF(B478&amp;""='経歴簿'!$C$4&amp;"",MAX($AG$4:AG477)+1,""))</f>
        <v/>
      </c>
      <c r="AH478" s="20">
        <f>IF(A478="",0,IF(AND(OR('CSV抽出'!$C$4="",A478&gt;='CSV抽出'!$C$4),OR('CSV抽出'!$C$5="",A478&lt;='CSV抽出'!$C$5),OR('CSV抽出'!$C$6="すべて",'CSV抽出'!$C$6="",D478='CSV抽出'!$C$6),OR('CSV抽出'!$C$7="",B478&amp;""='CSV抽出'!$C$7&amp;"")),1,0))</f>
        <v/>
      </c>
      <c r="AI478" s="20">
        <f>IF(AH478=1,SUM($AH$5:AH478),"")</f>
        <v/>
      </c>
      <c r="AJ478" s="20">
        <f>IF(OR(S478="",'報告書'!$C$4=""),"",IF(S478&amp;""='報告書'!$C$4&amp;"",COUNTIF($S$5:S478,'報告書'!$C$4),""))</f>
        <v/>
      </c>
      <c r="AK478" s="20" t="n"/>
      <c r="AL478" s="47" t="n"/>
      <c r="AM478" s="47" t="n"/>
      <c r="AN478" s="53" t="n"/>
      <c r="AO478" s="47" t="n"/>
      <c r="AP478" s="47" t="n"/>
      <c r="AQ478" s="47" t="n"/>
      <c r="AR478" s="47" t="n"/>
      <c r="AS478" s="47" t="n"/>
      <c r="AT478" s="47" t="n"/>
      <c r="AU478" s="47" t="n"/>
      <c r="AV478" s="47" t="n"/>
      <c r="AW478" s="52" t="n"/>
    </row>
    <row r="479">
      <c r="A479" s="48" t="n"/>
      <c r="B479" s="52" t="n"/>
      <c r="C479" s="47">
        <f>IF(B479="","",IFERROR(INDEX('隊員マスタ'!$B$5:$B$204,MATCH(B479&amp;"",'隊員マスタ'!$F$5:$F$204,0)),IF(AK479="","番号なし",AK479)))</f>
        <v/>
      </c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  <c r="N479" s="47" t="n"/>
      <c r="O479" s="47" t="n"/>
      <c r="P479" s="47" t="n"/>
      <c r="Q479" s="47" t="n"/>
      <c r="R479" s="47" t="n"/>
      <c r="S479" s="47" t="n"/>
      <c r="T479" s="47" t="n"/>
      <c r="U479" s="53" t="n"/>
      <c r="V479" s="53" t="n"/>
      <c r="W479" s="47" t="n"/>
      <c r="X479" s="47" t="n"/>
      <c r="Y479" s="47" t="n"/>
      <c r="Z479" s="47" t="n"/>
      <c r="AA479" s="47" t="n"/>
      <c r="AB479" s="47" t="n"/>
      <c r="AC479" s="47" t="n"/>
      <c r="AD479" s="47" t="n"/>
      <c r="AE479" s="47" t="n"/>
      <c r="AF479" s="20">
        <f>IF(A479="","",YEAR(EDATE(A479,-3)))</f>
        <v/>
      </c>
      <c r="AG479" s="20">
        <f>IF(OR(B479="",'経歴簿'!$C$4=""),"",IF(B479&amp;""='経歴簿'!$C$4&amp;"",MAX($AG$4:AG478)+1,""))</f>
        <v/>
      </c>
      <c r="AH479" s="20">
        <f>IF(A479="",0,IF(AND(OR('CSV抽出'!$C$4="",A479&gt;='CSV抽出'!$C$4),OR('CSV抽出'!$C$5="",A479&lt;='CSV抽出'!$C$5),OR('CSV抽出'!$C$6="すべて",'CSV抽出'!$C$6="",D479='CSV抽出'!$C$6),OR('CSV抽出'!$C$7="",B479&amp;""='CSV抽出'!$C$7&amp;"")),1,0))</f>
        <v/>
      </c>
      <c r="AI479" s="20">
        <f>IF(AH479=1,SUM($AH$5:AH479),"")</f>
        <v/>
      </c>
      <c r="AJ479" s="20">
        <f>IF(OR(S479="",'報告書'!$C$4=""),"",IF(S479&amp;""='報告書'!$C$4&amp;"",COUNTIF($S$5:S479,'報告書'!$C$4),""))</f>
        <v/>
      </c>
      <c r="AK479" s="20" t="n"/>
      <c r="AL479" s="47" t="n"/>
      <c r="AM479" s="47" t="n"/>
      <c r="AN479" s="53" t="n"/>
      <c r="AO479" s="47" t="n"/>
      <c r="AP479" s="47" t="n"/>
      <c r="AQ479" s="47" t="n"/>
      <c r="AR479" s="47" t="n"/>
      <c r="AS479" s="47" t="n"/>
      <c r="AT479" s="47" t="n"/>
      <c r="AU479" s="47" t="n"/>
      <c r="AV479" s="47" t="n"/>
      <c r="AW479" s="52" t="n"/>
    </row>
    <row r="480">
      <c r="A480" s="48" t="n"/>
      <c r="B480" s="52" t="n"/>
      <c r="C480" s="47">
        <f>IF(B480="","",IFERROR(INDEX('隊員マスタ'!$B$5:$B$204,MATCH(B480&amp;"",'隊員マスタ'!$F$5:$F$204,0)),IF(AK480="","番号なし",AK480)))</f>
        <v/>
      </c>
      <c r="D480" s="47" t="n"/>
      <c r="E480" s="47" t="n"/>
      <c r="F480" s="47" t="n"/>
      <c r="G480" s="47" t="n"/>
      <c r="H480" s="47" t="n"/>
      <c r="I480" s="47" t="n"/>
      <c r="J480" s="47" t="n"/>
      <c r="K480" s="47" t="n"/>
      <c r="L480" s="47" t="n"/>
      <c r="M480" s="47" t="n"/>
      <c r="N480" s="47" t="n"/>
      <c r="O480" s="47" t="n"/>
      <c r="P480" s="47" t="n"/>
      <c r="Q480" s="47" t="n"/>
      <c r="R480" s="47" t="n"/>
      <c r="S480" s="47" t="n"/>
      <c r="T480" s="47" t="n"/>
      <c r="U480" s="53" t="n"/>
      <c r="V480" s="53" t="n"/>
      <c r="W480" s="47" t="n"/>
      <c r="X480" s="47" t="n"/>
      <c r="Y480" s="47" t="n"/>
      <c r="Z480" s="47" t="n"/>
      <c r="AA480" s="47" t="n"/>
      <c r="AB480" s="47" t="n"/>
      <c r="AC480" s="47" t="n"/>
      <c r="AD480" s="47" t="n"/>
      <c r="AE480" s="47" t="n"/>
      <c r="AF480" s="20">
        <f>IF(A480="","",YEAR(EDATE(A480,-3)))</f>
        <v/>
      </c>
      <c r="AG480" s="20">
        <f>IF(OR(B480="",'経歴簿'!$C$4=""),"",IF(B480&amp;""='経歴簿'!$C$4&amp;"",MAX($AG$4:AG479)+1,""))</f>
        <v/>
      </c>
      <c r="AH480" s="20">
        <f>IF(A480="",0,IF(AND(OR('CSV抽出'!$C$4="",A480&gt;='CSV抽出'!$C$4),OR('CSV抽出'!$C$5="",A480&lt;='CSV抽出'!$C$5),OR('CSV抽出'!$C$6="すべて",'CSV抽出'!$C$6="",D480='CSV抽出'!$C$6),OR('CSV抽出'!$C$7="",B480&amp;""='CSV抽出'!$C$7&amp;"")),1,0))</f>
        <v/>
      </c>
      <c r="AI480" s="20">
        <f>IF(AH480=1,SUM($AH$5:AH480),"")</f>
        <v/>
      </c>
      <c r="AJ480" s="20">
        <f>IF(OR(S480="",'報告書'!$C$4=""),"",IF(S480&amp;""='報告書'!$C$4&amp;"",COUNTIF($S$5:S480,'報告書'!$C$4),""))</f>
        <v/>
      </c>
      <c r="AK480" s="20" t="n"/>
      <c r="AL480" s="47" t="n"/>
      <c r="AM480" s="47" t="n"/>
      <c r="AN480" s="53" t="n"/>
      <c r="AO480" s="47" t="n"/>
      <c r="AP480" s="47" t="n"/>
      <c r="AQ480" s="47" t="n"/>
      <c r="AR480" s="47" t="n"/>
      <c r="AS480" s="47" t="n"/>
      <c r="AT480" s="47" t="n"/>
      <c r="AU480" s="47" t="n"/>
      <c r="AV480" s="47" t="n"/>
      <c r="AW480" s="52" t="n"/>
    </row>
    <row r="481">
      <c r="A481" s="48" t="n"/>
      <c r="B481" s="52" t="n"/>
      <c r="C481" s="47">
        <f>IF(B481="","",IFERROR(INDEX('隊員マスタ'!$B$5:$B$204,MATCH(B481&amp;"",'隊員マスタ'!$F$5:$F$204,0)),IF(AK481="","番号なし",AK481)))</f>
        <v/>
      </c>
      <c r="D481" s="47" t="n"/>
      <c r="E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  <c r="N481" s="47" t="n"/>
      <c r="O481" s="47" t="n"/>
      <c r="P481" s="47" t="n"/>
      <c r="Q481" s="47" t="n"/>
      <c r="R481" s="47" t="n"/>
      <c r="S481" s="47" t="n"/>
      <c r="T481" s="47" t="n"/>
      <c r="U481" s="53" t="n"/>
      <c r="V481" s="53" t="n"/>
      <c r="W481" s="47" t="n"/>
      <c r="X481" s="47" t="n"/>
      <c r="Y481" s="47" t="n"/>
      <c r="Z481" s="47" t="n"/>
      <c r="AA481" s="47" t="n"/>
      <c r="AB481" s="47" t="n"/>
      <c r="AC481" s="47" t="n"/>
      <c r="AD481" s="47" t="n"/>
      <c r="AE481" s="47" t="n"/>
      <c r="AF481" s="20">
        <f>IF(A481="","",YEAR(EDATE(A481,-3)))</f>
        <v/>
      </c>
      <c r="AG481" s="20">
        <f>IF(OR(B481="",'経歴簿'!$C$4=""),"",IF(B481&amp;""='経歴簿'!$C$4&amp;"",MAX($AG$4:AG480)+1,""))</f>
        <v/>
      </c>
      <c r="AH481" s="20">
        <f>IF(A481="",0,IF(AND(OR('CSV抽出'!$C$4="",A481&gt;='CSV抽出'!$C$4),OR('CSV抽出'!$C$5="",A481&lt;='CSV抽出'!$C$5),OR('CSV抽出'!$C$6="すべて",'CSV抽出'!$C$6="",D481='CSV抽出'!$C$6),OR('CSV抽出'!$C$7="",B481&amp;""='CSV抽出'!$C$7&amp;"")),1,0))</f>
        <v/>
      </c>
      <c r="AI481" s="20">
        <f>IF(AH481=1,SUM($AH$5:AH481),"")</f>
        <v/>
      </c>
      <c r="AJ481" s="20">
        <f>IF(OR(S481="",'報告書'!$C$4=""),"",IF(S481&amp;""='報告書'!$C$4&amp;"",COUNTIF($S$5:S481,'報告書'!$C$4),""))</f>
        <v/>
      </c>
      <c r="AK481" s="20" t="n"/>
      <c r="AL481" s="47" t="n"/>
      <c r="AM481" s="47" t="n"/>
      <c r="AN481" s="53" t="n"/>
      <c r="AO481" s="47" t="n"/>
      <c r="AP481" s="47" t="n"/>
      <c r="AQ481" s="47" t="n"/>
      <c r="AR481" s="47" t="n"/>
      <c r="AS481" s="47" t="n"/>
      <c r="AT481" s="47" t="n"/>
      <c r="AU481" s="47" t="n"/>
      <c r="AV481" s="47" t="n"/>
      <c r="AW481" s="52" t="n"/>
    </row>
    <row r="482">
      <c r="A482" s="48" t="n"/>
      <c r="B482" s="52" t="n"/>
      <c r="C482" s="47">
        <f>IF(B482="","",IFERROR(INDEX('隊員マスタ'!$B$5:$B$204,MATCH(B482&amp;"",'隊員マスタ'!$F$5:$F$204,0)),IF(AK482="","番号なし",AK482)))</f>
        <v/>
      </c>
      <c r="D482" s="47" t="n"/>
      <c r="E482" s="47" t="n"/>
      <c r="F482" s="47" t="n"/>
      <c r="G482" s="47" t="n"/>
      <c r="H482" s="47" t="n"/>
      <c r="I482" s="47" t="n"/>
      <c r="J482" s="47" t="n"/>
      <c r="K482" s="47" t="n"/>
      <c r="L482" s="47" t="n"/>
      <c r="M482" s="47" t="n"/>
      <c r="N482" s="47" t="n"/>
      <c r="O482" s="47" t="n"/>
      <c r="P482" s="47" t="n"/>
      <c r="Q482" s="47" t="n"/>
      <c r="R482" s="47" t="n"/>
      <c r="S482" s="47" t="n"/>
      <c r="T482" s="47" t="n"/>
      <c r="U482" s="53" t="n"/>
      <c r="V482" s="53" t="n"/>
      <c r="W482" s="47" t="n"/>
      <c r="X482" s="47" t="n"/>
      <c r="Y482" s="47" t="n"/>
      <c r="Z482" s="47" t="n"/>
      <c r="AA482" s="47" t="n"/>
      <c r="AB482" s="47" t="n"/>
      <c r="AC482" s="47" t="n"/>
      <c r="AD482" s="47" t="n"/>
      <c r="AE482" s="47" t="n"/>
      <c r="AF482" s="20">
        <f>IF(A482="","",YEAR(EDATE(A482,-3)))</f>
        <v/>
      </c>
      <c r="AG482" s="20">
        <f>IF(OR(B482="",'経歴簿'!$C$4=""),"",IF(B482&amp;""='経歴簿'!$C$4&amp;"",MAX($AG$4:AG481)+1,""))</f>
        <v/>
      </c>
      <c r="AH482" s="20">
        <f>IF(A482="",0,IF(AND(OR('CSV抽出'!$C$4="",A482&gt;='CSV抽出'!$C$4),OR('CSV抽出'!$C$5="",A482&lt;='CSV抽出'!$C$5),OR('CSV抽出'!$C$6="すべて",'CSV抽出'!$C$6="",D482='CSV抽出'!$C$6),OR('CSV抽出'!$C$7="",B482&amp;""='CSV抽出'!$C$7&amp;"")),1,0))</f>
        <v/>
      </c>
      <c r="AI482" s="20">
        <f>IF(AH482=1,SUM($AH$5:AH482),"")</f>
        <v/>
      </c>
      <c r="AJ482" s="20">
        <f>IF(OR(S482="",'報告書'!$C$4=""),"",IF(S482&amp;""='報告書'!$C$4&amp;"",COUNTIF($S$5:S482,'報告書'!$C$4),""))</f>
        <v/>
      </c>
      <c r="AK482" s="20" t="n"/>
      <c r="AL482" s="47" t="n"/>
      <c r="AM482" s="47" t="n"/>
      <c r="AN482" s="53" t="n"/>
      <c r="AO482" s="47" t="n"/>
      <c r="AP482" s="47" t="n"/>
      <c r="AQ482" s="47" t="n"/>
      <c r="AR482" s="47" t="n"/>
      <c r="AS482" s="47" t="n"/>
      <c r="AT482" s="47" t="n"/>
      <c r="AU482" s="47" t="n"/>
      <c r="AV482" s="47" t="n"/>
      <c r="AW482" s="52" t="n"/>
    </row>
    <row r="483">
      <c r="A483" s="48" t="n"/>
      <c r="B483" s="52" t="n"/>
      <c r="C483" s="47">
        <f>IF(B483="","",IFERROR(INDEX('隊員マスタ'!$B$5:$B$204,MATCH(B483&amp;"",'隊員マスタ'!$F$5:$F$204,0)),IF(AK483="","番号なし",AK483)))</f>
        <v/>
      </c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  <c r="N483" s="47" t="n"/>
      <c r="O483" s="47" t="n"/>
      <c r="P483" s="47" t="n"/>
      <c r="Q483" s="47" t="n"/>
      <c r="R483" s="47" t="n"/>
      <c r="S483" s="47" t="n"/>
      <c r="T483" s="47" t="n"/>
      <c r="U483" s="53" t="n"/>
      <c r="V483" s="53" t="n"/>
      <c r="W483" s="47" t="n"/>
      <c r="X483" s="47" t="n"/>
      <c r="Y483" s="47" t="n"/>
      <c r="Z483" s="47" t="n"/>
      <c r="AA483" s="47" t="n"/>
      <c r="AB483" s="47" t="n"/>
      <c r="AC483" s="47" t="n"/>
      <c r="AD483" s="47" t="n"/>
      <c r="AE483" s="47" t="n"/>
      <c r="AF483" s="20">
        <f>IF(A483="","",YEAR(EDATE(A483,-3)))</f>
        <v/>
      </c>
      <c r="AG483" s="20">
        <f>IF(OR(B483="",'経歴簿'!$C$4=""),"",IF(B483&amp;""='経歴簿'!$C$4&amp;"",MAX($AG$4:AG482)+1,""))</f>
        <v/>
      </c>
      <c r="AH483" s="20">
        <f>IF(A483="",0,IF(AND(OR('CSV抽出'!$C$4="",A483&gt;='CSV抽出'!$C$4),OR('CSV抽出'!$C$5="",A483&lt;='CSV抽出'!$C$5),OR('CSV抽出'!$C$6="すべて",'CSV抽出'!$C$6="",D483='CSV抽出'!$C$6),OR('CSV抽出'!$C$7="",B483&amp;""='CSV抽出'!$C$7&amp;"")),1,0))</f>
        <v/>
      </c>
      <c r="AI483" s="20">
        <f>IF(AH483=1,SUM($AH$5:AH483),"")</f>
        <v/>
      </c>
      <c r="AJ483" s="20">
        <f>IF(OR(S483="",'報告書'!$C$4=""),"",IF(S483&amp;""='報告書'!$C$4&amp;"",COUNTIF($S$5:S483,'報告書'!$C$4),""))</f>
        <v/>
      </c>
      <c r="AK483" s="20" t="n"/>
      <c r="AL483" s="47" t="n"/>
      <c r="AM483" s="47" t="n"/>
      <c r="AN483" s="53" t="n"/>
      <c r="AO483" s="47" t="n"/>
      <c r="AP483" s="47" t="n"/>
      <c r="AQ483" s="47" t="n"/>
      <c r="AR483" s="47" t="n"/>
      <c r="AS483" s="47" t="n"/>
      <c r="AT483" s="47" t="n"/>
      <c r="AU483" s="47" t="n"/>
      <c r="AV483" s="47" t="n"/>
      <c r="AW483" s="52" t="n"/>
    </row>
    <row r="484">
      <c r="A484" s="48" t="n"/>
      <c r="B484" s="52" t="n"/>
      <c r="C484" s="47">
        <f>IF(B484="","",IFERROR(INDEX('隊員マスタ'!$B$5:$B$204,MATCH(B484&amp;"",'隊員マスタ'!$F$5:$F$204,0)),IF(AK484="","番号なし",AK484)))</f>
        <v/>
      </c>
      <c r="D484" s="47" t="n"/>
      <c r="E484" s="47" t="n"/>
      <c r="F484" s="47" t="n"/>
      <c r="G484" s="47" t="n"/>
      <c r="H484" s="47" t="n"/>
      <c r="I484" s="47" t="n"/>
      <c r="J484" s="47" t="n"/>
      <c r="K484" s="47" t="n"/>
      <c r="L484" s="47" t="n"/>
      <c r="M484" s="47" t="n"/>
      <c r="N484" s="47" t="n"/>
      <c r="O484" s="47" t="n"/>
      <c r="P484" s="47" t="n"/>
      <c r="Q484" s="47" t="n"/>
      <c r="R484" s="47" t="n"/>
      <c r="S484" s="47" t="n"/>
      <c r="T484" s="47" t="n"/>
      <c r="U484" s="53" t="n"/>
      <c r="V484" s="53" t="n"/>
      <c r="W484" s="47" t="n"/>
      <c r="X484" s="47" t="n"/>
      <c r="Y484" s="47" t="n"/>
      <c r="Z484" s="47" t="n"/>
      <c r="AA484" s="47" t="n"/>
      <c r="AB484" s="47" t="n"/>
      <c r="AC484" s="47" t="n"/>
      <c r="AD484" s="47" t="n"/>
      <c r="AE484" s="47" t="n"/>
      <c r="AF484" s="20">
        <f>IF(A484="","",YEAR(EDATE(A484,-3)))</f>
        <v/>
      </c>
      <c r="AG484" s="20">
        <f>IF(OR(B484="",'経歴簿'!$C$4=""),"",IF(B484&amp;""='経歴簿'!$C$4&amp;"",MAX($AG$4:AG483)+1,""))</f>
        <v/>
      </c>
      <c r="AH484" s="20">
        <f>IF(A484="",0,IF(AND(OR('CSV抽出'!$C$4="",A484&gt;='CSV抽出'!$C$4),OR('CSV抽出'!$C$5="",A484&lt;='CSV抽出'!$C$5),OR('CSV抽出'!$C$6="すべて",'CSV抽出'!$C$6="",D484='CSV抽出'!$C$6),OR('CSV抽出'!$C$7="",B484&amp;""='CSV抽出'!$C$7&amp;"")),1,0))</f>
        <v/>
      </c>
      <c r="AI484" s="20">
        <f>IF(AH484=1,SUM($AH$5:AH484),"")</f>
        <v/>
      </c>
      <c r="AJ484" s="20">
        <f>IF(OR(S484="",'報告書'!$C$4=""),"",IF(S484&amp;""='報告書'!$C$4&amp;"",COUNTIF($S$5:S484,'報告書'!$C$4),""))</f>
        <v/>
      </c>
      <c r="AK484" s="20" t="n"/>
      <c r="AL484" s="47" t="n"/>
      <c r="AM484" s="47" t="n"/>
      <c r="AN484" s="53" t="n"/>
      <c r="AO484" s="47" t="n"/>
      <c r="AP484" s="47" t="n"/>
      <c r="AQ484" s="47" t="n"/>
      <c r="AR484" s="47" t="n"/>
      <c r="AS484" s="47" t="n"/>
      <c r="AT484" s="47" t="n"/>
      <c r="AU484" s="47" t="n"/>
      <c r="AV484" s="47" t="n"/>
      <c r="AW484" s="52" t="n"/>
    </row>
    <row r="485">
      <c r="A485" s="48" t="n"/>
      <c r="B485" s="52" t="n"/>
      <c r="C485" s="47">
        <f>IF(B485="","",IFERROR(INDEX('隊員マスタ'!$B$5:$B$204,MATCH(B485&amp;"",'隊員マスタ'!$F$5:$F$204,0)),IF(AK485="","番号なし",AK485)))</f>
        <v/>
      </c>
      <c r="D485" s="47" t="n"/>
      <c r="E485" s="47" t="n"/>
      <c r="F485" s="47" t="n"/>
      <c r="G485" s="47" t="n"/>
      <c r="H485" s="47" t="n"/>
      <c r="I485" s="47" t="n"/>
      <c r="J485" s="47" t="n"/>
      <c r="K485" s="47" t="n"/>
      <c r="L485" s="47" t="n"/>
      <c r="M485" s="47" t="n"/>
      <c r="N485" s="47" t="n"/>
      <c r="O485" s="47" t="n"/>
      <c r="P485" s="47" t="n"/>
      <c r="Q485" s="47" t="n"/>
      <c r="R485" s="47" t="n"/>
      <c r="S485" s="47" t="n"/>
      <c r="T485" s="47" t="n"/>
      <c r="U485" s="53" t="n"/>
      <c r="V485" s="53" t="n"/>
      <c r="W485" s="47" t="n"/>
      <c r="X485" s="47" t="n"/>
      <c r="Y485" s="47" t="n"/>
      <c r="Z485" s="47" t="n"/>
      <c r="AA485" s="47" t="n"/>
      <c r="AB485" s="47" t="n"/>
      <c r="AC485" s="47" t="n"/>
      <c r="AD485" s="47" t="n"/>
      <c r="AE485" s="47" t="n"/>
      <c r="AF485" s="20">
        <f>IF(A485="","",YEAR(EDATE(A485,-3)))</f>
        <v/>
      </c>
      <c r="AG485" s="20">
        <f>IF(OR(B485="",'経歴簿'!$C$4=""),"",IF(B485&amp;""='経歴簿'!$C$4&amp;"",MAX($AG$4:AG484)+1,""))</f>
        <v/>
      </c>
      <c r="AH485" s="20">
        <f>IF(A485="",0,IF(AND(OR('CSV抽出'!$C$4="",A485&gt;='CSV抽出'!$C$4),OR('CSV抽出'!$C$5="",A485&lt;='CSV抽出'!$C$5),OR('CSV抽出'!$C$6="すべて",'CSV抽出'!$C$6="",D485='CSV抽出'!$C$6),OR('CSV抽出'!$C$7="",B485&amp;""='CSV抽出'!$C$7&amp;"")),1,0))</f>
        <v/>
      </c>
      <c r="AI485" s="20">
        <f>IF(AH485=1,SUM($AH$5:AH485),"")</f>
        <v/>
      </c>
      <c r="AJ485" s="20">
        <f>IF(OR(S485="",'報告書'!$C$4=""),"",IF(S485&amp;""='報告書'!$C$4&amp;"",COUNTIF($S$5:S485,'報告書'!$C$4),""))</f>
        <v/>
      </c>
      <c r="AK485" s="20" t="n"/>
      <c r="AL485" s="47" t="n"/>
      <c r="AM485" s="47" t="n"/>
      <c r="AN485" s="53" t="n"/>
      <c r="AO485" s="47" t="n"/>
      <c r="AP485" s="47" t="n"/>
      <c r="AQ485" s="47" t="n"/>
      <c r="AR485" s="47" t="n"/>
      <c r="AS485" s="47" t="n"/>
      <c r="AT485" s="47" t="n"/>
      <c r="AU485" s="47" t="n"/>
      <c r="AV485" s="47" t="n"/>
      <c r="AW485" s="52" t="n"/>
    </row>
    <row r="486">
      <c r="A486" s="48" t="n"/>
      <c r="B486" s="52" t="n"/>
      <c r="C486" s="47">
        <f>IF(B486="","",IFERROR(INDEX('隊員マスタ'!$B$5:$B$204,MATCH(B486&amp;"",'隊員マスタ'!$F$5:$F$204,0)),IF(AK486="","番号なし",AK486)))</f>
        <v/>
      </c>
      <c r="D486" s="47" t="n"/>
      <c r="E486" s="47" t="n"/>
      <c r="F486" s="47" t="n"/>
      <c r="G486" s="47" t="n"/>
      <c r="H486" s="47" t="n"/>
      <c r="I486" s="47" t="n"/>
      <c r="J486" s="47" t="n"/>
      <c r="K486" s="47" t="n"/>
      <c r="L486" s="47" t="n"/>
      <c r="M486" s="47" t="n"/>
      <c r="N486" s="47" t="n"/>
      <c r="O486" s="47" t="n"/>
      <c r="P486" s="47" t="n"/>
      <c r="Q486" s="47" t="n"/>
      <c r="R486" s="47" t="n"/>
      <c r="S486" s="47" t="n"/>
      <c r="T486" s="47" t="n"/>
      <c r="U486" s="53" t="n"/>
      <c r="V486" s="53" t="n"/>
      <c r="W486" s="47" t="n"/>
      <c r="X486" s="47" t="n"/>
      <c r="Y486" s="47" t="n"/>
      <c r="Z486" s="47" t="n"/>
      <c r="AA486" s="47" t="n"/>
      <c r="AB486" s="47" t="n"/>
      <c r="AC486" s="47" t="n"/>
      <c r="AD486" s="47" t="n"/>
      <c r="AE486" s="47" t="n"/>
      <c r="AF486" s="20">
        <f>IF(A486="","",YEAR(EDATE(A486,-3)))</f>
        <v/>
      </c>
      <c r="AG486" s="20">
        <f>IF(OR(B486="",'経歴簿'!$C$4=""),"",IF(B486&amp;""='経歴簿'!$C$4&amp;"",MAX($AG$4:AG485)+1,""))</f>
        <v/>
      </c>
      <c r="AH486" s="20">
        <f>IF(A486="",0,IF(AND(OR('CSV抽出'!$C$4="",A486&gt;='CSV抽出'!$C$4),OR('CSV抽出'!$C$5="",A486&lt;='CSV抽出'!$C$5),OR('CSV抽出'!$C$6="すべて",'CSV抽出'!$C$6="",D486='CSV抽出'!$C$6),OR('CSV抽出'!$C$7="",B486&amp;""='CSV抽出'!$C$7&amp;"")),1,0))</f>
        <v/>
      </c>
      <c r="AI486" s="20">
        <f>IF(AH486=1,SUM($AH$5:AH486),"")</f>
        <v/>
      </c>
      <c r="AJ486" s="20">
        <f>IF(OR(S486="",'報告書'!$C$4=""),"",IF(S486&amp;""='報告書'!$C$4&amp;"",COUNTIF($S$5:S486,'報告書'!$C$4),""))</f>
        <v/>
      </c>
      <c r="AK486" s="20" t="n"/>
      <c r="AL486" s="47" t="n"/>
      <c r="AM486" s="47" t="n"/>
      <c r="AN486" s="53" t="n"/>
      <c r="AO486" s="47" t="n"/>
      <c r="AP486" s="47" t="n"/>
      <c r="AQ486" s="47" t="n"/>
      <c r="AR486" s="47" t="n"/>
      <c r="AS486" s="47" t="n"/>
      <c r="AT486" s="47" t="n"/>
      <c r="AU486" s="47" t="n"/>
      <c r="AV486" s="47" t="n"/>
      <c r="AW486" s="52" t="n"/>
    </row>
    <row r="487">
      <c r="A487" s="48" t="n"/>
      <c r="B487" s="52" t="n"/>
      <c r="C487" s="47">
        <f>IF(B487="","",IFERROR(INDEX('隊員マスタ'!$B$5:$B$204,MATCH(B487&amp;"",'隊員マスタ'!$F$5:$F$204,0)),IF(AK487="","番号なし",AK487)))</f>
        <v/>
      </c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  <c r="N487" s="47" t="n"/>
      <c r="O487" s="47" t="n"/>
      <c r="P487" s="47" t="n"/>
      <c r="Q487" s="47" t="n"/>
      <c r="R487" s="47" t="n"/>
      <c r="S487" s="47" t="n"/>
      <c r="T487" s="47" t="n"/>
      <c r="U487" s="53" t="n"/>
      <c r="V487" s="53" t="n"/>
      <c r="W487" s="47" t="n"/>
      <c r="X487" s="47" t="n"/>
      <c r="Y487" s="47" t="n"/>
      <c r="Z487" s="47" t="n"/>
      <c r="AA487" s="47" t="n"/>
      <c r="AB487" s="47" t="n"/>
      <c r="AC487" s="47" t="n"/>
      <c r="AD487" s="47" t="n"/>
      <c r="AE487" s="47" t="n"/>
      <c r="AF487" s="20">
        <f>IF(A487="","",YEAR(EDATE(A487,-3)))</f>
        <v/>
      </c>
      <c r="AG487" s="20">
        <f>IF(OR(B487="",'経歴簿'!$C$4=""),"",IF(B487&amp;""='経歴簿'!$C$4&amp;"",MAX($AG$4:AG486)+1,""))</f>
        <v/>
      </c>
      <c r="AH487" s="20">
        <f>IF(A487="",0,IF(AND(OR('CSV抽出'!$C$4="",A487&gt;='CSV抽出'!$C$4),OR('CSV抽出'!$C$5="",A487&lt;='CSV抽出'!$C$5),OR('CSV抽出'!$C$6="すべて",'CSV抽出'!$C$6="",D487='CSV抽出'!$C$6),OR('CSV抽出'!$C$7="",B487&amp;""='CSV抽出'!$C$7&amp;"")),1,0))</f>
        <v/>
      </c>
      <c r="AI487" s="20">
        <f>IF(AH487=1,SUM($AH$5:AH487),"")</f>
        <v/>
      </c>
      <c r="AJ487" s="20">
        <f>IF(OR(S487="",'報告書'!$C$4=""),"",IF(S487&amp;""='報告書'!$C$4&amp;"",COUNTIF($S$5:S487,'報告書'!$C$4),""))</f>
        <v/>
      </c>
      <c r="AK487" s="20" t="n"/>
      <c r="AL487" s="47" t="n"/>
      <c r="AM487" s="47" t="n"/>
      <c r="AN487" s="53" t="n"/>
      <c r="AO487" s="47" t="n"/>
      <c r="AP487" s="47" t="n"/>
      <c r="AQ487" s="47" t="n"/>
      <c r="AR487" s="47" t="n"/>
      <c r="AS487" s="47" t="n"/>
      <c r="AT487" s="47" t="n"/>
      <c r="AU487" s="47" t="n"/>
      <c r="AV487" s="47" t="n"/>
      <c r="AW487" s="52" t="n"/>
    </row>
    <row r="488">
      <c r="A488" s="48" t="n"/>
      <c r="B488" s="52" t="n"/>
      <c r="C488" s="47">
        <f>IF(B488="","",IFERROR(INDEX('隊員マスタ'!$B$5:$B$204,MATCH(B488&amp;"",'隊員マスタ'!$F$5:$F$204,0)),IF(AK488="","番号なし",AK488)))</f>
        <v/>
      </c>
      <c r="D488" s="47" t="n"/>
      <c r="E488" s="47" t="n"/>
      <c r="F488" s="47" t="n"/>
      <c r="G488" s="47" t="n"/>
      <c r="H488" s="47" t="n"/>
      <c r="I488" s="47" t="n"/>
      <c r="J488" s="47" t="n"/>
      <c r="K488" s="47" t="n"/>
      <c r="L488" s="47" t="n"/>
      <c r="M488" s="47" t="n"/>
      <c r="N488" s="47" t="n"/>
      <c r="O488" s="47" t="n"/>
      <c r="P488" s="47" t="n"/>
      <c r="Q488" s="47" t="n"/>
      <c r="R488" s="47" t="n"/>
      <c r="S488" s="47" t="n"/>
      <c r="T488" s="47" t="n"/>
      <c r="U488" s="53" t="n"/>
      <c r="V488" s="53" t="n"/>
      <c r="W488" s="47" t="n"/>
      <c r="X488" s="47" t="n"/>
      <c r="Y488" s="47" t="n"/>
      <c r="Z488" s="47" t="n"/>
      <c r="AA488" s="47" t="n"/>
      <c r="AB488" s="47" t="n"/>
      <c r="AC488" s="47" t="n"/>
      <c r="AD488" s="47" t="n"/>
      <c r="AE488" s="47" t="n"/>
      <c r="AF488" s="20">
        <f>IF(A488="","",YEAR(EDATE(A488,-3)))</f>
        <v/>
      </c>
      <c r="AG488" s="20">
        <f>IF(OR(B488="",'経歴簿'!$C$4=""),"",IF(B488&amp;""='経歴簿'!$C$4&amp;"",MAX($AG$4:AG487)+1,""))</f>
        <v/>
      </c>
      <c r="AH488" s="20">
        <f>IF(A488="",0,IF(AND(OR('CSV抽出'!$C$4="",A488&gt;='CSV抽出'!$C$4),OR('CSV抽出'!$C$5="",A488&lt;='CSV抽出'!$C$5),OR('CSV抽出'!$C$6="すべて",'CSV抽出'!$C$6="",D488='CSV抽出'!$C$6),OR('CSV抽出'!$C$7="",B488&amp;""='CSV抽出'!$C$7&amp;"")),1,0))</f>
        <v/>
      </c>
      <c r="AI488" s="20">
        <f>IF(AH488=1,SUM($AH$5:AH488),"")</f>
        <v/>
      </c>
      <c r="AJ488" s="20">
        <f>IF(OR(S488="",'報告書'!$C$4=""),"",IF(S488&amp;""='報告書'!$C$4&amp;"",COUNTIF($S$5:S488,'報告書'!$C$4),""))</f>
        <v/>
      </c>
      <c r="AK488" s="20" t="n"/>
      <c r="AL488" s="47" t="n"/>
      <c r="AM488" s="47" t="n"/>
      <c r="AN488" s="53" t="n"/>
      <c r="AO488" s="47" t="n"/>
      <c r="AP488" s="47" t="n"/>
      <c r="AQ488" s="47" t="n"/>
      <c r="AR488" s="47" t="n"/>
      <c r="AS488" s="47" t="n"/>
      <c r="AT488" s="47" t="n"/>
      <c r="AU488" s="47" t="n"/>
      <c r="AV488" s="47" t="n"/>
      <c r="AW488" s="52" t="n"/>
    </row>
    <row r="489">
      <c r="A489" s="48" t="n"/>
      <c r="B489" s="52" t="n"/>
      <c r="C489" s="47">
        <f>IF(B489="","",IFERROR(INDEX('隊員マスタ'!$B$5:$B$204,MATCH(B489&amp;"",'隊員マスタ'!$F$5:$F$204,0)),IF(AK489="","番号なし",AK489)))</f>
        <v/>
      </c>
      <c r="D489" s="47" t="n"/>
      <c r="E489" s="47" t="n"/>
      <c r="F489" s="47" t="n"/>
      <c r="G489" s="47" t="n"/>
      <c r="H489" s="47" t="n"/>
      <c r="I489" s="47" t="n"/>
      <c r="J489" s="47" t="n"/>
      <c r="K489" s="47" t="n"/>
      <c r="L489" s="47" t="n"/>
      <c r="M489" s="47" t="n"/>
      <c r="N489" s="47" t="n"/>
      <c r="O489" s="47" t="n"/>
      <c r="P489" s="47" t="n"/>
      <c r="Q489" s="47" t="n"/>
      <c r="R489" s="47" t="n"/>
      <c r="S489" s="47" t="n"/>
      <c r="T489" s="47" t="n"/>
      <c r="U489" s="53" t="n"/>
      <c r="V489" s="53" t="n"/>
      <c r="W489" s="47" t="n"/>
      <c r="X489" s="47" t="n"/>
      <c r="Y489" s="47" t="n"/>
      <c r="Z489" s="47" t="n"/>
      <c r="AA489" s="47" t="n"/>
      <c r="AB489" s="47" t="n"/>
      <c r="AC489" s="47" t="n"/>
      <c r="AD489" s="47" t="n"/>
      <c r="AE489" s="47" t="n"/>
      <c r="AF489" s="20">
        <f>IF(A489="","",YEAR(EDATE(A489,-3)))</f>
        <v/>
      </c>
      <c r="AG489" s="20">
        <f>IF(OR(B489="",'経歴簿'!$C$4=""),"",IF(B489&amp;""='経歴簿'!$C$4&amp;"",MAX($AG$4:AG488)+1,""))</f>
        <v/>
      </c>
      <c r="AH489" s="20">
        <f>IF(A489="",0,IF(AND(OR('CSV抽出'!$C$4="",A489&gt;='CSV抽出'!$C$4),OR('CSV抽出'!$C$5="",A489&lt;='CSV抽出'!$C$5),OR('CSV抽出'!$C$6="すべて",'CSV抽出'!$C$6="",D489='CSV抽出'!$C$6),OR('CSV抽出'!$C$7="",B489&amp;""='CSV抽出'!$C$7&amp;"")),1,0))</f>
        <v/>
      </c>
      <c r="AI489" s="20">
        <f>IF(AH489=1,SUM($AH$5:AH489),"")</f>
        <v/>
      </c>
      <c r="AJ489" s="20">
        <f>IF(OR(S489="",'報告書'!$C$4=""),"",IF(S489&amp;""='報告書'!$C$4&amp;"",COUNTIF($S$5:S489,'報告書'!$C$4),""))</f>
        <v/>
      </c>
      <c r="AK489" s="20" t="n"/>
      <c r="AL489" s="47" t="n"/>
      <c r="AM489" s="47" t="n"/>
      <c r="AN489" s="53" t="n"/>
      <c r="AO489" s="47" t="n"/>
      <c r="AP489" s="47" t="n"/>
      <c r="AQ489" s="47" t="n"/>
      <c r="AR489" s="47" t="n"/>
      <c r="AS489" s="47" t="n"/>
      <c r="AT489" s="47" t="n"/>
      <c r="AU489" s="47" t="n"/>
      <c r="AV489" s="47" t="n"/>
      <c r="AW489" s="52" t="n"/>
    </row>
    <row r="490">
      <c r="A490" s="48" t="n"/>
      <c r="B490" s="52" t="n"/>
      <c r="C490" s="47">
        <f>IF(B490="","",IFERROR(INDEX('隊員マスタ'!$B$5:$B$204,MATCH(B490&amp;"",'隊員マスタ'!$F$5:$F$204,0)),IF(AK490="","番号なし",AK490)))</f>
        <v/>
      </c>
      <c r="D490" s="47" t="n"/>
      <c r="E490" s="47" t="n"/>
      <c r="F490" s="47" t="n"/>
      <c r="G490" s="47" t="n"/>
      <c r="H490" s="47" t="n"/>
      <c r="I490" s="47" t="n"/>
      <c r="J490" s="47" t="n"/>
      <c r="K490" s="47" t="n"/>
      <c r="L490" s="47" t="n"/>
      <c r="M490" s="47" t="n"/>
      <c r="N490" s="47" t="n"/>
      <c r="O490" s="47" t="n"/>
      <c r="P490" s="47" t="n"/>
      <c r="Q490" s="47" t="n"/>
      <c r="R490" s="47" t="n"/>
      <c r="S490" s="47" t="n"/>
      <c r="T490" s="47" t="n"/>
      <c r="U490" s="53" t="n"/>
      <c r="V490" s="53" t="n"/>
      <c r="W490" s="47" t="n"/>
      <c r="X490" s="47" t="n"/>
      <c r="Y490" s="47" t="n"/>
      <c r="Z490" s="47" t="n"/>
      <c r="AA490" s="47" t="n"/>
      <c r="AB490" s="47" t="n"/>
      <c r="AC490" s="47" t="n"/>
      <c r="AD490" s="47" t="n"/>
      <c r="AE490" s="47" t="n"/>
      <c r="AF490" s="20">
        <f>IF(A490="","",YEAR(EDATE(A490,-3)))</f>
        <v/>
      </c>
      <c r="AG490" s="20">
        <f>IF(OR(B490="",'経歴簿'!$C$4=""),"",IF(B490&amp;""='経歴簿'!$C$4&amp;"",MAX($AG$4:AG489)+1,""))</f>
        <v/>
      </c>
      <c r="AH490" s="20">
        <f>IF(A490="",0,IF(AND(OR('CSV抽出'!$C$4="",A490&gt;='CSV抽出'!$C$4),OR('CSV抽出'!$C$5="",A490&lt;='CSV抽出'!$C$5),OR('CSV抽出'!$C$6="すべて",'CSV抽出'!$C$6="",D490='CSV抽出'!$C$6),OR('CSV抽出'!$C$7="",B490&amp;""='CSV抽出'!$C$7&amp;"")),1,0))</f>
        <v/>
      </c>
      <c r="AI490" s="20">
        <f>IF(AH490=1,SUM($AH$5:AH490),"")</f>
        <v/>
      </c>
      <c r="AJ490" s="20">
        <f>IF(OR(S490="",'報告書'!$C$4=""),"",IF(S490&amp;""='報告書'!$C$4&amp;"",COUNTIF($S$5:S490,'報告書'!$C$4),""))</f>
        <v/>
      </c>
      <c r="AK490" s="20" t="n"/>
      <c r="AL490" s="47" t="n"/>
      <c r="AM490" s="47" t="n"/>
      <c r="AN490" s="53" t="n"/>
      <c r="AO490" s="47" t="n"/>
      <c r="AP490" s="47" t="n"/>
      <c r="AQ490" s="47" t="n"/>
      <c r="AR490" s="47" t="n"/>
      <c r="AS490" s="47" t="n"/>
      <c r="AT490" s="47" t="n"/>
      <c r="AU490" s="47" t="n"/>
      <c r="AV490" s="47" t="n"/>
      <c r="AW490" s="52" t="n"/>
    </row>
    <row r="491">
      <c r="A491" s="48" t="n"/>
      <c r="B491" s="52" t="n"/>
      <c r="C491" s="47">
        <f>IF(B491="","",IFERROR(INDEX('隊員マスタ'!$B$5:$B$204,MATCH(B491&amp;"",'隊員マスタ'!$F$5:$F$204,0)),IF(AK491="","番号なし",AK491)))</f>
        <v/>
      </c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  <c r="N491" s="47" t="n"/>
      <c r="O491" s="47" t="n"/>
      <c r="P491" s="47" t="n"/>
      <c r="Q491" s="47" t="n"/>
      <c r="R491" s="47" t="n"/>
      <c r="S491" s="47" t="n"/>
      <c r="T491" s="47" t="n"/>
      <c r="U491" s="53" t="n"/>
      <c r="V491" s="53" t="n"/>
      <c r="W491" s="47" t="n"/>
      <c r="X491" s="47" t="n"/>
      <c r="Y491" s="47" t="n"/>
      <c r="Z491" s="47" t="n"/>
      <c r="AA491" s="47" t="n"/>
      <c r="AB491" s="47" t="n"/>
      <c r="AC491" s="47" t="n"/>
      <c r="AD491" s="47" t="n"/>
      <c r="AE491" s="47" t="n"/>
      <c r="AF491" s="20">
        <f>IF(A491="","",YEAR(EDATE(A491,-3)))</f>
        <v/>
      </c>
      <c r="AG491" s="20">
        <f>IF(OR(B491="",'経歴簿'!$C$4=""),"",IF(B491&amp;""='経歴簿'!$C$4&amp;"",MAX($AG$4:AG490)+1,""))</f>
        <v/>
      </c>
      <c r="AH491" s="20">
        <f>IF(A491="",0,IF(AND(OR('CSV抽出'!$C$4="",A491&gt;='CSV抽出'!$C$4),OR('CSV抽出'!$C$5="",A491&lt;='CSV抽出'!$C$5),OR('CSV抽出'!$C$6="すべて",'CSV抽出'!$C$6="",D491='CSV抽出'!$C$6),OR('CSV抽出'!$C$7="",B491&amp;""='CSV抽出'!$C$7&amp;"")),1,0))</f>
        <v/>
      </c>
      <c r="AI491" s="20">
        <f>IF(AH491=1,SUM($AH$5:AH491),"")</f>
        <v/>
      </c>
      <c r="AJ491" s="20">
        <f>IF(OR(S491="",'報告書'!$C$4=""),"",IF(S491&amp;""='報告書'!$C$4&amp;"",COUNTIF($S$5:S491,'報告書'!$C$4),""))</f>
        <v/>
      </c>
      <c r="AK491" s="20" t="n"/>
      <c r="AL491" s="47" t="n"/>
      <c r="AM491" s="47" t="n"/>
      <c r="AN491" s="53" t="n"/>
      <c r="AO491" s="47" t="n"/>
      <c r="AP491" s="47" t="n"/>
      <c r="AQ491" s="47" t="n"/>
      <c r="AR491" s="47" t="n"/>
      <c r="AS491" s="47" t="n"/>
      <c r="AT491" s="47" t="n"/>
      <c r="AU491" s="47" t="n"/>
      <c r="AV491" s="47" t="n"/>
      <c r="AW491" s="52" t="n"/>
    </row>
    <row r="492">
      <c r="A492" s="48" t="n"/>
      <c r="B492" s="52" t="n"/>
      <c r="C492" s="47">
        <f>IF(B492="","",IFERROR(INDEX('隊員マスタ'!$B$5:$B$204,MATCH(B492&amp;"",'隊員マスタ'!$F$5:$F$204,0)),IF(AK492="","番号なし",AK492)))</f>
        <v/>
      </c>
      <c r="D492" s="47" t="n"/>
      <c r="E492" s="47" t="n"/>
      <c r="F492" s="47" t="n"/>
      <c r="G492" s="47" t="n"/>
      <c r="H492" s="47" t="n"/>
      <c r="I492" s="47" t="n"/>
      <c r="J492" s="47" t="n"/>
      <c r="K492" s="47" t="n"/>
      <c r="L492" s="47" t="n"/>
      <c r="M492" s="47" t="n"/>
      <c r="N492" s="47" t="n"/>
      <c r="O492" s="47" t="n"/>
      <c r="P492" s="47" t="n"/>
      <c r="Q492" s="47" t="n"/>
      <c r="R492" s="47" t="n"/>
      <c r="S492" s="47" t="n"/>
      <c r="T492" s="47" t="n"/>
      <c r="U492" s="53" t="n"/>
      <c r="V492" s="53" t="n"/>
      <c r="W492" s="47" t="n"/>
      <c r="X492" s="47" t="n"/>
      <c r="Y492" s="47" t="n"/>
      <c r="Z492" s="47" t="n"/>
      <c r="AA492" s="47" t="n"/>
      <c r="AB492" s="47" t="n"/>
      <c r="AC492" s="47" t="n"/>
      <c r="AD492" s="47" t="n"/>
      <c r="AE492" s="47" t="n"/>
      <c r="AF492" s="20">
        <f>IF(A492="","",YEAR(EDATE(A492,-3)))</f>
        <v/>
      </c>
      <c r="AG492" s="20">
        <f>IF(OR(B492="",'経歴簿'!$C$4=""),"",IF(B492&amp;""='経歴簿'!$C$4&amp;"",MAX($AG$4:AG491)+1,""))</f>
        <v/>
      </c>
      <c r="AH492" s="20">
        <f>IF(A492="",0,IF(AND(OR('CSV抽出'!$C$4="",A492&gt;='CSV抽出'!$C$4),OR('CSV抽出'!$C$5="",A492&lt;='CSV抽出'!$C$5),OR('CSV抽出'!$C$6="すべて",'CSV抽出'!$C$6="",D492='CSV抽出'!$C$6),OR('CSV抽出'!$C$7="",B492&amp;""='CSV抽出'!$C$7&amp;"")),1,0))</f>
        <v/>
      </c>
      <c r="AI492" s="20">
        <f>IF(AH492=1,SUM($AH$5:AH492),"")</f>
        <v/>
      </c>
      <c r="AJ492" s="20">
        <f>IF(OR(S492="",'報告書'!$C$4=""),"",IF(S492&amp;""='報告書'!$C$4&amp;"",COUNTIF($S$5:S492,'報告書'!$C$4),""))</f>
        <v/>
      </c>
      <c r="AK492" s="20" t="n"/>
      <c r="AL492" s="47" t="n"/>
      <c r="AM492" s="47" t="n"/>
      <c r="AN492" s="53" t="n"/>
      <c r="AO492" s="47" t="n"/>
      <c r="AP492" s="47" t="n"/>
      <c r="AQ492" s="47" t="n"/>
      <c r="AR492" s="47" t="n"/>
      <c r="AS492" s="47" t="n"/>
      <c r="AT492" s="47" t="n"/>
      <c r="AU492" s="47" t="n"/>
      <c r="AV492" s="47" t="n"/>
      <c r="AW492" s="52" t="n"/>
    </row>
    <row r="493">
      <c r="A493" s="48" t="n"/>
      <c r="B493" s="52" t="n"/>
      <c r="C493" s="47">
        <f>IF(B493="","",IFERROR(INDEX('隊員マスタ'!$B$5:$B$204,MATCH(B493&amp;"",'隊員マスタ'!$F$5:$F$204,0)),IF(AK493="","番号なし",AK493)))</f>
        <v/>
      </c>
      <c r="D493" s="47" t="n"/>
      <c r="E493" s="47" t="n"/>
      <c r="F493" s="47" t="n"/>
      <c r="G493" s="47" t="n"/>
      <c r="H493" s="47" t="n"/>
      <c r="I493" s="47" t="n"/>
      <c r="J493" s="47" t="n"/>
      <c r="K493" s="47" t="n"/>
      <c r="L493" s="47" t="n"/>
      <c r="M493" s="47" t="n"/>
      <c r="N493" s="47" t="n"/>
      <c r="O493" s="47" t="n"/>
      <c r="P493" s="47" t="n"/>
      <c r="Q493" s="47" t="n"/>
      <c r="R493" s="47" t="n"/>
      <c r="S493" s="47" t="n"/>
      <c r="T493" s="47" t="n"/>
      <c r="U493" s="53" t="n"/>
      <c r="V493" s="53" t="n"/>
      <c r="W493" s="47" t="n"/>
      <c r="X493" s="47" t="n"/>
      <c r="Y493" s="47" t="n"/>
      <c r="Z493" s="47" t="n"/>
      <c r="AA493" s="47" t="n"/>
      <c r="AB493" s="47" t="n"/>
      <c r="AC493" s="47" t="n"/>
      <c r="AD493" s="47" t="n"/>
      <c r="AE493" s="47" t="n"/>
      <c r="AF493" s="20">
        <f>IF(A493="","",YEAR(EDATE(A493,-3)))</f>
        <v/>
      </c>
      <c r="AG493" s="20">
        <f>IF(OR(B493="",'経歴簿'!$C$4=""),"",IF(B493&amp;""='経歴簿'!$C$4&amp;"",MAX($AG$4:AG492)+1,""))</f>
        <v/>
      </c>
      <c r="AH493" s="20">
        <f>IF(A493="",0,IF(AND(OR('CSV抽出'!$C$4="",A493&gt;='CSV抽出'!$C$4),OR('CSV抽出'!$C$5="",A493&lt;='CSV抽出'!$C$5),OR('CSV抽出'!$C$6="すべて",'CSV抽出'!$C$6="",D493='CSV抽出'!$C$6),OR('CSV抽出'!$C$7="",B493&amp;""='CSV抽出'!$C$7&amp;"")),1,0))</f>
        <v/>
      </c>
      <c r="AI493" s="20">
        <f>IF(AH493=1,SUM($AH$5:AH493),"")</f>
        <v/>
      </c>
      <c r="AJ493" s="20">
        <f>IF(OR(S493="",'報告書'!$C$4=""),"",IF(S493&amp;""='報告書'!$C$4&amp;"",COUNTIF($S$5:S493,'報告書'!$C$4),""))</f>
        <v/>
      </c>
      <c r="AK493" s="20" t="n"/>
      <c r="AL493" s="47" t="n"/>
      <c r="AM493" s="47" t="n"/>
      <c r="AN493" s="53" t="n"/>
      <c r="AO493" s="47" t="n"/>
      <c r="AP493" s="47" t="n"/>
      <c r="AQ493" s="47" t="n"/>
      <c r="AR493" s="47" t="n"/>
      <c r="AS493" s="47" t="n"/>
      <c r="AT493" s="47" t="n"/>
      <c r="AU493" s="47" t="n"/>
      <c r="AV493" s="47" t="n"/>
      <c r="AW493" s="52" t="n"/>
    </row>
    <row r="494">
      <c r="A494" s="48" t="n"/>
      <c r="B494" s="52" t="n"/>
      <c r="C494" s="47">
        <f>IF(B494="","",IFERROR(INDEX('隊員マスタ'!$B$5:$B$204,MATCH(B494&amp;"",'隊員マスタ'!$F$5:$F$204,0)),IF(AK494="","番号なし",AK494)))</f>
        <v/>
      </c>
      <c r="D494" s="47" t="n"/>
      <c r="E494" s="47" t="n"/>
      <c r="F494" s="47" t="n"/>
      <c r="G494" s="47" t="n"/>
      <c r="H494" s="47" t="n"/>
      <c r="I494" s="47" t="n"/>
      <c r="J494" s="47" t="n"/>
      <c r="K494" s="47" t="n"/>
      <c r="L494" s="47" t="n"/>
      <c r="M494" s="47" t="n"/>
      <c r="N494" s="47" t="n"/>
      <c r="O494" s="47" t="n"/>
      <c r="P494" s="47" t="n"/>
      <c r="Q494" s="47" t="n"/>
      <c r="R494" s="47" t="n"/>
      <c r="S494" s="47" t="n"/>
      <c r="T494" s="47" t="n"/>
      <c r="U494" s="53" t="n"/>
      <c r="V494" s="53" t="n"/>
      <c r="W494" s="47" t="n"/>
      <c r="X494" s="47" t="n"/>
      <c r="Y494" s="47" t="n"/>
      <c r="Z494" s="47" t="n"/>
      <c r="AA494" s="47" t="n"/>
      <c r="AB494" s="47" t="n"/>
      <c r="AC494" s="47" t="n"/>
      <c r="AD494" s="47" t="n"/>
      <c r="AE494" s="47" t="n"/>
      <c r="AF494" s="20">
        <f>IF(A494="","",YEAR(EDATE(A494,-3)))</f>
        <v/>
      </c>
      <c r="AG494" s="20">
        <f>IF(OR(B494="",'経歴簿'!$C$4=""),"",IF(B494&amp;""='経歴簿'!$C$4&amp;"",MAX($AG$4:AG493)+1,""))</f>
        <v/>
      </c>
      <c r="AH494" s="20">
        <f>IF(A494="",0,IF(AND(OR('CSV抽出'!$C$4="",A494&gt;='CSV抽出'!$C$4),OR('CSV抽出'!$C$5="",A494&lt;='CSV抽出'!$C$5),OR('CSV抽出'!$C$6="すべて",'CSV抽出'!$C$6="",D494='CSV抽出'!$C$6),OR('CSV抽出'!$C$7="",B494&amp;""='CSV抽出'!$C$7&amp;"")),1,0))</f>
        <v/>
      </c>
      <c r="AI494" s="20">
        <f>IF(AH494=1,SUM($AH$5:AH494),"")</f>
        <v/>
      </c>
      <c r="AJ494" s="20">
        <f>IF(OR(S494="",'報告書'!$C$4=""),"",IF(S494&amp;""='報告書'!$C$4&amp;"",COUNTIF($S$5:S494,'報告書'!$C$4),""))</f>
        <v/>
      </c>
      <c r="AK494" s="20" t="n"/>
      <c r="AL494" s="47" t="n"/>
      <c r="AM494" s="47" t="n"/>
      <c r="AN494" s="53" t="n"/>
      <c r="AO494" s="47" t="n"/>
      <c r="AP494" s="47" t="n"/>
      <c r="AQ494" s="47" t="n"/>
      <c r="AR494" s="47" t="n"/>
      <c r="AS494" s="47" t="n"/>
      <c r="AT494" s="47" t="n"/>
      <c r="AU494" s="47" t="n"/>
      <c r="AV494" s="47" t="n"/>
      <c r="AW494" s="52" t="n"/>
    </row>
    <row r="495">
      <c r="A495" s="48" t="n"/>
      <c r="B495" s="52" t="n"/>
      <c r="C495" s="47">
        <f>IF(B495="","",IFERROR(INDEX('隊員マスタ'!$B$5:$B$204,MATCH(B495&amp;"",'隊員マスタ'!$F$5:$F$204,0)),IF(AK495="","番号なし",AK495)))</f>
        <v/>
      </c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  <c r="N495" s="47" t="n"/>
      <c r="O495" s="47" t="n"/>
      <c r="P495" s="47" t="n"/>
      <c r="Q495" s="47" t="n"/>
      <c r="R495" s="47" t="n"/>
      <c r="S495" s="47" t="n"/>
      <c r="T495" s="47" t="n"/>
      <c r="U495" s="53" t="n"/>
      <c r="V495" s="53" t="n"/>
      <c r="W495" s="47" t="n"/>
      <c r="X495" s="47" t="n"/>
      <c r="Y495" s="47" t="n"/>
      <c r="Z495" s="47" t="n"/>
      <c r="AA495" s="47" t="n"/>
      <c r="AB495" s="47" t="n"/>
      <c r="AC495" s="47" t="n"/>
      <c r="AD495" s="47" t="n"/>
      <c r="AE495" s="47" t="n"/>
      <c r="AF495" s="20">
        <f>IF(A495="","",YEAR(EDATE(A495,-3)))</f>
        <v/>
      </c>
      <c r="AG495" s="20">
        <f>IF(OR(B495="",'経歴簿'!$C$4=""),"",IF(B495&amp;""='経歴簿'!$C$4&amp;"",MAX($AG$4:AG494)+1,""))</f>
        <v/>
      </c>
      <c r="AH495" s="20">
        <f>IF(A495="",0,IF(AND(OR('CSV抽出'!$C$4="",A495&gt;='CSV抽出'!$C$4),OR('CSV抽出'!$C$5="",A495&lt;='CSV抽出'!$C$5),OR('CSV抽出'!$C$6="すべて",'CSV抽出'!$C$6="",D495='CSV抽出'!$C$6),OR('CSV抽出'!$C$7="",B495&amp;""='CSV抽出'!$C$7&amp;"")),1,0))</f>
        <v/>
      </c>
      <c r="AI495" s="20">
        <f>IF(AH495=1,SUM($AH$5:AH495),"")</f>
        <v/>
      </c>
      <c r="AJ495" s="20">
        <f>IF(OR(S495="",'報告書'!$C$4=""),"",IF(S495&amp;""='報告書'!$C$4&amp;"",COUNTIF($S$5:S495,'報告書'!$C$4),""))</f>
        <v/>
      </c>
      <c r="AK495" s="20" t="n"/>
      <c r="AL495" s="47" t="n"/>
      <c r="AM495" s="47" t="n"/>
      <c r="AN495" s="53" t="n"/>
      <c r="AO495" s="47" t="n"/>
      <c r="AP495" s="47" t="n"/>
      <c r="AQ495" s="47" t="n"/>
      <c r="AR495" s="47" t="n"/>
      <c r="AS495" s="47" t="n"/>
      <c r="AT495" s="47" t="n"/>
      <c r="AU495" s="47" t="n"/>
      <c r="AV495" s="47" t="n"/>
      <c r="AW495" s="52" t="n"/>
    </row>
    <row r="496">
      <c r="A496" s="48" t="n"/>
      <c r="B496" s="52" t="n"/>
      <c r="C496" s="47">
        <f>IF(B496="","",IFERROR(INDEX('隊員マスタ'!$B$5:$B$204,MATCH(B496&amp;"",'隊員マスタ'!$F$5:$F$204,0)),IF(AK496="","番号なし",AK496)))</f>
        <v/>
      </c>
      <c r="D496" s="47" t="n"/>
      <c r="E496" s="47" t="n"/>
      <c r="F496" s="47" t="n"/>
      <c r="G496" s="47" t="n"/>
      <c r="H496" s="47" t="n"/>
      <c r="I496" s="47" t="n"/>
      <c r="J496" s="47" t="n"/>
      <c r="K496" s="47" t="n"/>
      <c r="L496" s="47" t="n"/>
      <c r="M496" s="47" t="n"/>
      <c r="N496" s="47" t="n"/>
      <c r="O496" s="47" t="n"/>
      <c r="P496" s="47" t="n"/>
      <c r="Q496" s="47" t="n"/>
      <c r="R496" s="47" t="n"/>
      <c r="S496" s="47" t="n"/>
      <c r="T496" s="47" t="n"/>
      <c r="U496" s="53" t="n"/>
      <c r="V496" s="53" t="n"/>
      <c r="W496" s="47" t="n"/>
      <c r="X496" s="47" t="n"/>
      <c r="Y496" s="47" t="n"/>
      <c r="Z496" s="47" t="n"/>
      <c r="AA496" s="47" t="n"/>
      <c r="AB496" s="47" t="n"/>
      <c r="AC496" s="47" t="n"/>
      <c r="AD496" s="47" t="n"/>
      <c r="AE496" s="47" t="n"/>
      <c r="AF496" s="20">
        <f>IF(A496="","",YEAR(EDATE(A496,-3)))</f>
        <v/>
      </c>
      <c r="AG496" s="20">
        <f>IF(OR(B496="",'経歴簿'!$C$4=""),"",IF(B496&amp;""='経歴簿'!$C$4&amp;"",MAX($AG$4:AG495)+1,""))</f>
        <v/>
      </c>
      <c r="AH496" s="20">
        <f>IF(A496="",0,IF(AND(OR('CSV抽出'!$C$4="",A496&gt;='CSV抽出'!$C$4),OR('CSV抽出'!$C$5="",A496&lt;='CSV抽出'!$C$5),OR('CSV抽出'!$C$6="すべて",'CSV抽出'!$C$6="",D496='CSV抽出'!$C$6),OR('CSV抽出'!$C$7="",B496&amp;""='CSV抽出'!$C$7&amp;"")),1,0))</f>
        <v/>
      </c>
      <c r="AI496" s="20">
        <f>IF(AH496=1,SUM($AH$5:AH496),"")</f>
        <v/>
      </c>
      <c r="AJ496" s="20">
        <f>IF(OR(S496="",'報告書'!$C$4=""),"",IF(S496&amp;""='報告書'!$C$4&amp;"",COUNTIF($S$5:S496,'報告書'!$C$4),""))</f>
        <v/>
      </c>
      <c r="AK496" s="20" t="n"/>
      <c r="AL496" s="47" t="n"/>
      <c r="AM496" s="47" t="n"/>
      <c r="AN496" s="53" t="n"/>
      <c r="AO496" s="47" t="n"/>
      <c r="AP496" s="47" t="n"/>
      <c r="AQ496" s="47" t="n"/>
      <c r="AR496" s="47" t="n"/>
      <c r="AS496" s="47" t="n"/>
      <c r="AT496" s="47" t="n"/>
      <c r="AU496" s="47" t="n"/>
      <c r="AV496" s="47" t="n"/>
      <c r="AW496" s="52" t="n"/>
    </row>
    <row r="497">
      <c r="A497" s="48" t="n"/>
      <c r="B497" s="52" t="n"/>
      <c r="C497" s="47">
        <f>IF(B497="","",IFERROR(INDEX('隊員マスタ'!$B$5:$B$204,MATCH(B497&amp;"",'隊員マスタ'!$F$5:$F$204,0)),IF(AK497="","番号なし",AK497)))</f>
        <v/>
      </c>
      <c r="D497" s="47" t="n"/>
      <c r="E497" s="47" t="n"/>
      <c r="F497" s="47" t="n"/>
      <c r="G497" s="47" t="n"/>
      <c r="H497" s="47" t="n"/>
      <c r="I497" s="47" t="n"/>
      <c r="J497" s="47" t="n"/>
      <c r="K497" s="47" t="n"/>
      <c r="L497" s="47" t="n"/>
      <c r="M497" s="47" t="n"/>
      <c r="N497" s="47" t="n"/>
      <c r="O497" s="47" t="n"/>
      <c r="P497" s="47" t="n"/>
      <c r="Q497" s="47" t="n"/>
      <c r="R497" s="47" t="n"/>
      <c r="S497" s="47" t="n"/>
      <c r="T497" s="47" t="n"/>
      <c r="U497" s="53" t="n"/>
      <c r="V497" s="53" t="n"/>
      <c r="W497" s="47" t="n"/>
      <c r="X497" s="47" t="n"/>
      <c r="Y497" s="47" t="n"/>
      <c r="Z497" s="47" t="n"/>
      <c r="AA497" s="47" t="n"/>
      <c r="AB497" s="47" t="n"/>
      <c r="AC497" s="47" t="n"/>
      <c r="AD497" s="47" t="n"/>
      <c r="AE497" s="47" t="n"/>
      <c r="AF497" s="20">
        <f>IF(A497="","",YEAR(EDATE(A497,-3)))</f>
        <v/>
      </c>
      <c r="AG497" s="20">
        <f>IF(OR(B497="",'経歴簿'!$C$4=""),"",IF(B497&amp;""='経歴簿'!$C$4&amp;"",MAX($AG$4:AG496)+1,""))</f>
        <v/>
      </c>
      <c r="AH497" s="20">
        <f>IF(A497="",0,IF(AND(OR('CSV抽出'!$C$4="",A497&gt;='CSV抽出'!$C$4),OR('CSV抽出'!$C$5="",A497&lt;='CSV抽出'!$C$5),OR('CSV抽出'!$C$6="すべて",'CSV抽出'!$C$6="",D497='CSV抽出'!$C$6),OR('CSV抽出'!$C$7="",B497&amp;""='CSV抽出'!$C$7&amp;"")),1,0))</f>
        <v/>
      </c>
      <c r="AI497" s="20">
        <f>IF(AH497=1,SUM($AH$5:AH497),"")</f>
        <v/>
      </c>
      <c r="AJ497" s="20">
        <f>IF(OR(S497="",'報告書'!$C$4=""),"",IF(S497&amp;""='報告書'!$C$4&amp;"",COUNTIF($S$5:S497,'報告書'!$C$4),""))</f>
        <v/>
      </c>
      <c r="AK497" s="20" t="n"/>
      <c r="AL497" s="47" t="n"/>
      <c r="AM497" s="47" t="n"/>
      <c r="AN497" s="53" t="n"/>
      <c r="AO497" s="47" t="n"/>
      <c r="AP497" s="47" t="n"/>
      <c r="AQ497" s="47" t="n"/>
      <c r="AR497" s="47" t="n"/>
      <c r="AS497" s="47" t="n"/>
      <c r="AT497" s="47" t="n"/>
      <c r="AU497" s="47" t="n"/>
      <c r="AV497" s="47" t="n"/>
      <c r="AW497" s="52" t="n"/>
    </row>
    <row r="498">
      <c r="A498" s="48" t="n"/>
      <c r="B498" s="52" t="n"/>
      <c r="C498" s="47">
        <f>IF(B498="","",IFERROR(INDEX('隊員マスタ'!$B$5:$B$204,MATCH(B498&amp;"",'隊員マスタ'!$F$5:$F$204,0)),IF(AK498="","番号なし",AK498)))</f>
        <v/>
      </c>
      <c r="D498" s="47" t="n"/>
      <c r="E498" s="47" t="n"/>
      <c r="F498" s="47" t="n"/>
      <c r="G498" s="47" t="n"/>
      <c r="H498" s="47" t="n"/>
      <c r="I498" s="47" t="n"/>
      <c r="J498" s="47" t="n"/>
      <c r="K498" s="47" t="n"/>
      <c r="L498" s="47" t="n"/>
      <c r="M498" s="47" t="n"/>
      <c r="N498" s="47" t="n"/>
      <c r="O498" s="47" t="n"/>
      <c r="P498" s="47" t="n"/>
      <c r="Q498" s="47" t="n"/>
      <c r="R498" s="47" t="n"/>
      <c r="S498" s="47" t="n"/>
      <c r="T498" s="47" t="n"/>
      <c r="U498" s="53" t="n"/>
      <c r="V498" s="53" t="n"/>
      <c r="W498" s="47" t="n"/>
      <c r="X498" s="47" t="n"/>
      <c r="Y498" s="47" t="n"/>
      <c r="Z498" s="47" t="n"/>
      <c r="AA498" s="47" t="n"/>
      <c r="AB498" s="47" t="n"/>
      <c r="AC498" s="47" t="n"/>
      <c r="AD498" s="47" t="n"/>
      <c r="AE498" s="47" t="n"/>
      <c r="AF498" s="20">
        <f>IF(A498="","",YEAR(EDATE(A498,-3)))</f>
        <v/>
      </c>
      <c r="AG498" s="20">
        <f>IF(OR(B498="",'経歴簿'!$C$4=""),"",IF(B498&amp;""='経歴簿'!$C$4&amp;"",MAX($AG$4:AG497)+1,""))</f>
        <v/>
      </c>
      <c r="AH498" s="20">
        <f>IF(A498="",0,IF(AND(OR('CSV抽出'!$C$4="",A498&gt;='CSV抽出'!$C$4),OR('CSV抽出'!$C$5="",A498&lt;='CSV抽出'!$C$5),OR('CSV抽出'!$C$6="すべて",'CSV抽出'!$C$6="",D498='CSV抽出'!$C$6),OR('CSV抽出'!$C$7="",B498&amp;""='CSV抽出'!$C$7&amp;"")),1,0))</f>
        <v/>
      </c>
      <c r="AI498" s="20">
        <f>IF(AH498=1,SUM($AH$5:AH498),"")</f>
        <v/>
      </c>
      <c r="AJ498" s="20">
        <f>IF(OR(S498="",'報告書'!$C$4=""),"",IF(S498&amp;""='報告書'!$C$4&amp;"",COUNTIF($S$5:S498,'報告書'!$C$4),""))</f>
        <v/>
      </c>
      <c r="AK498" s="20" t="n"/>
      <c r="AL498" s="47" t="n"/>
      <c r="AM498" s="47" t="n"/>
      <c r="AN498" s="53" t="n"/>
      <c r="AO498" s="47" t="n"/>
      <c r="AP498" s="47" t="n"/>
      <c r="AQ498" s="47" t="n"/>
      <c r="AR498" s="47" t="n"/>
      <c r="AS498" s="47" t="n"/>
      <c r="AT498" s="47" t="n"/>
      <c r="AU498" s="47" t="n"/>
      <c r="AV498" s="47" t="n"/>
      <c r="AW498" s="52" t="n"/>
    </row>
    <row r="499">
      <c r="A499" s="48" t="n"/>
      <c r="B499" s="52" t="n"/>
      <c r="C499" s="47">
        <f>IF(B499="","",IFERROR(INDEX('隊員マスタ'!$B$5:$B$204,MATCH(B499&amp;"",'隊員マスタ'!$F$5:$F$204,0)),IF(AK499="","番号なし",AK499)))</f>
        <v/>
      </c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  <c r="N499" s="47" t="n"/>
      <c r="O499" s="47" t="n"/>
      <c r="P499" s="47" t="n"/>
      <c r="Q499" s="47" t="n"/>
      <c r="R499" s="47" t="n"/>
      <c r="S499" s="47" t="n"/>
      <c r="T499" s="47" t="n"/>
      <c r="U499" s="53" t="n"/>
      <c r="V499" s="53" t="n"/>
      <c r="W499" s="47" t="n"/>
      <c r="X499" s="47" t="n"/>
      <c r="Y499" s="47" t="n"/>
      <c r="Z499" s="47" t="n"/>
      <c r="AA499" s="47" t="n"/>
      <c r="AB499" s="47" t="n"/>
      <c r="AC499" s="47" t="n"/>
      <c r="AD499" s="47" t="n"/>
      <c r="AE499" s="47" t="n"/>
      <c r="AF499" s="20">
        <f>IF(A499="","",YEAR(EDATE(A499,-3)))</f>
        <v/>
      </c>
      <c r="AG499" s="20">
        <f>IF(OR(B499="",'経歴簿'!$C$4=""),"",IF(B499&amp;""='経歴簿'!$C$4&amp;"",MAX($AG$4:AG498)+1,""))</f>
        <v/>
      </c>
      <c r="AH499" s="20">
        <f>IF(A499="",0,IF(AND(OR('CSV抽出'!$C$4="",A499&gt;='CSV抽出'!$C$4),OR('CSV抽出'!$C$5="",A499&lt;='CSV抽出'!$C$5),OR('CSV抽出'!$C$6="すべて",'CSV抽出'!$C$6="",D499='CSV抽出'!$C$6),OR('CSV抽出'!$C$7="",B499&amp;""='CSV抽出'!$C$7&amp;"")),1,0))</f>
        <v/>
      </c>
      <c r="AI499" s="20">
        <f>IF(AH499=1,SUM($AH$5:AH499),"")</f>
        <v/>
      </c>
      <c r="AJ499" s="20">
        <f>IF(OR(S499="",'報告書'!$C$4=""),"",IF(S499&amp;""='報告書'!$C$4&amp;"",COUNTIF($S$5:S499,'報告書'!$C$4),""))</f>
        <v/>
      </c>
      <c r="AK499" s="20" t="n"/>
      <c r="AL499" s="47" t="n"/>
      <c r="AM499" s="47" t="n"/>
      <c r="AN499" s="53" t="n"/>
      <c r="AO499" s="47" t="n"/>
      <c r="AP499" s="47" t="n"/>
      <c r="AQ499" s="47" t="n"/>
      <c r="AR499" s="47" t="n"/>
      <c r="AS499" s="47" t="n"/>
      <c r="AT499" s="47" t="n"/>
      <c r="AU499" s="47" t="n"/>
      <c r="AV499" s="47" t="n"/>
      <c r="AW499" s="52" t="n"/>
    </row>
    <row r="500">
      <c r="A500" s="48" t="n"/>
      <c r="B500" s="52" t="n"/>
      <c r="C500" s="47">
        <f>IF(B500="","",IFERROR(INDEX('隊員マスタ'!$B$5:$B$204,MATCH(B500&amp;"",'隊員マスタ'!$F$5:$F$204,0)),IF(AK500="","番号なし",AK500)))</f>
        <v/>
      </c>
      <c r="D500" s="47" t="n"/>
      <c r="E500" s="47" t="n"/>
      <c r="F500" s="47" t="n"/>
      <c r="G500" s="47" t="n"/>
      <c r="H500" s="47" t="n"/>
      <c r="I500" s="47" t="n"/>
      <c r="J500" s="47" t="n"/>
      <c r="K500" s="47" t="n"/>
      <c r="L500" s="47" t="n"/>
      <c r="M500" s="47" t="n"/>
      <c r="N500" s="47" t="n"/>
      <c r="O500" s="47" t="n"/>
      <c r="P500" s="47" t="n"/>
      <c r="Q500" s="47" t="n"/>
      <c r="R500" s="47" t="n"/>
      <c r="S500" s="47" t="n"/>
      <c r="T500" s="47" t="n"/>
      <c r="U500" s="53" t="n"/>
      <c r="V500" s="53" t="n"/>
      <c r="W500" s="47" t="n"/>
      <c r="X500" s="47" t="n"/>
      <c r="Y500" s="47" t="n"/>
      <c r="Z500" s="47" t="n"/>
      <c r="AA500" s="47" t="n"/>
      <c r="AB500" s="47" t="n"/>
      <c r="AC500" s="47" t="n"/>
      <c r="AD500" s="47" t="n"/>
      <c r="AE500" s="47" t="n"/>
      <c r="AF500" s="20">
        <f>IF(A500="","",YEAR(EDATE(A500,-3)))</f>
        <v/>
      </c>
      <c r="AG500" s="20">
        <f>IF(OR(B500="",'経歴簿'!$C$4=""),"",IF(B500&amp;""='経歴簿'!$C$4&amp;"",MAX($AG$4:AG499)+1,""))</f>
        <v/>
      </c>
      <c r="AH500" s="20">
        <f>IF(A500="",0,IF(AND(OR('CSV抽出'!$C$4="",A500&gt;='CSV抽出'!$C$4),OR('CSV抽出'!$C$5="",A500&lt;='CSV抽出'!$C$5),OR('CSV抽出'!$C$6="すべて",'CSV抽出'!$C$6="",D500='CSV抽出'!$C$6),OR('CSV抽出'!$C$7="",B500&amp;""='CSV抽出'!$C$7&amp;"")),1,0))</f>
        <v/>
      </c>
      <c r="AI500" s="20">
        <f>IF(AH500=1,SUM($AH$5:AH500),"")</f>
        <v/>
      </c>
      <c r="AJ500" s="20">
        <f>IF(OR(S500="",'報告書'!$C$4=""),"",IF(S500&amp;""='報告書'!$C$4&amp;"",COUNTIF($S$5:S500,'報告書'!$C$4),""))</f>
        <v/>
      </c>
      <c r="AK500" s="20" t="n"/>
      <c r="AL500" s="47" t="n"/>
      <c r="AM500" s="47" t="n"/>
      <c r="AN500" s="53" t="n"/>
      <c r="AO500" s="47" t="n"/>
      <c r="AP500" s="47" t="n"/>
      <c r="AQ500" s="47" t="n"/>
      <c r="AR500" s="47" t="n"/>
      <c r="AS500" s="47" t="n"/>
      <c r="AT500" s="47" t="n"/>
      <c r="AU500" s="47" t="n"/>
      <c r="AV500" s="47" t="n"/>
      <c r="AW500" s="52" t="n"/>
    </row>
    <row r="501">
      <c r="A501" s="48" t="n"/>
      <c r="B501" s="52" t="n"/>
      <c r="C501" s="47">
        <f>IF(B501="","",IFERROR(INDEX('隊員マスタ'!$B$5:$B$204,MATCH(B501&amp;"",'隊員マスタ'!$F$5:$F$204,0)),IF(AK501="","番号なし",AK501)))</f>
        <v/>
      </c>
      <c r="D501" s="47" t="n"/>
      <c r="E501" s="47" t="n"/>
      <c r="F501" s="47" t="n"/>
      <c r="G501" s="47" t="n"/>
      <c r="H501" s="47" t="n"/>
      <c r="I501" s="47" t="n"/>
      <c r="J501" s="47" t="n"/>
      <c r="K501" s="47" t="n"/>
      <c r="L501" s="47" t="n"/>
      <c r="M501" s="47" t="n"/>
      <c r="N501" s="47" t="n"/>
      <c r="O501" s="47" t="n"/>
      <c r="P501" s="47" t="n"/>
      <c r="Q501" s="47" t="n"/>
      <c r="R501" s="47" t="n"/>
      <c r="S501" s="47" t="n"/>
      <c r="T501" s="47" t="n"/>
      <c r="U501" s="53" t="n"/>
      <c r="V501" s="53" t="n"/>
      <c r="W501" s="47" t="n"/>
      <c r="X501" s="47" t="n"/>
      <c r="Y501" s="47" t="n"/>
      <c r="Z501" s="47" t="n"/>
      <c r="AA501" s="47" t="n"/>
      <c r="AB501" s="47" t="n"/>
      <c r="AC501" s="47" t="n"/>
      <c r="AD501" s="47" t="n"/>
      <c r="AE501" s="47" t="n"/>
      <c r="AF501" s="20">
        <f>IF(A501="","",YEAR(EDATE(A501,-3)))</f>
        <v/>
      </c>
      <c r="AG501" s="20">
        <f>IF(OR(B501="",'経歴簿'!$C$4=""),"",IF(B501&amp;""='経歴簿'!$C$4&amp;"",MAX($AG$4:AG500)+1,""))</f>
        <v/>
      </c>
      <c r="AH501" s="20">
        <f>IF(A501="",0,IF(AND(OR('CSV抽出'!$C$4="",A501&gt;='CSV抽出'!$C$4),OR('CSV抽出'!$C$5="",A501&lt;='CSV抽出'!$C$5),OR('CSV抽出'!$C$6="すべて",'CSV抽出'!$C$6="",D501='CSV抽出'!$C$6),OR('CSV抽出'!$C$7="",B501&amp;""='CSV抽出'!$C$7&amp;"")),1,0))</f>
        <v/>
      </c>
      <c r="AI501" s="20">
        <f>IF(AH501=1,SUM($AH$5:AH501),"")</f>
        <v/>
      </c>
      <c r="AJ501" s="20">
        <f>IF(OR(S501="",'報告書'!$C$4=""),"",IF(S501&amp;""='報告書'!$C$4&amp;"",COUNTIF($S$5:S501,'報告書'!$C$4),""))</f>
        <v/>
      </c>
      <c r="AK501" s="20" t="n"/>
      <c r="AL501" s="47" t="n"/>
      <c r="AM501" s="47" t="n"/>
      <c r="AN501" s="53" t="n"/>
      <c r="AO501" s="47" t="n"/>
      <c r="AP501" s="47" t="n"/>
      <c r="AQ501" s="47" t="n"/>
      <c r="AR501" s="47" t="n"/>
      <c r="AS501" s="47" t="n"/>
      <c r="AT501" s="47" t="n"/>
      <c r="AU501" s="47" t="n"/>
      <c r="AV501" s="47" t="n"/>
      <c r="AW501" s="52" t="n"/>
    </row>
    <row r="502">
      <c r="A502" s="48" t="n"/>
      <c r="B502" s="52" t="n"/>
      <c r="C502" s="47">
        <f>IF(B502="","",IFERROR(INDEX('隊員マスタ'!$B$5:$B$204,MATCH(B502&amp;"",'隊員マスタ'!$F$5:$F$204,0)),IF(AK502="","番号なし",AK502)))</f>
        <v/>
      </c>
      <c r="D502" s="47" t="n"/>
      <c r="E502" s="47" t="n"/>
      <c r="F502" s="47" t="n"/>
      <c r="G502" s="47" t="n"/>
      <c r="H502" s="47" t="n"/>
      <c r="I502" s="47" t="n"/>
      <c r="J502" s="47" t="n"/>
      <c r="K502" s="47" t="n"/>
      <c r="L502" s="47" t="n"/>
      <c r="M502" s="47" t="n"/>
      <c r="N502" s="47" t="n"/>
      <c r="O502" s="47" t="n"/>
      <c r="P502" s="47" t="n"/>
      <c r="Q502" s="47" t="n"/>
      <c r="R502" s="47" t="n"/>
      <c r="S502" s="47" t="n"/>
      <c r="T502" s="47" t="n"/>
      <c r="U502" s="53" t="n"/>
      <c r="V502" s="53" t="n"/>
      <c r="W502" s="47" t="n"/>
      <c r="X502" s="47" t="n"/>
      <c r="Y502" s="47" t="n"/>
      <c r="Z502" s="47" t="n"/>
      <c r="AA502" s="47" t="n"/>
      <c r="AB502" s="47" t="n"/>
      <c r="AC502" s="47" t="n"/>
      <c r="AD502" s="47" t="n"/>
      <c r="AE502" s="47" t="n"/>
      <c r="AF502" s="20">
        <f>IF(A502="","",YEAR(EDATE(A502,-3)))</f>
        <v/>
      </c>
      <c r="AG502" s="20">
        <f>IF(OR(B502="",'経歴簿'!$C$4=""),"",IF(B502&amp;""='経歴簿'!$C$4&amp;"",MAX($AG$4:AG501)+1,""))</f>
        <v/>
      </c>
      <c r="AH502" s="20">
        <f>IF(A502="",0,IF(AND(OR('CSV抽出'!$C$4="",A502&gt;='CSV抽出'!$C$4),OR('CSV抽出'!$C$5="",A502&lt;='CSV抽出'!$C$5),OR('CSV抽出'!$C$6="すべて",'CSV抽出'!$C$6="",D502='CSV抽出'!$C$6),OR('CSV抽出'!$C$7="",B502&amp;""='CSV抽出'!$C$7&amp;"")),1,0))</f>
        <v/>
      </c>
      <c r="AI502" s="20">
        <f>IF(AH502=1,SUM($AH$5:AH502),"")</f>
        <v/>
      </c>
      <c r="AJ502" s="20">
        <f>IF(OR(S502="",'報告書'!$C$4=""),"",IF(S502&amp;""='報告書'!$C$4&amp;"",COUNTIF($S$5:S502,'報告書'!$C$4),""))</f>
        <v/>
      </c>
      <c r="AK502" s="20" t="n"/>
      <c r="AL502" s="47" t="n"/>
      <c r="AM502" s="47" t="n"/>
      <c r="AN502" s="53" t="n"/>
      <c r="AO502" s="47" t="n"/>
      <c r="AP502" s="47" t="n"/>
      <c r="AQ502" s="47" t="n"/>
      <c r="AR502" s="47" t="n"/>
      <c r="AS502" s="47" t="n"/>
      <c r="AT502" s="47" t="n"/>
      <c r="AU502" s="47" t="n"/>
      <c r="AV502" s="47" t="n"/>
      <c r="AW502" s="52" t="n"/>
    </row>
    <row r="503">
      <c r="A503" s="48" t="n"/>
      <c r="B503" s="52" t="n"/>
      <c r="C503" s="47">
        <f>IF(B503="","",IFERROR(INDEX('隊員マスタ'!$B$5:$B$204,MATCH(B503&amp;"",'隊員マスタ'!$F$5:$F$204,0)),IF(AK503="","番号なし",AK503)))</f>
        <v/>
      </c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  <c r="N503" s="47" t="n"/>
      <c r="O503" s="47" t="n"/>
      <c r="P503" s="47" t="n"/>
      <c r="Q503" s="47" t="n"/>
      <c r="R503" s="47" t="n"/>
      <c r="S503" s="47" t="n"/>
      <c r="T503" s="47" t="n"/>
      <c r="U503" s="53" t="n"/>
      <c r="V503" s="53" t="n"/>
      <c r="W503" s="47" t="n"/>
      <c r="X503" s="47" t="n"/>
      <c r="Y503" s="47" t="n"/>
      <c r="Z503" s="47" t="n"/>
      <c r="AA503" s="47" t="n"/>
      <c r="AB503" s="47" t="n"/>
      <c r="AC503" s="47" t="n"/>
      <c r="AD503" s="47" t="n"/>
      <c r="AE503" s="47" t="n"/>
      <c r="AF503" s="20">
        <f>IF(A503="","",YEAR(EDATE(A503,-3)))</f>
        <v/>
      </c>
      <c r="AG503" s="20">
        <f>IF(OR(B503="",'経歴簿'!$C$4=""),"",IF(B503&amp;""='経歴簿'!$C$4&amp;"",MAX($AG$4:AG502)+1,""))</f>
        <v/>
      </c>
      <c r="AH503" s="20">
        <f>IF(A503="",0,IF(AND(OR('CSV抽出'!$C$4="",A503&gt;='CSV抽出'!$C$4),OR('CSV抽出'!$C$5="",A503&lt;='CSV抽出'!$C$5),OR('CSV抽出'!$C$6="すべて",'CSV抽出'!$C$6="",D503='CSV抽出'!$C$6),OR('CSV抽出'!$C$7="",B503&amp;""='CSV抽出'!$C$7&amp;"")),1,0))</f>
        <v/>
      </c>
      <c r="AI503" s="20">
        <f>IF(AH503=1,SUM($AH$5:AH503),"")</f>
        <v/>
      </c>
      <c r="AJ503" s="20">
        <f>IF(OR(S503="",'報告書'!$C$4=""),"",IF(S503&amp;""='報告書'!$C$4&amp;"",COUNTIF($S$5:S503,'報告書'!$C$4),""))</f>
        <v/>
      </c>
      <c r="AK503" s="20" t="n"/>
      <c r="AL503" s="47" t="n"/>
      <c r="AM503" s="47" t="n"/>
      <c r="AN503" s="53" t="n"/>
      <c r="AO503" s="47" t="n"/>
      <c r="AP503" s="47" t="n"/>
      <c r="AQ503" s="47" t="n"/>
      <c r="AR503" s="47" t="n"/>
      <c r="AS503" s="47" t="n"/>
      <c r="AT503" s="47" t="n"/>
      <c r="AU503" s="47" t="n"/>
      <c r="AV503" s="47" t="n"/>
      <c r="AW503" s="52" t="n"/>
    </row>
    <row r="504">
      <c r="A504" s="48" t="n"/>
      <c r="B504" s="52" t="n"/>
      <c r="C504" s="47">
        <f>IF(B504="","",IFERROR(INDEX('隊員マスタ'!$B$5:$B$204,MATCH(B504&amp;"",'隊員マスタ'!$F$5:$F$204,0)),IF(AK504="","番号なし",AK504)))</f>
        <v/>
      </c>
      <c r="D504" s="47" t="n"/>
      <c r="E504" s="47" t="n"/>
      <c r="F504" s="47" t="n"/>
      <c r="G504" s="47" t="n"/>
      <c r="H504" s="47" t="n"/>
      <c r="I504" s="47" t="n"/>
      <c r="J504" s="47" t="n"/>
      <c r="K504" s="47" t="n"/>
      <c r="L504" s="47" t="n"/>
      <c r="M504" s="47" t="n"/>
      <c r="N504" s="47" t="n"/>
      <c r="O504" s="47" t="n"/>
      <c r="P504" s="47" t="n"/>
      <c r="Q504" s="47" t="n"/>
      <c r="R504" s="47" t="n"/>
      <c r="S504" s="47" t="n"/>
      <c r="T504" s="47" t="n"/>
      <c r="U504" s="53" t="n"/>
      <c r="V504" s="53" t="n"/>
      <c r="W504" s="47" t="n"/>
      <c r="X504" s="47" t="n"/>
      <c r="Y504" s="47" t="n"/>
      <c r="Z504" s="47" t="n"/>
      <c r="AA504" s="47" t="n"/>
      <c r="AB504" s="47" t="n"/>
      <c r="AC504" s="47" t="n"/>
      <c r="AD504" s="47" t="n"/>
      <c r="AE504" s="47" t="n"/>
      <c r="AF504" s="20">
        <f>IF(A504="","",YEAR(EDATE(A504,-3)))</f>
        <v/>
      </c>
      <c r="AG504" s="20">
        <f>IF(OR(B504="",'経歴簿'!$C$4=""),"",IF(B504&amp;""='経歴簿'!$C$4&amp;"",MAX($AG$4:AG503)+1,""))</f>
        <v/>
      </c>
      <c r="AH504" s="20">
        <f>IF(A504="",0,IF(AND(OR('CSV抽出'!$C$4="",A504&gt;='CSV抽出'!$C$4),OR('CSV抽出'!$C$5="",A504&lt;='CSV抽出'!$C$5),OR('CSV抽出'!$C$6="すべて",'CSV抽出'!$C$6="",D504='CSV抽出'!$C$6),OR('CSV抽出'!$C$7="",B504&amp;""='CSV抽出'!$C$7&amp;"")),1,0))</f>
        <v/>
      </c>
      <c r="AI504" s="20">
        <f>IF(AH504=1,SUM($AH$5:AH504),"")</f>
        <v/>
      </c>
      <c r="AJ504" s="20">
        <f>IF(OR(S504="",'報告書'!$C$4=""),"",IF(S504&amp;""='報告書'!$C$4&amp;"",COUNTIF($S$5:S504,'報告書'!$C$4),""))</f>
        <v/>
      </c>
      <c r="AK504" s="20" t="n"/>
      <c r="AL504" s="47" t="n"/>
      <c r="AM504" s="47" t="n"/>
      <c r="AN504" s="53" t="n"/>
      <c r="AO504" s="47" t="n"/>
      <c r="AP504" s="47" t="n"/>
      <c r="AQ504" s="47" t="n"/>
      <c r="AR504" s="47" t="n"/>
      <c r="AS504" s="47" t="n"/>
      <c r="AT504" s="47" t="n"/>
      <c r="AU504" s="47" t="n"/>
      <c r="AV504" s="47" t="n"/>
      <c r="AW504" s="52" t="n"/>
    </row>
    <row r="505">
      <c r="A505" s="48" t="n"/>
      <c r="B505" s="52" t="n"/>
      <c r="C505" s="47">
        <f>IF(B505="","",IFERROR(INDEX('隊員マスタ'!$B$5:$B$204,MATCH(B505&amp;"",'隊員マスタ'!$F$5:$F$204,0)),IF(AK505="","番号なし",AK505)))</f>
        <v/>
      </c>
      <c r="D505" s="47" t="n"/>
      <c r="E505" s="47" t="n"/>
      <c r="F505" s="47" t="n"/>
      <c r="G505" s="47" t="n"/>
      <c r="H505" s="47" t="n"/>
      <c r="I505" s="47" t="n"/>
      <c r="J505" s="47" t="n"/>
      <c r="K505" s="47" t="n"/>
      <c r="L505" s="47" t="n"/>
      <c r="M505" s="47" t="n"/>
      <c r="N505" s="47" t="n"/>
      <c r="O505" s="47" t="n"/>
      <c r="P505" s="47" t="n"/>
      <c r="Q505" s="47" t="n"/>
      <c r="R505" s="47" t="n"/>
      <c r="S505" s="47" t="n"/>
      <c r="T505" s="47" t="n"/>
      <c r="U505" s="53" t="n"/>
      <c r="V505" s="53" t="n"/>
      <c r="W505" s="47" t="n"/>
      <c r="X505" s="47" t="n"/>
      <c r="Y505" s="47" t="n"/>
      <c r="Z505" s="47" t="n"/>
      <c r="AA505" s="47" t="n"/>
      <c r="AB505" s="47" t="n"/>
      <c r="AC505" s="47" t="n"/>
      <c r="AD505" s="47" t="n"/>
      <c r="AE505" s="47" t="n"/>
      <c r="AF505" s="20">
        <f>IF(A505="","",YEAR(EDATE(A505,-3)))</f>
        <v/>
      </c>
      <c r="AG505" s="20">
        <f>IF(OR(B505="",'経歴簿'!$C$4=""),"",IF(B505&amp;""='経歴簿'!$C$4&amp;"",MAX($AG$4:AG504)+1,""))</f>
        <v/>
      </c>
      <c r="AH505" s="20">
        <f>IF(A505="",0,IF(AND(OR('CSV抽出'!$C$4="",A505&gt;='CSV抽出'!$C$4),OR('CSV抽出'!$C$5="",A505&lt;='CSV抽出'!$C$5),OR('CSV抽出'!$C$6="すべて",'CSV抽出'!$C$6="",D505='CSV抽出'!$C$6),OR('CSV抽出'!$C$7="",B505&amp;""='CSV抽出'!$C$7&amp;"")),1,0))</f>
        <v/>
      </c>
      <c r="AI505" s="20">
        <f>IF(AH505=1,SUM($AH$5:AH505),"")</f>
        <v/>
      </c>
      <c r="AJ505" s="20">
        <f>IF(OR(S505="",'報告書'!$C$4=""),"",IF(S505&amp;""='報告書'!$C$4&amp;"",COUNTIF($S$5:S505,'報告書'!$C$4),""))</f>
        <v/>
      </c>
      <c r="AK505" s="20" t="n"/>
      <c r="AL505" s="47" t="n"/>
      <c r="AM505" s="47" t="n"/>
      <c r="AN505" s="53" t="n"/>
      <c r="AO505" s="47" t="n"/>
      <c r="AP505" s="47" t="n"/>
      <c r="AQ505" s="47" t="n"/>
      <c r="AR505" s="47" t="n"/>
      <c r="AS505" s="47" t="n"/>
      <c r="AT505" s="47" t="n"/>
      <c r="AU505" s="47" t="n"/>
      <c r="AV505" s="47" t="n"/>
      <c r="AW505" s="52" t="n"/>
    </row>
    <row r="506">
      <c r="A506" s="48" t="n"/>
      <c r="B506" s="52" t="n"/>
      <c r="C506" s="47">
        <f>IF(B506="","",IFERROR(INDEX('隊員マスタ'!$B$5:$B$204,MATCH(B506&amp;"",'隊員マスタ'!$F$5:$F$204,0)),IF(AK506="","番号なし",AK506)))</f>
        <v/>
      </c>
      <c r="D506" s="47" t="n"/>
      <c r="E506" s="47" t="n"/>
      <c r="F506" s="47" t="n"/>
      <c r="G506" s="47" t="n"/>
      <c r="H506" s="47" t="n"/>
      <c r="I506" s="47" t="n"/>
      <c r="J506" s="47" t="n"/>
      <c r="K506" s="47" t="n"/>
      <c r="L506" s="47" t="n"/>
      <c r="M506" s="47" t="n"/>
      <c r="N506" s="47" t="n"/>
      <c r="O506" s="47" t="n"/>
      <c r="P506" s="47" t="n"/>
      <c r="Q506" s="47" t="n"/>
      <c r="R506" s="47" t="n"/>
      <c r="S506" s="47" t="n"/>
      <c r="T506" s="47" t="n"/>
      <c r="U506" s="53" t="n"/>
      <c r="V506" s="53" t="n"/>
      <c r="W506" s="47" t="n"/>
      <c r="X506" s="47" t="n"/>
      <c r="Y506" s="47" t="n"/>
      <c r="Z506" s="47" t="n"/>
      <c r="AA506" s="47" t="n"/>
      <c r="AB506" s="47" t="n"/>
      <c r="AC506" s="47" t="n"/>
      <c r="AD506" s="47" t="n"/>
      <c r="AE506" s="47" t="n"/>
      <c r="AF506" s="20">
        <f>IF(A506="","",YEAR(EDATE(A506,-3)))</f>
        <v/>
      </c>
      <c r="AG506" s="20">
        <f>IF(OR(B506="",'経歴簿'!$C$4=""),"",IF(B506&amp;""='経歴簿'!$C$4&amp;"",MAX($AG$4:AG505)+1,""))</f>
        <v/>
      </c>
      <c r="AH506" s="20">
        <f>IF(A506="",0,IF(AND(OR('CSV抽出'!$C$4="",A506&gt;='CSV抽出'!$C$4),OR('CSV抽出'!$C$5="",A506&lt;='CSV抽出'!$C$5),OR('CSV抽出'!$C$6="すべて",'CSV抽出'!$C$6="",D506='CSV抽出'!$C$6),OR('CSV抽出'!$C$7="",B506&amp;""='CSV抽出'!$C$7&amp;"")),1,0))</f>
        <v/>
      </c>
      <c r="AI506" s="20">
        <f>IF(AH506=1,SUM($AH$5:AH506),"")</f>
        <v/>
      </c>
      <c r="AJ506" s="20">
        <f>IF(OR(S506="",'報告書'!$C$4=""),"",IF(S506&amp;""='報告書'!$C$4&amp;"",COUNTIF($S$5:S506,'報告書'!$C$4),""))</f>
        <v/>
      </c>
      <c r="AK506" s="20" t="n"/>
      <c r="AL506" s="47" t="n"/>
      <c r="AM506" s="47" t="n"/>
      <c r="AN506" s="53" t="n"/>
      <c r="AO506" s="47" t="n"/>
      <c r="AP506" s="47" t="n"/>
      <c r="AQ506" s="47" t="n"/>
      <c r="AR506" s="47" t="n"/>
      <c r="AS506" s="47" t="n"/>
      <c r="AT506" s="47" t="n"/>
      <c r="AU506" s="47" t="n"/>
      <c r="AV506" s="47" t="n"/>
      <c r="AW506" s="52" t="n"/>
    </row>
    <row r="507">
      <c r="A507" s="48" t="n"/>
      <c r="B507" s="52" t="n"/>
      <c r="C507" s="47">
        <f>IF(B507="","",IFERROR(INDEX('隊員マスタ'!$B$5:$B$204,MATCH(B507&amp;"",'隊員マスタ'!$F$5:$F$204,0)),IF(AK507="","番号なし",AK507)))</f>
        <v/>
      </c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  <c r="N507" s="47" t="n"/>
      <c r="O507" s="47" t="n"/>
      <c r="P507" s="47" t="n"/>
      <c r="Q507" s="47" t="n"/>
      <c r="R507" s="47" t="n"/>
      <c r="S507" s="47" t="n"/>
      <c r="T507" s="47" t="n"/>
      <c r="U507" s="53" t="n"/>
      <c r="V507" s="53" t="n"/>
      <c r="W507" s="47" t="n"/>
      <c r="X507" s="47" t="n"/>
      <c r="Y507" s="47" t="n"/>
      <c r="Z507" s="47" t="n"/>
      <c r="AA507" s="47" t="n"/>
      <c r="AB507" s="47" t="n"/>
      <c r="AC507" s="47" t="n"/>
      <c r="AD507" s="47" t="n"/>
      <c r="AE507" s="47" t="n"/>
      <c r="AF507" s="20">
        <f>IF(A507="","",YEAR(EDATE(A507,-3)))</f>
        <v/>
      </c>
      <c r="AG507" s="20">
        <f>IF(OR(B507="",'経歴簿'!$C$4=""),"",IF(B507&amp;""='経歴簿'!$C$4&amp;"",MAX($AG$4:AG506)+1,""))</f>
        <v/>
      </c>
      <c r="AH507" s="20">
        <f>IF(A507="",0,IF(AND(OR('CSV抽出'!$C$4="",A507&gt;='CSV抽出'!$C$4),OR('CSV抽出'!$C$5="",A507&lt;='CSV抽出'!$C$5),OR('CSV抽出'!$C$6="すべて",'CSV抽出'!$C$6="",D507='CSV抽出'!$C$6),OR('CSV抽出'!$C$7="",B507&amp;""='CSV抽出'!$C$7&amp;"")),1,0))</f>
        <v/>
      </c>
      <c r="AI507" s="20">
        <f>IF(AH507=1,SUM($AH$5:AH507),"")</f>
        <v/>
      </c>
      <c r="AJ507" s="20">
        <f>IF(OR(S507="",'報告書'!$C$4=""),"",IF(S507&amp;""='報告書'!$C$4&amp;"",COUNTIF($S$5:S507,'報告書'!$C$4),""))</f>
        <v/>
      </c>
      <c r="AK507" s="20" t="n"/>
      <c r="AL507" s="47" t="n"/>
      <c r="AM507" s="47" t="n"/>
      <c r="AN507" s="53" t="n"/>
      <c r="AO507" s="47" t="n"/>
      <c r="AP507" s="47" t="n"/>
      <c r="AQ507" s="47" t="n"/>
      <c r="AR507" s="47" t="n"/>
      <c r="AS507" s="47" t="n"/>
      <c r="AT507" s="47" t="n"/>
      <c r="AU507" s="47" t="n"/>
      <c r="AV507" s="47" t="n"/>
      <c r="AW507" s="52" t="n"/>
    </row>
    <row r="508">
      <c r="A508" s="48" t="n"/>
      <c r="B508" s="52" t="n"/>
      <c r="C508" s="47">
        <f>IF(B508="","",IFERROR(INDEX('隊員マスタ'!$B$5:$B$204,MATCH(B508&amp;"",'隊員マスタ'!$F$5:$F$204,0)),IF(AK508="","番号なし",AK508)))</f>
        <v/>
      </c>
      <c r="D508" s="47" t="n"/>
      <c r="E508" s="47" t="n"/>
      <c r="F508" s="47" t="n"/>
      <c r="G508" s="47" t="n"/>
      <c r="H508" s="47" t="n"/>
      <c r="I508" s="47" t="n"/>
      <c r="J508" s="47" t="n"/>
      <c r="K508" s="47" t="n"/>
      <c r="L508" s="47" t="n"/>
      <c r="M508" s="47" t="n"/>
      <c r="N508" s="47" t="n"/>
      <c r="O508" s="47" t="n"/>
      <c r="P508" s="47" t="n"/>
      <c r="Q508" s="47" t="n"/>
      <c r="R508" s="47" t="n"/>
      <c r="S508" s="47" t="n"/>
      <c r="T508" s="47" t="n"/>
      <c r="U508" s="53" t="n"/>
      <c r="V508" s="53" t="n"/>
      <c r="W508" s="47" t="n"/>
      <c r="X508" s="47" t="n"/>
      <c r="Y508" s="47" t="n"/>
      <c r="Z508" s="47" t="n"/>
      <c r="AA508" s="47" t="n"/>
      <c r="AB508" s="47" t="n"/>
      <c r="AC508" s="47" t="n"/>
      <c r="AD508" s="47" t="n"/>
      <c r="AE508" s="47" t="n"/>
      <c r="AF508" s="20">
        <f>IF(A508="","",YEAR(EDATE(A508,-3)))</f>
        <v/>
      </c>
      <c r="AG508" s="20">
        <f>IF(OR(B508="",'経歴簿'!$C$4=""),"",IF(B508&amp;""='経歴簿'!$C$4&amp;"",MAX($AG$4:AG507)+1,""))</f>
        <v/>
      </c>
      <c r="AH508" s="20">
        <f>IF(A508="",0,IF(AND(OR('CSV抽出'!$C$4="",A508&gt;='CSV抽出'!$C$4),OR('CSV抽出'!$C$5="",A508&lt;='CSV抽出'!$C$5),OR('CSV抽出'!$C$6="すべて",'CSV抽出'!$C$6="",D508='CSV抽出'!$C$6),OR('CSV抽出'!$C$7="",B508&amp;""='CSV抽出'!$C$7&amp;"")),1,0))</f>
        <v/>
      </c>
      <c r="AI508" s="20">
        <f>IF(AH508=1,SUM($AH$5:AH508),"")</f>
        <v/>
      </c>
      <c r="AJ508" s="20">
        <f>IF(OR(S508="",'報告書'!$C$4=""),"",IF(S508&amp;""='報告書'!$C$4&amp;"",COUNTIF($S$5:S508,'報告書'!$C$4),""))</f>
        <v/>
      </c>
      <c r="AK508" s="20" t="n"/>
      <c r="AL508" s="47" t="n"/>
      <c r="AM508" s="47" t="n"/>
      <c r="AN508" s="53" t="n"/>
      <c r="AO508" s="47" t="n"/>
      <c r="AP508" s="47" t="n"/>
      <c r="AQ508" s="47" t="n"/>
      <c r="AR508" s="47" t="n"/>
      <c r="AS508" s="47" t="n"/>
      <c r="AT508" s="47" t="n"/>
      <c r="AU508" s="47" t="n"/>
      <c r="AV508" s="47" t="n"/>
      <c r="AW508" s="52" t="n"/>
    </row>
    <row r="509">
      <c r="A509" s="48" t="n"/>
      <c r="B509" s="52" t="n"/>
      <c r="C509" s="47">
        <f>IF(B509="","",IFERROR(INDEX('隊員マスタ'!$B$5:$B$204,MATCH(B509&amp;"",'隊員マスタ'!$F$5:$F$204,0)),IF(AK509="","番号なし",AK509)))</f>
        <v/>
      </c>
      <c r="D509" s="47" t="n"/>
      <c r="E509" s="47" t="n"/>
      <c r="F509" s="47" t="n"/>
      <c r="G509" s="47" t="n"/>
      <c r="H509" s="47" t="n"/>
      <c r="I509" s="47" t="n"/>
      <c r="J509" s="47" t="n"/>
      <c r="K509" s="47" t="n"/>
      <c r="L509" s="47" t="n"/>
      <c r="M509" s="47" t="n"/>
      <c r="N509" s="47" t="n"/>
      <c r="O509" s="47" t="n"/>
      <c r="P509" s="47" t="n"/>
      <c r="Q509" s="47" t="n"/>
      <c r="R509" s="47" t="n"/>
      <c r="S509" s="47" t="n"/>
      <c r="T509" s="47" t="n"/>
      <c r="U509" s="53" t="n"/>
      <c r="V509" s="53" t="n"/>
      <c r="W509" s="47" t="n"/>
      <c r="X509" s="47" t="n"/>
      <c r="Y509" s="47" t="n"/>
      <c r="Z509" s="47" t="n"/>
      <c r="AA509" s="47" t="n"/>
      <c r="AB509" s="47" t="n"/>
      <c r="AC509" s="47" t="n"/>
      <c r="AD509" s="47" t="n"/>
      <c r="AE509" s="47" t="n"/>
      <c r="AF509" s="20">
        <f>IF(A509="","",YEAR(EDATE(A509,-3)))</f>
        <v/>
      </c>
      <c r="AG509" s="20">
        <f>IF(OR(B509="",'経歴簿'!$C$4=""),"",IF(B509&amp;""='経歴簿'!$C$4&amp;"",MAX($AG$4:AG508)+1,""))</f>
        <v/>
      </c>
      <c r="AH509" s="20">
        <f>IF(A509="",0,IF(AND(OR('CSV抽出'!$C$4="",A509&gt;='CSV抽出'!$C$4),OR('CSV抽出'!$C$5="",A509&lt;='CSV抽出'!$C$5),OR('CSV抽出'!$C$6="すべて",'CSV抽出'!$C$6="",D509='CSV抽出'!$C$6),OR('CSV抽出'!$C$7="",B509&amp;""='CSV抽出'!$C$7&amp;"")),1,0))</f>
        <v/>
      </c>
      <c r="AI509" s="20">
        <f>IF(AH509=1,SUM($AH$5:AH509),"")</f>
        <v/>
      </c>
      <c r="AJ509" s="20">
        <f>IF(OR(S509="",'報告書'!$C$4=""),"",IF(S509&amp;""='報告書'!$C$4&amp;"",COUNTIF($S$5:S509,'報告書'!$C$4),""))</f>
        <v/>
      </c>
      <c r="AK509" s="20" t="n"/>
      <c r="AL509" s="47" t="n"/>
      <c r="AM509" s="47" t="n"/>
      <c r="AN509" s="53" t="n"/>
      <c r="AO509" s="47" t="n"/>
      <c r="AP509" s="47" t="n"/>
      <c r="AQ509" s="47" t="n"/>
      <c r="AR509" s="47" t="n"/>
      <c r="AS509" s="47" t="n"/>
      <c r="AT509" s="47" t="n"/>
      <c r="AU509" s="47" t="n"/>
      <c r="AV509" s="47" t="n"/>
      <c r="AW509" s="52" t="n"/>
    </row>
    <row r="510">
      <c r="A510" s="48" t="n"/>
      <c r="B510" s="52" t="n"/>
      <c r="C510" s="47">
        <f>IF(B510="","",IFERROR(INDEX('隊員マスタ'!$B$5:$B$204,MATCH(B510&amp;"",'隊員マスタ'!$F$5:$F$204,0)),IF(AK510="","番号なし",AK510)))</f>
        <v/>
      </c>
      <c r="D510" s="47" t="n"/>
      <c r="E510" s="47" t="n"/>
      <c r="F510" s="47" t="n"/>
      <c r="G510" s="47" t="n"/>
      <c r="H510" s="47" t="n"/>
      <c r="I510" s="47" t="n"/>
      <c r="J510" s="47" t="n"/>
      <c r="K510" s="47" t="n"/>
      <c r="L510" s="47" t="n"/>
      <c r="M510" s="47" t="n"/>
      <c r="N510" s="47" t="n"/>
      <c r="O510" s="47" t="n"/>
      <c r="P510" s="47" t="n"/>
      <c r="Q510" s="47" t="n"/>
      <c r="R510" s="47" t="n"/>
      <c r="S510" s="47" t="n"/>
      <c r="T510" s="47" t="n"/>
      <c r="U510" s="53" t="n"/>
      <c r="V510" s="53" t="n"/>
      <c r="W510" s="47" t="n"/>
      <c r="X510" s="47" t="n"/>
      <c r="Y510" s="47" t="n"/>
      <c r="Z510" s="47" t="n"/>
      <c r="AA510" s="47" t="n"/>
      <c r="AB510" s="47" t="n"/>
      <c r="AC510" s="47" t="n"/>
      <c r="AD510" s="47" t="n"/>
      <c r="AE510" s="47" t="n"/>
      <c r="AF510" s="20">
        <f>IF(A510="","",YEAR(EDATE(A510,-3)))</f>
        <v/>
      </c>
      <c r="AG510" s="20">
        <f>IF(OR(B510="",'経歴簿'!$C$4=""),"",IF(B510&amp;""='経歴簿'!$C$4&amp;"",MAX($AG$4:AG509)+1,""))</f>
        <v/>
      </c>
      <c r="AH510" s="20">
        <f>IF(A510="",0,IF(AND(OR('CSV抽出'!$C$4="",A510&gt;='CSV抽出'!$C$4),OR('CSV抽出'!$C$5="",A510&lt;='CSV抽出'!$C$5),OR('CSV抽出'!$C$6="すべて",'CSV抽出'!$C$6="",D510='CSV抽出'!$C$6),OR('CSV抽出'!$C$7="",B510&amp;""='CSV抽出'!$C$7&amp;"")),1,0))</f>
        <v/>
      </c>
      <c r="AI510" s="20">
        <f>IF(AH510=1,SUM($AH$5:AH510),"")</f>
        <v/>
      </c>
      <c r="AJ510" s="20">
        <f>IF(OR(S510="",'報告書'!$C$4=""),"",IF(S510&amp;""='報告書'!$C$4&amp;"",COUNTIF($S$5:S510,'報告書'!$C$4),""))</f>
        <v/>
      </c>
      <c r="AK510" s="20" t="n"/>
      <c r="AL510" s="47" t="n"/>
      <c r="AM510" s="47" t="n"/>
      <c r="AN510" s="53" t="n"/>
      <c r="AO510" s="47" t="n"/>
      <c r="AP510" s="47" t="n"/>
      <c r="AQ510" s="47" t="n"/>
      <c r="AR510" s="47" t="n"/>
      <c r="AS510" s="47" t="n"/>
      <c r="AT510" s="47" t="n"/>
      <c r="AU510" s="47" t="n"/>
      <c r="AV510" s="47" t="n"/>
      <c r="AW510" s="52" t="n"/>
    </row>
    <row r="511">
      <c r="A511" s="48" t="n"/>
      <c r="B511" s="52" t="n"/>
      <c r="C511" s="47">
        <f>IF(B511="","",IFERROR(INDEX('隊員マスタ'!$B$5:$B$204,MATCH(B511&amp;"",'隊員マスタ'!$F$5:$F$204,0)),IF(AK511="","番号なし",AK511)))</f>
        <v/>
      </c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  <c r="N511" s="47" t="n"/>
      <c r="O511" s="47" t="n"/>
      <c r="P511" s="47" t="n"/>
      <c r="Q511" s="47" t="n"/>
      <c r="R511" s="47" t="n"/>
      <c r="S511" s="47" t="n"/>
      <c r="T511" s="47" t="n"/>
      <c r="U511" s="53" t="n"/>
      <c r="V511" s="53" t="n"/>
      <c r="W511" s="47" t="n"/>
      <c r="X511" s="47" t="n"/>
      <c r="Y511" s="47" t="n"/>
      <c r="Z511" s="47" t="n"/>
      <c r="AA511" s="47" t="n"/>
      <c r="AB511" s="47" t="n"/>
      <c r="AC511" s="47" t="n"/>
      <c r="AD511" s="47" t="n"/>
      <c r="AE511" s="47" t="n"/>
      <c r="AF511" s="20">
        <f>IF(A511="","",YEAR(EDATE(A511,-3)))</f>
        <v/>
      </c>
      <c r="AG511" s="20">
        <f>IF(OR(B511="",'経歴簿'!$C$4=""),"",IF(B511&amp;""='経歴簿'!$C$4&amp;"",MAX($AG$4:AG510)+1,""))</f>
        <v/>
      </c>
      <c r="AH511" s="20">
        <f>IF(A511="",0,IF(AND(OR('CSV抽出'!$C$4="",A511&gt;='CSV抽出'!$C$4),OR('CSV抽出'!$C$5="",A511&lt;='CSV抽出'!$C$5),OR('CSV抽出'!$C$6="すべて",'CSV抽出'!$C$6="",D511='CSV抽出'!$C$6),OR('CSV抽出'!$C$7="",B511&amp;""='CSV抽出'!$C$7&amp;"")),1,0))</f>
        <v/>
      </c>
      <c r="AI511" s="20">
        <f>IF(AH511=1,SUM($AH$5:AH511),"")</f>
        <v/>
      </c>
      <c r="AJ511" s="20">
        <f>IF(OR(S511="",'報告書'!$C$4=""),"",IF(S511&amp;""='報告書'!$C$4&amp;"",COUNTIF($S$5:S511,'報告書'!$C$4),""))</f>
        <v/>
      </c>
      <c r="AK511" s="20" t="n"/>
      <c r="AL511" s="47" t="n"/>
      <c r="AM511" s="47" t="n"/>
      <c r="AN511" s="53" t="n"/>
      <c r="AO511" s="47" t="n"/>
      <c r="AP511" s="47" t="n"/>
      <c r="AQ511" s="47" t="n"/>
      <c r="AR511" s="47" t="n"/>
      <c r="AS511" s="47" t="n"/>
      <c r="AT511" s="47" t="n"/>
      <c r="AU511" s="47" t="n"/>
      <c r="AV511" s="47" t="n"/>
      <c r="AW511" s="52" t="n"/>
    </row>
    <row r="512">
      <c r="A512" s="48" t="n"/>
      <c r="B512" s="52" t="n"/>
      <c r="C512" s="47">
        <f>IF(B512="","",IFERROR(INDEX('隊員マスタ'!$B$5:$B$204,MATCH(B512&amp;"",'隊員マスタ'!$F$5:$F$204,0)),IF(AK512="","番号なし",AK512)))</f>
        <v/>
      </c>
      <c r="D512" s="47" t="n"/>
      <c r="E512" s="47" t="n"/>
      <c r="F512" s="47" t="n"/>
      <c r="G512" s="47" t="n"/>
      <c r="H512" s="47" t="n"/>
      <c r="I512" s="47" t="n"/>
      <c r="J512" s="47" t="n"/>
      <c r="K512" s="47" t="n"/>
      <c r="L512" s="47" t="n"/>
      <c r="M512" s="47" t="n"/>
      <c r="N512" s="47" t="n"/>
      <c r="O512" s="47" t="n"/>
      <c r="P512" s="47" t="n"/>
      <c r="Q512" s="47" t="n"/>
      <c r="R512" s="47" t="n"/>
      <c r="S512" s="47" t="n"/>
      <c r="T512" s="47" t="n"/>
      <c r="U512" s="53" t="n"/>
      <c r="V512" s="53" t="n"/>
      <c r="W512" s="47" t="n"/>
      <c r="X512" s="47" t="n"/>
      <c r="Y512" s="47" t="n"/>
      <c r="Z512" s="47" t="n"/>
      <c r="AA512" s="47" t="n"/>
      <c r="AB512" s="47" t="n"/>
      <c r="AC512" s="47" t="n"/>
      <c r="AD512" s="47" t="n"/>
      <c r="AE512" s="47" t="n"/>
      <c r="AF512" s="20">
        <f>IF(A512="","",YEAR(EDATE(A512,-3)))</f>
        <v/>
      </c>
      <c r="AG512" s="20">
        <f>IF(OR(B512="",'経歴簿'!$C$4=""),"",IF(B512&amp;""='経歴簿'!$C$4&amp;"",MAX($AG$4:AG511)+1,""))</f>
        <v/>
      </c>
      <c r="AH512" s="20">
        <f>IF(A512="",0,IF(AND(OR('CSV抽出'!$C$4="",A512&gt;='CSV抽出'!$C$4),OR('CSV抽出'!$C$5="",A512&lt;='CSV抽出'!$C$5),OR('CSV抽出'!$C$6="すべて",'CSV抽出'!$C$6="",D512='CSV抽出'!$C$6),OR('CSV抽出'!$C$7="",B512&amp;""='CSV抽出'!$C$7&amp;"")),1,0))</f>
        <v/>
      </c>
      <c r="AI512" s="20">
        <f>IF(AH512=1,SUM($AH$5:AH512),"")</f>
        <v/>
      </c>
      <c r="AJ512" s="20">
        <f>IF(OR(S512="",'報告書'!$C$4=""),"",IF(S512&amp;""='報告書'!$C$4&amp;"",COUNTIF($S$5:S512,'報告書'!$C$4),""))</f>
        <v/>
      </c>
      <c r="AK512" s="20" t="n"/>
      <c r="AL512" s="47" t="n"/>
      <c r="AM512" s="47" t="n"/>
      <c r="AN512" s="53" t="n"/>
      <c r="AO512" s="47" t="n"/>
      <c r="AP512" s="47" t="n"/>
      <c r="AQ512" s="47" t="n"/>
      <c r="AR512" s="47" t="n"/>
      <c r="AS512" s="47" t="n"/>
      <c r="AT512" s="47" t="n"/>
      <c r="AU512" s="47" t="n"/>
      <c r="AV512" s="47" t="n"/>
      <c r="AW512" s="52" t="n"/>
    </row>
    <row r="513">
      <c r="A513" s="48" t="n"/>
      <c r="B513" s="52" t="n"/>
      <c r="C513" s="47">
        <f>IF(B513="","",IFERROR(INDEX('隊員マスタ'!$B$5:$B$204,MATCH(B513&amp;"",'隊員マスタ'!$F$5:$F$204,0)),IF(AK513="","番号なし",AK513)))</f>
        <v/>
      </c>
      <c r="D513" s="47" t="n"/>
      <c r="E513" s="47" t="n"/>
      <c r="F513" s="47" t="n"/>
      <c r="G513" s="47" t="n"/>
      <c r="H513" s="47" t="n"/>
      <c r="I513" s="47" t="n"/>
      <c r="J513" s="47" t="n"/>
      <c r="K513" s="47" t="n"/>
      <c r="L513" s="47" t="n"/>
      <c r="M513" s="47" t="n"/>
      <c r="N513" s="47" t="n"/>
      <c r="O513" s="47" t="n"/>
      <c r="P513" s="47" t="n"/>
      <c r="Q513" s="47" t="n"/>
      <c r="R513" s="47" t="n"/>
      <c r="S513" s="47" t="n"/>
      <c r="T513" s="47" t="n"/>
      <c r="U513" s="53" t="n"/>
      <c r="V513" s="53" t="n"/>
      <c r="W513" s="47" t="n"/>
      <c r="X513" s="47" t="n"/>
      <c r="Y513" s="47" t="n"/>
      <c r="Z513" s="47" t="n"/>
      <c r="AA513" s="47" t="n"/>
      <c r="AB513" s="47" t="n"/>
      <c r="AC513" s="47" t="n"/>
      <c r="AD513" s="47" t="n"/>
      <c r="AE513" s="47" t="n"/>
      <c r="AF513" s="20">
        <f>IF(A513="","",YEAR(EDATE(A513,-3)))</f>
        <v/>
      </c>
      <c r="AG513" s="20">
        <f>IF(OR(B513="",'経歴簿'!$C$4=""),"",IF(B513&amp;""='経歴簿'!$C$4&amp;"",MAX($AG$4:AG512)+1,""))</f>
        <v/>
      </c>
      <c r="AH513" s="20">
        <f>IF(A513="",0,IF(AND(OR('CSV抽出'!$C$4="",A513&gt;='CSV抽出'!$C$4),OR('CSV抽出'!$C$5="",A513&lt;='CSV抽出'!$C$5),OR('CSV抽出'!$C$6="すべて",'CSV抽出'!$C$6="",D513='CSV抽出'!$C$6),OR('CSV抽出'!$C$7="",B513&amp;""='CSV抽出'!$C$7&amp;"")),1,0))</f>
        <v/>
      </c>
      <c r="AI513" s="20">
        <f>IF(AH513=1,SUM($AH$5:AH513),"")</f>
        <v/>
      </c>
      <c r="AJ513" s="20">
        <f>IF(OR(S513="",'報告書'!$C$4=""),"",IF(S513&amp;""='報告書'!$C$4&amp;"",COUNTIF($S$5:S513,'報告書'!$C$4),""))</f>
        <v/>
      </c>
      <c r="AK513" s="20" t="n"/>
      <c r="AL513" s="47" t="n"/>
      <c r="AM513" s="47" t="n"/>
      <c r="AN513" s="53" t="n"/>
      <c r="AO513" s="47" t="n"/>
      <c r="AP513" s="47" t="n"/>
      <c r="AQ513" s="47" t="n"/>
      <c r="AR513" s="47" t="n"/>
      <c r="AS513" s="47" t="n"/>
      <c r="AT513" s="47" t="n"/>
      <c r="AU513" s="47" t="n"/>
      <c r="AV513" s="47" t="n"/>
      <c r="AW513" s="52" t="n"/>
    </row>
    <row r="514">
      <c r="A514" s="48" t="n"/>
      <c r="B514" s="52" t="n"/>
      <c r="C514" s="47">
        <f>IF(B514="","",IFERROR(INDEX('隊員マスタ'!$B$5:$B$204,MATCH(B514&amp;"",'隊員マスタ'!$F$5:$F$204,0)),IF(AK514="","番号なし",AK514)))</f>
        <v/>
      </c>
      <c r="D514" s="47" t="n"/>
      <c r="E514" s="47" t="n"/>
      <c r="F514" s="47" t="n"/>
      <c r="G514" s="47" t="n"/>
      <c r="H514" s="47" t="n"/>
      <c r="I514" s="47" t="n"/>
      <c r="J514" s="47" t="n"/>
      <c r="K514" s="47" t="n"/>
      <c r="L514" s="47" t="n"/>
      <c r="M514" s="47" t="n"/>
      <c r="N514" s="47" t="n"/>
      <c r="O514" s="47" t="n"/>
      <c r="P514" s="47" t="n"/>
      <c r="Q514" s="47" t="n"/>
      <c r="R514" s="47" t="n"/>
      <c r="S514" s="47" t="n"/>
      <c r="T514" s="47" t="n"/>
      <c r="U514" s="53" t="n"/>
      <c r="V514" s="53" t="n"/>
      <c r="W514" s="47" t="n"/>
      <c r="X514" s="47" t="n"/>
      <c r="Y514" s="47" t="n"/>
      <c r="Z514" s="47" t="n"/>
      <c r="AA514" s="47" t="n"/>
      <c r="AB514" s="47" t="n"/>
      <c r="AC514" s="47" t="n"/>
      <c r="AD514" s="47" t="n"/>
      <c r="AE514" s="47" t="n"/>
      <c r="AF514" s="20">
        <f>IF(A514="","",YEAR(EDATE(A514,-3)))</f>
        <v/>
      </c>
      <c r="AG514" s="20">
        <f>IF(OR(B514="",'経歴簿'!$C$4=""),"",IF(B514&amp;""='経歴簿'!$C$4&amp;"",MAX($AG$4:AG513)+1,""))</f>
        <v/>
      </c>
      <c r="AH514" s="20">
        <f>IF(A514="",0,IF(AND(OR('CSV抽出'!$C$4="",A514&gt;='CSV抽出'!$C$4),OR('CSV抽出'!$C$5="",A514&lt;='CSV抽出'!$C$5),OR('CSV抽出'!$C$6="すべて",'CSV抽出'!$C$6="",D514='CSV抽出'!$C$6),OR('CSV抽出'!$C$7="",B514&amp;""='CSV抽出'!$C$7&amp;"")),1,0))</f>
        <v/>
      </c>
      <c r="AI514" s="20">
        <f>IF(AH514=1,SUM($AH$5:AH514),"")</f>
        <v/>
      </c>
      <c r="AJ514" s="20">
        <f>IF(OR(S514="",'報告書'!$C$4=""),"",IF(S514&amp;""='報告書'!$C$4&amp;"",COUNTIF($S$5:S514,'報告書'!$C$4),""))</f>
        <v/>
      </c>
      <c r="AK514" s="20" t="n"/>
      <c r="AL514" s="47" t="n"/>
      <c r="AM514" s="47" t="n"/>
      <c r="AN514" s="53" t="n"/>
      <c r="AO514" s="47" t="n"/>
      <c r="AP514" s="47" t="n"/>
      <c r="AQ514" s="47" t="n"/>
      <c r="AR514" s="47" t="n"/>
      <c r="AS514" s="47" t="n"/>
      <c r="AT514" s="47" t="n"/>
      <c r="AU514" s="47" t="n"/>
      <c r="AV514" s="47" t="n"/>
      <c r="AW514" s="52" t="n"/>
    </row>
    <row r="515">
      <c r="A515" s="48" t="n"/>
      <c r="B515" s="52" t="n"/>
      <c r="C515" s="47">
        <f>IF(B515="","",IFERROR(INDEX('隊員マスタ'!$B$5:$B$204,MATCH(B515&amp;"",'隊員マスタ'!$F$5:$F$204,0)),IF(AK515="","番号なし",AK515)))</f>
        <v/>
      </c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  <c r="N515" s="47" t="n"/>
      <c r="O515" s="47" t="n"/>
      <c r="P515" s="47" t="n"/>
      <c r="Q515" s="47" t="n"/>
      <c r="R515" s="47" t="n"/>
      <c r="S515" s="47" t="n"/>
      <c r="T515" s="47" t="n"/>
      <c r="U515" s="53" t="n"/>
      <c r="V515" s="53" t="n"/>
      <c r="W515" s="47" t="n"/>
      <c r="X515" s="47" t="n"/>
      <c r="Y515" s="47" t="n"/>
      <c r="Z515" s="47" t="n"/>
      <c r="AA515" s="47" t="n"/>
      <c r="AB515" s="47" t="n"/>
      <c r="AC515" s="47" t="n"/>
      <c r="AD515" s="47" t="n"/>
      <c r="AE515" s="47" t="n"/>
      <c r="AF515" s="20">
        <f>IF(A515="","",YEAR(EDATE(A515,-3)))</f>
        <v/>
      </c>
      <c r="AG515" s="20">
        <f>IF(OR(B515="",'経歴簿'!$C$4=""),"",IF(B515&amp;""='経歴簿'!$C$4&amp;"",MAX($AG$4:AG514)+1,""))</f>
        <v/>
      </c>
      <c r="AH515" s="20">
        <f>IF(A515="",0,IF(AND(OR('CSV抽出'!$C$4="",A515&gt;='CSV抽出'!$C$4),OR('CSV抽出'!$C$5="",A515&lt;='CSV抽出'!$C$5),OR('CSV抽出'!$C$6="すべて",'CSV抽出'!$C$6="",D515='CSV抽出'!$C$6),OR('CSV抽出'!$C$7="",B515&amp;""='CSV抽出'!$C$7&amp;"")),1,0))</f>
        <v/>
      </c>
      <c r="AI515" s="20">
        <f>IF(AH515=1,SUM($AH$5:AH515),"")</f>
        <v/>
      </c>
      <c r="AJ515" s="20">
        <f>IF(OR(S515="",'報告書'!$C$4=""),"",IF(S515&amp;""='報告書'!$C$4&amp;"",COUNTIF($S$5:S515,'報告書'!$C$4),""))</f>
        <v/>
      </c>
      <c r="AK515" s="20" t="n"/>
      <c r="AL515" s="47" t="n"/>
      <c r="AM515" s="47" t="n"/>
      <c r="AN515" s="53" t="n"/>
      <c r="AO515" s="47" t="n"/>
      <c r="AP515" s="47" t="n"/>
      <c r="AQ515" s="47" t="n"/>
      <c r="AR515" s="47" t="n"/>
      <c r="AS515" s="47" t="n"/>
      <c r="AT515" s="47" t="n"/>
      <c r="AU515" s="47" t="n"/>
      <c r="AV515" s="47" t="n"/>
      <c r="AW515" s="52" t="n"/>
    </row>
    <row r="516">
      <c r="A516" s="48" t="n"/>
      <c r="B516" s="52" t="n"/>
      <c r="C516" s="47">
        <f>IF(B516="","",IFERROR(INDEX('隊員マスタ'!$B$5:$B$204,MATCH(B516&amp;"",'隊員マスタ'!$F$5:$F$204,0)),IF(AK516="","番号なし",AK516)))</f>
        <v/>
      </c>
      <c r="D516" s="47" t="n"/>
      <c r="E516" s="47" t="n"/>
      <c r="F516" s="47" t="n"/>
      <c r="G516" s="47" t="n"/>
      <c r="H516" s="47" t="n"/>
      <c r="I516" s="47" t="n"/>
      <c r="J516" s="47" t="n"/>
      <c r="K516" s="47" t="n"/>
      <c r="L516" s="47" t="n"/>
      <c r="M516" s="47" t="n"/>
      <c r="N516" s="47" t="n"/>
      <c r="O516" s="47" t="n"/>
      <c r="P516" s="47" t="n"/>
      <c r="Q516" s="47" t="n"/>
      <c r="R516" s="47" t="n"/>
      <c r="S516" s="47" t="n"/>
      <c r="T516" s="47" t="n"/>
      <c r="U516" s="53" t="n"/>
      <c r="V516" s="53" t="n"/>
      <c r="W516" s="47" t="n"/>
      <c r="X516" s="47" t="n"/>
      <c r="Y516" s="47" t="n"/>
      <c r="Z516" s="47" t="n"/>
      <c r="AA516" s="47" t="n"/>
      <c r="AB516" s="47" t="n"/>
      <c r="AC516" s="47" t="n"/>
      <c r="AD516" s="47" t="n"/>
      <c r="AE516" s="47" t="n"/>
      <c r="AF516" s="20">
        <f>IF(A516="","",YEAR(EDATE(A516,-3)))</f>
        <v/>
      </c>
      <c r="AG516" s="20">
        <f>IF(OR(B516="",'経歴簿'!$C$4=""),"",IF(B516&amp;""='経歴簿'!$C$4&amp;"",MAX($AG$4:AG515)+1,""))</f>
        <v/>
      </c>
      <c r="AH516" s="20">
        <f>IF(A516="",0,IF(AND(OR('CSV抽出'!$C$4="",A516&gt;='CSV抽出'!$C$4),OR('CSV抽出'!$C$5="",A516&lt;='CSV抽出'!$C$5),OR('CSV抽出'!$C$6="すべて",'CSV抽出'!$C$6="",D516='CSV抽出'!$C$6),OR('CSV抽出'!$C$7="",B516&amp;""='CSV抽出'!$C$7&amp;"")),1,0))</f>
        <v/>
      </c>
      <c r="AI516" s="20">
        <f>IF(AH516=1,SUM($AH$5:AH516),"")</f>
        <v/>
      </c>
      <c r="AJ516" s="20">
        <f>IF(OR(S516="",'報告書'!$C$4=""),"",IF(S516&amp;""='報告書'!$C$4&amp;"",COUNTIF($S$5:S516,'報告書'!$C$4),""))</f>
        <v/>
      </c>
      <c r="AK516" s="20" t="n"/>
      <c r="AL516" s="47" t="n"/>
      <c r="AM516" s="47" t="n"/>
      <c r="AN516" s="53" t="n"/>
      <c r="AO516" s="47" t="n"/>
      <c r="AP516" s="47" t="n"/>
      <c r="AQ516" s="47" t="n"/>
      <c r="AR516" s="47" t="n"/>
      <c r="AS516" s="47" t="n"/>
      <c r="AT516" s="47" t="n"/>
      <c r="AU516" s="47" t="n"/>
      <c r="AV516" s="47" t="n"/>
      <c r="AW516" s="52" t="n"/>
    </row>
    <row r="517">
      <c r="A517" s="48" t="n"/>
      <c r="B517" s="52" t="n"/>
      <c r="C517" s="47">
        <f>IF(B517="","",IFERROR(INDEX('隊員マスタ'!$B$5:$B$204,MATCH(B517&amp;"",'隊員マスタ'!$F$5:$F$204,0)),IF(AK517="","番号なし",AK517)))</f>
        <v/>
      </c>
      <c r="D517" s="47" t="n"/>
      <c r="E517" s="47" t="n"/>
      <c r="F517" s="47" t="n"/>
      <c r="G517" s="47" t="n"/>
      <c r="H517" s="47" t="n"/>
      <c r="I517" s="47" t="n"/>
      <c r="J517" s="47" t="n"/>
      <c r="K517" s="47" t="n"/>
      <c r="L517" s="47" t="n"/>
      <c r="M517" s="47" t="n"/>
      <c r="N517" s="47" t="n"/>
      <c r="O517" s="47" t="n"/>
      <c r="P517" s="47" t="n"/>
      <c r="Q517" s="47" t="n"/>
      <c r="R517" s="47" t="n"/>
      <c r="S517" s="47" t="n"/>
      <c r="T517" s="47" t="n"/>
      <c r="U517" s="53" t="n"/>
      <c r="V517" s="53" t="n"/>
      <c r="W517" s="47" t="n"/>
      <c r="X517" s="47" t="n"/>
      <c r="Y517" s="47" t="n"/>
      <c r="Z517" s="47" t="n"/>
      <c r="AA517" s="47" t="n"/>
      <c r="AB517" s="47" t="n"/>
      <c r="AC517" s="47" t="n"/>
      <c r="AD517" s="47" t="n"/>
      <c r="AE517" s="47" t="n"/>
      <c r="AF517" s="20">
        <f>IF(A517="","",YEAR(EDATE(A517,-3)))</f>
        <v/>
      </c>
      <c r="AG517" s="20">
        <f>IF(OR(B517="",'経歴簿'!$C$4=""),"",IF(B517&amp;""='経歴簿'!$C$4&amp;"",MAX($AG$4:AG516)+1,""))</f>
        <v/>
      </c>
      <c r="AH517" s="20">
        <f>IF(A517="",0,IF(AND(OR('CSV抽出'!$C$4="",A517&gt;='CSV抽出'!$C$4),OR('CSV抽出'!$C$5="",A517&lt;='CSV抽出'!$C$5),OR('CSV抽出'!$C$6="すべて",'CSV抽出'!$C$6="",D517='CSV抽出'!$C$6),OR('CSV抽出'!$C$7="",B517&amp;""='CSV抽出'!$C$7&amp;"")),1,0))</f>
        <v/>
      </c>
      <c r="AI517" s="20">
        <f>IF(AH517=1,SUM($AH$5:AH517),"")</f>
        <v/>
      </c>
      <c r="AJ517" s="20">
        <f>IF(OR(S517="",'報告書'!$C$4=""),"",IF(S517&amp;""='報告書'!$C$4&amp;"",COUNTIF($S$5:S517,'報告書'!$C$4),""))</f>
        <v/>
      </c>
      <c r="AK517" s="20" t="n"/>
      <c r="AL517" s="47" t="n"/>
      <c r="AM517" s="47" t="n"/>
      <c r="AN517" s="53" t="n"/>
      <c r="AO517" s="47" t="n"/>
      <c r="AP517" s="47" t="n"/>
      <c r="AQ517" s="47" t="n"/>
      <c r="AR517" s="47" t="n"/>
      <c r="AS517" s="47" t="n"/>
      <c r="AT517" s="47" t="n"/>
      <c r="AU517" s="47" t="n"/>
      <c r="AV517" s="47" t="n"/>
      <c r="AW517" s="52" t="n"/>
    </row>
    <row r="518">
      <c r="A518" s="48" t="n"/>
      <c r="B518" s="52" t="n"/>
      <c r="C518" s="47">
        <f>IF(B518="","",IFERROR(INDEX('隊員マスタ'!$B$5:$B$204,MATCH(B518&amp;"",'隊員マスタ'!$F$5:$F$204,0)),IF(AK518="","番号なし",AK518)))</f>
        <v/>
      </c>
      <c r="D518" s="47" t="n"/>
      <c r="E518" s="47" t="n"/>
      <c r="F518" s="47" t="n"/>
      <c r="G518" s="47" t="n"/>
      <c r="H518" s="47" t="n"/>
      <c r="I518" s="47" t="n"/>
      <c r="J518" s="47" t="n"/>
      <c r="K518" s="47" t="n"/>
      <c r="L518" s="47" t="n"/>
      <c r="M518" s="47" t="n"/>
      <c r="N518" s="47" t="n"/>
      <c r="O518" s="47" t="n"/>
      <c r="P518" s="47" t="n"/>
      <c r="Q518" s="47" t="n"/>
      <c r="R518" s="47" t="n"/>
      <c r="S518" s="47" t="n"/>
      <c r="T518" s="47" t="n"/>
      <c r="U518" s="53" t="n"/>
      <c r="V518" s="53" t="n"/>
      <c r="W518" s="47" t="n"/>
      <c r="X518" s="47" t="n"/>
      <c r="Y518" s="47" t="n"/>
      <c r="Z518" s="47" t="n"/>
      <c r="AA518" s="47" t="n"/>
      <c r="AB518" s="47" t="n"/>
      <c r="AC518" s="47" t="n"/>
      <c r="AD518" s="47" t="n"/>
      <c r="AE518" s="47" t="n"/>
      <c r="AF518" s="20">
        <f>IF(A518="","",YEAR(EDATE(A518,-3)))</f>
        <v/>
      </c>
      <c r="AG518" s="20">
        <f>IF(OR(B518="",'経歴簿'!$C$4=""),"",IF(B518&amp;""='経歴簿'!$C$4&amp;"",MAX($AG$4:AG517)+1,""))</f>
        <v/>
      </c>
      <c r="AH518" s="20">
        <f>IF(A518="",0,IF(AND(OR('CSV抽出'!$C$4="",A518&gt;='CSV抽出'!$C$4),OR('CSV抽出'!$C$5="",A518&lt;='CSV抽出'!$C$5),OR('CSV抽出'!$C$6="すべて",'CSV抽出'!$C$6="",D518='CSV抽出'!$C$6),OR('CSV抽出'!$C$7="",B518&amp;""='CSV抽出'!$C$7&amp;"")),1,0))</f>
        <v/>
      </c>
      <c r="AI518" s="20">
        <f>IF(AH518=1,SUM($AH$5:AH518),"")</f>
        <v/>
      </c>
      <c r="AJ518" s="20">
        <f>IF(OR(S518="",'報告書'!$C$4=""),"",IF(S518&amp;""='報告書'!$C$4&amp;"",COUNTIF($S$5:S518,'報告書'!$C$4),""))</f>
        <v/>
      </c>
      <c r="AK518" s="20" t="n"/>
      <c r="AL518" s="47" t="n"/>
      <c r="AM518" s="47" t="n"/>
      <c r="AN518" s="53" t="n"/>
      <c r="AO518" s="47" t="n"/>
      <c r="AP518" s="47" t="n"/>
      <c r="AQ518" s="47" t="n"/>
      <c r="AR518" s="47" t="n"/>
      <c r="AS518" s="47" t="n"/>
      <c r="AT518" s="47" t="n"/>
      <c r="AU518" s="47" t="n"/>
      <c r="AV518" s="47" t="n"/>
      <c r="AW518" s="52" t="n"/>
    </row>
    <row r="519">
      <c r="A519" s="48" t="n"/>
      <c r="B519" s="52" t="n"/>
      <c r="C519" s="47">
        <f>IF(B519="","",IFERROR(INDEX('隊員マスタ'!$B$5:$B$204,MATCH(B519&amp;"",'隊員マスタ'!$F$5:$F$204,0)),IF(AK519="","番号なし",AK519)))</f>
        <v/>
      </c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  <c r="N519" s="47" t="n"/>
      <c r="O519" s="47" t="n"/>
      <c r="P519" s="47" t="n"/>
      <c r="Q519" s="47" t="n"/>
      <c r="R519" s="47" t="n"/>
      <c r="S519" s="47" t="n"/>
      <c r="T519" s="47" t="n"/>
      <c r="U519" s="53" t="n"/>
      <c r="V519" s="53" t="n"/>
      <c r="W519" s="47" t="n"/>
      <c r="X519" s="47" t="n"/>
      <c r="Y519" s="47" t="n"/>
      <c r="Z519" s="47" t="n"/>
      <c r="AA519" s="47" t="n"/>
      <c r="AB519" s="47" t="n"/>
      <c r="AC519" s="47" t="n"/>
      <c r="AD519" s="47" t="n"/>
      <c r="AE519" s="47" t="n"/>
      <c r="AF519" s="20">
        <f>IF(A519="","",YEAR(EDATE(A519,-3)))</f>
        <v/>
      </c>
      <c r="AG519" s="20">
        <f>IF(OR(B519="",'経歴簿'!$C$4=""),"",IF(B519&amp;""='経歴簿'!$C$4&amp;"",MAX($AG$4:AG518)+1,""))</f>
        <v/>
      </c>
      <c r="AH519" s="20">
        <f>IF(A519="",0,IF(AND(OR('CSV抽出'!$C$4="",A519&gt;='CSV抽出'!$C$4),OR('CSV抽出'!$C$5="",A519&lt;='CSV抽出'!$C$5),OR('CSV抽出'!$C$6="すべて",'CSV抽出'!$C$6="",D519='CSV抽出'!$C$6),OR('CSV抽出'!$C$7="",B519&amp;""='CSV抽出'!$C$7&amp;"")),1,0))</f>
        <v/>
      </c>
      <c r="AI519" s="20">
        <f>IF(AH519=1,SUM($AH$5:AH519),"")</f>
        <v/>
      </c>
      <c r="AJ519" s="20">
        <f>IF(OR(S519="",'報告書'!$C$4=""),"",IF(S519&amp;""='報告書'!$C$4&amp;"",COUNTIF($S$5:S519,'報告書'!$C$4),""))</f>
        <v/>
      </c>
      <c r="AK519" s="20" t="n"/>
      <c r="AL519" s="47" t="n"/>
      <c r="AM519" s="47" t="n"/>
      <c r="AN519" s="53" t="n"/>
      <c r="AO519" s="47" t="n"/>
      <c r="AP519" s="47" t="n"/>
      <c r="AQ519" s="47" t="n"/>
      <c r="AR519" s="47" t="n"/>
      <c r="AS519" s="47" t="n"/>
      <c r="AT519" s="47" t="n"/>
      <c r="AU519" s="47" t="n"/>
      <c r="AV519" s="47" t="n"/>
      <c r="AW519" s="52" t="n"/>
    </row>
    <row r="520">
      <c r="A520" s="48" t="n"/>
      <c r="B520" s="52" t="n"/>
      <c r="C520" s="47">
        <f>IF(B520="","",IFERROR(INDEX('隊員マスタ'!$B$5:$B$204,MATCH(B520&amp;"",'隊員マスタ'!$F$5:$F$204,0)),IF(AK520="","番号なし",AK520)))</f>
        <v/>
      </c>
      <c r="D520" s="47" t="n"/>
      <c r="E520" s="47" t="n"/>
      <c r="F520" s="47" t="n"/>
      <c r="G520" s="47" t="n"/>
      <c r="H520" s="47" t="n"/>
      <c r="I520" s="47" t="n"/>
      <c r="J520" s="47" t="n"/>
      <c r="K520" s="47" t="n"/>
      <c r="L520" s="47" t="n"/>
      <c r="M520" s="47" t="n"/>
      <c r="N520" s="47" t="n"/>
      <c r="O520" s="47" t="n"/>
      <c r="P520" s="47" t="n"/>
      <c r="Q520" s="47" t="n"/>
      <c r="R520" s="47" t="n"/>
      <c r="S520" s="47" t="n"/>
      <c r="T520" s="47" t="n"/>
      <c r="U520" s="53" t="n"/>
      <c r="V520" s="53" t="n"/>
      <c r="W520" s="47" t="n"/>
      <c r="X520" s="47" t="n"/>
      <c r="Y520" s="47" t="n"/>
      <c r="Z520" s="47" t="n"/>
      <c r="AA520" s="47" t="n"/>
      <c r="AB520" s="47" t="n"/>
      <c r="AC520" s="47" t="n"/>
      <c r="AD520" s="47" t="n"/>
      <c r="AE520" s="47" t="n"/>
      <c r="AF520" s="20">
        <f>IF(A520="","",YEAR(EDATE(A520,-3)))</f>
        <v/>
      </c>
      <c r="AG520" s="20">
        <f>IF(OR(B520="",'経歴簿'!$C$4=""),"",IF(B520&amp;""='経歴簿'!$C$4&amp;"",MAX($AG$4:AG519)+1,""))</f>
        <v/>
      </c>
      <c r="AH520" s="20">
        <f>IF(A520="",0,IF(AND(OR('CSV抽出'!$C$4="",A520&gt;='CSV抽出'!$C$4),OR('CSV抽出'!$C$5="",A520&lt;='CSV抽出'!$C$5),OR('CSV抽出'!$C$6="すべて",'CSV抽出'!$C$6="",D520='CSV抽出'!$C$6),OR('CSV抽出'!$C$7="",B520&amp;""='CSV抽出'!$C$7&amp;"")),1,0))</f>
        <v/>
      </c>
      <c r="AI520" s="20">
        <f>IF(AH520=1,SUM($AH$5:AH520),"")</f>
        <v/>
      </c>
      <c r="AJ520" s="20">
        <f>IF(OR(S520="",'報告書'!$C$4=""),"",IF(S520&amp;""='報告書'!$C$4&amp;"",COUNTIF($S$5:S520,'報告書'!$C$4),""))</f>
        <v/>
      </c>
      <c r="AK520" s="20" t="n"/>
      <c r="AL520" s="47" t="n"/>
      <c r="AM520" s="47" t="n"/>
      <c r="AN520" s="53" t="n"/>
      <c r="AO520" s="47" t="n"/>
      <c r="AP520" s="47" t="n"/>
      <c r="AQ520" s="47" t="n"/>
      <c r="AR520" s="47" t="n"/>
      <c r="AS520" s="47" t="n"/>
      <c r="AT520" s="47" t="n"/>
      <c r="AU520" s="47" t="n"/>
      <c r="AV520" s="47" t="n"/>
      <c r="AW520" s="52" t="n"/>
    </row>
    <row r="521">
      <c r="A521" s="48" t="n"/>
      <c r="B521" s="52" t="n"/>
      <c r="C521" s="47">
        <f>IF(B521="","",IFERROR(INDEX('隊員マスタ'!$B$5:$B$204,MATCH(B521&amp;"",'隊員マスタ'!$F$5:$F$204,0)),IF(AK521="","番号なし",AK521)))</f>
        <v/>
      </c>
      <c r="D521" s="47" t="n"/>
      <c r="E521" s="47" t="n"/>
      <c r="F521" s="47" t="n"/>
      <c r="G521" s="47" t="n"/>
      <c r="H521" s="47" t="n"/>
      <c r="I521" s="47" t="n"/>
      <c r="J521" s="47" t="n"/>
      <c r="K521" s="47" t="n"/>
      <c r="L521" s="47" t="n"/>
      <c r="M521" s="47" t="n"/>
      <c r="N521" s="47" t="n"/>
      <c r="O521" s="47" t="n"/>
      <c r="P521" s="47" t="n"/>
      <c r="Q521" s="47" t="n"/>
      <c r="R521" s="47" t="n"/>
      <c r="S521" s="47" t="n"/>
      <c r="T521" s="47" t="n"/>
      <c r="U521" s="53" t="n"/>
      <c r="V521" s="53" t="n"/>
      <c r="W521" s="47" t="n"/>
      <c r="X521" s="47" t="n"/>
      <c r="Y521" s="47" t="n"/>
      <c r="Z521" s="47" t="n"/>
      <c r="AA521" s="47" t="n"/>
      <c r="AB521" s="47" t="n"/>
      <c r="AC521" s="47" t="n"/>
      <c r="AD521" s="47" t="n"/>
      <c r="AE521" s="47" t="n"/>
      <c r="AF521" s="20">
        <f>IF(A521="","",YEAR(EDATE(A521,-3)))</f>
        <v/>
      </c>
      <c r="AG521" s="20">
        <f>IF(OR(B521="",'経歴簿'!$C$4=""),"",IF(B521&amp;""='経歴簿'!$C$4&amp;"",MAX($AG$4:AG520)+1,""))</f>
        <v/>
      </c>
      <c r="AH521" s="20">
        <f>IF(A521="",0,IF(AND(OR('CSV抽出'!$C$4="",A521&gt;='CSV抽出'!$C$4),OR('CSV抽出'!$C$5="",A521&lt;='CSV抽出'!$C$5),OR('CSV抽出'!$C$6="すべて",'CSV抽出'!$C$6="",D521='CSV抽出'!$C$6),OR('CSV抽出'!$C$7="",B521&amp;""='CSV抽出'!$C$7&amp;"")),1,0))</f>
        <v/>
      </c>
      <c r="AI521" s="20">
        <f>IF(AH521=1,SUM($AH$5:AH521),"")</f>
        <v/>
      </c>
      <c r="AJ521" s="20">
        <f>IF(OR(S521="",'報告書'!$C$4=""),"",IF(S521&amp;""='報告書'!$C$4&amp;"",COUNTIF($S$5:S521,'報告書'!$C$4),""))</f>
        <v/>
      </c>
      <c r="AK521" s="20" t="n"/>
      <c r="AL521" s="47" t="n"/>
      <c r="AM521" s="47" t="n"/>
      <c r="AN521" s="53" t="n"/>
      <c r="AO521" s="47" t="n"/>
      <c r="AP521" s="47" t="n"/>
      <c r="AQ521" s="47" t="n"/>
      <c r="AR521" s="47" t="n"/>
      <c r="AS521" s="47" t="n"/>
      <c r="AT521" s="47" t="n"/>
      <c r="AU521" s="47" t="n"/>
      <c r="AV521" s="47" t="n"/>
      <c r="AW521" s="52" t="n"/>
    </row>
    <row r="522">
      <c r="A522" s="48" t="n"/>
      <c r="B522" s="52" t="n"/>
      <c r="C522" s="47">
        <f>IF(B522="","",IFERROR(INDEX('隊員マスタ'!$B$5:$B$204,MATCH(B522&amp;"",'隊員マスタ'!$F$5:$F$204,0)),IF(AK522="","番号なし",AK522)))</f>
        <v/>
      </c>
      <c r="D522" s="47" t="n"/>
      <c r="E522" s="47" t="n"/>
      <c r="F522" s="47" t="n"/>
      <c r="G522" s="47" t="n"/>
      <c r="H522" s="47" t="n"/>
      <c r="I522" s="47" t="n"/>
      <c r="J522" s="47" t="n"/>
      <c r="K522" s="47" t="n"/>
      <c r="L522" s="47" t="n"/>
      <c r="M522" s="47" t="n"/>
      <c r="N522" s="47" t="n"/>
      <c r="O522" s="47" t="n"/>
      <c r="P522" s="47" t="n"/>
      <c r="Q522" s="47" t="n"/>
      <c r="R522" s="47" t="n"/>
      <c r="S522" s="47" t="n"/>
      <c r="T522" s="47" t="n"/>
      <c r="U522" s="53" t="n"/>
      <c r="V522" s="53" t="n"/>
      <c r="W522" s="47" t="n"/>
      <c r="X522" s="47" t="n"/>
      <c r="Y522" s="47" t="n"/>
      <c r="Z522" s="47" t="n"/>
      <c r="AA522" s="47" t="n"/>
      <c r="AB522" s="47" t="n"/>
      <c r="AC522" s="47" t="n"/>
      <c r="AD522" s="47" t="n"/>
      <c r="AE522" s="47" t="n"/>
      <c r="AF522" s="20">
        <f>IF(A522="","",YEAR(EDATE(A522,-3)))</f>
        <v/>
      </c>
      <c r="AG522" s="20">
        <f>IF(OR(B522="",'経歴簿'!$C$4=""),"",IF(B522&amp;""='経歴簿'!$C$4&amp;"",MAX($AG$4:AG521)+1,""))</f>
        <v/>
      </c>
      <c r="AH522" s="20">
        <f>IF(A522="",0,IF(AND(OR('CSV抽出'!$C$4="",A522&gt;='CSV抽出'!$C$4),OR('CSV抽出'!$C$5="",A522&lt;='CSV抽出'!$C$5),OR('CSV抽出'!$C$6="すべて",'CSV抽出'!$C$6="",D522='CSV抽出'!$C$6),OR('CSV抽出'!$C$7="",B522&amp;""='CSV抽出'!$C$7&amp;"")),1,0))</f>
        <v/>
      </c>
      <c r="AI522" s="20">
        <f>IF(AH522=1,SUM($AH$5:AH522),"")</f>
        <v/>
      </c>
      <c r="AJ522" s="20">
        <f>IF(OR(S522="",'報告書'!$C$4=""),"",IF(S522&amp;""='報告書'!$C$4&amp;"",COUNTIF($S$5:S522,'報告書'!$C$4),""))</f>
        <v/>
      </c>
      <c r="AK522" s="20" t="n"/>
      <c r="AL522" s="47" t="n"/>
      <c r="AM522" s="47" t="n"/>
      <c r="AN522" s="53" t="n"/>
      <c r="AO522" s="47" t="n"/>
      <c r="AP522" s="47" t="n"/>
      <c r="AQ522" s="47" t="n"/>
      <c r="AR522" s="47" t="n"/>
      <c r="AS522" s="47" t="n"/>
      <c r="AT522" s="47" t="n"/>
      <c r="AU522" s="47" t="n"/>
      <c r="AV522" s="47" t="n"/>
      <c r="AW522" s="52" t="n"/>
    </row>
    <row r="523">
      <c r="A523" s="48" t="n"/>
      <c r="B523" s="52" t="n"/>
      <c r="C523" s="47">
        <f>IF(B523="","",IFERROR(INDEX('隊員マスタ'!$B$5:$B$204,MATCH(B523&amp;"",'隊員マスタ'!$F$5:$F$204,0)),IF(AK523="","番号なし",AK523)))</f>
        <v/>
      </c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  <c r="N523" s="47" t="n"/>
      <c r="O523" s="47" t="n"/>
      <c r="P523" s="47" t="n"/>
      <c r="Q523" s="47" t="n"/>
      <c r="R523" s="47" t="n"/>
      <c r="S523" s="47" t="n"/>
      <c r="T523" s="47" t="n"/>
      <c r="U523" s="53" t="n"/>
      <c r="V523" s="53" t="n"/>
      <c r="W523" s="47" t="n"/>
      <c r="X523" s="47" t="n"/>
      <c r="Y523" s="47" t="n"/>
      <c r="Z523" s="47" t="n"/>
      <c r="AA523" s="47" t="n"/>
      <c r="AB523" s="47" t="n"/>
      <c r="AC523" s="47" t="n"/>
      <c r="AD523" s="47" t="n"/>
      <c r="AE523" s="47" t="n"/>
      <c r="AF523" s="20">
        <f>IF(A523="","",YEAR(EDATE(A523,-3)))</f>
        <v/>
      </c>
      <c r="AG523" s="20">
        <f>IF(OR(B523="",'経歴簿'!$C$4=""),"",IF(B523&amp;""='経歴簿'!$C$4&amp;"",MAX($AG$4:AG522)+1,""))</f>
        <v/>
      </c>
      <c r="AH523" s="20">
        <f>IF(A523="",0,IF(AND(OR('CSV抽出'!$C$4="",A523&gt;='CSV抽出'!$C$4),OR('CSV抽出'!$C$5="",A523&lt;='CSV抽出'!$C$5),OR('CSV抽出'!$C$6="すべて",'CSV抽出'!$C$6="",D523='CSV抽出'!$C$6),OR('CSV抽出'!$C$7="",B523&amp;""='CSV抽出'!$C$7&amp;"")),1,0))</f>
        <v/>
      </c>
      <c r="AI523" s="20">
        <f>IF(AH523=1,SUM($AH$5:AH523),"")</f>
        <v/>
      </c>
      <c r="AJ523" s="20">
        <f>IF(OR(S523="",'報告書'!$C$4=""),"",IF(S523&amp;""='報告書'!$C$4&amp;"",COUNTIF($S$5:S523,'報告書'!$C$4),""))</f>
        <v/>
      </c>
      <c r="AK523" s="20" t="n"/>
      <c r="AL523" s="47" t="n"/>
      <c r="AM523" s="47" t="n"/>
      <c r="AN523" s="53" t="n"/>
      <c r="AO523" s="47" t="n"/>
      <c r="AP523" s="47" t="n"/>
      <c r="AQ523" s="47" t="n"/>
      <c r="AR523" s="47" t="n"/>
      <c r="AS523" s="47" t="n"/>
      <c r="AT523" s="47" t="n"/>
      <c r="AU523" s="47" t="n"/>
      <c r="AV523" s="47" t="n"/>
      <c r="AW523" s="52" t="n"/>
    </row>
    <row r="524">
      <c r="A524" s="48" t="n"/>
      <c r="B524" s="52" t="n"/>
      <c r="C524" s="47">
        <f>IF(B524="","",IFERROR(INDEX('隊員マスタ'!$B$5:$B$204,MATCH(B524&amp;"",'隊員マスタ'!$F$5:$F$204,0)),IF(AK524="","番号なし",AK524)))</f>
        <v/>
      </c>
      <c r="D524" s="47" t="n"/>
      <c r="E524" s="47" t="n"/>
      <c r="F524" s="47" t="n"/>
      <c r="G524" s="47" t="n"/>
      <c r="H524" s="47" t="n"/>
      <c r="I524" s="47" t="n"/>
      <c r="J524" s="47" t="n"/>
      <c r="K524" s="47" t="n"/>
      <c r="L524" s="47" t="n"/>
      <c r="M524" s="47" t="n"/>
      <c r="N524" s="47" t="n"/>
      <c r="O524" s="47" t="n"/>
      <c r="P524" s="47" t="n"/>
      <c r="Q524" s="47" t="n"/>
      <c r="R524" s="47" t="n"/>
      <c r="S524" s="47" t="n"/>
      <c r="T524" s="47" t="n"/>
      <c r="U524" s="53" t="n"/>
      <c r="V524" s="53" t="n"/>
      <c r="W524" s="47" t="n"/>
      <c r="X524" s="47" t="n"/>
      <c r="Y524" s="47" t="n"/>
      <c r="Z524" s="47" t="n"/>
      <c r="AA524" s="47" t="n"/>
      <c r="AB524" s="47" t="n"/>
      <c r="AC524" s="47" t="n"/>
      <c r="AD524" s="47" t="n"/>
      <c r="AE524" s="47" t="n"/>
      <c r="AF524" s="20">
        <f>IF(A524="","",YEAR(EDATE(A524,-3)))</f>
        <v/>
      </c>
      <c r="AG524" s="20">
        <f>IF(OR(B524="",'経歴簿'!$C$4=""),"",IF(B524&amp;""='経歴簿'!$C$4&amp;"",MAX($AG$4:AG523)+1,""))</f>
        <v/>
      </c>
      <c r="AH524" s="20">
        <f>IF(A524="",0,IF(AND(OR('CSV抽出'!$C$4="",A524&gt;='CSV抽出'!$C$4),OR('CSV抽出'!$C$5="",A524&lt;='CSV抽出'!$C$5),OR('CSV抽出'!$C$6="すべて",'CSV抽出'!$C$6="",D524='CSV抽出'!$C$6),OR('CSV抽出'!$C$7="",B524&amp;""='CSV抽出'!$C$7&amp;"")),1,0))</f>
        <v/>
      </c>
      <c r="AI524" s="20">
        <f>IF(AH524=1,SUM($AH$5:AH524),"")</f>
        <v/>
      </c>
      <c r="AJ524" s="20">
        <f>IF(OR(S524="",'報告書'!$C$4=""),"",IF(S524&amp;""='報告書'!$C$4&amp;"",COUNTIF($S$5:S524,'報告書'!$C$4),""))</f>
        <v/>
      </c>
      <c r="AK524" s="20" t="n"/>
      <c r="AL524" s="47" t="n"/>
      <c r="AM524" s="47" t="n"/>
      <c r="AN524" s="53" t="n"/>
      <c r="AO524" s="47" t="n"/>
      <c r="AP524" s="47" t="n"/>
      <c r="AQ524" s="47" t="n"/>
      <c r="AR524" s="47" t="n"/>
      <c r="AS524" s="47" t="n"/>
      <c r="AT524" s="47" t="n"/>
      <c r="AU524" s="47" t="n"/>
      <c r="AV524" s="47" t="n"/>
      <c r="AW524" s="52" t="n"/>
    </row>
    <row r="525">
      <c r="A525" s="48" t="n"/>
      <c r="B525" s="52" t="n"/>
      <c r="C525" s="47">
        <f>IF(B525="","",IFERROR(INDEX('隊員マスタ'!$B$5:$B$204,MATCH(B525&amp;"",'隊員マスタ'!$F$5:$F$204,0)),IF(AK525="","番号なし",AK525)))</f>
        <v/>
      </c>
      <c r="D525" s="47" t="n"/>
      <c r="E525" s="47" t="n"/>
      <c r="F525" s="47" t="n"/>
      <c r="G525" s="47" t="n"/>
      <c r="H525" s="47" t="n"/>
      <c r="I525" s="47" t="n"/>
      <c r="J525" s="47" t="n"/>
      <c r="K525" s="47" t="n"/>
      <c r="L525" s="47" t="n"/>
      <c r="M525" s="47" t="n"/>
      <c r="N525" s="47" t="n"/>
      <c r="O525" s="47" t="n"/>
      <c r="P525" s="47" t="n"/>
      <c r="Q525" s="47" t="n"/>
      <c r="R525" s="47" t="n"/>
      <c r="S525" s="47" t="n"/>
      <c r="T525" s="47" t="n"/>
      <c r="U525" s="53" t="n"/>
      <c r="V525" s="53" t="n"/>
      <c r="W525" s="47" t="n"/>
      <c r="X525" s="47" t="n"/>
      <c r="Y525" s="47" t="n"/>
      <c r="Z525" s="47" t="n"/>
      <c r="AA525" s="47" t="n"/>
      <c r="AB525" s="47" t="n"/>
      <c r="AC525" s="47" t="n"/>
      <c r="AD525" s="47" t="n"/>
      <c r="AE525" s="47" t="n"/>
      <c r="AF525" s="20">
        <f>IF(A525="","",YEAR(EDATE(A525,-3)))</f>
        <v/>
      </c>
      <c r="AG525" s="20">
        <f>IF(OR(B525="",'経歴簿'!$C$4=""),"",IF(B525&amp;""='経歴簿'!$C$4&amp;"",MAX($AG$4:AG524)+1,""))</f>
        <v/>
      </c>
      <c r="AH525" s="20">
        <f>IF(A525="",0,IF(AND(OR('CSV抽出'!$C$4="",A525&gt;='CSV抽出'!$C$4),OR('CSV抽出'!$C$5="",A525&lt;='CSV抽出'!$C$5),OR('CSV抽出'!$C$6="すべて",'CSV抽出'!$C$6="",D525='CSV抽出'!$C$6),OR('CSV抽出'!$C$7="",B525&amp;""='CSV抽出'!$C$7&amp;"")),1,0))</f>
        <v/>
      </c>
      <c r="AI525" s="20">
        <f>IF(AH525=1,SUM($AH$5:AH525),"")</f>
        <v/>
      </c>
      <c r="AJ525" s="20">
        <f>IF(OR(S525="",'報告書'!$C$4=""),"",IF(S525&amp;""='報告書'!$C$4&amp;"",COUNTIF($S$5:S525,'報告書'!$C$4),""))</f>
        <v/>
      </c>
      <c r="AK525" s="20" t="n"/>
      <c r="AL525" s="47" t="n"/>
      <c r="AM525" s="47" t="n"/>
      <c r="AN525" s="53" t="n"/>
      <c r="AO525" s="47" t="n"/>
      <c r="AP525" s="47" t="n"/>
      <c r="AQ525" s="47" t="n"/>
      <c r="AR525" s="47" t="n"/>
      <c r="AS525" s="47" t="n"/>
      <c r="AT525" s="47" t="n"/>
      <c r="AU525" s="47" t="n"/>
      <c r="AV525" s="47" t="n"/>
      <c r="AW525" s="52" t="n"/>
    </row>
    <row r="526">
      <c r="A526" s="48" t="n"/>
      <c r="B526" s="52" t="n"/>
      <c r="C526" s="47">
        <f>IF(B526="","",IFERROR(INDEX('隊員マスタ'!$B$5:$B$204,MATCH(B526&amp;"",'隊員マスタ'!$F$5:$F$204,0)),IF(AK526="","番号なし",AK526)))</f>
        <v/>
      </c>
      <c r="D526" s="47" t="n"/>
      <c r="E526" s="47" t="n"/>
      <c r="F526" s="47" t="n"/>
      <c r="G526" s="47" t="n"/>
      <c r="H526" s="47" t="n"/>
      <c r="I526" s="47" t="n"/>
      <c r="J526" s="47" t="n"/>
      <c r="K526" s="47" t="n"/>
      <c r="L526" s="47" t="n"/>
      <c r="M526" s="47" t="n"/>
      <c r="N526" s="47" t="n"/>
      <c r="O526" s="47" t="n"/>
      <c r="P526" s="47" t="n"/>
      <c r="Q526" s="47" t="n"/>
      <c r="R526" s="47" t="n"/>
      <c r="S526" s="47" t="n"/>
      <c r="T526" s="47" t="n"/>
      <c r="U526" s="53" t="n"/>
      <c r="V526" s="53" t="n"/>
      <c r="W526" s="47" t="n"/>
      <c r="X526" s="47" t="n"/>
      <c r="Y526" s="47" t="n"/>
      <c r="Z526" s="47" t="n"/>
      <c r="AA526" s="47" t="n"/>
      <c r="AB526" s="47" t="n"/>
      <c r="AC526" s="47" t="n"/>
      <c r="AD526" s="47" t="n"/>
      <c r="AE526" s="47" t="n"/>
      <c r="AF526" s="20">
        <f>IF(A526="","",YEAR(EDATE(A526,-3)))</f>
        <v/>
      </c>
      <c r="AG526" s="20">
        <f>IF(OR(B526="",'経歴簿'!$C$4=""),"",IF(B526&amp;""='経歴簿'!$C$4&amp;"",MAX($AG$4:AG525)+1,""))</f>
        <v/>
      </c>
      <c r="AH526" s="20">
        <f>IF(A526="",0,IF(AND(OR('CSV抽出'!$C$4="",A526&gt;='CSV抽出'!$C$4),OR('CSV抽出'!$C$5="",A526&lt;='CSV抽出'!$C$5),OR('CSV抽出'!$C$6="すべて",'CSV抽出'!$C$6="",D526='CSV抽出'!$C$6),OR('CSV抽出'!$C$7="",B526&amp;""='CSV抽出'!$C$7&amp;"")),1,0))</f>
        <v/>
      </c>
      <c r="AI526" s="20">
        <f>IF(AH526=1,SUM($AH$5:AH526),"")</f>
        <v/>
      </c>
      <c r="AJ526" s="20">
        <f>IF(OR(S526="",'報告書'!$C$4=""),"",IF(S526&amp;""='報告書'!$C$4&amp;"",COUNTIF($S$5:S526,'報告書'!$C$4),""))</f>
        <v/>
      </c>
      <c r="AK526" s="20" t="n"/>
      <c r="AL526" s="47" t="n"/>
      <c r="AM526" s="47" t="n"/>
      <c r="AN526" s="53" t="n"/>
      <c r="AO526" s="47" t="n"/>
      <c r="AP526" s="47" t="n"/>
      <c r="AQ526" s="47" t="n"/>
      <c r="AR526" s="47" t="n"/>
      <c r="AS526" s="47" t="n"/>
      <c r="AT526" s="47" t="n"/>
      <c r="AU526" s="47" t="n"/>
      <c r="AV526" s="47" t="n"/>
      <c r="AW526" s="52" t="n"/>
    </row>
    <row r="527">
      <c r="A527" s="48" t="n"/>
      <c r="B527" s="52" t="n"/>
      <c r="C527" s="47">
        <f>IF(B527="","",IFERROR(INDEX('隊員マスタ'!$B$5:$B$204,MATCH(B527&amp;"",'隊員マスタ'!$F$5:$F$204,0)),IF(AK527="","番号なし",AK527)))</f>
        <v/>
      </c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  <c r="N527" s="47" t="n"/>
      <c r="O527" s="47" t="n"/>
      <c r="P527" s="47" t="n"/>
      <c r="Q527" s="47" t="n"/>
      <c r="R527" s="47" t="n"/>
      <c r="S527" s="47" t="n"/>
      <c r="T527" s="47" t="n"/>
      <c r="U527" s="53" t="n"/>
      <c r="V527" s="53" t="n"/>
      <c r="W527" s="47" t="n"/>
      <c r="X527" s="47" t="n"/>
      <c r="Y527" s="47" t="n"/>
      <c r="Z527" s="47" t="n"/>
      <c r="AA527" s="47" t="n"/>
      <c r="AB527" s="47" t="n"/>
      <c r="AC527" s="47" t="n"/>
      <c r="AD527" s="47" t="n"/>
      <c r="AE527" s="47" t="n"/>
      <c r="AF527" s="20">
        <f>IF(A527="","",YEAR(EDATE(A527,-3)))</f>
        <v/>
      </c>
      <c r="AG527" s="20">
        <f>IF(OR(B527="",'経歴簿'!$C$4=""),"",IF(B527&amp;""='経歴簿'!$C$4&amp;"",MAX($AG$4:AG526)+1,""))</f>
        <v/>
      </c>
      <c r="AH527" s="20">
        <f>IF(A527="",0,IF(AND(OR('CSV抽出'!$C$4="",A527&gt;='CSV抽出'!$C$4),OR('CSV抽出'!$C$5="",A527&lt;='CSV抽出'!$C$5),OR('CSV抽出'!$C$6="すべて",'CSV抽出'!$C$6="",D527='CSV抽出'!$C$6),OR('CSV抽出'!$C$7="",B527&amp;""='CSV抽出'!$C$7&amp;"")),1,0))</f>
        <v/>
      </c>
      <c r="AI527" s="20">
        <f>IF(AH527=1,SUM($AH$5:AH527),"")</f>
        <v/>
      </c>
      <c r="AJ527" s="20">
        <f>IF(OR(S527="",'報告書'!$C$4=""),"",IF(S527&amp;""='報告書'!$C$4&amp;"",COUNTIF($S$5:S527,'報告書'!$C$4),""))</f>
        <v/>
      </c>
      <c r="AK527" s="20" t="n"/>
      <c r="AL527" s="47" t="n"/>
      <c r="AM527" s="47" t="n"/>
      <c r="AN527" s="53" t="n"/>
      <c r="AO527" s="47" t="n"/>
      <c r="AP527" s="47" t="n"/>
      <c r="AQ527" s="47" t="n"/>
      <c r="AR527" s="47" t="n"/>
      <c r="AS527" s="47" t="n"/>
      <c r="AT527" s="47" t="n"/>
      <c r="AU527" s="47" t="n"/>
      <c r="AV527" s="47" t="n"/>
      <c r="AW527" s="52" t="n"/>
    </row>
    <row r="528">
      <c r="A528" s="48" t="n"/>
      <c r="B528" s="52" t="n"/>
      <c r="C528" s="47">
        <f>IF(B528="","",IFERROR(INDEX('隊員マスタ'!$B$5:$B$204,MATCH(B528&amp;"",'隊員マスタ'!$F$5:$F$204,0)),IF(AK528="","番号なし",AK528)))</f>
        <v/>
      </c>
      <c r="D528" s="47" t="n"/>
      <c r="E528" s="47" t="n"/>
      <c r="F528" s="47" t="n"/>
      <c r="G528" s="47" t="n"/>
      <c r="H528" s="47" t="n"/>
      <c r="I528" s="47" t="n"/>
      <c r="J528" s="47" t="n"/>
      <c r="K528" s="47" t="n"/>
      <c r="L528" s="47" t="n"/>
      <c r="M528" s="47" t="n"/>
      <c r="N528" s="47" t="n"/>
      <c r="O528" s="47" t="n"/>
      <c r="P528" s="47" t="n"/>
      <c r="Q528" s="47" t="n"/>
      <c r="R528" s="47" t="n"/>
      <c r="S528" s="47" t="n"/>
      <c r="T528" s="47" t="n"/>
      <c r="U528" s="53" t="n"/>
      <c r="V528" s="53" t="n"/>
      <c r="W528" s="47" t="n"/>
      <c r="X528" s="47" t="n"/>
      <c r="Y528" s="47" t="n"/>
      <c r="Z528" s="47" t="n"/>
      <c r="AA528" s="47" t="n"/>
      <c r="AB528" s="47" t="n"/>
      <c r="AC528" s="47" t="n"/>
      <c r="AD528" s="47" t="n"/>
      <c r="AE528" s="47" t="n"/>
      <c r="AF528" s="20">
        <f>IF(A528="","",YEAR(EDATE(A528,-3)))</f>
        <v/>
      </c>
      <c r="AG528" s="20">
        <f>IF(OR(B528="",'経歴簿'!$C$4=""),"",IF(B528&amp;""='経歴簿'!$C$4&amp;"",MAX($AG$4:AG527)+1,""))</f>
        <v/>
      </c>
      <c r="AH528" s="20">
        <f>IF(A528="",0,IF(AND(OR('CSV抽出'!$C$4="",A528&gt;='CSV抽出'!$C$4),OR('CSV抽出'!$C$5="",A528&lt;='CSV抽出'!$C$5),OR('CSV抽出'!$C$6="すべて",'CSV抽出'!$C$6="",D528='CSV抽出'!$C$6),OR('CSV抽出'!$C$7="",B528&amp;""='CSV抽出'!$C$7&amp;"")),1,0))</f>
        <v/>
      </c>
      <c r="AI528" s="20">
        <f>IF(AH528=1,SUM($AH$5:AH528),"")</f>
        <v/>
      </c>
      <c r="AJ528" s="20">
        <f>IF(OR(S528="",'報告書'!$C$4=""),"",IF(S528&amp;""='報告書'!$C$4&amp;"",COUNTIF($S$5:S528,'報告書'!$C$4),""))</f>
        <v/>
      </c>
      <c r="AK528" s="20" t="n"/>
      <c r="AL528" s="47" t="n"/>
      <c r="AM528" s="47" t="n"/>
      <c r="AN528" s="53" t="n"/>
      <c r="AO528" s="47" t="n"/>
      <c r="AP528" s="47" t="n"/>
      <c r="AQ528" s="47" t="n"/>
      <c r="AR528" s="47" t="n"/>
      <c r="AS528" s="47" t="n"/>
      <c r="AT528" s="47" t="n"/>
      <c r="AU528" s="47" t="n"/>
      <c r="AV528" s="47" t="n"/>
      <c r="AW528" s="52" t="n"/>
    </row>
    <row r="529">
      <c r="A529" s="48" t="n"/>
      <c r="B529" s="52" t="n"/>
      <c r="C529" s="47">
        <f>IF(B529="","",IFERROR(INDEX('隊員マスタ'!$B$5:$B$204,MATCH(B529&amp;"",'隊員マスタ'!$F$5:$F$204,0)),IF(AK529="","番号なし",AK529)))</f>
        <v/>
      </c>
      <c r="D529" s="47" t="n"/>
      <c r="E529" s="47" t="n"/>
      <c r="F529" s="47" t="n"/>
      <c r="G529" s="47" t="n"/>
      <c r="H529" s="47" t="n"/>
      <c r="I529" s="47" t="n"/>
      <c r="J529" s="47" t="n"/>
      <c r="K529" s="47" t="n"/>
      <c r="L529" s="47" t="n"/>
      <c r="M529" s="47" t="n"/>
      <c r="N529" s="47" t="n"/>
      <c r="O529" s="47" t="n"/>
      <c r="P529" s="47" t="n"/>
      <c r="Q529" s="47" t="n"/>
      <c r="R529" s="47" t="n"/>
      <c r="S529" s="47" t="n"/>
      <c r="T529" s="47" t="n"/>
      <c r="U529" s="53" t="n"/>
      <c r="V529" s="53" t="n"/>
      <c r="W529" s="47" t="n"/>
      <c r="X529" s="47" t="n"/>
      <c r="Y529" s="47" t="n"/>
      <c r="Z529" s="47" t="n"/>
      <c r="AA529" s="47" t="n"/>
      <c r="AB529" s="47" t="n"/>
      <c r="AC529" s="47" t="n"/>
      <c r="AD529" s="47" t="n"/>
      <c r="AE529" s="47" t="n"/>
      <c r="AF529" s="20">
        <f>IF(A529="","",YEAR(EDATE(A529,-3)))</f>
        <v/>
      </c>
      <c r="AG529" s="20">
        <f>IF(OR(B529="",'経歴簿'!$C$4=""),"",IF(B529&amp;""='経歴簿'!$C$4&amp;"",MAX($AG$4:AG528)+1,""))</f>
        <v/>
      </c>
      <c r="AH529" s="20">
        <f>IF(A529="",0,IF(AND(OR('CSV抽出'!$C$4="",A529&gt;='CSV抽出'!$C$4),OR('CSV抽出'!$C$5="",A529&lt;='CSV抽出'!$C$5),OR('CSV抽出'!$C$6="すべて",'CSV抽出'!$C$6="",D529='CSV抽出'!$C$6),OR('CSV抽出'!$C$7="",B529&amp;""='CSV抽出'!$C$7&amp;"")),1,0))</f>
        <v/>
      </c>
      <c r="AI529" s="20">
        <f>IF(AH529=1,SUM($AH$5:AH529),"")</f>
        <v/>
      </c>
      <c r="AJ529" s="20">
        <f>IF(OR(S529="",'報告書'!$C$4=""),"",IF(S529&amp;""='報告書'!$C$4&amp;"",COUNTIF($S$5:S529,'報告書'!$C$4),""))</f>
        <v/>
      </c>
      <c r="AK529" s="20" t="n"/>
      <c r="AL529" s="47" t="n"/>
      <c r="AM529" s="47" t="n"/>
      <c r="AN529" s="53" t="n"/>
      <c r="AO529" s="47" t="n"/>
      <c r="AP529" s="47" t="n"/>
      <c r="AQ529" s="47" t="n"/>
      <c r="AR529" s="47" t="n"/>
      <c r="AS529" s="47" t="n"/>
      <c r="AT529" s="47" t="n"/>
      <c r="AU529" s="47" t="n"/>
      <c r="AV529" s="47" t="n"/>
      <c r="AW529" s="52" t="n"/>
    </row>
    <row r="530">
      <c r="A530" s="48" t="n"/>
      <c r="B530" s="52" t="n"/>
      <c r="C530" s="47">
        <f>IF(B530="","",IFERROR(INDEX('隊員マスタ'!$B$5:$B$204,MATCH(B530&amp;"",'隊員マスタ'!$F$5:$F$204,0)),IF(AK530="","番号なし",AK530)))</f>
        <v/>
      </c>
      <c r="D530" s="47" t="n"/>
      <c r="E530" s="47" t="n"/>
      <c r="F530" s="47" t="n"/>
      <c r="G530" s="47" t="n"/>
      <c r="H530" s="47" t="n"/>
      <c r="I530" s="47" t="n"/>
      <c r="J530" s="47" t="n"/>
      <c r="K530" s="47" t="n"/>
      <c r="L530" s="47" t="n"/>
      <c r="M530" s="47" t="n"/>
      <c r="N530" s="47" t="n"/>
      <c r="O530" s="47" t="n"/>
      <c r="P530" s="47" t="n"/>
      <c r="Q530" s="47" t="n"/>
      <c r="R530" s="47" t="n"/>
      <c r="S530" s="47" t="n"/>
      <c r="T530" s="47" t="n"/>
      <c r="U530" s="53" t="n"/>
      <c r="V530" s="53" t="n"/>
      <c r="W530" s="47" t="n"/>
      <c r="X530" s="47" t="n"/>
      <c r="Y530" s="47" t="n"/>
      <c r="Z530" s="47" t="n"/>
      <c r="AA530" s="47" t="n"/>
      <c r="AB530" s="47" t="n"/>
      <c r="AC530" s="47" t="n"/>
      <c r="AD530" s="47" t="n"/>
      <c r="AE530" s="47" t="n"/>
      <c r="AF530" s="20">
        <f>IF(A530="","",YEAR(EDATE(A530,-3)))</f>
        <v/>
      </c>
      <c r="AG530" s="20">
        <f>IF(OR(B530="",'経歴簿'!$C$4=""),"",IF(B530&amp;""='経歴簿'!$C$4&amp;"",MAX($AG$4:AG529)+1,""))</f>
        <v/>
      </c>
      <c r="AH530" s="20">
        <f>IF(A530="",0,IF(AND(OR('CSV抽出'!$C$4="",A530&gt;='CSV抽出'!$C$4),OR('CSV抽出'!$C$5="",A530&lt;='CSV抽出'!$C$5),OR('CSV抽出'!$C$6="すべて",'CSV抽出'!$C$6="",D530='CSV抽出'!$C$6),OR('CSV抽出'!$C$7="",B530&amp;""='CSV抽出'!$C$7&amp;"")),1,0))</f>
        <v/>
      </c>
      <c r="AI530" s="20">
        <f>IF(AH530=1,SUM($AH$5:AH530),"")</f>
        <v/>
      </c>
      <c r="AJ530" s="20">
        <f>IF(OR(S530="",'報告書'!$C$4=""),"",IF(S530&amp;""='報告書'!$C$4&amp;"",COUNTIF($S$5:S530,'報告書'!$C$4),""))</f>
        <v/>
      </c>
      <c r="AK530" s="20" t="n"/>
      <c r="AL530" s="47" t="n"/>
      <c r="AM530" s="47" t="n"/>
      <c r="AN530" s="53" t="n"/>
      <c r="AO530" s="47" t="n"/>
      <c r="AP530" s="47" t="n"/>
      <c r="AQ530" s="47" t="n"/>
      <c r="AR530" s="47" t="n"/>
      <c r="AS530" s="47" t="n"/>
      <c r="AT530" s="47" t="n"/>
      <c r="AU530" s="47" t="n"/>
      <c r="AV530" s="47" t="n"/>
      <c r="AW530" s="52" t="n"/>
    </row>
    <row r="531">
      <c r="A531" s="48" t="n"/>
      <c r="B531" s="52" t="n"/>
      <c r="C531" s="47">
        <f>IF(B531="","",IFERROR(INDEX('隊員マスタ'!$B$5:$B$204,MATCH(B531&amp;"",'隊員マスタ'!$F$5:$F$204,0)),IF(AK531="","番号なし",AK531)))</f>
        <v/>
      </c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  <c r="N531" s="47" t="n"/>
      <c r="O531" s="47" t="n"/>
      <c r="P531" s="47" t="n"/>
      <c r="Q531" s="47" t="n"/>
      <c r="R531" s="47" t="n"/>
      <c r="S531" s="47" t="n"/>
      <c r="T531" s="47" t="n"/>
      <c r="U531" s="53" t="n"/>
      <c r="V531" s="53" t="n"/>
      <c r="W531" s="47" t="n"/>
      <c r="X531" s="47" t="n"/>
      <c r="Y531" s="47" t="n"/>
      <c r="Z531" s="47" t="n"/>
      <c r="AA531" s="47" t="n"/>
      <c r="AB531" s="47" t="n"/>
      <c r="AC531" s="47" t="n"/>
      <c r="AD531" s="47" t="n"/>
      <c r="AE531" s="47" t="n"/>
      <c r="AF531" s="20">
        <f>IF(A531="","",YEAR(EDATE(A531,-3)))</f>
        <v/>
      </c>
      <c r="AG531" s="20">
        <f>IF(OR(B531="",'経歴簿'!$C$4=""),"",IF(B531&amp;""='経歴簿'!$C$4&amp;"",MAX($AG$4:AG530)+1,""))</f>
        <v/>
      </c>
      <c r="AH531" s="20">
        <f>IF(A531="",0,IF(AND(OR('CSV抽出'!$C$4="",A531&gt;='CSV抽出'!$C$4),OR('CSV抽出'!$C$5="",A531&lt;='CSV抽出'!$C$5),OR('CSV抽出'!$C$6="すべて",'CSV抽出'!$C$6="",D531='CSV抽出'!$C$6),OR('CSV抽出'!$C$7="",B531&amp;""='CSV抽出'!$C$7&amp;"")),1,0))</f>
        <v/>
      </c>
      <c r="AI531" s="20">
        <f>IF(AH531=1,SUM($AH$5:AH531),"")</f>
        <v/>
      </c>
      <c r="AJ531" s="20">
        <f>IF(OR(S531="",'報告書'!$C$4=""),"",IF(S531&amp;""='報告書'!$C$4&amp;"",COUNTIF($S$5:S531,'報告書'!$C$4),""))</f>
        <v/>
      </c>
      <c r="AK531" s="20" t="n"/>
      <c r="AL531" s="47" t="n"/>
      <c r="AM531" s="47" t="n"/>
      <c r="AN531" s="53" t="n"/>
      <c r="AO531" s="47" t="n"/>
      <c r="AP531" s="47" t="n"/>
      <c r="AQ531" s="47" t="n"/>
      <c r="AR531" s="47" t="n"/>
      <c r="AS531" s="47" t="n"/>
      <c r="AT531" s="47" t="n"/>
      <c r="AU531" s="47" t="n"/>
      <c r="AV531" s="47" t="n"/>
      <c r="AW531" s="52" t="n"/>
    </row>
    <row r="532">
      <c r="A532" s="48" t="n"/>
      <c r="B532" s="52" t="n"/>
      <c r="C532" s="47">
        <f>IF(B532="","",IFERROR(INDEX('隊員マスタ'!$B$5:$B$204,MATCH(B532&amp;"",'隊員マスタ'!$F$5:$F$204,0)),IF(AK532="","番号なし",AK532)))</f>
        <v/>
      </c>
      <c r="D532" s="47" t="n"/>
      <c r="E532" s="47" t="n"/>
      <c r="F532" s="47" t="n"/>
      <c r="G532" s="47" t="n"/>
      <c r="H532" s="47" t="n"/>
      <c r="I532" s="47" t="n"/>
      <c r="J532" s="47" t="n"/>
      <c r="K532" s="47" t="n"/>
      <c r="L532" s="47" t="n"/>
      <c r="M532" s="47" t="n"/>
      <c r="N532" s="47" t="n"/>
      <c r="O532" s="47" t="n"/>
      <c r="P532" s="47" t="n"/>
      <c r="Q532" s="47" t="n"/>
      <c r="R532" s="47" t="n"/>
      <c r="S532" s="47" t="n"/>
      <c r="T532" s="47" t="n"/>
      <c r="U532" s="53" t="n"/>
      <c r="V532" s="53" t="n"/>
      <c r="W532" s="47" t="n"/>
      <c r="X532" s="47" t="n"/>
      <c r="Y532" s="47" t="n"/>
      <c r="Z532" s="47" t="n"/>
      <c r="AA532" s="47" t="n"/>
      <c r="AB532" s="47" t="n"/>
      <c r="AC532" s="47" t="n"/>
      <c r="AD532" s="47" t="n"/>
      <c r="AE532" s="47" t="n"/>
      <c r="AF532" s="20">
        <f>IF(A532="","",YEAR(EDATE(A532,-3)))</f>
        <v/>
      </c>
      <c r="AG532" s="20">
        <f>IF(OR(B532="",'経歴簿'!$C$4=""),"",IF(B532&amp;""='経歴簿'!$C$4&amp;"",MAX($AG$4:AG531)+1,""))</f>
        <v/>
      </c>
      <c r="AH532" s="20">
        <f>IF(A532="",0,IF(AND(OR('CSV抽出'!$C$4="",A532&gt;='CSV抽出'!$C$4),OR('CSV抽出'!$C$5="",A532&lt;='CSV抽出'!$C$5),OR('CSV抽出'!$C$6="すべて",'CSV抽出'!$C$6="",D532='CSV抽出'!$C$6),OR('CSV抽出'!$C$7="",B532&amp;""='CSV抽出'!$C$7&amp;"")),1,0))</f>
        <v/>
      </c>
      <c r="AI532" s="20">
        <f>IF(AH532=1,SUM($AH$5:AH532),"")</f>
        <v/>
      </c>
      <c r="AJ532" s="20">
        <f>IF(OR(S532="",'報告書'!$C$4=""),"",IF(S532&amp;""='報告書'!$C$4&amp;"",COUNTIF($S$5:S532,'報告書'!$C$4),""))</f>
        <v/>
      </c>
      <c r="AK532" s="20" t="n"/>
      <c r="AL532" s="47" t="n"/>
      <c r="AM532" s="47" t="n"/>
      <c r="AN532" s="53" t="n"/>
      <c r="AO532" s="47" t="n"/>
      <c r="AP532" s="47" t="n"/>
      <c r="AQ532" s="47" t="n"/>
      <c r="AR532" s="47" t="n"/>
      <c r="AS532" s="47" t="n"/>
      <c r="AT532" s="47" t="n"/>
      <c r="AU532" s="47" t="n"/>
      <c r="AV532" s="47" t="n"/>
      <c r="AW532" s="52" t="n"/>
    </row>
    <row r="533">
      <c r="A533" s="48" t="n"/>
      <c r="B533" s="52" t="n"/>
      <c r="C533" s="47">
        <f>IF(B533="","",IFERROR(INDEX('隊員マスタ'!$B$5:$B$204,MATCH(B533&amp;"",'隊員マスタ'!$F$5:$F$204,0)),IF(AK533="","番号なし",AK533)))</f>
        <v/>
      </c>
      <c r="D533" s="47" t="n"/>
      <c r="E533" s="47" t="n"/>
      <c r="F533" s="47" t="n"/>
      <c r="G533" s="47" t="n"/>
      <c r="H533" s="47" t="n"/>
      <c r="I533" s="47" t="n"/>
      <c r="J533" s="47" t="n"/>
      <c r="K533" s="47" t="n"/>
      <c r="L533" s="47" t="n"/>
      <c r="M533" s="47" t="n"/>
      <c r="N533" s="47" t="n"/>
      <c r="O533" s="47" t="n"/>
      <c r="P533" s="47" t="n"/>
      <c r="Q533" s="47" t="n"/>
      <c r="R533" s="47" t="n"/>
      <c r="S533" s="47" t="n"/>
      <c r="T533" s="47" t="n"/>
      <c r="U533" s="53" t="n"/>
      <c r="V533" s="53" t="n"/>
      <c r="W533" s="47" t="n"/>
      <c r="X533" s="47" t="n"/>
      <c r="Y533" s="47" t="n"/>
      <c r="Z533" s="47" t="n"/>
      <c r="AA533" s="47" t="n"/>
      <c r="AB533" s="47" t="n"/>
      <c r="AC533" s="47" t="n"/>
      <c r="AD533" s="47" t="n"/>
      <c r="AE533" s="47" t="n"/>
      <c r="AF533" s="20">
        <f>IF(A533="","",YEAR(EDATE(A533,-3)))</f>
        <v/>
      </c>
      <c r="AG533" s="20">
        <f>IF(OR(B533="",'経歴簿'!$C$4=""),"",IF(B533&amp;""='経歴簿'!$C$4&amp;"",MAX($AG$4:AG532)+1,""))</f>
        <v/>
      </c>
      <c r="AH533" s="20">
        <f>IF(A533="",0,IF(AND(OR('CSV抽出'!$C$4="",A533&gt;='CSV抽出'!$C$4),OR('CSV抽出'!$C$5="",A533&lt;='CSV抽出'!$C$5),OR('CSV抽出'!$C$6="すべて",'CSV抽出'!$C$6="",D533='CSV抽出'!$C$6),OR('CSV抽出'!$C$7="",B533&amp;""='CSV抽出'!$C$7&amp;"")),1,0))</f>
        <v/>
      </c>
      <c r="AI533" s="20">
        <f>IF(AH533=1,SUM($AH$5:AH533),"")</f>
        <v/>
      </c>
      <c r="AJ533" s="20">
        <f>IF(OR(S533="",'報告書'!$C$4=""),"",IF(S533&amp;""='報告書'!$C$4&amp;"",COUNTIF($S$5:S533,'報告書'!$C$4),""))</f>
        <v/>
      </c>
      <c r="AK533" s="20" t="n"/>
      <c r="AL533" s="47" t="n"/>
      <c r="AM533" s="47" t="n"/>
      <c r="AN533" s="53" t="n"/>
      <c r="AO533" s="47" t="n"/>
      <c r="AP533" s="47" t="n"/>
      <c r="AQ533" s="47" t="n"/>
      <c r="AR533" s="47" t="n"/>
      <c r="AS533" s="47" t="n"/>
      <c r="AT533" s="47" t="n"/>
      <c r="AU533" s="47" t="n"/>
      <c r="AV533" s="47" t="n"/>
      <c r="AW533" s="52" t="n"/>
    </row>
    <row r="534">
      <c r="A534" s="48" t="n"/>
      <c r="B534" s="52" t="n"/>
      <c r="C534" s="47">
        <f>IF(B534="","",IFERROR(INDEX('隊員マスタ'!$B$5:$B$204,MATCH(B534&amp;"",'隊員マスタ'!$F$5:$F$204,0)),IF(AK534="","番号なし",AK534)))</f>
        <v/>
      </c>
      <c r="D534" s="47" t="n"/>
      <c r="E534" s="47" t="n"/>
      <c r="F534" s="47" t="n"/>
      <c r="G534" s="47" t="n"/>
      <c r="H534" s="47" t="n"/>
      <c r="I534" s="47" t="n"/>
      <c r="J534" s="47" t="n"/>
      <c r="K534" s="47" t="n"/>
      <c r="L534" s="47" t="n"/>
      <c r="M534" s="47" t="n"/>
      <c r="N534" s="47" t="n"/>
      <c r="O534" s="47" t="n"/>
      <c r="P534" s="47" t="n"/>
      <c r="Q534" s="47" t="n"/>
      <c r="R534" s="47" t="n"/>
      <c r="S534" s="47" t="n"/>
      <c r="T534" s="47" t="n"/>
      <c r="U534" s="53" t="n"/>
      <c r="V534" s="53" t="n"/>
      <c r="W534" s="47" t="n"/>
      <c r="X534" s="47" t="n"/>
      <c r="Y534" s="47" t="n"/>
      <c r="Z534" s="47" t="n"/>
      <c r="AA534" s="47" t="n"/>
      <c r="AB534" s="47" t="n"/>
      <c r="AC534" s="47" t="n"/>
      <c r="AD534" s="47" t="n"/>
      <c r="AE534" s="47" t="n"/>
      <c r="AF534" s="20">
        <f>IF(A534="","",YEAR(EDATE(A534,-3)))</f>
        <v/>
      </c>
      <c r="AG534" s="20">
        <f>IF(OR(B534="",'経歴簿'!$C$4=""),"",IF(B534&amp;""='経歴簿'!$C$4&amp;"",MAX($AG$4:AG533)+1,""))</f>
        <v/>
      </c>
      <c r="AH534" s="20">
        <f>IF(A534="",0,IF(AND(OR('CSV抽出'!$C$4="",A534&gt;='CSV抽出'!$C$4),OR('CSV抽出'!$C$5="",A534&lt;='CSV抽出'!$C$5),OR('CSV抽出'!$C$6="すべて",'CSV抽出'!$C$6="",D534='CSV抽出'!$C$6),OR('CSV抽出'!$C$7="",B534&amp;""='CSV抽出'!$C$7&amp;"")),1,0))</f>
        <v/>
      </c>
      <c r="AI534" s="20">
        <f>IF(AH534=1,SUM($AH$5:AH534),"")</f>
        <v/>
      </c>
      <c r="AJ534" s="20">
        <f>IF(OR(S534="",'報告書'!$C$4=""),"",IF(S534&amp;""='報告書'!$C$4&amp;"",COUNTIF($S$5:S534,'報告書'!$C$4),""))</f>
        <v/>
      </c>
      <c r="AK534" s="20" t="n"/>
      <c r="AL534" s="47" t="n"/>
      <c r="AM534" s="47" t="n"/>
      <c r="AN534" s="53" t="n"/>
      <c r="AO534" s="47" t="n"/>
      <c r="AP534" s="47" t="n"/>
      <c r="AQ534" s="47" t="n"/>
      <c r="AR534" s="47" t="n"/>
      <c r="AS534" s="47" t="n"/>
      <c r="AT534" s="47" t="n"/>
      <c r="AU534" s="47" t="n"/>
      <c r="AV534" s="47" t="n"/>
      <c r="AW534" s="52" t="n"/>
    </row>
    <row r="535">
      <c r="A535" s="48" t="n"/>
      <c r="B535" s="52" t="n"/>
      <c r="C535" s="47">
        <f>IF(B535="","",IFERROR(INDEX('隊員マスタ'!$B$5:$B$204,MATCH(B535&amp;"",'隊員マスタ'!$F$5:$F$204,0)),IF(AK535="","番号なし",AK535)))</f>
        <v/>
      </c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  <c r="N535" s="47" t="n"/>
      <c r="O535" s="47" t="n"/>
      <c r="P535" s="47" t="n"/>
      <c r="Q535" s="47" t="n"/>
      <c r="R535" s="47" t="n"/>
      <c r="S535" s="47" t="n"/>
      <c r="T535" s="47" t="n"/>
      <c r="U535" s="53" t="n"/>
      <c r="V535" s="53" t="n"/>
      <c r="W535" s="47" t="n"/>
      <c r="X535" s="47" t="n"/>
      <c r="Y535" s="47" t="n"/>
      <c r="Z535" s="47" t="n"/>
      <c r="AA535" s="47" t="n"/>
      <c r="AB535" s="47" t="n"/>
      <c r="AC535" s="47" t="n"/>
      <c r="AD535" s="47" t="n"/>
      <c r="AE535" s="47" t="n"/>
      <c r="AF535" s="20">
        <f>IF(A535="","",YEAR(EDATE(A535,-3)))</f>
        <v/>
      </c>
      <c r="AG535" s="20">
        <f>IF(OR(B535="",'経歴簿'!$C$4=""),"",IF(B535&amp;""='経歴簿'!$C$4&amp;"",MAX($AG$4:AG534)+1,""))</f>
        <v/>
      </c>
      <c r="AH535" s="20">
        <f>IF(A535="",0,IF(AND(OR('CSV抽出'!$C$4="",A535&gt;='CSV抽出'!$C$4),OR('CSV抽出'!$C$5="",A535&lt;='CSV抽出'!$C$5),OR('CSV抽出'!$C$6="すべて",'CSV抽出'!$C$6="",D535='CSV抽出'!$C$6),OR('CSV抽出'!$C$7="",B535&amp;""='CSV抽出'!$C$7&amp;"")),1,0))</f>
        <v/>
      </c>
      <c r="AI535" s="20">
        <f>IF(AH535=1,SUM($AH$5:AH535),"")</f>
        <v/>
      </c>
      <c r="AJ535" s="20">
        <f>IF(OR(S535="",'報告書'!$C$4=""),"",IF(S535&amp;""='報告書'!$C$4&amp;"",COUNTIF($S$5:S535,'報告書'!$C$4),""))</f>
        <v/>
      </c>
      <c r="AK535" s="20" t="n"/>
      <c r="AL535" s="47" t="n"/>
      <c r="AM535" s="47" t="n"/>
      <c r="AN535" s="53" t="n"/>
      <c r="AO535" s="47" t="n"/>
      <c r="AP535" s="47" t="n"/>
      <c r="AQ535" s="47" t="n"/>
      <c r="AR535" s="47" t="n"/>
      <c r="AS535" s="47" t="n"/>
      <c r="AT535" s="47" t="n"/>
      <c r="AU535" s="47" t="n"/>
      <c r="AV535" s="47" t="n"/>
      <c r="AW535" s="52" t="n"/>
    </row>
    <row r="536">
      <c r="A536" s="48" t="n"/>
      <c r="B536" s="52" t="n"/>
      <c r="C536" s="47">
        <f>IF(B536="","",IFERROR(INDEX('隊員マスタ'!$B$5:$B$204,MATCH(B536&amp;"",'隊員マスタ'!$F$5:$F$204,0)),IF(AK536="","番号なし",AK536)))</f>
        <v/>
      </c>
      <c r="D536" s="47" t="n"/>
      <c r="E536" s="47" t="n"/>
      <c r="F536" s="47" t="n"/>
      <c r="G536" s="47" t="n"/>
      <c r="H536" s="47" t="n"/>
      <c r="I536" s="47" t="n"/>
      <c r="J536" s="47" t="n"/>
      <c r="K536" s="47" t="n"/>
      <c r="L536" s="47" t="n"/>
      <c r="M536" s="47" t="n"/>
      <c r="N536" s="47" t="n"/>
      <c r="O536" s="47" t="n"/>
      <c r="P536" s="47" t="n"/>
      <c r="Q536" s="47" t="n"/>
      <c r="R536" s="47" t="n"/>
      <c r="S536" s="47" t="n"/>
      <c r="T536" s="47" t="n"/>
      <c r="U536" s="53" t="n"/>
      <c r="V536" s="53" t="n"/>
      <c r="W536" s="47" t="n"/>
      <c r="X536" s="47" t="n"/>
      <c r="Y536" s="47" t="n"/>
      <c r="Z536" s="47" t="n"/>
      <c r="AA536" s="47" t="n"/>
      <c r="AB536" s="47" t="n"/>
      <c r="AC536" s="47" t="n"/>
      <c r="AD536" s="47" t="n"/>
      <c r="AE536" s="47" t="n"/>
      <c r="AF536" s="20">
        <f>IF(A536="","",YEAR(EDATE(A536,-3)))</f>
        <v/>
      </c>
      <c r="AG536" s="20">
        <f>IF(OR(B536="",'経歴簿'!$C$4=""),"",IF(B536&amp;""='経歴簿'!$C$4&amp;"",MAX($AG$4:AG535)+1,""))</f>
        <v/>
      </c>
      <c r="AH536" s="20">
        <f>IF(A536="",0,IF(AND(OR('CSV抽出'!$C$4="",A536&gt;='CSV抽出'!$C$4),OR('CSV抽出'!$C$5="",A536&lt;='CSV抽出'!$C$5),OR('CSV抽出'!$C$6="すべて",'CSV抽出'!$C$6="",D536='CSV抽出'!$C$6),OR('CSV抽出'!$C$7="",B536&amp;""='CSV抽出'!$C$7&amp;"")),1,0))</f>
        <v/>
      </c>
      <c r="AI536" s="20">
        <f>IF(AH536=1,SUM($AH$5:AH536),"")</f>
        <v/>
      </c>
      <c r="AJ536" s="20">
        <f>IF(OR(S536="",'報告書'!$C$4=""),"",IF(S536&amp;""='報告書'!$C$4&amp;"",COUNTIF($S$5:S536,'報告書'!$C$4),""))</f>
        <v/>
      </c>
      <c r="AK536" s="20" t="n"/>
      <c r="AL536" s="47" t="n"/>
      <c r="AM536" s="47" t="n"/>
      <c r="AN536" s="53" t="n"/>
      <c r="AO536" s="47" t="n"/>
      <c r="AP536" s="47" t="n"/>
      <c r="AQ536" s="47" t="n"/>
      <c r="AR536" s="47" t="n"/>
      <c r="AS536" s="47" t="n"/>
      <c r="AT536" s="47" t="n"/>
      <c r="AU536" s="47" t="n"/>
      <c r="AV536" s="47" t="n"/>
      <c r="AW536" s="52" t="n"/>
    </row>
    <row r="537">
      <c r="A537" s="48" t="n"/>
      <c r="B537" s="52" t="n"/>
      <c r="C537" s="47">
        <f>IF(B537="","",IFERROR(INDEX('隊員マスタ'!$B$5:$B$204,MATCH(B537&amp;"",'隊員マスタ'!$F$5:$F$204,0)),IF(AK537="","番号なし",AK537)))</f>
        <v/>
      </c>
      <c r="D537" s="47" t="n"/>
      <c r="E537" s="47" t="n"/>
      <c r="F537" s="47" t="n"/>
      <c r="G537" s="47" t="n"/>
      <c r="H537" s="47" t="n"/>
      <c r="I537" s="47" t="n"/>
      <c r="J537" s="47" t="n"/>
      <c r="K537" s="47" t="n"/>
      <c r="L537" s="47" t="n"/>
      <c r="M537" s="47" t="n"/>
      <c r="N537" s="47" t="n"/>
      <c r="O537" s="47" t="n"/>
      <c r="P537" s="47" t="n"/>
      <c r="Q537" s="47" t="n"/>
      <c r="R537" s="47" t="n"/>
      <c r="S537" s="47" t="n"/>
      <c r="T537" s="47" t="n"/>
      <c r="U537" s="53" t="n"/>
      <c r="V537" s="53" t="n"/>
      <c r="W537" s="47" t="n"/>
      <c r="X537" s="47" t="n"/>
      <c r="Y537" s="47" t="n"/>
      <c r="Z537" s="47" t="n"/>
      <c r="AA537" s="47" t="n"/>
      <c r="AB537" s="47" t="n"/>
      <c r="AC537" s="47" t="n"/>
      <c r="AD537" s="47" t="n"/>
      <c r="AE537" s="47" t="n"/>
      <c r="AF537" s="20">
        <f>IF(A537="","",YEAR(EDATE(A537,-3)))</f>
        <v/>
      </c>
      <c r="AG537" s="20">
        <f>IF(OR(B537="",'経歴簿'!$C$4=""),"",IF(B537&amp;""='経歴簿'!$C$4&amp;"",MAX($AG$4:AG536)+1,""))</f>
        <v/>
      </c>
      <c r="AH537" s="20">
        <f>IF(A537="",0,IF(AND(OR('CSV抽出'!$C$4="",A537&gt;='CSV抽出'!$C$4),OR('CSV抽出'!$C$5="",A537&lt;='CSV抽出'!$C$5),OR('CSV抽出'!$C$6="すべて",'CSV抽出'!$C$6="",D537='CSV抽出'!$C$6),OR('CSV抽出'!$C$7="",B537&amp;""='CSV抽出'!$C$7&amp;"")),1,0))</f>
        <v/>
      </c>
      <c r="AI537" s="20">
        <f>IF(AH537=1,SUM($AH$5:AH537),"")</f>
        <v/>
      </c>
      <c r="AJ537" s="20">
        <f>IF(OR(S537="",'報告書'!$C$4=""),"",IF(S537&amp;""='報告書'!$C$4&amp;"",COUNTIF($S$5:S537,'報告書'!$C$4),""))</f>
        <v/>
      </c>
      <c r="AK537" s="20" t="n"/>
      <c r="AL537" s="47" t="n"/>
      <c r="AM537" s="47" t="n"/>
      <c r="AN537" s="53" t="n"/>
      <c r="AO537" s="47" t="n"/>
      <c r="AP537" s="47" t="n"/>
      <c r="AQ537" s="47" t="n"/>
      <c r="AR537" s="47" t="n"/>
      <c r="AS537" s="47" t="n"/>
      <c r="AT537" s="47" t="n"/>
      <c r="AU537" s="47" t="n"/>
      <c r="AV537" s="47" t="n"/>
      <c r="AW537" s="52" t="n"/>
    </row>
    <row r="538">
      <c r="A538" s="48" t="n"/>
      <c r="B538" s="52" t="n"/>
      <c r="C538" s="47">
        <f>IF(B538="","",IFERROR(INDEX('隊員マスタ'!$B$5:$B$204,MATCH(B538&amp;"",'隊員マスタ'!$F$5:$F$204,0)),IF(AK538="","番号なし",AK538)))</f>
        <v/>
      </c>
      <c r="D538" s="47" t="n"/>
      <c r="E538" s="47" t="n"/>
      <c r="F538" s="47" t="n"/>
      <c r="G538" s="47" t="n"/>
      <c r="H538" s="47" t="n"/>
      <c r="I538" s="47" t="n"/>
      <c r="J538" s="47" t="n"/>
      <c r="K538" s="47" t="n"/>
      <c r="L538" s="47" t="n"/>
      <c r="M538" s="47" t="n"/>
      <c r="N538" s="47" t="n"/>
      <c r="O538" s="47" t="n"/>
      <c r="P538" s="47" t="n"/>
      <c r="Q538" s="47" t="n"/>
      <c r="R538" s="47" t="n"/>
      <c r="S538" s="47" t="n"/>
      <c r="T538" s="47" t="n"/>
      <c r="U538" s="53" t="n"/>
      <c r="V538" s="53" t="n"/>
      <c r="W538" s="47" t="n"/>
      <c r="X538" s="47" t="n"/>
      <c r="Y538" s="47" t="n"/>
      <c r="Z538" s="47" t="n"/>
      <c r="AA538" s="47" t="n"/>
      <c r="AB538" s="47" t="n"/>
      <c r="AC538" s="47" t="n"/>
      <c r="AD538" s="47" t="n"/>
      <c r="AE538" s="47" t="n"/>
      <c r="AF538" s="20">
        <f>IF(A538="","",YEAR(EDATE(A538,-3)))</f>
        <v/>
      </c>
      <c r="AG538" s="20">
        <f>IF(OR(B538="",'経歴簿'!$C$4=""),"",IF(B538&amp;""='経歴簿'!$C$4&amp;"",MAX($AG$4:AG537)+1,""))</f>
        <v/>
      </c>
      <c r="AH538" s="20">
        <f>IF(A538="",0,IF(AND(OR('CSV抽出'!$C$4="",A538&gt;='CSV抽出'!$C$4),OR('CSV抽出'!$C$5="",A538&lt;='CSV抽出'!$C$5),OR('CSV抽出'!$C$6="すべて",'CSV抽出'!$C$6="",D538='CSV抽出'!$C$6),OR('CSV抽出'!$C$7="",B538&amp;""='CSV抽出'!$C$7&amp;"")),1,0))</f>
        <v/>
      </c>
      <c r="AI538" s="20">
        <f>IF(AH538=1,SUM($AH$5:AH538),"")</f>
        <v/>
      </c>
      <c r="AJ538" s="20">
        <f>IF(OR(S538="",'報告書'!$C$4=""),"",IF(S538&amp;""='報告書'!$C$4&amp;"",COUNTIF($S$5:S538,'報告書'!$C$4),""))</f>
        <v/>
      </c>
      <c r="AK538" s="20" t="n"/>
      <c r="AL538" s="47" t="n"/>
      <c r="AM538" s="47" t="n"/>
      <c r="AN538" s="53" t="n"/>
      <c r="AO538" s="47" t="n"/>
      <c r="AP538" s="47" t="n"/>
      <c r="AQ538" s="47" t="n"/>
      <c r="AR538" s="47" t="n"/>
      <c r="AS538" s="47" t="n"/>
      <c r="AT538" s="47" t="n"/>
      <c r="AU538" s="47" t="n"/>
      <c r="AV538" s="47" t="n"/>
      <c r="AW538" s="52" t="n"/>
    </row>
    <row r="539">
      <c r="A539" s="48" t="n"/>
      <c r="B539" s="52" t="n"/>
      <c r="C539" s="47">
        <f>IF(B539="","",IFERROR(INDEX('隊員マスタ'!$B$5:$B$204,MATCH(B539&amp;"",'隊員マスタ'!$F$5:$F$204,0)),IF(AK539="","番号なし",AK539)))</f>
        <v/>
      </c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  <c r="N539" s="47" t="n"/>
      <c r="O539" s="47" t="n"/>
      <c r="P539" s="47" t="n"/>
      <c r="Q539" s="47" t="n"/>
      <c r="R539" s="47" t="n"/>
      <c r="S539" s="47" t="n"/>
      <c r="T539" s="47" t="n"/>
      <c r="U539" s="53" t="n"/>
      <c r="V539" s="53" t="n"/>
      <c r="W539" s="47" t="n"/>
      <c r="X539" s="47" t="n"/>
      <c r="Y539" s="47" t="n"/>
      <c r="Z539" s="47" t="n"/>
      <c r="AA539" s="47" t="n"/>
      <c r="AB539" s="47" t="n"/>
      <c r="AC539" s="47" t="n"/>
      <c r="AD539" s="47" t="n"/>
      <c r="AE539" s="47" t="n"/>
      <c r="AF539" s="20">
        <f>IF(A539="","",YEAR(EDATE(A539,-3)))</f>
        <v/>
      </c>
      <c r="AG539" s="20">
        <f>IF(OR(B539="",'経歴簿'!$C$4=""),"",IF(B539&amp;""='経歴簿'!$C$4&amp;"",MAX($AG$4:AG538)+1,""))</f>
        <v/>
      </c>
      <c r="AH539" s="20">
        <f>IF(A539="",0,IF(AND(OR('CSV抽出'!$C$4="",A539&gt;='CSV抽出'!$C$4),OR('CSV抽出'!$C$5="",A539&lt;='CSV抽出'!$C$5),OR('CSV抽出'!$C$6="すべて",'CSV抽出'!$C$6="",D539='CSV抽出'!$C$6),OR('CSV抽出'!$C$7="",B539&amp;""='CSV抽出'!$C$7&amp;"")),1,0))</f>
        <v/>
      </c>
      <c r="AI539" s="20">
        <f>IF(AH539=1,SUM($AH$5:AH539),"")</f>
        <v/>
      </c>
      <c r="AJ539" s="20">
        <f>IF(OR(S539="",'報告書'!$C$4=""),"",IF(S539&amp;""='報告書'!$C$4&amp;"",COUNTIF($S$5:S539,'報告書'!$C$4),""))</f>
        <v/>
      </c>
      <c r="AK539" s="20" t="n"/>
      <c r="AL539" s="47" t="n"/>
      <c r="AM539" s="47" t="n"/>
      <c r="AN539" s="53" t="n"/>
      <c r="AO539" s="47" t="n"/>
      <c r="AP539" s="47" t="n"/>
      <c r="AQ539" s="47" t="n"/>
      <c r="AR539" s="47" t="n"/>
      <c r="AS539" s="47" t="n"/>
      <c r="AT539" s="47" t="n"/>
      <c r="AU539" s="47" t="n"/>
      <c r="AV539" s="47" t="n"/>
      <c r="AW539" s="52" t="n"/>
    </row>
    <row r="540">
      <c r="A540" s="48" t="n"/>
      <c r="B540" s="52" t="n"/>
      <c r="C540" s="47">
        <f>IF(B540="","",IFERROR(INDEX('隊員マスタ'!$B$5:$B$204,MATCH(B540&amp;"",'隊員マスタ'!$F$5:$F$204,0)),IF(AK540="","番号なし",AK540)))</f>
        <v/>
      </c>
      <c r="D540" s="47" t="n"/>
      <c r="E540" s="47" t="n"/>
      <c r="F540" s="47" t="n"/>
      <c r="G540" s="47" t="n"/>
      <c r="H540" s="47" t="n"/>
      <c r="I540" s="47" t="n"/>
      <c r="J540" s="47" t="n"/>
      <c r="K540" s="47" t="n"/>
      <c r="L540" s="47" t="n"/>
      <c r="M540" s="47" t="n"/>
      <c r="N540" s="47" t="n"/>
      <c r="O540" s="47" t="n"/>
      <c r="P540" s="47" t="n"/>
      <c r="Q540" s="47" t="n"/>
      <c r="R540" s="47" t="n"/>
      <c r="S540" s="47" t="n"/>
      <c r="T540" s="47" t="n"/>
      <c r="U540" s="53" t="n"/>
      <c r="V540" s="53" t="n"/>
      <c r="W540" s="47" t="n"/>
      <c r="X540" s="47" t="n"/>
      <c r="Y540" s="47" t="n"/>
      <c r="Z540" s="47" t="n"/>
      <c r="AA540" s="47" t="n"/>
      <c r="AB540" s="47" t="n"/>
      <c r="AC540" s="47" t="n"/>
      <c r="AD540" s="47" t="n"/>
      <c r="AE540" s="47" t="n"/>
      <c r="AF540" s="20">
        <f>IF(A540="","",YEAR(EDATE(A540,-3)))</f>
        <v/>
      </c>
      <c r="AG540" s="20">
        <f>IF(OR(B540="",'経歴簿'!$C$4=""),"",IF(B540&amp;""='経歴簿'!$C$4&amp;"",MAX($AG$4:AG539)+1,""))</f>
        <v/>
      </c>
      <c r="AH540" s="20">
        <f>IF(A540="",0,IF(AND(OR('CSV抽出'!$C$4="",A540&gt;='CSV抽出'!$C$4),OR('CSV抽出'!$C$5="",A540&lt;='CSV抽出'!$C$5),OR('CSV抽出'!$C$6="すべて",'CSV抽出'!$C$6="",D540='CSV抽出'!$C$6),OR('CSV抽出'!$C$7="",B540&amp;""='CSV抽出'!$C$7&amp;"")),1,0))</f>
        <v/>
      </c>
      <c r="AI540" s="20">
        <f>IF(AH540=1,SUM($AH$5:AH540),"")</f>
        <v/>
      </c>
      <c r="AJ540" s="20">
        <f>IF(OR(S540="",'報告書'!$C$4=""),"",IF(S540&amp;""='報告書'!$C$4&amp;"",COUNTIF($S$5:S540,'報告書'!$C$4),""))</f>
        <v/>
      </c>
      <c r="AK540" s="20" t="n"/>
      <c r="AL540" s="47" t="n"/>
      <c r="AM540" s="47" t="n"/>
      <c r="AN540" s="53" t="n"/>
      <c r="AO540" s="47" t="n"/>
      <c r="AP540" s="47" t="n"/>
      <c r="AQ540" s="47" t="n"/>
      <c r="AR540" s="47" t="n"/>
      <c r="AS540" s="47" t="n"/>
      <c r="AT540" s="47" t="n"/>
      <c r="AU540" s="47" t="n"/>
      <c r="AV540" s="47" t="n"/>
      <c r="AW540" s="52" t="n"/>
    </row>
    <row r="541">
      <c r="A541" s="48" t="n"/>
      <c r="B541" s="52" t="n"/>
      <c r="C541" s="47">
        <f>IF(B541="","",IFERROR(INDEX('隊員マスタ'!$B$5:$B$204,MATCH(B541&amp;"",'隊員マスタ'!$F$5:$F$204,0)),IF(AK541="","番号なし",AK541)))</f>
        <v/>
      </c>
      <c r="D541" s="47" t="n"/>
      <c r="E541" s="47" t="n"/>
      <c r="F541" s="47" t="n"/>
      <c r="G541" s="47" t="n"/>
      <c r="H541" s="47" t="n"/>
      <c r="I541" s="47" t="n"/>
      <c r="J541" s="47" t="n"/>
      <c r="K541" s="47" t="n"/>
      <c r="L541" s="47" t="n"/>
      <c r="M541" s="47" t="n"/>
      <c r="N541" s="47" t="n"/>
      <c r="O541" s="47" t="n"/>
      <c r="P541" s="47" t="n"/>
      <c r="Q541" s="47" t="n"/>
      <c r="R541" s="47" t="n"/>
      <c r="S541" s="47" t="n"/>
      <c r="T541" s="47" t="n"/>
      <c r="U541" s="53" t="n"/>
      <c r="V541" s="53" t="n"/>
      <c r="W541" s="47" t="n"/>
      <c r="X541" s="47" t="n"/>
      <c r="Y541" s="47" t="n"/>
      <c r="Z541" s="47" t="n"/>
      <c r="AA541" s="47" t="n"/>
      <c r="AB541" s="47" t="n"/>
      <c r="AC541" s="47" t="n"/>
      <c r="AD541" s="47" t="n"/>
      <c r="AE541" s="47" t="n"/>
      <c r="AF541" s="20">
        <f>IF(A541="","",YEAR(EDATE(A541,-3)))</f>
        <v/>
      </c>
      <c r="AG541" s="20">
        <f>IF(OR(B541="",'経歴簿'!$C$4=""),"",IF(B541&amp;""='経歴簿'!$C$4&amp;"",MAX($AG$4:AG540)+1,""))</f>
        <v/>
      </c>
      <c r="AH541" s="20">
        <f>IF(A541="",0,IF(AND(OR('CSV抽出'!$C$4="",A541&gt;='CSV抽出'!$C$4),OR('CSV抽出'!$C$5="",A541&lt;='CSV抽出'!$C$5),OR('CSV抽出'!$C$6="すべて",'CSV抽出'!$C$6="",D541='CSV抽出'!$C$6),OR('CSV抽出'!$C$7="",B541&amp;""='CSV抽出'!$C$7&amp;"")),1,0))</f>
        <v/>
      </c>
      <c r="AI541" s="20">
        <f>IF(AH541=1,SUM($AH$5:AH541),"")</f>
        <v/>
      </c>
      <c r="AJ541" s="20">
        <f>IF(OR(S541="",'報告書'!$C$4=""),"",IF(S541&amp;""='報告書'!$C$4&amp;"",COUNTIF($S$5:S541,'報告書'!$C$4),""))</f>
        <v/>
      </c>
      <c r="AK541" s="20" t="n"/>
      <c r="AL541" s="47" t="n"/>
      <c r="AM541" s="47" t="n"/>
      <c r="AN541" s="53" t="n"/>
      <c r="AO541" s="47" t="n"/>
      <c r="AP541" s="47" t="n"/>
      <c r="AQ541" s="47" t="n"/>
      <c r="AR541" s="47" t="n"/>
      <c r="AS541" s="47" t="n"/>
      <c r="AT541" s="47" t="n"/>
      <c r="AU541" s="47" t="n"/>
      <c r="AV541" s="47" t="n"/>
      <c r="AW541" s="52" t="n"/>
    </row>
    <row r="542">
      <c r="A542" s="48" t="n"/>
      <c r="B542" s="52" t="n"/>
      <c r="C542" s="47">
        <f>IF(B542="","",IFERROR(INDEX('隊員マスタ'!$B$5:$B$204,MATCH(B542&amp;"",'隊員マスタ'!$F$5:$F$204,0)),IF(AK542="","番号なし",AK542)))</f>
        <v/>
      </c>
      <c r="D542" s="47" t="n"/>
      <c r="E542" s="47" t="n"/>
      <c r="F542" s="47" t="n"/>
      <c r="G542" s="47" t="n"/>
      <c r="H542" s="47" t="n"/>
      <c r="I542" s="47" t="n"/>
      <c r="J542" s="47" t="n"/>
      <c r="K542" s="47" t="n"/>
      <c r="L542" s="47" t="n"/>
      <c r="M542" s="47" t="n"/>
      <c r="N542" s="47" t="n"/>
      <c r="O542" s="47" t="n"/>
      <c r="P542" s="47" t="n"/>
      <c r="Q542" s="47" t="n"/>
      <c r="R542" s="47" t="n"/>
      <c r="S542" s="47" t="n"/>
      <c r="T542" s="47" t="n"/>
      <c r="U542" s="53" t="n"/>
      <c r="V542" s="53" t="n"/>
      <c r="W542" s="47" t="n"/>
      <c r="X542" s="47" t="n"/>
      <c r="Y542" s="47" t="n"/>
      <c r="Z542" s="47" t="n"/>
      <c r="AA542" s="47" t="n"/>
      <c r="AB542" s="47" t="n"/>
      <c r="AC542" s="47" t="n"/>
      <c r="AD542" s="47" t="n"/>
      <c r="AE542" s="47" t="n"/>
      <c r="AF542" s="20">
        <f>IF(A542="","",YEAR(EDATE(A542,-3)))</f>
        <v/>
      </c>
      <c r="AG542" s="20">
        <f>IF(OR(B542="",'経歴簿'!$C$4=""),"",IF(B542&amp;""='経歴簿'!$C$4&amp;"",MAX($AG$4:AG541)+1,""))</f>
        <v/>
      </c>
      <c r="AH542" s="20">
        <f>IF(A542="",0,IF(AND(OR('CSV抽出'!$C$4="",A542&gt;='CSV抽出'!$C$4),OR('CSV抽出'!$C$5="",A542&lt;='CSV抽出'!$C$5),OR('CSV抽出'!$C$6="すべて",'CSV抽出'!$C$6="",D542='CSV抽出'!$C$6),OR('CSV抽出'!$C$7="",B542&amp;""='CSV抽出'!$C$7&amp;"")),1,0))</f>
        <v/>
      </c>
      <c r="AI542" s="20">
        <f>IF(AH542=1,SUM($AH$5:AH542),"")</f>
        <v/>
      </c>
      <c r="AJ542" s="20">
        <f>IF(OR(S542="",'報告書'!$C$4=""),"",IF(S542&amp;""='報告書'!$C$4&amp;"",COUNTIF($S$5:S542,'報告書'!$C$4),""))</f>
        <v/>
      </c>
      <c r="AK542" s="20" t="n"/>
      <c r="AL542" s="47" t="n"/>
      <c r="AM542" s="47" t="n"/>
      <c r="AN542" s="53" t="n"/>
      <c r="AO542" s="47" t="n"/>
      <c r="AP542" s="47" t="n"/>
      <c r="AQ542" s="47" t="n"/>
      <c r="AR542" s="47" t="n"/>
      <c r="AS542" s="47" t="n"/>
      <c r="AT542" s="47" t="n"/>
      <c r="AU542" s="47" t="n"/>
      <c r="AV542" s="47" t="n"/>
      <c r="AW542" s="52" t="n"/>
    </row>
    <row r="543">
      <c r="A543" s="48" t="n"/>
      <c r="B543" s="52" t="n"/>
      <c r="C543" s="47">
        <f>IF(B543="","",IFERROR(INDEX('隊員マスタ'!$B$5:$B$204,MATCH(B543&amp;"",'隊員マスタ'!$F$5:$F$204,0)),IF(AK543="","番号なし",AK543)))</f>
        <v/>
      </c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  <c r="N543" s="47" t="n"/>
      <c r="O543" s="47" t="n"/>
      <c r="P543" s="47" t="n"/>
      <c r="Q543" s="47" t="n"/>
      <c r="R543" s="47" t="n"/>
      <c r="S543" s="47" t="n"/>
      <c r="T543" s="47" t="n"/>
      <c r="U543" s="53" t="n"/>
      <c r="V543" s="53" t="n"/>
      <c r="W543" s="47" t="n"/>
      <c r="X543" s="47" t="n"/>
      <c r="Y543" s="47" t="n"/>
      <c r="Z543" s="47" t="n"/>
      <c r="AA543" s="47" t="n"/>
      <c r="AB543" s="47" t="n"/>
      <c r="AC543" s="47" t="n"/>
      <c r="AD543" s="47" t="n"/>
      <c r="AE543" s="47" t="n"/>
      <c r="AF543" s="20">
        <f>IF(A543="","",YEAR(EDATE(A543,-3)))</f>
        <v/>
      </c>
      <c r="AG543" s="20">
        <f>IF(OR(B543="",'経歴簿'!$C$4=""),"",IF(B543&amp;""='経歴簿'!$C$4&amp;"",MAX($AG$4:AG542)+1,""))</f>
        <v/>
      </c>
      <c r="AH543" s="20">
        <f>IF(A543="",0,IF(AND(OR('CSV抽出'!$C$4="",A543&gt;='CSV抽出'!$C$4),OR('CSV抽出'!$C$5="",A543&lt;='CSV抽出'!$C$5),OR('CSV抽出'!$C$6="すべて",'CSV抽出'!$C$6="",D543='CSV抽出'!$C$6),OR('CSV抽出'!$C$7="",B543&amp;""='CSV抽出'!$C$7&amp;"")),1,0))</f>
        <v/>
      </c>
      <c r="AI543" s="20">
        <f>IF(AH543=1,SUM($AH$5:AH543),"")</f>
        <v/>
      </c>
      <c r="AJ543" s="20">
        <f>IF(OR(S543="",'報告書'!$C$4=""),"",IF(S543&amp;""='報告書'!$C$4&amp;"",COUNTIF($S$5:S543,'報告書'!$C$4),""))</f>
        <v/>
      </c>
      <c r="AK543" s="20" t="n"/>
      <c r="AL543" s="47" t="n"/>
      <c r="AM543" s="47" t="n"/>
      <c r="AN543" s="53" t="n"/>
      <c r="AO543" s="47" t="n"/>
      <c r="AP543" s="47" t="n"/>
      <c r="AQ543" s="47" t="n"/>
      <c r="AR543" s="47" t="n"/>
      <c r="AS543" s="47" t="n"/>
      <c r="AT543" s="47" t="n"/>
      <c r="AU543" s="47" t="n"/>
      <c r="AV543" s="47" t="n"/>
      <c r="AW543" s="52" t="n"/>
    </row>
    <row r="544">
      <c r="A544" s="48" t="n"/>
      <c r="B544" s="52" t="n"/>
      <c r="C544" s="47">
        <f>IF(B544="","",IFERROR(INDEX('隊員マスタ'!$B$5:$B$204,MATCH(B544&amp;"",'隊員マスタ'!$F$5:$F$204,0)),IF(AK544="","番号なし",AK544)))</f>
        <v/>
      </c>
      <c r="D544" s="47" t="n"/>
      <c r="E544" s="47" t="n"/>
      <c r="F544" s="47" t="n"/>
      <c r="G544" s="47" t="n"/>
      <c r="H544" s="47" t="n"/>
      <c r="I544" s="47" t="n"/>
      <c r="J544" s="47" t="n"/>
      <c r="K544" s="47" t="n"/>
      <c r="L544" s="47" t="n"/>
      <c r="M544" s="47" t="n"/>
      <c r="N544" s="47" t="n"/>
      <c r="O544" s="47" t="n"/>
      <c r="P544" s="47" t="n"/>
      <c r="Q544" s="47" t="n"/>
      <c r="R544" s="47" t="n"/>
      <c r="S544" s="47" t="n"/>
      <c r="T544" s="47" t="n"/>
      <c r="U544" s="53" t="n"/>
      <c r="V544" s="53" t="n"/>
      <c r="W544" s="47" t="n"/>
      <c r="X544" s="47" t="n"/>
      <c r="Y544" s="47" t="n"/>
      <c r="Z544" s="47" t="n"/>
      <c r="AA544" s="47" t="n"/>
      <c r="AB544" s="47" t="n"/>
      <c r="AC544" s="47" t="n"/>
      <c r="AD544" s="47" t="n"/>
      <c r="AE544" s="47" t="n"/>
      <c r="AF544" s="20">
        <f>IF(A544="","",YEAR(EDATE(A544,-3)))</f>
        <v/>
      </c>
      <c r="AG544" s="20">
        <f>IF(OR(B544="",'経歴簿'!$C$4=""),"",IF(B544&amp;""='経歴簿'!$C$4&amp;"",MAX($AG$4:AG543)+1,""))</f>
        <v/>
      </c>
      <c r="AH544" s="20">
        <f>IF(A544="",0,IF(AND(OR('CSV抽出'!$C$4="",A544&gt;='CSV抽出'!$C$4),OR('CSV抽出'!$C$5="",A544&lt;='CSV抽出'!$C$5),OR('CSV抽出'!$C$6="すべて",'CSV抽出'!$C$6="",D544='CSV抽出'!$C$6),OR('CSV抽出'!$C$7="",B544&amp;""='CSV抽出'!$C$7&amp;"")),1,0))</f>
        <v/>
      </c>
      <c r="AI544" s="20">
        <f>IF(AH544=1,SUM($AH$5:AH544),"")</f>
        <v/>
      </c>
      <c r="AJ544" s="20">
        <f>IF(OR(S544="",'報告書'!$C$4=""),"",IF(S544&amp;""='報告書'!$C$4&amp;"",COUNTIF($S$5:S544,'報告書'!$C$4),""))</f>
        <v/>
      </c>
      <c r="AK544" s="20" t="n"/>
      <c r="AL544" s="47" t="n"/>
      <c r="AM544" s="47" t="n"/>
      <c r="AN544" s="53" t="n"/>
      <c r="AO544" s="47" t="n"/>
      <c r="AP544" s="47" t="n"/>
      <c r="AQ544" s="47" t="n"/>
      <c r="AR544" s="47" t="n"/>
      <c r="AS544" s="47" t="n"/>
      <c r="AT544" s="47" t="n"/>
      <c r="AU544" s="47" t="n"/>
      <c r="AV544" s="47" t="n"/>
      <c r="AW544" s="52" t="n"/>
    </row>
    <row r="545">
      <c r="A545" s="48" t="n"/>
      <c r="B545" s="52" t="n"/>
      <c r="C545" s="47">
        <f>IF(B545="","",IFERROR(INDEX('隊員マスタ'!$B$5:$B$204,MATCH(B545&amp;"",'隊員マスタ'!$F$5:$F$204,0)),IF(AK545="","番号なし",AK545)))</f>
        <v/>
      </c>
      <c r="D545" s="47" t="n"/>
      <c r="E545" s="47" t="n"/>
      <c r="F545" s="47" t="n"/>
      <c r="G545" s="47" t="n"/>
      <c r="H545" s="47" t="n"/>
      <c r="I545" s="47" t="n"/>
      <c r="J545" s="47" t="n"/>
      <c r="K545" s="47" t="n"/>
      <c r="L545" s="47" t="n"/>
      <c r="M545" s="47" t="n"/>
      <c r="N545" s="47" t="n"/>
      <c r="O545" s="47" t="n"/>
      <c r="P545" s="47" t="n"/>
      <c r="Q545" s="47" t="n"/>
      <c r="R545" s="47" t="n"/>
      <c r="S545" s="47" t="n"/>
      <c r="T545" s="47" t="n"/>
      <c r="U545" s="53" t="n"/>
      <c r="V545" s="53" t="n"/>
      <c r="W545" s="47" t="n"/>
      <c r="X545" s="47" t="n"/>
      <c r="Y545" s="47" t="n"/>
      <c r="Z545" s="47" t="n"/>
      <c r="AA545" s="47" t="n"/>
      <c r="AB545" s="47" t="n"/>
      <c r="AC545" s="47" t="n"/>
      <c r="AD545" s="47" t="n"/>
      <c r="AE545" s="47" t="n"/>
      <c r="AF545" s="20">
        <f>IF(A545="","",YEAR(EDATE(A545,-3)))</f>
        <v/>
      </c>
      <c r="AG545" s="20">
        <f>IF(OR(B545="",'経歴簿'!$C$4=""),"",IF(B545&amp;""='経歴簿'!$C$4&amp;"",MAX($AG$4:AG544)+1,""))</f>
        <v/>
      </c>
      <c r="AH545" s="20">
        <f>IF(A545="",0,IF(AND(OR('CSV抽出'!$C$4="",A545&gt;='CSV抽出'!$C$4),OR('CSV抽出'!$C$5="",A545&lt;='CSV抽出'!$C$5),OR('CSV抽出'!$C$6="すべて",'CSV抽出'!$C$6="",D545='CSV抽出'!$C$6),OR('CSV抽出'!$C$7="",B545&amp;""='CSV抽出'!$C$7&amp;"")),1,0))</f>
        <v/>
      </c>
      <c r="AI545" s="20">
        <f>IF(AH545=1,SUM($AH$5:AH545),"")</f>
        <v/>
      </c>
      <c r="AJ545" s="20">
        <f>IF(OR(S545="",'報告書'!$C$4=""),"",IF(S545&amp;""='報告書'!$C$4&amp;"",COUNTIF($S$5:S545,'報告書'!$C$4),""))</f>
        <v/>
      </c>
      <c r="AK545" s="20" t="n"/>
      <c r="AL545" s="47" t="n"/>
      <c r="AM545" s="47" t="n"/>
      <c r="AN545" s="53" t="n"/>
      <c r="AO545" s="47" t="n"/>
      <c r="AP545" s="47" t="n"/>
      <c r="AQ545" s="47" t="n"/>
      <c r="AR545" s="47" t="n"/>
      <c r="AS545" s="47" t="n"/>
      <c r="AT545" s="47" t="n"/>
      <c r="AU545" s="47" t="n"/>
      <c r="AV545" s="47" t="n"/>
      <c r="AW545" s="52" t="n"/>
    </row>
    <row r="546">
      <c r="A546" s="48" t="n"/>
      <c r="B546" s="52" t="n"/>
      <c r="C546" s="47">
        <f>IF(B546="","",IFERROR(INDEX('隊員マスタ'!$B$5:$B$204,MATCH(B546&amp;"",'隊員マスタ'!$F$5:$F$204,0)),IF(AK546="","番号なし",AK546)))</f>
        <v/>
      </c>
      <c r="D546" s="47" t="n"/>
      <c r="E546" s="47" t="n"/>
      <c r="F546" s="47" t="n"/>
      <c r="G546" s="47" t="n"/>
      <c r="H546" s="47" t="n"/>
      <c r="I546" s="47" t="n"/>
      <c r="J546" s="47" t="n"/>
      <c r="K546" s="47" t="n"/>
      <c r="L546" s="47" t="n"/>
      <c r="M546" s="47" t="n"/>
      <c r="N546" s="47" t="n"/>
      <c r="O546" s="47" t="n"/>
      <c r="P546" s="47" t="n"/>
      <c r="Q546" s="47" t="n"/>
      <c r="R546" s="47" t="n"/>
      <c r="S546" s="47" t="n"/>
      <c r="T546" s="47" t="n"/>
      <c r="U546" s="53" t="n"/>
      <c r="V546" s="53" t="n"/>
      <c r="W546" s="47" t="n"/>
      <c r="X546" s="47" t="n"/>
      <c r="Y546" s="47" t="n"/>
      <c r="Z546" s="47" t="n"/>
      <c r="AA546" s="47" t="n"/>
      <c r="AB546" s="47" t="n"/>
      <c r="AC546" s="47" t="n"/>
      <c r="AD546" s="47" t="n"/>
      <c r="AE546" s="47" t="n"/>
      <c r="AF546" s="20">
        <f>IF(A546="","",YEAR(EDATE(A546,-3)))</f>
        <v/>
      </c>
      <c r="AG546" s="20">
        <f>IF(OR(B546="",'経歴簿'!$C$4=""),"",IF(B546&amp;""='経歴簿'!$C$4&amp;"",MAX($AG$4:AG545)+1,""))</f>
        <v/>
      </c>
      <c r="AH546" s="20">
        <f>IF(A546="",0,IF(AND(OR('CSV抽出'!$C$4="",A546&gt;='CSV抽出'!$C$4),OR('CSV抽出'!$C$5="",A546&lt;='CSV抽出'!$C$5),OR('CSV抽出'!$C$6="すべて",'CSV抽出'!$C$6="",D546='CSV抽出'!$C$6),OR('CSV抽出'!$C$7="",B546&amp;""='CSV抽出'!$C$7&amp;"")),1,0))</f>
        <v/>
      </c>
      <c r="AI546" s="20">
        <f>IF(AH546=1,SUM($AH$5:AH546),"")</f>
        <v/>
      </c>
      <c r="AJ546" s="20">
        <f>IF(OR(S546="",'報告書'!$C$4=""),"",IF(S546&amp;""='報告書'!$C$4&amp;"",COUNTIF($S$5:S546,'報告書'!$C$4),""))</f>
        <v/>
      </c>
      <c r="AK546" s="20" t="n"/>
      <c r="AL546" s="47" t="n"/>
      <c r="AM546" s="47" t="n"/>
      <c r="AN546" s="53" t="n"/>
      <c r="AO546" s="47" t="n"/>
      <c r="AP546" s="47" t="n"/>
      <c r="AQ546" s="47" t="n"/>
      <c r="AR546" s="47" t="n"/>
      <c r="AS546" s="47" t="n"/>
      <c r="AT546" s="47" t="n"/>
      <c r="AU546" s="47" t="n"/>
      <c r="AV546" s="47" t="n"/>
      <c r="AW546" s="52" t="n"/>
    </row>
    <row r="547">
      <c r="A547" s="48" t="n"/>
      <c r="B547" s="52" t="n"/>
      <c r="C547" s="47">
        <f>IF(B547="","",IFERROR(INDEX('隊員マスタ'!$B$5:$B$204,MATCH(B547&amp;"",'隊員マスタ'!$F$5:$F$204,0)),IF(AK547="","番号なし",AK547)))</f>
        <v/>
      </c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  <c r="N547" s="47" t="n"/>
      <c r="O547" s="47" t="n"/>
      <c r="P547" s="47" t="n"/>
      <c r="Q547" s="47" t="n"/>
      <c r="R547" s="47" t="n"/>
      <c r="S547" s="47" t="n"/>
      <c r="T547" s="47" t="n"/>
      <c r="U547" s="53" t="n"/>
      <c r="V547" s="53" t="n"/>
      <c r="W547" s="47" t="n"/>
      <c r="X547" s="47" t="n"/>
      <c r="Y547" s="47" t="n"/>
      <c r="Z547" s="47" t="n"/>
      <c r="AA547" s="47" t="n"/>
      <c r="AB547" s="47" t="n"/>
      <c r="AC547" s="47" t="n"/>
      <c r="AD547" s="47" t="n"/>
      <c r="AE547" s="47" t="n"/>
      <c r="AF547" s="20">
        <f>IF(A547="","",YEAR(EDATE(A547,-3)))</f>
        <v/>
      </c>
      <c r="AG547" s="20">
        <f>IF(OR(B547="",'経歴簿'!$C$4=""),"",IF(B547&amp;""='経歴簿'!$C$4&amp;"",MAX($AG$4:AG546)+1,""))</f>
        <v/>
      </c>
      <c r="AH547" s="20">
        <f>IF(A547="",0,IF(AND(OR('CSV抽出'!$C$4="",A547&gt;='CSV抽出'!$C$4),OR('CSV抽出'!$C$5="",A547&lt;='CSV抽出'!$C$5),OR('CSV抽出'!$C$6="すべて",'CSV抽出'!$C$6="",D547='CSV抽出'!$C$6),OR('CSV抽出'!$C$7="",B547&amp;""='CSV抽出'!$C$7&amp;"")),1,0))</f>
        <v/>
      </c>
      <c r="AI547" s="20">
        <f>IF(AH547=1,SUM($AH$5:AH547),"")</f>
        <v/>
      </c>
      <c r="AJ547" s="20">
        <f>IF(OR(S547="",'報告書'!$C$4=""),"",IF(S547&amp;""='報告書'!$C$4&amp;"",COUNTIF($S$5:S547,'報告書'!$C$4),""))</f>
        <v/>
      </c>
      <c r="AK547" s="20" t="n"/>
      <c r="AL547" s="47" t="n"/>
      <c r="AM547" s="47" t="n"/>
      <c r="AN547" s="53" t="n"/>
      <c r="AO547" s="47" t="n"/>
      <c r="AP547" s="47" t="n"/>
      <c r="AQ547" s="47" t="n"/>
      <c r="AR547" s="47" t="n"/>
      <c r="AS547" s="47" t="n"/>
      <c r="AT547" s="47" t="n"/>
      <c r="AU547" s="47" t="n"/>
      <c r="AV547" s="47" t="n"/>
      <c r="AW547" s="52" t="n"/>
    </row>
    <row r="548">
      <c r="A548" s="48" t="n"/>
      <c r="B548" s="52" t="n"/>
      <c r="C548" s="47">
        <f>IF(B548="","",IFERROR(INDEX('隊員マスタ'!$B$5:$B$204,MATCH(B548&amp;"",'隊員マスタ'!$F$5:$F$204,0)),IF(AK548="","番号なし",AK548)))</f>
        <v/>
      </c>
      <c r="D548" s="47" t="n"/>
      <c r="E548" s="47" t="n"/>
      <c r="F548" s="47" t="n"/>
      <c r="G548" s="47" t="n"/>
      <c r="H548" s="47" t="n"/>
      <c r="I548" s="47" t="n"/>
      <c r="J548" s="47" t="n"/>
      <c r="K548" s="47" t="n"/>
      <c r="L548" s="47" t="n"/>
      <c r="M548" s="47" t="n"/>
      <c r="N548" s="47" t="n"/>
      <c r="O548" s="47" t="n"/>
      <c r="P548" s="47" t="n"/>
      <c r="Q548" s="47" t="n"/>
      <c r="R548" s="47" t="n"/>
      <c r="S548" s="47" t="n"/>
      <c r="T548" s="47" t="n"/>
      <c r="U548" s="53" t="n"/>
      <c r="V548" s="53" t="n"/>
      <c r="W548" s="47" t="n"/>
      <c r="X548" s="47" t="n"/>
      <c r="Y548" s="47" t="n"/>
      <c r="Z548" s="47" t="n"/>
      <c r="AA548" s="47" t="n"/>
      <c r="AB548" s="47" t="n"/>
      <c r="AC548" s="47" t="n"/>
      <c r="AD548" s="47" t="n"/>
      <c r="AE548" s="47" t="n"/>
      <c r="AF548" s="20">
        <f>IF(A548="","",YEAR(EDATE(A548,-3)))</f>
        <v/>
      </c>
      <c r="AG548" s="20">
        <f>IF(OR(B548="",'経歴簿'!$C$4=""),"",IF(B548&amp;""='経歴簿'!$C$4&amp;"",MAX($AG$4:AG547)+1,""))</f>
        <v/>
      </c>
      <c r="AH548" s="20">
        <f>IF(A548="",0,IF(AND(OR('CSV抽出'!$C$4="",A548&gt;='CSV抽出'!$C$4),OR('CSV抽出'!$C$5="",A548&lt;='CSV抽出'!$C$5),OR('CSV抽出'!$C$6="すべて",'CSV抽出'!$C$6="",D548='CSV抽出'!$C$6),OR('CSV抽出'!$C$7="",B548&amp;""='CSV抽出'!$C$7&amp;"")),1,0))</f>
        <v/>
      </c>
      <c r="AI548" s="20">
        <f>IF(AH548=1,SUM($AH$5:AH548),"")</f>
        <v/>
      </c>
      <c r="AJ548" s="20">
        <f>IF(OR(S548="",'報告書'!$C$4=""),"",IF(S548&amp;""='報告書'!$C$4&amp;"",COUNTIF($S$5:S548,'報告書'!$C$4),""))</f>
        <v/>
      </c>
      <c r="AK548" s="20" t="n"/>
      <c r="AL548" s="47" t="n"/>
      <c r="AM548" s="47" t="n"/>
      <c r="AN548" s="53" t="n"/>
      <c r="AO548" s="47" t="n"/>
      <c r="AP548" s="47" t="n"/>
      <c r="AQ548" s="47" t="n"/>
      <c r="AR548" s="47" t="n"/>
      <c r="AS548" s="47" t="n"/>
      <c r="AT548" s="47" t="n"/>
      <c r="AU548" s="47" t="n"/>
      <c r="AV548" s="47" t="n"/>
      <c r="AW548" s="52" t="n"/>
    </row>
    <row r="549">
      <c r="A549" s="48" t="n"/>
      <c r="B549" s="52" t="n"/>
      <c r="C549" s="47">
        <f>IF(B549="","",IFERROR(INDEX('隊員マスタ'!$B$5:$B$204,MATCH(B549&amp;"",'隊員マスタ'!$F$5:$F$204,0)),IF(AK549="","番号なし",AK549)))</f>
        <v/>
      </c>
      <c r="D549" s="47" t="n"/>
      <c r="E549" s="47" t="n"/>
      <c r="F549" s="47" t="n"/>
      <c r="G549" s="47" t="n"/>
      <c r="H549" s="47" t="n"/>
      <c r="I549" s="47" t="n"/>
      <c r="J549" s="47" t="n"/>
      <c r="K549" s="47" t="n"/>
      <c r="L549" s="47" t="n"/>
      <c r="M549" s="47" t="n"/>
      <c r="N549" s="47" t="n"/>
      <c r="O549" s="47" t="n"/>
      <c r="P549" s="47" t="n"/>
      <c r="Q549" s="47" t="n"/>
      <c r="R549" s="47" t="n"/>
      <c r="S549" s="47" t="n"/>
      <c r="T549" s="47" t="n"/>
      <c r="U549" s="53" t="n"/>
      <c r="V549" s="53" t="n"/>
      <c r="W549" s="47" t="n"/>
      <c r="X549" s="47" t="n"/>
      <c r="Y549" s="47" t="n"/>
      <c r="Z549" s="47" t="n"/>
      <c r="AA549" s="47" t="n"/>
      <c r="AB549" s="47" t="n"/>
      <c r="AC549" s="47" t="n"/>
      <c r="AD549" s="47" t="n"/>
      <c r="AE549" s="47" t="n"/>
      <c r="AF549" s="20">
        <f>IF(A549="","",YEAR(EDATE(A549,-3)))</f>
        <v/>
      </c>
      <c r="AG549" s="20">
        <f>IF(OR(B549="",'経歴簿'!$C$4=""),"",IF(B549&amp;""='経歴簿'!$C$4&amp;"",MAX($AG$4:AG548)+1,""))</f>
        <v/>
      </c>
      <c r="AH549" s="20">
        <f>IF(A549="",0,IF(AND(OR('CSV抽出'!$C$4="",A549&gt;='CSV抽出'!$C$4),OR('CSV抽出'!$C$5="",A549&lt;='CSV抽出'!$C$5),OR('CSV抽出'!$C$6="すべて",'CSV抽出'!$C$6="",D549='CSV抽出'!$C$6),OR('CSV抽出'!$C$7="",B549&amp;""='CSV抽出'!$C$7&amp;"")),1,0))</f>
        <v/>
      </c>
      <c r="AI549" s="20">
        <f>IF(AH549=1,SUM($AH$5:AH549),"")</f>
        <v/>
      </c>
      <c r="AJ549" s="20">
        <f>IF(OR(S549="",'報告書'!$C$4=""),"",IF(S549&amp;""='報告書'!$C$4&amp;"",COUNTIF($S$5:S549,'報告書'!$C$4),""))</f>
        <v/>
      </c>
      <c r="AK549" s="20" t="n"/>
      <c r="AL549" s="47" t="n"/>
      <c r="AM549" s="47" t="n"/>
      <c r="AN549" s="53" t="n"/>
      <c r="AO549" s="47" t="n"/>
      <c r="AP549" s="47" t="n"/>
      <c r="AQ549" s="47" t="n"/>
      <c r="AR549" s="47" t="n"/>
      <c r="AS549" s="47" t="n"/>
      <c r="AT549" s="47" t="n"/>
      <c r="AU549" s="47" t="n"/>
      <c r="AV549" s="47" t="n"/>
      <c r="AW549" s="52" t="n"/>
    </row>
    <row r="550">
      <c r="A550" s="48" t="n"/>
      <c r="B550" s="52" t="n"/>
      <c r="C550" s="47">
        <f>IF(B550="","",IFERROR(INDEX('隊員マスタ'!$B$5:$B$204,MATCH(B550&amp;"",'隊員マスタ'!$F$5:$F$204,0)),IF(AK550="","番号なし",AK550)))</f>
        <v/>
      </c>
      <c r="D550" s="47" t="n"/>
      <c r="E550" s="47" t="n"/>
      <c r="F550" s="47" t="n"/>
      <c r="G550" s="47" t="n"/>
      <c r="H550" s="47" t="n"/>
      <c r="I550" s="47" t="n"/>
      <c r="J550" s="47" t="n"/>
      <c r="K550" s="47" t="n"/>
      <c r="L550" s="47" t="n"/>
      <c r="M550" s="47" t="n"/>
      <c r="N550" s="47" t="n"/>
      <c r="O550" s="47" t="n"/>
      <c r="P550" s="47" t="n"/>
      <c r="Q550" s="47" t="n"/>
      <c r="R550" s="47" t="n"/>
      <c r="S550" s="47" t="n"/>
      <c r="T550" s="47" t="n"/>
      <c r="U550" s="53" t="n"/>
      <c r="V550" s="53" t="n"/>
      <c r="W550" s="47" t="n"/>
      <c r="X550" s="47" t="n"/>
      <c r="Y550" s="47" t="n"/>
      <c r="Z550" s="47" t="n"/>
      <c r="AA550" s="47" t="n"/>
      <c r="AB550" s="47" t="n"/>
      <c r="AC550" s="47" t="n"/>
      <c r="AD550" s="47" t="n"/>
      <c r="AE550" s="47" t="n"/>
      <c r="AF550" s="20">
        <f>IF(A550="","",YEAR(EDATE(A550,-3)))</f>
        <v/>
      </c>
      <c r="AG550" s="20">
        <f>IF(OR(B550="",'経歴簿'!$C$4=""),"",IF(B550&amp;""='経歴簿'!$C$4&amp;"",MAX($AG$4:AG549)+1,""))</f>
        <v/>
      </c>
      <c r="AH550" s="20">
        <f>IF(A550="",0,IF(AND(OR('CSV抽出'!$C$4="",A550&gt;='CSV抽出'!$C$4),OR('CSV抽出'!$C$5="",A550&lt;='CSV抽出'!$C$5),OR('CSV抽出'!$C$6="すべて",'CSV抽出'!$C$6="",D550='CSV抽出'!$C$6),OR('CSV抽出'!$C$7="",B550&amp;""='CSV抽出'!$C$7&amp;"")),1,0))</f>
        <v/>
      </c>
      <c r="AI550" s="20">
        <f>IF(AH550=1,SUM($AH$5:AH550),"")</f>
        <v/>
      </c>
      <c r="AJ550" s="20">
        <f>IF(OR(S550="",'報告書'!$C$4=""),"",IF(S550&amp;""='報告書'!$C$4&amp;"",COUNTIF($S$5:S550,'報告書'!$C$4),""))</f>
        <v/>
      </c>
      <c r="AK550" s="20" t="n"/>
      <c r="AL550" s="47" t="n"/>
      <c r="AM550" s="47" t="n"/>
      <c r="AN550" s="53" t="n"/>
      <c r="AO550" s="47" t="n"/>
      <c r="AP550" s="47" t="n"/>
      <c r="AQ550" s="47" t="n"/>
      <c r="AR550" s="47" t="n"/>
      <c r="AS550" s="47" t="n"/>
      <c r="AT550" s="47" t="n"/>
      <c r="AU550" s="47" t="n"/>
      <c r="AV550" s="47" t="n"/>
      <c r="AW550" s="52" t="n"/>
    </row>
    <row r="551">
      <c r="A551" s="48" t="n"/>
      <c r="B551" s="52" t="n"/>
      <c r="C551" s="47">
        <f>IF(B551="","",IFERROR(INDEX('隊員マスタ'!$B$5:$B$204,MATCH(B551&amp;"",'隊員マスタ'!$F$5:$F$204,0)),IF(AK551="","番号なし",AK551)))</f>
        <v/>
      </c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  <c r="N551" s="47" t="n"/>
      <c r="O551" s="47" t="n"/>
      <c r="P551" s="47" t="n"/>
      <c r="Q551" s="47" t="n"/>
      <c r="R551" s="47" t="n"/>
      <c r="S551" s="47" t="n"/>
      <c r="T551" s="47" t="n"/>
      <c r="U551" s="53" t="n"/>
      <c r="V551" s="53" t="n"/>
      <c r="W551" s="47" t="n"/>
      <c r="X551" s="47" t="n"/>
      <c r="Y551" s="47" t="n"/>
      <c r="Z551" s="47" t="n"/>
      <c r="AA551" s="47" t="n"/>
      <c r="AB551" s="47" t="n"/>
      <c r="AC551" s="47" t="n"/>
      <c r="AD551" s="47" t="n"/>
      <c r="AE551" s="47" t="n"/>
      <c r="AF551" s="20">
        <f>IF(A551="","",YEAR(EDATE(A551,-3)))</f>
        <v/>
      </c>
      <c r="AG551" s="20">
        <f>IF(OR(B551="",'経歴簿'!$C$4=""),"",IF(B551&amp;""='経歴簿'!$C$4&amp;"",MAX($AG$4:AG550)+1,""))</f>
        <v/>
      </c>
      <c r="AH551" s="20">
        <f>IF(A551="",0,IF(AND(OR('CSV抽出'!$C$4="",A551&gt;='CSV抽出'!$C$4),OR('CSV抽出'!$C$5="",A551&lt;='CSV抽出'!$C$5),OR('CSV抽出'!$C$6="すべて",'CSV抽出'!$C$6="",D551='CSV抽出'!$C$6),OR('CSV抽出'!$C$7="",B551&amp;""='CSV抽出'!$C$7&amp;"")),1,0))</f>
        <v/>
      </c>
      <c r="AI551" s="20">
        <f>IF(AH551=1,SUM($AH$5:AH551),"")</f>
        <v/>
      </c>
      <c r="AJ551" s="20">
        <f>IF(OR(S551="",'報告書'!$C$4=""),"",IF(S551&amp;""='報告書'!$C$4&amp;"",COUNTIF($S$5:S551,'報告書'!$C$4),""))</f>
        <v/>
      </c>
      <c r="AK551" s="20" t="n"/>
      <c r="AL551" s="47" t="n"/>
      <c r="AM551" s="47" t="n"/>
      <c r="AN551" s="53" t="n"/>
      <c r="AO551" s="47" t="n"/>
      <c r="AP551" s="47" t="n"/>
      <c r="AQ551" s="47" t="n"/>
      <c r="AR551" s="47" t="n"/>
      <c r="AS551" s="47" t="n"/>
      <c r="AT551" s="47" t="n"/>
      <c r="AU551" s="47" t="n"/>
      <c r="AV551" s="47" t="n"/>
      <c r="AW551" s="52" t="n"/>
    </row>
    <row r="552">
      <c r="A552" s="48" t="n"/>
      <c r="B552" s="52" t="n"/>
      <c r="C552" s="47">
        <f>IF(B552="","",IFERROR(INDEX('隊員マスタ'!$B$5:$B$204,MATCH(B552&amp;"",'隊員マスタ'!$F$5:$F$204,0)),IF(AK552="","番号なし",AK552)))</f>
        <v/>
      </c>
      <c r="D552" s="47" t="n"/>
      <c r="E552" s="47" t="n"/>
      <c r="F552" s="47" t="n"/>
      <c r="G552" s="47" t="n"/>
      <c r="H552" s="47" t="n"/>
      <c r="I552" s="47" t="n"/>
      <c r="J552" s="47" t="n"/>
      <c r="K552" s="47" t="n"/>
      <c r="L552" s="47" t="n"/>
      <c r="M552" s="47" t="n"/>
      <c r="N552" s="47" t="n"/>
      <c r="O552" s="47" t="n"/>
      <c r="P552" s="47" t="n"/>
      <c r="Q552" s="47" t="n"/>
      <c r="R552" s="47" t="n"/>
      <c r="S552" s="47" t="n"/>
      <c r="T552" s="47" t="n"/>
      <c r="U552" s="53" t="n"/>
      <c r="V552" s="53" t="n"/>
      <c r="W552" s="47" t="n"/>
      <c r="X552" s="47" t="n"/>
      <c r="Y552" s="47" t="n"/>
      <c r="Z552" s="47" t="n"/>
      <c r="AA552" s="47" t="n"/>
      <c r="AB552" s="47" t="n"/>
      <c r="AC552" s="47" t="n"/>
      <c r="AD552" s="47" t="n"/>
      <c r="AE552" s="47" t="n"/>
      <c r="AF552" s="20">
        <f>IF(A552="","",YEAR(EDATE(A552,-3)))</f>
        <v/>
      </c>
      <c r="AG552" s="20">
        <f>IF(OR(B552="",'経歴簿'!$C$4=""),"",IF(B552&amp;""='経歴簿'!$C$4&amp;"",MAX($AG$4:AG551)+1,""))</f>
        <v/>
      </c>
      <c r="AH552" s="20">
        <f>IF(A552="",0,IF(AND(OR('CSV抽出'!$C$4="",A552&gt;='CSV抽出'!$C$4),OR('CSV抽出'!$C$5="",A552&lt;='CSV抽出'!$C$5),OR('CSV抽出'!$C$6="すべて",'CSV抽出'!$C$6="",D552='CSV抽出'!$C$6),OR('CSV抽出'!$C$7="",B552&amp;""='CSV抽出'!$C$7&amp;"")),1,0))</f>
        <v/>
      </c>
      <c r="AI552" s="20">
        <f>IF(AH552=1,SUM($AH$5:AH552),"")</f>
        <v/>
      </c>
      <c r="AJ552" s="20">
        <f>IF(OR(S552="",'報告書'!$C$4=""),"",IF(S552&amp;""='報告書'!$C$4&amp;"",COUNTIF($S$5:S552,'報告書'!$C$4),""))</f>
        <v/>
      </c>
      <c r="AK552" s="20" t="n"/>
      <c r="AL552" s="47" t="n"/>
      <c r="AM552" s="47" t="n"/>
      <c r="AN552" s="53" t="n"/>
      <c r="AO552" s="47" t="n"/>
      <c r="AP552" s="47" t="n"/>
      <c r="AQ552" s="47" t="n"/>
      <c r="AR552" s="47" t="n"/>
      <c r="AS552" s="47" t="n"/>
      <c r="AT552" s="47" t="n"/>
      <c r="AU552" s="47" t="n"/>
      <c r="AV552" s="47" t="n"/>
      <c r="AW552" s="52" t="n"/>
    </row>
    <row r="553">
      <c r="A553" s="48" t="n"/>
      <c r="B553" s="52" t="n"/>
      <c r="C553" s="47">
        <f>IF(B553="","",IFERROR(INDEX('隊員マスタ'!$B$5:$B$204,MATCH(B553&amp;"",'隊員マスタ'!$F$5:$F$204,0)),IF(AK553="","番号なし",AK553)))</f>
        <v/>
      </c>
      <c r="D553" s="47" t="n"/>
      <c r="E553" s="47" t="n"/>
      <c r="F553" s="47" t="n"/>
      <c r="G553" s="47" t="n"/>
      <c r="H553" s="47" t="n"/>
      <c r="I553" s="47" t="n"/>
      <c r="J553" s="47" t="n"/>
      <c r="K553" s="47" t="n"/>
      <c r="L553" s="47" t="n"/>
      <c r="M553" s="47" t="n"/>
      <c r="N553" s="47" t="n"/>
      <c r="O553" s="47" t="n"/>
      <c r="P553" s="47" t="n"/>
      <c r="Q553" s="47" t="n"/>
      <c r="R553" s="47" t="n"/>
      <c r="S553" s="47" t="n"/>
      <c r="T553" s="47" t="n"/>
      <c r="U553" s="53" t="n"/>
      <c r="V553" s="53" t="n"/>
      <c r="W553" s="47" t="n"/>
      <c r="X553" s="47" t="n"/>
      <c r="Y553" s="47" t="n"/>
      <c r="Z553" s="47" t="n"/>
      <c r="AA553" s="47" t="n"/>
      <c r="AB553" s="47" t="n"/>
      <c r="AC553" s="47" t="n"/>
      <c r="AD553" s="47" t="n"/>
      <c r="AE553" s="47" t="n"/>
      <c r="AF553" s="20">
        <f>IF(A553="","",YEAR(EDATE(A553,-3)))</f>
        <v/>
      </c>
      <c r="AG553" s="20">
        <f>IF(OR(B553="",'経歴簿'!$C$4=""),"",IF(B553&amp;""='経歴簿'!$C$4&amp;"",MAX($AG$4:AG552)+1,""))</f>
        <v/>
      </c>
      <c r="AH553" s="20">
        <f>IF(A553="",0,IF(AND(OR('CSV抽出'!$C$4="",A553&gt;='CSV抽出'!$C$4),OR('CSV抽出'!$C$5="",A553&lt;='CSV抽出'!$C$5),OR('CSV抽出'!$C$6="すべて",'CSV抽出'!$C$6="",D553='CSV抽出'!$C$6),OR('CSV抽出'!$C$7="",B553&amp;""='CSV抽出'!$C$7&amp;"")),1,0))</f>
        <v/>
      </c>
      <c r="AI553" s="20">
        <f>IF(AH553=1,SUM($AH$5:AH553),"")</f>
        <v/>
      </c>
      <c r="AJ553" s="20">
        <f>IF(OR(S553="",'報告書'!$C$4=""),"",IF(S553&amp;""='報告書'!$C$4&amp;"",COUNTIF($S$5:S553,'報告書'!$C$4),""))</f>
        <v/>
      </c>
      <c r="AK553" s="20" t="n"/>
      <c r="AL553" s="47" t="n"/>
      <c r="AM553" s="47" t="n"/>
      <c r="AN553" s="53" t="n"/>
      <c r="AO553" s="47" t="n"/>
      <c r="AP553" s="47" t="n"/>
      <c r="AQ553" s="47" t="n"/>
      <c r="AR553" s="47" t="n"/>
      <c r="AS553" s="47" t="n"/>
      <c r="AT553" s="47" t="n"/>
      <c r="AU553" s="47" t="n"/>
      <c r="AV553" s="47" t="n"/>
      <c r="AW553" s="52" t="n"/>
    </row>
    <row r="554">
      <c r="A554" s="48" t="n"/>
      <c r="B554" s="52" t="n"/>
      <c r="C554" s="47">
        <f>IF(B554="","",IFERROR(INDEX('隊員マスタ'!$B$5:$B$204,MATCH(B554&amp;"",'隊員マスタ'!$F$5:$F$204,0)),IF(AK554="","番号なし",AK554)))</f>
        <v/>
      </c>
      <c r="D554" s="47" t="n"/>
      <c r="E554" s="47" t="n"/>
      <c r="F554" s="47" t="n"/>
      <c r="G554" s="47" t="n"/>
      <c r="H554" s="47" t="n"/>
      <c r="I554" s="47" t="n"/>
      <c r="J554" s="47" t="n"/>
      <c r="K554" s="47" t="n"/>
      <c r="L554" s="47" t="n"/>
      <c r="M554" s="47" t="n"/>
      <c r="N554" s="47" t="n"/>
      <c r="O554" s="47" t="n"/>
      <c r="P554" s="47" t="n"/>
      <c r="Q554" s="47" t="n"/>
      <c r="R554" s="47" t="n"/>
      <c r="S554" s="47" t="n"/>
      <c r="T554" s="47" t="n"/>
      <c r="U554" s="53" t="n"/>
      <c r="V554" s="53" t="n"/>
      <c r="W554" s="47" t="n"/>
      <c r="X554" s="47" t="n"/>
      <c r="Y554" s="47" t="n"/>
      <c r="Z554" s="47" t="n"/>
      <c r="AA554" s="47" t="n"/>
      <c r="AB554" s="47" t="n"/>
      <c r="AC554" s="47" t="n"/>
      <c r="AD554" s="47" t="n"/>
      <c r="AE554" s="47" t="n"/>
      <c r="AF554" s="20">
        <f>IF(A554="","",YEAR(EDATE(A554,-3)))</f>
        <v/>
      </c>
      <c r="AG554" s="20">
        <f>IF(OR(B554="",'経歴簿'!$C$4=""),"",IF(B554&amp;""='経歴簿'!$C$4&amp;"",MAX($AG$4:AG553)+1,""))</f>
        <v/>
      </c>
      <c r="AH554" s="20">
        <f>IF(A554="",0,IF(AND(OR('CSV抽出'!$C$4="",A554&gt;='CSV抽出'!$C$4),OR('CSV抽出'!$C$5="",A554&lt;='CSV抽出'!$C$5),OR('CSV抽出'!$C$6="すべて",'CSV抽出'!$C$6="",D554='CSV抽出'!$C$6),OR('CSV抽出'!$C$7="",B554&amp;""='CSV抽出'!$C$7&amp;"")),1,0))</f>
        <v/>
      </c>
      <c r="AI554" s="20">
        <f>IF(AH554=1,SUM($AH$5:AH554),"")</f>
        <v/>
      </c>
      <c r="AJ554" s="20">
        <f>IF(OR(S554="",'報告書'!$C$4=""),"",IF(S554&amp;""='報告書'!$C$4&amp;"",COUNTIF($S$5:S554,'報告書'!$C$4),""))</f>
        <v/>
      </c>
      <c r="AK554" s="20" t="n"/>
      <c r="AL554" s="47" t="n"/>
      <c r="AM554" s="47" t="n"/>
      <c r="AN554" s="53" t="n"/>
      <c r="AO554" s="47" t="n"/>
      <c r="AP554" s="47" t="n"/>
      <c r="AQ554" s="47" t="n"/>
      <c r="AR554" s="47" t="n"/>
      <c r="AS554" s="47" t="n"/>
      <c r="AT554" s="47" t="n"/>
      <c r="AU554" s="47" t="n"/>
      <c r="AV554" s="47" t="n"/>
      <c r="AW554" s="52" t="n"/>
    </row>
    <row r="555">
      <c r="A555" s="48" t="n"/>
      <c r="B555" s="52" t="n"/>
      <c r="C555" s="47">
        <f>IF(B555="","",IFERROR(INDEX('隊員マスタ'!$B$5:$B$204,MATCH(B555&amp;"",'隊員マスタ'!$F$5:$F$204,0)),IF(AK555="","番号なし",AK555)))</f>
        <v/>
      </c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  <c r="N555" s="47" t="n"/>
      <c r="O555" s="47" t="n"/>
      <c r="P555" s="47" t="n"/>
      <c r="Q555" s="47" t="n"/>
      <c r="R555" s="47" t="n"/>
      <c r="S555" s="47" t="n"/>
      <c r="T555" s="47" t="n"/>
      <c r="U555" s="53" t="n"/>
      <c r="V555" s="53" t="n"/>
      <c r="W555" s="47" t="n"/>
      <c r="X555" s="47" t="n"/>
      <c r="Y555" s="47" t="n"/>
      <c r="Z555" s="47" t="n"/>
      <c r="AA555" s="47" t="n"/>
      <c r="AB555" s="47" t="n"/>
      <c r="AC555" s="47" t="n"/>
      <c r="AD555" s="47" t="n"/>
      <c r="AE555" s="47" t="n"/>
      <c r="AF555" s="20">
        <f>IF(A555="","",YEAR(EDATE(A555,-3)))</f>
        <v/>
      </c>
      <c r="AG555" s="20">
        <f>IF(OR(B555="",'経歴簿'!$C$4=""),"",IF(B555&amp;""='経歴簿'!$C$4&amp;"",MAX($AG$4:AG554)+1,""))</f>
        <v/>
      </c>
      <c r="AH555" s="20">
        <f>IF(A555="",0,IF(AND(OR('CSV抽出'!$C$4="",A555&gt;='CSV抽出'!$C$4),OR('CSV抽出'!$C$5="",A555&lt;='CSV抽出'!$C$5),OR('CSV抽出'!$C$6="すべて",'CSV抽出'!$C$6="",D555='CSV抽出'!$C$6),OR('CSV抽出'!$C$7="",B555&amp;""='CSV抽出'!$C$7&amp;"")),1,0))</f>
        <v/>
      </c>
      <c r="AI555" s="20">
        <f>IF(AH555=1,SUM($AH$5:AH555),"")</f>
        <v/>
      </c>
      <c r="AJ555" s="20">
        <f>IF(OR(S555="",'報告書'!$C$4=""),"",IF(S555&amp;""='報告書'!$C$4&amp;"",COUNTIF($S$5:S555,'報告書'!$C$4),""))</f>
        <v/>
      </c>
      <c r="AK555" s="20" t="n"/>
      <c r="AL555" s="47" t="n"/>
      <c r="AM555" s="47" t="n"/>
      <c r="AN555" s="53" t="n"/>
      <c r="AO555" s="47" t="n"/>
      <c r="AP555" s="47" t="n"/>
      <c r="AQ555" s="47" t="n"/>
      <c r="AR555" s="47" t="n"/>
      <c r="AS555" s="47" t="n"/>
      <c r="AT555" s="47" t="n"/>
      <c r="AU555" s="47" t="n"/>
      <c r="AV555" s="47" t="n"/>
      <c r="AW555" s="52" t="n"/>
    </row>
    <row r="556">
      <c r="A556" s="48" t="n"/>
      <c r="B556" s="52" t="n"/>
      <c r="C556" s="47">
        <f>IF(B556="","",IFERROR(INDEX('隊員マスタ'!$B$5:$B$204,MATCH(B556&amp;"",'隊員マスタ'!$F$5:$F$204,0)),IF(AK556="","番号なし",AK556)))</f>
        <v/>
      </c>
      <c r="D556" s="47" t="n"/>
      <c r="E556" s="47" t="n"/>
      <c r="F556" s="47" t="n"/>
      <c r="G556" s="47" t="n"/>
      <c r="H556" s="47" t="n"/>
      <c r="I556" s="47" t="n"/>
      <c r="J556" s="47" t="n"/>
      <c r="K556" s="47" t="n"/>
      <c r="L556" s="47" t="n"/>
      <c r="M556" s="47" t="n"/>
      <c r="N556" s="47" t="n"/>
      <c r="O556" s="47" t="n"/>
      <c r="P556" s="47" t="n"/>
      <c r="Q556" s="47" t="n"/>
      <c r="R556" s="47" t="n"/>
      <c r="S556" s="47" t="n"/>
      <c r="T556" s="47" t="n"/>
      <c r="U556" s="53" t="n"/>
      <c r="V556" s="53" t="n"/>
      <c r="W556" s="47" t="n"/>
      <c r="X556" s="47" t="n"/>
      <c r="Y556" s="47" t="n"/>
      <c r="Z556" s="47" t="n"/>
      <c r="AA556" s="47" t="n"/>
      <c r="AB556" s="47" t="n"/>
      <c r="AC556" s="47" t="n"/>
      <c r="AD556" s="47" t="n"/>
      <c r="AE556" s="47" t="n"/>
      <c r="AF556" s="20">
        <f>IF(A556="","",YEAR(EDATE(A556,-3)))</f>
        <v/>
      </c>
      <c r="AG556" s="20">
        <f>IF(OR(B556="",'経歴簿'!$C$4=""),"",IF(B556&amp;""='経歴簿'!$C$4&amp;"",MAX($AG$4:AG555)+1,""))</f>
        <v/>
      </c>
      <c r="AH556" s="20">
        <f>IF(A556="",0,IF(AND(OR('CSV抽出'!$C$4="",A556&gt;='CSV抽出'!$C$4),OR('CSV抽出'!$C$5="",A556&lt;='CSV抽出'!$C$5),OR('CSV抽出'!$C$6="すべて",'CSV抽出'!$C$6="",D556='CSV抽出'!$C$6),OR('CSV抽出'!$C$7="",B556&amp;""='CSV抽出'!$C$7&amp;"")),1,0))</f>
        <v/>
      </c>
      <c r="AI556" s="20">
        <f>IF(AH556=1,SUM($AH$5:AH556),"")</f>
        <v/>
      </c>
      <c r="AJ556" s="20">
        <f>IF(OR(S556="",'報告書'!$C$4=""),"",IF(S556&amp;""='報告書'!$C$4&amp;"",COUNTIF($S$5:S556,'報告書'!$C$4),""))</f>
        <v/>
      </c>
      <c r="AK556" s="20" t="n"/>
      <c r="AL556" s="47" t="n"/>
      <c r="AM556" s="47" t="n"/>
      <c r="AN556" s="53" t="n"/>
      <c r="AO556" s="47" t="n"/>
      <c r="AP556" s="47" t="n"/>
      <c r="AQ556" s="47" t="n"/>
      <c r="AR556" s="47" t="n"/>
      <c r="AS556" s="47" t="n"/>
      <c r="AT556" s="47" t="n"/>
      <c r="AU556" s="47" t="n"/>
      <c r="AV556" s="47" t="n"/>
      <c r="AW556" s="52" t="n"/>
    </row>
    <row r="557">
      <c r="A557" s="48" t="n"/>
      <c r="B557" s="52" t="n"/>
      <c r="C557" s="47">
        <f>IF(B557="","",IFERROR(INDEX('隊員マスタ'!$B$5:$B$204,MATCH(B557&amp;"",'隊員マスタ'!$F$5:$F$204,0)),IF(AK557="","番号なし",AK557)))</f>
        <v/>
      </c>
      <c r="D557" s="47" t="n"/>
      <c r="E557" s="47" t="n"/>
      <c r="F557" s="47" t="n"/>
      <c r="G557" s="47" t="n"/>
      <c r="H557" s="47" t="n"/>
      <c r="I557" s="47" t="n"/>
      <c r="J557" s="47" t="n"/>
      <c r="K557" s="47" t="n"/>
      <c r="L557" s="47" t="n"/>
      <c r="M557" s="47" t="n"/>
      <c r="N557" s="47" t="n"/>
      <c r="O557" s="47" t="n"/>
      <c r="P557" s="47" t="n"/>
      <c r="Q557" s="47" t="n"/>
      <c r="R557" s="47" t="n"/>
      <c r="S557" s="47" t="n"/>
      <c r="T557" s="47" t="n"/>
      <c r="U557" s="53" t="n"/>
      <c r="V557" s="53" t="n"/>
      <c r="W557" s="47" t="n"/>
      <c r="X557" s="47" t="n"/>
      <c r="Y557" s="47" t="n"/>
      <c r="Z557" s="47" t="n"/>
      <c r="AA557" s="47" t="n"/>
      <c r="AB557" s="47" t="n"/>
      <c r="AC557" s="47" t="n"/>
      <c r="AD557" s="47" t="n"/>
      <c r="AE557" s="47" t="n"/>
      <c r="AF557" s="20">
        <f>IF(A557="","",YEAR(EDATE(A557,-3)))</f>
        <v/>
      </c>
      <c r="AG557" s="20">
        <f>IF(OR(B557="",'経歴簿'!$C$4=""),"",IF(B557&amp;""='経歴簿'!$C$4&amp;"",MAX($AG$4:AG556)+1,""))</f>
        <v/>
      </c>
      <c r="AH557" s="20">
        <f>IF(A557="",0,IF(AND(OR('CSV抽出'!$C$4="",A557&gt;='CSV抽出'!$C$4),OR('CSV抽出'!$C$5="",A557&lt;='CSV抽出'!$C$5),OR('CSV抽出'!$C$6="すべて",'CSV抽出'!$C$6="",D557='CSV抽出'!$C$6),OR('CSV抽出'!$C$7="",B557&amp;""='CSV抽出'!$C$7&amp;"")),1,0))</f>
        <v/>
      </c>
      <c r="AI557" s="20">
        <f>IF(AH557=1,SUM($AH$5:AH557),"")</f>
        <v/>
      </c>
      <c r="AJ557" s="20">
        <f>IF(OR(S557="",'報告書'!$C$4=""),"",IF(S557&amp;""='報告書'!$C$4&amp;"",COUNTIF($S$5:S557,'報告書'!$C$4),""))</f>
        <v/>
      </c>
      <c r="AK557" s="20" t="n"/>
      <c r="AL557" s="47" t="n"/>
      <c r="AM557" s="47" t="n"/>
      <c r="AN557" s="53" t="n"/>
      <c r="AO557" s="47" t="n"/>
      <c r="AP557" s="47" t="n"/>
      <c r="AQ557" s="47" t="n"/>
      <c r="AR557" s="47" t="n"/>
      <c r="AS557" s="47" t="n"/>
      <c r="AT557" s="47" t="n"/>
      <c r="AU557" s="47" t="n"/>
      <c r="AV557" s="47" t="n"/>
      <c r="AW557" s="52" t="n"/>
    </row>
    <row r="558">
      <c r="A558" s="48" t="n"/>
      <c r="B558" s="52" t="n"/>
      <c r="C558" s="47">
        <f>IF(B558="","",IFERROR(INDEX('隊員マスタ'!$B$5:$B$204,MATCH(B558&amp;"",'隊員マスタ'!$F$5:$F$204,0)),IF(AK558="","番号なし",AK558)))</f>
        <v/>
      </c>
      <c r="D558" s="47" t="n"/>
      <c r="E558" s="47" t="n"/>
      <c r="F558" s="47" t="n"/>
      <c r="G558" s="47" t="n"/>
      <c r="H558" s="47" t="n"/>
      <c r="I558" s="47" t="n"/>
      <c r="J558" s="47" t="n"/>
      <c r="K558" s="47" t="n"/>
      <c r="L558" s="47" t="n"/>
      <c r="M558" s="47" t="n"/>
      <c r="N558" s="47" t="n"/>
      <c r="O558" s="47" t="n"/>
      <c r="P558" s="47" t="n"/>
      <c r="Q558" s="47" t="n"/>
      <c r="R558" s="47" t="n"/>
      <c r="S558" s="47" t="n"/>
      <c r="T558" s="47" t="n"/>
      <c r="U558" s="53" t="n"/>
      <c r="V558" s="53" t="n"/>
      <c r="W558" s="47" t="n"/>
      <c r="X558" s="47" t="n"/>
      <c r="Y558" s="47" t="n"/>
      <c r="Z558" s="47" t="n"/>
      <c r="AA558" s="47" t="n"/>
      <c r="AB558" s="47" t="n"/>
      <c r="AC558" s="47" t="n"/>
      <c r="AD558" s="47" t="n"/>
      <c r="AE558" s="47" t="n"/>
      <c r="AF558" s="20">
        <f>IF(A558="","",YEAR(EDATE(A558,-3)))</f>
        <v/>
      </c>
      <c r="AG558" s="20">
        <f>IF(OR(B558="",'経歴簿'!$C$4=""),"",IF(B558&amp;""='経歴簿'!$C$4&amp;"",MAX($AG$4:AG557)+1,""))</f>
        <v/>
      </c>
      <c r="AH558" s="20">
        <f>IF(A558="",0,IF(AND(OR('CSV抽出'!$C$4="",A558&gt;='CSV抽出'!$C$4),OR('CSV抽出'!$C$5="",A558&lt;='CSV抽出'!$C$5),OR('CSV抽出'!$C$6="すべて",'CSV抽出'!$C$6="",D558='CSV抽出'!$C$6),OR('CSV抽出'!$C$7="",B558&amp;""='CSV抽出'!$C$7&amp;"")),1,0))</f>
        <v/>
      </c>
      <c r="AI558" s="20">
        <f>IF(AH558=1,SUM($AH$5:AH558),"")</f>
        <v/>
      </c>
      <c r="AJ558" s="20">
        <f>IF(OR(S558="",'報告書'!$C$4=""),"",IF(S558&amp;""='報告書'!$C$4&amp;"",COUNTIF($S$5:S558,'報告書'!$C$4),""))</f>
        <v/>
      </c>
      <c r="AK558" s="20" t="n"/>
      <c r="AL558" s="47" t="n"/>
      <c r="AM558" s="47" t="n"/>
      <c r="AN558" s="53" t="n"/>
      <c r="AO558" s="47" t="n"/>
      <c r="AP558" s="47" t="n"/>
      <c r="AQ558" s="47" t="n"/>
      <c r="AR558" s="47" t="n"/>
      <c r="AS558" s="47" t="n"/>
      <c r="AT558" s="47" t="n"/>
      <c r="AU558" s="47" t="n"/>
      <c r="AV558" s="47" t="n"/>
      <c r="AW558" s="52" t="n"/>
    </row>
    <row r="559">
      <c r="A559" s="48" t="n"/>
      <c r="B559" s="52" t="n"/>
      <c r="C559" s="47">
        <f>IF(B559="","",IFERROR(INDEX('隊員マスタ'!$B$5:$B$204,MATCH(B559&amp;"",'隊員マスタ'!$F$5:$F$204,0)),IF(AK559="","番号なし",AK559)))</f>
        <v/>
      </c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  <c r="N559" s="47" t="n"/>
      <c r="O559" s="47" t="n"/>
      <c r="P559" s="47" t="n"/>
      <c r="Q559" s="47" t="n"/>
      <c r="R559" s="47" t="n"/>
      <c r="S559" s="47" t="n"/>
      <c r="T559" s="47" t="n"/>
      <c r="U559" s="53" t="n"/>
      <c r="V559" s="53" t="n"/>
      <c r="W559" s="47" t="n"/>
      <c r="X559" s="47" t="n"/>
      <c r="Y559" s="47" t="n"/>
      <c r="Z559" s="47" t="n"/>
      <c r="AA559" s="47" t="n"/>
      <c r="AB559" s="47" t="n"/>
      <c r="AC559" s="47" t="n"/>
      <c r="AD559" s="47" t="n"/>
      <c r="AE559" s="47" t="n"/>
      <c r="AF559" s="20">
        <f>IF(A559="","",YEAR(EDATE(A559,-3)))</f>
        <v/>
      </c>
      <c r="AG559" s="20">
        <f>IF(OR(B559="",'経歴簿'!$C$4=""),"",IF(B559&amp;""='経歴簿'!$C$4&amp;"",MAX($AG$4:AG558)+1,""))</f>
        <v/>
      </c>
      <c r="AH559" s="20">
        <f>IF(A559="",0,IF(AND(OR('CSV抽出'!$C$4="",A559&gt;='CSV抽出'!$C$4),OR('CSV抽出'!$C$5="",A559&lt;='CSV抽出'!$C$5),OR('CSV抽出'!$C$6="すべて",'CSV抽出'!$C$6="",D559='CSV抽出'!$C$6),OR('CSV抽出'!$C$7="",B559&amp;""='CSV抽出'!$C$7&amp;"")),1,0))</f>
        <v/>
      </c>
      <c r="AI559" s="20">
        <f>IF(AH559=1,SUM($AH$5:AH559),"")</f>
        <v/>
      </c>
      <c r="AJ559" s="20">
        <f>IF(OR(S559="",'報告書'!$C$4=""),"",IF(S559&amp;""='報告書'!$C$4&amp;"",COUNTIF($S$5:S559,'報告書'!$C$4),""))</f>
        <v/>
      </c>
      <c r="AK559" s="20" t="n"/>
      <c r="AL559" s="47" t="n"/>
      <c r="AM559" s="47" t="n"/>
      <c r="AN559" s="53" t="n"/>
      <c r="AO559" s="47" t="n"/>
      <c r="AP559" s="47" t="n"/>
      <c r="AQ559" s="47" t="n"/>
      <c r="AR559" s="47" t="n"/>
      <c r="AS559" s="47" t="n"/>
      <c r="AT559" s="47" t="n"/>
      <c r="AU559" s="47" t="n"/>
      <c r="AV559" s="47" t="n"/>
      <c r="AW559" s="52" t="n"/>
    </row>
    <row r="560">
      <c r="A560" s="48" t="n"/>
      <c r="B560" s="52" t="n"/>
      <c r="C560" s="47">
        <f>IF(B560="","",IFERROR(INDEX('隊員マスタ'!$B$5:$B$204,MATCH(B560&amp;"",'隊員マスタ'!$F$5:$F$204,0)),IF(AK560="","番号なし",AK560)))</f>
        <v/>
      </c>
      <c r="D560" s="47" t="n"/>
      <c r="E560" s="47" t="n"/>
      <c r="F560" s="47" t="n"/>
      <c r="G560" s="47" t="n"/>
      <c r="H560" s="47" t="n"/>
      <c r="I560" s="47" t="n"/>
      <c r="J560" s="47" t="n"/>
      <c r="K560" s="47" t="n"/>
      <c r="L560" s="47" t="n"/>
      <c r="M560" s="47" t="n"/>
      <c r="N560" s="47" t="n"/>
      <c r="O560" s="47" t="n"/>
      <c r="P560" s="47" t="n"/>
      <c r="Q560" s="47" t="n"/>
      <c r="R560" s="47" t="n"/>
      <c r="S560" s="47" t="n"/>
      <c r="T560" s="47" t="n"/>
      <c r="U560" s="53" t="n"/>
      <c r="V560" s="53" t="n"/>
      <c r="W560" s="47" t="n"/>
      <c r="X560" s="47" t="n"/>
      <c r="Y560" s="47" t="n"/>
      <c r="Z560" s="47" t="n"/>
      <c r="AA560" s="47" t="n"/>
      <c r="AB560" s="47" t="n"/>
      <c r="AC560" s="47" t="n"/>
      <c r="AD560" s="47" t="n"/>
      <c r="AE560" s="47" t="n"/>
      <c r="AF560" s="20">
        <f>IF(A560="","",YEAR(EDATE(A560,-3)))</f>
        <v/>
      </c>
      <c r="AG560" s="20">
        <f>IF(OR(B560="",'経歴簿'!$C$4=""),"",IF(B560&amp;""='経歴簿'!$C$4&amp;"",MAX($AG$4:AG559)+1,""))</f>
        <v/>
      </c>
      <c r="AH560" s="20">
        <f>IF(A560="",0,IF(AND(OR('CSV抽出'!$C$4="",A560&gt;='CSV抽出'!$C$4),OR('CSV抽出'!$C$5="",A560&lt;='CSV抽出'!$C$5),OR('CSV抽出'!$C$6="すべて",'CSV抽出'!$C$6="",D560='CSV抽出'!$C$6),OR('CSV抽出'!$C$7="",B560&amp;""='CSV抽出'!$C$7&amp;"")),1,0))</f>
        <v/>
      </c>
      <c r="AI560" s="20">
        <f>IF(AH560=1,SUM($AH$5:AH560),"")</f>
        <v/>
      </c>
      <c r="AJ560" s="20">
        <f>IF(OR(S560="",'報告書'!$C$4=""),"",IF(S560&amp;""='報告書'!$C$4&amp;"",COUNTIF($S$5:S560,'報告書'!$C$4),""))</f>
        <v/>
      </c>
      <c r="AK560" s="20" t="n"/>
      <c r="AL560" s="47" t="n"/>
      <c r="AM560" s="47" t="n"/>
      <c r="AN560" s="53" t="n"/>
      <c r="AO560" s="47" t="n"/>
      <c r="AP560" s="47" t="n"/>
      <c r="AQ560" s="47" t="n"/>
      <c r="AR560" s="47" t="n"/>
      <c r="AS560" s="47" t="n"/>
      <c r="AT560" s="47" t="n"/>
      <c r="AU560" s="47" t="n"/>
      <c r="AV560" s="47" t="n"/>
      <c r="AW560" s="52" t="n"/>
    </row>
    <row r="561">
      <c r="A561" s="48" t="n"/>
      <c r="B561" s="52" t="n"/>
      <c r="C561" s="47">
        <f>IF(B561="","",IFERROR(INDEX('隊員マスタ'!$B$5:$B$204,MATCH(B561&amp;"",'隊員マスタ'!$F$5:$F$204,0)),IF(AK561="","番号なし",AK561)))</f>
        <v/>
      </c>
      <c r="D561" s="47" t="n"/>
      <c r="E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  <c r="N561" s="47" t="n"/>
      <c r="O561" s="47" t="n"/>
      <c r="P561" s="47" t="n"/>
      <c r="Q561" s="47" t="n"/>
      <c r="R561" s="47" t="n"/>
      <c r="S561" s="47" t="n"/>
      <c r="T561" s="47" t="n"/>
      <c r="U561" s="53" t="n"/>
      <c r="V561" s="53" t="n"/>
      <c r="W561" s="47" t="n"/>
      <c r="X561" s="47" t="n"/>
      <c r="Y561" s="47" t="n"/>
      <c r="Z561" s="47" t="n"/>
      <c r="AA561" s="47" t="n"/>
      <c r="AB561" s="47" t="n"/>
      <c r="AC561" s="47" t="n"/>
      <c r="AD561" s="47" t="n"/>
      <c r="AE561" s="47" t="n"/>
      <c r="AF561" s="20">
        <f>IF(A561="","",YEAR(EDATE(A561,-3)))</f>
        <v/>
      </c>
      <c r="AG561" s="20">
        <f>IF(OR(B561="",'経歴簿'!$C$4=""),"",IF(B561&amp;""='経歴簿'!$C$4&amp;"",MAX($AG$4:AG560)+1,""))</f>
        <v/>
      </c>
      <c r="AH561" s="20">
        <f>IF(A561="",0,IF(AND(OR('CSV抽出'!$C$4="",A561&gt;='CSV抽出'!$C$4),OR('CSV抽出'!$C$5="",A561&lt;='CSV抽出'!$C$5),OR('CSV抽出'!$C$6="すべて",'CSV抽出'!$C$6="",D561='CSV抽出'!$C$6),OR('CSV抽出'!$C$7="",B561&amp;""='CSV抽出'!$C$7&amp;"")),1,0))</f>
        <v/>
      </c>
      <c r="AI561" s="20">
        <f>IF(AH561=1,SUM($AH$5:AH561),"")</f>
        <v/>
      </c>
      <c r="AJ561" s="20">
        <f>IF(OR(S561="",'報告書'!$C$4=""),"",IF(S561&amp;""='報告書'!$C$4&amp;"",COUNTIF($S$5:S561,'報告書'!$C$4),""))</f>
        <v/>
      </c>
      <c r="AK561" s="20" t="n"/>
      <c r="AL561" s="47" t="n"/>
      <c r="AM561" s="47" t="n"/>
      <c r="AN561" s="53" t="n"/>
      <c r="AO561" s="47" t="n"/>
      <c r="AP561" s="47" t="n"/>
      <c r="AQ561" s="47" t="n"/>
      <c r="AR561" s="47" t="n"/>
      <c r="AS561" s="47" t="n"/>
      <c r="AT561" s="47" t="n"/>
      <c r="AU561" s="47" t="n"/>
      <c r="AV561" s="47" t="n"/>
      <c r="AW561" s="52" t="n"/>
    </row>
    <row r="562">
      <c r="A562" s="48" t="n"/>
      <c r="B562" s="52" t="n"/>
      <c r="C562" s="47">
        <f>IF(B562="","",IFERROR(INDEX('隊員マスタ'!$B$5:$B$204,MATCH(B562&amp;"",'隊員マスタ'!$F$5:$F$204,0)),IF(AK562="","番号なし",AK562)))</f>
        <v/>
      </c>
      <c r="D562" s="47" t="n"/>
      <c r="E562" s="47" t="n"/>
      <c r="F562" s="47" t="n"/>
      <c r="G562" s="47" t="n"/>
      <c r="H562" s="47" t="n"/>
      <c r="I562" s="47" t="n"/>
      <c r="J562" s="47" t="n"/>
      <c r="K562" s="47" t="n"/>
      <c r="L562" s="47" t="n"/>
      <c r="M562" s="47" t="n"/>
      <c r="N562" s="47" t="n"/>
      <c r="O562" s="47" t="n"/>
      <c r="P562" s="47" t="n"/>
      <c r="Q562" s="47" t="n"/>
      <c r="R562" s="47" t="n"/>
      <c r="S562" s="47" t="n"/>
      <c r="T562" s="47" t="n"/>
      <c r="U562" s="53" t="n"/>
      <c r="V562" s="53" t="n"/>
      <c r="W562" s="47" t="n"/>
      <c r="X562" s="47" t="n"/>
      <c r="Y562" s="47" t="n"/>
      <c r="Z562" s="47" t="n"/>
      <c r="AA562" s="47" t="n"/>
      <c r="AB562" s="47" t="n"/>
      <c r="AC562" s="47" t="n"/>
      <c r="AD562" s="47" t="n"/>
      <c r="AE562" s="47" t="n"/>
      <c r="AF562" s="20">
        <f>IF(A562="","",YEAR(EDATE(A562,-3)))</f>
        <v/>
      </c>
      <c r="AG562" s="20">
        <f>IF(OR(B562="",'経歴簿'!$C$4=""),"",IF(B562&amp;""='経歴簿'!$C$4&amp;"",MAX($AG$4:AG561)+1,""))</f>
        <v/>
      </c>
      <c r="AH562" s="20">
        <f>IF(A562="",0,IF(AND(OR('CSV抽出'!$C$4="",A562&gt;='CSV抽出'!$C$4),OR('CSV抽出'!$C$5="",A562&lt;='CSV抽出'!$C$5),OR('CSV抽出'!$C$6="すべて",'CSV抽出'!$C$6="",D562='CSV抽出'!$C$6),OR('CSV抽出'!$C$7="",B562&amp;""='CSV抽出'!$C$7&amp;"")),1,0))</f>
        <v/>
      </c>
      <c r="AI562" s="20">
        <f>IF(AH562=1,SUM($AH$5:AH562),"")</f>
        <v/>
      </c>
      <c r="AJ562" s="20">
        <f>IF(OR(S562="",'報告書'!$C$4=""),"",IF(S562&amp;""='報告書'!$C$4&amp;"",COUNTIF($S$5:S562,'報告書'!$C$4),""))</f>
        <v/>
      </c>
      <c r="AK562" s="20" t="n"/>
      <c r="AL562" s="47" t="n"/>
      <c r="AM562" s="47" t="n"/>
      <c r="AN562" s="53" t="n"/>
      <c r="AO562" s="47" t="n"/>
      <c r="AP562" s="47" t="n"/>
      <c r="AQ562" s="47" t="n"/>
      <c r="AR562" s="47" t="n"/>
      <c r="AS562" s="47" t="n"/>
      <c r="AT562" s="47" t="n"/>
      <c r="AU562" s="47" t="n"/>
      <c r="AV562" s="47" t="n"/>
      <c r="AW562" s="52" t="n"/>
    </row>
    <row r="563">
      <c r="A563" s="48" t="n"/>
      <c r="B563" s="52" t="n"/>
      <c r="C563" s="47">
        <f>IF(B563="","",IFERROR(INDEX('隊員マスタ'!$B$5:$B$204,MATCH(B563&amp;"",'隊員マスタ'!$F$5:$F$204,0)),IF(AK563="","番号なし",AK563)))</f>
        <v/>
      </c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  <c r="N563" s="47" t="n"/>
      <c r="O563" s="47" t="n"/>
      <c r="P563" s="47" t="n"/>
      <c r="Q563" s="47" t="n"/>
      <c r="R563" s="47" t="n"/>
      <c r="S563" s="47" t="n"/>
      <c r="T563" s="47" t="n"/>
      <c r="U563" s="53" t="n"/>
      <c r="V563" s="53" t="n"/>
      <c r="W563" s="47" t="n"/>
      <c r="X563" s="47" t="n"/>
      <c r="Y563" s="47" t="n"/>
      <c r="Z563" s="47" t="n"/>
      <c r="AA563" s="47" t="n"/>
      <c r="AB563" s="47" t="n"/>
      <c r="AC563" s="47" t="n"/>
      <c r="AD563" s="47" t="n"/>
      <c r="AE563" s="47" t="n"/>
      <c r="AF563" s="20">
        <f>IF(A563="","",YEAR(EDATE(A563,-3)))</f>
        <v/>
      </c>
      <c r="AG563" s="20">
        <f>IF(OR(B563="",'経歴簿'!$C$4=""),"",IF(B563&amp;""='経歴簿'!$C$4&amp;"",MAX($AG$4:AG562)+1,""))</f>
        <v/>
      </c>
      <c r="AH563" s="20">
        <f>IF(A563="",0,IF(AND(OR('CSV抽出'!$C$4="",A563&gt;='CSV抽出'!$C$4),OR('CSV抽出'!$C$5="",A563&lt;='CSV抽出'!$C$5),OR('CSV抽出'!$C$6="すべて",'CSV抽出'!$C$6="",D563='CSV抽出'!$C$6),OR('CSV抽出'!$C$7="",B563&amp;""='CSV抽出'!$C$7&amp;"")),1,0))</f>
        <v/>
      </c>
      <c r="AI563" s="20">
        <f>IF(AH563=1,SUM($AH$5:AH563),"")</f>
        <v/>
      </c>
      <c r="AJ563" s="20">
        <f>IF(OR(S563="",'報告書'!$C$4=""),"",IF(S563&amp;""='報告書'!$C$4&amp;"",COUNTIF($S$5:S563,'報告書'!$C$4),""))</f>
        <v/>
      </c>
      <c r="AK563" s="20" t="n"/>
      <c r="AL563" s="47" t="n"/>
      <c r="AM563" s="47" t="n"/>
      <c r="AN563" s="53" t="n"/>
      <c r="AO563" s="47" t="n"/>
      <c r="AP563" s="47" t="n"/>
      <c r="AQ563" s="47" t="n"/>
      <c r="AR563" s="47" t="n"/>
      <c r="AS563" s="47" t="n"/>
      <c r="AT563" s="47" t="n"/>
      <c r="AU563" s="47" t="n"/>
      <c r="AV563" s="47" t="n"/>
      <c r="AW563" s="52" t="n"/>
    </row>
    <row r="564">
      <c r="A564" s="48" t="n"/>
      <c r="B564" s="52" t="n"/>
      <c r="C564" s="47">
        <f>IF(B564="","",IFERROR(INDEX('隊員マスタ'!$B$5:$B$204,MATCH(B564&amp;"",'隊員マスタ'!$F$5:$F$204,0)),IF(AK564="","番号なし",AK564)))</f>
        <v/>
      </c>
      <c r="D564" s="47" t="n"/>
      <c r="E564" s="47" t="n"/>
      <c r="F564" s="47" t="n"/>
      <c r="G564" s="47" t="n"/>
      <c r="H564" s="47" t="n"/>
      <c r="I564" s="47" t="n"/>
      <c r="J564" s="47" t="n"/>
      <c r="K564" s="47" t="n"/>
      <c r="L564" s="47" t="n"/>
      <c r="M564" s="47" t="n"/>
      <c r="N564" s="47" t="n"/>
      <c r="O564" s="47" t="n"/>
      <c r="P564" s="47" t="n"/>
      <c r="Q564" s="47" t="n"/>
      <c r="R564" s="47" t="n"/>
      <c r="S564" s="47" t="n"/>
      <c r="T564" s="47" t="n"/>
      <c r="U564" s="53" t="n"/>
      <c r="V564" s="53" t="n"/>
      <c r="W564" s="47" t="n"/>
      <c r="X564" s="47" t="n"/>
      <c r="Y564" s="47" t="n"/>
      <c r="Z564" s="47" t="n"/>
      <c r="AA564" s="47" t="n"/>
      <c r="AB564" s="47" t="n"/>
      <c r="AC564" s="47" t="n"/>
      <c r="AD564" s="47" t="n"/>
      <c r="AE564" s="47" t="n"/>
      <c r="AF564" s="20">
        <f>IF(A564="","",YEAR(EDATE(A564,-3)))</f>
        <v/>
      </c>
      <c r="AG564" s="20">
        <f>IF(OR(B564="",'経歴簿'!$C$4=""),"",IF(B564&amp;""='経歴簿'!$C$4&amp;"",MAX($AG$4:AG563)+1,""))</f>
        <v/>
      </c>
      <c r="AH564" s="20">
        <f>IF(A564="",0,IF(AND(OR('CSV抽出'!$C$4="",A564&gt;='CSV抽出'!$C$4),OR('CSV抽出'!$C$5="",A564&lt;='CSV抽出'!$C$5),OR('CSV抽出'!$C$6="すべて",'CSV抽出'!$C$6="",D564='CSV抽出'!$C$6),OR('CSV抽出'!$C$7="",B564&amp;""='CSV抽出'!$C$7&amp;"")),1,0))</f>
        <v/>
      </c>
      <c r="AI564" s="20">
        <f>IF(AH564=1,SUM($AH$5:AH564),"")</f>
        <v/>
      </c>
      <c r="AJ564" s="20">
        <f>IF(OR(S564="",'報告書'!$C$4=""),"",IF(S564&amp;""='報告書'!$C$4&amp;"",COUNTIF($S$5:S564,'報告書'!$C$4),""))</f>
        <v/>
      </c>
      <c r="AK564" s="20" t="n"/>
      <c r="AL564" s="47" t="n"/>
      <c r="AM564" s="47" t="n"/>
      <c r="AN564" s="53" t="n"/>
      <c r="AO564" s="47" t="n"/>
      <c r="AP564" s="47" t="n"/>
      <c r="AQ564" s="47" t="n"/>
      <c r="AR564" s="47" t="n"/>
      <c r="AS564" s="47" t="n"/>
      <c r="AT564" s="47" t="n"/>
      <c r="AU564" s="47" t="n"/>
      <c r="AV564" s="47" t="n"/>
      <c r="AW564" s="52" t="n"/>
    </row>
    <row r="565">
      <c r="A565" s="48" t="n"/>
      <c r="B565" s="52" t="n"/>
      <c r="C565" s="47">
        <f>IF(B565="","",IFERROR(INDEX('隊員マスタ'!$B$5:$B$204,MATCH(B565&amp;"",'隊員マスタ'!$F$5:$F$204,0)),IF(AK565="","番号なし",AK565)))</f>
        <v/>
      </c>
      <c r="D565" s="47" t="n"/>
      <c r="E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  <c r="N565" s="47" t="n"/>
      <c r="O565" s="47" t="n"/>
      <c r="P565" s="47" t="n"/>
      <c r="Q565" s="47" t="n"/>
      <c r="R565" s="47" t="n"/>
      <c r="S565" s="47" t="n"/>
      <c r="T565" s="47" t="n"/>
      <c r="U565" s="53" t="n"/>
      <c r="V565" s="53" t="n"/>
      <c r="W565" s="47" t="n"/>
      <c r="X565" s="47" t="n"/>
      <c r="Y565" s="47" t="n"/>
      <c r="Z565" s="47" t="n"/>
      <c r="AA565" s="47" t="n"/>
      <c r="AB565" s="47" t="n"/>
      <c r="AC565" s="47" t="n"/>
      <c r="AD565" s="47" t="n"/>
      <c r="AE565" s="47" t="n"/>
      <c r="AF565" s="20">
        <f>IF(A565="","",YEAR(EDATE(A565,-3)))</f>
        <v/>
      </c>
      <c r="AG565" s="20">
        <f>IF(OR(B565="",'経歴簿'!$C$4=""),"",IF(B565&amp;""='経歴簿'!$C$4&amp;"",MAX($AG$4:AG564)+1,""))</f>
        <v/>
      </c>
      <c r="AH565" s="20">
        <f>IF(A565="",0,IF(AND(OR('CSV抽出'!$C$4="",A565&gt;='CSV抽出'!$C$4),OR('CSV抽出'!$C$5="",A565&lt;='CSV抽出'!$C$5),OR('CSV抽出'!$C$6="すべて",'CSV抽出'!$C$6="",D565='CSV抽出'!$C$6),OR('CSV抽出'!$C$7="",B565&amp;""='CSV抽出'!$C$7&amp;"")),1,0))</f>
        <v/>
      </c>
      <c r="AI565" s="20">
        <f>IF(AH565=1,SUM($AH$5:AH565),"")</f>
        <v/>
      </c>
      <c r="AJ565" s="20">
        <f>IF(OR(S565="",'報告書'!$C$4=""),"",IF(S565&amp;""='報告書'!$C$4&amp;"",COUNTIF($S$5:S565,'報告書'!$C$4),""))</f>
        <v/>
      </c>
      <c r="AK565" s="20" t="n"/>
      <c r="AL565" s="47" t="n"/>
      <c r="AM565" s="47" t="n"/>
      <c r="AN565" s="53" t="n"/>
      <c r="AO565" s="47" t="n"/>
      <c r="AP565" s="47" t="n"/>
      <c r="AQ565" s="47" t="n"/>
      <c r="AR565" s="47" t="n"/>
      <c r="AS565" s="47" t="n"/>
      <c r="AT565" s="47" t="n"/>
      <c r="AU565" s="47" t="n"/>
      <c r="AV565" s="47" t="n"/>
      <c r="AW565" s="52" t="n"/>
    </row>
    <row r="566">
      <c r="A566" s="48" t="n"/>
      <c r="B566" s="52" t="n"/>
      <c r="C566" s="47">
        <f>IF(B566="","",IFERROR(INDEX('隊員マスタ'!$B$5:$B$204,MATCH(B566&amp;"",'隊員マスタ'!$F$5:$F$204,0)),IF(AK566="","番号なし",AK566)))</f>
        <v/>
      </c>
      <c r="D566" s="47" t="n"/>
      <c r="E566" s="47" t="n"/>
      <c r="F566" s="47" t="n"/>
      <c r="G566" s="47" t="n"/>
      <c r="H566" s="47" t="n"/>
      <c r="I566" s="47" t="n"/>
      <c r="J566" s="47" t="n"/>
      <c r="K566" s="47" t="n"/>
      <c r="L566" s="47" t="n"/>
      <c r="M566" s="47" t="n"/>
      <c r="N566" s="47" t="n"/>
      <c r="O566" s="47" t="n"/>
      <c r="P566" s="47" t="n"/>
      <c r="Q566" s="47" t="n"/>
      <c r="R566" s="47" t="n"/>
      <c r="S566" s="47" t="n"/>
      <c r="T566" s="47" t="n"/>
      <c r="U566" s="53" t="n"/>
      <c r="V566" s="53" t="n"/>
      <c r="W566" s="47" t="n"/>
      <c r="X566" s="47" t="n"/>
      <c r="Y566" s="47" t="n"/>
      <c r="Z566" s="47" t="n"/>
      <c r="AA566" s="47" t="n"/>
      <c r="AB566" s="47" t="n"/>
      <c r="AC566" s="47" t="n"/>
      <c r="AD566" s="47" t="n"/>
      <c r="AE566" s="47" t="n"/>
      <c r="AF566" s="20">
        <f>IF(A566="","",YEAR(EDATE(A566,-3)))</f>
        <v/>
      </c>
      <c r="AG566" s="20">
        <f>IF(OR(B566="",'経歴簿'!$C$4=""),"",IF(B566&amp;""='経歴簿'!$C$4&amp;"",MAX($AG$4:AG565)+1,""))</f>
        <v/>
      </c>
      <c r="AH566" s="20">
        <f>IF(A566="",0,IF(AND(OR('CSV抽出'!$C$4="",A566&gt;='CSV抽出'!$C$4),OR('CSV抽出'!$C$5="",A566&lt;='CSV抽出'!$C$5),OR('CSV抽出'!$C$6="すべて",'CSV抽出'!$C$6="",D566='CSV抽出'!$C$6),OR('CSV抽出'!$C$7="",B566&amp;""='CSV抽出'!$C$7&amp;"")),1,0))</f>
        <v/>
      </c>
      <c r="AI566" s="20">
        <f>IF(AH566=1,SUM($AH$5:AH566),"")</f>
        <v/>
      </c>
      <c r="AJ566" s="20">
        <f>IF(OR(S566="",'報告書'!$C$4=""),"",IF(S566&amp;""='報告書'!$C$4&amp;"",COUNTIF($S$5:S566,'報告書'!$C$4),""))</f>
        <v/>
      </c>
      <c r="AK566" s="20" t="n"/>
      <c r="AL566" s="47" t="n"/>
      <c r="AM566" s="47" t="n"/>
      <c r="AN566" s="53" t="n"/>
      <c r="AO566" s="47" t="n"/>
      <c r="AP566" s="47" t="n"/>
      <c r="AQ566" s="47" t="n"/>
      <c r="AR566" s="47" t="n"/>
      <c r="AS566" s="47" t="n"/>
      <c r="AT566" s="47" t="n"/>
      <c r="AU566" s="47" t="n"/>
      <c r="AV566" s="47" t="n"/>
      <c r="AW566" s="52" t="n"/>
    </row>
    <row r="567">
      <c r="A567" s="48" t="n"/>
      <c r="B567" s="52" t="n"/>
      <c r="C567" s="47">
        <f>IF(B567="","",IFERROR(INDEX('隊員マスタ'!$B$5:$B$204,MATCH(B567&amp;"",'隊員マスタ'!$F$5:$F$204,0)),IF(AK567="","番号なし",AK567)))</f>
        <v/>
      </c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  <c r="N567" s="47" t="n"/>
      <c r="O567" s="47" t="n"/>
      <c r="P567" s="47" t="n"/>
      <c r="Q567" s="47" t="n"/>
      <c r="R567" s="47" t="n"/>
      <c r="S567" s="47" t="n"/>
      <c r="T567" s="47" t="n"/>
      <c r="U567" s="53" t="n"/>
      <c r="V567" s="53" t="n"/>
      <c r="W567" s="47" t="n"/>
      <c r="X567" s="47" t="n"/>
      <c r="Y567" s="47" t="n"/>
      <c r="Z567" s="47" t="n"/>
      <c r="AA567" s="47" t="n"/>
      <c r="AB567" s="47" t="n"/>
      <c r="AC567" s="47" t="n"/>
      <c r="AD567" s="47" t="n"/>
      <c r="AE567" s="47" t="n"/>
      <c r="AF567" s="20">
        <f>IF(A567="","",YEAR(EDATE(A567,-3)))</f>
        <v/>
      </c>
      <c r="AG567" s="20">
        <f>IF(OR(B567="",'経歴簿'!$C$4=""),"",IF(B567&amp;""='経歴簿'!$C$4&amp;"",MAX($AG$4:AG566)+1,""))</f>
        <v/>
      </c>
      <c r="AH567" s="20">
        <f>IF(A567="",0,IF(AND(OR('CSV抽出'!$C$4="",A567&gt;='CSV抽出'!$C$4),OR('CSV抽出'!$C$5="",A567&lt;='CSV抽出'!$C$5),OR('CSV抽出'!$C$6="すべて",'CSV抽出'!$C$6="",D567='CSV抽出'!$C$6),OR('CSV抽出'!$C$7="",B567&amp;""='CSV抽出'!$C$7&amp;"")),1,0))</f>
        <v/>
      </c>
      <c r="AI567" s="20">
        <f>IF(AH567=1,SUM($AH$5:AH567),"")</f>
        <v/>
      </c>
      <c r="AJ567" s="20">
        <f>IF(OR(S567="",'報告書'!$C$4=""),"",IF(S567&amp;""='報告書'!$C$4&amp;"",COUNTIF($S$5:S567,'報告書'!$C$4),""))</f>
        <v/>
      </c>
      <c r="AK567" s="20" t="n"/>
      <c r="AL567" s="47" t="n"/>
      <c r="AM567" s="47" t="n"/>
      <c r="AN567" s="53" t="n"/>
      <c r="AO567" s="47" t="n"/>
      <c r="AP567" s="47" t="n"/>
      <c r="AQ567" s="47" t="n"/>
      <c r="AR567" s="47" t="n"/>
      <c r="AS567" s="47" t="n"/>
      <c r="AT567" s="47" t="n"/>
      <c r="AU567" s="47" t="n"/>
      <c r="AV567" s="47" t="n"/>
      <c r="AW567" s="52" t="n"/>
    </row>
    <row r="568">
      <c r="A568" s="48" t="n"/>
      <c r="B568" s="52" t="n"/>
      <c r="C568" s="47">
        <f>IF(B568="","",IFERROR(INDEX('隊員マスタ'!$B$5:$B$204,MATCH(B568&amp;"",'隊員マスタ'!$F$5:$F$204,0)),IF(AK568="","番号なし",AK568)))</f>
        <v/>
      </c>
      <c r="D568" s="47" t="n"/>
      <c r="E568" s="47" t="n"/>
      <c r="F568" s="47" t="n"/>
      <c r="G568" s="47" t="n"/>
      <c r="H568" s="47" t="n"/>
      <c r="I568" s="47" t="n"/>
      <c r="J568" s="47" t="n"/>
      <c r="K568" s="47" t="n"/>
      <c r="L568" s="47" t="n"/>
      <c r="M568" s="47" t="n"/>
      <c r="N568" s="47" t="n"/>
      <c r="O568" s="47" t="n"/>
      <c r="P568" s="47" t="n"/>
      <c r="Q568" s="47" t="n"/>
      <c r="R568" s="47" t="n"/>
      <c r="S568" s="47" t="n"/>
      <c r="T568" s="47" t="n"/>
      <c r="U568" s="53" t="n"/>
      <c r="V568" s="53" t="n"/>
      <c r="W568" s="47" t="n"/>
      <c r="X568" s="47" t="n"/>
      <c r="Y568" s="47" t="n"/>
      <c r="Z568" s="47" t="n"/>
      <c r="AA568" s="47" t="n"/>
      <c r="AB568" s="47" t="n"/>
      <c r="AC568" s="47" t="n"/>
      <c r="AD568" s="47" t="n"/>
      <c r="AE568" s="47" t="n"/>
      <c r="AF568" s="20">
        <f>IF(A568="","",YEAR(EDATE(A568,-3)))</f>
        <v/>
      </c>
      <c r="AG568" s="20">
        <f>IF(OR(B568="",'経歴簿'!$C$4=""),"",IF(B568&amp;""='経歴簿'!$C$4&amp;"",MAX($AG$4:AG567)+1,""))</f>
        <v/>
      </c>
      <c r="AH568" s="20">
        <f>IF(A568="",0,IF(AND(OR('CSV抽出'!$C$4="",A568&gt;='CSV抽出'!$C$4),OR('CSV抽出'!$C$5="",A568&lt;='CSV抽出'!$C$5),OR('CSV抽出'!$C$6="すべて",'CSV抽出'!$C$6="",D568='CSV抽出'!$C$6),OR('CSV抽出'!$C$7="",B568&amp;""='CSV抽出'!$C$7&amp;"")),1,0))</f>
        <v/>
      </c>
      <c r="AI568" s="20">
        <f>IF(AH568=1,SUM($AH$5:AH568),"")</f>
        <v/>
      </c>
      <c r="AJ568" s="20">
        <f>IF(OR(S568="",'報告書'!$C$4=""),"",IF(S568&amp;""='報告書'!$C$4&amp;"",COUNTIF($S$5:S568,'報告書'!$C$4),""))</f>
        <v/>
      </c>
      <c r="AK568" s="20" t="n"/>
      <c r="AL568" s="47" t="n"/>
      <c r="AM568" s="47" t="n"/>
      <c r="AN568" s="53" t="n"/>
      <c r="AO568" s="47" t="n"/>
      <c r="AP568" s="47" t="n"/>
      <c r="AQ568" s="47" t="n"/>
      <c r="AR568" s="47" t="n"/>
      <c r="AS568" s="47" t="n"/>
      <c r="AT568" s="47" t="n"/>
      <c r="AU568" s="47" t="n"/>
      <c r="AV568" s="47" t="n"/>
      <c r="AW568" s="52" t="n"/>
    </row>
    <row r="569">
      <c r="A569" s="48" t="n"/>
      <c r="B569" s="52" t="n"/>
      <c r="C569" s="47">
        <f>IF(B569="","",IFERROR(INDEX('隊員マスタ'!$B$5:$B$204,MATCH(B569&amp;"",'隊員マスタ'!$F$5:$F$204,0)),IF(AK569="","番号なし",AK569)))</f>
        <v/>
      </c>
      <c r="D569" s="47" t="n"/>
      <c r="E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  <c r="N569" s="47" t="n"/>
      <c r="O569" s="47" t="n"/>
      <c r="P569" s="47" t="n"/>
      <c r="Q569" s="47" t="n"/>
      <c r="R569" s="47" t="n"/>
      <c r="S569" s="47" t="n"/>
      <c r="T569" s="47" t="n"/>
      <c r="U569" s="53" t="n"/>
      <c r="V569" s="53" t="n"/>
      <c r="W569" s="47" t="n"/>
      <c r="X569" s="47" t="n"/>
      <c r="Y569" s="47" t="n"/>
      <c r="Z569" s="47" t="n"/>
      <c r="AA569" s="47" t="n"/>
      <c r="AB569" s="47" t="n"/>
      <c r="AC569" s="47" t="n"/>
      <c r="AD569" s="47" t="n"/>
      <c r="AE569" s="47" t="n"/>
      <c r="AF569" s="20">
        <f>IF(A569="","",YEAR(EDATE(A569,-3)))</f>
        <v/>
      </c>
      <c r="AG569" s="20">
        <f>IF(OR(B569="",'経歴簿'!$C$4=""),"",IF(B569&amp;""='経歴簿'!$C$4&amp;"",MAX($AG$4:AG568)+1,""))</f>
        <v/>
      </c>
      <c r="AH569" s="20">
        <f>IF(A569="",0,IF(AND(OR('CSV抽出'!$C$4="",A569&gt;='CSV抽出'!$C$4),OR('CSV抽出'!$C$5="",A569&lt;='CSV抽出'!$C$5),OR('CSV抽出'!$C$6="すべて",'CSV抽出'!$C$6="",D569='CSV抽出'!$C$6),OR('CSV抽出'!$C$7="",B569&amp;""='CSV抽出'!$C$7&amp;"")),1,0))</f>
        <v/>
      </c>
      <c r="AI569" s="20">
        <f>IF(AH569=1,SUM($AH$5:AH569),"")</f>
        <v/>
      </c>
      <c r="AJ569" s="20">
        <f>IF(OR(S569="",'報告書'!$C$4=""),"",IF(S569&amp;""='報告書'!$C$4&amp;"",COUNTIF($S$5:S569,'報告書'!$C$4),""))</f>
        <v/>
      </c>
      <c r="AK569" s="20" t="n"/>
      <c r="AL569" s="47" t="n"/>
      <c r="AM569" s="47" t="n"/>
      <c r="AN569" s="53" t="n"/>
      <c r="AO569" s="47" t="n"/>
      <c r="AP569" s="47" t="n"/>
      <c r="AQ569" s="47" t="n"/>
      <c r="AR569" s="47" t="n"/>
      <c r="AS569" s="47" t="n"/>
      <c r="AT569" s="47" t="n"/>
      <c r="AU569" s="47" t="n"/>
      <c r="AV569" s="47" t="n"/>
      <c r="AW569" s="52" t="n"/>
    </row>
    <row r="570">
      <c r="A570" s="48" t="n"/>
      <c r="B570" s="52" t="n"/>
      <c r="C570" s="47">
        <f>IF(B570="","",IFERROR(INDEX('隊員マスタ'!$B$5:$B$204,MATCH(B570&amp;"",'隊員マスタ'!$F$5:$F$204,0)),IF(AK570="","番号なし",AK570)))</f>
        <v/>
      </c>
      <c r="D570" s="47" t="n"/>
      <c r="E570" s="47" t="n"/>
      <c r="F570" s="47" t="n"/>
      <c r="G570" s="47" t="n"/>
      <c r="H570" s="47" t="n"/>
      <c r="I570" s="47" t="n"/>
      <c r="J570" s="47" t="n"/>
      <c r="K570" s="47" t="n"/>
      <c r="L570" s="47" t="n"/>
      <c r="M570" s="47" t="n"/>
      <c r="N570" s="47" t="n"/>
      <c r="O570" s="47" t="n"/>
      <c r="P570" s="47" t="n"/>
      <c r="Q570" s="47" t="n"/>
      <c r="R570" s="47" t="n"/>
      <c r="S570" s="47" t="n"/>
      <c r="T570" s="47" t="n"/>
      <c r="U570" s="53" t="n"/>
      <c r="V570" s="53" t="n"/>
      <c r="W570" s="47" t="n"/>
      <c r="X570" s="47" t="n"/>
      <c r="Y570" s="47" t="n"/>
      <c r="Z570" s="47" t="n"/>
      <c r="AA570" s="47" t="n"/>
      <c r="AB570" s="47" t="n"/>
      <c r="AC570" s="47" t="n"/>
      <c r="AD570" s="47" t="n"/>
      <c r="AE570" s="47" t="n"/>
      <c r="AF570" s="20">
        <f>IF(A570="","",YEAR(EDATE(A570,-3)))</f>
        <v/>
      </c>
      <c r="AG570" s="20">
        <f>IF(OR(B570="",'経歴簿'!$C$4=""),"",IF(B570&amp;""='経歴簿'!$C$4&amp;"",MAX($AG$4:AG569)+1,""))</f>
        <v/>
      </c>
      <c r="AH570" s="20">
        <f>IF(A570="",0,IF(AND(OR('CSV抽出'!$C$4="",A570&gt;='CSV抽出'!$C$4),OR('CSV抽出'!$C$5="",A570&lt;='CSV抽出'!$C$5),OR('CSV抽出'!$C$6="すべて",'CSV抽出'!$C$6="",D570='CSV抽出'!$C$6),OR('CSV抽出'!$C$7="",B570&amp;""='CSV抽出'!$C$7&amp;"")),1,0))</f>
        <v/>
      </c>
      <c r="AI570" s="20">
        <f>IF(AH570=1,SUM($AH$5:AH570),"")</f>
        <v/>
      </c>
      <c r="AJ570" s="20">
        <f>IF(OR(S570="",'報告書'!$C$4=""),"",IF(S570&amp;""='報告書'!$C$4&amp;"",COUNTIF($S$5:S570,'報告書'!$C$4),""))</f>
        <v/>
      </c>
      <c r="AK570" s="20" t="n"/>
      <c r="AL570" s="47" t="n"/>
      <c r="AM570" s="47" t="n"/>
      <c r="AN570" s="53" t="n"/>
      <c r="AO570" s="47" t="n"/>
      <c r="AP570" s="47" t="n"/>
      <c r="AQ570" s="47" t="n"/>
      <c r="AR570" s="47" t="n"/>
      <c r="AS570" s="47" t="n"/>
      <c r="AT570" s="47" t="n"/>
      <c r="AU570" s="47" t="n"/>
      <c r="AV570" s="47" t="n"/>
      <c r="AW570" s="52" t="n"/>
    </row>
    <row r="571">
      <c r="A571" s="48" t="n"/>
      <c r="B571" s="52" t="n"/>
      <c r="C571" s="47">
        <f>IF(B571="","",IFERROR(INDEX('隊員マスタ'!$B$5:$B$204,MATCH(B571&amp;"",'隊員マスタ'!$F$5:$F$204,0)),IF(AK571="","番号なし",AK571)))</f>
        <v/>
      </c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  <c r="N571" s="47" t="n"/>
      <c r="O571" s="47" t="n"/>
      <c r="P571" s="47" t="n"/>
      <c r="Q571" s="47" t="n"/>
      <c r="R571" s="47" t="n"/>
      <c r="S571" s="47" t="n"/>
      <c r="T571" s="47" t="n"/>
      <c r="U571" s="53" t="n"/>
      <c r="V571" s="53" t="n"/>
      <c r="W571" s="47" t="n"/>
      <c r="X571" s="47" t="n"/>
      <c r="Y571" s="47" t="n"/>
      <c r="Z571" s="47" t="n"/>
      <c r="AA571" s="47" t="n"/>
      <c r="AB571" s="47" t="n"/>
      <c r="AC571" s="47" t="n"/>
      <c r="AD571" s="47" t="n"/>
      <c r="AE571" s="47" t="n"/>
      <c r="AF571" s="20">
        <f>IF(A571="","",YEAR(EDATE(A571,-3)))</f>
        <v/>
      </c>
      <c r="AG571" s="20">
        <f>IF(OR(B571="",'経歴簿'!$C$4=""),"",IF(B571&amp;""='経歴簿'!$C$4&amp;"",MAX($AG$4:AG570)+1,""))</f>
        <v/>
      </c>
      <c r="AH571" s="20">
        <f>IF(A571="",0,IF(AND(OR('CSV抽出'!$C$4="",A571&gt;='CSV抽出'!$C$4),OR('CSV抽出'!$C$5="",A571&lt;='CSV抽出'!$C$5),OR('CSV抽出'!$C$6="すべて",'CSV抽出'!$C$6="",D571='CSV抽出'!$C$6),OR('CSV抽出'!$C$7="",B571&amp;""='CSV抽出'!$C$7&amp;"")),1,0))</f>
        <v/>
      </c>
      <c r="AI571" s="20">
        <f>IF(AH571=1,SUM($AH$5:AH571),"")</f>
        <v/>
      </c>
      <c r="AJ571" s="20">
        <f>IF(OR(S571="",'報告書'!$C$4=""),"",IF(S571&amp;""='報告書'!$C$4&amp;"",COUNTIF($S$5:S571,'報告書'!$C$4),""))</f>
        <v/>
      </c>
      <c r="AK571" s="20" t="n"/>
      <c r="AL571" s="47" t="n"/>
      <c r="AM571" s="47" t="n"/>
      <c r="AN571" s="53" t="n"/>
      <c r="AO571" s="47" t="n"/>
      <c r="AP571" s="47" t="n"/>
      <c r="AQ571" s="47" t="n"/>
      <c r="AR571" s="47" t="n"/>
      <c r="AS571" s="47" t="n"/>
      <c r="AT571" s="47" t="n"/>
      <c r="AU571" s="47" t="n"/>
      <c r="AV571" s="47" t="n"/>
      <c r="AW571" s="52" t="n"/>
    </row>
    <row r="572">
      <c r="A572" s="48" t="n"/>
      <c r="B572" s="52" t="n"/>
      <c r="C572" s="47">
        <f>IF(B572="","",IFERROR(INDEX('隊員マスタ'!$B$5:$B$204,MATCH(B572&amp;"",'隊員マスタ'!$F$5:$F$204,0)),IF(AK572="","番号なし",AK572)))</f>
        <v/>
      </c>
      <c r="D572" s="47" t="n"/>
      <c r="E572" s="47" t="n"/>
      <c r="F572" s="47" t="n"/>
      <c r="G572" s="47" t="n"/>
      <c r="H572" s="47" t="n"/>
      <c r="I572" s="47" t="n"/>
      <c r="J572" s="47" t="n"/>
      <c r="K572" s="47" t="n"/>
      <c r="L572" s="47" t="n"/>
      <c r="M572" s="47" t="n"/>
      <c r="N572" s="47" t="n"/>
      <c r="O572" s="47" t="n"/>
      <c r="P572" s="47" t="n"/>
      <c r="Q572" s="47" t="n"/>
      <c r="R572" s="47" t="n"/>
      <c r="S572" s="47" t="n"/>
      <c r="T572" s="47" t="n"/>
      <c r="U572" s="53" t="n"/>
      <c r="V572" s="53" t="n"/>
      <c r="W572" s="47" t="n"/>
      <c r="X572" s="47" t="n"/>
      <c r="Y572" s="47" t="n"/>
      <c r="Z572" s="47" t="n"/>
      <c r="AA572" s="47" t="n"/>
      <c r="AB572" s="47" t="n"/>
      <c r="AC572" s="47" t="n"/>
      <c r="AD572" s="47" t="n"/>
      <c r="AE572" s="47" t="n"/>
      <c r="AF572" s="20">
        <f>IF(A572="","",YEAR(EDATE(A572,-3)))</f>
        <v/>
      </c>
      <c r="AG572" s="20">
        <f>IF(OR(B572="",'経歴簿'!$C$4=""),"",IF(B572&amp;""='経歴簿'!$C$4&amp;"",MAX($AG$4:AG571)+1,""))</f>
        <v/>
      </c>
      <c r="AH572" s="20">
        <f>IF(A572="",0,IF(AND(OR('CSV抽出'!$C$4="",A572&gt;='CSV抽出'!$C$4),OR('CSV抽出'!$C$5="",A572&lt;='CSV抽出'!$C$5),OR('CSV抽出'!$C$6="すべて",'CSV抽出'!$C$6="",D572='CSV抽出'!$C$6),OR('CSV抽出'!$C$7="",B572&amp;""='CSV抽出'!$C$7&amp;"")),1,0))</f>
        <v/>
      </c>
      <c r="AI572" s="20">
        <f>IF(AH572=1,SUM($AH$5:AH572),"")</f>
        <v/>
      </c>
      <c r="AJ572" s="20">
        <f>IF(OR(S572="",'報告書'!$C$4=""),"",IF(S572&amp;""='報告書'!$C$4&amp;"",COUNTIF($S$5:S572,'報告書'!$C$4),""))</f>
        <v/>
      </c>
      <c r="AK572" s="20" t="n"/>
      <c r="AL572" s="47" t="n"/>
      <c r="AM572" s="47" t="n"/>
      <c r="AN572" s="53" t="n"/>
      <c r="AO572" s="47" t="n"/>
      <c r="AP572" s="47" t="n"/>
      <c r="AQ572" s="47" t="n"/>
      <c r="AR572" s="47" t="n"/>
      <c r="AS572" s="47" t="n"/>
      <c r="AT572" s="47" t="n"/>
      <c r="AU572" s="47" t="n"/>
      <c r="AV572" s="47" t="n"/>
      <c r="AW572" s="52" t="n"/>
    </row>
    <row r="573">
      <c r="A573" s="48" t="n"/>
      <c r="B573" s="52" t="n"/>
      <c r="C573" s="47">
        <f>IF(B573="","",IFERROR(INDEX('隊員マスタ'!$B$5:$B$204,MATCH(B573&amp;"",'隊員マスタ'!$F$5:$F$204,0)),IF(AK573="","番号なし",AK573)))</f>
        <v/>
      </c>
      <c r="D573" s="47" t="n"/>
      <c r="E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  <c r="N573" s="47" t="n"/>
      <c r="O573" s="47" t="n"/>
      <c r="P573" s="47" t="n"/>
      <c r="Q573" s="47" t="n"/>
      <c r="R573" s="47" t="n"/>
      <c r="S573" s="47" t="n"/>
      <c r="T573" s="47" t="n"/>
      <c r="U573" s="53" t="n"/>
      <c r="V573" s="53" t="n"/>
      <c r="W573" s="47" t="n"/>
      <c r="X573" s="47" t="n"/>
      <c r="Y573" s="47" t="n"/>
      <c r="Z573" s="47" t="n"/>
      <c r="AA573" s="47" t="n"/>
      <c r="AB573" s="47" t="n"/>
      <c r="AC573" s="47" t="n"/>
      <c r="AD573" s="47" t="n"/>
      <c r="AE573" s="47" t="n"/>
      <c r="AF573" s="20">
        <f>IF(A573="","",YEAR(EDATE(A573,-3)))</f>
        <v/>
      </c>
      <c r="AG573" s="20">
        <f>IF(OR(B573="",'経歴簿'!$C$4=""),"",IF(B573&amp;""='経歴簿'!$C$4&amp;"",MAX($AG$4:AG572)+1,""))</f>
        <v/>
      </c>
      <c r="AH573" s="20">
        <f>IF(A573="",0,IF(AND(OR('CSV抽出'!$C$4="",A573&gt;='CSV抽出'!$C$4),OR('CSV抽出'!$C$5="",A573&lt;='CSV抽出'!$C$5),OR('CSV抽出'!$C$6="すべて",'CSV抽出'!$C$6="",D573='CSV抽出'!$C$6),OR('CSV抽出'!$C$7="",B573&amp;""='CSV抽出'!$C$7&amp;"")),1,0))</f>
        <v/>
      </c>
      <c r="AI573" s="20">
        <f>IF(AH573=1,SUM($AH$5:AH573),"")</f>
        <v/>
      </c>
      <c r="AJ573" s="20">
        <f>IF(OR(S573="",'報告書'!$C$4=""),"",IF(S573&amp;""='報告書'!$C$4&amp;"",COUNTIF($S$5:S573,'報告書'!$C$4),""))</f>
        <v/>
      </c>
      <c r="AK573" s="20" t="n"/>
      <c r="AL573" s="47" t="n"/>
      <c r="AM573" s="47" t="n"/>
      <c r="AN573" s="53" t="n"/>
      <c r="AO573" s="47" t="n"/>
      <c r="AP573" s="47" t="n"/>
      <c r="AQ573" s="47" t="n"/>
      <c r="AR573" s="47" t="n"/>
      <c r="AS573" s="47" t="n"/>
      <c r="AT573" s="47" t="n"/>
      <c r="AU573" s="47" t="n"/>
      <c r="AV573" s="47" t="n"/>
      <c r="AW573" s="52" t="n"/>
    </row>
    <row r="574">
      <c r="A574" s="48" t="n"/>
      <c r="B574" s="52" t="n"/>
      <c r="C574" s="47">
        <f>IF(B574="","",IFERROR(INDEX('隊員マスタ'!$B$5:$B$204,MATCH(B574&amp;"",'隊員マスタ'!$F$5:$F$204,0)),IF(AK574="","番号なし",AK574)))</f>
        <v/>
      </c>
      <c r="D574" s="47" t="n"/>
      <c r="E574" s="47" t="n"/>
      <c r="F574" s="47" t="n"/>
      <c r="G574" s="47" t="n"/>
      <c r="H574" s="47" t="n"/>
      <c r="I574" s="47" t="n"/>
      <c r="J574" s="47" t="n"/>
      <c r="K574" s="47" t="n"/>
      <c r="L574" s="47" t="n"/>
      <c r="M574" s="47" t="n"/>
      <c r="N574" s="47" t="n"/>
      <c r="O574" s="47" t="n"/>
      <c r="P574" s="47" t="n"/>
      <c r="Q574" s="47" t="n"/>
      <c r="R574" s="47" t="n"/>
      <c r="S574" s="47" t="n"/>
      <c r="T574" s="47" t="n"/>
      <c r="U574" s="53" t="n"/>
      <c r="V574" s="53" t="n"/>
      <c r="W574" s="47" t="n"/>
      <c r="X574" s="47" t="n"/>
      <c r="Y574" s="47" t="n"/>
      <c r="Z574" s="47" t="n"/>
      <c r="AA574" s="47" t="n"/>
      <c r="AB574" s="47" t="n"/>
      <c r="AC574" s="47" t="n"/>
      <c r="AD574" s="47" t="n"/>
      <c r="AE574" s="47" t="n"/>
      <c r="AF574" s="20">
        <f>IF(A574="","",YEAR(EDATE(A574,-3)))</f>
        <v/>
      </c>
      <c r="AG574" s="20">
        <f>IF(OR(B574="",'経歴簿'!$C$4=""),"",IF(B574&amp;""='経歴簿'!$C$4&amp;"",MAX($AG$4:AG573)+1,""))</f>
        <v/>
      </c>
      <c r="AH574" s="20">
        <f>IF(A574="",0,IF(AND(OR('CSV抽出'!$C$4="",A574&gt;='CSV抽出'!$C$4),OR('CSV抽出'!$C$5="",A574&lt;='CSV抽出'!$C$5),OR('CSV抽出'!$C$6="すべて",'CSV抽出'!$C$6="",D574='CSV抽出'!$C$6),OR('CSV抽出'!$C$7="",B574&amp;""='CSV抽出'!$C$7&amp;"")),1,0))</f>
        <v/>
      </c>
      <c r="AI574" s="20">
        <f>IF(AH574=1,SUM($AH$5:AH574),"")</f>
        <v/>
      </c>
      <c r="AJ574" s="20">
        <f>IF(OR(S574="",'報告書'!$C$4=""),"",IF(S574&amp;""='報告書'!$C$4&amp;"",COUNTIF($S$5:S574,'報告書'!$C$4),""))</f>
        <v/>
      </c>
      <c r="AK574" s="20" t="n"/>
      <c r="AL574" s="47" t="n"/>
      <c r="AM574" s="47" t="n"/>
      <c r="AN574" s="53" t="n"/>
      <c r="AO574" s="47" t="n"/>
      <c r="AP574" s="47" t="n"/>
      <c r="AQ574" s="47" t="n"/>
      <c r="AR574" s="47" t="n"/>
      <c r="AS574" s="47" t="n"/>
      <c r="AT574" s="47" t="n"/>
      <c r="AU574" s="47" t="n"/>
      <c r="AV574" s="47" t="n"/>
      <c r="AW574" s="52" t="n"/>
    </row>
    <row r="575">
      <c r="A575" s="48" t="n"/>
      <c r="B575" s="52" t="n"/>
      <c r="C575" s="47">
        <f>IF(B575="","",IFERROR(INDEX('隊員マスタ'!$B$5:$B$204,MATCH(B575&amp;"",'隊員マスタ'!$F$5:$F$204,0)),IF(AK575="","番号なし",AK575)))</f>
        <v/>
      </c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  <c r="N575" s="47" t="n"/>
      <c r="O575" s="47" t="n"/>
      <c r="P575" s="47" t="n"/>
      <c r="Q575" s="47" t="n"/>
      <c r="R575" s="47" t="n"/>
      <c r="S575" s="47" t="n"/>
      <c r="T575" s="47" t="n"/>
      <c r="U575" s="53" t="n"/>
      <c r="V575" s="53" t="n"/>
      <c r="W575" s="47" t="n"/>
      <c r="X575" s="47" t="n"/>
      <c r="Y575" s="47" t="n"/>
      <c r="Z575" s="47" t="n"/>
      <c r="AA575" s="47" t="n"/>
      <c r="AB575" s="47" t="n"/>
      <c r="AC575" s="47" t="n"/>
      <c r="AD575" s="47" t="n"/>
      <c r="AE575" s="47" t="n"/>
      <c r="AF575" s="20">
        <f>IF(A575="","",YEAR(EDATE(A575,-3)))</f>
        <v/>
      </c>
      <c r="AG575" s="20">
        <f>IF(OR(B575="",'経歴簿'!$C$4=""),"",IF(B575&amp;""='経歴簿'!$C$4&amp;"",MAX($AG$4:AG574)+1,""))</f>
        <v/>
      </c>
      <c r="AH575" s="20">
        <f>IF(A575="",0,IF(AND(OR('CSV抽出'!$C$4="",A575&gt;='CSV抽出'!$C$4),OR('CSV抽出'!$C$5="",A575&lt;='CSV抽出'!$C$5),OR('CSV抽出'!$C$6="すべて",'CSV抽出'!$C$6="",D575='CSV抽出'!$C$6),OR('CSV抽出'!$C$7="",B575&amp;""='CSV抽出'!$C$7&amp;"")),1,0))</f>
        <v/>
      </c>
      <c r="AI575" s="20">
        <f>IF(AH575=1,SUM($AH$5:AH575),"")</f>
        <v/>
      </c>
      <c r="AJ575" s="20">
        <f>IF(OR(S575="",'報告書'!$C$4=""),"",IF(S575&amp;""='報告書'!$C$4&amp;"",COUNTIF($S$5:S575,'報告書'!$C$4),""))</f>
        <v/>
      </c>
      <c r="AK575" s="20" t="n"/>
      <c r="AL575" s="47" t="n"/>
      <c r="AM575" s="47" t="n"/>
      <c r="AN575" s="53" t="n"/>
      <c r="AO575" s="47" t="n"/>
      <c r="AP575" s="47" t="n"/>
      <c r="AQ575" s="47" t="n"/>
      <c r="AR575" s="47" t="n"/>
      <c r="AS575" s="47" t="n"/>
      <c r="AT575" s="47" t="n"/>
      <c r="AU575" s="47" t="n"/>
      <c r="AV575" s="47" t="n"/>
      <c r="AW575" s="52" t="n"/>
    </row>
    <row r="576">
      <c r="A576" s="48" t="n"/>
      <c r="B576" s="52" t="n"/>
      <c r="C576" s="47">
        <f>IF(B576="","",IFERROR(INDEX('隊員マスタ'!$B$5:$B$204,MATCH(B576&amp;"",'隊員マスタ'!$F$5:$F$204,0)),IF(AK576="","番号なし",AK576)))</f>
        <v/>
      </c>
      <c r="D576" s="47" t="n"/>
      <c r="E576" s="47" t="n"/>
      <c r="F576" s="47" t="n"/>
      <c r="G576" s="47" t="n"/>
      <c r="H576" s="47" t="n"/>
      <c r="I576" s="47" t="n"/>
      <c r="J576" s="47" t="n"/>
      <c r="K576" s="47" t="n"/>
      <c r="L576" s="47" t="n"/>
      <c r="M576" s="47" t="n"/>
      <c r="N576" s="47" t="n"/>
      <c r="O576" s="47" t="n"/>
      <c r="P576" s="47" t="n"/>
      <c r="Q576" s="47" t="n"/>
      <c r="R576" s="47" t="n"/>
      <c r="S576" s="47" t="n"/>
      <c r="T576" s="47" t="n"/>
      <c r="U576" s="53" t="n"/>
      <c r="V576" s="53" t="n"/>
      <c r="W576" s="47" t="n"/>
      <c r="X576" s="47" t="n"/>
      <c r="Y576" s="47" t="n"/>
      <c r="Z576" s="47" t="n"/>
      <c r="AA576" s="47" t="n"/>
      <c r="AB576" s="47" t="n"/>
      <c r="AC576" s="47" t="n"/>
      <c r="AD576" s="47" t="n"/>
      <c r="AE576" s="47" t="n"/>
      <c r="AF576" s="20">
        <f>IF(A576="","",YEAR(EDATE(A576,-3)))</f>
        <v/>
      </c>
      <c r="AG576" s="20">
        <f>IF(OR(B576="",'経歴簿'!$C$4=""),"",IF(B576&amp;""='経歴簿'!$C$4&amp;"",MAX($AG$4:AG575)+1,""))</f>
        <v/>
      </c>
      <c r="AH576" s="20">
        <f>IF(A576="",0,IF(AND(OR('CSV抽出'!$C$4="",A576&gt;='CSV抽出'!$C$4),OR('CSV抽出'!$C$5="",A576&lt;='CSV抽出'!$C$5),OR('CSV抽出'!$C$6="すべて",'CSV抽出'!$C$6="",D576='CSV抽出'!$C$6),OR('CSV抽出'!$C$7="",B576&amp;""='CSV抽出'!$C$7&amp;"")),1,0))</f>
        <v/>
      </c>
      <c r="AI576" s="20">
        <f>IF(AH576=1,SUM($AH$5:AH576),"")</f>
        <v/>
      </c>
      <c r="AJ576" s="20">
        <f>IF(OR(S576="",'報告書'!$C$4=""),"",IF(S576&amp;""='報告書'!$C$4&amp;"",COUNTIF($S$5:S576,'報告書'!$C$4),""))</f>
        <v/>
      </c>
      <c r="AK576" s="20" t="n"/>
      <c r="AL576" s="47" t="n"/>
      <c r="AM576" s="47" t="n"/>
      <c r="AN576" s="53" t="n"/>
      <c r="AO576" s="47" t="n"/>
      <c r="AP576" s="47" t="n"/>
      <c r="AQ576" s="47" t="n"/>
      <c r="AR576" s="47" t="n"/>
      <c r="AS576" s="47" t="n"/>
      <c r="AT576" s="47" t="n"/>
      <c r="AU576" s="47" t="n"/>
      <c r="AV576" s="47" t="n"/>
      <c r="AW576" s="52" t="n"/>
    </row>
    <row r="577">
      <c r="A577" s="48" t="n"/>
      <c r="B577" s="52" t="n"/>
      <c r="C577" s="47">
        <f>IF(B577="","",IFERROR(INDEX('隊員マスタ'!$B$5:$B$204,MATCH(B577&amp;"",'隊員マスタ'!$F$5:$F$204,0)),IF(AK577="","番号なし",AK577)))</f>
        <v/>
      </c>
      <c r="D577" s="47" t="n"/>
      <c r="E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  <c r="N577" s="47" t="n"/>
      <c r="O577" s="47" t="n"/>
      <c r="P577" s="47" t="n"/>
      <c r="Q577" s="47" t="n"/>
      <c r="R577" s="47" t="n"/>
      <c r="S577" s="47" t="n"/>
      <c r="T577" s="47" t="n"/>
      <c r="U577" s="53" t="n"/>
      <c r="V577" s="53" t="n"/>
      <c r="W577" s="47" t="n"/>
      <c r="X577" s="47" t="n"/>
      <c r="Y577" s="47" t="n"/>
      <c r="Z577" s="47" t="n"/>
      <c r="AA577" s="47" t="n"/>
      <c r="AB577" s="47" t="n"/>
      <c r="AC577" s="47" t="n"/>
      <c r="AD577" s="47" t="n"/>
      <c r="AE577" s="47" t="n"/>
      <c r="AF577" s="20">
        <f>IF(A577="","",YEAR(EDATE(A577,-3)))</f>
        <v/>
      </c>
      <c r="AG577" s="20">
        <f>IF(OR(B577="",'経歴簿'!$C$4=""),"",IF(B577&amp;""='経歴簿'!$C$4&amp;"",MAX($AG$4:AG576)+1,""))</f>
        <v/>
      </c>
      <c r="AH577" s="20">
        <f>IF(A577="",0,IF(AND(OR('CSV抽出'!$C$4="",A577&gt;='CSV抽出'!$C$4),OR('CSV抽出'!$C$5="",A577&lt;='CSV抽出'!$C$5),OR('CSV抽出'!$C$6="すべて",'CSV抽出'!$C$6="",D577='CSV抽出'!$C$6),OR('CSV抽出'!$C$7="",B577&amp;""='CSV抽出'!$C$7&amp;"")),1,0))</f>
        <v/>
      </c>
      <c r="AI577" s="20">
        <f>IF(AH577=1,SUM($AH$5:AH577),"")</f>
        <v/>
      </c>
      <c r="AJ577" s="20">
        <f>IF(OR(S577="",'報告書'!$C$4=""),"",IF(S577&amp;""='報告書'!$C$4&amp;"",COUNTIF($S$5:S577,'報告書'!$C$4),""))</f>
        <v/>
      </c>
      <c r="AK577" s="20" t="n"/>
      <c r="AL577" s="47" t="n"/>
      <c r="AM577" s="47" t="n"/>
      <c r="AN577" s="53" t="n"/>
      <c r="AO577" s="47" t="n"/>
      <c r="AP577" s="47" t="n"/>
      <c r="AQ577" s="47" t="n"/>
      <c r="AR577" s="47" t="n"/>
      <c r="AS577" s="47" t="n"/>
      <c r="AT577" s="47" t="n"/>
      <c r="AU577" s="47" t="n"/>
      <c r="AV577" s="47" t="n"/>
      <c r="AW577" s="52" t="n"/>
    </row>
    <row r="578">
      <c r="A578" s="48" t="n"/>
      <c r="B578" s="52" t="n"/>
      <c r="C578" s="47">
        <f>IF(B578="","",IFERROR(INDEX('隊員マスタ'!$B$5:$B$204,MATCH(B578&amp;"",'隊員マスタ'!$F$5:$F$204,0)),IF(AK578="","番号なし",AK578)))</f>
        <v/>
      </c>
      <c r="D578" s="47" t="n"/>
      <c r="E578" s="47" t="n"/>
      <c r="F578" s="47" t="n"/>
      <c r="G578" s="47" t="n"/>
      <c r="H578" s="47" t="n"/>
      <c r="I578" s="47" t="n"/>
      <c r="J578" s="47" t="n"/>
      <c r="K578" s="47" t="n"/>
      <c r="L578" s="47" t="n"/>
      <c r="M578" s="47" t="n"/>
      <c r="N578" s="47" t="n"/>
      <c r="O578" s="47" t="n"/>
      <c r="P578" s="47" t="n"/>
      <c r="Q578" s="47" t="n"/>
      <c r="R578" s="47" t="n"/>
      <c r="S578" s="47" t="n"/>
      <c r="T578" s="47" t="n"/>
      <c r="U578" s="53" t="n"/>
      <c r="V578" s="53" t="n"/>
      <c r="W578" s="47" t="n"/>
      <c r="X578" s="47" t="n"/>
      <c r="Y578" s="47" t="n"/>
      <c r="Z578" s="47" t="n"/>
      <c r="AA578" s="47" t="n"/>
      <c r="AB578" s="47" t="n"/>
      <c r="AC578" s="47" t="n"/>
      <c r="AD578" s="47" t="n"/>
      <c r="AE578" s="47" t="n"/>
      <c r="AF578" s="20">
        <f>IF(A578="","",YEAR(EDATE(A578,-3)))</f>
        <v/>
      </c>
      <c r="AG578" s="20">
        <f>IF(OR(B578="",'経歴簿'!$C$4=""),"",IF(B578&amp;""='経歴簿'!$C$4&amp;"",MAX($AG$4:AG577)+1,""))</f>
        <v/>
      </c>
      <c r="AH578" s="20">
        <f>IF(A578="",0,IF(AND(OR('CSV抽出'!$C$4="",A578&gt;='CSV抽出'!$C$4),OR('CSV抽出'!$C$5="",A578&lt;='CSV抽出'!$C$5),OR('CSV抽出'!$C$6="すべて",'CSV抽出'!$C$6="",D578='CSV抽出'!$C$6),OR('CSV抽出'!$C$7="",B578&amp;""='CSV抽出'!$C$7&amp;"")),1,0))</f>
        <v/>
      </c>
      <c r="AI578" s="20">
        <f>IF(AH578=1,SUM($AH$5:AH578),"")</f>
        <v/>
      </c>
      <c r="AJ578" s="20">
        <f>IF(OR(S578="",'報告書'!$C$4=""),"",IF(S578&amp;""='報告書'!$C$4&amp;"",COUNTIF($S$5:S578,'報告書'!$C$4),""))</f>
        <v/>
      </c>
      <c r="AK578" s="20" t="n"/>
      <c r="AL578" s="47" t="n"/>
      <c r="AM578" s="47" t="n"/>
      <c r="AN578" s="53" t="n"/>
      <c r="AO578" s="47" t="n"/>
      <c r="AP578" s="47" t="n"/>
      <c r="AQ578" s="47" t="n"/>
      <c r="AR578" s="47" t="n"/>
      <c r="AS578" s="47" t="n"/>
      <c r="AT578" s="47" t="n"/>
      <c r="AU578" s="47" t="n"/>
      <c r="AV578" s="47" t="n"/>
      <c r="AW578" s="52" t="n"/>
    </row>
    <row r="579">
      <c r="A579" s="48" t="n"/>
      <c r="B579" s="52" t="n"/>
      <c r="C579" s="47">
        <f>IF(B579="","",IFERROR(INDEX('隊員マスタ'!$B$5:$B$204,MATCH(B579&amp;"",'隊員マスタ'!$F$5:$F$204,0)),IF(AK579="","番号なし",AK579)))</f>
        <v/>
      </c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  <c r="N579" s="47" t="n"/>
      <c r="O579" s="47" t="n"/>
      <c r="P579" s="47" t="n"/>
      <c r="Q579" s="47" t="n"/>
      <c r="R579" s="47" t="n"/>
      <c r="S579" s="47" t="n"/>
      <c r="T579" s="47" t="n"/>
      <c r="U579" s="53" t="n"/>
      <c r="V579" s="53" t="n"/>
      <c r="W579" s="47" t="n"/>
      <c r="X579" s="47" t="n"/>
      <c r="Y579" s="47" t="n"/>
      <c r="Z579" s="47" t="n"/>
      <c r="AA579" s="47" t="n"/>
      <c r="AB579" s="47" t="n"/>
      <c r="AC579" s="47" t="n"/>
      <c r="AD579" s="47" t="n"/>
      <c r="AE579" s="47" t="n"/>
      <c r="AF579" s="20">
        <f>IF(A579="","",YEAR(EDATE(A579,-3)))</f>
        <v/>
      </c>
      <c r="AG579" s="20">
        <f>IF(OR(B579="",'経歴簿'!$C$4=""),"",IF(B579&amp;""='経歴簿'!$C$4&amp;"",MAX($AG$4:AG578)+1,""))</f>
        <v/>
      </c>
      <c r="AH579" s="20">
        <f>IF(A579="",0,IF(AND(OR('CSV抽出'!$C$4="",A579&gt;='CSV抽出'!$C$4),OR('CSV抽出'!$C$5="",A579&lt;='CSV抽出'!$C$5),OR('CSV抽出'!$C$6="すべて",'CSV抽出'!$C$6="",D579='CSV抽出'!$C$6),OR('CSV抽出'!$C$7="",B579&amp;""='CSV抽出'!$C$7&amp;"")),1,0))</f>
        <v/>
      </c>
      <c r="AI579" s="20">
        <f>IF(AH579=1,SUM($AH$5:AH579),"")</f>
        <v/>
      </c>
      <c r="AJ579" s="20">
        <f>IF(OR(S579="",'報告書'!$C$4=""),"",IF(S579&amp;""='報告書'!$C$4&amp;"",COUNTIF($S$5:S579,'報告書'!$C$4),""))</f>
        <v/>
      </c>
      <c r="AK579" s="20" t="n"/>
      <c r="AL579" s="47" t="n"/>
      <c r="AM579" s="47" t="n"/>
      <c r="AN579" s="53" t="n"/>
      <c r="AO579" s="47" t="n"/>
      <c r="AP579" s="47" t="n"/>
      <c r="AQ579" s="47" t="n"/>
      <c r="AR579" s="47" t="n"/>
      <c r="AS579" s="47" t="n"/>
      <c r="AT579" s="47" t="n"/>
      <c r="AU579" s="47" t="n"/>
      <c r="AV579" s="47" t="n"/>
      <c r="AW579" s="52" t="n"/>
    </row>
    <row r="580">
      <c r="A580" s="48" t="n"/>
      <c r="B580" s="52" t="n"/>
      <c r="C580" s="47">
        <f>IF(B580="","",IFERROR(INDEX('隊員マスタ'!$B$5:$B$204,MATCH(B580&amp;"",'隊員マスタ'!$F$5:$F$204,0)),IF(AK580="","番号なし",AK580)))</f>
        <v/>
      </c>
      <c r="D580" s="47" t="n"/>
      <c r="E580" s="47" t="n"/>
      <c r="F580" s="47" t="n"/>
      <c r="G580" s="47" t="n"/>
      <c r="H580" s="47" t="n"/>
      <c r="I580" s="47" t="n"/>
      <c r="J580" s="47" t="n"/>
      <c r="K580" s="47" t="n"/>
      <c r="L580" s="47" t="n"/>
      <c r="M580" s="47" t="n"/>
      <c r="N580" s="47" t="n"/>
      <c r="O580" s="47" t="n"/>
      <c r="P580" s="47" t="n"/>
      <c r="Q580" s="47" t="n"/>
      <c r="R580" s="47" t="n"/>
      <c r="S580" s="47" t="n"/>
      <c r="T580" s="47" t="n"/>
      <c r="U580" s="53" t="n"/>
      <c r="V580" s="53" t="n"/>
      <c r="W580" s="47" t="n"/>
      <c r="X580" s="47" t="n"/>
      <c r="Y580" s="47" t="n"/>
      <c r="Z580" s="47" t="n"/>
      <c r="AA580" s="47" t="n"/>
      <c r="AB580" s="47" t="n"/>
      <c r="AC580" s="47" t="n"/>
      <c r="AD580" s="47" t="n"/>
      <c r="AE580" s="47" t="n"/>
      <c r="AF580" s="20">
        <f>IF(A580="","",YEAR(EDATE(A580,-3)))</f>
        <v/>
      </c>
      <c r="AG580" s="20">
        <f>IF(OR(B580="",'経歴簿'!$C$4=""),"",IF(B580&amp;""='経歴簿'!$C$4&amp;"",MAX($AG$4:AG579)+1,""))</f>
        <v/>
      </c>
      <c r="AH580" s="20">
        <f>IF(A580="",0,IF(AND(OR('CSV抽出'!$C$4="",A580&gt;='CSV抽出'!$C$4),OR('CSV抽出'!$C$5="",A580&lt;='CSV抽出'!$C$5),OR('CSV抽出'!$C$6="すべて",'CSV抽出'!$C$6="",D580='CSV抽出'!$C$6),OR('CSV抽出'!$C$7="",B580&amp;""='CSV抽出'!$C$7&amp;"")),1,0))</f>
        <v/>
      </c>
      <c r="AI580" s="20">
        <f>IF(AH580=1,SUM($AH$5:AH580),"")</f>
        <v/>
      </c>
      <c r="AJ580" s="20">
        <f>IF(OR(S580="",'報告書'!$C$4=""),"",IF(S580&amp;""='報告書'!$C$4&amp;"",COUNTIF($S$5:S580,'報告書'!$C$4),""))</f>
        <v/>
      </c>
      <c r="AK580" s="20" t="n"/>
      <c r="AL580" s="47" t="n"/>
      <c r="AM580" s="47" t="n"/>
      <c r="AN580" s="53" t="n"/>
      <c r="AO580" s="47" t="n"/>
      <c r="AP580" s="47" t="n"/>
      <c r="AQ580" s="47" t="n"/>
      <c r="AR580" s="47" t="n"/>
      <c r="AS580" s="47" t="n"/>
      <c r="AT580" s="47" t="n"/>
      <c r="AU580" s="47" t="n"/>
      <c r="AV580" s="47" t="n"/>
      <c r="AW580" s="52" t="n"/>
    </row>
    <row r="581">
      <c r="A581" s="48" t="n"/>
      <c r="B581" s="52" t="n"/>
      <c r="C581" s="47">
        <f>IF(B581="","",IFERROR(INDEX('隊員マスタ'!$B$5:$B$204,MATCH(B581&amp;"",'隊員マスタ'!$F$5:$F$204,0)),IF(AK581="","番号なし",AK581)))</f>
        <v/>
      </c>
      <c r="D581" s="47" t="n"/>
      <c r="E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  <c r="N581" s="47" t="n"/>
      <c r="O581" s="47" t="n"/>
      <c r="P581" s="47" t="n"/>
      <c r="Q581" s="47" t="n"/>
      <c r="R581" s="47" t="n"/>
      <c r="S581" s="47" t="n"/>
      <c r="T581" s="47" t="n"/>
      <c r="U581" s="53" t="n"/>
      <c r="V581" s="53" t="n"/>
      <c r="W581" s="47" t="n"/>
      <c r="X581" s="47" t="n"/>
      <c r="Y581" s="47" t="n"/>
      <c r="Z581" s="47" t="n"/>
      <c r="AA581" s="47" t="n"/>
      <c r="AB581" s="47" t="n"/>
      <c r="AC581" s="47" t="n"/>
      <c r="AD581" s="47" t="n"/>
      <c r="AE581" s="47" t="n"/>
      <c r="AF581" s="20">
        <f>IF(A581="","",YEAR(EDATE(A581,-3)))</f>
        <v/>
      </c>
      <c r="AG581" s="20">
        <f>IF(OR(B581="",'経歴簿'!$C$4=""),"",IF(B581&amp;""='経歴簿'!$C$4&amp;"",MAX($AG$4:AG580)+1,""))</f>
        <v/>
      </c>
      <c r="AH581" s="20">
        <f>IF(A581="",0,IF(AND(OR('CSV抽出'!$C$4="",A581&gt;='CSV抽出'!$C$4),OR('CSV抽出'!$C$5="",A581&lt;='CSV抽出'!$C$5),OR('CSV抽出'!$C$6="すべて",'CSV抽出'!$C$6="",D581='CSV抽出'!$C$6),OR('CSV抽出'!$C$7="",B581&amp;""='CSV抽出'!$C$7&amp;"")),1,0))</f>
        <v/>
      </c>
      <c r="AI581" s="20">
        <f>IF(AH581=1,SUM($AH$5:AH581),"")</f>
        <v/>
      </c>
      <c r="AJ581" s="20">
        <f>IF(OR(S581="",'報告書'!$C$4=""),"",IF(S581&amp;""='報告書'!$C$4&amp;"",COUNTIF($S$5:S581,'報告書'!$C$4),""))</f>
        <v/>
      </c>
      <c r="AK581" s="20" t="n"/>
      <c r="AL581" s="47" t="n"/>
      <c r="AM581" s="47" t="n"/>
      <c r="AN581" s="53" t="n"/>
      <c r="AO581" s="47" t="n"/>
      <c r="AP581" s="47" t="n"/>
      <c r="AQ581" s="47" t="n"/>
      <c r="AR581" s="47" t="n"/>
      <c r="AS581" s="47" t="n"/>
      <c r="AT581" s="47" t="n"/>
      <c r="AU581" s="47" t="n"/>
      <c r="AV581" s="47" t="n"/>
      <c r="AW581" s="52" t="n"/>
    </row>
    <row r="582">
      <c r="A582" s="48" t="n"/>
      <c r="B582" s="52" t="n"/>
      <c r="C582" s="47">
        <f>IF(B582="","",IFERROR(INDEX('隊員マスタ'!$B$5:$B$204,MATCH(B582&amp;"",'隊員マスタ'!$F$5:$F$204,0)),IF(AK582="","番号なし",AK582)))</f>
        <v/>
      </c>
      <c r="D582" s="47" t="n"/>
      <c r="E582" s="47" t="n"/>
      <c r="F582" s="47" t="n"/>
      <c r="G582" s="47" t="n"/>
      <c r="H582" s="47" t="n"/>
      <c r="I582" s="47" t="n"/>
      <c r="J582" s="47" t="n"/>
      <c r="K582" s="47" t="n"/>
      <c r="L582" s="47" t="n"/>
      <c r="M582" s="47" t="n"/>
      <c r="N582" s="47" t="n"/>
      <c r="O582" s="47" t="n"/>
      <c r="P582" s="47" t="n"/>
      <c r="Q582" s="47" t="n"/>
      <c r="R582" s="47" t="n"/>
      <c r="S582" s="47" t="n"/>
      <c r="T582" s="47" t="n"/>
      <c r="U582" s="53" t="n"/>
      <c r="V582" s="53" t="n"/>
      <c r="W582" s="47" t="n"/>
      <c r="X582" s="47" t="n"/>
      <c r="Y582" s="47" t="n"/>
      <c r="Z582" s="47" t="n"/>
      <c r="AA582" s="47" t="n"/>
      <c r="AB582" s="47" t="n"/>
      <c r="AC582" s="47" t="n"/>
      <c r="AD582" s="47" t="n"/>
      <c r="AE582" s="47" t="n"/>
      <c r="AF582" s="20">
        <f>IF(A582="","",YEAR(EDATE(A582,-3)))</f>
        <v/>
      </c>
      <c r="AG582" s="20">
        <f>IF(OR(B582="",'経歴簿'!$C$4=""),"",IF(B582&amp;""='経歴簿'!$C$4&amp;"",MAX($AG$4:AG581)+1,""))</f>
        <v/>
      </c>
      <c r="AH582" s="20">
        <f>IF(A582="",0,IF(AND(OR('CSV抽出'!$C$4="",A582&gt;='CSV抽出'!$C$4),OR('CSV抽出'!$C$5="",A582&lt;='CSV抽出'!$C$5),OR('CSV抽出'!$C$6="すべて",'CSV抽出'!$C$6="",D582='CSV抽出'!$C$6),OR('CSV抽出'!$C$7="",B582&amp;""='CSV抽出'!$C$7&amp;"")),1,0))</f>
        <v/>
      </c>
      <c r="AI582" s="20">
        <f>IF(AH582=1,SUM($AH$5:AH582),"")</f>
        <v/>
      </c>
      <c r="AJ582" s="20">
        <f>IF(OR(S582="",'報告書'!$C$4=""),"",IF(S582&amp;""='報告書'!$C$4&amp;"",COUNTIF($S$5:S582,'報告書'!$C$4),""))</f>
        <v/>
      </c>
      <c r="AK582" s="20" t="n"/>
      <c r="AL582" s="47" t="n"/>
      <c r="AM582" s="47" t="n"/>
      <c r="AN582" s="53" t="n"/>
      <c r="AO582" s="47" t="n"/>
      <c r="AP582" s="47" t="n"/>
      <c r="AQ582" s="47" t="n"/>
      <c r="AR582" s="47" t="n"/>
      <c r="AS582" s="47" t="n"/>
      <c r="AT582" s="47" t="n"/>
      <c r="AU582" s="47" t="n"/>
      <c r="AV582" s="47" t="n"/>
      <c r="AW582" s="52" t="n"/>
    </row>
    <row r="583">
      <c r="A583" s="48" t="n"/>
      <c r="B583" s="52" t="n"/>
      <c r="C583" s="47">
        <f>IF(B583="","",IFERROR(INDEX('隊員マスタ'!$B$5:$B$204,MATCH(B583&amp;"",'隊員マスタ'!$F$5:$F$204,0)),IF(AK583="","番号なし",AK583)))</f>
        <v/>
      </c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  <c r="N583" s="47" t="n"/>
      <c r="O583" s="47" t="n"/>
      <c r="P583" s="47" t="n"/>
      <c r="Q583" s="47" t="n"/>
      <c r="R583" s="47" t="n"/>
      <c r="S583" s="47" t="n"/>
      <c r="T583" s="47" t="n"/>
      <c r="U583" s="53" t="n"/>
      <c r="V583" s="53" t="n"/>
      <c r="W583" s="47" t="n"/>
      <c r="X583" s="47" t="n"/>
      <c r="Y583" s="47" t="n"/>
      <c r="Z583" s="47" t="n"/>
      <c r="AA583" s="47" t="n"/>
      <c r="AB583" s="47" t="n"/>
      <c r="AC583" s="47" t="n"/>
      <c r="AD583" s="47" t="n"/>
      <c r="AE583" s="47" t="n"/>
      <c r="AF583" s="20">
        <f>IF(A583="","",YEAR(EDATE(A583,-3)))</f>
        <v/>
      </c>
      <c r="AG583" s="20">
        <f>IF(OR(B583="",'経歴簿'!$C$4=""),"",IF(B583&amp;""='経歴簿'!$C$4&amp;"",MAX($AG$4:AG582)+1,""))</f>
        <v/>
      </c>
      <c r="AH583" s="20">
        <f>IF(A583="",0,IF(AND(OR('CSV抽出'!$C$4="",A583&gt;='CSV抽出'!$C$4),OR('CSV抽出'!$C$5="",A583&lt;='CSV抽出'!$C$5),OR('CSV抽出'!$C$6="すべて",'CSV抽出'!$C$6="",D583='CSV抽出'!$C$6),OR('CSV抽出'!$C$7="",B583&amp;""='CSV抽出'!$C$7&amp;"")),1,0))</f>
        <v/>
      </c>
      <c r="AI583" s="20">
        <f>IF(AH583=1,SUM($AH$5:AH583),"")</f>
        <v/>
      </c>
      <c r="AJ583" s="20">
        <f>IF(OR(S583="",'報告書'!$C$4=""),"",IF(S583&amp;""='報告書'!$C$4&amp;"",COUNTIF($S$5:S583,'報告書'!$C$4),""))</f>
        <v/>
      </c>
      <c r="AK583" s="20" t="n"/>
      <c r="AL583" s="47" t="n"/>
      <c r="AM583" s="47" t="n"/>
      <c r="AN583" s="53" t="n"/>
      <c r="AO583" s="47" t="n"/>
      <c r="AP583" s="47" t="n"/>
      <c r="AQ583" s="47" t="n"/>
      <c r="AR583" s="47" t="n"/>
      <c r="AS583" s="47" t="n"/>
      <c r="AT583" s="47" t="n"/>
      <c r="AU583" s="47" t="n"/>
      <c r="AV583" s="47" t="n"/>
      <c r="AW583" s="52" t="n"/>
    </row>
    <row r="584">
      <c r="A584" s="48" t="n"/>
      <c r="B584" s="52" t="n"/>
      <c r="C584" s="47">
        <f>IF(B584="","",IFERROR(INDEX('隊員マスタ'!$B$5:$B$204,MATCH(B584&amp;"",'隊員マスタ'!$F$5:$F$204,0)),IF(AK584="","番号なし",AK584)))</f>
        <v/>
      </c>
      <c r="D584" s="47" t="n"/>
      <c r="E584" s="47" t="n"/>
      <c r="F584" s="47" t="n"/>
      <c r="G584" s="47" t="n"/>
      <c r="H584" s="47" t="n"/>
      <c r="I584" s="47" t="n"/>
      <c r="J584" s="47" t="n"/>
      <c r="K584" s="47" t="n"/>
      <c r="L584" s="47" t="n"/>
      <c r="M584" s="47" t="n"/>
      <c r="N584" s="47" t="n"/>
      <c r="O584" s="47" t="n"/>
      <c r="P584" s="47" t="n"/>
      <c r="Q584" s="47" t="n"/>
      <c r="R584" s="47" t="n"/>
      <c r="S584" s="47" t="n"/>
      <c r="T584" s="47" t="n"/>
      <c r="U584" s="53" t="n"/>
      <c r="V584" s="53" t="n"/>
      <c r="W584" s="47" t="n"/>
      <c r="X584" s="47" t="n"/>
      <c r="Y584" s="47" t="n"/>
      <c r="Z584" s="47" t="n"/>
      <c r="AA584" s="47" t="n"/>
      <c r="AB584" s="47" t="n"/>
      <c r="AC584" s="47" t="n"/>
      <c r="AD584" s="47" t="n"/>
      <c r="AE584" s="47" t="n"/>
      <c r="AF584" s="20">
        <f>IF(A584="","",YEAR(EDATE(A584,-3)))</f>
        <v/>
      </c>
      <c r="AG584" s="20">
        <f>IF(OR(B584="",'経歴簿'!$C$4=""),"",IF(B584&amp;""='経歴簿'!$C$4&amp;"",MAX($AG$4:AG583)+1,""))</f>
        <v/>
      </c>
      <c r="AH584" s="20">
        <f>IF(A584="",0,IF(AND(OR('CSV抽出'!$C$4="",A584&gt;='CSV抽出'!$C$4),OR('CSV抽出'!$C$5="",A584&lt;='CSV抽出'!$C$5),OR('CSV抽出'!$C$6="すべて",'CSV抽出'!$C$6="",D584='CSV抽出'!$C$6),OR('CSV抽出'!$C$7="",B584&amp;""='CSV抽出'!$C$7&amp;"")),1,0))</f>
        <v/>
      </c>
      <c r="AI584" s="20">
        <f>IF(AH584=1,SUM($AH$5:AH584),"")</f>
        <v/>
      </c>
      <c r="AJ584" s="20">
        <f>IF(OR(S584="",'報告書'!$C$4=""),"",IF(S584&amp;""='報告書'!$C$4&amp;"",COUNTIF($S$5:S584,'報告書'!$C$4),""))</f>
        <v/>
      </c>
      <c r="AK584" s="20" t="n"/>
      <c r="AL584" s="47" t="n"/>
      <c r="AM584" s="47" t="n"/>
      <c r="AN584" s="53" t="n"/>
      <c r="AO584" s="47" t="n"/>
      <c r="AP584" s="47" t="n"/>
      <c r="AQ584" s="47" t="n"/>
      <c r="AR584" s="47" t="n"/>
      <c r="AS584" s="47" t="n"/>
      <c r="AT584" s="47" t="n"/>
      <c r="AU584" s="47" t="n"/>
      <c r="AV584" s="47" t="n"/>
      <c r="AW584" s="52" t="n"/>
    </row>
    <row r="585">
      <c r="A585" s="48" t="n"/>
      <c r="B585" s="52" t="n"/>
      <c r="C585" s="47">
        <f>IF(B585="","",IFERROR(INDEX('隊員マスタ'!$B$5:$B$204,MATCH(B585&amp;"",'隊員マスタ'!$F$5:$F$204,0)),IF(AK585="","番号なし",AK585)))</f>
        <v/>
      </c>
      <c r="D585" s="47" t="n"/>
      <c r="E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  <c r="N585" s="47" t="n"/>
      <c r="O585" s="47" t="n"/>
      <c r="P585" s="47" t="n"/>
      <c r="Q585" s="47" t="n"/>
      <c r="R585" s="47" t="n"/>
      <c r="S585" s="47" t="n"/>
      <c r="T585" s="47" t="n"/>
      <c r="U585" s="53" t="n"/>
      <c r="V585" s="53" t="n"/>
      <c r="W585" s="47" t="n"/>
      <c r="X585" s="47" t="n"/>
      <c r="Y585" s="47" t="n"/>
      <c r="Z585" s="47" t="n"/>
      <c r="AA585" s="47" t="n"/>
      <c r="AB585" s="47" t="n"/>
      <c r="AC585" s="47" t="n"/>
      <c r="AD585" s="47" t="n"/>
      <c r="AE585" s="47" t="n"/>
      <c r="AF585" s="20">
        <f>IF(A585="","",YEAR(EDATE(A585,-3)))</f>
        <v/>
      </c>
      <c r="AG585" s="20">
        <f>IF(OR(B585="",'経歴簿'!$C$4=""),"",IF(B585&amp;""='経歴簿'!$C$4&amp;"",MAX($AG$4:AG584)+1,""))</f>
        <v/>
      </c>
      <c r="AH585" s="20">
        <f>IF(A585="",0,IF(AND(OR('CSV抽出'!$C$4="",A585&gt;='CSV抽出'!$C$4),OR('CSV抽出'!$C$5="",A585&lt;='CSV抽出'!$C$5),OR('CSV抽出'!$C$6="すべて",'CSV抽出'!$C$6="",D585='CSV抽出'!$C$6),OR('CSV抽出'!$C$7="",B585&amp;""='CSV抽出'!$C$7&amp;"")),1,0))</f>
        <v/>
      </c>
      <c r="AI585" s="20">
        <f>IF(AH585=1,SUM($AH$5:AH585),"")</f>
        <v/>
      </c>
      <c r="AJ585" s="20">
        <f>IF(OR(S585="",'報告書'!$C$4=""),"",IF(S585&amp;""='報告書'!$C$4&amp;"",COUNTIF($S$5:S585,'報告書'!$C$4),""))</f>
        <v/>
      </c>
      <c r="AK585" s="20" t="n"/>
      <c r="AL585" s="47" t="n"/>
      <c r="AM585" s="47" t="n"/>
      <c r="AN585" s="53" t="n"/>
      <c r="AO585" s="47" t="n"/>
      <c r="AP585" s="47" t="n"/>
      <c r="AQ585" s="47" t="n"/>
      <c r="AR585" s="47" t="n"/>
      <c r="AS585" s="47" t="n"/>
      <c r="AT585" s="47" t="n"/>
      <c r="AU585" s="47" t="n"/>
      <c r="AV585" s="47" t="n"/>
      <c r="AW585" s="52" t="n"/>
    </row>
    <row r="586">
      <c r="A586" s="48" t="n"/>
      <c r="B586" s="52" t="n"/>
      <c r="C586" s="47">
        <f>IF(B586="","",IFERROR(INDEX('隊員マスタ'!$B$5:$B$204,MATCH(B586&amp;"",'隊員マスタ'!$F$5:$F$204,0)),IF(AK586="","番号なし",AK586)))</f>
        <v/>
      </c>
      <c r="D586" s="47" t="n"/>
      <c r="E586" s="47" t="n"/>
      <c r="F586" s="47" t="n"/>
      <c r="G586" s="47" t="n"/>
      <c r="H586" s="47" t="n"/>
      <c r="I586" s="47" t="n"/>
      <c r="J586" s="47" t="n"/>
      <c r="K586" s="47" t="n"/>
      <c r="L586" s="47" t="n"/>
      <c r="M586" s="47" t="n"/>
      <c r="N586" s="47" t="n"/>
      <c r="O586" s="47" t="n"/>
      <c r="P586" s="47" t="n"/>
      <c r="Q586" s="47" t="n"/>
      <c r="R586" s="47" t="n"/>
      <c r="S586" s="47" t="n"/>
      <c r="T586" s="47" t="n"/>
      <c r="U586" s="53" t="n"/>
      <c r="V586" s="53" t="n"/>
      <c r="W586" s="47" t="n"/>
      <c r="X586" s="47" t="n"/>
      <c r="Y586" s="47" t="n"/>
      <c r="Z586" s="47" t="n"/>
      <c r="AA586" s="47" t="n"/>
      <c r="AB586" s="47" t="n"/>
      <c r="AC586" s="47" t="n"/>
      <c r="AD586" s="47" t="n"/>
      <c r="AE586" s="47" t="n"/>
      <c r="AF586" s="20">
        <f>IF(A586="","",YEAR(EDATE(A586,-3)))</f>
        <v/>
      </c>
      <c r="AG586" s="20">
        <f>IF(OR(B586="",'経歴簿'!$C$4=""),"",IF(B586&amp;""='経歴簿'!$C$4&amp;"",MAX($AG$4:AG585)+1,""))</f>
        <v/>
      </c>
      <c r="AH586" s="20">
        <f>IF(A586="",0,IF(AND(OR('CSV抽出'!$C$4="",A586&gt;='CSV抽出'!$C$4),OR('CSV抽出'!$C$5="",A586&lt;='CSV抽出'!$C$5),OR('CSV抽出'!$C$6="すべて",'CSV抽出'!$C$6="",D586='CSV抽出'!$C$6),OR('CSV抽出'!$C$7="",B586&amp;""='CSV抽出'!$C$7&amp;"")),1,0))</f>
        <v/>
      </c>
      <c r="AI586" s="20">
        <f>IF(AH586=1,SUM($AH$5:AH586),"")</f>
        <v/>
      </c>
      <c r="AJ586" s="20">
        <f>IF(OR(S586="",'報告書'!$C$4=""),"",IF(S586&amp;""='報告書'!$C$4&amp;"",COUNTIF($S$5:S586,'報告書'!$C$4),""))</f>
        <v/>
      </c>
      <c r="AK586" s="20" t="n"/>
      <c r="AL586" s="47" t="n"/>
      <c r="AM586" s="47" t="n"/>
      <c r="AN586" s="53" t="n"/>
      <c r="AO586" s="47" t="n"/>
      <c r="AP586" s="47" t="n"/>
      <c r="AQ586" s="47" t="n"/>
      <c r="AR586" s="47" t="n"/>
      <c r="AS586" s="47" t="n"/>
      <c r="AT586" s="47" t="n"/>
      <c r="AU586" s="47" t="n"/>
      <c r="AV586" s="47" t="n"/>
      <c r="AW586" s="52" t="n"/>
    </row>
    <row r="587">
      <c r="A587" s="48" t="n"/>
      <c r="B587" s="52" t="n"/>
      <c r="C587" s="47">
        <f>IF(B587="","",IFERROR(INDEX('隊員マスタ'!$B$5:$B$204,MATCH(B587&amp;"",'隊員マスタ'!$F$5:$F$204,0)),IF(AK587="","番号なし",AK587)))</f>
        <v/>
      </c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  <c r="N587" s="47" t="n"/>
      <c r="O587" s="47" t="n"/>
      <c r="P587" s="47" t="n"/>
      <c r="Q587" s="47" t="n"/>
      <c r="R587" s="47" t="n"/>
      <c r="S587" s="47" t="n"/>
      <c r="T587" s="47" t="n"/>
      <c r="U587" s="53" t="n"/>
      <c r="V587" s="53" t="n"/>
      <c r="W587" s="47" t="n"/>
      <c r="X587" s="47" t="n"/>
      <c r="Y587" s="47" t="n"/>
      <c r="Z587" s="47" t="n"/>
      <c r="AA587" s="47" t="n"/>
      <c r="AB587" s="47" t="n"/>
      <c r="AC587" s="47" t="n"/>
      <c r="AD587" s="47" t="n"/>
      <c r="AE587" s="47" t="n"/>
      <c r="AF587" s="20">
        <f>IF(A587="","",YEAR(EDATE(A587,-3)))</f>
        <v/>
      </c>
      <c r="AG587" s="20">
        <f>IF(OR(B587="",'経歴簿'!$C$4=""),"",IF(B587&amp;""='経歴簿'!$C$4&amp;"",MAX($AG$4:AG586)+1,""))</f>
        <v/>
      </c>
      <c r="AH587" s="20">
        <f>IF(A587="",0,IF(AND(OR('CSV抽出'!$C$4="",A587&gt;='CSV抽出'!$C$4),OR('CSV抽出'!$C$5="",A587&lt;='CSV抽出'!$C$5),OR('CSV抽出'!$C$6="すべて",'CSV抽出'!$C$6="",D587='CSV抽出'!$C$6),OR('CSV抽出'!$C$7="",B587&amp;""='CSV抽出'!$C$7&amp;"")),1,0))</f>
        <v/>
      </c>
      <c r="AI587" s="20">
        <f>IF(AH587=1,SUM($AH$5:AH587),"")</f>
        <v/>
      </c>
      <c r="AJ587" s="20">
        <f>IF(OR(S587="",'報告書'!$C$4=""),"",IF(S587&amp;""='報告書'!$C$4&amp;"",COUNTIF($S$5:S587,'報告書'!$C$4),""))</f>
        <v/>
      </c>
      <c r="AK587" s="20" t="n"/>
      <c r="AL587" s="47" t="n"/>
      <c r="AM587" s="47" t="n"/>
      <c r="AN587" s="53" t="n"/>
      <c r="AO587" s="47" t="n"/>
      <c r="AP587" s="47" t="n"/>
      <c r="AQ587" s="47" t="n"/>
      <c r="AR587" s="47" t="n"/>
      <c r="AS587" s="47" t="n"/>
      <c r="AT587" s="47" t="n"/>
      <c r="AU587" s="47" t="n"/>
      <c r="AV587" s="47" t="n"/>
      <c r="AW587" s="52" t="n"/>
    </row>
    <row r="588">
      <c r="A588" s="48" t="n"/>
      <c r="B588" s="52" t="n"/>
      <c r="C588" s="47">
        <f>IF(B588="","",IFERROR(INDEX('隊員マスタ'!$B$5:$B$204,MATCH(B588&amp;"",'隊員マスタ'!$F$5:$F$204,0)),IF(AK588="","番号なし",AK588)))</f>
        <v/>
      </c>
      <c r="D588" s="47" t="n"/>
      <c r="E588" s="47" t="n"/>
      <c r="F588" s="47" t="n"/>
      <c r="G588" s="47" t="n"/>
      <c r="H588" s="47" t="n"/>
      <c r="I588" s="47" t="n"/>
      <c r="J588" s="47" t="n"/>
      <c r="K588" s="47" t="n"/>
      <c r="L588" s="47" t="n"/>
      <c r="M588" s="47" t="n"/>
      <c r="N588" s="47" t="n"/>
      <c r="O588" s="47" t="n"/>
      <c r="P588" s="47" t="n"/>
      <c r="Q588" s="47" t="n"/>
      <c r="R588" s="47" t="n"/>
      <c r="S588" s="47" t="n"/>
      <c r="T588" s="47" t="n"/>
      <c r="U588" s="53" t="n"/>
      <c r="V588" s="53" t="n"/>
      <c r="W588" s="47" t="n"/>
      <c r="X588" s="47" t="n"/>
      <c r="Y588" s="47" t="n"/>
      <c r="Z588" s="47" t="n"/>
      <c r="AA588" s="47" t="n"/>
      <c r="AB588" s="47" t="n"/>
      <c r="AC588" s="47" t="n"/>
      <c r="AD588" s="47" t="n"/>
      <c r="AE588" s="47" t="n"/>
      <c r="AF588" s="20">
        <f>IF(A588="","",YEAR(EDATE(A588,-3)))</f>
        <v/>
      </c>
      <c r="AG588" s="20">
        <f>IF(OR(B588="",'経歴簿'!$C$4=""),"",IF(B588&amp;""='経歴簿'!$C$4&amp;"",MAX($AG$4:AG587)+1,""))</f>
        <v/>
      </c>
      <c r="AH588" s="20">
        <f>IF(A588="",0,IF(AND(OR('CSV抽出'!$C$4="",A588&gt;='CSV抽出'!$C$4),OR('CSV抽出'!$C$5="",A588&lt;='CSV抽出'!$C$5),OR('CSV抽出'!$C$6="すべて",'CSV抽出'!$C$6="",D588='CSV抽出'!$C$6),OR('CSV抽出'!$C$7="",B588&amp;""='CSV抽出'!$C$7&amp;"")),1,0))</f>
        <v/>
      </c>
      <c r="AI588" s="20">
        <f>IF(AH588=1,SUM($AH$5:AH588),"")</f>
        <v/>
      </c>
      <c r="AJ588" s="20">
        <f>IF(OR(S588="",'報告書'!$C$4=""),"",IF(S588&amp;""='報告書'!$C$4&amp;"",COUNTIF($S$5:S588,'報告書'!$C$4),""))</f>
        <v/>
      </c>
      <c r="AK588" s="20" t="n"/>
      <c r="AL588" s="47" t="n"/>
      <c r="AM588" s="47" t="n"/>
      <c r="AN588" s="53" t="n"/>
      <c r="AO588" s="47" t="n"/>
      <c r="AP588" s="47" t="n"/>
      <c r="AQ588" s="47" t="n"/>
      <c r="AR588" s="47" t="n"/>
      <c r="AS588" s="47" t="n"/>
      <c r="AT588" s="47" t="n"/>
      <c r="AU588" s="47" t="n"/>
      <c r="AV588" s="47" t="n"/>
      <c r="AW588" s="52" t="n"/>
    </row>
    <row r="589">
      <c r="A589" s="48" t="n"/>
      <c r="B589" s="52" t="n"/>
      <c r="C589" s="47">
        <f>IF(B589="","",IFERROR(INDEX('隊員マスタ'!$B$5:$B$204,MATCH(B589&amp;"",'隊員マスタ'!$F$5:$F$204,0)),IF(AK589="","番号なし",AK589)))</f>
        <v/>
      </c>
      <c r="D589" s="47" t="n"/>
      <c r="E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  <c r="N589" s="47" t="n"/>
      <c r="O589" s="47" t="n"/>
      <c r="P589" s="47" t="n"/>
      <c r="Q589" s="47" t="n"/>
      <c r="R589" s="47" t="n"/>
      <c r="S589" s="47" t="n"/>
      <c r="T589" s="47" t="n"/>
      <c r="U589" s="53" t="n"/>
      <c r="V589" s="53" t="n"/>
      <c r="W589" s="47" t="n"/>
      <c r="X589" s="47" t="n"/>
      <c r="Y589" s="47" t="n"/>
      <c r="Z589" s="47" t="n"/>
      <c r="AA589" s="47" t="n"/>
      <c r="AB589" s="47" t="n"/>
      <c r="AC589" s="47" t="n"/>
      <c r="AD589" s="47" t="n"/>
      <c r="AE589" s="47" t="n"/>
      <c r="AF589" s="20">
        <f>IF(A589="","",YEAR(EDATE(A589,-3)))</f>
        <v/>
      </c>
      <c r="AG589" s="20">
        <f>IF(OR(B589="",'経歴簿'!$C$4=""),"",IF(B589&amp;""='経歴簿'!$C$4&amp;"",MAX($AG$4:AG588)+1,""))</f>
        <v/>
      </c>
      <c r="AH589" s="20">
        <f>IF(A589="",0,IF(AND(OR('CSV抽出'!$C$4="",A589&gt;='CSV抽出'!$C$4),OR('CSV抽出'!$C$5="",A589&lt;='CSV抽出'!$C$5),OR('CSV抽出'!$C$6="すべて",'CSV抽出'!$C$6="",D589='CSV抽出'!$C$6),OR('CSV抽出'!$C$7="",B589&amp;""='CSV抽出'!$C$7&amp;"")),1,0))</f>
        <v/>
      </c>
      <c r="AI589" s="20">
        <f>IF(AH589=1,SUM($AH$5:AH589),"")</f>
        <v/>
      </c>
      <c r="AJ589" s="20">
        <f>IF(OR(S589="",'報告書'!$C$4=""),"",IF(S589&amp;""='報告書'!$C$4&amp;"",COUNTIF($S$5:S589,'報告書'!$C$4),""))</f>
        <v/>
      </c>
      <c r="AK589" s="20" t="n"/>
      <c r="AL589" s="47" t="n"/>
      <c r="AM589" s="47" t="n"/>
      <c r="AN589" s="53" t="n"/>
      <c r="AO589" s="47" t="n"/>
      <c r="AP589" s="47" t="n"/>
      <c r="AQ589" s="47" t="n"/>
      <c r="AR589" s="47" t="n"/>
      <c r="AS589" s="47" t="n"/>
      <c r="AT589" s="47" t="n"/>
      <c r="AU589" s="47" t="n"/>
      <c r="AV589" s="47" t="n"/>
      <c r="AW589" s="52" t="n"/>
    </row>
    <row r="590">
      <c r="A590" s="48" t="n"/>
      <c r="B590" s="52" t="n"/>
      <c r="C590" s="47">
        <f>IF(B590="","",IFERROR(INDEX('隊員マスタ'!$B$5:$B$204,MATCH(B590&amp;"",'隊員マスタ'!$F$5:$F$204,0)),IF(AK590="","番号なし",AK590)))</f>
        <v/>
      </c>
      <c r="D590" s="47" t="n"/>
      <c r="E590" s="47" t="n"/>
      <c r="F590" s="47" t="n"/>
      <c r="G590" s="47" t="n"/>
      <c r="H590" s="47" t="n"/>
      <c r="I590" s="47" t="n"/>
      <c r="J590" s="47" t="n"/>
      <c r="K590" s="47" t="n"/>
      <c r="L590" s="47" t="n"/>
      <c r="M590" s="47" t="n"/>
      <c r="N590" s="47" t="n"/>
      <c r="O590" s="47" t="n"/>
      <c r="P590" s="47" t="n"/>
      <c r="Q590" s="47" t="n"/>
      <c r="R590" s="47" t="n"/>
      <c r="S590" s="47" t="n"/>
      <c r="T590" s="47" t="n"/>
      <c r="U590" s="53" t="n"/>
      <c r="V590" s="53" t="n"/>
      <c r="W590" s="47" t="n"/>
      <c r="X590" s="47" t="n"/>
      <c r="Y590" s="47" t="n"/>
      <c r="Z590" s="47" t="n"/>
      <c r="AA590" s="47" t="n"/>
      <c r="AB590" s="47" t="n"/>
      <c r="AC590" s="47" t="n"/>
      <c r="AD590" s="47" t="n"/>
      <c r="AE590" s="47" t="n"/>
      <c r="AF590" s="20">
        <f>IF(A590="","",YEAR(EDATE(A590,-3)))</f>
        <v/>
      </c>
      <c r="AG590" s="20">
        <f>IF(OR(B590="",'経歴簿'!$C$4=""),"",IF(B590&amp;""='経歴簿'!$C$4&amp;"",MAX($AG$4:AG589)+1,""))</f>
        <v/>
      </c>
      <c r="AH590" s="20">
        <f>IF(A590="",0,IF(AND(OR('CSV抽出'!$C$4="",A590&gt;='CSV抽出'!$C$4),OR('CSV抽出'!$C$5="",A590&lt;='CSV抽出'!$C$5),OR('CSV抽出'!$C$6="すべて",'CSV抽出'!$C$6="",D590='CSV抽出'!$C$6),OR('CSV抽出'!$C$7="",B590&amp;""='CSV抽出'!$C$7&amp;"")),1,0))</f>
        <v/>
      </c>
      <c r="AI590" s="20">
        <f>IF(AH590=1,SUM($AH$5:AH590),"")</f>
        <v/>
      </c>
      <c r="AJ590" s="20">
        <f>IF(OR(S590="",'報告書'!$C$4=""),"",IF(S590&amp;""='報告書'!$C$4&amp;"",COUNTIF($S$5:S590,'報告書'!$C$4),""))</f>
        <v/>
      </c>
      <c r="AK590" s="20" t="n"/>
      <c r="AL590" s="47" t="n"/>
      <c r="AM590" s="47" t="n"/>
      <c r="AN590" s="53" t="n"/>
      <c r="AO590" s="47" t="n"/>
      <c r="AP590" s="47" t="n"/>
      <c r="AQ590" s="47" t="n"/>
      <c r="AR590" s="47" t="n"/>
      <c r="AS590" s="47" t="n"/>
      <c r="AT590" s="47" t="n"/>
      <c r="AU590" s="47" t="n"/>
      <c r="AV590" s="47" t="n"/>
      <c r="AW590" s="52" t="n"/>
    </row>
    <row r="591">
      <c r="A591" s="48" t="n"/>
      <c r="B591" s="52" t="n"/>
      <c r="C591" s="47">
        <f>IF(B591="","",IFERROR(INDEX('隊員マスタ'!$B$5:$B$204,MATCH(B591&amp;"",'隊員マスタ'!$F$5:$F$204,0)),IF(AK591="","番号なし",AK591)))</f>
        <v/>
      </c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  <c r="N591" s="47" t="n"/>
      <c r="O591" s="47" t="n"/>
      <c r="P591" s="47" t="n"/>
      <c r="Q591" s="47" t="n"/>
      <c r="R591" s="47" t="n"/>
      <c r="S591" s="47" t="n"/>
      <c r="T591" s="47" t="n"/>
      <c r="U591" s="53" t="n"/>
      <c r="V591" s="53" t="n"/>
      <c r="W591" s="47" t="n"/>
      <c r="X591" s="47" t="n"/>
      <c r="Y591" s="47" t="n"/>
      <c r="Z591" s="47" t="n"/>
      <c r="AA591" s="47" t="n"/>
      <c r="AB591" s="47" t="n"/>
      <c r="AC591" s="47" t="n"/>
      <c r="AD591" s="47" t="n"/>
      <c r="AE591" s="47" t="n"/>
      <c r="AF591" s="20">
        <f>IF(A591="","",YEAR(EDATE(A591,-3)))</f>
        <v/>
      </c>
      <c r="AG591" s="20">
        <f>IF(OR(B591="",'経歴簿'!$C$4=""),"",IF(B591&amp;""='経歴簿'!$C$4&amp;"",MAX($AG$4:AG590)+1,""))</f>
        <v/>
      </c>
      <c r="AH591" s="20">
        <f>IF(A591="",0,IF(AND(OR('CSV抽出'!$C$4="",A591&gt;='CSV抽出'!$C$4),OR('CSV抽出'!$C$5="",A591&lt;='CSV抽出'!$C$5),OR('CSV抽出'!$C$6="すべて",'CSV抽出'!$C$6="",D591='CSV抽出'!$C$6),OR('CSV抽出'!$C$7="",B591&amp;""='CSV抽出'!$C$7&amp;"")),1,0))</f>
        <v/>
      </c>
      <c r="AI591" s="20">
        <f>IF(AH591=1,SUM($AH$5:AH591),"")</f>
        <v/>
      </c>
      <c r="AJ591" s="20">
        <f>IF(OR(S591="",'報告書'!$C$4=""),"",IF(S591&amp;""='報告書'!$C$4&amp;"",COUNTIF($S$5:S591,'報告書'!$C$4),""))</f>
        <v/>
      </c>
      <c r="AK591" s="20" t="n"/>
      <c r="AL591" s="47" t="n"/>
      <c r="AM591" s="47" t="n"/>
      <c r="AN591" s="53" t="n"/>
      <c r="AO591" s="47" t="n"/>
      <c r="AP591" s="47" t="n"/>
      <c r="AQ591" s="47" t="n"/>
      <c r="AR591" s="47" t="n"/>
      <c r="AS591" s="47" t="n"/>
      <c r="AT591" s="47" t="n"/>
      <c r="AU591" s="47" t="n"/>
      <c r="AV591" s="47" t="n"/>
      <c r="AW591" s="52" t="n"/>
    </row>
    <row r="592">
      <c r="A592" s="48" t="n"/>
      <c r="B592" s="52" t="n"/>
      <c r="C592" s="47">
        <f>IF(B592="","",IFERROR(INDEX('隊員マスタ'!$B$5:$B$204,MATCH(B592&amp;"",'隊員マスタ'!$F$5:$F$204,0)),IF(AK592="","番号なし",AK592)))</f>
        <v/>
      </c>
      <c r="D592" s="47" t="n"/>
      <c r="E592" s="47" t="n"/>
      <c r="F592" s="47" t="n"/>
      <c r="G592" s="47" t="n"/>
      <c r="H592" s="47" t="n"/>
      <c r="I592" s="47" t="n"/>
      <c r="J592" s="47" t="n"/>
      <c r="K592" s="47" t="n"/>
      <c r="L592" s="47" t="n"/>
      <c r="M592" s="47" t="n"/>
      <c r="N592" s="47" t="n"/>
      <c r="O592" s="47" t="n"/>
      <c r="P592" s="47" t="n"/>
      <c r="Q592" s="47" t="n"/>
      <c r="R592" s="47" t="n"/>
      <c r="S592" s="47" t="n"/>
      <c r="T592" s="47" t="n"/>
      <c r="U592" s="53" t="n"/>
      <c r="V592" s="53" t="n"/>
      <c r="W592" s="47" t="n"/>
      <c r="X592" s="47" t="n"/>
      <c r="Y592" s="47" t="n"/>
      <c r="Z592" s="47" t="n"/>
      <c r="AA592" s="47" t="n"/>
      <c r="AB592" s="47" t="n"/>
      <c r="AC592" s="47" t="n"/>
      <c r="AD592" s="47" t="n"/>
      <c r="AE592" s="47" t="n"/>
      <c r="AF592" s="20">
        <f>IF(A592="","",YEAR(EDATE(A592,-3)))</f>
        <v/>
      </c>
      <c r="AG592" s="20">
        <f>IF(OR(B592="",'経歴簿'!$C$4=""),"",IF(B592&amp;""='経歴簿'!$C$4&amp;"",MAX($AG$4:AG591)+1,""))</f>
        <v/>
      </c>
      <c r="AH592" s="20">
        <f>IF(A592="",0,IF(AND(OR('CSV抽出'!$C$4="",A592&gt;='CSV抽出'!$C$4),OR('CSV抽出'!$C$5="",A592&lt;='CSV抽出'!$C$5),OR('CSV抽出'!$C$6="すべて",'CSV抽出'!$C$6="",D592='CSV抽出'!$C$6),OR('CSV抽出'!$C$7="",B592&amp;""='CSV抽出'!$C$7&amp;"")),1,0))</f>
        <v/>
      </c>
      <c r="AI592" s="20">
        <f>IF(AH592=1,SUM($AH$5:AH592),"")</f>
        <v/>
      </c>
      <c r="AJ592" s="20">
        <f>IF(OR(S592="",'報告書'!$C$4=""),"",IF(S592&amp;""='報告書'!$C$4&amp;"",COUNTIF($S$5:S592,'報告書'!$C$4),""))</f>
        <v/>
      </c>
      <c r="AK592" s="20" t="n"/>
      <c r="AL592" s="47" t="n"/>
      <c r="AM592" s="47" t="n"/>
      <c r="AN592" s="53" t="n"/>
      <c r="AO592" s="47" t="n"/>
      <c r="AP592" s="47" t="n"/>
      <c r="AQ592" s="47" t="n"/>
      <c r="AR592" s="47" t="n"/>
      <c r="AS592" s="47" t="n"/>
      <c r="AT592" s="47" t="n"/>
      <c r="AU592" s="47" t="n"/>
      <c r="AV592" s="47" t="n"/>
      <c r="AW592" s="52" t="n"/>
    </row>
    <row r="593">
      <c r="A593" s="48" t="n"/>
      <c r="B593" s="52" t="n"/>
      <c r="C593" s="47">
        <f>IF(B593="","",IFERROR(INDEX('隊員マスタ'!$B$5:$B$204,MATCH(B593&amp;"",'隊員マスタ'!$F$5:$F$204,0)),IF(AK593="","番号なし",AK593)))</f>
        <v/>
      </c>
      <c r="D593" s="47" t="n"/>
      <c r="E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  <c r="N593" s="47" t="n"/>
      <c r="O593" s="47" t="n"/>
      <c r="P593" s="47" t="n"/>
      <c r="Q593" s="47" t="n"/>
      <c r="R593" s="47" t="n"/>
      <c r="S593" s="47" t="n"/>
      <c r="T593" s="47" t="n"/>
      <c r="U593" s="53" t="n"/>
      <c r="V593" s="53" t="n"/>
      <c r="W593" s="47" t="n"/>
      <c r="X593" s="47" t="n"/>
      <c r="Y593" s="47" t="n"/>
      <c r="Z593" s="47" t="n"/>
      <c r="AA593" s="47" t="n"/>
      <c r="AB593" s="47" t="n"/>
      <c r="AC593" s="47" t="n"/>
      <c r="AD593" s="47" t="n"/>
      <c r="AE593" s="47" t="n"/>
      <c r="AF593" s="20">
        <f>IF(A593="","",YEAR(EDATE(A593,-3)))</f>
        <v/>
      </c>
      <c r="AG593" s="20">
        <f>IF(OR(B593="",'経歴簿'!$C$4=""),"",IF(B593&amp;""='経歴簿'!$C$4&amp;"",MAX($AG$4:AG592)+1,""))</f>
        <v/>
      </c>
      <c r="AH593" s="20">
        <f>IF(A593="",0,IF(AND(OR('CSV抽出'!$C$4="",A593&gt;='CSV抽出'!$C$4),OR('CSV抽出'!$C$5="",A593&lt;='CSV抽出'!$C$5),OR('CSV抽出'!$C$6="すべて",'CSV抽出'!$C$6="",D593='CSV抽出'!$C$6),OR('CSV抽出'!$C$7="",B593&amp;""='CSV抽出'!$C$7&amp;"")),1,0))</f>
        <v/>
      </c>
      <c r="AI593" s="20">
        <f>IF(AH593=1,SUM($AH$5:AH593),"")</f>
        <v/>
      </c>
      <c r="AJ593" s="20">
        <f>IF(OR(S593="",'報告書'!$C$4=""),"",IF(S593&amp;""='報告書'!$C$4&amp;"",COUNTIF($S$5:S593,'報告書'!$C$4),""))</f>
        <v/>
      </c>
      <c r="AK593" s="20" t="n"/>
      <c r="AL593" s="47" t="n"/>
      <c r="AM593" s="47" t="n"/>
      <c r="AN593" s="53" t="n"/>
      <c r="AO593" s="47" t="n"/>
      <c r="AP593" s="47" t="n"/>
      <c r="AQ593" s="47" t="n"/>
      <c r="AR593" s="47" t="n"/>
      <c r="AS593" s="47" t="n"/>
      <c r="AT593" s="47" t="n"/>
      <c r="AU593" s="47" t="n"/>
      <c r="AV593" s="47" t="n"/>
      <c r="AW593" s="52" t="n"/>
    </row>
    <row r="594">
      <c r="A594" s="48" t="n"/>
      <c r="B594" s="52" t="n"/>
      <c r="C594" s="47">
        <f>IF(B594="","",IFERROR(INDEX('隊員マスタ'!$B$5:$B$204,MATCH(B594&amp;"",'隊員マスタ'!$F$5:$F$204,0)),IF(AK594="","番号なし",AK594)))</f>
        <v/>
      </c>
      <c r="D594" s="47" t="n"/>
      <c r="E594" s="47" t="n"/>
      <c r="F594" s="47" t="n"/>
      <c r="G594" s="47" t="n"/>
      <c r="H594" s="47" t="n"/>
      <c r="I594" s="47" t="n"/>
      <c r="J594" s="47" t="n"/>
      <c r="K594" s="47" t="n"/>
      <c r="L594" s="47" t="n"/>
      <c r="M594" s="47" t="n"/>
      <c r="N594" s="47" t="n"/>
      <c r="O594" s="47" t="n"/>
      <c r="P594" s="47" t="n"/>
      <c r="Q594" s="47" t="n"/>
      <c r="R594" s="47" t="n"/>
      <c r="S594" s="47" t="n"/>
      <c r="T594" s="47" t="n"/>
      <c r="U594" s="53" t="n"/>
      <c r="V594" s="53" t="n"/>
      <c r="W594" s="47" t="n"/>
      <c r="X594" s="47" t="n"/>
      <c r="Y594" s="47" t="n"/>
      <c r="Z594" s="47" t="n"/>
      <c r="AA594" s="47" t="n"/>
      <c r="AB594" s="47" t="n"/>
      <c r="AC594" s="47" t="n"/>
      <c r="AD594" s="47" t="n"/>
      <c r="AE594" s="47" t="n"/>
      <c r="AF594" s="20">
        <f>IF(A594="","",YEAR(EDATE(A594,-3)))</f>
        <v/>
      </c>
      <c r="AG594" s="20">
        <f>IF(OR(B594="",'経歴簿'!$C$4=""),"",IF(B594&amp;""='経歴簿'!$C$4&amp;"",MAX($AG$4:AG593)+1,""))</f>
        <v/>
      </c>
      <c r="AH594" s="20">
        <f>IF(A594="",0,IF(AND(OR('CSV抽出'!$C$4="",A594&gt;='CSV抽出'!$C$4),OR('CSV抽出'!$C$5="",A594&lt;='CSV抽出'!$C$5),OR('CSV抽出'!$C$6="すべて",'CSV抽出'!$C$6="",D594='CSV抽出'!$C$6),OR('CSV抽出'!$C$7="",B594&amp;""='CSV抽出'!$C$7&amp;"")),1,0))</f>
        <v/>
      </c>
      <c r="AI594" s="20">
        <f>IF(AH594=1,SUM($AH$5:AH594),"")</f>
        <v/>
      </c>
      <c r="AJ594" s="20">
        <f>IF(OR(S594="",'報告書'!$C$4=""),"",IF(S594&amp;""='報告書'!$C$4&amp;"",COUNTIF($S$5:S594,'報告書'!$C$4),""))</f>
        <v/>
      </c>
      <c r="AK594" s="20" t="n"/>
      <c r="AL594" s="47" t="n"/>
      <c r="AM594" s="47" t="n"/>
      <c r="AN594" s="53" t="n"/>
      <c r="AO594" s="47" t="n"/>
      <c r="AP594" s="47" t="n"/>
      <c r="AQ594" s="47" t="n"/>
      <c r="AR594" s="47" t="n"/>
      <c r="AS594" s="47" t="n"/>
      <c r="AT594" s="47" t="n"/>
      <c r="AU594" s="47" t="n"/>
      <c r="AV594" s="47" t="n"/>
      <c r="AW594" s="52" t="n"/>
    </row>
    <row r="595">
      <c r="A595" s="48" t="n"/>
      <c r="B595" s="52" t="n"/>
      <c r="C595" s="47">
        <f>IF(B595="","",IFERROR(INDEX('隊員マスタ'!$B$5:$B$204,MATCH(B595&amp;"",'隊員マスタ'!$F$5:$F$204,0)),IF(AK595="","番号なし",AK595)))</f>
        <v/>
      </c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  <c r="N595" s="47" t="n"/>
      <c r="O595" s="47" t="n"/>
      <c r="P595" s="47" t="n"/>
      <c r="Q595" s="47" t="n"/>
      <c r="R595" s="47" t="n"/>
      <c r="S595" s="47" t="n"/>
      <c r="T595" s="47" t="n"/>
      <c r="U595" s="53" t="n"/>
      <c r="V595" s="53" t="n"/>
      <c r="W595" s="47" t="n"/>
      <c r="X595" s="47" t="n"/>
      <c r="Y595" s="47" t="n"/>
      <c r="Z595" s="47" t="n"/>
      <c r="AA595" s="47" t="n"/>
      <c r="AB595" s="47" t="n"/>
      <c r="AC595" s="47" t="n"/>
      <c r="AD595" s="47" t="n"/>
      <c r="AE595" s="47" t="n"/>
      <c r="AF595" s="20">
        <f>IF(A595="","",YEAR(EDATE(A595,-3)))</f>
        <v/>
      </c>
      <c r="AG595" s="20">
        <f>IF(OR(B595="",'経歴簿'!$C$4=""),"",IF(B595&amp;""='経歴簿'!$C$4&amp;"",MAX($AG$4:AG594)+1,""))</f>
        <v/>
      </c>
      <c r="AH595" s="20">
        <f>IF(A595="",0,IF(AND(OR('CSV抽出'!$C$4="",A595&gt;='CSV抽出'!$C$4),OR('CSV抽出'!$C$5="",A595&lt;='CSV抽出'!$C$5),OR('CSV抽出'!$C$6="すべて",'CSV抽出'!$C$6="",D595='CSV抽出'!$C$6),OR('CSV抽出'!$C$7="",B595&amp;""='CSV抽出'!$C$7&amp;"")),1,0))</f>
        <v/>
      </c>
      <c r="AI595" s="20">
        <f>IF(AH595=1,SUM($AH$5:AH595),"")</f>
        <v/>
      </c>
      <c r="AJ595" s="20">
        <f>IF(OR(S595="",'報告書'!$C$4=""),"",IF(S595&amp;""='報告書'!$C$4&amp;"",COUNTIF($S$5:S595,'報告書'!$C$4),""))</f>
        <v/>
      </c>
      <c r="AK595" s="20" t="n"/>
      <c r="AL595" s="47" t="n"/>
      <c r="AM595" s="47" t="n"/>
      <c r="AN595" s="53" t="n"/>
      <c r="AO595" s="47" t="n"/>
      <c r="AP595" s="47" t="n"/>
      <c r="AQ595" s="47" t="n"/>
      <c r="AR595" s="47" t="n"/>
      <c r="AS595" s="47" t="n"/>
      <c r="AT595" s="47" t="n"/>
      <c r="AU595" s="47" t="n"/>
      <c r="AV595" s="47" t="n"/>
      <c r="AW595" s="52" t="n"/>
    </row>
    <row r="596">
      <c r="A596" s="48" t="n"/>
      <c r="B596" s="52" t="n"/>
      <c r="C596" s="47">
        <f>IF(B596="","",IFERROR(INDEX('隊員マスタ'!$B$5:$B$204,MATCH(B596&amp;"",'隊員マスタ'!$F$5:$F$204,0)),IF(AK596="","番号なし",AK596)))</f>
        <v/>
      </c>
      <c r="D596" s="47" t="n"/>
      <c r="E596" s="47" t="n"/>
      <c r="F596" s="47" t="n"/>
      <c r="G596" s="47" t="n"/>
      <c r="H596" s="47" t="n"/>
      <c r="I596" s="47" t="n"/>
      <c r="J596" s="47" t="n"/>
      <c r="K596" s="47" t="n"/>
      <c r="L596" s="47" t="n"/>
      <c r="M596" s="47" t="n"/>
      <c r="N596" s="47" t="n"/>
      <c r="O596" s="47" t="n"/>
      <c r="P596" s="47" t="n"/>
      <c r="Q596" s="47" t="n"/>
      <c r="R596" s="47" t="n"/>
      <c r="S596" s="47" t="n"/>
      <c r="T596" s="47" t="n"/>
      <c r="U596" s="53" t="n"/>
      <c r="V596" s="53" t="n"/>
      <c r="W596" s="47" t="n"/>
      <c r="X596" s="47" t="n"/>
      <c r="Y596" s="47" t="n"/>
      <c r="Z596" s="47" t="n"/>
      <c r="AA596" s="47" t="n"/>
      <c r="AB596" s="47" t="n"/>
      <c r="AC596" s="47" t="n"/>
      <c r="AD596" s="47" t="n"/>
      <c r="AE596" s="47" t="n"/>
      <c r="AF596" s="20">
        <f>IF(A596="","",YEAR(EDATE(A596,-3)))</f>
        <v/>
      </c>
      <c r="AG596" s="20">
        <f>IF(OR(B596="",'経歴簿'!$C$4=""),"",IF(B596&amp;""='経歴簿'!$C$4&amp;"",MAX($AG$4:AG595)+1,""))</f>
        <v/>
      </c>
      <c r="AH596" s="20">
        <f>IF(A596="",0,IF(AND(OR('CSV抽出'!$C$4="",A596&gt;='CSV抽出'!$C$4),OR('CSV抽出'!$C$5="",A596&lt;='CSV抽出'!$C$5),OR('CSV抽出'!$C$6="すべて",'CSV抽出'!$C$6="",D596='CSV抽出'!$C$6),OR('CSV抽出'!$C$7="",B596&amp;""='CSV抽出'!$C$7&amp;"")),1,0))</f>
        <v/>
      </c>
      <c r="AI596" s="20">
        <f>IF(AH596=1,SUM($AH$5:AH596),"")</f>
        <v/>
      </c>
      <c r="AJ596" s="20">
        <f>IF(OR(S596="",'報告書'!$C$4=""),"",IF(S596&amp;""='報告書'!$C$4&amp;"",COUNTIF($S$5:S596,'報告書'!$C$4),""))</f>
        <v/>
      </c>
      <c r="AK596" s="20" t="n"/>
      <c r="AL596" s="47" t="n"/>
      <c r="AM596" s="47" t="n"/>
      <c r="AN596" s="53" t="n"/>
      <c r="AO596" s="47" t="n"/>
      <c r="AP596" s="47" t="n"/>
      <c r="AQ596" s="47" t="n"/>
      <c r="AR596" s="47" t="n"/>
      <c r="AS596" s="47" t="n"/>
      <c r="AT596" s="47" t="n"/>
      <c r="AU596" s="47" t="n"/>
      <c r="AV596" s="47" t="n"/>
      <c r="AW596" s="52" t="n"/>
    </row>
    <row r="597">
      <c r="A597" s="48" t="n"/>
      <c r="B597" s="52" t="n"/>
      <c r="C597" s="47">
        <f>IF(B597="","",IFERROR(INDEX('隊員マスタ'!$B$5:$B$204,MATCH(B597&amp;"",'隊員マスタ'!$F$5:$F$204,0)),IF(AK597="","番号なし",AK597)))</f>
        <v/>
      </c>
      <c r="D597" s="47" t="n"/>
      <c r="E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  <c r="N597" s="47" t="n"/>
      <c r="O597" s="47" t="n"/>
      <c r="P597" s="47" t="n"/>
      <c r="Q597" s="47" t="n"/>
      <c r="R597" s="47" t="n"/>
      <c r="S597" s="47" t="n"/>
      <c r="T597" s="47" t="n"/>
      <c r="U597" s="53" t="n"/>
      <c r="V597" s="53" t="n"/>
      <c r="W597" s="47" t="n"/>
      <c r="X597" s="47" t="n"/>
      <c r="Y597" s="47" t="n"/>
      <c r="Z597" s="47" t="n"/>
      <c r="AA597" s="47" t="n"/>
      <c r="AB597" s="47" t="n"/>
      <c r="AC597" s="47" t="n"/>
      <c r="AD597" s="47" t="n"/>
      <c r="AE597" s="47" t="n"/>
      <c r="AF597" s="20">
        <f>IF(A597="","",YEAR(EDATE(A597,-3)))</f>
        <v/>
      </c>
      <c r="AG597" s="20">
        <f>IF(OR(B597="",'経歴簿'!$C$4=""),"",IF(B597&amp;""='経歴簿'!$C$4&amp;"",MAX($AG$4:AG596)+1,""))</f>
        <v/>
      </c>
      <c r="AH597" s="20">
        <f>IF(A597="",0,IF(AND(OR('CSV抽出'!$C$4="",A597&gt;='CSV抽出'!$C$4),OR('CSV抽出'!$C$5="",A597&lt;='CSV抽出'!$C$5),OR('CSV抽出'!$C$6="すべて",'CSV抽出'!$C$6="",D597='CSV抽出'!$C$6),OR('CSV抽出'!$C$7="",B597&amp;""='CSV抽出'!$C$7&amp;"")),1,0))</f>
        <v/>
      </c>
      <c r="AI597" s="20">
        <f>IF(AH597=1,SUM($AH$5:AH597),"")</f>
        <v/>
      </c>
      <c r="AJ597" s="20">
        <f>IF(OR(S597="",'報告書'!$C$4=""),"",IF(S597&amp;""='報告書'!$C$4&amp;"",COUNTIF($S$5:S597,'報告書'!$C$4),""))</f>
        <v/>
      </c>
      <c r="AK597" s="20" t="n"/>
      <c r="AL597" s="47" t="n"/>
      <c r="AM597" s="47" t="n"/>
      <c r="AN597" s="53" t="n"/>
      <c r="AO597" s="47" t="n"/>
      <c r="AP597" s="47" t="n"/>
      <c r="AQ597" s="47" t="n"/>
      <c r="AR597" s="47" t="n"/>
      <c r="AS597" s="47" t="n"/>
      <c r="AT597" s="47" t="n"/>
      <c r="AU597" s="47" t="n"/>
      <c r="AV597" s="47" t="n"/>
      <c r="AW597" s="52" t="n"/>
    </row>
    <row r="598">
      <c r="A598" s="48" t="n"/>
      <c r="B598" s="52" t="n"/>
      <c r="C598" s="47">
        <f>IF(B598="","",IFERROR(INDEX('隊員マスタ'!$B$5:$B$204,MATCH(B598&amp;"",'隊員マスタ'!$F$5:$F$204,0)),IF(AK598="","番号なし",AK598)))</f>
        <v/>
      </c>
      <c r="D598" s="47" t="n"/>
      <c r="E598" s="47" t="n"/>
      <c r="F598" s="47" t="n"/>
      <c r="G598" s="47" t="n"/>
      <c r="H598" s="47" t="n"/>
      <c r="I598" s="47" t="n"/>
      <c r="J598" s="47" t="n"/>
      <c r="K598" s="47" t="n"/>
      <c r="L598" s="47" t="n"/>
      <c r="M598" s="47" t="n"/>
      <c r="N598" s="47" t="n"/>
      <c r="O598" s="47" t="n"/>
      <c r="P598" s="47" t="n"/>
      <c r="Q598" s="47" t="n"/>
      <c r="R598" s="47" t="n"/>
      <c r="S598" s="47" t="n"/>
      <c r="T598" s="47" t="n"/>
      <c r="U598" s="53" t="n"/>
      <c r="V598" s="53" t="n"/>
      <c r="W598" s="47" t="n"/>
      <c r="X598" s="47" t="n"/>
      <c r="Y598" s="47" t="n"/>
      <c r="Z598" s="47" t="n"/>
      <c r="AA598" s="47" t="n"/>
      <c r="AB598" s="47" t="n"/>
      <c r="AC598" s="47" t="n"/>
      <c r="AD598" s="47" t="n"/>
      <c r="AE598" s="47" t="n"/>
      <c r="AF598" s="20">
        <f>IF(A598="","",YEAR(EDATE(A598,-3)))</f>
        <v/>
      </c>
      <c r="AG598" s="20">
        <f>IF(OR(B598="",'経歴簿'!$C$4=""),"",IF(B598&amp;""='経歴簿'!$C$4&amp;"",MAX($AG$4:AG597)+1,""))</f>
        <v/>
      </c>
      <c r="AH598" s="20">
        <f>IF(A598="",0,IF(AND(OR('CSV抽出'!$C$4="",A598&gt;='CSV抽出'!$C$4),OR('CSV抽出'!$C$5="",A598&lt;='CSV抽出'!$C$5),OR('CSV抽出'!$C$6="すべて",'CSV抽出'!$C$6="",D598='CSV抽出'!$C$6),OR('CSV抽出'!$C$7="",B598&amp;""='CSV抽出'!$C$7&amp;"")),1,0))</f>
        <v/>
      </c>
      <c r="AI598" s="20">
        <f>IF(AH598=1,SUM($AH$5:AH598),"")</f>
        <v/>
      </c>
      <c r="AJ598" s="20">
        <f>IF(OR(S598="",'報告書'!$C$4=""),"",IF(S598&amp;""='報告書'!$C$4&amp;"",COUNTIF($S$5:S598,'報告書'!$C$4),""))</f>
        <v/>
      </c>
      <c r="AK598" s="20" t="n"/>
      <c r="AL598" s="47" t="n"/>
      <c r="AM598" s="47" t="n"/>
      <c r="AN598" s="53" t="n"/>
      <c r="AO598" s="47" t="n"/>
      <c r="AP598" s="47" t="n"/>
      <c r="AQ598" s="47" t="n"/>
      <c r="AR598" s="47" t="n"/>
      <c r="AS598" s="47" t="n"/>
      <c r="AT598" s="47" t="n"/>
      <c r="AU598" s="47" t="n"/>
      <c r="AV598" s="47" t="n"/>
      <c r="AW598" s="52" t="n"/>
    </row>
    <row r="599">
      <c r="A599" s="48" t="n"/>
      <c r="B599" s="52" t="n"/>
      <c r="C599" s="47">
        <f>IF(B599="","",IFERROR(INDEX('隊員マスタ'!$B$5:$B$204,MATCH(B599&amp;"",'隊員マスタ'!$F$5:$F$204,0)),IF(AK599="","番号なし",AK599)))</f>
        <v/>
      </c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  <c r="N599" s="47" t="n"/>
      <c r="O599" s="47" t="n"/>
      <c r="P599" s="47" t="n"/>
      <c r="Q599" s="47" t="n"/>
      <c r="R599" s="47" t="n"/>
      <c r="S599" s="47" t="n"/>
      <c r="T599" s="47" t="n"/>
      <c r="U599" s="53" t="n"/>
      <c r="V599" s="53" t="n"/>
      <c r="W599" s="47" t="n"/>
      <c r="X599" s="47" t="n"/>
      <c r="Y599" s="47" t="n"/>
      <c r="Z599" s="47" t="n"/>
      <c r="AA599" s="47" t="n"/>
      <c r="AB599" s="47" t="n"/>
      <c r="AC599" s="47" t="n"/>
      <c r="AD599" s="47" t="n"/>
      <c r="AE599" s="47" t="n"/>
      <c r="AF599" s="20">
        <f>IF(A599="","",YEAR(EDATE(A599,-3)))</f>
        <v/>
      </c>
      <c r="AG599" s="20">
        <f>IF(OR(B599="",'経歴簿'!$C$4=""),"",IF(B599&amp;""='経歴簿'!$C$4&amp;"",MAX($AG$4:AG598)+1,""))</f>
        <v/>
      </c>
      <c r="AH599" s="20">
        <f>IF(A599="",0,IF(AND(OR('CSV抽出'!$C$4="",A599&gt;='CSV抽出'!$C$4),OR('CSV抽出'!$C$5="",A599&lt;='CSV抽出'!$C$5),OR('CSV抽出'!$C$6="すべて",'CSV抽出'!$C$6="",D599='CSV抽出'!$C$6),OR('CSV抽出'!$C$7="",B599&amp;""='CSV抽出'!$C$7&amp;"")),1,0))</f>
        <v/>
      </c>
      <c r="AI599" s="20">
        <f>IF(AH599=1,SUM($AH$5:AH599),"")</f>
        <v/>
      </c>
      <c r="AJ599" s="20">
        <f>IF(OR(S599="",'報告書'!$C$4=""),"",IF(S599&amp;""='報告書'!$C$4&amp;"",COUNTIF($S$5:S599,'報告書'!$C$4),""))</f>
        <v/>
      </c>
      <c r="AK599" s="20" t="n"/>
      <c r="AL599" s="47" t="n"/>
      <c r="AM599" s="47" t="n"/>
      <c r="AN599" s="53" t="n"/>
      <c r="AO599" s="47" t="n"/>
      <c r="AP599" s="47" t="n"/>
      <c r="AQ599" s="47" t="n"/>
      <c r="AR599" s="47" t="n"/>
      <c r="AS599" s="47" t="n"/>
      <c r="AT599" s="47" t="n"/>
      <c r="AU599" s="47" t="n"/>
      <c r="AV599" s="47" t="n"/>
      <c r="AW599" s="52" t="n"/>
    </row>
    <row r="600">
      <c r="A600" s="48" t="n"/>
      <c r="B600" s="52" t="n"/>
      <c r="C600" s="47">
        <f>IF(B600="","",IFERROR(INDEX('隊員マスタ'!$B$5:$B$204,MATCH(B600&amp;"",'隊員マスタ'!$F$5:$F$204,0)),IF(AK600="","番号なし",AK600)))</f>
        <v/>
      </c>
      <c r="D600" s="47" t="n"/>
      <c r="E600" s="47" t="n"/>
      <c r="F600" s="47" t="n"/>
      <c r="G600" s="47" t="n"/>
      <c r="H600" s="47" t="n"/>
      <c r="I600" s="47" t="n"/>
      <c r="J600" s="47" t="n"/>
      <c r="K600" s="47" t="n"/>
      <c r="L600" s="47" t="n"/>
      <c r="M600" s="47" t="n"/>
      <c r="N600" s="47" t="n"/>
      <c r="O600" s="47" t="n"/>
      <c r="P600" s="47" t="n"/>
      <c r="Q600" s="47" t="n"/>
      <c r="R600" s="47" t="n"/>
      <c r="S600" s="47" t="n"/>
      <c r="T600" s="47" t="n"/>
      <c r="U600" s="53" t="n"/>
      <c r="V600" s="53" t="n"/>
      <c r="W600" s="47" t="n"/>
      <c r="X600" s="47" t="n"/>
      <c r="Y600" s="47" t="n"/>
      <c r="Z600" s="47" t="n"/>
      <c r="AA600" s="47" t="n"/>
      <c r="AB600" s="47" t="n"/>
      <c r="AC600" s="47" t="n"/>
      <c r="AD600" s="47" t="n"/>
      <c r="AE600" s="47" t="n"/>
      <c r="AF600" s="20">
        <f>IF(A600="","",YEAR(EDATE(A600,-3)))</f>
        <v/>
      </c>
      <c r="AG600" s="20">
        <f>IF(OR(B600="",'経歴簿'!$C$4=""),"",IF(B600&amp;""='経歴簿'!$C$4&amp;"",MAX($AG$4:AG599)+1,""))</f>
        <v/>
      </c>
      <c r="AH600" s="20">
        <f>IF(A600="",0,IF(AND(OR('CSV抽出'!$C$4="",A600&gt;='CSV抽出'!$C$4),OR('CSV抽出'!$C$5="",A600&lt;='CSV抽出'!$C$5),OR('CSV抽出'!$C$6="すべて",'CSV抽出'!$C$6="",D600='CSV抽出'!$C$6),OR('CSV抽出'!$C$7="",B600&amp;""='CSV抽出'!$C$7&amp;"")),1,0))</f>
        <v/>
      </c>
      <c r="AI600" s="20">
        <f>IF(AH600=1,SUM($AH$5:AH600),"")</f>
        <v/>
      </c>
      <c r="AJ600" s="20">
        <f>IF(OR(S600="",'報告書'!$C$4=""),"",IF(S600&amp;""='報告書'!$C$4&amp;"",COUNTIF($S$5:S600,'報告書'!$C$4),""))</f>
        <v/>
      </c>
      <c r="AK600" s="20" t="n"/>
      <c r="AL600" s="47" t="n"/>
      <c r="AM600" s="47" t="n"/>
      <c r="AN600" s="53" t="n"/>
      <c r="AO600" s="47" t="n"/>
      <c r="AP600" s="47" t="n"/>
      <c r="AQ600" s="47" t="n"/>
      <c r="AR600" s="47" t="n"/>
      <c r="AS600" s="47" t="n"/>
      <c r="AT600" s="47" t="n"/>
      <c r="AU600" s="47" t="n"/>
      <c r="AV600" s="47" t="n"/>
      <c r="AW600" s="52" t="n"/>
    </row>
    <row r="601">
      <c r="A601" s="48" t="n"/>
      <c r="B601" s="52" t="n"/>
      <c r="C601" s="47">
        <f>IF(B601="","",IFERROR(INDEX('隊員マスタ'!$B$5:$B$204,MATCH(B601&amp;"",'隊員マスタ'!$F$5:$F$204,0)),IF(AK601="","番号なし",AK601)))</f>
        <v/>
      </c>
      <c r="D601" s="47" t="n"/>
      <c r="E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  <c r="N601" s="47" t="n"/>
      <c r="O601" s="47" t="n"/>
      <c r="P601" s="47" t="n"/>
      <c r="Q601" s="47" t="n"/>
      <c r="R601" s="47" t="n"/>
      <c r="S601" s="47" t="n"/>
      <c r="T601" s="47" t="n"/>
      <c r="U601" s="53" t="n"/>
      <c r="V601" s="53" t="n"/>
      <c r="W601" s="47" t="n"/>
      <c r="X601" s="47" t="n"/>
      <c r="Y601" s="47" t="n"/>
      <c r="Z601" s="47" t="n"/>
      <c r="AA601" s="47" t="n"/>
      <c r="AB601" s="47" t="n"/>
      <c r="AC601" s="47" t="n"/>
      <c r="AD601" s="47" t="n"/>
      <c r="AE601" s="47" t="n"/>
      <c r="AF601" s="20">
        <f>IF(A601="","",YEAR(EDATE(A601,-3)))</f>
        <v/>
      </c>
      <c r="AG601" s="20">
        <f>IF(OR(B601="",'経歴簿'!$C$4=""),"",IF(B601&amp;""='経歴簿'!$C$4&amp;"",MAX($AG$4:AG600)+1,""))</f>
        <v/>
      </c>
      <c r="AH601" s="20">
        <f>IF(A601="",0,IF(AND(OR('CSV抽出'!$C$4="",A601&gt;='CSV抽出'!$C$4),OR('CSV抽出'!$C$5="",A601&lt;='CSV抽出'!$C$5),OR('CSV抽出'!$C$6="すべて",'CSV抽出'!$C$6="",D601='CSV抽出'!$C$6),OR('CSV抽出'!$C$7="",B601&amp;""='CSV抽出'!$C$7&amp;"")),1,0))</f>
        <v/>
      </c>
      <c r="AI601" s="20">
        <f>IF(AH601=1,SUM($AH$5:AH601),"")</f>
        <v/>
      </c>
      <c r="AJ601" s="20">
        <f>IF(OR(S601="",'報告書'!$C$4=""),"",IF(S601&amp;""='報告書'!$C$4&amp;"",COUNTIF($S$5:S601,'報告書'!$C$4),""))</f>
        <v/>
      </c>
      <c r="AK601" s="20" t="n"/>
      <c r="AL601" s="47" t="n"/>
      <c r="AM601" s="47" t="n"/>
      <c r="AN601" s="53" t="n"/>
      <c r="AO601" s="47" t="n"/>
      <c r="AP601" s="47" t="n"/>
      <c r="AQ601" s="47" t="n"/>
      <c r="AR601" s="47" t="n"/>
      <c r="AS601" s="47" t="n"/>
      <c r="AT601" s="47" t="n"/>
      <c r="AU601" s="47" t="n"/>
      <c r="AV601" s="47" t="n"/>
      <c r="AW601" s="52" t="n"/>
    </row>
    <row r="602">
      <c r="A602" s="48" t="n"/>
      <c r="B602" s="52" t="n"/>
      <c r="C602" s="47">
        <f>IF(B602="","",IFERROR(INDEX('隊員マスタ'!$B$5:$B$204,MATCH(B602&amp;"",'隊員マスタ'!$F$5:$F$204,0)),IF(AK602="","番号なし",AK602)))</f>
        <v/>
      </c>
      <c r="D602" s="47" t="n"/>
      <c r="E602" s="47" t="n"/>
      <c r="F602" s="47" t="n"/>
      <c r="G602" s="47" t="n"/>
      <c r="H602" s="47" t="n"/>
      <c r="I602" s="47" t="n"/>
      <c r="J602" s="47" t="n"/>
      <c r="K602" s="47" t="n"/>
      <c r="L602" s="47" t="n"/>
      <c r="M602" s="47" t="n"/>
      <c r="N602" s="47" t="n"/>
      <c r="O602" s="47" t="n"/>
      <c r="P602" s="47" t="n"/>
      <c r="Q602" s="47" t="n"/>
      <c r="R602" s="47" t="n"/>
      <c r="S602" s="47" t="n"/>
      <c r="T602" s="47" t="n"/>
      <c r="U602" s="53" t="n"/>
      <c r="V602" s="53" t="n"/>
      <c r="W602" s="47" t="n"/>
      <c r="X602" s="47" t="n"/>
      <c r="Y602" s="47" t="n"/>
      <c r="Z602" s="47" t="n"/>
      <c r="AA602" s="47" t="n"/>
      <c r="AB602" s="47" t="n"/>
      <c r="AC602" s="47" t="n"/>
      <c r="AD602" s="47" t="n"/>
      <c r="AE602" s="47" t="n"/>
      <c r="AF602" s="20">
        <f>IF(A602="","",YEAR(EDATE(A602,-3)))</f>
        <v/>
      </c>
      <c r="AG602" s="20">
        <f>IF(OR(B602="",'経歴簿'!$C$4=""),"",IF(B602&amp;""='経歴簿'!$C$4&amp;"",MAX($AG$4:AG601)+1,""))</f>
        <v/>
      </c>
      <c r="AH602" s="20">
        <f>IF(A602="",0,IF(AND(OR('CSV抽出'!$C$4="",A602&gt;='CSV抽出'!$C$4),OR('CSV抽出'!$C$5="",A602&lt;='CSV抽出'!$C$5),OR('CSV抽出'!$C$6="すべて",'CSV抽出'!$C$6="",D602='CSV抽出'!$C$6),OR('CSV抽出'!$C$7="",B602&amp;""='CSV抽出'!$C$7&amp;"")),1,0))</f>
        <v/>
      </c>
      <c r="AI602" s="20">
        <f>IF(AH602=1,SUM($AH$5:AH602),"")</f>
        <v/>
      </c>
      <c r="AJ602" s="20">
        <f>IF(OR(S602="",'報告書'!$C$4=""),"",IF(S602&amp;""='報告書'!$C$4&amp;"",COUNTIF($S$5:S602,'報告書'!$C$4),""))</f>
        <v/>
      </c>
      <c r="AK602" s="20" t="n"/>
      <c r="AL602" s="47" t="n"/>
      <c r="AM602" s="47" t="n"/>
      <c r="AN602" s="53" t="n"/>
      <c r="AO602" s="47" t="n"/>
      <c r="AP602" s="47" t="n"/>
      <c r="AQ602" s="47" t="n"/>
      <c r="AR602" s="47" t="n"/>
      <c r="AS602" s="47" t="n"/>
      <c r="AT602" s="47" t="n"/>
      <c r="AU602" s="47" t="n"/>
      <c r="AV602" s="47" t="n"/>
      <c r="AW602" s="52" t="n"/>
    </row>
    <row r="603">
      <c r="A603" s="48" t="n"/>
      <c r="B603" s="52" t="n"/>
      <c r="C603" s="47">
        <f>IF(B603="","",IFERROR(INDEX('隊員マスタ'!$B$5:$B$204,MATCH(B603&amp;"",'隊員マスタ'!$F$5:$F$204,0)),IF(AK603="","番号なし",AK603)))</f>
        <v/>
      </c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  <c r="N603" s="47" t="n"/>
      <c r="O603" s="47" t="n"/>
      <c r="P603" s="47" t="n"/>
      <c r="Q603" s="47" t="n"/>
      <c r="R603" s="47" t="n"/>
      <c r="S603" s="47" t="n"/>
      <c r="T603" s="47" t="n"/>
      <c r="U603" s="53" t="n"/>
      <c r="V603" s="53" t="n"/>
      <c r="W603" s="47" t="n"/>
      <c r="X603" s="47" t="n"/>
      <c r="Y603" s="47" t="n"/>
      <c r="Z603" s="47" t="n"/>
      <c r="AA603" s="47" t="n"/>
      <c r="AB603" s="47" t="n"/>
      <c r="AC603" s="47" t="n"/>
      <c r="AD603" s="47" t="n"/>
      <c r="AE603" s="47" t="n"/>
      <c r="AF603" s="20">
        <f>IF(A603="","",YEAR(EDATE(A603,-3)))</f>
        <v/>
      </c>
      <c r="AG603" s="20">
        <f>IF(OR(B603="",'経歴簿'!$C$4=""),"",IF(B603&amp;""='経歴簿'!$C$4&amp;"",MAX($AG$4:AG602)+1,""))</f>
        <v/>
      </c>
      <c r="AH603" s="20">
        <f>IF(A603="",0,IF(AND(OR('CSV抽出'!$C$4="",A603&gt;='CSV抽出'!$C$4),OR('CSV抽出'!$C$5="",A603&lt;='CSV抽出'!$C$5),OR('CSV抽出'!$C$6="すべて",'CSV抽出'!$C$6="",D603='CSV抽出'!$C$6),OR('CSV抽出'!$C$7="",B603&amp;""='CSV抽出'!$C$7&amp;"")),1,0))</f>
        <v/>
      </c>
      <c r="AI603" s="20">
        <f>IF(AH603=1,SUM($AH$5:AH603),"")</f>
        <v/>
      </c>
      <c r="AJ603" s="20">
        <f>IF(OR(S603="",'報告書'!$C$4=""),"",IF(S603&amp;""='報告書'!$C$4&amp;"",COUNTIF($S$5:S603,'報告書'!$C$4),""))</f>
        <v/>
      </c>
      <c r="AK603" s="20" t="n"/>
      <c r="AL603" s="47" t="n"/>
      <c r="AM603" s="47" t="n"/>
      <c r="AN603" s="53" t="n"/>
      <c r="AO603" s="47" t="n"/>
      <c r="AP603" s="47" t="n"/>
      <c r="AQ603" s="47" t="n"/>
      <c r="AR603" s="47" t="n"/>
      <c r="AS603" s="47" t="n"/>
      <c r="AT603" s="47" t="n"/>
      <c r="AU603" s="47" t="n"/>
      <c r="AV603" s="47" t="n"/>
      <c r="AW603" s="52" t="n"/>
    </row>
    <row r="604">
      <c r="A604" s="48" t="n"/>
      <c r="B604" s="52" t="n"/>
      <c r="C604" s="47">
        <f>IF(B604="","",IFERROR(INDEX('隊員マスタ'!$B$5:$B$204,MATCH(B604&amp;"",'隊員マスタ'!$F$5:$F$204,0)),IF(AK604="","番号なし",AK604)))</f>
        <v/>
      </c>
      <c r="D604" s="47" t="n"/>
      <c r="E604" s="47" t="n"/>
      <c r="F604" s="47" t="n"/>
      <c r="G604" s="47" t="n"/>
      <c r="H604" s="47" t="n"/>
      <c r="I604" s="47" t="n"/>
      <c r="J604" s="47" t="n"/>
      <c r="K604" s="47" t="n"/>
      <c r="L604" s="47" t="n"/>
      <c r="M604" s="47" t="n"/>
      <c r="N604" s="47" t="n"/>
      <c r="O604" s="47" t="n"/>
      <c r="P604" s="47" t="n"/>
      <c r="Q604" s="47" t="n"/>
      <c r="R604" s="47" t="n"/>
      <c r="S604" s="47" t="n"/>
      <c r="T604" s="47" t="n"/>
      <c r="U604" s="53" t="n"/>
      <c r="V604" s="53" t="n"/>
      <c r="W604" s="47" t="n"/>
      <c r="X604" s="47" t="n"/>
      <c r="Y604" s="47" t="n"/>
      <c r="Z604" s="47" t="n"/>
      <c r="AA604" s="47" t="n"/>
      <c r="AB604" s="47" t="n"/>
      <c r="AC604" s="47" t="n"/>
      <c r="AD604" s="47" t="n"/>
      <c r="AE604" s="47" t="n"/>
      <c r="AF604" s="20">
        <f>IF(A604="","",YEAR(EDATE(A604,-3)))</f>
        <v/>
      </c>
      <c r="AG604" s="20">
        <f>IF(OR(B604="",'経歴簿'!$C$4=""),"",IF(B604&amp;""='経歴簿'!$C$4&amp;"",MAX($AG$4:AG603)+1,""))</f>
        <v/>
      </c>
      <c r="AH604" s="20">
        <f>IF(A604="",0,IF(AND(OR('CSV抽出'!$C$4="",A604&gt;='CSV抽出'!$C$4),OR('CSV抽出'!$C$5="",A604&lt;='CSV抽出'!$C$5),OR('CSV抽出'!$C$6="すべて",'CSV抽出'!$C$6="",D604='CSV抽出'!$C$6),OR('CSV抽出'!$C$7="",B604&amp;""='CSV抽出'!$C$7&amp;"")),1,0))</f>
        <v/>
      </c>
      <c r="AI604" s="20">
        <f>IF(AH604=1,SUM($AH$5:AH604),"")</f>
        <v/>
      </c>
      <c r="AJ604" s="20">
        <f>IF(OR(S604="",'報告書'!$C$4=""),"",IF(S604&amp;""='報告書'!$C$4&amp;"",COUNTIF($S$5:S604,'報告書'!$C$4),""))</f>
        <v/>
      </c>
      <c r="AK604" s="20" t="n"/>
      <c r="AL604" s="47" t="n"/>
      <c r="AM604" s="47" t="n"/>
      <c r="AN604" s="53" t="n"/>
      <c r="AO604" s="47" t="n"/>
      <c r="AP604" s="47" t="n"/>
      <c r="AQ604" s="47" t="n"/>
      <c r="AR604" s="47" t="n"/>
      <c r="AS604" s="47" t="n"/>
      <c r="AT604" s="47" t="n"/>
      <c r="AU604" s="47" t="n"/>
      <c r="AV604" s="47" t="n"/>
      <c r="AW604" s="52" t="n"/>
    </row>
    <row r="605">
      <c r="A605" s="48" t="n"/>
      <c r="B605" s="52" t="n"/>
      <c r="C605" s="47">
        <f>IF(B605="","",IFERROR(INDEX('隊員マスタ'!$B$5:$B$204,MATCH(B605&amp;"",'隊員マスタ'!$F$5:$F$204,0)),IF(AK605="","番号なし",AK605)))</f>
        <v/>
      </c>
      <c r="D605" s="47" t="n"/>
      <c r="E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  <c r="N605" s="47" t="n"/>
      <c r="O605" s="47" t="n"/>
      <c r="P605" s="47" t="n"/>
      <c r="Q605" s="47" t="n"/>
      <c r="R605" s="47" t="n"/>
      <c r="S605" s="47" t="n"/>
      <c r="T605" s="47" t="n"/>
      <c r="U605" s="53" t="n"/>
      <c r="V605" s="53" t="n"/>
      <c r="W605" s="47" t="n"/>
      <c r="X605" s="47" t="n"/>
      <c r="Y605" s="47" t="n"/>
      <c r="Z605" s="47" t="n"/>
      <c r="AA605" s="47" t="n"/>
      <c r="AB605" s="47" t="n"/>
      <c r="AC605" s="47" t="n"/>
      <c r="AD605" s="47" t="n"/>
      <c r="AE605" s="47" t="n"/>
      <c r="AF605" s="20">
        <f>IF(A605="","",YEAR(EDATE(A605,-3)))</f>
        <v/>
      </c>
      <c r="AG605" s="20">
        <f>IF(OR(B605="",'経歴簿'!$C$4=""),"",IF(B605&amp;""='経歴簿'!$C$4&amp;"",MAX($AG$4:AG604)+1,""))</f>
        <v/>
      </c>
      <c r="AH605" s="20">
        <f>IF(A605="",0,IF(AND(OR('CSV抽出'!$C$4="",A605&gt;='CSV抽出'!$C$4),OR('CSV抽出'!$C$5="",A605&lt;='CSV抽出'!$C$5),OR('CSV抽出'!$C$6="すべて",'CSV抽出'!$C$6="",D605='CSV抽出'!$C$6),OR('CSV抽出'!$C$7="",B605&amp;""='CSV抽出'!$C$7&amp;"")),1,0))</f>
        <v/>
      </c>
      <c r="AI605" s="20">
        <f>IF(AH605=1,SUM($AH$5:AH605),"")</f>
        <v/>
      </c>
      <c r="AJ605" s="20">
        <f>IF(OR(S605="",'報告書'!$C$4=""),"",IF(S605&amp;""='報告書'!$C$4&amp;"",COUNTIF($S$5:S605,'報告書'!$C$4),""))</f>
        <v/>
      </c>
      <c r="AK605" s="20" t="n"/>
      <c r="AL605" s="47" t="n"/>
      <c r="AM605" s="47" t="n"/>
      <c r="AN605" s="53" t="n"/>
      <c r="AO605" s="47" t="n"/>
      <c r="AP605" s="47" t="n"/>
      <c r="AQ605" s="47" t="n"/>
      <c r="AR605" s="47" t="n"/>
      <c r="AS605" s="47" t="n"/>
      <c r="AT605" s="47" t="n"/>
      <c r="AU605" s="47" t="n"/>
      <c r="AV605" s="47" t="n"/>
      <c r="AW605" s="52" t="n"/>
    </row>
    <row r="606">
      <c r="A606" s="48" t="n"/>
      <c r="B606" s="52" t="n"/>
      <c r="C606" s="47">
        <f>IF(B606="","",IFERROR(INDEX('隊員マスタ'!$B$5:$B$204,MATCH(B606&amp;"",'隊員マスタ'!$F$5:$F$204,0)),IF(AK606="","番号なし",AK606)))</f>
        <v/>
      </c>
      <c r="D606" s="47" t="n"/>
      <c r="E606" s="47" t="n"/>
      <c r="F606" s="47" t="n"/>
      <c r="G606" s="47" t="n"/>
      <c r="H606" s="47" t="n"/>
      <c r="I606" s="47" t="n"/>
      <c r="J606" s="47" t="n"/>
      <c r="K606" s="47" t="n"/>
      <c r="L606" s="47" t="n"/>
      <c r="M606" s="47" t="n"/>
      <c r="N606" s="47" t="n"/>
      <c r="O606" s="47" t="n"/>
      <c r="P606" s="47" t="n"/>
      <c r="Q606" s="47" t="n"/>
      <c r="R606" s="47" t="n"/>
      <c r="S606" s="47" t="n"/>
      <c r="T606" s="47" t="n"/>
      <c r="U606" s="53" t="n"/>
      <c r="V606" s="53" t="n"/>
      <c r="W606" s="47" t="n"/>
      <c r="X606" s="47" t="n"/>
      <c r="Y606" s="47" t="n"/>
      <c r="Z606" s="47" t="n"/>
      <c r="AA606" s="47" t="n"/>
      <c r="AB606" s="47" t="n"/>
      <c r="AC606" s="47" t="n"/>
      <c r="AD606" s="47" t="n"/>
      <c r="AE606" s="47" t="n"/>
      <c r="AF606" s="20">
        <f>IF(A606="","",YEAR(EDATE(A606,-3)))</f>
        <v/>
      </c>
      <c r="AG606" s="20">
        <f>IF(OR(B606="",'経歴簿'!$C$4=""),"",IF(B606&amp;""='経歴簿'!$C$4&amp;"",MAX($AG$4:AG605)+1,""))</f>
        <v/>
      </c>
      <c r="AH606" s="20">
        <f>IF(A606="",0,IF(AND(OR('CSV抽出'!$C$4="",A606&gt;='CSV抽出'!$C$4),OR('CSV抽出'!$C$5="",A606&lt;='CSV抽出'!$C$5),OR('CSV抽出'!$C$6="すべて",'CSV抽出'!$C$6="",D606='CSV抽出'!$C$6),OR('CSV抽出'!$C$7="",B606&amp;""='CSV抽出'!$C$7&amp;"")),1,0))</f>
        <v/>
      </c>
      <c r="AI606" s="20">
        <f>IF(AH606=1,SUM($AH$5:AH606),"")</f>
        <v/>
      </c>
      <c r="AJ606" s="20">
        <f>IF(OR(S606="",'報告書'!$C$4=""),"",IF(S606&amp;""='報告書'!$C$4&amp;"",COUNTIF($S$5:S606,'報告書'!$C$4),""))</f>
        <v/>
      </c>
      <c r="AK606" s="20" t="n"/>
      <c r="AL606" s="47" t="n"/>
      <c r="AM606" s="47" t="n"/>
      <c r="AN606" s="53" t="n"/>
      <c r="AO606" s="47" t="n"/>
      <c r="AP606" s="47" t="n"/>
      <c r="AQ606" s="47" t="n"/>
      <c r="AR606" s="47" t="n"/>
      <c r="AS606" s="47" t="n"/>
      <c r="AT606" s="47" t="n"/>
      <c r="AU606" s="47" t="n"/>
      <c r="AV606" s="47" t="n"/>
      <c r="AW606" s="52" t="n"/>
    </row>
    <row r="607">
      <c r="A607" s="48" t="n"/>
      <c r="B607" s="52" t="n"/>
      <c r="C607" s="47">
        <f>IF(B607="","",IFERROR(INDEX('隊員マスタ'!$B$5:$B$204,MATCH(B607&amp;"",'隊員マスタ'!$F$5:$F$204,0)),IF(AK607="","番号なし",AK607)))</f>
        <v/>
      </c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  <c r="N607" s="47" t="n"/>
      <c r="O607" s="47" t="n"/>
      <c r="P607" s="47" t="n"/>
      <c r="Q607" s="47" t="n"/>
      <c r="R607" s="47" t="n"/>
      <c r="S607" s="47" t="n"/>
      <c r="T607" s="47" t="n"/>
      <c r="U607" s="53" t="n"/>
      <c r="V607" s="53" t="n"/>
      <c r="W607" s="47" t="n"/>
      <c r="X607" s="47" t="n"/>
      <c r="Y607" s="47" t="n"/>
      <c r="Z607" s="47" t="n"/>
      <c r="AA607" s="47" t="n"/>
      <c r="AB607" s="47" t="n"/>
      <c r="AC607" s="47" t="n"/>
      <c r="AD607" s="47" t="n"/>
      <c r="AE607" s="47" t="n"/>
      <c r="AF607" s="20">
        <f>IF(A607="","",YEAR(EDATE(A607,-3)))</f>
        <v/>
      </c>
      <c r="AG607" s="20">
        <f>IF(OR(B607="",'経歴簿'!$C$4=""),"",IF(B607&amp;""='経歴簿'!$C$4&amp;"",MAX($AG$4:AG606)+1,""))</f>
        <v/>
      </c>
      <c r="AH607" s="20">
        <f>IF(A607="",0,IF(AND(OR('CSV抽出'!$C$4="",A607&gt;='CSV抽出'!$C$4),OR('CSV抽出'!$C$5="",A607&lt;='CSV抽出'!$C$5),OR('CSV抽出'!$C$6="すべて",'CSV抽出'!$C$6="",D607='CSV抽出'!$C$6),OR('CSV抽出'!$C$7="",B607&amp;""='CSV抽出'!$C$7&amp;"")),1,0))</f>
        <v/>
      </c>
      <c r="AI607" s="20">
        <f>IF(AH607=1,SUM($AH$5:AH607),"")</f>
        <v/>
      </c>
      <c r="AJ607" s="20">
        <f>IF(OR(S607="",'報告書'!$C$4=""),"",IF(S607&amp;""='報告書'!$C$4&amp;"",COUNTIF($S$5:S607,'報告書'!$C$4),""))</f>
        <v/>
      </c>
      <c r="AK607" s="20" t="n"/>
      <c r="AL607" s="47" t="n"/>
      <c r="AM607" s="47" t="n"/>
      <c r="AN607" s="53" t="n"/>
      <c r="AO607" s="47" t="n"/>
      <c r="AP607" s="47" t="n"/>
      <c r="AQ607" s="47" t="n"/>
      <c r="AR607" s="47" t="n"/>
      <c r="AS607" s="47" t="n"/>
      <c r="AT607" s="47" t="n"/>
      <c r="AU607" s="47" t="n"/>
      <c r="AV607" s="47" t="n"/>
      <c r="AW607" s="52" t="n"/>
    </row>
    <row r="608">
      <c r="A608" s="48" t="n"/>
      <c r="B608" s="52" t="n"/>
      <c r="C608" s="47">
        <f>IF(B608="","",IFERROR(INDEX('隊員マスタ'!$B$5:$B$204,MATCH(B608&amp;"",'隊員マスタ'!$F$5:$F$204,0)),IF(AK608="","番号なし",AK608)))</f>
        <v/>
      </c>
      <c r="D608" s="47" t="n"/>
      <c r="E608" s="47" t="n"/>
      <c r="F608" s="47" t="n"/>
      <c r="G608" s="47" t="n"/>
      <c r="H608" s="47" t="n"/>
      <c r="I608" s="47" t="n"/>
      <c r="J608" s="47" t="n"/>
      <c r="K608" s="47" t="n"/>
      <c r="L608" s="47" t="n"/>
      <c r="M608" s="47" t="n"/>
      <c r="N608" s="47" t="n"/>
      <c r="O608" s="47" t="n"/>
      <c r="P608" s="47" t="n"/>
      <c r="Q608" s="47" t="n"/>
      <c r="R608" s="47" t="n"/>
      <c r="S608" s="47" t="n"/>
      <c r="T608" s="47" t="n"/>
      <c r="U608" s="53" t="n"/>
      <c r="V608" s="53" t="n"/>
      <c r="W608" s="47" t="n"/>
      <c r="X608" s="47" t="n"/>
      <c r="Y608" s="47" t="n"/>
      <c r="Z608" s="47" t="n"/>
      <c r="AA608" s="47" t="n"/>
      <c r="AB608" s="47" t="n"/>
      <c r="AC608" s="47" t="n"/>
      <c r="AD608" s="47" t="n"/>
      <c r="AE608" s="47" t="n"/>
      <c r="AF608" s="20">
        <f>IF(A608="","",YEAR(EDATE(A608,-3)))</f>
        <v/>
      </c>
      <c r="AG608" s="20">
        <f>IF(OR(B608="",'経歴簿'!$C$4=""),"",IF(B608&amp;""='経歴簿'!$C$4&amp;"",MAX($AG$4:AG607)+1,""))</f>
        <v/>
      </c>
      <c r="AH608" s="20">
        <f>IF(A608="",0,IF(AND(OR('CSV抽出'!$C$4="",A608&gt;='CSV抽出'!$C$4),OR('CSV抽出'!$C$5="",A608&lt;='CSV抽出'!$C$5),OR('CSV抽出'!$C$6="すべて",'CSV抽出'!$C$6="",D608='CSV抽出'!$C$6),OR('CSV抽出'!$C$7="",B608&amp;""='CSV抽出'!$C$7&amp;"")),1,0))</f>
        <v/>
      </c>
      <c r="AI608" s="20">
        <f>IF(AH608=1,SUM($AH$5:AH608),"")</f>
        <v/>
      </c>
      <c r="AJ608" s="20">
        <f>IF(OR(S608="",'報告書'!$C$4=""),"",IF(S608&amp;""='報告書'!$C$4&amp;"",COUNTIF($S$5:S608,'報告書'!$C$4),""))</f>
        <v/>
      </c>
      <c r="AK608" s="20" t="n"/>
      <c r="AL608" s="47" t="n"/>
      <c r="AM608" s="47" t="n"/>
      <c r="AN608" s="53" t="n"/>
      <c r="AO608" s="47" t="n"/>
      <c r="AP608" s="47" t="n"/>
      <c r="AQ608" s="47" t="n"/>
      <c r="AR608" s="47" t="n"/>
      <c r="AS608" s="47" t="n"/>
      <c r="AT608" s="47" t="n"/>
      <c r="AU608" s="47" t="n"/>
      <c r="AV608" s="47" t="n"/>
      <c r="AW608" s="52" t="n"/>
    </row>
    <row r="609">
      <c r="A609" s="48" t="n"/>
      <c r="B609" s="52" t="n"/>
      <c r="C609" s="47">
        <f>IF(B609="","",IFERROR(INDEX('隊員マスタ'!$B$5:$B$204,MATCH(B609&amp;"",'隊員マスタ'!$F$5:$F$204,0)),IF(AK609="","番号なし",AK609)))</f>
        <v/>
      </c>
      <c r="D609" s="47" t="n"/>
      <c r="E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  <c r="N609" s="47" t="n"/>
      <c r="O609" s="47" t="n"/>
      <c r="P609" s="47" t="n"/>
      <c r="Q609" s="47" t="n"/>
      <c r="R609" s="47" t="n"/>
      <c r="S609" s="47" t="n"/>
      <c r="T609" s="47" t="n"/>
      <c r="U609" s="53" t="n"/>
      <c r="V609" s="53" t="n"/>
      <c r="W609" s="47" t="n"/>
      <c r="X609" s="47" t="n"/>
      <c r="Y609" s="47" t="n"/>
      <c r="Z609" s="47" t="n"/>
      <c r="AA609" s="47" t="n"/>
      <c r="AB609" s="47" t="n"/>
      <c r="AC609" s="47" t="n"/>
      <c r="AD609" s="47" t="n"/>
      <c r="AE609" s="47" t="n"/>
      <c r="AF609" s="20">
        <f>IF(A609="","",YEAR(EDATE(A609,-3)))</f>
        <v/>
      </c>
      <c r="AG609" s="20">
        <f>IF(OR(B609="",'経歴簿'!$C$4=""),"",IF(B609&amp;""='経歴簿'!$C$4&amp;"",MAX($AG$4:AG608)+1,""))</f>
        <v/>
      </c>
      <c r="AH609" s="20">
        <f>IF(A609="",0,IF(AND(OR('CSV抽出'!$C$4="",A609&gt;='CSV抽出'!$C$4),OR('CSV抽出'!$C$5="",A609&lt;='CSV抽出'!$C$5),OR('CSV抽出'!$C$6="すべて",'CSV抽出'!$C$6="",D609='CSV抽出'!$C$6),OR('CSV抽出'!$C$7="",B609&amp;""='CSV抽出'!$C$7&amp;"")),1,0))</f>
        <v/>
      </c>
      <c r="AI609" s="20">
        <f>IF(AH609=1,SUM($AH$5:AH609),"")</f>
        <v/>
      </c>
      <c r="AJ609" s="20">
        <f>IF(OR(S609="",'報告書'!$C$4=""),"",IF(S609&amp;""='報告書'!$C$4&amp;"",COUNTIF($S$5:S609,'報告書'!$C$4),""))</f>
        <v/>
      </c>
      <c r="AK609" s="20" t="n"/>
      <c r="AL609" s="47" t="n"/>
      <c r="AM609" s="47" t="n"/>
      <c r="AN609" s="53" t="n"/>
      <c r="AO609" s="47" t="n"/>
      <c r="AP609" s="47" t="n"/>
      <c r="AQ609" s="47" t="n"/>
      <c r="AR609" s="47" t="n"/>
      <c r="AS609" s="47" t="n"/>
      <c r="AT609" s="47" t="n"/>
      <c r="AU609" s="47" t="n"/>
      <c r="AV609" s="47" t="n"/>
      <c r="AW609" s="52" t="n"/>
    </row>
    <row r="610">
      <c r="A610" s="48" t="n"/>
      <c r="B610" s="52" t="n"/>
      <c r="C610" s="47">
        <f>IF(B610="","",IFERROR(INDEX('隊員マスタ'!$B$5:$B$204,MATCH(B610&amp;"",'隊員マスタ'!$F$5:$F$204,0)),IF(AK610="","番号なし",AK610)))</f>
        <v/>
      </c>
      <c r="D610" s="47" t="n"/>
      <c r="E610" s="47" t="n"/>
      <c r="F610" s="47" t="n"/>
      <c r="G610" s="47" t="n"/>
      <c r="H610" s="47" t="n"/>
      <c r="I610" s="47" t="n"/>
      <c r="J610" s="47" t="n"/>
      <c r="K610" s="47" t="n"/>
      <c r="L610" s="47" t="n"/>
      <c r="M610" s="47" t="n"/>
      <c r="N610" s="47" t="n"/>
      <c r="O610" s="47" t="n"/>
      <c r="P610" s="47" t="n"/>
      <c r="Q610" s="47" t="n"/>
      <c r="R610" s="47" t="n"/>
      <c r="S610" s="47" t="n"/>
      <c r="T610" s="47" t="n"/>
      <c r="U610" s="53" t="n"/>
      <c r="V610" s="53" t="n"/>
      <c r="W610" s="47" t="n"/>
      <c r="X610" s="47" t="n"/>
      <c r="Y610" s="47" t="n"/>
      <c r="Z610" s="47" t="n"/>
      <c r="AA610" s="47" t="n"/>
      <c r="AB610" s="47" t="n"/>
      <c r="AC610" s="47" t="n"/>
      <c r="AD610" s="47" t="n"/>
      <c r="AE610" s="47" t="n"/>
      <c r="AF610" s="20">
        <f>IF(A610="","",YEAR(EDATE(A610,-3)))</f>
        <v/>
      </c>
      <c r="AG610" s="20">
        <f>IF(OR(B610="",'経歴簿'!$C$4=""),"",IF(B610&amp;""='経歴簿'!$C$4&amp;"",MAX($AG$4:AG609)+1,""))</f>
        <v/>
      </c>
      <c r="AH610" s="20">
        <f>IF(A610="",0,IF(AND(OR('CSV抽出'!$C$4="",A610&gt;='CSV抽出'!$C$4),OR('CSV抽出'!$C$5="",A610&lt;='CSV抽出'!$C$5),OR('CSV抽出'!$C$6="すべて",'CSV抽出'!$C$6="",D610='CSV抽出'!$C$6),OR('CSV抽出'!$C$7="",B610&amp;""='CSV抽出'!$C$7&amp;"")),1,0))</f>
        <v/>
      </c>
      <c r="AI610" s="20">
        <f>IF(AH610=1,SUM($AH$5:AH610),"")</f>
        <v/>
      </c>
      <c r="AJ610" s="20">
        <f>IF(OR(S610="",'報告書'!$C$4=""),"",IF(S610&amp;""='報告書'!$C$4&amp;"",COUNTIF($S$5:S610,'報告書'!$C$4),""))</f>
        <v/>
      </c>
      <c r="AK610" s="20" t="n"/>
      <c r="AL610" s="47" t="n"/>
      <c r="AM610" s="47" t="n"/>
      <c r="AN610" s="53" t="n"/>
      <c r="AO610" s="47" t="n"/>
      <c r="AP610" s="47" t="n"/>
      <c r="AQ610" s="47" t="n"/>
      <c r="AR610" s="47" t="n"/>
      <c r="AS610" s="47" t="n"/>
      <c r="AT610" s="47" t="n"/>
      <c r="AU610" s="47" t="n"/>
      <c r="AV610" s="47" t="n"/>
      <c r="AW610" s="52" t="n"/>
    </row>
    <row r="611">
      <c r="A611" s="48" t="n"/>
      <c r="B611" s="52" t="n"/>
      <c r="C611" s="47">
        <f>IF(B611="","",IFERROR(INDEX('隊員マスタ'!$B$5:$B$204,MATCH(B611&amp;"",'隊員マスタ'!$F$5:$F$204,0)),IF(AK611="","番号なし",AK611)))</f>
        <v/>
      </c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  <c r="N611" s="47" t="n"/>
      <c r="O611" s="47" t="n"/>
      <c r="P611" s="47" t="n"/>
      <c r="Q611" s="47" t="n"/>
      <c r="R611" s="47" t="n"/>
      <c r="S611" s="47" t="n"/>
      <c r="T611" s="47" t="n"/>
      <c r="U611" s="53" t="n"/>
      <c r="V611" s="53" t="n"/>
      <c r="W611" s="47" t="n"/>
      <c r="X611" s="47" t="n"/>
      <c r="Y611" s="47" t="n"/>
      <c r="Z611" s="47" t="n"/>
      <c r="AA611" s="47" t="n"/>
      <c r="AB611" s="47" t="n"/>
      <c r="AC611" s="47" t="n"/>
      <c r="AD611" s="47" t="n"/>
      <c r="AE611" s="47" t="n"/>
      <c r="AF611" s="20">
        <f>IF(A611="","",YEAR(EDATE(A611,-3)))</f>
        <v/>
      </c>
      <c r="AG611" s="20">
        <f>IF(OR(B611="",'経歴簿'!$C$4=""),"",IF(B611&amp;""='経歴簿'!$C$4&amp;"",MAX($AG$4:AG610)+1,""))</f>
        <v/>
      </c>
      <c r="AH611" s="20">
        <f>IF(A611="",0,IF(AND(OR('CSV抽出'!$C$4="",A611&gt;='CSV抽出'!$C$4),OR('CSV抽出'!$C$5="",A611&lt;='CSV抽出'!$C$5),OR('CSV抽出'!$C$6="すべて",'CSV抽出'!$C$6="",D611='CSV抽出'!$C$6),OR('CSV抽出'!$C$7="",B611&amp;""='CSV抽出'!$C$7&amp;"")),1,0))</f>
        <v/>
      </c>
      <c r="AI611" s="20">
        <f>IF(AH611=1,SUM($AH$5:AH611),"")</f>
        <v/>
      </c>
      <c r="AJ611" s="20">
        <f>IF(OR(S611="",'報告書'!$C$4=""),"",IF(S611&amp;""='報告書'!$C$4&amp;"",COUNTIF($S$5:S611,'報告書'!$C$4),""))</f>
        <v/>
      </c>
      <c r="AK611" s="20" t="n"/>
      <c r="AL611" s="47" t="n"/>
      <c r="AM611" s="47" t="n"/>
      <c r="AN611" s="53" t="n"/>
      <c r="AO611" s="47" t="n"/>
      <c r="AP611" s="47" t="n"/>
      <c r="AQ611" s="47" t="n"/>
      <c r="AR611" s="47" t="n"/>
      <c r="AS611" s="47" t="n"/>
      <c r="AT611" s="47" t="n"/>
      <c r="AU611" s="47" t="n"/>
      <c r="AV611" s="47" t="n"/>
      <c r="AW611" s="52" t="n"/>
    </row>
    <row r="612">
      <c r="A612" s="48" t="n"/>
      <c r="B612" s="52" t="n"/>
      <c r="C612" s="47">
        <f>IF(B612="","",IFERROR(INDEX('隊員マスタ'!$B$5:$B$204,MATCH(B612&amp;"",'隊員マスタ'!$F$5:$F$204,0)),IF(AK612="","番号なし",AK612)))</f>
        <v/>
      </c>
      <c r="D612" s="47" t="n"/>
      <c r="E612" s="47" t="n"/>
      <c r="F612" s="47" t="n"/>
      <c r="G612" s="47" t="n"/>
      <c r="H612" s="47" t="n"/>
      <c r="I612" s="47" t="n"/>
      <c r="J612" s="47" t="n"/>
      <c r="K612" s="47" t="n"/>
      <c r="L612" s="47" t="n"/>
      <c r="M612" s="47" t="n"/>
      <c r="N612" s="47" t="n"/>
      <c r="O612" s="47" t="n"/>
      <c r="P612" s="47" t="n"/>
      <c r="Q612" s="47" t="n"/>
      <c r="R612" s="47" t="n"/>
      <c r="S612" s="47" t="n"/>
      <c r="T612" s="47" t="n"/>
      <c r="U612" s="53" t="n"/>
      <c r="V612" s="53" t="n"/>
      <c r="W612" s="47" t="n"/>
      <c r="X612" s="47" t="n"/>
      <c r="Y612" s="47" t="n"/>
      <c r="Z612" s="47" t="n"/>
      <c r="AA612" s="47" t="n"/>
      <c r="AB612" s="47" t="n"/>
      <c r="AC612" s="47" t="n"/>
      <c r="AD612" s="47" t="n"/>
      <c r="AE612" s="47" t="n"/>
      <c r="AF612" s="20">
        <f>IF(A612="","",YEAR(EDATE(A612,-3)))</f>
        <v/>
      </c>
      <c r="AG612" s="20">
        <f>IF(OR(B612="",'経歴簿'!$C$4=""),"",IF(B612&amp;""='経歴簿'!$C$4&amp;"",MAX($AG$4:AG611)+1,""))</f>
        <v/>
      </c>
      <c r="AH612" s="20">
        <f>IF(A612="",0,IF(AND(OR('CSV抽出'!$C$4="",A612&gt;='CSV抽出'!$C$4),OR('CSV抽出'!$C$5="",A612&lt;='CSV抽出'!$C$5),OR('CSV抽出'!$C$6="すべて",'CSV抽出'!$C$6="",D612='CSV抽出'!$C$6),OR('CSV抽出'!$C$7="",B612&amp;""='CSV抽出'!$C$7&amp;"")),1,0))</f>
        <v/>
      </c>
      <c r="AI612" s="20">
        <f>IF(AH612=1,SUM($AH$5:AH612),"")</f>
        <v/>
      </c>
      <c r="AJ612" s="20">
        <f>IF(OR(S612="",'報告書'!$C$4=""),"",IF(S612&amp;""='報告書'!$C$4&amp;"",COUNTIF($S$5:S612,'報告書'!$C$4),""))</f>
        <v/>
      </c>
      <c r="AK612" s="20" t="n"/>
      <c r="AL612" s="47" t="n"/>
      <c r="AM612" s="47" t="n"/>
      <c r="AN612" s="53" t="n"/>
      <c r="AO612" s="47" t="n"/>
      <c r="AP612" s="47" t="n"/>
      <c r="AQ612" s="47" t="n"/>
      <c r="AR612" s="47" t="n"/>
      <c r="AS612" s="47" t="n"/>
      <c r="AT612" s="47" t="n"/>
      <c r="AU612" s="47" t="n"/>
      <c r="AV612" s="47" t="n"/>
      <c r="AW612" s="52" t="n"/>
    </row>
    <row r="613">
      <c r="A613" s="48" t="n"/>
      <c r="B613" s="52" t="n"/>
      <c r="C613" s="47">
        <f>IF(B613="","",IFERROR(INDEX('隊員マスタ'!$B$5:$B$204,MATCH(B613&amp;"",'隊員マスタ'!$F$5:$F$204,0)),IF(AK613="","番号なし",AK613)))</f>
        <v/>
      </c>
      <c r="D613" s="47" t="n"/>
      <c r="E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  <c r="N613" s="47" t="n"/>
      <c r="O613" s="47" t="n"/>
      <c r="P613" s="47" t="n"/>
      <c r="Q613" s="47" t="n"/>
      <c r="R613" s="47" t="n"/>
      <c r="S613" s="47" t="n"/>
      <c r="T613" s="47" t="n"/>
      <c r="U613" s="53" t="n"/>
      <c r="V613" s="53" t="n"/>
      <c r="W613" s="47" t="n"/>
      <c r="X613" s="47" t="n"/>
      <c r="Y613" s="47" t="n"/>
      <c r="Z613" s="47" t="n"/>
      <c r="AA613" s="47" t="n"/>
      <c r="AB613" s="47" t="n"/>
      <c r="AC613" s="47" t="n"/>
      <c r="AD613" s="47" t="n"/>
      <c r="AE613" s="47" t="n"/>
      <c r="AF613" s="20">
        <f>IF(A613="","",YEAR(EDATE(A613,-3)))</f>
        <v/>
      </c>
      <c r="AG613" s="20">
        <f>IF(OR(B613="",'経歴簿'!$C$4=""),"",IF(B613&amp;""='経歴簿'!$C$4&amp;"",MAX($AG$4:AG612)+1,""))</f>
        <v/>
      </c>
      <c r="AH613" s="20">
        <f>IF(A613="",0,IF(AND(OR('CSV抽出'!$C$4="",A613&gt;='CSV抽出'!$C$4),OR('CSV抽出'!$C$5="",A613&lt;='CSV抽出'!$C$5),OR('CSV抽出'!$C$6="すべて",'CSV抽出'!$C$6="",D613='CSV抽出'!$C$6),OR('CSV抽出'!$C$7="",B613&amp;""='CSV抽出'!$C$7&amp;"")),1,0))</f>
        <v/>
      </c>
      <c r="AI613" s="20">
        <f>IF(AH613=1,SUM($AH$5:AH613),"")</f>
        <v/>
      </c>
      <c r="AJ613" s="20">
        <f>IF(OR(S613="",'報告書'!$C$4=""),"",IF(S613&amp;""='報告書'!$C$4&amp;"",COUNTIF($S$5:S613,'報告書'!$C$4),""))</f>
        <v/>
      </c>
      <c r="AK613" s="20" t="n"/>
      <c r="AL613" s="47" t="n"/>
      <c r="AM613" s="47" t="n"/>
      <c r="AN613" s="53" t="n"/>
      <c r="AO613" s="47" t="n"/>
      <c r="AP613" s="47" t="n"/>
      <c r="AQ613" s="47" t="n"/>
      <c r="AR613" s="47" t="n"/>
      <c r="AS613" s="47" t="n"/>
      <c r="AT613" s="47" t="n"/>
      <c r="AU613" s="47" t="n"/>
      <c r="AV613" s="47" t="n"/>
      <c r="AW613" s="52" t="n"/>
    </row>
    <row r="614">
      <c r="A614" s="48" t="n"/>
      <c r="B614" s="52" t="n"/>
      <c r="C614" s="47">
        <f>IF(B614="","",IFERROR(INDEX('隊員マスタ'!$B$5:$B$204,MATCH(B614&amp;"",'隊員マスタ'!$F$5:$F$204,0)),IF(AK614="","番号なし",AK614)))</f>
        <v/>
      </c>
      <c r="D614" s="47" t="n"/>
      <c r="E614" s="47" t="n"/>
      <c r="F614" s="47" t="n"/>
      <c r="G614" s="47" t="n"/>
      <c r="H614" s="47" t="n"/>
      <c r="I614" s="47" t="n"/>
      <c r="J614" s="47" t="n"/>
      <c r="K614" s="47" t="n"/>
      <c r="L614" s="47" t="n"/>
      <c r="M614" s="47" t="n"/>
      <c r="N614" s="47" t="n"/>
      <c r="O614" s="47" t="n"/>
      <c r="P614" s="47" t="n"/>
      <c r="Q614" s="47" t="n"/>
      <c r="R614" s="47" t="n"/>
      <c r="S614" s="47" t="n"/>
      <c r="T614" s="47" t="n"/>
      <c r="U614" s="53" t="n"/>
      <c r="V614" s="53" t="n"/>
      <c r="W614" s="47" t="n"/>
      <c r="X614" s="47" t="n"/>
      <c r="Y614" s="47" t="n"/>
      <c r="Z614" s="47" t="n"/>
      <c r="AA614" s="47" t="n"/>
      <c r="AB614" s="47" t="n"/>
      <c r="AC614" s="47" t="n"/>
      <c r="AD614" s="47" t="n"/>
      <c r="AE614" s="47" t="n"/>
      <c r="AF614" s="20">
        <f>IF(A614="","",YEAR(EDATE(A614,-3)))</f>
        <v/>
      </c>
      <c r="AG614" s="20">
        <f>IF(OR(B614="",'経歴簿'!$C$4=""),"",IF(B614&amp;""='経歴簿'!$C$4&amp;"",MAX($AG$4:AG613)+1,""))</f>
        <v/>
      </c>
      <c r="AH614" s="20">
        <f>IF(A614="",0,IF(AND(OR('CSV抽出'!$C$4="",A614&gt;='CSV抽出'!$C$4),OR('CSV抽出'!$C$5="",A614&lt;='CSV抽出'!$C$5),OR('CSV抽出'!$C$6="すべて",'CSV抽出'!$C$6="",D614='CSV抽出'!$C$6),OR('CSV抽出'!$C$7="",B614&amp;""='CSV抽出'!$C$7&amp;"")),1,0))</f>
        <v/>
      </c>
      <c r="AI614" s="20">
        <f>IF(AH614=1,SUM($AH$5:AH614),"")</f>
        <v/>
      </c>
      <c r="AJ614" s="20">
        <f>IF(OR(S614="",'報告書'!$C$4=""),"",IF(S614&amp;""='報告書'!$C$4&amp;"",COUNTIF($S$5:S614,'報告書'!$C$4),""))</f>
        <v/>
      </c>
      <c r="AK614" s="20" t="n"/>
      <c r="AL614" s="47" t="n"/>
      <c r="AM614" s="47" t="n"/>
      <c r="AN614" s="53" t="n"/>
      <c r="AO614" s="47" t="n"/>
      <c r="AP614" s="47" t="n"/>
      <c r="AQ614" s="47" t="n"/>
      <c r="AR614" s="47" t="n"/>
      <c r="AS614" s="47" t="n"/>
      <c r="AT614" s="47" t="n"/>
      <c r="AU614" s="47" t="n"/>
      <c r="AV614" s="47" t="n"/>
      <c r="AW614" s="52" t="n"/>
    </row>
    <row r="615">
      <c r="A615" s="48" t="n"/>
      <c r="B615" s="52" t="n"/>
      <c r="C615" s="47">
        <f>IF(B615="","",IFERROR(INDEX('隊員マスタ'!$B$5:$B$204,MATCH(B615&amp;"",'隊員マスタ'!$F$5:$F$204,0)),IF(AK615="","番号なし",AK615)))</f>
        <v/>
      </c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  <c r="N615" s="47" t="n"/>
      <c r="O615" s="47" t="n"/>
      <c r="P615" s="47" t="n"/>
      <c r="Q615" s="47" t="n"/>
      <c r="R615" s="47" t="n"/>
      <c r="S615" s="47" t="n"/>
      <c r="T615" s="47" t="n"/>
      <c r="U615" s="53" t="n"/>
      <c r="V615" s="53" t="n"/>
      <c r="W615" s="47" t="n"/>
      <c r="X615" s="47" t="n"/>
      <c r="Y615" s="47" t="n"/>
      <c r="Z615" s="47" t="n"/>
      <c r="AA615" s="47" t="n"/>
      <c r="AB615" s="47" t="n"/>
      <c r="AC615" s="47" t="n"/>
      <c r="AD615" s="47" t="n"/>
      <c r="AE615" s="47" t="n"/>
      <c r="AF615" s="20">
        <f>IF(A615="","",YEAR(EDATE(A615,-3)))</f>
        <v/>
      </c>
      <c r="AG615" s="20">
        <f>IF(OR(B615="",'経歴簿'!$C$4=""),"",IF(B615&amp;""='経歴簿'!$C$4&amp;"",MAX($AG$4:AG614)+1,""))</f>
        <v/>
      </c>
      <c r="AH615" s="20">
        <f>IF(A615="",0,IF(AND(OR('CSV抽出'!$C$4="",A615&gt;='CSV抽出'!$C$4),OR('CSV抽出'!$C$5="",A615&lt;='CSV抽出'!$C$5),OR('CSV抽出'!$C$6="すべて",'CSV抽出'!$C$6="",D615='CSV抽出'!$C$6),OR('CSV抽出'!$C$7="",B615&amp;""='CSV抽出'!$C$7&amp;"")),1,0))</f>
        <v/>
      </c>
      <c r="AI615" s="20">
        <f>IF(AH615=1,SUM($AH$5:AH615),"")</f>
        <v/>
      </c>
      <c r="AJ615" s="20">
        <f>IF(OR(S615="",'報告書'!$C$4=""),"",IF(S615&amp;""='報告書'!$C$4&amp;"",COUNTIF($S$5:S615,'報告書'!$C$4),""))</f>
        <v/>
      </c>
      <c r="AK615" s="20" t="n"/>
      <c r="AL615" s="47" t="n"/>
      <c r="AM615" s="47" t="n"/>
      <c r="AN615" s="53" t="n"/>
      <c r="AO615" s="47" t="n"/>
      <c r="AP615" s="47" t="n"/>
      <c r="AQ615" s="47" t="n"/>
      <c r="AR615" s="47" t="n"/>
      <c r="AS615" s="47" t="n"/>
      <c r="AT615" s="47" t="n"/>
      <c r="AU615" s="47" t="n"/>
      <c r="AV615" s="47" t="n"/>
      <c r="AW615" s="52" t="n"/>
    </row>
    <row r="616">
      <c r="A616" s="48" t="n"/>
      <c r="B616" s="52" t="n"/>
      <c r="C616" s="47">
        <f>IF(B616="","",IFERROR(INDEX('隊員マスタ'!$B$5:$B$204,MATCH(B616&amp;"",'隊員マスタ'!$F$5:$F$204,0)),IF(AK616="","番号なし",AK616)))</f>
        <v/>
      </c>
      <c r="D616" s="47" t="n"/>
      <c r="E616" s="47" t="n"/>
      <c r="F616" s="47" t="n"/>
      <c r="G616" s="47" t="n"/>
      <c r="H616" s="47" t="n"/>
      <c r="I616" s="47" t="n"/>
      <c r="J616" s="47" t="n"/>
      <c r="K616" s="47" t="n"/>
      <c r="L616" s="47" t="n"/>
      <c r="M616" s="47" t="n"/>
      <c r="N616" s="47" t="n"/>
      <c r="O616" s="47" t="n"/>
      <c r="P616" s="47" t="n"/>
      <c r="Q616" s="47" t="n"/>
      <c r="R616" s="47" t="n"/>
      <c r="S616" s="47" t="n"/>
      <c r="T616" s="47" t="n"/>
      <c r="U616" s="53" t="n"/>
      <c r="V616" s="53" t="n"/>
      <c r="W616" s="47" t="n"/>
      <c r="X616" s="47" t="n"/>
      <c r="Y616" s="47" t="n"/>
      <c r="Z616" s="47" t="n"/>
      <c r="AA616" s="47" t="n"/>
      <c r="AB616" s="47" t="n"/>
      <c r="AC616" s="47" t="n"/>
      <c r="AD616" s="47" t="n"/>
      <c r="AE616" s="47" t="n"/>
      <c r="AF616" s="20">
        <f>IF(A616="","",YEAR(EDATE(A616,-3)))</f>
        <v/>
      </c>
      <c r="AG616" s="20">
        <f>IF(OR(B616="",'経歴簿'!$C$4=""),"",IF(B616&amp;""='経歴簿'!$C$4&amp;"",MAX($AG$4:AG615)+1,""))</f>
        <v/>
      </c>
      <c r="AH616" s="20">
        <f>IF(A616="",0,IF(AND(OR('CSV抽出'!$C$4="",A616&gt;='CSV抽出'!$C$4),OR('CSV抽出'!$C$5="",A616&lt;='CSV抽出'!$C$5),OR('CSV抽出'!$C$6="すべて",'CSV抽出'!$C$6="",D616='CSV抽出'!$C$6),OR('CSV抽出'!$C$7="",B616&amp;""='CSV抽出'!$C$7&amp;"")),1,0))</f>
        <v/>
      </c>
      <c r="AI616" s="20">
        <f>IF(AH616=1,SUM($AH$5:AH616),"")</f>
        <v/>
      </c>
      <c r="AJ616" s="20">
        <f>IF(OR(S616="",'報告書'!$C$4=""),"",IF(S616&amp;""='報告書'!$C$4&amp;"",COUNTIF($S$5:S616,'報告書'!$C$4),""))</f>
        <v/>
      </c>
      <c r="AK616" s="20" t="n"/>
      <c r="AL616" s="47" t="n"/>
      <c r="AM616" s="47" t="n"/>
      <c r="AN616" s="53" t="n"/>
      <c r="AO616" s="47" t="n"/>
      <c r="AP616" s="47" t="n"/>
      <c r="AQ616" s="47" t="n"/>
      <c r="AR616" s="47" t="n"/>
      <c r="AS616" s="47" t="n"/>
      <c r="AT616" s="47" t="n"/>
      <c r="AU616" s="47" t="n"/>
      <c r="AV616" s="47" t="n"/>
      <c r="AW616" s="52" t="n"/>
    </row>
    <row r="617">
      <c r="A617" s="48" t="n"/>
      <c r="B617" s="52" t="n"/>
      <c r="C617" s="47">
        <f>IF(B617="","",IFERROR(INDEX('隊員マスタ'!$B$5:$B$204,MATCH(B617&amp;"",'隊員マスタ'!$F$5:$F$204,0)),IF(AK617="","番号なし",AK617)))</f>
        <v/>
      </c>
      <c r="D617" s="47" t="n"/>
      <c r="E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  <c r="N617" s="47" t="n"/>
      <c r="O617" s="47" t="n"/>
      <c r="P617" s="47" t="n"/>
      <c r="Q617" s="47" t="n"/>
      <c r="R617" s="47" t="n"/>
      <c r="S617" s="47" t="n"/>
      <c r="T617" s="47" t="n"/>
      <c r="U617" s="53" t="n"/>
      <c r="V617" s="53" t="n"/>
      <c r="W617" s="47" t="n"/>
      <c r="X617" s="47" t="n"/>
      <c r="Y617" s="47" t="n"/>
      <c r="Z617" s="47" t="n"/>
      <c r="AA617" s="47" t="n"/>
      <c r="AB617" s="47" t="n"/>
      <c r="AC617" s="47" t="n"/>
      <c r="AD617" s="47" t="n"/>
      <c r="AE617" s="47" t="n"/>
      <c r="AF617" s="20">
        <f>IF(A617="","",YEAR(EDATE(A617,-3)))</f>
        <v/>
      </c>
      <c r="AG617" s="20">
        <f>IF(OR(B617="",'経歴簿'!$C$4=""),"",IF(B617&amp;""='経歴簿'!$C$4&amp;"",MAX($AG$4:AG616)+1,""))</f>
        <v/>
      </c>
      <c r="AH617" s="20">
        <f>IF(A617="",0,IF(AND(OR('CSV抽出'!$C$4="",A617&gt;='CSV抽出'!$C$4),OR('CSV抽出'!$C$5="",A617&lt;='CSV抽出'!$C$5),OR('CSV抽出'!$C$6="すべて",'CSV抽出'!$C$6="",D617='CSV抽出'!$C$6),OR('CSV抽出'!$C$7="",B617&amp;""='CSV抽出'!$C$7&amp;"")),1,0))</f>
        <v/>
      </c>
      <c r="AI617" s="20">
        <f>IF(AH617=1,SUM($AH$5:AH617),"")</f>
        <v/>
      </c>
      <c r="AJ617" s="20">
        <f>IF(OR(S617="",'報告書'!$C$4=""),"",IF(S617&amp;""='報告書'!$C$4&amp;"",COUNTIF($S$5:S617,'報告書'!$C$4),""))</f>
        <v/>
      </c>
      <c r="AK617" s="20" t="n"/>
      <c r="AL617" s="47" t="n"/>
      <c r="AM617" s="47" t="n"/>
      <c r="AN617" s="53" t="n"/>
      <c r="AO617" s="47" t="n"/>
      <c r="AP617" s="47" t="n"/>
      <c r="AQ617" s="47" t="n"/>
      <c r="AR617" s="47" t="n"/>
      <c r="AS617" s="47" t="n"/>
      <c r="AT617" s="47" t="n"/>
      <c r="AU617" s="47" t="n"/>
      <c r="AV617" s="47" t="n"/>
      <c r="AW617" s="52" t="n"/>
    </row>
    <row r="618">
      <c r="A618" s="48" t="n"/>
      <c r="B618" s="52" t="n"/>
      <c r="C618" s="47">
        <f>IF(B618="","",IFERROR(INDEX('隊員マスタ'!$B$5:$B$204,MATCH(B618&amp;"",'隊員マスタ'!$F$5:$F$204,0)),IF(AK618="","番号なし",AK618)))</f>
        <v/>
      </c>
      <c r="D618" s="47" t="n"/>
      <c r="E618" s="47" t="n"/>
      <c r="F618" s="47" t="n"/>
      <c r="G618" s="47" t="n"/>
      <c r="H618" s="47" t="n"/>
      <c r="I618" s="47" t="n"/>
      <c r="J618" s="47" t="n"/>
      <c r="K618" s="47" t="n"/>
      <c r="L618" s="47" t="n"/>
      <c r="M618" s="47" t="n"/>
      <c r="N618" s="47" t="n"/>
      <c r="O618" s="47" t="n"/>
      <c r="P618" s="47" t="n"/>
      <c r="Q618" s="47" t="n"/>
      <c r="R618" s="47" t="n"/>
      <c r="S618" s="47" t="n"/>
      <c r="T618" s="47" t="n"/>
      <c r="U618" s="53" t="n"/>
      <c r="V618" s="53" t="n"/>
      <c r="W618" s="47" t="n"/>
      <c r="X618" s="47" t="n"/>
      <c r="Y618" s="47" t="n"/>
      <c r="Z618" s="47" t="n"/>
      <c r="AA618" s="47" t="n"/>
      <c r="AB618" s="47" t="n"/>
      <c r="AC618" s="47" t="n"/>
      <c r="AD618" s="47" t="n"/>
      <c r="AE618" s="47" t="n"/>
      <c r="AF618" s="20">
        <f>IF(A618="","",YEAR(EDATE(A618,-3)))</f>
        <v/>
      </c>
      <c r="AG618" s="20">
        <f>IF(OR(B618="",'経歴簿'!$C$4=""),"",IF(B618&amp;""='経歴簿'!$C$4&amp;"",MAX($AG$4:AG617)+1,""))</f>
        <v/>
      </c>
      <c r="AH618" s="20">
        <f>IF(A618="",0,IF(AND(OR('CSV抽出'!$C$4="",A618&gt;='CSV抽出'!$C$4),OR('CSV抽出'!$C$5="",A618&lt;='CSV抽出'!$C$5),OR('CSV抽出'!$C$6="すべて",'CSV抽出'!$C$6="",D618='CSV抽出'!$C$6),OR('CSV抽出'!$C$7="",B618&amp;""='CSV抽出'!$C$7&amp;"")),1,0))</f>
        <v/>
      </c>
      <c r="AI618" s="20">
        <f>IF(AH618=1,SUM($AH$5:AH618),"")</f>
        <v/>
      </c>
      <c r="AJ618" s="20">
        <f>IF(OR(S618="",'報告書'!$C$4=""),"",IF(S618&amp;""='報告書'!$C$4&amp;"",COUNTIF($S$5:S618,'報告書'!$C$4),""))</f>
        <v/>
      </c>
      <c r="AK618" s="20" t="n"/>
      <c r="AL618" s="47" t="n"/>
      <c r="AM618" s="47" t="n"/>
      <c r="AN618" s="53" t="n"/>
      <c r="AO618" s="47" t="n"/>
      <c r="AP618" s="47" t="n"/>
      <c r="AQ618" s="47" t="n"/>
      <c r="AR618" s="47" t="n"/>
      <c r="AS618" s="47" t="n"/>
      <c r="AT618" s="47" t="n"/>
      <c r="AU618" s="47" t="n"/>
      <c r="AV618" s="47" t="n"/>
      <c r="AW618" s="52" t="n"/>
    </row>
    <row r="619">
      <c r="A619" s="48" t="n"/>
      <c r="B619" s="52" t="n"/>
      <c r="C619" s="47">
        <f>IF(B619="","",IFERROR(INDEX('隊員マスタ'!$B$5:$B$204,MATCH(B619&amp;"",'隊員マスタ'!$F$5:$F$204,0)),IF(AK619="","番号なし",AK619)))</f>
        <v/>
      </c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  <c r="N619" s="47" t="n"/>
      <c r="O619" s="47" t="n"/>
      <c r="P619" s="47" t="n"/>
      <c r="Q619" s="47" t="n"/>
      <c r="R619" s="47" t="n"/>
      <c r="S619" s="47" t="n"/>
      <c r="T619" s="47" t="n"/>
      <c r="U619" s="53" t="n"/>
      <c r="V619" s="53" t="n"/>
      <c r="W619" s="47" t="n"/>
      <c r="X619" s="47" t="n"/>
      <c r="Y619" s="47" t="n"/>
      <c r="Z619" s="47" t="n"/>
      <c r="AA619" s="47" t="n"/>
      <c r="AB619" s="47" t="n"/>
      <c r="AC619" s="47" t="n"/>
      <c r="AD619" s="47" t="n"/>
      <c r="AE619" s="47" t="n"/>
      <c r="AF619" s="20">
        <f>IF(A619="","",YEAR(EDATE(A619,-3)))</f>
        <v/>
      </c>
      <c r="AG619" s="20">
        <f>IF(OR(B619="",'経歴簿'!$C$4=""),"",IF(B619&amp;""='経歴簿'!$C$4&amp;"",MAX($AG$4:AG618)+1,""))</f>
        <v/>
      </c>
      <c r="AH619" s="20">
        <f>IF(A619="",0,IF(AND(OR('CSV抽出'!$C$4="",A619&gt;='CSV抽出'!$C$4),OR('CSV抽出'!$C$5="",A619&lt;='CSV抽出'!$C$5),OR('CSV抽出'!$C$6="すべて",'CSV抽出'!$C$6="",D619='CSV抽出'!$C$6),OR('CSV抽出'!$C$7="",B619&amp;""='CSV抽出'!$C$7&amp;"")),1,0))</f>
        <v/>
      </c>
      <c r="AI619" s="20">
        <f>IF(AH619=1,SUM($AH$5:AH619),"")</f>
        <v/>
      </c>
      <c r="AJ619" s="20">
        <f>IF(OR(S619="",'報告書'!$C$4=""),"",IF(S619&amp;""='報告書'!$C$4&amp;"",COUNTIF($S$5:S619,'報告書'!$C$4),""))</f>
        <v/>
      </c>
      <c r="AK619" s="20" t="n"/>
      <c r="AL619" s="47" t="n"/>
      <c r="AM619" s="47" t="n"/>
      <c r="AN619" s="53" t="n"/>
      <c r="AO619" s="47" t="n"/>
      <c r="AP619" s="47" t="n"/>
      <c r="AQ619" s="47" t="n"/>
      <c r="AR619" s="47" t="n"/>
      <c r="AS619" s="47" t="n"/>
      <c r="AT619" s="47" t="n"/>
      <c r="AU619" s="47" t="n"/>
      <c r="AV619" s="47" t="n"/>
      <c r="AW619" s="52" t="n"/>
    </row>
    <row r="620">
      <c r="A620" s="48" t="n"/>
      <c r="B620" s="52" t="n"/>
      <c r="C620" s="47">
        <f>IF(B620="","",IFERROR(INDEX('隊員マスタ'!$B$5:$B$204,MATCH(B620&amp;"",'隊員マスタ'!$F$5:$F$204,0)),IF(AK620="","番号なし",AK620)))</f>
        <v/>
      </c>
      <c r="D620" s="47" t="n"/>
      <c r="E620" s="47" t="n"/>
      <c r="F620" s="47" t="n"/>
      <c r="G620" s="47" t="n"/>
      <c r="H620" s="47" t="n"/>
      <c r="I620" s="47" t="n"/>
      <c r="J620" s="47" t="n"/>
      <c r="K620" s="47" t="n"/>
      <c r="L620" s="47" t="n"/>
      <c r="M620" s="47" t="n"/>
      <c r="N620" s="47" t="n"/>
      <c r="O620" s="47" t="n"/>
      <c r="P620" s="47" t="n"/>
      <c r="Q620" s="47" t="n"/>
      <c r="R620" s="47" t="n"/>
      <c r="S620" s="47" t="n"/>
      <c r="T620" s="47" t="n"/>
      <c r="U620" s="53" t="n"/>
      <c r="V620" s="53" t="n"/>
      <c r="W620" s="47" t="n"/>
      <c r="X620" s="47" t="n"/>
      <c r="Y620" s="47" t="n"/>
      <c r="Z620" s="47" t="n"/>
      <c r="AA620" s="47" t="n"/>
      <c r="AB620" s="47" t="n"/>
      <c r="AC620" s="47" t="n"/>
      <c r="AD620" s="47" t="n"/>
      <c r="AE620" s="47" t="n"/>
      <c r="AF620" s="20">
        <f>IF(A620="","",YEAR(EDATE(A620,-3)))</f>
        <v/>
      </c>
      <c r="AG620" s="20">
        <f>IF(OR(B620="",'経歴簿'!$C$4=""),"",IF(B620&amp;""='経歴簿'!$C$4&amp;"",MAX($AG$4:AG619)+1,""))</f>
        <v/>
      </c>
      <c r="AH620" s="20">
        <f>IF(A620="",0,IF(AND(OR('CSV抽出'!$C$4="",A620&gt;='CSV抽出'!$C$4),OR('CSV抽出'!$C$5="",A620&lt;='CSV抽出'!$C$5),OR('CSV抽出'!$C$6="すべて",'CSV抽出'!$C$6="",D620='CSV抽出'!$C$6),OR('CSV抽出'!$C$7="",B620&amp;""='CSV抽出'!$C$7&amp;"")),1,0))</f>
        <v/>
      </c>
      <c r="AI620" s="20">
        <f>IF(AH620=1,SUM($AH$5:AH620),"")</f>
        <v/>
      </c>
      <c r="AJ620" s="20">
        <f>IF(OR(S620="",'報告書'!$C$4=""),"",IF(S620&amp;""='報告書'!$C$4&amp;"",COUNTIF($S$5:S620,'報告書'!$C$4),""))</f>
        <v/>
      </c>
      <c r="AK620" s="20" t="n"/>
      <c r="AL620" s="47" t="n"/>
      <c r="AM620" s="47" t="n"/>
      <c r="AN620" s="53" t="n"/>
      <c r="AO620" s="47" t="n"/>
      <c r="AP620" s="47" t="n"/>
      <c r="AQ620" s="47" t="n"/>
      <c r="AR620" s="47" t="n"/>
      <c r="AS620" s="47" t="n"/>
      <c r="AT620" s="47" t="n"/>
      <c r="AU620" s="47" t="n"/>
      <c r="AV620" s="47" t="n"/>
      <c r="AW620" s="52" t="n"/>
    </row>
    <row r="621">
      <c r="A621" s="48" t="n"/>
      <c r="B621" s="52" t="n"/>
      <c r="C621" s="47">
        <f>IF(B621="","",IFERROR(INDEX('隊員マスタ'!$B$5:$B$204,MATCH(B621&amp;"",'隊員マスタ'!$F$5:$F$204,0)),IF(AK621="","番号なし",AK621)))</f>
        <v/>
      </c>
      <c r="D621" s="47" t="n"/>
      <c r="E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  <c r="N621" s="47" t="n"/>
      <c r="O621" s="47" t="n"/>
      <c r="P621" s="47" t="n"/>
      <c r="Q621" s="47" t="n"/>
      <c r="R621" s="47" t="n"/>
      <c r="S621" s="47" t="n"/>
      <c r="T621" s="47" t="n"/>
      <c r="U621" s="53" t="n"/>
      <c r="V621" s="53" t="n"/>
      <c r="W621" s="47" t="n"/>
      <c r="X621" s="47" t="n"/>
      <c r="Y621" s="47" t="n"/>
      <c r="Z621" s="47" t="n"/>
      <c r="AA621" s="47" t="n"/>
      <c r="AB621" s="47" t="n"/>
      <c r="AC621" s="47" t="n"/>
      <c r="AD621" s="47" t="n"/>
      <c r="AE621" s="47" t="n"/>
      <c r="AF621" s="20">
        <f>IF(A621="","",YEAR(EDATE(A621,-3)))</f>
        <v/>
      </c>
      <c r="AG621" s="20">
        <f>IF(OR(B621="",'経歴簿'!$C$4=""),"",IF(B621&amp;""='経歴簿'!$C$4&amp;"",MAX($AG$4:AG620)+1,""))</f>
        <v/>
      </c>
      <c r="AH621" s="20">
        <f>IF(A621="",0,IF(AND(OR('CSV抽出'!$C$4="",A621&gt;='CSV抽出'!$C$4),OR('CSV抽出'!$C$5="",A621&lt;='CSV抽出'!$C$5),OR('CSV抽出'!$C$6="すべて",'CSV抽出'!$C$6="",D621='CSV抽出'!$C$6),OR('CSV抽出'!$C$7="",B621&amp;""='CSV抽出'!$C$7&amp;"")),1,0))</f>
        <v/>
      </c>
      <c r="AI621" s="20">
        <f>IF(AH621=1,SUM($AH$5:AH621),"")</f>
        <v/>
      </c>
      <c r="AJ621" s="20">
        <f>IF(OR(S621="",'報告書'!$C$4=""),"",IF(S621&amp;""='報告書'!$C$4&amp;"",COUNTIF($S$5:S621,'報告書'!$C$4),""))</f>
        <v/>
      </c>
      <c r="AK621" s="20" t="n"/>
      <c r="AL621" s="47" t="n"/>
      <c r="AM621" s="47" t="n"/>
      <c r="AN621" s="53" t="n"/>
      <c r="AO621" s="47" t="n"/>
      <c r="AP621" s="47" t="n"/>
      <c r="AQ621" s="47" t="n"/>
      <c r="AR621" s="47" t="n"/>
      <c r="AS621" s="47" t="n"/>
      <c r="AT621" s="47" t="n"/>
      <c r="AU621" s="47" t="n"/>
      <c r="AV621" s="47" t="n"/>
      <c r="AW621" s="52" t="n"/>
    </row>
    <row r="622">
      <c r="A622" s="48" t="n"/>
      <c r="B622" s="52" t="n"/>
      <c r="C622" s="47">
        <f>IF(B622="","",IFERROR(INDEX('隊員マスタ'!$B$5:$B$204,MATCH(B622&amp;"",'隊員マスタ'!$F$5:$F$204,0)),IF(AK622="","番号なし",AK622)))</f>
        <v/>
      </c>
      <c r="D622" s="47" t="n"/>
      <c r="E622" s="47" t="n"/>
      <c r="F622" s="47" t="n"/>
      <c r="G622" s="47" t="n"/>
      <c r="H622" s="47" t="n"/>
      <c r="I622" s="47" t="n"/>
      <c r="J622" s="47" t="n"/>
      <c r="K622" s="47" t="n"/>
      <c r="L622" s="47" t="n"/>
      <c r="M622" s="47" t="n"/>
      <c r="N622" s="47" t="n"/>
      <c r="O622" s="47" t="n"/>
      <c r="P622" s="47" t="n"/>
      <c r="Q622" s="47" t="n"/>
      <c r="R622" s="47" t="n"/>
      <c r="S622" s="47" t="n"/>
      <c r="T622" s="47" t="n"/>
      <c r="U622" s="53" t="n"/>
      <c r="V622" s="53" t="n"/>
      <c r="W622" s="47" t="n"/>
      <c r="X622" s="47" t="n"/>
      <c r="Y622" s="47" t="n"/>
      <c r="Z622" s="47" t="n"/>
      <c r="AA622" s="47" t="n"/>
      <c r="AB622" s="47" t="n"/>
      <c r="AC622" s="47" t="n"/>
      <c r="AD622" s="47" t="n"/>
      <c r="AE622" s="47" t="n"/>
      <c r="AF622" s="20">
        <f>IF(A622="","",YEAR(EDATE(A622,-3)))</f>
        <v/>
      </c>
      <c r="AG622" s="20">
        <f>IF(OR(B622="",'経歴簿'!$C$4=""),"",IF(B622&amp;""='経歴簿'!$C$4&amp;"",MAX($AG$4:AG621)+1,""))</f>
        <v/>
      </c>
      <c r="AH622" s="20">
        <f>IF(A622="",0,IF(AND(OR('CSV抽出'!$C$4="",A622&gt;='CSV抽出'!$C$4),OR('CSV抽出'!$C$5="",A622&lt;='CSV抽出'!$C$5),OR('CSV抽出'!$C$6="すべて",'CSV抽出'!$C$6="",D622='CSV抽出'!$C$6),OR('CSV抽出'!$C$7="",B622&amp;""='CSV抽出'!$C$7&amp;"")),1,0))</f>
        <v/>
      </c>
      <c r="AI622" s="20">
        <f>IF(AH622=1,SUM($AH$5:AH622),"")</f>
        <v/>
      </c>
      <c r="AJ622" s="20">
        <f>IF(OR(S622="",'報告書'!$C$4=""),"",IF(S622&amp;""='報告書'!$C$4&amp;"",COUNTIF($S$5:S622,'報告書'!$C$4),""))</f>
        <v/>
      </c>
      <c r="AK622" s="20" t="n"/>
      <c r="AL622" s="47" t="n"/>
      <c r="AM622" s="47" t="n"/>
      <c r="AN622" s="53" t="n"/>
      <c r="AO622" s="47" t="n"/>
      <c r="AP622" s="47" t="n"/>
      <c r="AQ622" s="47" t="n"/>
      <c r="AR622" s="47" t="n"/>
      <c r="AS622" s="47" t="n"/>
      <c r="AT622" s="47" t="n"/>
      <c r="AU622" s="47" t="n"/>
      <c r="AV622" s="47" t="n"/>
      <c r="AW622" s="52" t="n"/>
    </row>
    <row r="623">
      <c r="A623" s="48" t="n"/>
      <c r="B623" s="52" t="n"/>
      <c r="C623" s="47">
        <f>IF(B623="","",IFERROR(INDEX('隊員マスタ'!$B$5:$B$204,MATCH(B623&amp;"",'隊員マスタ'!$F$5:$F$204,0)),IF(AK623="","番号なし",AK623)))</f>
        <v/>
      </c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  <c r="N623" s="47" t="n"/>
      <c r="O623" s="47" t="n"/>
      <c r="P623" s="47" t="n"/>
      <c r="Q623" s="47" t="n"/>
      <c r="R623" s="47" t="n"/>
      <c r="S623" s="47" t="n"/>
      <c r="T623" s="47" t="n"/>
      <c r="U623" s="53" t="n"/>
      <c r="V623" s="53" t="n"/>
      <c r="W623" s="47" t="n"/>
      <c r="X623" s="47" t="n"/>
      <c r="Y623" s="47" t="n"/>
      <c r="Z623" s="47" t="n"/>
      <c r="AA623" s="47" t="n"/>
      <c r="AB623" s="47" t="n"/>
      <c r="AC623" s="47" t="n"/>
      <c r="AD623" s="47" t="n"/>
      <c r="AE623" s="47" t="n"/>
      <c r="AF623" s="20">
        <f>IF(A623="","",YEAR(EDATE(A623,-3)))</f>
        <v/>
      </c>
      <c r="AG623" s="20">
        <f>IF(OR(B623="",'経歴簿'!$C$4=""),"",IF(B623&amp;""='経歴簿'!$C$4&amp;"",MAX($AG$4:AG622)+1,""))</f>
        <v/>
      </c>
      <c r="AH623" s="20">
        <f>IF(A623="",0,IF(AND(OR('CSV抽出'!$C$4="",A623&gt;='CSV抽出'!$C$4),OR('CSV抽出'!$C$5="",A623&lt;='CSV抽出'!$C$5),OR('CSV抽出'!$C$6="すべて",'CSV抽出'!$C$6="",D623='CSV抽出'!$C$6),OR('CSV抽出'!$C$7="",B623&amp;""='CSV抽出'!$C$7&amp;"")),1,0))</f>
        <v/>
      </c>
      <c r="AI623" s="20">
        <f>IF(AH623=1,SUM($AH$5:AH623),"")</f>
        <v/>
      </c>
      <c r="AJ623" s="20">
        <f>IF(OR(S623="",'報告書'!$C$4=""),"",IF(S623&amp;""='報告書'!$C$4&amp;"",COUNTIF($S$5:S623,'報告書'!$C$4),""))</f>
        <v/>
      </c>
      <c r="AK623" s="20" t="n"/>
      <c r="AL623" s="47" t="n"/>
      <c r="AM623" s="47" t="n"/>
      <c r="AN623" s="53" t="n"/>
      <c r="AO623" s="47" t="n"/>
      <c r="AP623" s="47" t="n"/>
      <c r="AQ623" s="47" t="n"/>
      <c r="AR623" s="47" t="n"/>
      <c r="AS623" s="47" t="n"/>
      <c r="AT623" s="47" t="n"/>
      <c r="AU623" s="47" t="n"/>
      <c r="AV623" s="47" t="n"/>
      <c r="AW623" s="52" t="n"/>
    </row>
    <row r="624">
      <c r="A624" s="48" t="n"/>
      <c r="B624" s="52" t="n"/>
      <c r="C624" s="47">
        <f>IF(B624="","",IFERROR(INDEX('隊員マスタ'!$B$5:$B$204,MATCH(B624&amp;"",'隊員マスタ'!$F$5:$F$204,0)),IF(AK624="","番号なし",AK624)))</f>
        <v/>
      </c>
      <c r="D624" s="47" t="n"/>
      <c r="E624" s="47" t="n"/>
      <c r="F624" s="47" t="n"/>
      <c r="G624" s="47" t="n"/>
      <c r="H624" s="47" t="n"/>
      <c r="I624" s="47" t="n"/>
      <c r="J624" s="47" t="n"/>
      <c r="K624" s="47" t="n"/>
      <c r="L624" s="47" t="n"/>
      <c r="M624" s="47" t="n"/>
      <c r="N624" s="47" t="n"/>
      <c r="O624" s="47" t="n"/>
      <c r="P624" s="47" t="n"/>
      <c r="Q624" s="47" t="n"/>
      <c r="R624" s="47" t="n"/>
      <c r="S624" s="47" t="n"/>
      <c r="T624" s="47" t="n"/>
      <c r="U624" s="53" t="n"/>
      <c r="V624" s="53" t="n"/>
      <c r="W624" s="47" t="n"/>
      <c r="X624" s="47" t="n"/>
      <c r="Y624" s="47" t="n"/>
      <c r="Z624" s="47" t="n"/>
      <c r="AA624" s="47" t="n"/>
      <c r="AB624" s="47" t="n"/>
      <c r="AC624" s="47" t="n"/>
      <c r="AD624" s="47" t="n"/>
      <c r="AE624" s="47" t="n"/>
      <c r="AF624" s="20">
        <f>IF(A624="","",YEAR(EDATE(A624,-3)))</f>
        <v/>
      </c>
      <c r="AG624" s="20">
        <f>IF(OR(B624="",'経歴簿'!$C$4=""),"",IF(B624&amp;""='経歴簿'!$C$4&amp;"",MAX($AG$4:AG623)+1,""))</f>
        <v/>
      </c>
      <c r="AH624" s="20">
        <f>IF(A624="",0,IF(AND(OR('CSV抽出'!$C$4="",A624&gt;='CSV抽出'!$C$4),OR('CSV抽出'!$C$5="",A624&lt;='CSV抽出'!$C$5),OR('CSV抽出'!$C$6="すべて",'CSV抽出'!$C$6="",D624='CSV抽出'!$C$6),OR('CSV抽出'!$C$7="",B624&amp;""='CSV抽出'!$C$7&amp;"")),1,0))</f>
        <v/>
      </c>
      <c r="AI624" s="20">
        <f>IF(AH624=1,SUM($AH$5:AH624),"")</f>
        <v/>
      </c>
      <c r="AJ624" s="20">
        <f>IF(OR(S624="",'報告書'!$C$4=""),"",IF(S624&amp;""='報告書'!$C$4&amp;"",COUNTIF($S$5:S624,'報告書'!$C$4),""))</f>
        <v/>
      </c>
      <c r="AK624" s="20" t="n"/>
      <c r="AL624" s="47" t="n"/>
      <c r="AM624" s="47" t="n"/>
      <c r="AN624" s="53" t="n"/>
      <c r="AO624" s="47" t="n"/>
      <c r="AP624" s="47" t="n"/>
      <c r="AQ624" s="47" t="n"/>
      <c r="AR624" s="47" t="n"/>
      <c r="AS624" s="47" t="n"/>
      <c r="AT624" s="47" t="n"/>
      <c r="AU624" s="47" t="n"/>
      <c r="AV624" s="47" t="n"/>
      <c r="AW624" s="52" t="n"/>
    </row>
    <row r="625">
      <c r="A625" s="48" t="n"/>
      <c r="B625" s="52" t="n"/>
      <c r="C625" s="47">
        <f>IF(B625="","",IFERROR(INDEX('隊員マスタ'!$B$5:$B$204,MATCH(B625&amp;"",'隊員マスタ'!$F$5:$F$204,0)),IF(AK625="","番号なし",AK625)))</f>
        <v/>
      </c>
      <c r="D625" s="47" t="n"/>
      <c r="E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  <c r="N625" s="47" t="n"/>
      <c r="O625" s="47" t="n"/>
      <c r="P625" s="47" t="n"/>
      <c r="Q625" s="47" t="n"/>
      <c r="R625" s="47" t="n"/>
      <c r="S625" s="47" t="n"/>
      <c r="T625" s="47" t="n"/>
      <c r="U625" s="53" t="n"/>
      <c r="V625" s="53" t="n"/>
      <c r="W625" s="47" t="n"/>
      <c r="X625" s="47" t="n"/>
      <c r="Y625" s="47" t="n"/>
      <c r="Z625" s="47" t="n"/>
      <c r="AA625" s="47" t="n"/>
      <c r="AB625" s="47" t="n"/>
      <c r="AC625" s="47" t="n"/>
      <c r="AD625" s="47" t="n"/>
      <c r="AE625" s="47" t="n"/>
      <c r="AF625" s="20">
        <f>IF(A625="","",YEAR(EDATE(A625,-3)))</f>
        <v/>
      </c>
      <c r="AG625" s="20">
        <f>IF(OR(B625="",'経歴簿'!$C$4=""),"",IF(B625&amp;""='経歴簿'!$C$4&amp;"",MAX($AG$4:AG624)+1,""))</f>
        <v/>
      </c>
      <c r="AH625" s="20">
        <f>IF(A625="",0,IF(AND(OR('CSV抽出'!$C$4="",A625&gt;='CSV抽出'!$C$4),OR('CSV抽出'!$C$5="",A625&lt;='CSV抽出'!$C$5),OR('CSV抽出'!$C$6="すべて",'CSV抽出'!$C$6="",D625='CSV抽出'!$C$6),OR('CSV抽出'!$C$7="",B625&amp;""='CSV抽出'!$C$7&amp;"")),1,0))</f>
        <v/>
      </c>
      <c r="AI625" s="20">
        <f>IF(AH625=1,SUM($AH$5:AH625),"")</f>
        <v/>
      </c>
      <c r="AJ625" s="20">
        <f>IF(OR(S625="",'報告書'!$C$4=""),"",IF(S625&amp;""='報告書'!$C$4&amp;"",COUNTIF($S$5:S625,'報告書'!$C$4),""))</f>
        <v/>
      </c>
      <c r="AK625" s="20" t="n"/>
      <c r="AL625" s="47" t="n"/>
      <c r="AM625" s="47" t="n"/>
      <c r="AN625" s="53" t="n"/>
      <c r="AO625" s="47" t="n"/>
      <c r="AP625" s="47" t="n"/>
      <c r="AQ625" s="47" t="n"/>
      <c r="AR625" s="47" t="n"/>
      <c r="AS625" s="47" t="n"/>
      <c r="AT625" s="47" t="n"/>
      <c r="AU625" s="47" t="n"/>
      <c r="AV625" s="47" t="n"/>
      <c r="AW625" s="52" t="n"/>
    </row>
    <row r="626">
      <c r="A626" s="48" t="n"/>
      <c r="B626" s="52" t="n"/>
      <c r="C626" s="47">
        <f>IF(B626="","",IFERROR(INDEX('隊員マスタ'!$B$5:$B$204,MATCH(B626&amp;"",'隊員マスタ'!$F$5:$F$204,0)),IF(AK626="","番号なし",AK626)))</f>
        <v/>
      </c>
      <c r="D626" s="47" t="n"/>
      <c r="E626" s="47" t="n"/>
      <c r="F626" s="47" t="n"/>
      <c r="G626" s="47" t="n"/>
      <c r="H626" s="47" t="n"/>
      <c r="I626" s="47" t="n"/>
      <c r="J626" s="47" t="n"/>
      <c r="K626" s="47" t="n"/>
      <c r="L626" s="47" t="n"/>
      <c r="M626" s="47" t="n"/>
      <c r="N626" s="47" t="n"/>
      <c r="O626" s="47" t="n"/>
      <c r="P626" s="47" t="n"/>
      <c r="Q626" s="47" t="n"/>
      <c r="R626" s="47" t="n"/>
      <c r="S626" s="47" t="n"/>
      <c r="T626" s="47" t="n"/>
      <c r="U626" s="53" t="n"/>
      <c r="V626" s="53" t="n"/>
      <c r="W626" s="47" t="n"/>
      <c r="X626" s="47" t="n"/>
      <c r="Y626" s="47" t="n"/>
      <c r="Z626" s="47" t="n"/>
      <c r="AA626" s="47" t="n"/>
      <c r="AB626" s="47" t="n"/>
      <c r="AC626" s="47" t="n"/>
      <c r="AD626" s="47" t="n"/>
      <c r="AE626" s="47" t="n"/>
      <c r="AF626" s="20">
        <f>IF(A626="","",YEAR(EDATE(A626,-3)))</f>
        <v/>
      </c>
      <c r="AG626" s="20">
        <f>IF(OR(B626="",'経歴簿'!$C$4=""),"",IF(B626&amp;""='経歴簿'!$C$4&amp;"",MAX($AG$4:AG625)+1,""))</f>
        <v/>
      </c>
      <c r="AH626" s="20">
        <f>IF(A626="",0,IF(AND(OR('CSV抽出'!$C$4="",A626&gt;='CSV抽出'!$C$4),OR('CSV抽出'!$C$5="",A626&lt;='CSV抽出'!$C$5),OR('CSV抽出'!$C$6="すべて",'CSV抽出'!$C$6="",D626='CSV抽出'!$C$6),OR('CSV抽出'!$C$7="",B626&amp;""='CSV抽出'!$C$7&amp;"")),1,0))</f>
        <v/>
      </c>
      <c r="AI626" s="20">
        <f>IF(AH626=1,SUM($AH$5:AH626),"")</f>
        <v/>
      </c>
      <c r="AJ626" s="20">
        <f>IF(OR(S626="",'報告書'!$C$4=""),"",IF(S626&amp;""='報告書'!$C$4&amp;"",COUNTIF($S$5:S626,'報告書'!$C$4),""))</f>
        <v/>
      </c>
      <c r="AK626" s="20" t="n"/>
      <c r="AL626" s="47" t="n"/>
      <c r="AM626" s="47" t="n"/>
      <c r="AN626" s="53" t="n"/>
      <c r="AO626" s="47" t="n"/>
      <c r="AP626" s="47" t="n"/>
      <c r="AQ626" s="47" t="n"/>
      <c r="AR626" s="47" t="n"/>
      <c r="AS626" s="47" t="n"/>
      <c r="AT626" s="47" t="n"/>
      <c r="AU626" s="47" t="n"/>
      <c r="AV626" s="47" t="n"/>
      <c r="AW626" s="52" t="n"/>
    </row>
    <row r="627">
      <c r="A627" s="48" t="n"/>
      <c r="B627" s="52" t="n"/>
      <c r="C627" s="47">
        <f>IF(B627="","",IFERROR(INDEX('隊員マスタ'!$B$5:$B$204,MATCH(B627&amp;"",'隊員マスタ'!$F$5:$F$204,0)),IF(AK627="","番号なし",AK627)))</f>
        <v/>
      </c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  <c r="N627" s="47" t="n"/>
      <c r="O627" s="47" t="n"/>
      <c r="P627" s="47" t="n"/>
      <c r="Q627" s="47" t="n"/>
      <c r="R627" s="47" t="n"/>
      <c r="S627" s="47" t="n"/>
      <c r="T627" s="47" t="n"/>
      <c r="U627" s="53" t="n"/>
      <c r="V627" s="53" t="n"/>
      <c r="W627" s="47" t="n"/>
      <c r="X627" s="47" t="n"/>
      <c r="Y627" s="47" t="n"/>
      <c r="Z627" s="47" t="n"/>
      <c r="AA627" s="47" t="n"/>
      <c r="AB627" s="47" t="n"/>
      <c r="AC627" s="47" t="n"/>
      <c r="AD627" s="47" t="n"/>
      <c r="AE627" s="47" t="n"/>
      <c r="AF627" s="20">
        <f>IF(A627="","",YEAR(EDATE(A627,-3)))</f>
        <v/>
      </c>
      <c r="AG627" s="20">
        <f>IF(OR(B627="",'経歴簿'!$C$4=""),"",IF(B627&amp;""='経歴簿'!$C$4&amp;"",MAX($AG$4:AG626)+1,""))</f>
        <v/>
      </c>
      <c r="AH627" s="20">
        <f>IF(A627="",0,IF(AND(OR('CSV抽出'!$C$4="",A627&gt;='CSV抽出'!$C$4),OR('CSV抽出'!$C$5="",A627&lt;='CSV抽出'!$C$5),OR('CSV抽出'!$C$6="すべて",'CSV抽出'!$C$6="",D627='CSV抽出'!$C$6),OR('CSV抽出'!$C$7="",B627&amp;""='CSV抽出'!$C$7&amp;"")),1,0))</f>
        <v/>
      </c>
      <c r="AI627" s="20">
        <f>IF(AH627=1,SUM($AH$5:AH627),"")</f>
        <v/>
      </c>
      <c r="AJ627" s="20">
        <f>IF(OR(S627="",'報告書'!$C$4=""),"",IF(S627&amp;""='報告書'!$C$4&amp;"",COUNTIF($S$5:S627,'報告書'!$C$4),""))</f>
        <v/>
      </c>
      <c r="AK627" s="20" t="n"/>
      <c r="AL627" s="47" t="n"/>
      <c r="AM627" s="47" t="n"/>
      <c r="AN627" s="53" t="n"/>
      <c r="AO627" s="47" t="n"/>
      <c r="AP627" s="47" t="n"/>
      <c r="AQ627" s="47" t="n"/>
      <c r="AR627" s="47" t="n"/>
      <c r="AS627" s="47" t="n"/>
      <c r="AT627" s="47" t="n"/>
      <c r="AU627" s="47" t="n"/>
      <c r="AV627" s="47" t="n"/>
      <c r="AW627" s="52" t="n"/>
    </row>
    <row r="628">
      <c r="A628" s="48" t="n"/>
      <c r="B628" s="52" t="n"/>
      <c r="C628" s="47">
        <f>IF(B628="","",IFERROR(INDEX('隊員マスタ'!$B$5:$B$204,MATCH(B628&amp;"",'隊員マスタ'!$F$5:$F$204,0)),IF(AK628="","番号なし",AK628)))</f>
        <v/>
      </c>
      <c r="D628" s="47" t="n"/>
      <c r="E628" s="47" t="n"/>
      <c r="F628" s="47" t="n"/>
      <c r="G628" s="47" t="n"/>
      <c r="H628" s="47" t="n"/>
      <c r="I628" s="47" t="n"/>
      <c r="J628" s="47" t="n"/>
      <c r="K628" s="47" t="n"/>
      <c r="L628" s="47" t="n"/>
      <c r="M628" s="47" t="n"/>
      <c r="N628" s="47" t="n"/>
      <c r="O628" s="47" t="n"/>
      <c r="P628" s="47" t="n"/>
      <c r="Q628" s="47" t="n"/>
      <c r="R628" s="47" t="n"/>
      <c r="S628" s="47" t="n"/>
      <c r="T628" s="47" t="n"/>
      <c r="U628" s="53" t="n"/>
      <c r="V628" s="53" t="n"/>
      <c r="W628" s="47" t="n"/>
      <c r="X628" s="47" t="n"/>
      <c r="Y628" s="47" t="n"/>
      <c r="Z628" s="47" t="n"/>
      <c r="AA628" s="47" t="n"/>
      <c r="AB628" s="47" t="n"/>
      <c r="AC628" s="47" t="n"/>
      <c r="AD628" s="47" t="n"/>
      <c r="AE628" s="47" t="n"/>
      <c r="AF628" s="20">
        <f>IF(A628="","",YEAR(EDATE(A628,-3)))</f>
        <v/>
      </c>
      <c r="AG628" s="20">
        <f>IF(OR(B628="",'経歴簿'!$C$4=""),"",IF(B628&amp;""='経歴簿'!$C$4&amp;"",MAX($AG$4:AG627)+1,""))</f>
        <v/>
      </c>
      <c r="AH628" s="20">
        <f>IF(A628="",0,IF(AND(OR('CSV抽出'!$C$4="",A628&gt;='CSV抽出'!$C$4),OR('CSV抽出'!$C$5="",A628&lt;='CSV抽出'!$C$5),OR('CSV抽出'!$C$6="すべて",'CSV抽出'!$C$6="",D628='CSV抽出'!$C$6),OR('CSV抽出'!$C$7="",B628&amp;""='CSV抽出'!$C$7&amp;"")),1,0))</f>
        <v/>
      </c>
      <c r="AI628" s="20">
        <f>IF(AH628=1,SUM($AH$5:AH628),"")</f>
        <v/>
      </c>
      <c r="AJ628" s="20">
        <f>IF(OR(S628="",'報告書'!$C$4=""),"",IF(S628&amp;""='報告書'!$C$4&amp;"",COUNTIF($S$5:S628,'報告書'!$C$4),""))</f>
        <v/>
      </c>
      <c r="AK628" s="20" t="n"/>
      <c r="AL628" s="47" t="n"/>
      <c r="AM628" s="47" t="n"/>
      <c r="AN628" s="53" t="n"/>
      <c r="AO628" s="47" t="n"/>
      <c r="AP628" s="47" t="n"/>
      <c r="AQ628" s="47" t="n"/>
      <c r="AR628" s="47" t="n"/>
      <c r="AS628" s="47" t="n"/>
      <c r="AT628" s="47" t="n"/>
      <c r="AU628" s="47" t="n"/>
      <c r="AV628" s="47" t="n"/>
      <c r="AW628" s="52" t="n"/>
    </row>
    <row r="629">
      <c r="A629" s="48" t="n"/>
      <c r="B629" s="52" t="n"/>
      <c r="C629" s="47">
        <f>IF(B629="","",IFERROR(INDEX('隊員マスタ'!$B$5:$B$204,MATCH(B629&amp;"",'隊員マスタ'!$F$5:$F$204,0)),IF(AK629="","番号なし",AK629)))</f>
        <v/>
      </c>
      <c r="D629" s="47" t="n"/>
      <c r="E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  <c r="N629" s="47" t="n"/>
      <c r="O629" s="47" t="n"/>
      <c r="P629" s="47" t="n"/>
      <c r="Q629" s="47" t="n"/>
      <c r="R629" s="47" t="n"/>
      <c r="S629" s="47" t="n"/>
      <c r="T629" s="47" t="n"/>
      <c r="U629" s="53" t="n"/>
      <c r="V629" s="53" t="n"/>
      <c r="W629" s="47" t="n"/>
      <c r="X629" s="47" t="n"/>
      <c r="Y629" s="47" t="n"/>
      <c r="Z629" s="47" t="n"/>
      <c r="AA629" s="47" t="n"/>
      <c r="AB629" s="47" t="n"/>
      <c r="AC629" s="47" t="n"/>
      <c r="AD629" s="47" t="n"/>
      <c r="AE629" s="47" t="n"/>
      <c r="AF629" s="20">
        <f>IF(A629="","",YEAR(EDATE(A629,-3)))</f>
        <v/>
      </c>
      <c r="AG629" s="20">
        <f>IF(OR(B629="",'経歴簿'!$C$4=""),"",IF(B629&amp;""='経歴簿'!$C$4&amp;"",MAX($AG$4:AG628)+1,""))</f>
        <v/>
      </c>
      <c r="AH629" s="20">
        <f>IF(A629="",0,IF(AND(OR('CSV抽出'!$C$4="",A629&gt;='CSV抽出'!$C$4),OR('CSV抽出'!$C$5="",A629&lt;='CSV抽出'!$C$5),OR('CSV抽出'!$C$6="すべて",'CSV抽出'!$C$6="",D629='CSV抽出'!$C$6),OR('CSV抽出'!$C$7="",B629&amp;""='CSV抽出'!$C$7&amp;"")),1,0))</f>
        <v/>
      </c>
      <c r="AI629" s="20">
        <f>IF(AH629=1,SUM($AH$5:AH629),"")</f>
        <v/>
      </c>
      <c r="AJ629" s="20">
        <f>IF(OR(S629="",'報告書'!$C$4=""),"",IF(S629&amp;""='報告書'!$C$4&amp;"",COUNTIF($S$5:S629,'報告書'!$C$4),""))</f>
        <v/>
      </c>
      <c r="AK629" s="20" t="n"/>
      <c r="AL629" s="47" t="n"/>
      <c r="AM629" s="47" t="n"/>
      <c r="AN629" s="53" t="n"/>
      <c r="AO629" s="47" t="n"/>
      <c r="AP629" s="47" t="n"/>
      <c r="AQ629" s="47" t="n"/>
      <c r="AR629" s="47" t="n"/>
      <c r="AS629" s="47" t="n"/>
      <c r="AT629" s="47" t="n"/>
      <c r="AU629" s="47" t="n"/>
      <c r="AV629" s="47" t="n"/>
      <c r="AW629" s="52" t="n"/>
    </row>
    <row r="630">
      <c r="A630" s="48" t="n"/>
      <c r="B630" s="52" t="n"/>
      <c r="C630" s="47">
        <f>IF(B630="","",IFERROR(INDEX('隊員マスタ'!$B$5:$B$204,MATCH(B630&amp;"",'隊員マスタ'!$F$5:$F$204,0)),IF(AK630="","番号なし",AK630)))</f>
        <v/>
      </c>
      <c r="D630" s="47" t="n"/>
      <c r="E630" s="47" t="n"/>
      <c r="F630" s="47" t="n"/>
      <c r="G630" s="47" t="n"/>
      <c r="H630" s="47" t="n"/>
      <c r="I630" s="47" t="n"/>
      <c r="J630" s="47" t="n"/>
      <c r="K630" s="47" t="n"/>
      <c r="L630" s="47" t="n"/>
      <c r="M630" s="47" t="n"/>
      <c r="N630" s="47" t="n"/>
      <c r="O630" s="47" t="n"/>
      <c r="P630" s="47" t="n"/>
      <c r="Q630" s="47" t="n"/>
      <c r="R630" s="47" t="n"/>
      <c r="S630" s="47" t="n"/>
      <c r="T630" s="47" t="n"/>
      <c r="U630" s="53" t="n"/>
      <c r="V630" s="53" t="n"/>
      <c r="W630" s="47" t="n"/>
      <c r="X630" s="47" t="n"/>
      <c r="Y630" s="47" t="n"/>
      <c r="Z630" s="47" t="n"/>
      <c r="AA630" s="47" t="n"/>
      <c r="AB630" s="47" t="n"/>
      <c r="AC630" s="47" t="n"/>
      <c r="AD630" s="47" t="n"/>
      <c r="AE630" s="47" t="n"/>
      <c r="AF630" s="20">
        <f>IF(A630="","",YEAR(EDATE(A630,-3)))</f>
        <v/>
      </c>
      <c r="AG630" s="20">
        <f>IF(OR(B630="",'経歴簿'!$C$4=""),"",IF(B630&amp;""='経歴簿'!$C$4&amp;"",MAX($AG$4:AG629)+1,""))</f>
        <v/>
      </c>
      <c r="AH630" s="20">
        <f>IF(A630="",0,IF(AND(OR('CSV抽出'!$C$4="",A630&gt;='CSV抽出'!$C$4),OR('CSV抽出'!$C$5="",A630&lt;='CSV抽出'!$C$5),OR('CSV抽出'!$C$6="すべて",'CSV抽出'!$C$6="",D630='CSV抽出'!$C$6),OR('CSV抽出'!$C$7="",B630&amp;""='CSV抽出'!$C$7&amp;"")),1,0))</f>
        <v/>
      </c>
      <c r="AI630" s="20">
        <f>IF(AH630=1,SUM($AH$5:AH630),"")</f>
        <v/>
      </c>
      <c r="AJ630" s="20">
        <f>IF(OR(S630="",'報告書'!$C$4=""),"",IF(S630&amp;""='報告書'!$C$4&amp;"",COUNTIF($S$5:S630,'報告書'!$C$4),""))</f>
        <v/>
      </c>
      <c r="AK630" s="20" t="n"/>
      <c r="AL630" s="47" t="n"/>
      <c r="AM630" s="47" t="n"/>
      <c r="AN630" s="53" t="n"/>
      <c r="AO630" s="47" t="n"/>
      <c r="AP630" s="47" t="n"/>
      <c r="AQ630" s="47" t="n"/>
      <c r="AR630" s="47" t="n"/>
      <c r="AS630" s="47" t="n"/>
      <c r="AT630" s="47" t="n"/>
      <c r="AU630" s="47" t="n"/>
      <c r="AV630" s="47" t="n"/>
      <c r="AW630" s="52" t="n"/>
    </row>
    <row r="631">
      <c r="A631" s="48" t="n"/>
      <c r="B631" s="52" t="n"/>
      <c r="C631" s="47">
        <f>IF(B631="","",IFERROR(INDEX('隊員マスタ'!$B$5:$B$204,MATCH(B631&amp;"",'隊員マスタ'!$F$5:$F$204,0)),IF(AK631="","番号なし",AK631)))</f>
        <v/>
      </c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  <c r="N631" s="47" t="n"/>
      <c r="O631" s="47" t="n"/>
      <c r="P631" s="47" t="n"/>
      <c r="Q631" s="47" t="n"/>
      <c r="R631" s="47" t="n"/>
      <c r="S631" s="47" t="n"/>
      <c r="T631" s="47" t="n"/>
      <c r="U631" s="53" t="n"/>
      <c r="V631" s="53" t="n"/>
      <c r="W631" s="47" t="n"/>
      <c r="X631" s="47" t="n"/>
      <c r="Y631" s="47" t="n"/>
      <c r="Z631" s="47" t="n"/>
      <c r="AA631" s="47" t="n"/>
      <c r="AB631" s="47" t="n"/>
      <c r="AC631" s="47" t="n"/>
      <c r="AD631" s="47" t="n"/>
      <c r="AE631" s="47" t="n"/>
      <c r="AF631" s="20">
        <f>IF(A631="","",YEAR(EDATE(A631,-3)))</f>
        <v/>
      </c>
      <c r="AG631" s="20">
        <f>IF(OR(B631="",'経歴簿'!$C$4=""),"",IF(B631&amp;""='経歴簿'!$C$4&amp;"",MAX($AG$4:AG630)+1,""))</f>
        <v/>
      </c>
      <c r="AH631" s="20">
        <f>IF(A631="",0,IF(AND(OR('CSV抽出'!$C$4="",A631&gt;='CSV抽出'!$C$4),OR('CSV抽出'!$C$5="",A631&lt;='CSV抽出'!$C$5),OR('CSV抽出'!$C$6="すべて",'CSV抽出'!$C$6="",D631='CSV抽出'!$C$6),OR('CSV抽出'!$C$7="",B631&amp;""='CSV抽出'!$C$7&amp;"")),1,0))</f>
        <v/>
      </c>
      <c r="AI631" s="20">
        <f>IF(AH631=1,SUM($AH$5:AH631),"")</f>
        <v/>
      </c>
      <c r="AJ631" s="20">
        <f>IF(OR(S631="",'報告書'!$C$4=""),"",IF(S631&amp;""='報告書'!$C$4&amp;"",COUNTIF($S$5:S631,'報告書'!$C$4),""))</f>
        <v/>
      </c>
      <c r="AK631" s="20" t="n"/>
      <c r="AL631" s="47" t="n"/>
      <c r="AM631" s="47" t="n"/>
      <c r="AN631" s="53" t="n"/>
      <c r="AO631" s="47" t="n"/>
      <c r="AP631" s="47" t="n"/>
      <c r="AQ631" s="47" t="n"/>
      <c r="AR631" s="47" t="n"/>
      <c r="AS631" s="47" t="n"/>
      <c r="AT631" s="47" t="n"/>
      <c r="AU631" s="47" t="n"/>
      <c r="AV631" s="47" t="n"/>
      <c r="AW631" s="52" t="n"/>
    </row>
    <row r="632">
      <c r="A632" s="48" t="n"/>
      <c r="B632" s="52" t="n"/>
      <c r="C632" s="47">
        <f>IF(B632="","",IFERROR(INDEX('隊員マスタ'!$B$5:$B$204,MATCH(B632&amp;"",'隊員マスタ'!$F$5:$F$204,0)),IF(AK632="","番号なし",AK632)))</f>
        <v/>
      </c>
      <c r="D632" s="47" t="n"/>
      <c r="E632" s="47" t="n"/>
      <c r="F632" s="47" t="n"/>
      <c r="G632" s="47" t="n"/>
      <c r="H632" s="47" t="n"/>
      <c r="I632" s="47" t="n"/>
      <c r="J632" s="47" t="n"/>
      <c r="K632" s="47" t="n"/>
      <c r="L632" s="47" t="n"/>
      <c r="M632" s="47" t="n"/>
      <c r="N632" s="47" t="n"/>
      <c r="O632" s="47" t="n"/>
      <c r="P632" s="47" t="n"/>
      <c r="Q632" s="47" t="n"/>
      <c r="R632" s="47" t="n"/>
      <c r="S632" s="47" t="n"/>
      <c r="T632" s="47" t="n"/>
      <c r="U632" s="53" t="n"/>
      <c r="V632" s="53" t="n"/>
      <c r="W632" s="47" t="n"/>
      <c r="X632" s="47" t="n"/>
      <c r="Y632" s="47" t="n"/>
      <c r="Z632" s="47" t="n"/>
      <c r="AA632" s="47" t="n"/>
      <c r="AB632" s="47" t="n"/>
      <c r="AC632" s="47" t="n"/>
      <c r="AD632" s="47" t="n"/>
      <c r="AE632" s="47" t="n"/>
      <c r="AF632" s="20">
        <f>IF(A632="","",YEAR(EDATE(A632,-3)))</f>
        <v/>
      </c>
      <c r="AG632" s="20">
        <f>IF(OR(B632="",'経歴簿'!$C$4=""),"",IF(B632&amp;""='経歴簿'!$C$4&amp;"",MAX($AG$4:AG631)+1,""))</f>
        <v/>
      </c>
      <c r="AH632" s="20">
        <f>IF(A632="",0,IF(AND(OR('CSV抽出'!$C$4="",A632&gt;='CSV抽出'!$C$4),OR('CSV抽出'!$C$5="",A632&lt;='CSV抽出'!$C$5),OR('CSV抽出'!$C$6="すべて",'CSV抽出'!$C$6="",D632='CSV抽出'!$C$6),OR('CSV抽出'!$C$7="",B632&amp;""='CSV抽出'!$C$7&amp;"")),1,0))</f>
        <v/>
      </c>
      <c r="AI632" s="20">
        <f>IF(AH632=1,SUM($AH$5:AH632),"")</f>
        <v/>
      </c>
      <c r="AJ632" s="20">
        <f>IF(OR(S632="",'報告書'!$C$4=""),"",IF(S632&amp;""='報告書'!$C$4&amp;"",COUNTIF($S$5:S632,'報告書'!$C$4),""))</f>
        <v/>
      </c>
      <c r="AK632" s="20" t="n"/>
      <c r="AL632" s="47" t="n"/>
      <c r="AM632" s="47" t="n"/>
      <c r="AN632" s="53" t="n"/>
      <c r="AO632" s="47" t="n"/>
      <c r="AP632" s="47" t="n"/>
      <c r="AQ632" s="47" t="n"/>
      <c r="AR632" s="47" t="n"/>
      <c r="AS632" s="47" t="n"/>
      <c r="AT632" s="47" t="n"/>
      <c r="AU632" s="47" t="n"/>
      <c r="AV632" s="47" t="n"/>
      <c r="AW632" s="52" t="n"/>
    </row>
    <row r="633">
      <c r="A633" s="48" t="n"/>
      <c r="B633" s="52" t="n"/>
      <c r="C633" s="47">
        <f>IF(B633="","",IFERROR(INDEX('隊員マスタ'!$B$5:$B$204,MATCH(B633&amp;"",'隊員マスタ'!$F$5:$F$204,0)),IF(AK633="","番号なし",AK633)))</f>
        <v/>
      </c>
      <c r="D633" s="47" t="n"/>
      <c r="E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  <c r="N633" s="47" t="n"/>
      <c r="O633" s="47" t="n"/>
      <c r="P633" s="47" t="n"/>
      <c r="Q633" s="47" t="n"/>
      <c r="R633" s="47" t="n"/>
      <c r="S633" s="47" t="n"/>
      <c r="T633" s="47" t="n"/>
      <c r="U633" s="53" t="n"/>
      <c r="V633" s="53" t="n"/>
      <c r="W633" s="47" t="n"/>
      <c r="X633" s="47" t="n"/>
      <c r="Y633" s="47" t="n"/>
      <c r="Z633" s="47" t="n"/>
      <c r="AA633" s="47" t="n"/>
      <c r="AB633" s="47" t="n"/>
      <c r="AC633" s="47" t="n"/>
      <c r="AD633" s="47" t="n"/>
      <c r="AE633" s="47" t="n"/>
      <c r="AF633" s="20">
        <f>IF(A633="","",YEAR(EDATE(A633,-3)))</f>
        <v/>
      </c>
      <c r="AG633" s="20">
        <f>IF(OR(B633="",'経歴簿'!$C$4=""),"",IF(B633&amp;""='経歴簿'!$C$4&amp;"",MAX($AG$4:AG632)+1,""))</f>
        <v/>
      </c>
      <c r="AH633" s="20">
        <f>IF(A633="",0,IF(AND(OR('CSV抽出'!$C$4="",A633&gt;='CSV抽出'!$C$4),OR('CSV抽出'!$C$5="",A633&lt;='CSV抽出'!$C$5),OR('CSV抽出'!$C$6="すべて",'CSV抽出'!$C$6="",D633='CSV抽出'!$C$6),OR('CSV抽出'!$C$7="",B633&amp;""='CSV抽出'!$C$7&amp;"")),1,0))</f>
        <v/>
      </c>
      <c r="AI633" s="20">
        <f>IF(AH633=1,SUM($AH$5:AH633),"")</f>
        <v/>
      </c>
      <c r="AJ633" s="20">
        <f>IF(OR(S633="",'報告書'!$C$4=""),"",IF(S633&amp;""='報告書'!$C$4&amp;"",COUNTIF($S$5:S633,'報告書'!$C$4),""))</f>
        <v/>
      </c>
      <c r="AK633" s="20" t="n"/>
      <c r="AL633" s="47" t="n"/>
      <c r="AM633" s="47" t="n"/>
      <c r="AN633" s="53" t="n"/>
      <c r="AO633" s="47" t="n"/>
      <c r="AP633" s="47" t="n"/>
      <c r="AQ633" s="47" t="n"/>
      <c r="AR633" s="47" t="n"/>
      <c r="AS633" s="47" t="n"/>
      <c r="AT633" s="47" t="n"/>
      <c r="AU633" s="47" t="n"/>
      <c r="AV633" s="47" t="n"/>
      <c r="AW633" s="52" t="n"/>
    </row>
    <row r="634">
      <c r="A634" s="48" t="n"/>
      <c r="B634" s="52" t="n"/>
      <c r="C634" s="47">
        <f>IF(B634="","",IFERROR(INDEX('隊員マスタ'!$B$5:$B$204,MATCH(B634&amp;"",'隊員マスタ'!$F$5:$F$204,0)),IF(AK634="","番号なし",AK634)))</f>
        <v/>
      </c>
      <c r="D634" s="47" t="n"/>
      <c r="E634" s="47" t="n"/>
      <c r="F634" s="47" t="n"/>
      <c r="G634" s="47" t="n"/>
      <c r="H634" s="47" t="n"/>
      <c r="I634" s="47" t="n"/>
      <c r="J634" s="47" t="n"/>
      <c r="K634" s="47" t="n"/>
      <c r="L634" s="47" t="n"/>
      <c r="M634" s="47" t="n"/>
      <c r="N634" s="47" t="n"/>
      <c r="O634" s="47" t="n"/>
      <c r="P634" s="47" t="n"/>
      <c r="Q634" s="47" t="n"/>
      <c r="R634" s="47" t="n"/>
      <c r="S634" s="47" t="n"/>
      <c r="T634" s="47" t="n"/>
      <c r="U634" s="53" t="n"/>
      <c r="V634" s="53" t="n"/>
      <c r="W634" s="47" t="n"/>
      <c r="X634" s="47" t="n"/>
      <c r="Y634" s="47" t="n"/>
      <c r="Z634" s="47" t="n"/>
      <c r="AA634" s="47" t="n"/>
      <c r="AB634" s="47" t="n"/>
      <c r="AC634" s="47" t="n"/>
      <c r="AD634" s="47" t="n"/>
      <c r="AE634" s="47" t="n"/>
      <c r="AF634" s="20">
        <f>IF(A634="","",YEAR(EDATE(A634,-3)))</f>
        <v/>
      </c>
      <c r="AG634" s="20">
        <f>IF(OR(B634="",'経歴簿'!$C$4=""),"",IF(B634&amp;""='経歴簿'!$C$4&amp;"",MAX($AG$4:AG633)+1,""))</f>
        <v/>
      </c>
      <c r="AH634" s="20">
        <f>IF(A634="",0,IF(AND(OR('CSV抽出'!$C$4="",A634&gt;='CSV抽出'!$C$4),OR('CSV抽出'!$C$5="",A634&lt;='CSV抽出'!$C$5),OR('CSV抽出'!$C$6="すべて",'CSV抽出'!$C$6="",D634='CSV抽出'!$C$6),OR('CSV抽出'!$C$7="",B634&amp;""='CSV抽出'!$C$7&amp;"")),1,0))</f>
        <v/>
      </c>
      <c r="AI634" s="20">
        <f>IF(AH634=1,SUM($AH$5:AH634),"")</f>
        <v/>
      </c>
      <c r="AJ634" s="20">
        <f>IF(OR(S634="",'報告書'!$C$4=""),"",IF(S634&amp;""='報告書'!$C$4&amp;"",COUNTIF($S$5:S634,'報告書'!$C$4),""))</f>
        <v/>
      </c>
      <c r="AK634" s="20" t="n"/>
      <c r="AL634" s="47" t="n"/>
      <c r="AM634" s="47" t="n"/>
      <c r="AN634" s="53" t="n"/>
      <c r="AO634" s="47" t="n"/>
      <c r="AP634" s="47" t="n"/>
      <c r="AQ634" s="47" t="n"/>
      <c r="AR634" s="47" t="n"/>
      <c r="AS634" s="47" t="n"/>
      <c r="AT634" s="47" t="n"/>
      <c r="AU634" s="47" t="n"/>
      <c r="AV634" s="47" t="n"/>
      <c r="AW634" s="52" t="n"/>
    </row>
    <row r="635">
      <c r="A635" s="48" t="n"/>
      <c r="B635" s="52" t="n"/>
      <c r="C635" s="47">
        <f>IF(B635="","",IFERROR(INDEX('隊員マスタ'!$B$5:$B$204,MATCH(B635&amp;"",'隊員マスタ'!$F$5:$F$204,0)),IF(AK635="","番号なし",AK635)))</f>
        <v/>
      </c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  <c r="N635" s="47" t="n"/>
      <c r="O635" s="47" t="n"/>
      <c r="P635" s="47" t="n"/>
      <c r="Q635" s="47" t="n"/>
      <c r="R635" s="47" t="n"/>
      <c r="S635" s="47" t="n"/>
      <c r="T635" s="47" t="n"/>
      <c r="U635" s="53" t="n"/>
      <c r="V635" s="53" t="n"/>
      <c r="W635" s="47" t="n"/>
      <c r="X635" s="47" t="n"/>
      <c r="Y635" s="47" t="n"/>
      <c r="Z635" s="47" t="n"/>
      <c r="AA635" s="47" t="n"/>
      <c r="AB635" s="47" t="n"/>
      <c r="AC635" s="47" t="n"/>
      <c r="AD635" s="47" t="n"/>
      <c r="AE635" s="47" t="n"/>
      <c r="AF635" s="20">
        <f>IF(A635="","",YEAR(EDATE(A635,-3)))</f>
        <v/>
      </c>
      <c r="AG635" s="20">
        <f>IF(OR(B635="",'経歴簿'!$C$4=""),"",IF(B635&amp;""='経歴簿'!$C$4&amp;"",MAX($AG$4:AG634)+1,""))</f>
        <v/>
      </c>
      <c r="AH635" s="20">
        <f>IF(A635="",0,IF(AND(OR('CSV抽出'!$C$4="",A635&gt;='CSV抽出'!$C$4),OR('CSV抽出'!$C$5="",A635&lt;='CSV抽出'!$C$5),OR('CSV抽出'!$C$6="すべて",'CSV抽出'!$C$6="",D635='CSV抽出'!$C$6),OR('CSV抽出'!$C$7="",B635&amp;""='CSV抽出'!$C$7&amp;"")),1,0))</f>
        <v/>
      </c>
      <c r="AI635" s="20">
        <f>IF(AH635=1,SUM($AH$5:AH635),"")</f>
        <v/>
      </c>
      <c r="AJ635" s="20">
        <f>IF(OR(S635="",'報告書'!$C$4=""),"",IF(S635&amp;""='報告書'!$C$4&amp;"",COUNTIF($S$5:S635,'報告書'!$C$4),""))</f>
        <v/>
      </c>
      <c r="AK635" s="20" t="n"/>
      <c r="AL635" s="47" t="n"/>
      <c r="AM635" s="47" t="n"/>
      <c r="AN635" s="53" t="n"/>
      <c r="AO635" s="47" t="n"/>
      <c r="AP635" s="47" t="n"/>
      <c r="AQ635" s="47" t="n"/>
      <c r="AR635" s="47" t="n"/>
      <c r="AS635" s="47" t="n"/>
      <c r="AT635" s="47" t="n"/>
      <c r="AU635" s="47" t="n"/>
      <c r="AV635" s="47" t="n"/>
      <c r="AW635" s="52" t="n"/>
    </row>
    <row r="636">
      <c r="A636" s="48" t="n"/>
      <c r="B636" s="52" t="n"/>
      <c r="C636" s="47">
        <f>IF(B636="","",IFERROR(INDEX('隊員マスタ'!$B$5:$B$204,MATCH(B636&amp;"",'隊員マスタ'!$F$5:$F$204,0)),IF(AK636="","番号なし",AK636)))</f>
        <v/>
      </c>
      <c r="D636" s="47" t="n"/>
      <c r="E636" s="47" t="n"/>
      <c r="F636" s="47" t="n"/>
      <c r="G636" s="47" t="n"/>
      <c r="H636" s="47" t="n"/>
      <c r="I636" s="47" t="n"/>
      <c r="J636" s="47" t="n"/>
      <c r="K636" s="47" t="n"/>
      <c r="L636" s="47" t="n"/>
      <c r="M636" s="47" t="n"/>
      <c r="N636" s="47" t="n"/>
      <c r="O636" s="47" t="n"/>
      <c r="P636" s="47" t="n"/>
      <c r="Q636" s="47" t="n"/>
      <c r="R636" s="47" t="n"/>
      <c r="S636" s="47" t="n"/>
      <c r="T636" s="47" t="n"/>
      <c r="U636" s="53" t="n"/>
      <c r="V636" s="53" t="n"/>
      <c r="W636" s="47" t="n"/>
      <c r="X636" s="47" t="n"/>
      <c r="Y636" s="47" t="n"/>
      <c r="Z636" s="47" t="n"/>
      <c r="AA636" s="47" t="n"/>
      <c r="AB636" s="47" t="n"/>
      <c r="AC636" s="47" t="n"/>
      <c r="AD636" s="47" t="n"/>
      <c r="AE636" s="47" t="n"/>
      <c r="AF636" s="20">
        <f>IF(A636="","",YEAR(EDATE(A636,-3)))</f>
        <v/>
      </c>
      <c r="AG636" s="20">
        <f>IF(OR(B636="",'経歴簿'!$C$4=""),"",IF(B636&amp;""='経歴簿'!$C$4&amp;"",MAX($AG$4:AG635)+1,""))</f>
        <v/>
      </c>
      <c r="AH636" s="20">
        <f>IF(A636="",0,IF(AND(OR('CSV抽出'!$C$4="",A636&gt;='CSV抽出'!$C$4),OR('CSV抽出'!$C$5="",A636&lt;='CSV抽出'!$C$5),OR('CSV抽出'!$C$6="すべて",'CSV抽出'!$C$6="",D636='CSV抽出'!$C$6),OR('CSV抽出'!$C$7="",B636&amp;""='CSV抽出'!$C$7&amp;"")),1,0))</f>
        <v/>
      </c>
      <c r="AI636" s="20">
        <f>IF(AH636=1,SUM($AH$5:AH636),"")</f>
        <v/>
      </c>
      <c r="AJ636" s="20">
        <f>IF(OR(S636="",'報告書'!$C$4=""),"",IF(S636&amp;""='報告書'!$C$4&amp;"",COUNTIF($S$5:S636,'報告書'!$C$4),""))</f>
        <v/>
      </c>
      <c r="AK636" s="20" t="n"/>
      <c r="AL636" s="47" t="n"/>
      <c r="AM636" s="47" t="n"/>
      <c r="AN636" s="53" t="n"/>
      <c r="AO636" s="47" t="n"/>
      <c r="AP636" s="47" t="n"/>
      <c r="AQ636" s="47" t="n"/>
      <c r="AR636" s="47" t="n"/>
      <c r="AS636" s="47" t="n"/>
      <c r="AT636" s="47" t="n"/>
      <c r="AU636" s="47" t="n"/>
      <c r="AV636" s="47" t="n"/>
      <c r="AW636" s="52" t="n"/>
    </row>
    <row r="637">
      <c r="A637" s="48" t="n"/>
      <c r="B637" s="52" t="n"/>
      <c r="C637" s="47">
        <f>IF(B637="","",IFERROR(INDEX('隊員マスタ'!$B$5:$B$204,MATCH(B637&amp;"",'隊員マスタ'!$F$5:$F$204,0)),IF(AK637="","番号なし",AK637)))</f>
        <v/>
      </c>
      <c r="D637" s="47" t="n"/>
      <c r="E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  <c r="N637" s="47" t="n"/>
      <c r="O637" s="47" t="n"/>
      <c r="P637" s="47" t="n"/>
      <c r="Q637" s="47" t="n"/>
      <c r="R637" s="47" t="n"/>
      <c r="S637" s="47" t="n"/>
      <c r="T637" s="47" t="n"/>
      <c r="U637" s="53" t="n"/>
      <c r="V637" s="53" t="n"/>
      <c r="W637" s="47" t="n"/>
      <c r="X637" s="47" t="n"/>
      <c r="Y637" s="47" t="n"/>
      <c r="Z637" s="47" t="n"/>
      <c r="AA637" s="47" t="n"/>
      <c r="AB637" s="47" t="n"/>
      <c r="AC637" s="47" t="n"/>
      <c r="AD637" s="47" t="n"/>
      <c r="AE637" s="47" t="n"/>
      <c r="AF637" s="20">
        <f>IF(A637="","",YEAR(EDATE(A637,-3)))</f>
        <v/>
      </c>
      <c r="AG637" s="20">
        <f>IF(OR(B637="",'経歴簿'!$C$4=""),"",IF(B637&amp;""='経歴簿'!$C$4&amp;"",MAX($AG$4:AG636)+1,""))</f>
        <v/>
      </c>
      <c r="AH637" s="20">
        <f>IF(A637="",0,IF(AND(OR('CSV抽出'!$C$4="",A637&gt;='CSV抽出'!$C$4),OR('CSV抽出'!$C$5="",A637&lt;='CSV抽出'!$C$5),OR('CSV抽出'!$C$6="すべて",'CSV抽出'!$C$6="",D637='CSV抽出'!$C$6),OR('CSV抽出'!$C$7="",B637&amp;""='CSV抽出'!$C$7&amp;"")),1,0))</f>
        <v/>
      </c>
      <c r="AI637" s="20">
        <f>IF(AH637=1,SUM($AH$5:AH637),"")</f>
        <v/>
      </c>
      <c r="AJ637" s="20">
        <f>IF(OR(S637="",'報告書'!$C$4=""),"",IF(S637&amp;""='報告書'!$C$4&amp;"",COUNTIF($S$5:S637,'報告書'!$C$4),""))</f>
        <v/>
      </c>
      <c r="AK637" s="20" t="n"/>
      <c r="AL637" s="47" t="n"/>
      <c r="AM637" s="47" t="n"/>
      <c r="AN637" s="53" t="n"/>
      <c r="AO637" s="47" t="n"/>
      <c r="AP637" s="47" t="n"/>
      <c r="AQ637" s="47" t="n"/>
      <c r="AR637" s="47" t="n"/>
      <c r="AS637" s="47" t="n"/>
      <c r="AT637" s="47" t="n"/>
      <c r="AU637" s="47" t="n"/>
      <c r="AV637" s="47" t="n"/>
      <c r="AW637" s="52" t="n"/>
    </row>
    <row r="638">
      <c r="A638" s="48" t="n"/>
      <c r="B638" s="52" t="n"/>
      <c r="C638" s="47">
        <f>IF(B638="","",IFERROR(INDEX('隊員マスタ'!$B$5:$B$204,MATCH(B638&amp;"",'隊員マスタ'!$F$5:$F$204,0)),IF(AK638="","番号なし",AK638)))</f>
        <v/>
      </c>
      <c r="D638" s="47" t="n"/>
      <c r="E638" s="47" t="n"/>
      <c r="F638" s="47" t="n"/>
      <c r="G638" s="47" t="n"/>
      <c r="H638" s="47" t="n"/>
      <c r="I638" s="47" t="n"/>
      <c r="J638" s="47" t="n"/>
      <c r="K638" s="47" t="n"/>
      <c r="L638" s="47" t="n"/>
      <c r="M638" s="47" t="n"/>
      <c r="N638" s="47" t="n"/>
      <c r="O638" s="47" t="n"/>
      <c r="P638" s="47" t="n"/>
      <c r="Q638" s="47" t="n"/>
      <c r="R638" s="47" t="n"/>
      <c r="S638" s="47" t="n"/>
      <c r="T638" s="47" t="n"/>
      <c r="U638" s="53" t="n"/>
      <c r="V638" s="53" t="n"/>
      <c r="W638" s="47" t="n"/>
      <c r="X638" s="47" t="n"/>
      <c r="Y638" s="47" t="n"/>
      <c r="Z638" s="47" t="n"/>
      <c r="AA638" s="47" t="n"/>
      <c r="AB638" s="47" t="n"/>
      <c r="AC638" s="47" t="n"/>
      <c r="AD638" s="47" t="n"/>
      <c r="AE638" s="47" t="n"/>
      <c r="AF638" s="20">
        <f>IF(A638="","",YEAR(EDATE(A638,-3)))</f>
        <v/>
      </c>
      <c r="AG638" s="20">
        <f>IF(OR(B638="",'経歴簿'!$C$4=""),"",IF(B638&amp;""='経歴簿'!$C$4&amp;"",MAX($AG$4:AG637)+1,""))</f>
        <v/>
      </c>
      <c r="AH638" s="20">
        <f>IF(A638="",0,IF(AND(OR('CSV抽出'!$C$4="",A638&gt;='CSV抽出'!$C$4),OR('CSV抽出'!$C$5="",A638&lt;='CSV抽出'!$C$5),OR('CSV抽出'!$C$6="すべて",'CSV抽出'!$C$6="",D638='CSV抽出'!$C$6),OR('CSV抽出'!$C$7="",B638&amp;""='CSV抽出'!$C$7&amp;"")),1,0))</f>
        <v/>
      </c>
      <c r="AI638" s="20">
        <f>IF(AH638=1,SUM($AH$5:AH638),"")</f>
        <v/>
      </c>
      <c r="AJ638" s="20">
        <f>IF(OR(S638="",'報告書'!$C$4=""),"",IF(S638&amp;""='報告書'!$C$4&amp;"",COUNTIF($S$5:S638,'報告書'!$C$4),""))</f>
        <v/>
      </c>
      <c r="AK638" s="20" t="n"/>
      <c r="AL638" s="47" t="n"/>
      <c r="AM638" s="47" t="n"/>
      <c r="AN638" s="53" t="n"/>
      <c r="AO638" s="47" t="n"/>
      <c r="AP638" s="47" t="n"/>
      <c r="AQ638" s="47" t="n"/>
      <c r="AR638" s="47" t="n"/>
      <c r="AS638" s="47" t="n"/>
      <c r="AT638" s="47" t="n"/>
      <c r="AU638" s="47" t="n"/>
      <c r="AV638" s="47" t="n"/>
      <c r="AW638" s="52" t="n"/>
    </row>
    <row r="639">
      <c r="A639" s="48" t="n"/>
      <c r="B639" s="52" t="n"/>
      <c r="C639" s="47">
        <f>IF(B639="","",IFERROR(INDEX('隊員マスタ'!$B$5:$B$204,MATCH(B639&amp;"",'隊員マスタ'!$F$5:$F$204,0)),IF(AK639="","番号なし",AK639)))</f>
        <v/>
      </c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  <c r="N639" s="47" t="n"/>
      <c r="O639" s="47" t="n"/>
      <c r="P639" s="47" t="n"/>
      <c r="Q639" s="47" t="n"/>
      <c r="R639" s="47" t="n"/>
      <c r="S639" s="47" t="n"/>
      <c r="T639" s="47" t="n"/>
      <c r="U639" s="53" t="n"/>
      <c r="V639" s="53" t="n"/>
      <c r="W639" s="47" t="n"/>
      <c r="X639" s="47" t="n"/>
      <c r="Y639" s="47" t="n"/>
      <c r="Z639" s="47" t="n"/>
      <c r="AA639" s="47" t="n"/>
      <c r="AB639" s="47" t="n"/>
      <c r="AC639" s="47" t="n"/>
      <c r="AD639" s="47" t="n"/>
      <c r="AE639" s="47" t="n"/>
      <c r="AF639" s="20">
        <f>IF(A639="","",YEAR(EDATE(A639,-3)))</f>
        <v/>
      </c>
      <c r="AG639" s="20">
        <f>IF(OR(B639="",'経歴簿'!$C$4=""),"",IF(B639&amp;""='経歴簿'!$C$4&amp;"",MAX($AG$4:AG638)+1,""))</f>
        <v/>
      </c>
      <c r="AH639" s="20">
        <f>IF(A639="",0,IF(AND(OR('CSV抽出'!$C$4="",A639&gt;='CSV抽出'!$C$4),OR('CSV抽出'!$C$5="",A639&lt;='CSV抽出'!$C$5),OR('CSV抽出'!$C$6="すべて",'CSV抽出'!$C$6="",D639='CSV抽出'!$C$6),OR('CSV抽出'!$C$7="",B639&amp;""='CSV抽出'!$C$7&amp;"")),1,0))</f>
        <v/>
      </c>
      <c r="AI639" s="20">
        <f>IF(AH639=1,SUM($AH$5:AH639),"")</f>
        <v/>
      </c>
      <c r="AJ639" s="20">
        <f>IF(OR(S639="",'報告書'!$C$4=""),"",IF(S639&amp;""='報告書'!$C$4&amp;"",COUNTIF($S$5:S639,'報告書'!$C$4),""))</f>
        <v/>
      </c>
      <c r="AK639" s="20" t="n"/>
      <c r="AL639" s="47" t="n"/>
      <c r="AM639" s="47" t="n"/>
      <c r="AN639" s="53" t="n"/>
      <c r="AO639" s="47" t="n"/>
      <c r="AP639" s="47" t="n"/>
      <c r="AQ639" s="47" t="n"/>
      <c r="AR639" s="47" t="n"/>
      <c r="AS639" s="47" t="n"/>
      <c r="AT639" s="47" t="n"/>
      <c r="AU639" s="47" t="n"/>
      <c r="AV639" s="47" t="n"/>
      <c r="AW639" s="52" t="n"/>
    </row>
    <row r="640">
      <c r="A640" s="48" t="n"/>
      <c r="B640" s="52" t="n"/>
      <c r="C640" s="47">
        <f>IF(B640="","",IFERROR(INDEX('隊員マスタ'!$B$5:$B$204,MATCH(B640&amp;"",'隊員マスタ'!$F$5:$F$204,0)),IF(AK640="","番号なし",AK640)))</f>
        <v/>
      </c>
      <c r="D640" s="47" t="n"/>
      <c r="E640" s="47" t="n"/>
      <c r="F640" s="47" t="n"/>
      <c r="G640" s="47" t="n"/>
      <c r="H640" s="47" t="n"/>
      <c r="I640" s="47" t="n"/>
      <c r="J640" s="47" t="n"/>
      <c r="K640" s="47" t="n"/>
      <c r="L640" s="47" t="n"/>
      <c r="M640" s="47" t="n"/>
      <c r="N640" s="47" t="n"/>
      <c r="O640" s="47" t="n"/>
      <c r="P640" s="47" t="n"/>
      <c r="Q640" s="47" t="n"/>
      <c r="R640" s="47" t="n"/>
      <c r="S640" s="47" t="n"/>
      <c r="T640" s="47" t="n"/>
      <c r="U640" s="53" t="n"/>
      <c r="V640" s="53" t="n"/>
      <c r="W640" s="47" t="n"/>
      <c r="X640" s="47" t="n"/>
      <c r="Y640" s="47" t="n"/>
      <c r="Z640" s="47" t="n"/>
      <c r="AA640" s="47" t="n"/>
      <c r="AB640" s="47" t="n"/>
      <c r="AC640" s="47" t="n"/>
      <c r="AD640" s="47" t="n"/>
      <c r="AE640" s="47" t="n"/>
      <c r="AF640" s="20">
        <f>IF(A640="","",YEAR(EDATE(A640,-3)))</f>
        <v/>
      </c>
      <c r="AG640" s="20">
        <f>IF(OR(B640="",'経歴簿'!$C$4=""),"",IF(B640&amp;""='経歴簿'!$C$4&amp;"",MAX($AG$4:AG639)+1,""))</f>
        <v/>
      </c>
      <c r="AH640" s="20">
        <f>IF(A640="",0,IF(AND(OR('CSV抽出'!$C$4="",A640&gt;='CSV抽出'!$C$4),OR('CSV抽出'!$C$5="",A640&lt;='CSV抽出'!$C$5),OR('CSV抽出'!$C$6="すべて",'CSV抽出'!$C$6="",D640='CSV抽出'!$C$6),OR('CSV抽出'!$C$7="",B640&amp;""='CSV抽出'!$C$7&amp;"")),1,0))</f>
        <v/>
      </c>
      <c r="AI640" s="20">
        <f>IF(AH640=1,SUM($AH$5:AH640),"")</f>
        <v/>
      </c>
      <c r="AJ640" s="20">
        <f>IF(OR(S640="",'報告書'!$C$4=""),"",IF(S640&amp;""='報告書'!$C$4&amp;"",COUNTIF($S$5:S640,'報告書'!$C$4),""))</f>
        <v/>
      </c>
      <c r="AK640" s="20" t="n"/>
      <c r="AL640" s="47" t="n"/>
      <c r="AM640" s="47" t="n"/>
      <c r="AN640" s="53" t="n"/>
      <c r="AO640" s="47" t="n"/>
      <c r="AP640" s="47" t="n"/>
      <c r="AQ640" s="47" t="n"/>
      <c r="AR640" s="47" t="n"/>
      <c r="AS640" s="47" t="n"/>
      <c r="AT640" s="47" t="n"/>
      <c r="AU640" s="47" t="n"/>
      <c r="AV640" s="47" t="n"/>
      <c r="AW640" s="52" t="n"/>
    </row>
    <row r="641">
      <c r="A641" s="48" t="n"/>
      <c r="B641" s="52" t="n"/>
      <c r="C641" s="47">
        <f>IF(B641="","",IFERROR(INDEX('隊員マスタ'!$B$5:$B$204,MATCH(B641&amp;"",'隊員マスタ'!$F$5:$F$204,0)),IF(AK641="","番号なし",AK641)))</f>
        <v/>
      </c>
      <c r="D641" s="47" t="n"/>
      <c r="E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  <c r="N641" s="47" t="n"/>
      <c r="O641" s="47" t="n"/>
      <c r="P641" s="47" t="n"/>
      <c r="Q641" s="47" t="n"/>
      <c r="R641" s="47" t="n"/>
      <c r="S641" s="47" t="n"/>
      <c r="T641" s="47" t="n"/>
      <c r="U641" s="53" t="n"/>
      <c r="V641" s="53" t="n"/>
      <c r="W641" s="47" t="n"/>
      <c r="X641" s="47" t="n"/>
      <c r="Y641" s="47" t="n"/>
      <c r="Z641" s="47" t="n"/>
      <c r="AA641" s="47" t="n"/>
      <c r="AB641" s="47" t="n"/>
      <c r="AC641" s="47" t="n"/>
      <c r="AD641" s="47" t="n"/>
      <c r="AE641" s="47" t="n"/>
      <c r="AF641" s="20">
        <f>IF(A641="","",YEAR(EDATE(A641,-3)))</f>
        <v/>
      </c>
      <c r="AG641" s="20">
        <f>IF(OR(B641="",'経歴簿'!$C$4=""),"",IF(B641&amp;""='経歴簿'!$C$4&amp;"",MAX($AG$4:AG640)+1,""))</f>
        <v/>
      </c>
      <c r="AH641" s="20">
        <f>IF(A641="",0,IF(AND(OR('CSV抽出'!$C$4="",A641&gt;='CSV抽出'!$C$4),OR('CSV抽出'!$C$5="",A641&lt;='CSV抽出'!$C$5),OR('CSV抽出'!$C$6="すべて",'CSV抽出'!$C$6="",D641='CSV抽出'!$C$6),OR('CSV抽出'!$C$7="",B641&amp;""='CSV抽出'!$C$7&amp;"")),1,0))</f>
        <v/>
      </c>
      <c r="AI641" s="20">
        <f>IF(AH641=1,SUM($AH$5:AH641),"")</f>
        <v/>
      </c>
      <c r="AJ641" s="20">
        <f>IF(OR(S641="",'報告書'!$C$4=""),"",IF(S641&amp;""='報告書'!$C$4&amp;"",COUNTIF($S$5:S641,'報告書'!$C$4),""))</f>
        <v/>
      </c>
      <c r="AK641" s="20" t="n"/>
      <c r="AL641" s="47" t="n"/>
      <c r="AM641" s="47" t="n"/>
      <c r="AN641" s="53" t="n"/>
      <c r="AO641" s="47" t="n"/>
      <c r="AP641" s="47" t="n"/>
      <c r="AQ641" s="47" t="n"/>
      <c r="AR641" s="47" t="n"/>
      <c r="AS641" s="47" t="n"/>
      <c r="AT641" s="47" t="n"/>
      <c r="AU641" s="47" t="n"/>
      <c r="AV641" s="47" t="n"/>
      <c r="AW641" s="52" t="n"/>
    </row>
    <row r="642">
      <c r="A642" s="48" t="n"/>
      <c r="B642" s="52" t="n"/>
      <c r="C642" s="47">
        <f>IF(B642="","",IFERROR(INDEX('隊員マスタ'!$B$5:$B$204,MATCH(B642&amp;"",'隊員マスタ'!$F$5:$F$204,0)),IF(AK642="","番号なし",AK642)))</f>
        <v/>
      </c>
      <c r="D642" s="47" t="n"/>
      <c r="E642" s="47" t="n"/>
      <c r="F642" s="47" t="n"/>
      <c r="G642" s="47" t="n"/>
      <c r="H642" s="47" t="n"/>
      <c r="I642" s="47" t="n"/>
      <c r="J642" s="47" t="n"/>
      <c r="K642" s="47" t="n"/>
      <c r="L642" s="47" t="n"/>
      <c r="M642" s="47" t="n"/>
      <c r="N642" s="47" t="n"/>
      <c r="O642" s="47" t="n"/>
      <c r="P642" s="47" t="n"/>
      <c r="Q642" s="47" t="n"/>
      <c r="R642" s="47" t="n"/>
      <c r="S642" s="47" t="n"/>
      <c r="T642" s="47" t="n"/>
      <c r="U642" s="53" t="n"/>
      <c r="V642" s="53" t="n"/>
      <c r="W642" s="47" t="n"/>
      <c r="X642" s="47" t="n"/>
      <c r="Y642" s="47" t="n"/>
      <c r="Z642" s="47" t="n"/>
      <c r="AA642" s="47" t="n"/>
      <c r="AB642" s="47" t="n"/>
      <c r="AC642" s="47" t="n"/>
      <c r="AD642" s="47" t="n"/>
      <c r="AE642" s="47" t="n"/>
      <c r="AF642" s="20">
        <f>IF(A642="","",YEAR(EDATE(A642,-3)))</f>
        <v/>
      </c>
      <c r="AG642" s="20">
        <f>IF(OR(B642="",'経歴簿'!$C$4=""),"",IF(B642&amp;""='経歴簿'!$C$4&amp;"",MAX($AG$4:AG641)+1,""))</f>
        <v/>
      </c>
      <c r="AH642" s="20">
        <f>IF(A642="",0,IF(AND(OR('CSV抽出'!$C$4="",A642&gt;='CSV抽出'!$C$4),OR('CSV抽出'!$C$5="",A642&lt;='CSV抽出'!$C$5),OR('CSV抽出'!$C$6="すべて",'CSV抽出'!$C$6="",D642='CSV抽出'!$C$6),OR('CSV抽出'!$C$7="",B642&amp;""='CSV抽出'!$C$7&amp;"")),1,0))</f>
        <v/>
      </c>
      <c r="AI642" s="20">
        <f>IF(AH642=1,SUM($AH$5:AH642),"")</f>
        <v/>
      </c>
      <c r="AJ642" s="20">
        <f>IF(OR(S642="",'報告書'!$C$4=""),"",IF(S642&amp;""='報告書'!$C$4&amp;"",COUNTIF($S$5:S642,'報告書'!$C$4),""))</f>
        <v/>
      </c>
      <c r="AK642" s="20" t="n"/>
      <c r="AL642" s="47" t="n"/>
      <c r="AM642" s="47" t="n"/>
      <c r="AN642" s="53" t="n"/>
      <c r="AO642" s="47" t="n"/>
      <c r="AP642" s="47" t="n"/>
      <c r="AQ642" s="47" t="n"/>
      <c r="AR642" s="47" t="n"/>
      <c r="AS642" s="47" t="n"/>
      <c r="AT642" s="47" t="n"/>
      <c r="AU642" s="47" t="n"/>
      <c r="AV642" s="47" t="n"/>
      <c r="AW642" s="52" t="n"/>
    </row>
    <row r="643">
      <c r="A643" s="48" t="n"/>
      <c r="B643" s="52" t="n"/>
      <c r="C643" s="47">
        <f>IF(B643="","",IFERROR(INDEX('隊員マスタ'!$B$5:$B$204,MATCH(B643&amp;"",'隊員マスタ'!$F$5:$F$204,0)),IF(AK643="","番号なし",AK643)))</f>
        <v/>
      </c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  <c r="N643" s="47" t="n"/>
      <c r="O643" s="47" t="n"/>
      <c r="P643" s="47" t="n"/>
      <c r="Q643" s="47" t="n"/>
      <c r="R643" s="47" t="n"/>
      <c r="S643" s="47" t="n"/>
      <c r="T643" s="47" t="n"/>
      <c r="U643" s="53" t="n"/>
      <c r="V643" s="53" t="n"/>
      <c r="W643" s="47" t="n"/>
      <c r="X643" s="47" t="n"/>
      <c r="Y643" s="47" t="n"/>
      <c r="Z643" s="47" t="n"/>
      <c r="AA643" s="47" t="n"/>
      <c r="AB643" s="47" t="n"/>
      <c r="AC643" s="47" t="n"/>
      <c r="AD643" s="47" t="n"/>
      <c r="AE643" s="47" t="n"/>
      <c r="AF643" s="20">
        <f>IF(A643="","",YEAR(EDATE(A643,-3)))</f>
        <v/>
      </c>
      <c r="AG643" s="20">
        <f>IF(OR(B643="",'経歴簿'!$C$4=""),"",IF(B643&amp;""='経歴簿'!$C$4&amp;"",MAX($AG$4:AG642)+1,""))</f>
        <v/>
      </c>
      <c r="AH643" s="20">
        <f>IF(A643="",0,IF(AND(OR('CSV抽出'!$C$4="",A643&gt;='CSV抽出'!$C$4),OR('CSV抽出'!$C$5="",A643&lt;='CSV抽出'!$C$5),OR('CSV抽出'!$C$6="すべて",'CSV抽出'!$C$6="",D643='CSV抽出'!$C$6),OR('CSV抽出'!$C$7="",B643&amp;""='CSV抽出'!$C$7&amp;"")),1,0))</f>
        <v/>
      </c>
      <c r="AI643" s="20">
        <f>IF(AH643=1,SUM($AH$5:AH643),"")</f>
        <v/>
      </c>
      <c r="AJ643" s="20">
        <f>IF(OR(S643="",'報告書'!$C$4=""),"",IF(S643&amp;""='報告書'!$C$4&amp;"",COUNTIF($S$5:S643,'報告書'!$C$4),""))</f>
        <v/>
      </c>
      <c r="AK643" s="20" t="n"/>
      <c r="AL643" s="47" t="n"/>
      <c r="AM643" s="47" t="n"/>
      <c r="AN643" s="53" t="n"/>
      <c r="AO643" s="47" t="n"/>
      <c r="AP643" s="47" t="n"/>
      <c r="AQ643" s="47" t="n"/>
      <c r="AR643" s="47" t="n"/>
      <c r="AS643" s="47" t="n"/>
      <c r="AT643" s="47" t="n"/>
      <c r="AU643" s="47" t="n"/>
      <c r="AV643" s="47" t="n"/>
      <c r="AW643" s="52" t="n"/>
    </row>
    <row r="644">
      <c r="A644" s="48" t="n"/>
      <c r="B644" s="52" t="n"/>
      <c r="C644" s="47">
        <f>IF(B644="","",IFERROR(INDEX('隊員マスタ'!$B$5:$B$204,MATCH(B644&amp;"",'隊員マスタ'!$F$5:$F$204,0)),IF(AK644="","番号なし",AK644)))</f>
        <v/>
      </c>
      <c r="D644" s="47" t="n"/>
      <c r="E644" s="47" t="n"/>
      <c r="F644" s="47" t="n"/>
      <c r="G644" s="47" t="n"/>
      <c r="H644" s="47" t="n"/>
      <c r="I644" s="47" t="n"/>
      <c r="J644" s="47" t="n"/>
      <c r="K644" s="47" t="n"/>
      <c r="L644" s="47" t="n"/>
      <c r="M644" s="47" t="n"/>
      <c r="N644" s="47" t="n"/>
      <c r="O644" s="47" t="n"/>
      <c r="P644" s="47" t="n"/>
      <c r="Q644" s="47" t="n"/>
      <c r="R644" s="47" t="n"/>
      <c r="S644" s="47" t="n"/>
      <c r="T644" s="47" t="n"/>
      <c r="U644" s="53" t="n"/>
      <c r="V644" s="53" t="n"/>
      <c r="W644" s="47" t="n"/>
      <c r="X644" s="47" t="n"/>
      <c r="Y644" s="47" t="n"/>
      <c r="Z644" s="47" t="n"/>
      <c r="AA644" s="47" t="n"/>
      <c r="AB644" s="47" t="n"/>
      <c r="AC644" s="47" t="n"/>
      <c r="AD644" s="47" t="n"/>
      <c r="AE644" s="47" t="n"/>
      <c r="AF644" s="20">
        <f>IF(A644="","",YEAR(EDATE(A644,-3)))</f>
        <v/>
      </c>
      <c r="AG644" s="20">
        <f>IF(OR(B644="",'経歴簿'!$C$4=""),"",IF(B644&amp;""='経歴簿'!$C$4&amp;"",MAX($AG$4:AG643)+1,""))</f>
        <v/>
      </c>
      <c r="AH644" s="20">
        <f>IF(A644="",0,IF(AND(OR('CSV抽出'!$C$4="",A644&gt;='CSV抽出'!$C$4),OR('CSV抽出'!$C$5="",A644&lt;='CSV抽出'!$C$5),OR('CSV抽出'!$C$6="すべて",'CSV抽出'!$C$6="",D644='CSV抽出'!$C$6),OR('CSV抽出'!$C$7="",B644&amp;""='CSV抽出'!$C$7&amp;"")),1,0))</f>
        <v/>
      </c>
      <c r="AI644" s="20">
        <f>IF(AH644=1,SUM($AH$5:AH644),"")</f>
        <v/>
      </c>
      <c r="AJ644" s="20">
        <f>IF(OR(S644="",'報告書'!$C$4=""),"",IF(S644&amp;""='報告書'!$C$4&amp;"",COUNTIF($S$5:S644,'報告書'!$C$4),""))</f>
        <v/>
      </c>
      <c r="AK644" s="20" t="n"/>
      <c r="AL644" s="47" t="n"/>
      <c r="AM644" s="47" t="n"/>
      <c r="AN644" s="53" t="n"/>
      <c r="AO644" s="47" t="n"/>
      <c r="AP644" s="47" t="n"/>
      <c r="AQ644" s="47" t="n"/>
      <c r="AR644" s="47" t="n"/>
      <c r="AS644" s="47" t="n"/>
      <c r="AT644" s="47" t="n"/>
      <c r="AU644" s="47" t="n"/>
      <c r="AV644" s="47" t="n"/>
      <c r="AW644" s="52" t="n"/>
    </row>
    <row r="645">
      <c r="A645" s="48" t="n"/>
      <c r="B645" s="52" t="n"/>
      <c r="C645" s="47">
        <f>IF(B645="","",IFERROR(INDEX('隊員マスタ'!$B$5:$B$204,MATCH(B645&amp;"",'隊員マスタ'!$F$5:$F$204,0)),IF(AK645="","番号なし",AK645)))</f>
        <v/>
      </c>
      <c r="D645" s="47" t="n"/>
      <c r="E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  <c r="N645" s="47" t="n"/>
      <c r="O645" s="47" t="n"/>
      <c r="P645" s="47" t="n"/>
      <c r="Q645" s="47" t="n"/>
      <c r="R645" s="47" t="n"/>
      <c r="S645" s="47" t="n"/>
      <c r="T645" s="47" t="n"/>
      <c r="U645" s="53" t="n"/>
      <c r="V645" s="53" t="n"/>
      <c r="W645" s="47" t="n"/>
      <c r="X645" s="47" t="n"/>
      <c r="Y645" s="47" t="n"/>
      <c r="Z645" s="47" t="n"/>
      <c r="AA645" s="47" t="n"/>
      <c r="AB645" s="47" t="n"/>
      <c r="AC645" s="47" t="n"/>
      <c r="AD645" s="47" t="n"/>
      <c r="AE645" s="47" t="n"/>
      <c r="AF645" s="20">
        <f>IF(A645="","",YEAR(EDATE(A645,-3)))</f>
        <v/>
      </c>
      <c r="AG645" s="20">
        <f>IF(OR(B645="",'経歴簿'!$C$4=""),"",IF(B645&amp;""='経歴簿'!$C$4&amp;"",MAX($AG$4:AG644)+1,""))</f>
        <v/>
      </c>
      <c r="AH645" s="20">
        <f>IF(A645="",0,IF(AND(OR('CSV抽出'!$C$4="",A645&gt;='CSV抽出'!$C$4),OR('CSV抽出'!$C$5="",A645&lt;='CSV抽出'!$C$5),OR('CSV抽出'!$C$6="すべて",'CSV抽出'!$C$6="",D645='CSV抽出'!$C$6),OR('CSV抽出'!$C$7="",B645&amp;""='CSV抽出'!$C$7&amp;"")),1,0))</f>
        <v/>
      </c>
      <c r="AI645" s="20">
        <f>IF(AH645=1,SUM($AH$5:AH645),"")</f>
        <v/>
      </c>
      <c r="AJ645" s="20">
        <f>IF(OR(S645="",'報告書'!$C$4=""),"",IF(S645&amp;""='報告書'!$C$4&amp;"",COUNTIF($S$5:S645,'報告書'!$C$4),""))</f>
        <v/>
      </c>
      <c r="AK645" s="20" t="n"/>
      <c r="AL645" s="47" t="n"/>
      <c r="AM645" s="47" t="n"/>
      <c r="AN645" s="53" t="n"/>
      <c r="AO645" s="47" t="n"/>
      <c r="AP645" s="47" t="n"/>
      <c r="AQ645" s="47" t="n"/>
      <c r="AR645" s="47" t="n"/>
      <c r="AS645" s="47" t="n"/>
      <c r="AT645" s="47" t="n"/>
      <c r="AU645" s="47" t="n"/>
      <c r="AV645" s="47" t="n"/>
      <c r="AW645" s="52" t="n"/>
    </row>
    <row r="646">
      <c r="A646" s="48" t="n"/>
      <c r="B646" s="52" t="n"/>
      <c r="C646" s="47">
        <f>IF(B646="","",IFERROR(INDEX('隊員マスタ'!$B$5:$B$204,MATCH(B646&amp;"",'隊員マスタ'!$F$5:$F$204,0)),IF(AK646="","番号なし",AK646)))</f>
        <v/>
      </c>
      <c r="D646" s="47" t="n"/>
      <c r="E646" s="47" t="n"/>
      <c r="F646" s="47" t="n"/>
      <c r="G646" s="47" t="n"/>
      <c r="H646" s="47" t="n"/>
      <c r="I646" s="47" t="n"/>
      <c r="J646" s="47" t="n"/>
      <c r="K646" s="47" t="n"/>
      <c r="L646" s="47" t="n"/>
      <c r="M646" s="47" t="n"/>
      <c r="N646" s="47" t="n"/>
      <c r="O646" s="47" t="n"/>
      <c r="P646" s="47" t="n"/>
      <c r="Q646" s="47" t="n"/>
      <c r="R646" s="47" t="n"/>
      <c r="S646" s="47" t="n"/>
      <c r="T646" s="47" t="n"/>
      <c r="U646" s="53" t="n"/>
      <c r="V646" s="53" t="n"/>
      <c r="W646" s="47" t="n"/>
      <c r="X646" s="47" t="n"/>
      <c r="Y646" s="47" t="n"/>
      <c r="Z646" s="47" t="n"/>
      <c r="AA646" s="47" t="n"/>
      <c r="AB646" s="47" t="n"/>
      <c r="AC646" s="47" t="n"/>
      <c r="AD646" s="47" t="n"/>
      <c r="AE646" s="47" t="n"/>
      <c r="AF646" s="20">
        <f>IF(A646="","",YEAR(EDATE(A646,-3)))</f>
        <v/>
      </c>
      <c r="AG646" s="20">
        <f>IF(OR(B646="",'経歴簿'!$C$4=""),"",IF(B646&amp;""='経歴簿'!$C$4&amp;"",MAX($AG$4:AG645)+1,""))</f>
        <v/>
      </c>
      <c r="AH646" s="20">
        <f>IF(A646="",0,IF(AND(OR('CSV抽出'!$C$4="",A646&gt;='CSV抽出'!$C$4),OR('CSV抽出'!$C$5="",A646&lt;='CSV抽出'!$C$5),OR('CSV抽出'!$C$6="すべて",'CSV抽出'!$C$6="",D646='CSV抽出'!$C$6),OR('CSV抽出'!$C$7="",B646&amp;""='CSV抽出'!$C$7&amp;"")),1,0))</f>
        <v/>
      </c>
      <c r="AI646" s="20">
        <f>IF(AH646=1,SUM($AH$5:AH646),"")</f>
        <v/>
      </c>
      <c r="AJ646" s="20">
        <f>IF(OR(S646="",'報告書'!$C$4=""),"",IF(S646&amp;""='報告書'!$C$4&amp;"",COUNTIF($S$5:S646,'報告書'!$C$4),""))</f>
        <v/>
      </c>
      <c r="AK646" s="20" t="n"/>
      <c r="AL646" s="47" t="n"/>
      <c r="AM646" s="47" t="n"/>
      <c r="AN646" s="53" t="n"/>
      <c r="AO646" s="47" t="n"/>
      <c r="AP646" s="47" t="n"/>
      <c r="AQ646" s="47" t="n"/>
      <c r="AR646" s="47" t="n"/>
      <c r="AS646" s="47" t="n"/>
      <c r="AT646" s="47" t="n"/>
      <c r="AU646" s="47" t="n"/>
      <c r="AV646" s="47" t="n"/>
      <c r="AW646" s="52" t="n"/>
    </row>
    <row r="647">
      <c r="A647" s="48" t="n"/>
      <c r="B647" s="52" t="n"/>
      <c r="C647" s="47">
        <f>IF(B647="","",IFERROR(INDEX('隊員マスタ'!$B$5:$B$204,MATCH(B647&amp;"",'隊員マスタ'!$F$5:$F$204,0)),IF(AK647="","番号なし",AK647)))</f>
        <v/>
      </c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  <c r="N647" s="47" t="n"/>
      <c r="O647" s="47" t="n"/>
      <c r="P647" s="47" t="n"/>
      <c r="Q647" s="47" t="n"/>
      <c r="R647" s="47" t="n"/>
      <c r="S647" s="47" t="n"/>
      <c r="T647" s="47" t="n"/>
      <c r="U647" s="53" t="n"/>
      <c r="V647" s="53" t="n"/>
      <c r="W647" s="47" t="n"/>
      <c r="X647" s="47" t="n"/>
      <c r="Y647" s="47" t="n"/>
      <c r="Z647" s="47" t="n"/>
      <c r="AA647" s="47" t="n"/>
      <c r="AB647" s="47" t="n"/>
      <c r="AC647" s="47" t="n"/>
      <c r="AD647" s="47" t="n"/>
      <c r="AE647" s="47" t="n"/>
      <c r="AF647" s="20">
        <f>IF(A647="","",YEAR(EDATE(A647,-3)))</f>
        <v/>
      </c>
      <c r="AG647" s="20">
        <f>IF(OR(B647="",'経歴簿'!$C$4=""),"",IF(B647&amp;""='経歴簿'!$C$4&amp;"",MAX($AG$4:AG646)+1,""))</f>
        <v/>
      </c>
      <c r="AH647" s="20">
        <f>IF(A647="",0,IF(AND(OR('CSV抽出'!$C$4="",A647&gt;='CSV抽出'!$C$4),OR('CSV抽出'!$C$5="",A647&lt;='CSV抽出'!$C$5),OR('CSV抽出'!$C$6="すべて",'CSV抽出'!$C$6="",D647='CSV抽出'!$C$6),OR('CSV抽出'!$C$7="",B647&amp;""='CSV抽出'!$C$7&amp;"")),1,0))</f>
        <v/>
      </c>
      <c r="AI647" s="20">
        <f>IF(AH647=1,SUM($AH$5:AH647),"")</f>
        <v/>
      </c>
      <c r="AJ647" s="20">
        <f>IF(OR(S647="",'報告書'!$C$4=""),"",IF(S647&amp;""='報告書'!$C$4&amp;"",COUNTIF($S$5:S647,'報告書'!$C$4),""))</f>
        <v/>
      </c>
      <c r="AK647" s="20" t="n"/>
      <c r="AL647" s="47" t="n"/>
      <c r="AM647" s="47" t="n"/>
      <c r="AN647" s="53" t="n"/>
      <c r="AO647" s="47" t="n"/>
      <c r="AP647" s="47" t="n"/>
      <c r="AQ647" s="47" t="n"/>
      <c r="AR647" s="47" t="n"/>
      <c r="AS647" s="47" t="n"/>
      <c r="AT647" s="47" t="n"/>
      <c r="AU647" s="47" t="n"/>
      <c r="AV647" s="47" t="n"/>
      <c r="AW647" s="52" t="n"/>
    </row>
    <row r="648">
      <c r="A648" s="48" t="n"/>
      <c r="B648" s="52" t="n"/>
      <c r="C648" s="47">
        <f>IF(B648="","",IFERROR(INDEX('隊員マスタ'!$B$5:$B$204,MATCH(B648&amp;"",'隊員マスタ'!$F$5:$F$204,0)),IF(AK648="","番号なし",AK648)))</f>
        <v/>
      </c>
      <c r="D648" s="47" t="n"/>
      <c r="E648" s="47" t="n"/>
      <c r="F648" s="47" t="n"/>
      <c r="G648" s="47" t="n"/>
      <c r="H648" s="47" t="n"/>
      <c r="I648" s="47" t="n"/>
      <c r="J648" s="47" t="n"/>
      <c r="K648" s="47" t="n"/>
      <c r="L648" s="47" t="n"/>
      <c r="M648" s="47" t="n"/>
      <c r="N648" s="47" t="n"/>
      <c r="O648" s="47" t="n"/>
      <c r="P648" s="47" t="n"/>
      <c r="Q648" s="47" t="n"/>
      <c r="R648" s="47" t="n"/>
      <c r="S648" s="47" t="n"/>
      <c r="T648" s="47" t="n"/>
      <c r="U648" s="53" t="n"/>
      <c r="V648" s="53" t="n"/>
      <c r="W648" s="47" t="n"/>
      <c r="X648" s="47" t="n"/>
      <c r="Y648" s="47" t="n"/>
      <c r="Z648" s="47" t="n"/>
      <c r="AA648" s="47" t="n"/>
      <c r="AB648" s="47" t="n"/>
      <c r="AC648" s="47" t="n"/>
      <c r="AD648" s="47" t="n"/>
      <c r="AE648" s="47" t="n"/>
      <c r="AF648" s="20">
        <f>IF(A648="","",YEAR(EDATE(A648,-3)))</f>
        <v/>
      </c>
      <c r="AG648" s="20">
        <f>IF(OR(B648="",'経歴簿'!$C$4=""),"",IF(B648&amp;""='経歴簿'!$C$4&amp;"",MAX($AG$4:AG647)+1,""))</f>
        <v/>
      </c>
      <c r="AH648" s="20">
        <f>IF(A648="",0,IF(AND(OR('CSV抽出'!$C$4="",A648&gt;='CSV抽出'!$C$4),OR('CSV抽出'!$C$5="",A648&lt;='CSV抽出'!$C$5),OR('CSV抽出'!$C$6="すべて",'CSV抽出'!$C$6="",D648='CSV抽出'!$C$6),OR('CSV抽出'!$C$7="",B648&amp;""='CSV抽出'!$C$7&amp;"")),1,0))</f>
        <v/>
      </c>
      <c r="AI648" s="20">
        <f>IF(AH648=1,SUM($AH$5:AH648),"")</f>
        <v/>
      </c>
      <c r="AJ648" s="20">
        <f>IF(OR(S648="",'報告書'!$C$4=""),"",IF(S648&amp;""='報告書'!$C$4&amp;"",COUNTIF($S$5:S648,'報告書'!$C$4),""))</f>
        <v/>
      </c>
      <c r="AK648" s="20" t="n"/>
      <c r="AL648" s="47" t="n"/>
      <c r="AM648" s="47" t="n"/>
      <c r="AN648" s="53" t="n"/>
      <c r="AO648" s="47" t="n"/>
      <c r="AP648" s="47" t="n"/>
      <c r="AQ648" s="47" t="n"/>
      <c r="AR648" s="47" t="n"/>
      <c r="AS648" s="47" t="n"/>
      <c r="AT648" s="47" t="n"/>
      <c r="AU648" s="47" t="n"/>
      <c r="AV648" s="47" t="n"/>
      <c r="AW648" s="52" t="n"/>
    </row>
    <row r="649">
      <c r="A649" s="48" t="n"/>
      <c r="B649" s="52" t="n"/>
      <c r="C649" s="47">
        <f>IF(B649="","",IFERROR(INDEX('隊員マスタ'!$B$5:$B$204,MATCH(B649&amp;"",'隊員マスタ'!$F$5:$F$204,0)),IF(AK649="","番号なし",AK649)))</f>
        <v/>
      </c>
      <c r="D649" s="47" t="n"/>
      <c r="E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  <c r="N649" s="47" t="n"/>
      <c r="O649" s="47" t="n"/>
      <c r="P649" s="47" t="n"/>
      <c r="Q649" s="47" t="n"/>
      <c r="R649" s="47" t="n"/>
      <c r="S649" s="47" t="n"/>
      <c r="T649" s="47" t="n"/>
      <c r="U649" s="53" t="n"/>
      <c r="V649" s="53" t="n"/>
      <c r="W649" s="47" t="n"/>
      <c r="X649" s="47" t="n"/>
      <c r="Y649" s="47" t="n"/>
      <c r="Z649" s="47" t="n"/>
      <c r="AA649" s="47" t="n"/>
      <c r="AB649" s="47" t="n"/>
      <c r="AC649" s="47" t="n"/>
      <c r="AD649" s="47" t="n"/>
      <c r="AE649" s="47" t="n"/>
      <c r="AF649" s="20">
        <f>IF(A649="","",YEAR(EDATE(A649,-3)))</f>
        <v/>
      </c>
      <c r="AG649" s="20">
        <f>IF(OR(B649="",'経歴簿'!$C$4=""),"",IF(B649&amp;""='経歴簿'!$C$4&amp;"",MAX($AG$4:AG648)+1,""))</f>
        <v/>
      </c>
      <c r="AH649" s="20">
        <f>IF(A649="",0,IF(AND(OR('CSV抽出'!$C$4="",A649&gt;='CSV抽出'!$C$4),OR('CSV抽出'!$C$5="",A649&lt;='CSV抽出'!$C$5),OR('CSV抽出'!$C$6="すべて",'CSV抽出'!$C$6="",D649='CSV抽出'!$C$6),OR('CSV抽出'!$C$7="",B649&amp;""='CSV抽出'!$C$7&amp;"")),1,0))</f>
        <v/>
      </c>
      <c r="AI649" s="20">
        <f>IF(AH649=1,SUM($AH$5:AH649),"")</f>
        <v/>
      </c>
      <c r="AJ649" s="20">
        <f>IF(OR(S649="",'報告書'!$C$4=""),"",IF(S649&amp;""='報告書'!$C$4&amp;"",COUNTIF($S$5:S649,'報告書'!$C$4),""))</f>
        <v/>
      </c>
      <c r="AK649" s="20" t="n"/>
      <c r="AL649" s="47" t="n"/>
      <c r="AM649" s="47" t="n"/>
      <c r="AN649" s="53" t="n"/>
      <c r="AO649" s="47" t="n"/>
      <c r="AP649" s="47" t="n"/>
      <c r="AQ649" s="47" t="n"/>
      <c r="AR649" s="47" t="n"/>
      <c r="AS649" s="47" t="n"/>
      <c r="AT649" s="47" t="n"/>
      <c r="AU649" s="47" t="n"/>
      <c r="AV649" s="47" t="n"/>
      <c r="AW649" s="52" t="n"/>
    </row>
    <row r="650">
      <c r="A650" s="48" t="n"/>
      <c r="B650" s="52" t="n"/>
      <c r="C650" s="47">
        <f>IF(B650="","",IFERROR(INDEX('隊員マスタ'!$B$5:$B$204,MATCH(B650&amp;"",'隊員マスタ'!$F$5:$F$204,0)),IF(AK650="","番号なし",AK650)))</f>
        <v/>
      </c>
      <c r="D650" s="47" t="n"/>
      <c r="E650" s="47" t="n"/>
      <c r="F650" s="47" t="n"/>
      <c r="G650" s="47" t="n"/>
      <c r="H650" s="47" t="n"/>
      <c r="I650" s="47" t="n"/>
      <c r="J650" s="47" t="n"/>
      <c r="K650" s="47" t="n"/>
      <c r="L650" s="47" t="n"/>
      <c r="M650" s="47" t="n"/>
      <c r="N650" s="47" t="n"/>
      <c r="O650" s="47" t="n"/>
      <c r="P650" s="47" t="n"/>
      <c r="Q650" s="47" t="n"/>
      <c r="R650" s="47" t="n"/>
      <c r="S650" s="47" t="n"/>
      <c r="T650" s="47" t="n"/>
      <c r="U650" s="53" t="n"/>
      <c r="V650" s="53" t="n"/>
      <c r="W650" s="47" t="n"/>
      <c r="X650" s="47" t="n"/>
      <c r="Y650" s="47" t="n"/>
      <c r="Z650" s="47" t="n"/>
      <c r="AA650" s="47" t="n"/>
      <c r="AB650" s="47" t="n"/>
      <c r="AC650" s="47" t="n"/>
      <c r="AD650" s="47" t="n"/>
      <c r="AE650" s="47" t="n"/>
      <c r="AF650" s="20">
        <f>IF(A650="","",YEAR(EDATE(A650,-3)))</f>
        <v/>
      </c>
      <c r="AG650" s="20">
        <f>IF(OR(B650="",'経歴簿'!$C$4=""),"",IF(B650&amp;""='経歴簿'!$C$4&amp;"",MAX($AG$4:AG649)+1,""))</f>
        <v/>
      </c>
      <c r="AH650" s="20">
        <f>IF(A650="",0,IF(AND(OR('CSV抽出'!$C$4="",A650&gt;='CSV抽出'!$C$4),OR('CSV抽出'!$C$5="",A650&lt;='CSV抽出'!$C$5),OR('CSV抽出'!$C$6="すべて",'CSV抽出'!$C$6="",D650='CSV抽出'!$C$6),OR('CSV抽出'!$C$7="",B650&amp;""='CSV抽出'!$C$7&amp;"")),1,0))</f>
        <v/>
      </c>
      <c r="AI650" s="20">
        <f>IF(AH650=1,SUM($AH$5:AH650),"")</f>
        <v/>
      </c>
      <c r="AJ650" s="20">
        <f>IF(OR(S650="",'報告書'!$C$4=""),"",IF(S650&amp;""='報告書'!$C$4&amp;"",COUNTIF($S$5:S650,'報告書'!$C$4),""))</f>
        <v/>
      </c>
      <c r="AK650" s="20" t="n"/>
      <c r="AL650" s="47" t="n"/>
      <c r="AM650" s="47" t="n"/>
      <c r="AN650" s="53" t="n"/>
      <c r="AO650" s="47" t="n"/>
      <c r="AP650" s="47" t="n"/>
      <c r="AQ650" s="47" t="n"/>
      <c r="AR650" s="47" t="n"/>
      <c r="AS650" s="47" t="n"/>
      <c r="AT650" s="47" t="n"/>
      <c r="AU650" s="47" t="n"/>
      <c r="AV650" s="47" t="n"/>
      <c r="AW650" s="52" t="n"/>
    </row>
    <row r="651">
      <c r="A651" s="48" t="n"/>
      <c r="B651" s="52" t="n"/>
      <c r="C651" s="47">
        <f>IF(B651="","",IFERROR(INDEX('隊員マスタ'!$B$5:$B$204,MATCH(B651&amp;"",'隊員マスタ'!$F$5:$F$204,0)),IF(AK651="","番号なし",AK651)))</f>
        <v/>
      </c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  <c r="N651" s="47" t="n"/>
      <c r="O651" s="47" t="n"/>
      <c r="P651" s="47" t="n"/>
      <c r="Q651" s="47" t="n"/>
      <c r="R651" s="47" t="n"/>
      <c r="S651" s="47" t="n"/>
      <c r="T651" s="47" t="n"/>
      <c r="U651" s="53" t="n"/>
      <c r="V651" s="53" t="n"/>
      <c r="W651" s="47" t="n"/>
      <c r="X651" s="47" t="n"/>
      <c r="Y651" s="47" t="n"/>
      <c r="Z651" s="47" t="n"/>
      <c r="AA651" s="47" t="n"/>
      <c r="AB651" s="47" t="n"/>
      <c r="AC651" s="47" t="n"/>
      <c r="AD651" s="47" t="n"/>
      <c r="AE651" s="47" t="n"/>
      <c r="AF651" s="20">
        <f>IF(A651="","",YEAR(EDATE(A651,-3)))</f>
        <v/>
      </c>
      <c r="AG651" s="20">
        <f>IF(OR(B651="",'経歴簿'!$C$4=""),"",IF(B651&amp;""='経歴簿'!$C$4&amp;"",MAX($AG$4:AG650)+1,""))</f>
        <v/>
      </c>
      <c r="AH651" s="20">
        <f>IF(A651="",0,IF(AND(OR('CSV抽出'!$C$4="",A651&gt;='CSV抽出'!$C$4),OR('CSV抽出'!$C$5="",A651&lt;='CSV抽出'!$C$5),OR('CSV抽出'!$C$6="すべて",'CSV抽出'!$C$6="",D651='CSV抽出'!$C$6),OR('CSV抽出'!$C$7="",B651&amp;""='CSV抽出'!$C$7&amp;"")),1,0))</f>
        <v/>
      </c>
      <c r="AI651" s="20">
        <f>IF(AH651=1,SUM($AH$5:AH651),"")</f>
        <v/>
      </c>
      <c r="AJ651" s="20">
        <f>IF(OR(S651="",'報告書'!$C$4=""),"",IF(S651&amp;""='報告書'!$C$4&amp;"",COUNTIF($S$5:S651,'報告書'!$C$4),""))</f>
        <v/>
      </c>
      <c r="AK651" s="20" t="n"/>
      <c r="AL651" s="47" t="n"/>
      <c r="AM651" s="47" t="n"/>
      <c r="AN651" s="53" t="n"/>
      <c r="AO651" s="47" t="n"/>
      <c r="AP651" s="47" t="n"/>
      <c r="AQ651" s="47" t="n"/>
      <c r="AR651" s="47" t="n"/>
      <c r="AS651" s="47" t="n"/>
      <c r="AT651" s="47" t="n"/>
      <c r="AU651" s="47" t="n"/>
      <c r="AV651" s="47" t="n"/>
      <c r="AW651" s="52" t="n"/>
    </row>
    <row r="652">
      <c r="A652" s="48" t="n"/>
      <c r="B652" s="52" t="n"/>
      <c r="C652" s="47">
        <f>IF(B652="","",IFERROR(INDEX('隊員マスタ'!$B$5:$B$204,MATCH(B652&amp;"",'隊員マスタ'!$F$5:$F$204,0)),IF(AK652="","番号なし",AK652)))</f>
        <v/>
      </c>
      <c r="D652" s="47" t="n"/>
      <c r="E652" s="47" t="n"/>
      <c r="F652" s="47" t="n"/>
      <c r="G652" s="47" t="n"/>
      <c r="H652" s="47" t="n"/>
      <c r="I652" s="47" t="n"/>
      <c r="J652" s="47" t="n"/>
      <c r="K652" s="47" t="n"/>
      <c r="L652" s="47" t="n"/>
      <c r="M652" s="47" t="n"/>
      <c r="N652" s="47" t="n"/>
      <c r="O652" s="47" t="n"/>
      <c r="P652" s="47" t="n"/>
      <c r="Q652" s="47" t="n"/>
      <c r="R652" s="47" t="n"/>
      <c r="S652" s="47" t="n"/>
      <c r="T652" s="47" t="n"/>
      <c r="U652" s="53" t="n"/>
      <c r="V652" s="53" t="n"/>
      <c r="W652" s="47" t="n"/>
      <c r="X652" s="47" t="n"/>
      <c r="Y652" s="47" t="n"/>
      <c r="Z652" s="47" t="n"/>
      <c r="AA652" s="47" t="n"/>
      <c r="AB652" s="47" t="n"/>
      <c r="AC652" s="47" t="n"/>
      <c r="AD652" s="47" t="n"/>
      <c r="AE652" s="47" t="n"/>
      <c r="AF652" s="20">
        <f>IF(A652="","",YEAR(EDATE(A652,-3)))</f>
        <v/>
      </c>
      <c r="AG652" s="20">
        <f>IF(OR(B652="",'経歴簿'!$C$4=""),"",IF(B652&amp;""='経歴簿'!$C$4&amp;"",MAX($AG$4:AG651)+1,""))</f>
        <v/>
      </c>
      <c r="AH652" s="20">
        <f>IF(A652="",0,IF(AND(OR('CSV抽出'!$C$4="",A652&gt;='CSV抽出'!$C$4),OR('CSV抽出'!$C$5="",A652&lt;='CSV抽出'!$C$5),OR('CSV抽出'!$C$6="すべて",'CSV抽出'!$C$6="",D652='CSV抽出'!$C$6),OR('CSV抽出'!$C$7="",B652&amp;""='CSV抽出'!$C$7&amp;"")),1,0))</f>
        <v/>
      </c>
      <c r="AI652" s="20">
        <f>IF(AH652=1,SUM($AH$5:AH652),"")</f>
        <v/>
      </c>
      <c r="AJ652" s="20">
        <f>IF(OR(S652="",'報告書'!$C$4=""),"",IF(S652&amp;""='報告書'!$C$4&amp;"",COUNTIF($S$5:S652,'報告書'!$C$4),""))</f>
        <v/>
      </c>
      <c r="AK652" s="20" t="n"/>
      <c r="AL652" s="47" t="n"/>
      <c r="AM652" s="47" t="n"/>
      <c r="AN652" s="53" t="n"/>
      <c r="AO652" s="47" t="n"/>
      <c r="AP652" s="47" t="n"/>
      <c r="AQ652" s="47" t="n"/>
      <c r="AR652" s="47" t="n"/>
      <c r="AS652" s="47" t="n"/>
      <c r="AT652" s="47" t="n"/>
      <c r="AU652" s="47" t="n"/>
      <c r="AV652" s="47" t="n"/>
      <c r="AW652" s="52" t="n"/>
    </row>
    <row r="653">
      <c r="A653" s="48" t="n"/>
      <c r="B653" s="52" t="n"/>
      <c r="C653" s="47">
        <f>IF(B653="","",IFERROR(INDEX('隊員マスタ'!$B$5:$B$204,MATCH(B653&amp;"",'隊員マスタ'!$F$5:$F$204,0)),IF(AK653="","番号なし",AK653)))</f>
        <v/>
      </c>
      <c r="D653" s="47" t="n"/>
      <c r="E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  <c r="N653" s="47" t="n"/>
      <c r="O653" s="47" t="n"/>
      <c r="P653" s="47" t="n"/>
      <c r="Q653" s="47" t="n"/>
      <c r="R653" s="47" t="n"/>
      <c r="S653" s="47" t="n"/>
      <c r="T653" s="47" t="n"/>
      <c r="U653" s="53" t="n"/>
      <c r="V653" s="53" t="n"/>
      <c r="W653" s="47" t="n"/>
      <c r="X653" s="47" t="n"/>
      <c r="Y653" s="47" t="n"/>
      <c r="Z653" s="47" t="n"/>
      <c r="AA653" s="47" t="n"/>
      <c r="AB653" s="47" t="n"/>
      <c r="AC653" s="47" t="n"/>
      <c r="AD653" s="47" t="n"/>
      <c r="AE653" s="47" t="n"/>
      <c r="AF653" s="20">
        <f>IF(A653="","",YEAR(EDATE(A653,-3)))</f>
        <v/>
      </c>
      <c r="AG653" s="20">
        <f>IF(OR(B653="",'経歴簿'!$C$4=""),"",IF(B653&amp;""='経歴簿'!$C$4&amp;"",MAX($AG$4:AG652)+1,""))</f>
        <v/>
      </c>
      <c r="AH653" s="20">
        <f>IF(A653="",0,IF(AND(OR('CSV抽出'!$C$4="",A653&gt;='CSV抽出'!$C$4),OR('CSV抽出'!$C$5="",A653&lt;='CSV抽出'!$C$5),OR('CSV抽出'!$C$6="すべて",'CSV抽出'!$C$6="",D653='CSV抽出'!$C$6),OR('CSV抽出'!$C$7="",B653&amp;""='CSV抽出'!$C$7&amp;"")),1,0))</f>
        <v/>
      </c>
      <c r="AI653" s="20">
        <f>IF(AH653=1,SUM($AH$5:AH653),"")</f>
        <v/>
      </c>
      <c r="AJ653" s="20">
        <f>IF(OR(S653="",'報告書'!$C$4=""),"",IF(S653&amp;""='報告書'!$C$4&amp;"",COUNTIF($S$5:S653,'報告書'!$C$4),""))</f>
        <v/>
      </c>
      <c r="AK653" s="20" t="n"/>
      <c r="AL653" s="47" t="n"/>
      <c r="AM653" s="47" t="n"/>
      <c r="AN653" s="53" t="n"/>
      <c r="AO653" s="47" t="n"/>
      <c r="AP653" s="47" t="n"/>
      <c r="AQ653" s="47" t="n"/>
      <c r="AR653" s="47" t="n"/>
      <c r="AS653" s="47" t="n"/>
      <c r="AT653" s="47" t="n"/>
      <c r="AU653" s="47" t="n"/>
      <c r="AV653" s="47" t="n"/>
      <c r="AW653" s="52" t="n"/>
    </row>
    <row r="654">
      <c r="A654" s="48" t="n"/>
      <c r="B654" s="52" t="n"/>
      <c r="C654" s="47">
        <f>IF(B654="","",IFERROR(INDEX('隊員マスタ'!$B$5:$B$204,MATCH(B654&amp;"",'隊員マスタ'!$F$5:$F$204,0)),IF(AK654="","番号なし",AK654)))</f>
        <v/>
      </c>
      <c r="D654" s="47" t="n"/>
      <c r="E654" s="47" t="n"/>
      <c r="F654" s="47" t="n"/>
      <c r="G654" s="47" t="n"/>
      <c r="H654" s="47" t="n"/>
      <c r="I654" s="47" t="n"/>
      <c r="J654" s="47" t="n"/>
      <c r="K654" s="47" t="n"/>
      <c r="L654" s="47" t="n"/>
      <c r="M654" s="47" t="n"/>
      <c r="N654" s="47" t="n"/>
      <c r="O654" s="47" t="n"/>
      <c r="P654" s="47" t="n"/>
      <c r="Q654" s="47" t="n"/>
      <c r="R654" s="47" t="n"/>
      <c r="S654" s="47" t="n"/>
      <c r="T654" s="47" t="n"/>
      <c r="U654" s="53" t="n"/>
      <c r="V654" s="53" t="n"/>
      <c r="W654" s="47" t="n"/>
      <c r="X654" s="47" t="n"/>
      <c r="Y654" s="47" t="n"/>
      <c r="Z654" s="47" t="n"/>
      <c r="AA654" s="47" t="n"/>
      <c r="AB654" s="47" t="n"/>
      <c r="AC654" s="47" t="n"/>
      <c r="AD654" s="47" t="n"/>
      <c r="AE654" s="47" t="n"/>
      <c r="AF654" s="20">
        <f>IF(A654="","",YEAR(EDATE(A654,-3)))</f>
        <v/>
      </c>
      <c r="AG654" s="20">
        <f>IF(OR(B654="",'経歴簿'!$C$4=""),"",IF(B654&amp;""='経歴簿'!$C$4&amp;"",MAX($AG$4:AG653)+1,""))</f>
        <v/>
      </c>
      <c r="AH654" s="20">
        <f>IF(A654="",0,IF(AND(OR('CSV抽出'!$C$4="",A654&gt;='CSV抽出'!$C$4),OR('CSV抽出'!$C$5="",A654&lt;='CSV抽出'!$C$5),OR('CSV抽出'!$C$6="すべて",'CSV抽出'!$C$6="",D654='CSV抽出'!$C$6),OR('CSV抽出'!$C$7="",B654&amp;""='CSV抽出'!$C$7&amp;"")),1,0))</f>
        <v/>
      </c>
      <c r="AI654" s="20">
        <f>IF(AH654=1,SUM($AH$5:AH654),"")</f>
        <v/>
      </c>
      <c r="AJ654" s="20">
        <f>IF(OR(S654="",'報告書'!$C$4=""),"",IF(S654&amp;""='報告書'!$C$4&amp;"",COUNTIF($S$5:S654,'報告書'!$C$4),""))</f>
        <v/>
      </c>
      <c r="AK654" s="20" t="n"/>
      <c r="AL654" s="47" t="n"/>
      <c r="AM654" s="47" t="n"/>
      <c r="AN654" s="53" t="n"/>
      <c r="AO654" s="47" t="n"/>
      <c r="AP654" s="47" t="n"/>
      <c r="AQ654" s="47" t="n"/>
      <c r="AR654" s="47" t="n"/>
      <c r="AS654" s="47" t="n"/>
      <c r="AT654" s="47" t="n"/>
      <c r="AU654" s="47" t="n"/>
      <c r="AV654" s="47" t="n"/>
      <c r="AW654" s="52" t="n"/>
    </row>
    <row r="655">
      <c r="A655" s="48" t="n"/>
      <c r="B655" s="52" t="n"/>
      <c r="C655" s="47">
        <f>IF(B655="","",IFERROR(INDEX('隊員マスタ'!$B$5:$B$204,MATCH(B655&amp;"",'隊員マスタ'!$F$5:$F$204,0)),IF(AK655="","番号なし",AK655)))</f>
        <v/>
      </c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  <c r="N655" s="47" t="n"/>
      <c r="O655" s="47" t="n"/>
      <c r="P655" s="47" t="n"/>
      <c r="Q655" s="47" t="n"/>
      <c r="R655" s="47" t="n"/>
      <c r="S655" s="47" t="n"/>
      <c r="T655" s="47" t="n"/>
      <c r="U655" s="53" t="n"/>
      <c r="V655" s="53" t="n"/>
      <c r="W655" s="47" t="n"/>
      <c r="X655" s="47" t="n"/>
      <c r="Y655" s="47" t="n"/>
      <c r="Z655" s="47" t="n"/>
      <c r="AA655" s="47" t="n"/>
      <c r="AB655" s="47" t="n"/>
      <c r="AC655" s="47" t="n"/>
      <c r="AD655" s="47" t="n"/>
      <c r="AE655" s="47" t="n"/>
      <c r="AF655" s="20">
        <f>IF(A655="","",YEAR(EDATE(A655,-3)))</f>
        <v/>
      </c>
      <c r="AG655" s="20">
        <f>IF(OR(B655="",'経歴簿'!$C$4=""),"",IF(B655&amp;""='経歴簿'!$C$4&amp;"",MAX($AG$4:AG654)+1,""))</f>
        <v/>
      </c>
      <c r="AH655" s="20">
        <f>IF(A655="",0,IF(AND(OR('CSV抽出'!$C$4="",A655&gt;='CSV抽出'!$C$4),OR('CSV抽出'!$C$5="",A655&lt;='CSV抽出'!$C$5),OR('CSV抽出'!$C$6="すべて",'CSV抽出'!$C$6="",D655='CSV抽出'!$C$6),OR('CSV抽出'!$C$7="",B655&amp;""='CSV抽出'!$C$7&amp;"")),1,0))</f>
        <v/>
      </c>
      <c r="AI655" s="20">
        <f>IF(AH655=1,SUM($AH$5:AH655),"")</f>
        <v/>
      </c>
      <c r="AJ655" s="20">
        <f>IF(OR(S655="",'報告書'!$C$4=""),"",IF(S655&amp;""='報告書'!$C$4&amp;"",COUNTIF($S$5:S655,'報告書'!$C$4),""))</f>
        <v/>
      </c>
      <c r="AK655" s="20" t="n"/>
      <c r="AL655" s="47" t="n"/>
      <c r="AM655" s="47" t="n"/>
      <c r="AN655" s="53" t="n"/>
      <c r="AO655" s="47" t="n"/>
      <c r="AP655" s="47" t="n"/>
      <c r="AQ655" s="47" t="n"/>
      <c r="AR655" s="47" t="n"/>
      <c r="AS655" s="47" t="n"/>
      <c r="AT655" s="47" t="n"/>
      <c r="AU655" s="47" t="n"/>
      <c r="AV655" s="47" t="n"/>
      <c r="AW655" s="52" t="n"/>
    </row>
    <row r="656">
      <c r="A656" s="48" t="n"/>
      <c r="B656" s="52" t="n"/>
      <c r="C656" s="47">
        <f>IF(B656="","",IFERROR(INDEX('隊員マスタ'!$B$5:$B$204,MATCH(B656&amp;"",'隊員マスタ'!$F$5:$F$204,0)),IF(AK656="","番号なし",AK656)))</f>
        <v/>
      </c>
      <c r="D656" s="47" t="n"/>
      <c r="E656" s="47" t="n"/>
      <c r="F656" s="47" t="n"/>
      <c r="G656" s="47" t="n"/>
      <c r="H656" s="47" t="n"/>
      <c r="I656" s="47" t="n"/>
      <c r="J656" s="47" t="n"/>
      <c r="K656" s="47" t="n"/>
      <c r="L656" s="47" t="n"/>
      <c r="M656" s="47" t="n"/>
      <c r="N656" s="47" t="n"/>
      <c r="O656" s="47" t="n"/>
      <c r="P656" s="47" t="n"/>
      <c r="Q656" s="47" t="n"/>
      <c r="R656" s="47" t="n"/>
      <c r="S656" s="47" t="n"/>
      <c r="T656" s="47" t="n"/>
      <c r="U656" s="53" t="n"/>
      <c r="V656" s="53" t="n"/>
      <c r="W656" s="47" t="n"/>
      <c r="X656" s="47" t="n"/>
      <c r="Y656" s="47" t="n"/>
      <c r="Z656" s="47" t="n"/>
      <c r="AA656" s="47" t="n"/>
      <c r="AB656" s="47" t="n"/>
      <c r="AC656" s="47" t="n"/>
      <c r="AD656" s="47" t="n"/>
      <c r="AE656" s="47" t="n"/>
      <c r="AF656" s="20">
        <f>IF(A656="","",YEAR(EDATE(A656,-3)))</f>
        <v/>
      </c>
      <c r="AG656" s="20">
        <f>IF(OR(B656="",'経歴簿'!$C$4=""),"",IF(B656&amp;""='経歴簿'!$C$4&amp;"",MAX($AG$4:AG655)+1,""))</f>
        <v/>
      </c>
      <c r="AH656" s="20">
        <f>IF(A656="",0,IF(AND(OR('CSV抽出'!$C$4="",A656&gt;='CSV抽出'!$C$4),OR('CSV抽出'!$C$5="",A656&lt;='CSV抽出'!$C$5),OR('CSV抽出'!$C$6="すべて",'CSV抽出'!$C$6="",D656='CSV抽出'!$C$6),OR('CSV抽出'!$C$7="",B656&amp;""='CSV抽出'!$C$7&amp;"")),1,0))</f>
        <v/>
      </c>
      <c r="AI656" s="20">
        <f>IF(AH656=1,SUM($AH$5:AH656),"")</f>
        <v/>
      </c>
      <c r="AJ656" s="20">
        <f>IF(OR(S656="",'報告書'!$C$4=""),"",IF(S656&amp;""='報告書'!$C$4&amp;"",COUNTIF($S$5:S656,'報告書'!$C$4),""))</f>
        <v/>
      </c>
      <c r="AK656" s="20" t="n"/>
      <c r="AL656" s="47" t="n"/>
      <c r="AM656" s="47" t="n"/>
      <c r="AN656" s="53" t="n"/>
      <c r="AO656" s="47" t="n"/>
      <c r="AP656" s="47" t="n"/>
      <c r="AQ656" s="47" t="n"/>
      <c r="AR656" s="47" t="n"/>
      <c r="AS656" s="47" t="n"/>
      <c r="AT656" s="47" t="n"/>
      <c r="AU656" s="47" t="n"/>
      <c r="AV656" s="47" t="n"/>
      <c r="AW656" s="52" t="n"/>
    </row>
    <row r="657">
      <c r="A657" s="48" t="n"/>
      <c r="B657" s="52" t="n"/>
      <c r="C657" s="47">
        <f>IF(B657="","",IFERROR(INDEX('隊員マスタ'!$B$5:$B$204,MATCH(B657&amp;"",'隊員マスタ'!$F$5:$F$204,0)),IF(AK657="","番号なし",AK657)))</f>
        <v/>
      </c>
      <c r="D657" s="47" t="n"/>
      <c r="E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  <c r="N657" s="47" t="n"/>
      <c r="O657" s="47" t="n"/>
      <c r="P657" s="47" t="n"/>
      <c r="Q657" s="47" t="n"/>
      <c r="R657" s="47" t="n"/>
      <c r="S657" s="47" t="n"/>
      <c r="T657" s="47" t="n"/>
      <c r="U657" s="53" t="n"/>
      <c r="V657" s="53" t="n"/>
      <c r="W657" s="47" t="n"/>
      <c r="X657" s="47" t="n"/>
      <c r="Y657" s="47" t="n"/>
      <c r="Z657" s="47" t="n"/>
      <c r="AA657" s="47" t="n"/>
      <c r="AB657" s="47" t="n"/>
      <c r="AC657" s="47" t="n"/>
      <c r="AD657" s="47" t="n"/>
      <c r="AE657" s="47" t="n"/>
      <c r="AF657" s="20">
        <f>IF(A657="","",YEAR(EDATE(A657,-3)))</f>
        <v/>
      </c>
      <c r="AG657" s="20">
        <f>IF(OR(B657="",'経歴簿'!$C$4=""),"",IF(B657&amp;""='経歴簿'!$C$4&amp;"",MAX($AG$4:AG656)+1,""))</f>
        <v/>
      </c>
      <c r="AH657" s="20">
        <f>IF(A657="",0,IF(AND(OR('CSV抽出'!$C$4="",A657&gt;='CSV抽出'!$C$4),OR('CSV抽出'!$C$5="",A657&lt;='CSV抽出'!$C$5),OR('CSV抽出'!$C$6="すべて",'CSV抽出'!$C$6="",D657='CSV抽出'!$C$6),OR('CSV抽出'!$C$7="",B657&amp;""='CSV抽出'!$C$7&amp;"")),1,0))</f>
        <v/>
      </c>
      <c r="AI657" s="20">
        <f>IF(AH657=1,SUM($AH$5:AH657),"")</f>
        <v/>
      </c>
      <c r="AJ657" s="20">
        <f>IF(OR(S657="",'報告書'!$C$4=""),"",IF(S657&amp;""='報告書'!$C$4&amp;"",COUNTIF($S$5:S657,'報告書'!$C$4),""))</f>
        <v/>
      </c>
      <c r="AK657" s="20" t="n"/>
      <c r="AL657" s="47" t="n"/>
      <c r="AM657" s="47" t="n"/>
      <c r="AN657" s="53" t="n"/>
      <c r="AO657" s="47" t="n"/>
      <c r="AP657" s="47" t="n"/>
      <c r="AQ657" s="47" t="n"/>
      <c r="AR657" s="47" t="n"/>
      <c r="AS657" s="47" t="n"/>
      <c r="AT657" s="47" t="n"/>
      <c r="AU657" s="47" t="n"/>
      <c r="AV657" s="47" t="n"/>
      <c r="AW657" s="52" t="n"/>
    </row>
    <row r="658">
      <c r="A658" s="48" t="n"/>
      <c r="B658" s="52" t="n"/>
      <c r="C658" s="47">
        <f>IF(B658="","",IFERROR(INDEX('隊員マスタ'!$B$5:$B$204,MATCH(B658&amp;"",'隊員マスタ'!$F$5:$F$204,0)),IF(AK658="","番号なし",AK658)))</f>
        <v/>
      </c>
      <c r="D658" s="47" t="n"/>
      <c r="E658" s="47" t="n"/>
      <c r="F658" s="47" t="n"/>
      <c r="G658" s="47" t="n"/>
      <c r="H658" s="47" t="n"/>
      <c r="I658" s="47" t="n"/>
      <c r="J658" s="47" t="n"/>
      <c r="K658" s="47" t="n"/>
      <c r="L658" s="47" t="n"/>
      <c r="M658" s="47" t="n"/>
      <c r="N658" s="47" t="n"/>
      <c r="O658" s="47" t="n"/>
      <c r="P658" s="47" t="n"/>
      <c r="Q658" s="47" t="n"/>
      <c r="R658" s="47" t="n"/>
      <c r="S658" s="47" t="n"/>
      <c r="T658" s="47" t="n"/>
      <c r="U658" s="53" t="n"/>
      <c r="V658" s="53" t="n"/>
      <c r="W658" s="47" t="n"/>
      <c r="X658" s="47" t="n"/>
      <c r="Y658" s="47" t="n"/>
      <c r="Z658" s="47" t="n"/>
      <c r="AA658" s="47" t="n"/>
      <c r="AB658" s="47" t="n"/>
      <c r="AC658" s="47" t="n"/>
      <c r="AD658" s="47" t="n"/>
      <c r="AE658" s="47" t="n"/>
      <c r="AF658" s="20">
        <f>IF(A658="","",YEAR(EDATE(A658,-3)))</f>
        <v/>
      </c>
      <c r="AG658" s="20">
        <f>IF(OR(B658="",'経歴簿'!$C$4=""),"",IF(B658&amp;""='経歴簿'!$C$4&amp;"",MAX($AG$4:AG657)+1,""))</f>
        <v/>
      </c>
      <c r="AH658" s="20">
        <f>IF(A658="",0,IF(AND(OR('CSV抽出'!$C$4="",A658&gt;='CSV抽出'!$C$4),OR('CSV抽出'!$C$5="",A658&lt;='CSV抽出'!$C$5),OR('CSV抽出'!$C$6="すべて",'CSV抽出'!$C$6="",D658='CSV抽出'!$C$6),OR('CSV抽出'!$C$7="",B658&amp;""='CSV抽出'!$C$7&amp;"")),1,0))</f>
        <v/>
      </c>
      <c r="AI658" s="20">
        <f>IF(AH658=1,SUM($AH$5:AH658),"")</f>
        <v/>
      </c>
      <c r="AJ658" s="20">
        <f>IF(OR(S658="",'報告書'!$C$4=""),"",IF(S658&amp;""='報告書'!$C$4&amp;"",COUNTIF($S$5:S658,'報告書'!$C$4),""))</f>
        <v/>
      </c>
      <c r="AK658" s="20" t="n"/>
      <c r="AL658" s="47" t="n"/>
      <c r="AM658" s="47" t="n"/>
      <c r="AN658" s="53" t="n"/>
      <c r="AO658" s="47" t="n"/>
      <c r="AP658" s="47" t="n"/>
      <c r="AQ658" s="47" t="n"/>
      <c r="AR658" s="47" t="n"/>
      <c r="AS658" s="47" t="n"/>
      <c r="AT658" s="47" t="n"/>
      <c r="AU658" s="47" t="n"/>
      <c r="AV658" s="47" t="n"/>
      <c r="AW658" s="52" t="n"/>
    </row>
    <row r="659">
      <c r="A659" s="48" t="n"/>
      <c r="B659" s="52" t="n"/>
      <c r="C659" s="47">
        <f>IF(B659="","",IFERROR(INDEX('隊員マスタ'!$B$5:$B$204,MATCH(B659&amp;"",'隊員マスタ'!$F$5:$F$204,0)),IF(AK659="","番号なし",AK659)))</f>
        <v/>
      </c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  <c r="N659" s="47" t="n"/>
      <c r="O659" s="47" t="n"/>
      <c r="P659" s="47" t="n"/>
      <c r="Q659" s="47" t="n"/>
      <c r="R659" s="47" t="n"/>
      <c r="S659" s="47" t="n"/>
      <c r="T659" s="47" t="n"/>
      <c r="U659" s="53" t="n"/>
      <c r="V659" s="53" t="n"/>
      <c r="W659" s="47" t="n"/>
      <c r="X659" s="47" t="n"/>
      <c r="Y659" s="47" t="n"/>
      <c r="Z659" s="47" t="n"/>
      <c r="AA659" s="47" t="n"/>
      <c r="AB659" s="47" t="n"/>
      <c r="AC659" s="47" t="n"/>
      <c r="AD659" s="47" t="n"/>
      <c r="AE659" s="47" t="n"/>
      <c r="AF659" s="20">
        <f>IF(A659="","",YEAR(EDATE(A659,-3)))</f>
        <v/>
      </c>
      <c r="AG659" s="20">
        <f>IF(OR(B659="",'経歴簿'!$C$4=""),"",IF(B659&amp;""='経歴簿'!$C$4&amp;"",MAX($AG$4:AG658)+1,""))</f>
        <v/>
      </c>
      <c r="AH659" s="20">
        <f>IF(A659="",0,IF(AND(OR('CSV抽出'!$C$4="",A659&gt;='CSV抽出'!$C$4),OR('CSV抽出'!$C$5="",A659&lt;='CSV抽出'!$C$5),OR('CSV抽出'!$C$6="すべて",'CSV抽出'!$C$6="",D659='CSV抽出'!$C$6),OR('CSV抽出'!$C$7="",B659&amp;""='CSV抽出'!$C$7&amp;"")),1,0))</f>
        <v/>
      </c>
      <c r="AI659" s="20">
        <f>IF(AH659=1,SUM($AH$5:AH659),"")</f>
        <v/>
      </c>
      <c r="AJ659" s="20">
        <f>IF(OR(S659="",'報告書'!$C$4=""),"",IF(S659&amp;""='報告書'!$C$4&amp;"",COUNTIF($S$5:S659,'報告書'!$C$4),""))</f>
        <v/>
      </c>
      <c r="AK659" s="20" t="n"/>
      <c r="AL659" s="47" t="n"/>
      <c r="AM659" s="47" t="n"/>
      <c r="AN659" s="53" t="n"/>
      <c r="AO659" s="47" t="n"/>
      <c r="AP659" s="47" t="n"/>
      <c r="AQ659" s="47" t="n"/>
      <c r="AR659" s="47" t="n"/>
      <c r="AS659" s="47" t="n"/>
      <c r="AT659" s="47" t="n"/>
      <c r="AU659" s="47" t="n"/>
      <c r="AV659" s="47" t="n"/>
      <c r="AW659" s="52" t="n"/>
    </row>
    <row r="660">
      <c r="A660" s="48" t="n"/>
      <c r="B660" s="52" t="n"/>
      <c r="C660" s="47">
        <f>IF(B660="","",IFERROR(INDEX('隊員マスタ'!$B$5:$B$204,MATCH(B660&amp;"",'隊員マスタ'!$F$5:$F$204,0)),IF(AK660="","番号なし",AK660)))</f>
        <v/>
      </c>
      <c r="D660" s="47" t="n"/>
      <c r="E660" s="47" t="n"/>
      <c r="F660" s="47" t="n"/>
      <c r="G660" s="47" t="n"/>
      <c r="H660" s="47" t="n"/>
      <c r="I660" s="47" t="n"/>
      <c r="J660" s="47" t="n"/>
      <c r="K660" s="47" t="n"/>
      <c r="L660" s="47" t="n"/>
      <c r="M660" s="47" t="n"/>
      <c r="N660" s="47" t="n"/>
      <c r="O660" s="47" t="n"/>
      <c r="P660" s="47" t="n"/>
      <c r="Q660" s="47" t="n"/>
      <c r="R660" s="47" t="n"/>
      <c r="S660" s="47" t="n"/>
      <c r="T660" s="47" t="n"/>
      <c r="U660" s="53" t="n"/>
      <c r="V660" s="53" t="n"/>
      <c r="W660" s="47" t="n"/>
      <c r="X660" s="47" t="n"/>
      <c r="Y660" s="47" t="n"/>
      <c r="Z660" s="47" t="n"/>
      <c r="AA660" s="47" t="n"/>
      <c r="AB660" s="47" t="n"/>
      <c r="AC660" s="47" t="n"/>
      <c r="AD660" s="47" t="n"/>
      <c r="AE660" s="47" t="n"/>
      <c r="AF660" s="20">
        <f>IF(A660="","",YEAR(EDATE(A660,-3)))</f>
        <v/>
      </c>
      <c r="AG660" s="20">
        <f>IF(OR(B660="",'経歴簿'!$C$4=""),"",IF(B660&amp;""='経歴簿'!$C$4&amp;"",MAX($AG$4:AG659)+1,""))</f>
        <v/>
      </c>
      <c r="AH660" s="20">
        <f>IF(A660="",0,IF(AND(OR('CSV抽出'!$C$4="",A660&gt;='CSV抽出'!$C$4),OR('CSV抽出'!$C$5="",A660&lt;='CSV抽出'!$C$5),OR('CSV抽出'!$C$6="すべて",'CSV抽出'!$C$6="",D660='CSV抽出'!$C$6),OR('CSV抽出'!$C$7="",B660&amp;""='CSV抽出'!$C$7&amp;"")),1,0))</f>
        <v/>
      </c>
      <c r="AI660" s="20">
        <f>IF(AH660=1,SUM($AH$5:AH660),"")</f>
        <v/>
      </c>
      <c r="AJ660" s="20">
        <f>IF(OR(S660="",'報告書'!$C$4=""),"",IF(S660&amp;""='報告書'!$C$4&amp;"",COUNTIF($S$5:S660,'報告書'!$C$4),""))</f>
        <v/>
      </c>
      <c r="AK660" s="20" t="n"/>
      <c r="AL660" s="47" t="n"/>
      <c r="AM660" s="47" t="n"/>
      <c r="AN660" s="53" t="n"/>
      <c r="AO660" s="47" t="n"/>
      <c r="AP660" s="47" t="n"/>
      <c r="AQ660" s="47" t="n"/>
      <c r="AR660" s="47" t="n"/>
      <c r="AS660" s="47" t="n"/>
      <c r="AT660" s="47" t="n"/>
      <c r="AU660" s="47" t="n"/>
      <c r="AV660" s="47" t="n"/>
      <c r="AW660" s="52" t="n"/>
    </row>
    <row r="661">
      <c r="A661" s="48" t="n"/>
      <c r="B661" s="52" t="n"/>
      <c r="C661" s="47">
        <f>IF(B661="","",IFERROR(INDEX('隊員マスタ'!$B$5:$B$204,MATCH(B661&amp;"",'隊員マスタ'!$F$5:$F$204,0)),IF(AK661="","番号なし",AK661)))</f>
        <v/>
      </c>
      <c r="D661" s="47" t="n"/>
      <c r="E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  <c r="N661" s="47" t="n"/>
      <c r="O661" s="47" t="n"/>
      <c r="P661" s="47" t="n"/>
      <c r="Q661" s="47" t="n"/>
      <c r="R661" s="47" t="n"/>
      <c r="S661" s="47" t="n"/>
      <c r="T661" s="47" t="n"/>
      <c r="U661" s="53" t="n"/>
      <c r="V661" s="53" t="n"/>
      <c r="W661" s="47" t="n"/>
      <c r="X661" s="47" t="n"/>
      <c r="Y661" s="47" t="n"/>
      <c r="Z661" s="47" t="n"/>
      <c r="AA661" s="47" t="n"/>
      <c r="AB661" s="47" t="n"/>
      <c r="AC661" s="47" t="n"/>
      <c r="AD661" s="47" t="n"/>
      <c r="AE661" s="47" t="n"/>
      <c r="AF661" s="20">
        <f>IF(A661="","",YEAR(EDATE(A661,-3)))</f>
        <v/>
      </c>
      <c r="AG661" s="20">
        <f>IF(OR(B661="",'経歴簿'!$C$4=""),"",IF(B661&amp;""='経歴簿'!$C$4&amp;"",MAX($AG$4:AG660)+1,""))</f>
        <v/>
      </c>
      <c r="AH661" s="20">
        <f>IF(A661="",0,IF(AND(OR('CSV抽出'!$C$4="",A661&gt;='CSV抽出'!$C$4),OR('CSV抽出'!$C$5="",A661&lt;='CSV抽出'!$C$5),OR('CSV抽出'!$C$6="すべて",'CSV抽出'!$C$6="",D661='CSV抽出'!$C$6),OR('CSV抽出'!$C$7="",B661&amp;""='CSV抽出'!$C$7&amp;"")),1,0))</f>
        <v/>
      </c>
      <c r="AI661" s="20">
        <f>IF(AH661=1,SUM($AH$5:AH661),"")</f>
        <v/>
      </c>
      <c r="AJ661" s="20">
        <f>IF(OR(S661="",'報告書'!$C$4=""),"",IF(S661&amp;""='報告書'!$C$4&amp;"",COUNTIF($S$5:S661,'報告書'!$C$4),""))</f>
        <v/>
      </c>
      <c r="AK661" s="20" t="n"/>
      <c r="AL661" s="47" t="n"/>
      <c r="AM661" s="47" t="n"/>
      <c r="AN661" s="53" t="n"/>
      <c r="AO661" s="47" t="n"/>
      <c r="AP661" s="47" t="n"/>
      <c r="AQ661" s="47" t="n"/>
      <c r="AR661" s="47" t="n"/>
      <c r="AS661" s="47" t="n"/>
      <c r="AT661" s="47" t="n"/>
      <c r="AU661" s="47" t="n"/>
      <c r="AV661" s="47" t="n"/>
      <c r="AW661" s="52" t="n"/>
    </row>
    <row r="662">
      <c r="A662" s="48" t="n"/>
      <c r="B662" s="52" t="n"/>
      <c r="C662" s="47">
        <f>IF(B662="","",IFERROR(INDEX('隊員マスタ'!$B$5:$B$204,MATCH(B662&amp;"",'隊員マスタ'!$F$5:$F$204,0)),IF(AK662="","番号なし",AK662)))</f>
        <v/>
      </c>
      <c r="D662" s="47" t="n"/>
      <c r="E662" s="47" t="n"/>
      <c r="F662" s="47" t="n"/>
      <c r="G662" s="47" t="n"/>
      <c r="H662" s="47" t="n"/>
      <c r="I662" s="47" t="n"/>
      <c r="J662" s="47" t="n"/>
      <c r="K662" s="47" t="n"/>
      <c r="L662" s="47" t="n"/>
      <c r="M662" s="47" t="n"/>
      <c r="N662" s="47" t="n"/>
      <c r="O662" s="47" t="n"/>
      <c r="P662" s="47" t="n"/>
      <c r="Q662" s="47" t="n"/>
      <c r="R662" s="47" t="n"/>
      <c r="S662" s="47" t="n"/>
      <c r="T662" s="47" t="n"/>
      <c r="U662" s="53" t="n"/>
      <c r="V662" s="53" t="n"/>
      <c r="W662" s="47" t="n"/>
      <c r="X662" s="47" t="n"/>
      <c r="Y662" s="47" t="n"/>
      <c r="Z662" s="47" t="n"/>
      <c r="AA662" s="47" t="n"/>
      <c r="AB662" s="47" t="n"/>
      <c r="AC662" s="47" t="n"/>
      <c r="AD662" s="47" t="n"/>
      <c r="AE662" s="47" t="n"/>
      <c r="AF662" s="20">
        <f>IF(A662="","",YEAR(EDATE(A662,-3)))</f>
        <v/>
      </c>
      <c r="AG662" s="20">
        <f>IF(OR(B662="",'経歴簿'!$C$4=""),"",IF(B662&amp;""='経歴簿'!$C$4&amp;"",MAX($AG$4:AG661)+1,""))</f>
        <v/>
      </c>
      <c r="AH662" s="20">
        <f>IF(A662="",0,IF(AND(OR('CSV抽出'!$C$4="",A662&gt;='CSV抽出'!$C$4),OR('CSV抽出'!$C$5="",A662&lt;='CSV抽出'!$C$5),OR('CSV抽出'!$C$6="すべて",'CSV抽出'!$C$6="",D662='CSV抽出'!$C$6),OR('CSV抽出'!$C$7="",B662&amp;""='CSV抽出'!$C$7&amp;"")),1,0))</f>
        <v/>
      </c>
      <c r="AI662" s="20">
        <f>IF(AH662=1,SUM($AH$5:AH662),"")</f>
        <v/>
      </c>
      <c r="AJ662" s="20">
        <f>IF(OR(S662="",'報告書'!$C$4=""),"",IF(S662&amp;""='報告書'!$C$4&amp;"",COUNTIF($S$5:S662,'報告書'!$C$4),""))</f>
        <v/>
      </c>
      <c r="AK662" s="20" t="n"/>
      <c r="AL662" s="47" t="n"/>
      <c r="AM662" s="47" t="n"/>
      <c r="AN662" s="53" t="n"/>
      <c r="AO662" s="47" t="n"/>
      <c r="AP662" s="47" t="n"/>
      <c r="AQ662" s="47" t="n"/>
      <c r="AR662" s="47" t="n"/>
      <c r="AS662" s="47" t="n"/>
      <c r="AT662" s="47" t="n"/>
      <c r="AU662" s="47" t="n"/>
      <c r="AV662" s="47" t="n"/>
      <c r="AW662" s="52" t="n"/>
    </row>
    <row r="663">
      <c r="A663" s="48" t="n"/>
      <c r="B663" s="52" t="n"/>
      <c r="C663" s="47">
        <f>IF(B663="","",IFERROR(INDEX('隊員マスタ'!$B$5:$B$204,MATCH(B663&amp;"",'隊員マスタ'!$F$5:$F$204,0)),IF(AK663="","番号なし",AK663)))</f>
        <v/>
      </c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  <c r="N663" s="47" t="n"/>
      <c r="O663" s="47" t="n"/>
      <c r="P663" s="47" t="n"/>
      <c r="Q663" s="47" t="n"/>
      <c r="R663" s="47" t="n"/>
      <c r="S663" s="47" t="n"/>
      <c r="T663" s="47" t="n"/>
      <c r="U663" s="53" t="n"/>
      <c r="V663" s="53" t="n"/>
      <c r="W663" s="47" t="n"/>
      <c r="X663" s="47" t="n"/>
      <c r="Y663" s="47" t="n"/>
      <c r="Z663" s="47" t="n"/>
      <c r="AA663" s="47" t="n"/>
      <c r="AB663" s="47" t="n"/>
      <c r="AC663" s="47" t="n"/>
      <c r="AD663" s="47" t="n"/>
      <c r="AE663" s="47" t="n"/>
      <c r="AF663" s="20">
        <f>IF(A663="","",YEAR(EDATE(A663,-3)))</f>
        <v/>
      </c>
      <c r="AG663" s="20">
        <f>IF(OR(B663="",'経歴簿'!$C$4=""),"",IF(B663&amp;""='経歴簿'!$C$4&amp;"",MAX($AG$4:AG662)+1,""))</f>
        <v/>
      </c>
      <c r="AH663" s="20">
        <f>IF(A663="",0,IF(AND(OR('CSV抽出'!$C$4="",A663&gt;='CSV抽出'!$C$4),OR('CSV抽出'!$C$5="",A663&lt;='CSV抽出'!$C$5),OR('CSV抽出'!$C$6="すべて",'CSV抽出'!$C$6="",D663='CSV抽出'!$C$6),OR('CSV抽出'!$C$7="",B663&amp;""='CSV抽出'!$C$7&amp;"")),1,0))</f>
        <v/>
      </c>
      <c r="AI663" s="20">
        <f>IF(AH663=1,SUM($AH$5:AH663),"")</f>
        <v/>
      </c>
      <c r="AJ663" s="20">
        <f>IF(OR(S663="",'報告書'!$C$4=""),"",IF(S663&amp;""='報告書'!$C$4&amp;"",COUNTIF($S$5:S663,'報告書'!$C$4),""))</f>
        <v/>
      </c>
      <c r="AK663" s="20" t="n"/>
      <c r="AL663" s="47" t="n"/>
      <c r="AM663" s="47" t="n"/>
      <c r="AN663" s="53" t="n"/>
      <c r="AO663" s="47" t="n"/>
      <c r="AP663" s="47" t="n"/>
      <c r="AQ663" s="47" t="n"/>
      <c r="AR663" s="47" t="n"/>
      <c r="AS663" s="47" t="n"/>
      <c r="AT663" s="47" t="n"/>
      <c r="AU663" s="47" t="n"/>
      <c r="AV663" s="47" t="n"/>
      <c r="AW663" s="52" t="n"/>
    </row>
    <row r="664">
      <c r="A664" s="48" t="n"/>
      <c r="B664" s="52" t="n"/>
      <c r="C664" s="47">
        <f>IF(B664="","",IFERROR(INDEX('隊員マスタ'!$B$5:$B$204,MATCH(B664&amp;"",'隊員マスタ'!$F$5:$F$204,0)),IF(AK664="","番号なし",AK664)))</f>
        <v/>
      </c>
      <c r="D664" s="47" t="n"/>
      <c r="E664" s="47" t="n"/>
      <c r="F664" s="47" t="n"/>
      <c r="G664" s="47" t="n"/>
      <c r="H664" s="47" t="n"/>
      <c r="I664" s="47" t="n"/>
      <c r="J664" s="47" t="n"/>
      <c r="K664" s="47" t="n"/>
      <c r="L664" s="47" t="n"/>
      <c r="M664" s="47" t="n"/>
      <c r="N664" s="47" t="n"/>
      <c r="O664" s="47" t="n"/>
      <c r="P664" s="47" t="n"/>
      <c r="Q664" s="47" t="n"/>
      <c r="R664" s="47" t="n"/>
      <c r="S664" s="47" t="n"/>
      <c r="T664" s="47" t="n"/>
      <c r="U664" s="53" t="n"/>
      <c r="V664" s="53" t="n"/>
      <c r="W664" s="47" t="n"/>
      <c r="X664" s="47" t="n"/>
      <c r="Y664" s="47" t="n"/>
      <c r="Z664" s="47" t="n"/>
      <c r="AA664" s="47" t="n"/>
      <c r="AB664" s="47" t="n"/>
      <c r="AC664" s="47" t="n"/>
      <c r="AD664" s="47" t="n"/>
      <c r="AE664" s="47" t="n"/>
      <c r="AF664" s="20">
        <f>IF(A664="","",YEAR(EDATE(A664,-3)))</f>
        <v/>
      </c>
      <c r="AG664" s="20">
        <f>IF(OR(B664="",'経歴簿'!$C$4=""),"",IF(B664&amp;""='経歴簿'!$C$4&amp;"",MAX($AG$4:AG663)+1,""))</f>
        <v/>
      </c>
      <c r="AH664" s="20">
        <f>IF(A664="",0,IF(AND(OR('CSV抽出'!$C$4="",A664&gt;='CSV抽出'!$C$4),OR('CSV抽出'!$C$5="",A664&lt;='CSV抽出'!$C$5),OR('CSV抽出'!$C$6="すべて",'CSV抽出'!$C$6="",D664='CSV抽出'!$C$6),OR('CSV抽出'!$C$7="",B664&amp;""='CSV抽出'!$C$7&amp;"")),1,0))</f>
        <v/>
      </c>
      <c r="AI664" s="20">
        <f>IF(AH664=1,SUM($AH$5:AH664),"")</f>
        <v/>
      </c>
      <c r="AJ664" s="20">
        <f>IF(OR(S664="",'報告書'!$C$4=""),"",IF(S664&amp;""='報告書'!$C$4&amp;"",COUNTIF($S$5:S664,'報告書'!$C$4),""))</f>
        <v/>
      </c>
      <c r="AK664" s="20" t="n"/>
      <c r="AL664" s="47" t="n"/>
      <c r="AM664" s="47" t="n"/>
      <c r="AN664" s="53" t="n"/>
      <c r="AO664" s="47" t="n"/>
      <c r="AP664" s="47" t="n"/>
      <c r="AQ664" s="47" t="n"/>
      <c r="AR664" s="47" t="n"/>
      <c r="AS664" s="47" t="n"/>
      <c r="AT664" s="47" t="n"/>
      <c r="AU664" s="47" t="n"/>
      <c r="AV664" s="47" t="n"/>
      <c r="AW664" s="52" t="n"/>
    </row>
    <row r="665">
      <c r="A665" s="48" t="n"/>
      <c r="B665" s="52" t="n"/>
      <c r="C665" s="47">
        <f>IF(B665="","",IFERROR(INDEX('隊員マスタ'!$B$5:$B$204,MATCH(B665&amp;"",'隊員マスタ'!$F$5:$F$204,0)),IF(AK665="","番号なし",AK665)))</f>
        <v/>
      </c>
      <c r="D665" s="47" t="n"/>
      <c r="E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  <c r="N665" s="47" t="n"/>
      <c r="O665" s="47" t="n"/>
      <c r="P665" s="47" t="n"/>
      <c r="Q665" s="47" t="n"/>
      <c r="R665" s="47" t="n"/>
      <c r="S665" s="47" t="n"/>
      <c r="T665" s="47" t="n"/>
      <c r="U665" s="53" t="n"/>
      <c r="V665" s="53" t="n"/>
      <c r="W665" s="47" t="n"/>
      <c r="X665" s="47" t="n"/>
      <c r="Y665" s="47" t="n"/>
      <c r="Z665" s="47" t="n"/>
      <c r="AA665" s="47" t="n"/>
      <c r="AB665" s="47" t="n"/>
      <c r="AC665" s="47" t="n"/>
      <c r="AD665" s="47" t="n"/>
      <c r="AE665" s="47" t="n"/>
      <c r="AF665" s="20">
        <f>IF(A665="","",YEAR(EDATE(A665,-3)))</f>
        <v/>
      </c>
      <c r="AG665" s="20">
        <f>IF(OR(B665="",'経歴簿'!$C$4=""),"",IF(B665&amp;""='経歴簿'!$C$4&amp;"",MAX($AG$4:AG664)+1,""))</f>
        <v/>
      </c>
      <c r="AH665" s="20">
        <f>IF(A665="",0,IF(AND(OR('CSV抽出'!$C$4="",A665&gt;='CSV抽出'!$C$4),OR('CSV抽出'!$C$5="",A665&lt;='CSV抽出'!$C$5),OR('CSV抽出'!$C$6="すべて",'CSV抽出'!$C$6="",D665='CSV抽出'!$C$6),OR('CSV抽出'!$C$7="",B665&amp;""='CSV抽出'!$C$7&amp;"")),1,0))</f>
        <v/>
      </c>
      <c r="AI665" s="20">
        <f>IF(AH665=1,SUM($AH$5:AH665),"")</f>
        <v/>
      </c>
      <c r="AJ665" s="20">
        <f>IF(OR(S665="",'報告書'!$C$4=""),"",IF(S665&amp;""='報告書'!$C$4&amp;"",COUNTIF($S$5:S665,'報告書'!$C$4),""))</f>
        <v/>
      </c>
      <c r="AK665" s="20" t="n"/>
      <c r="AL665" s="47" t="n"/>
      <c r="AM665" s="47" t="n"/>
      <c r="AN665" s="53" t="n"/>
      <c r="AO665" s="47" t="n"/>
      <c r="AP665" s="47" t="n"/>
      <c r="AQ665" s="47" t="n"/>
      <c r="AR665" s="47" t="n"/>
      <c r="AS665" s="47" t="n"/>
      <c r="AT665" s="47" t="n"/>
      <c r="AU665" s="47" t="n"/>
      <c r="AV665" s="47" t="n"/>
      <c r="AW665" s="52" t="n"/>
    </row>
    <row r="666">
      <c r="A666" s="48" t="n"/>
      <c r="B666" s="52" t="n"/>
      <c r="C666" s="47">
        <f>IF(B666="","",IFERROR(INDEX('隊員マスタ'!$B$5:$B$204,MATCH(B666&amp;"",'隊員マスタ'!$F$5:$F$204,0)),IF(AK666="","番号なし",AK666)))</f>
        <v/>
      </c>
      <c r="D666" s="47" t="n"/>
      <c r="E666" s="47" t="n"/>
      <c r="F666" s="47" t="n"/>
      <c r="G666" s="47" t="n"/>
      <c r="H666" s="47" t="n"/>
      <c r="I666" s="47" t="n"/>
      <c r="J666" s="47" t="n"/>
      <c r="K666" s="47" t="n"/>
      <c r="L666" s="47" t="n"/>
      <c r="M666" s="47" t="n"/>
      <c r="N666" s="47" t="n"/>
      <c r="O666" s="47" t="n"/>
      <c r="P666" s="47" t="n"/>
      <c r="Q666" s="47" t="n"/>
      <c r="R666" s="47" t="n"/>
      <c r="S666" s="47" t="n"/>
      <c r="T666" s="47" t="n"/>
      <c r="U666" s="53" t="n"/>
      <c r="V666" s="53" t="n"/>
      <c r="W666" s="47" t="n"/>
      <c r="X666" s="47" t="n"/>
      <c r="Y666" s="47" t="n"/>
      <c r="Z666" s="47" t="n"/>
      <c r="AA666" s="47" t="n"/>
      <c r="AB666" s="47" t="n"/>
      <c r="AC666" s="47" t="n"/>
      <c r="AD666" s="47" t="n"/>
      <c r="AE666" s="47" t="n"/>
      <c r="AF666" s="20">
        <f>IF(A666="","",YEAR(EDATE(A666,-3)))</f>
        <v/>
      </c>
      <c r="AG666" s="20">
        <f>IF(OR(B666="",'経歴簿'!$C$4=""),"",IF(B666&amp;""='経歴簿'!$C$4&amp;"",MAX($AG$4:AG665)+1,""))</f>
        <v/>
      </c>
      <c r="AH666" s="20">
        <f>IF(A666="",0,IF(AND(OR('CSV抽出'!$C$4="",A666&gt;='CSV抽出'!$C$4),OR('CSV抽出'!$C$5="",A666&lt;='CSV抽出'!$C$5),OR('CSV抽出'!$C$6="すべて",'CSV抽出'!$C$6="",D666='CSV抽出'!$C$6),OR('CSV抽出'!$C$7="",B666&amp;""='CSV抽出'!$C$7&amp;"")),1,0))</f>
        <v/>
      </c>
      <c r="AI666" s="20">
        <f>IF(AH666=1,SUM($AH$5:AH666),"")</f>
        <v/>
      </c>
      <c r="AJ666" s="20">
        <f>IF(OR(S666="",'報告書'!$C$4=""),"",IF(S666&amp;""='報告書'!$C$4&amp;"",COUNTIF($S$5:S666,'報告書'!$C$4),""))</f>
        <v/>
      </c>
      <c r="AK666" s="20" t="n"/>
      <c r="AL666" s="47" t="n"/>
      <c r="AM666" s="47" t="n"/>
      <c r="AN666" s="53" t="n"/>
      <c r="AO666" s="47" t="n"/>
      <c r="AP666" s="47" t="n"/>
      <c r="AQ666" s="47" t="n"/>
      <c r="AR666" s="47" t="n"/>
      <c r="AS666" s="47" t="n"/>
      <c r="AT666" s="47" t="n"/>
      <c r="AU666" s="47" t="n"/>
      <c r="AV666" s="47" t="n"/>
      <c r="AW666" s="52" t="n"/>
    </row>
    <row r="667">
      <c r="A667" s="48" t="n"/>
      <c r="B667" s="52" t="n"/>
      <c r="C667" s="47">
        <f>IF(B667="","",IFERROR(INDEX('隊員マスタ'!$B$5:$B$204,MATCH(B667&amp;"",'隊員マスタ'!$F$5:$F$204,0)),IF(AK667="","番号なし",AK667)))</f>
        <v/>
      </c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  <c r="N667" s="47" t="n"/>
      <c r="O667" s="47" t="n"/>
      <c r="P667" s="47" t="n"/>
      <c r="Q667" s="47" t="n"/>
      <c r="R667" s="47" t="n"/>
      <c r="S667" s="47" t="n"/>
      <c r="T667" s="47" t="n"/>
      <c r="U667" s="53" t="n"/>
      <c r="V667" s="53" t="n"/>
      <c r="W667" s="47" t="n"/>
      <c r="X667" s="47" t="n"/>
      <c r="Y667" s="47" t="n"/>
      <c r="Z667" s="47" t="n"/>
      <c r="AA667" s="47" t="n"/>
      <c r="AB667" s="47" t="n"/>
      <c r="AC667" s="47" t="n"/>
      <c r="AD667" s="47" t="n"/>
      <c r="AE667" s="47" t="n"/>
      <c r="AF667" s="20">
        <f>IF(A667="","",YEAR(EDATE(A667,-3)))</f>
        <v/>
      </c>
      <c r="AG667" s="20">
        <f>IF(OR(B667="",'経歴簿'!$C$4=""),"",IF(B667&amp;""='経歴簿'!$C$4&amp;"",MAX($AG$4:AG666)+1,""))</f>
        <v/>
      </c>
      <c r="AH667" s="20">
        <f>IF(A667="",0,IF(AND(OR('CSV抽出'!$C$4="",A667&gt;='CSV抽出'!$C$4),OR('CSV抽出'!$C$5="",A667&lt;='CSV抽出'!$C$5),OR('CSV抽出'!$C$6="すべて",'CSV抽出'!$C$6="",D667='CSV抽出'!$C$6),OR('CSV抽出'!$C$7="",B667&amp;""='CSV抽出'!$C$7&amp;"")),1,0))</f>
        <v/>
      </c>
      <c r="AI667" s="20">
        <f>IF(AH667=1,SUM($AH$5:AH667),"")</f>
        <v/>
      </c>
      <c r="AJ667" s="20">
        <f>IF(OR(S667="",'報告書'!$C$4=""),"",IF(S667&amp;""='報告書'!$C$4&amp;"",COUNTIF($S$5:S667,'報告書'!$C$4),""))</f>
        <v/>
      </c>
      <c r="AK667" s="20" t="n"/>
      <c r="AL667" s="47" t="n"/>
      <c r="AM667" s="47" t="n"/>
      <c r="AN667" s="53" t="n"/>
      <c r="AO667" s="47" t="n"/>
      <c r="AP667" s="47" t="n"/>
      <c r="AQ667" s="47" t="n"/>
      <c r="AR667" s="47" t="n"/>
      <c r="AS667" s="47" t="n"/>
      <c r="AT667" s="47" t="n"/>
      <c r="AU667" s="47" t="n"/>
      <c r="AV667" s="47" t="n"/>
      <c r="AW667" s="52" t="n"/>
    </row>
    <row r="668">
      <c r="A668" s="48" t="n"/>
      <c r="B668" s="52" t="n"/>
      <c r="C668" s="47">
        <f>IF(B668="","",IFERROR(INDEX('隊員マスタ'!$B$5:$B$204,MATCH(B668&amp;"",'隊員マスタ'!$F$5:$F$204,0)),IF(AK668="","番号なし",AK668)))</f>
        <v/>
      </c>
      <c r="D668" s="47" t="n"/>
      <c r="E668" s="47" t="n"/>
      <c r="F668" s="47" t="n"/>
      <c r="G668" s="47" t="n"/>
      <c r="H668" s="47" t="n"/>
      <c r="I668" s="47" t="n"/>
      <c r="J668" s="47" t="n"/>
      <c r="K668" s="47" t="n"/>
      <c r="L668" s="47" t="n"/>
      <c r="M668" s="47" t="n"/>
      <c r="N668" s="47" t="n"/>
      <c r="O668" s="47" t="n"/>
      <c r="P668" s="47" t="n"/>
      <c r="Q668" s="47" t="n"/>
      <c r="R668" s="47" t="n"/>
      <c r="S668" s="47" t="n"/>
      <c r="T668" s="47" t="n"/>
      <c r="U668" s="53" t="n"/>
      <c r="V668" s="53" t="n"/>
      <c r="W668" s="47" t="n"/>
      <c r="X668" s="47" t="n"/>
      <c r="Y668" s="47" t="n"/>
      <c r="Z668" s="47" t="n"/>
      <c r="AA668" s="47" t="n"/>
      <c r="AB668" s="47" t="n"/>
      <c r="AC668" s="47" t="n"/>
      <c r="AD668" s="47" t="n"/>
      <c r="AE668" s="47" t="n"/>
      <c r="AF668" s="20">
        <f>IF(A668="","",YEAR(EDATE(A668,-3)))</f>
        <v/>
      </c>
      <c r="AG668" s="20">
        <f>IF(OR(B668="",'経歴簿'!$C$4=""),"",IF(B668&amp;""='経歴簿'!$C$4&amp;"",MAX($AG$4:AG667)+1,""))</f>
        <v/>
      </c>
      <c r="AH668" s="20">
        <f>IF(A668="",0,IF(AND(OR('CSV抽出'!$C$4="",A668&gt;='CSV抽出'!$C$4),OR('CSV抽出'!$C$5="",A668&lt;='CSV抽出'!$C$5),OR('CSV抽出'!$C$6="すべて",'CSV抽出'!$C$6="",D668='CSV抽出'!$C$6),OR('CSV抽出'!$C$7="",B668&amp;""='CSV抽出'!$C$7&amp;"")),1,0))</f>
        <v/>
      </c>
      <c r="AI668" s="20">
        <f>IF(AH668=1,SUM($AH$5:AH668),"")</f>
        <v/>
      </c>
      <c r="AJ668" s="20">
        <f>IF(OR(S668="",'報告書'!$C$4=""),"",IF(S668&amp;""='報告書'!$C$4&amp;"",COUNTIF($S$5:S668,'報告書'!$C$4),""))</f>
        <v/>
      </c>
      <c r="AK668" s="20" t="n"/>
      <c r="AL668" s="47" t="n"/>
      <c r="AM668" s="47" t="n"/>
      <c r="AN668" s="53" t="n"/>
      <c r="AO668" s="47" t="n"/>
      <c r="AP668" s="47" t="n"/>
      <c r="AQ668" s="47" t="n"/>
      <c r="AR668" s="47" t="n"/>
      <c r="AS668" s="47" t="n"/>
      <c r="AT668" s="47" t="n"/>
      <c r="AU668" s="47" t="n"/>
      <c r="AV668" s="47" t="n"/>
      <c r="AW668" s="52" t="n"/>
    </row>
    <row r="669">
      <c r="A669" s="48" t="n"/>
      <c r="B669" s="52" t="n"/>
      <c r="C669" s="47">
        <f>IF(B669="","",IFERROR(INDEX('隊員マスタ'!$B$5:$B$204,MATCH(B669&amp;"",'隊員マスタ'!$F$5:$F$204,0)),IF(AK669="","番号なし",AK669)))</f>
        <v/>
      </c>
      <c r="D669" s="47" t="n"/>
      <c r="E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  <c r="N669" s="47" t="n"/>
      <c r="O669" s="47" t="n"/>
      <c r="P669" s="47" t="n"/>
      <c r="Q669" s="47" t="n"/>
      <c r="R669" s="47" t="n"/>
      <c r="S669" s="47" t="n"/>
      <c r="T669" s="47" t="n"/>
      <c r="U669" s="53" t="n"/>
      <c r="V669" s="53" t="n"/>
      <c r="W669" s="47" t="n"/>
      <c r="X669" s="47" t="n"/>
      <c r="Y669" s="47" t="n"/>
      <c r="Z669" s="47" t="n"/>
      <c r="AA669" s="47" t="n"/>
      <c r="AB669" s="47" t="n"/>
      <c r="AC669" s="47" t="n"/>
      <c r="AD669" s="47" t="n"/>
      <c r="AE669" s="47" t="n"/>
      <c r="AF669" s="20">
        <f>IF(A669="","",YEAR(EDATE(A669,-3)))</f>
        <v/>
      </c>
      <c r="AG669" s="20">
        <f>IF(OR(B669="",'経歴簿'!$C$4=""),"",IF(B669&amp;""='経歴簿'!$C$4&amp;"",MAX($AG$4:AG668)+1,""))</f>
        <v/>
      </c>
      <c r="AH669" s="20">
        <f>IF(A669="",0,IF(AND(OR('CSV抽出'!$C$4="",A669&gt;='CSV抽出'!$C$4),OR('CSV抽出'!$C$5="",A669&lt;='CSV抽出'!$C$5),OR('CSV抽出'!$C$6="すべて",'CSV抽出'!$C$6="",D669='CSV抽出'!$C$6),OR('CSV抽出'!$C$7="",B669&amp;""='CSV抽出'!$C$7&amp;"")),1,0))</f>
        <v/>
      </c>
      <c r="AI669" s="20">
        <f>IF(AH669=1,SUM($AH$5:AH669),"")</f>
        <v/>
      </c>
      <c r="AJ669" s="20">
        <f>IF(OR(S669="",'報告書'!$C$4=""),"",IF(S669&amp;""='報告書'!$C$4&amp;"",COUNTIF($S$5:S669,'報告書'!$C$4),""))</f>
        <v/>
      </c>
      <c r="AK669" s="20" t="n"/>
      <c r="AL669" s="47" t="n"/>
      <c r="AM669" s="47" t="n"/>
      <c r="AN669" s="53" t="n"/>
      <c r="AO669" s="47" t="n"/>
      <c r="AP669" s="47" t="n"/>
      <c r="AQ669" s="47" t="n"/>
      <c r="AR669" s="47" t="n"/>
      <c r="AS669" s="47" t="n"/>
      <c r="AT669" s="47" t="n"/>
      <c r="AU669" s="47" t="n"/>
      <c r="AV669" s="47" t="n"/>
      <c r="AW669" s="52" t="n"/>
    </row>
    <row r="670">
      <c r="A670" s="48" t="n"/>
      <c r="B670" s="52" t="n"/>
      <c r="C670" s="47">
        <f>IF(B670="","",IFERROR(INDEX('隊員マスタ'!$B$5:$B$204,MATCH(B670&amp;"",'隊員マスタ'!$F$5:$F$204,0)),IF(AK670="","番号なし",AK670)))</f>
        <v/>
      </c>
      <c r="D670" s="47" t="n"/>
      <c r="E670" s="47" t="n"/>
      <c r="F670" s="47" t="n"/>
      <c r="G670" s="47" t="n"/>
      <c r="H670" s="47" t="n"/>
      <c r="I670" s="47" t="n"/>
      <c r="J670" s="47" t="n"/>
      <c r="K670" s="47" t="n"/>
      <c r="L670" s="47" t="n"/>
      <c r="M670" s="47" t="n"/>
      <c r="N670" s="47" t="n"/>
      <c r="O670" s="47" t="n"/>
      <c r="P670" s="47" t="n"/>
      <c r="Q670" s="47" t="n"/>
      <c r="R670" s="47" t="n"/>
      <c r="S670" s="47" t="n"/>
      <c r="T670" s="47" t="n"/>
      <c r="U670" s="53" t="n"/>
      <c r="V670" s="53" t="n"/>
      <c r="W670" s="47" t="n"/>
      <c r="X670" s="47" t="n"/>
      <c r="Y670" s="47" t="n"/>
      <c r="Z670" s="47" t="n"/>
      <c r="AA670" s="47" t="n"/>
      <c r="AB670" s="47" t="n"/>
      <c r="AC670" s="47" t="n"/>
      <c r="AD670" s="47" t="n"/>
      <c r="AE670" s="47" t="n"/>
      <c r="AF670" s="20">
        <f>IF(A670="","",YEAR(EDATE(A670,-3)))</f>
        <v/>
      </c>
      <c r="AG670" s="20">
        <f>IF(OR(B670="",'経歴簿'!$C$4=""),"",IF(B670&amp;""='経歴簿'!$C$4&amp;"",MAX($AG$4:AG669)+1,""))</f>
        <v/>
      </c>
      <c r="AH670" s="20">
        <f>IF(A670="",0,IF(AND(OR('CSV抽出'!$C$4="",A670&gt;='CSV抽出'!$C$4),OR('CSV抽出'!$C$5="",A670&lt;='CSV抽出'!$C$5),OR('CSV抽出'!$C$6="すべて",'CSV抽出'!$C$6="",D670='CSV抽出'!$C$6),OR('CSV抽出'!$C$7="",B670&amp;""='CSV抽出'!$C$7&amp;"")),1,0))</f>
        <v/>
      </c>
      <c r="AI670" s="20">
        <f>IF(AH670=1,SUM($AH$5:AH670),"")</f>
        <v/>
      </c>
      <c r="AJ670" s="20">
        <f>IF(OR(S670="",'報告書'!$C$4=""),"",IF(S670&amp;""='報告書'!$C$4&amp;"",COUNTIF($S$5:S670,'報告書'!$C$4),""))</f>
        <v/>
      </c>
      <c r="AK670" s="20" t="n"/>
      <c r="AL670" s="47" t="n"/>
      <c r="AM670" s="47" t="n"/>
      <c r="AN670" s="53" t="n"/>
      <c r="AO670" s="47" t="n"/>
      <c r="AP670" s="47" t="n"/>
      <c r="AQ670" s="47" t="n"/>
      <c r="AR670" s="47" t="n"/>
      <c r="AS670" s="47" t="n"/>
      <c r="AT670" s="47" t="n"/>
      <c r="AU670" s="47" t="n"/>
      <c r="AV670" s="47" t="n"/>
      <c r="AW670" s="52" t="n"/>
    </row>
    <row r="671">
      <c r="A671" s="48" t="n"/>
      <c r="B671" s="52" t="n"/>
      <c r="C671" s="47">
        <f>IF(B671="","",IFERROR(INDEX('隊員マスタ'!$B$5:$B$204,MATCH(B671&amp;"",'隊員マスタ'!$F$5:$F$204,0)),IF(AK671="","番号なし",AK671)))</f>
        <v/>
      </c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  <c r="N671" s="47" t="n"/>
      <c r="O671" s="47" t="n"/>
      <c r="P671" s="47" t="n"/>
      <c r="Q671" s="47" t="n"/>
      <c r="R671" s="47" t="n"/>
      <c r="S671" s="47" t="n"/>
      <c r="T671" s="47" t="n"/>
      <c r="U671" s="53" t="n"/>
      <c r="V671" s="53" t="n"/>
      <c r="W671" s="47" t="n"/>
      <c r="X671" s="47" t="n"/>
      <c r="Y671" s="47" t="n"/>
      <c r="Z671" s="47" t="n"/>
      <c r="AA671" s="47" t="n"/>
      <c r="AB671" s="47" t="n"/>
      <c r="AC671" s="47" t="n"/>
      <c r="AD671" s="47" t="n"/>
      <c r="AE671" s="47" t="n"/>
      <c r="AF671" s="20">
        <f>IF(A671="","",YEAR(EDATE(A671,-3)))</f>
        <v/>
      </c>
      <c r="AG671" s="20">
        <f>IF(OR(B671="",'経歴簿'!$C$4=""),"",IF(B671&amp;""='経歴簿'!$C$4&amp;"",MAX($AG$4:AG670)+1,""))</f>
        <v/>
      </c>
      <c r="AH671" s="20">
        <f>IF(A671="",0,IF(AND(OR('CSV抽出'!$C$4="",A671&gt;='CSV抽出'!$C$4),OR('CSV抽出'!$C$5="",A671&lt;='CSV抽出'!$C$5),OR('CSV抽出'!$C$6="すべて",'CSV抽出'!$C$6="",D671='CSV抽出'!$C$6),OR('CSV抽出'!$C$7="",B671&amp;""='CSV抽出'!$C$7&amp;"")),1,0))</f>
        <v/>
      </c>
      <c r="AI671" s="20">
        <f>IF(AH671=1,SUM($AH$5:AH671),"")</f>
        <v/>
      </c>
      <c r="AJ671" s="20">
        <f>IF(OR(S671="",'報告書'!$C$4=""),"",IF(S671&amp;""='報告書'!$C$4&amp;"",COUNTIF($S$5:S671,'報告書'!$C$4),""))</f>
        <v/>
      </c>
      <c r="AK671" s="20" t="n"/>
      <c r="AL671" s="47" t="n"/>
      <c r="AM671" s="47" t="n"/>
      <c r="AN671" s="53" t="n"/>
      <c r="AO671" s="47" t="n"/>
      <c r="AP671" s="47" t="n"/>
      <c r="AQ671" s="47" t="n"/>
      <c r="AR671" s="47" t="n"/>
      <c r="AS671" s="47" t="n"/>
      <c r="AT671" s="47" t="n"/>
      <c r="AU671" s="47" t="n"/>
      <c r="AV671" s="47" t="n"/>
      <c r="AW671" s="52" t="n"/>
    </row>
    <row r="672">
      <c r="A672" s="48" t="n"/>
      <c r="B672" s="52" t="n"/>
      <c r="C672" s="47">
        <f>IF(B672="","",IFERROR(INDEX('隊員マスタ'!$B$5:$B$204,MATCH(B672&amp;"",'隊員マスタ'!$F$5:$F$204,0)),IF(AK672="","番号なし",AK672)))</f>
        <v/>
      </c>
      <c r="D672" s="47" t="n"/>
      <c r="E672" s="47" t="n"/>
      <c r="F672" s="47" t="n"/>
      <c r="G672" s="47" t="n"/>
      <c r="H672" s="47" t="n"/>
      <c r="I672" s="47" t="n"/>
      <c r="J672" s="47" t="n"/>
      <c r="K672" s="47" t="n"/>
      <c r="L672" s="47" t="n"/>
      <c r="M672" s="47" t="n"/>
      <c r="N672" s="47" t="n"/>
      <c r="O672" s="47" t="n"/>
      <c r="P672" s="47" t="n"/>
      <c r="Q672" s="47" t="n"/>
      <c r="R672" s="47" t="n"/>
      <c r="S672" s="47" t="n"/>
      <c r="T672" s="47" t="n"/>
      <c r="U672" s="53" t="n"/>
      <c r="V672" s="53" t="n"/>
      <c r="W672" s="47" t="n"/>
      <c r="X672" s="47" t="n"/>
      <c r="Y672" s="47" t="n"/>
      <c r="Z672" s="47" t="n"/>
      <c r="AA672" s="47" t="n"/>
      <c r="AB672" s="47" t="n"/>
      <c r="AC672" s="47" t="n"/>
      <c r="AD672" s="47" t="n"/>
      <c r="AE672" s="47" t="n"/>
      <c r="AF672" s="20">
        <f>IF(A672="","",YEAR(EDATE(A672,-3)))</f>
        <v/>
      </c>
      <c r="AG672" s="20">
        <f>IF(OR(B672="",'経歴簿'!$C$4=""),"",IF(B672&amp;""='経歴簿'!$C$4&amp;"",MAX($AG$4:AG671)+1,""))</f>
        <v/>
      </c>
      <c r="AH672" s="20">
        <f>IF(A672="",0,IF(AND(OR('CSV抽出'!$C$4="",A672&gt;='CSV抽出'!$C$4),OR('CSV抽出'!$C$5="",A672&lt;='CSV抽出'!$C$5),OR('CSV抽出'!$C$6="すべて",'CSV抽出'!$C$6="",D672='CSV抽出'!$C$6),OR('CSV抽出'!$C$7="",B672&amp;""='CSV抽出'!$C$7&amp;"")),1,0))</f>
        <v/>
      </c>
      <c r="AI672" s="20">
        <f>IF(AH672=1,SUM($AH$5:AH672),"")</f>
        <v/>
      </c>
      <c r="AJ672" s="20">
        <f>IF(OR(S672="",'報告書'!$C$4=""),"",IF(S672&amp;""='報告書'!$C$4&amp;"",COUNTIF($S$5:S672,'報告書'!$C$4),""))</f>
        <v/>
      </c>
      <c r="AK672" s="20" t="n"/>
      <c r="AL672" s="47" t="n"/>
      <c r="AM672" s="47" t="n"/>
      <c r="AN672" s="53" t="n"/>
      <c r="AO672" s="47" t="n"/>
      <c r="AP672" s="47" t="n"/>
      <c r="AQ672" s="47" t="n"/>
      <c r="AR672" s="47" t="n"/>
      <c r="AS672" s="47" t="n"/>
      <c r="AT672" s="47" t="n"/>
      <c r="AU672" s="47" t="n"/>
      <c r="AV672" s="47" t="n"/>
      <c r="AW672" s="52" t="n"/>
    </row>
    <row r="673">
      <c r="A673" s="48" t="n"/>
      <c r="B673" s="52" t="n"/>
      <c r="C673" s="47">
        <f>IF(B673="","",IFERROR(INDEX('隊員マスタ'!$B$5:$B$204,MATCH(B673&amp;"",'隊員マスタ'!$F$5:$F$204,0)),IF(AK673="","番号なし",AK673)))</f>
        <v/>
      </c>
      <c r="D673" s="47" t="n"/>
      <c r="E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  <c r="N673" s="47" t="n"/>
      <c r="O673" s="47" t="n"/>
      <c r="P673" s="47" t="n"/>
      <c r="Q673" s="47" t="n"/>
      <c r="R673" s="47" t="n"/>
      <c r="S673" s="47" t="n"/>
      <c r="T673" s="47" t="n"/>
      <c r="U673" s="53" t="n"/>
      <c r="V673" s="53" t="n"/>
      <c r="W673" s="47" t="n"/>
      <c r="X673" s="47" t="n"/>
      <c r="Y673" s="47" t="n"/>
      <c r="Z673" s="47" t="n"/>
      <c r="AA673" s="47" t="n"/>
      <c r="AB673" s="47" t="n"/>
      <c r="AC673" s="47" t="n"/>
      <c r="AD673" s="47" t="n"/>
      <c r="AE673" s="47" t="n"/>
      <c r="AF673" s="20">
        <f>IF(A673="","",YEAR(EDATE(A673,-3)))</f>
        <v/>
      </c>
      <c r="AG673" s="20">
        <f>IF(OR(B673="",'経歴簿'!$C$4=""),"",IF(B673&amp;""='経歴簿'!$C$4&amp;"",MAX($AG$4:AG672)+1,""))</f>
        <v/>
      </c>
      <c r="AH673" s="20">
        <f>IF(A673="",0,IF(AND(OR('CSV抽出'!$C$4="",A673&gt;='CSV抽出'!$C$4),OR('CSV抽出'!$C$5="",A673&lt;='CSV抽出'!$C$5),OR('CSV抽出'!$C$6="すべて",'CSV抽出'!$C$6="",D673='CSV抽出'!$C$6),OR('CSV抽出'!$C$7="",B673&amp;""='CSV抽出'!$C$7&amp;"")),1,0))</f>
        <v/>
      </c>
      <c r="AI673" s="20">
        <f>IF(AH673=1,SUM($AH$5:AH673),"")</f>
        <v/>
      </c>
      <c r="AJ673" s="20">
        <f>IF(OR(S673="",'報告書'!$C$4=""),"",IF(S673&amp;""='報告書'!$C$4&amp;"",COUNTIF($S$5:S673,'報告書'!$C$4),""))</f>
        <v/>
      </c>
      <c r="AK673" s="20" t="n"/>
      <c r="AL673" s="47" t="n"/>
      <c r="AM673" s="47" t="n"/>
      <c r="AN673" s="53" t="n"/>
      <c r="AO673" s="47" t="n"/>
      <c r="AP673" s="47" t="n"/>
      <c r="AQ673" s="47" t="n"/>
      <c r="AR673" s="47" t="n"/>
      <c r="AS673" s="47" t="n"/>
      <c r="AT673" s="47" t="n"/>
      <c r="AU673" s="47" t="n"/>
      <c r="AV673" s="47" t="n"/>
      <c r="AW673" s="52" t="n"/>
    </row>
    <row r="674">
      <c r="A674" s="48" t="n"/>
      <c r="B674" s="52" t="n"/>
      <c r="C674" s="47">
        <f>IF(B674="","",IFERROR(INDEX('隊員マスタ'!$B$5:$B$204,MATCH(B674&amp;"",'隊員マスタ'!$F$5:$F$204,0)),IF(AK674="","番号なし",AK674)))</f>
        <v/>
      </c>
      <c r="D674" s="47" t="n"/>
      <c r="E674" s="47" t="n"/>
      <c r="F674" s="47" t="n"/>
      <c r="G674" s="47" t="n"/>
      <c r="H674" s="47" t="n"/>
      <c r="I674" s="47" t="n"/>
      <c r="J674" s="47" t="n"/>
      <c r="K674" s="47" t="n"/>
      <c r="L674" s="47" t="n"/>
      <c r="M674" s="47" t="n"/>
      <c r="N674" s="47" t="n"/>
      <c r="O674" s="47" t="n"/>
      <c r="P674" s="47" t="n"/>
      <c r="Q674" s="47" t="n"/>
      <c r="R674" s="47" t="n"/>
      <c r="S674" s="47" t="n"/>
      <c r="T674" s="47" t="n"/>
      <c r="U674" s="53" t="n"/>
      <c r="V674" s="53" t="n"/>
      <c r="W674" s="47" t="n"/>
      <c r="X674" s="47" t="n"/>
      <c r="Y674" s="47" t="n"/>
      <c r="Z674" s="47" t="n"/>
      <c r="AA674" s="47" t="n"/>
      <c r="AB674" s="47" t="n"/>
      <c r="AC674" s="47" t="n"/>
      <c r="AD674" s="47" t="n"/>
      <c r="AE674" s="47" t="n"/>
      <c r="AF674" s="20">
        <f>IF(A674="","",YEAR(EDATE(A674,-3)))</f>
        <v/>
      </c>
      <c r="AG674" s="20">
        <f>IF(OR(B674="",'経歴簿'!$C$4=""),"",IF(B674&amp;""='経歴簿'!$C$4&amp;"",MAX($AG$4:AG673)+1,""))</f>
        <v/>
      </c>
      <c r="AH674" s="20">
        <f>IF(A674="",0,IF(AND(OR('CSV抽出'!$C$4="",A674&gt;='CSV抽出'!$C$4),OR('CSV抽出'!$C$5="",A674&lt;='CSV抽出'!$C$5),OR('CSV抽出'!$C$6="すべて",'CSV抽出'!$C$6="",D674='CSV抽出'!$C$6),OR('CSV抽出'!$C$7="",B674&amp;""='CSV抽出'!$C$7&amp;"")),1,0))</f>
        <v/>
      </c>
      <c r="AI674" s="20">
        <f>IF(AH674=1,SUM($AH$5:AH674),"")</f>
        <v/>
      </c>
      <c r="AJ674" s="20">
        <f>IF(OR(S674="",'報告書'!$C$4=""),"",IF(S674&amp;""='報告書'!$C$4&amp;"",COUNTIF($S$5:S674,'報告書'!$C$4),""))</f>
        <v/>
      </c>
      <c r="AK674" s="20" t="n"/>
      <c r="AL674" s="47" t="n"/>
      <c r="AM674" s="47" t="n"/>
      <c r="AN674" s="53" t="n"/>
      <c r="AO674" s="47" t="n"/>
      <c r="AP674" s="47" t="n"/>
      <c r="AQ674" s="47" t="n"/>
      <c r="AR674" s="47" t="n"/>
      <c r="AS674" s="47" t="n"/>
      <c r="AT674" s="47" t="n"/>
      <c r="AU674" s="47" t="n"/>
      <c r="AV674" s="47" t="n"/>
      <c r="AW674" s="52" t="n"/>
    </row>
    <row r="675">
      <c r="A675" s="48" t="n"/>
      <c r="B675" s="52" t="n"/>
      <c r="C675" s="47">
        <f>IF(B675="","",IFERROR(INDEX('隊員マスタ'!$B$5:$B$204,MATCH(B675&amp;"",'隊員マスタ'!$F$5:$F$204,0)),IF(AK675="","番号なし",AK675)))</f>
        <v/>
      </c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  <c r="N675" s="47" t="n"/>
      <c r="O675" s="47" t="n"/>
      <c r="P675" s="47" t="n"/>
      <c r="Q675" s="47" t="n"/>
      <c r="R675" s="47" t="n"/>
      <c r="S675" s="47" t="n"/>
      <c r="T675" s="47" t="n"/>
      <c r="U675" s="53" t="n"/>
      <c r="V675" s="53" t="n"/>
      <c r="W675" s="47" t="n"/>
      <c r="X675" s="47" t="n"/>
      <c r="Y675" s="47" t="n"/>
      <c r="Z675" s="47" t="n"/>
      <c r="AA675" s="47" t="n"/>
      <c r="AB675" s="47" t="n"/>
      <c r="AC675" s="47" t="n"/>
      <c r="AD675" s="47" t="n"/>
      <c r="AE675" s="47" t="n"/>
      <c r="AF675" s="20">
        <f>IF(A675="","",YEAR(EDATE(A675,-3)))</f>
        <v/>
      </c>
      <c r="AG675" s="20">
        <f>IF(OR(B675="",'経歴簿'!$C$4=""),"",IF(B675&amp;""='経歴簿'!$C$4&amp;"",MAX($AG$4:AG674)+1,""))</f>
        <v/>
      </c>
      <c r="AH675" s="20">
        <f>IF(A675="",0,IF(AND(OR('CSV抽出'!$C$4="",A675&gt;='CSV抽出'!$C$4),OR('CSV抽出'!$C$5="",A675&lt;='CSV抽出'!$C$5),OR('CSV抽出'!$C$6="すべて",'CSV抽出'!$C$6="",D675='CSV抽出'!$C$6),OR('CSV抽出'!$C$7="",B675&amp;""='CSV抽出'!$C$7&amp;"")),1,0))</f>
        <v/>
      </c>
      <c r="AI675" s="20">
        <f>IF(AH675=1,SUM($AH$5:AH675),"")</f>
        <v/>
      </c>
      <c r="AJ675" s="20">
        <f>IF(OR(S675="",'報告書'!$C$4=""),"",IF(S675&amp;""='報告書'!$C$4&amp;"",COUNTIF($S$5:S675,'報告書'!$C$4),""))</f>
        <v/>
      </c>
      <c r="AK675" s="20" t="n"/>
      <c r="AL675" s="47" t="n"/>
      <c r="AM675" s="47" t="n"/>
      <c r="AN675" s="53" t="n"/>
      <c r="AO675" s="47" t="n"/>
      <c r="AP675" s="47" t="n"/>
      <c r="AQ675" s="47" t="n"/>
      <c r="AR675" s="47" t="n"/>
      <c r="AS675" s="47" t="n"/>
      <c r="AT675" s="47" t="n"/>
      <c r="AU675" s="47" t="n"/>
      <c r="AV675" s="47" t="n"/>
      <c r="AW675" s="52" t="n"/>
    </row>
    <row r="676">
      <c r="A676" s="48" t="n"/>
      <c r="B676" s="52" t="n"/>
      <c r="C676" s="47">
        <f>IF(B676="","",IFERROR(INDEX('隊員マスタ'!$B$5:$B$204,MATCH(B676&amp;"",'隊員マスタ'!$F$5:$F$204,0)),IF(AK676="","番号なし",AK676)))</f>
        <v/>
      </c>
      <c r="D676" s="47" t="n"/>
      <c r="E676" s="47" t="n"/>
      <c r="F676" s="47" t="n"/>
      <c r="G676" s="47" t="n"/>
      <c r="H676" s="47" t="n"/>
      <c r="I676" s="47" t="n"/>
      <c r="J676" s="47" t="n"/>
      <c r="K676" s="47" t="n"/>
      <c r="L676" s="47" t="n"/>
      <c r="M676" s="47" t="n"/>
      <c r="N676" s="47" t="n"/>
      <c r="O676" s="47" t="n"/>
      <c r="P676" s="47" t="n"/>
      <c r="Q676" s="47" t="n"/>
      <c r="R676" s="47" t="n"/>
      <c r="S676" s="47" t="n"/>
      <c r="T676" s="47" t="n"/>
      <c r="U676" s="53" t="n"/>
      <c r="V676" s="53" t="n"/>
      <c r="W676" s="47" t="n"/>
      <c r="X676" s="47" t="n"/>
      <c r="Y676" s="47" t="n"/>
      <c r="Z676" s="47" t="n"/>
      <c r="AA676" s="47" t="n"/>
      <c r="AB676" s="47" t="n"/>
      <c r="AC676" s="47" t="n"/>
      <c r="AD676" s="47" t="n"/>
      <c r="AE676" s="47" t="n"/>
      <c r="AF676" s="20">
        <f>IF(A676="","",YEAR(EDATE(A676,-3)))</f>
        <v/>
      </c>
      <c r="AG676" s="20">
        <f>IF(OR(B676="",'経歴簿'!$C$4=""),"",IF(B676&amp;""='経歴簿'!$C$4&amp;"",MAX($AG$4:AG675)+1,""))</f>
        <v/>
      </c>
      <c r="AH676" s="20">
        <f>IF(A676="",0,IF(AND(OR('CSV抽出'!$C$4="",A676&gt;='CSV抽出'!$C$4),OR('CSV抽出'!$C$5="",A676&lt;='CSV抽出'!$C$5),OR('CSV抽出'!$C$6="すべて",'CSV抽出'!$C$6="",D676='CSV抽出'!$C$6),OR('CSV抽出'!$C$7="",B676&amp;""='CSV抽出'!$C$7&amp;"")),1,0))</f>
        <v/>
      </c>
      <c r="AI676" s="20">
        <f>IF(AH676=1,SUM($AH$5:AH676),"")</f>
        <v/>
      </c>
      <c r="AJ676" s="20">
        <f>IF(OR(S676="",'報告書'!$C$4=""),"",IF(S676&amp;""='報告書'!$C$4&amp;"",COUNTIF($S$5:S676,'報告書'!$C$4),""))</f>
        <v/>
      </c>
      <c r="AK676" s="20" t="n"/>
      <c r="AL676" s="47" t="n"/>
      <c r="AM676" s="47" t="n"/>
      <c r="AN676" s="53" t="n"/>
      <c r="AO676" s="47" t="n"/>
      <c r="AP676" s="47" t="n"/>
      <c r="AQ676" s="47" t="n"/>
      <c r="AR676" s="47" t="n"/>
      <c r="AS676" s="47" t="n"/>
      <c r="AT676" s="47" t="n"/>
      <c r="AU676" s="47" t="n"/>
      <c r="AV676" s="47" t="n"/>
      <c r="AW676" s="52" t="n"/>
    </row>
    <row r="677">
      <c r="A677" s="48" t="n"/>
      <c r="B677" s="52" t="n"/>
      <c r="C677" s="47">
        <f>IF(B677="","",IFERROR(INDEX('隊員マスタ'!$B$5:$B$204,MATCH(B677&amp;"",'隊員マスタ'!$F$5:$F$204,0)),IF(AK677="","番号なし",AK677)))</f>
        <v/>
      </c>
      <c r="D677" s="47" t="n"/>
      <c r="E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  <c r="N677" s="47" t="n"/>
      <c r="O677" s="47" t="n"/>
      <c r="P677" s="47" t="n"/>
      <c r="Q677" s="47" t="n"/>
      <c r="R677" s="47" t="n"/>
      <c r="S677" s="47" t="n"/>
      <c r="T677" s="47" t="n"/>
      <c r="U677" s="53" t="n"/>
      <c r="V677" s="53" t="n"/>
      <c r="W677" s="47" t="n"/>
      <c r="X677" s="47" t="n"/>
      <c r="Y677" s="47" t="n"/>
      <c r="Z677" s="47" t="n"/>
      <c r="AA677" s="47" t="n"/>
      <c r="AB677" s="47" t="n"/>
      <c r="AC677" s="47" t="n"/>
      <c r="AD677" s="47" t="n"/>
      <c r="AE677" s="47" t="n"/>
      <c r="AF677" s="20">
        <f>IF(A677="","",YEAR(EDATE(A677,-3)))</f>
        <v/>
      </c>
      <c r="AG677" s="20">
        <f>IF(OR(B677="",'経歴簿'!$C$4=""),"",IF(B677&amp;""='経歴簿'!$C$4&amp;"",MAX($AG$4:AG676)+1,""))</f>
        <v/>
      </c>
      <c r="AH677" s="20">
        <f>IF(A677="",0,IF(AND(OR('CSV抽出'!$C$4="",A677&gt;='CSV抽出'!$C$4),OR('CSV抽出'!$C$5="",A677&lt;='CSV抽出'!$C$5),OR('CSV抽出'!$C$6="すべて",'CSV抽出'!$C$6="",D677='CSV抽出'!$C$6),OR('CSV抽出'!$C$7="",B677&amp;""='CSV抽出'!$C$7&amp;"")),1,0))</f>
        <v/>
      </c>
      <c r="AI677" s="20">
        <f>IF(AH677=1,SUM($AH$5:AH677),"")</f>
        <v/>
      </c>
      <c r="AJ677" s="20">
        <f>IF(OR(S677="",'報告書'!$C$4=""),"",IF(S677&amp;""='報告書'!$C$4&amp;"",COUNTIF($S$5:S677,'報告書'!$C$4),""))</f>
        <v/>
      </c>
      <c r="AK677" s="20" t="n"/>
      <c r="AL677" s="47" t="n"/>
      <c r="AM677" s="47" t="n"/>
      <c r="AN677" s="53" t="n"/>
      <c r="AO677" s="47" t="n"/>
      <c r="AP677" s="47" t="n"/>
      <c r="AQ677" s="47" t="n"/>
      <c r="AR677" s="47" t="n"/>
      <c r="AS677" s="47" t="n"/>
      <c r="AT677" s="47" t="n"/>
      <c r="AU677" s="47" t="n"/>
      <c r="AV677" s="47" t="n"/>
      <c r="AW677" s="52" t="n"/>
    </row>
    <row r="678">
      <c r="A678" s="48" t="n"/>
      <c r="B678" s="52" t="n"/>
      <c r="C678" s="47">
        <f>IF(B678="","",IFERROR(INDEX('隊員マスタ'!$B$5:$B$204,MATCH(B678&amp;"",'隊員マスタ'!$F$5:$F$204,0)),IF(AK678="","番号なし",AK678)))</f>
        <v/>
      </c>
      <c r="D678" s="47" t="n"/>
      <c r="E678" s="47" t="n"/>
      <c r="F678" s="47" t="n"/>
      <c r="G678" s="47" t="n"/>
      <c r="H678" s="47" t="n"/>
      <c r="I678" s="47" t="n"/>
      <c r="J678" s="47" t="n"/>
      <c r="K678" s="47" t="n"/>
      <c r="L678" s="47" t="n"/>
      <c r="M678" s="47" t="n"/>
      <c r="N678" s="47" t="n"/>
      <c r="O678" s="47" t="n"/>
      <c r="P678" s="47" t="n"/>
      <c r="Q678" s="47" t="n"/>
      <c r="R678" s="47" t="n"/>
      <c r="S678" s="47" t="n"/>
      <c r="T678" s="47" t="n"/>
      <c r="U678" s="53" t="n"/>
      <c r="V678" s="53" t="n"/>
      <c r="W678" s="47" t="n"/>
      <c r="X678" s="47" t="n"/>
      <c r="Y678" s="47" t="n"/>
      <c r="Z678" s="47" t="n"/>
      <c r="AA678" s="47" t="n"/>
      <c r="AB678" s="47" t="n"/>
      <c r="AC678" s="47" t="n"/>
      <c r="AD678" s="47" t="n"/>
      <c r="AE678" s="47" t="n"/>
      <c r="AF678" s="20">
        <f>IF(A678="","",YEAR(EDATE(A678,-3)))</f>
        <v/>
      </c>
      <c r="AG678" s="20">
        <f>IF(OR(B678="",'経歴簿'!$C$4=""),"",IF(B678&amp;""='経歴簿'!$C$4&amp;"",MAX($AG$4:AG677)+1,""))</f>
        <v/>
      </c>
      <c r="AH678" s="20">
        <f>IF(A678="",0,IF(AND(OR('CSV抽出'!$C$4="",A678&gt;='CSV抽出'!$C$4),OR('CSV抽出'!$C$5="",A678&lt;='CSV抽出'!$C$5),OR('CSV抽出'!$C$6="すべて",'CSV抽出'!$C$6="",D678='CSV抽出'!$C$6),OR('CSV抽出'!$C$7="",B678&amp;""='CSV抽出'!$C$7&amp;"")),1,0))</f>
        <v/>
      </c>
      <c r="AI678" s="20">
        <f>IF(AH678=1,SUM($AH$5:AH678),"")</f>
        <v/>
      </c>
      <c r="AJ678" s="20">
        <f>IF(OR(S678="",'報告書'!$C$4=""),"",IF(S678&amp;""='報告書'!$C$4&amp;"",COUNTIF($S$5:S678,'報告書'!$C$4),""))</f>
        <v/>
      </c>
      <c r="AK678" s="20" t="n"/>
      <c r="AL678" s="47" t="n"/>
      <c r="AM678" s="47" t="n"/>
      <c r="AN678" s="53" t="n"/>
      <c r="AO678" s="47" t="n"/>
      <c r="AP678" s="47" t="n"/>
      <c r="AQ678" s="47" t="n"/>
      <c r="AR678" s="47" t="n"/>
      <c r="AS678" s="47" t="n"/>
      <c r="AT678" s="47" t="n"/>
      <c r="AU678" s="47" t="n"/>
      <c r="AV678" s="47" t="n"/>
      <c r="AW678" s="52" t="n"/>
    </row>
    <row r="679">
      <c r="A679" s="48" t="n"/>
      <c r="B679" s="52" t="n"/>
      <c r="C679" s="47">
        <f>IF(B679="","",IFERROR(INDEX('隊員マスタ'!$B$5:$B$204,MATCH(B679&amp;"",'隊員マスタ'!$F$5:$F$204,0)),IF(AK679="","番号なし",AK679)))</f>
        <v/>
      </c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  <c r="N679" s="47" t="n"/>
      <c r="O679" s="47" t="n"/>
      <c r="P679" s="47" t="n"/>
      <c r="Q679" s="47" t="n"/>
      <c r="R679" s="47" t="n"/>
      <c r="S679" s="47" t="n"/>
      <c r="T679" s="47" t="n"/>
      <c r="U679" s="53" t="n"/>
      <c r="V679" s="53" t="n"/>
      <c r="W679" s="47" t="n"/>
      <c r="X679" s="47" t="n"/>
      <c r="Y679" s="47" t="n"/>
      <c r="Z679" s="47" t="n"/>
      <c r="AA679" s="47" t="n"/>
      <c r="AB679" s="47" t="n"/>
      <c r="AC679" s="47" t="n"/>
      <c r="AD679" s="47" t="n"/>
      <c r="AE679" s="47" t="n"/>
      <c r="AF679" s="20">
        <f>IF(A679="","",YEAR(EDATE(A679,-3)))</f>
        <v/>
      </c>
      <c r="AG679" s="20">
        <f>IF(OR(B679="",'経歴簿'!$C$4=""),"",IF(B679&amp;""='経歴簿'!$C$4&amp;"",MAX($AG$4:AG678)+1,""))</f>
        <v/>
      </c>
      <c r="AH679" s="20">
        <f>IF(A679="",0,IF(AND(OR('CSV抽出'!$C$4="",A679&gt;='CSV抽出'!$C$4),OR('CSV抽出'!$C$5="",A679&lt;='CSV抽出'!$C$5),OR('CSV抽出'!$C$6="すべて",'CSV抽出'!$C$6="",D679='CSV抽出'!$C$6),OR('CSV抽出'!$C$7="",B679&amp;""='CSV抽出'!$C$7&amp;"")),1,0))</f>
        <v/>
      </c>
      <c r="AI679" s="20">
        <f>IF(AH679=1,SUM($AH$5:AH679),"")</f>
        <v/>
      </c>
      <c r="AJ679" s="20">
        <f>IF(OR(S679="",'報告書'!$C$4=""),"",IF(S679&amp;""='報告書'!$C$4&amp;"",COUNTIF($S$5:S679,'報告書'!$C$4),""))</f>
        <v/>
      </c>
      <c r="AK679" s="20" t="n"/>
      <c r="AL679" s="47" t="n"/>
      <c r="AM679" s="47" t="n"/>
      <c r="AN679" s="53" t="n"/>
      <c r="AO679" s="47" t="n"/>
      <c r="AP679" s="47" t="n"/>
      <c r="AQ679" s="47" t="n"/>
      <c r="AR679" s="47" t="n"/>
      <c r="AS679" s="47" t="n"/>
      <c r="AT679" s="47" t="n"/>
      <c r="AU679" s="47" t="n"/>
      <c r="AV679" s="47" t="n"/>
      <c r="AW679" s="52" t="n"/>
    </row>
    <row r="680">
      <c r="A680" s="48" t="n"/>
      <c r="B680" s="52" t="n"/>
      <c r="C680" s="47">
        <f>IF(B680="","",IFERROR(INDEX('隊員マスタ'!$B$5:$B$204,MATCH(B680&amp;"",'隊員マスタ'!$F$5:$F$204,0)),IF(AK680="","番号なし",AK680)))</f>
        <v/>
      </c>
      <c r="D680" s="47" t="n"/>
      <c r="E680" s="47" t="n"/>
      <c r="F680" s="47" t="n"/>
      <c r="G680" s="47" t="n"/>
      <c r="H680" s="47" t="n"/>
      <c r="I680" s="47" t="n"/>
      <c r="J680" s="47" t="n"/>
      <c r="K680" s="47" t="n"/>
      <c r="L680" s="47" t="n"/>
      <c r="M680" s="47" t="n"/>
      <c r="N680" s="47" t="n"/>
      <c r="O680" s="47" t="n"/>
      <c r="P680" s="47" t="n"/>
      <c r="Q680" s="47" t="n"/>
      <c r="R680" s="47" t="n"/>
      <c r="S680" s="47" t="n"/>
      <c r="T680" s="47" t="n"/>
      <c r="U680" s="53" t="n"/>
      <c r="V680" s="53" t="n"/>
      <c r="W680" s="47" t="n"/>
      <c r="X680" s="47" t="n"/>
      <c r="Y680" s="47" t="n"/>
      <c r="Z680" s="47" t="n"/>
      <c r="AA680" s="47" t="n"/>
      <c r="AB680" s="47" t="n"/>
      <c r="AC680" s="47" t="n"/>
      <c r="AD680" s="47" t="n"/>
      <c r="AE680" s="47" t="n"/>
      <c r="AF680" s="20">
        <f>IF(A680="","",YEAR(EDATE(A680,-3)))</f>
        <v/>
      </c>
      <c r="AG680" s="20">
        <f>IF(OR(B680="",'経歴簿'!$C$4=""),"",IF(B680&amp;""='経歴簿'!$C$4&amp;"",MAX($AG$4:AG679)+1,""))</f>
        <v/>
      </c>
      <c r="AH680" s="20">
        <f>IF(A680="",0,IF(AND(OR('CSV抽出'!$C$4="",A680&gt;='CSV抽出'!$C$4),OR('CSV抽出'!$C$5="",A680&lt;='CSV抽出'!$C$5),OR('CSV抽出'!$C$6="すべて",'CSV抽出'!$C$6="",D680='CSV抽出'!$C$6),OR('CSV抽出'!$C$7="",B680&amp;""='CSV抽出'!$C$7&amp;"")),1,0))</f>
        <v/>
      </c>
      <c r="AI680" s="20">
        <f>IF(AH680=1,SUM($AH$5:AH680),"")</f>
        <v/>
      </c>
      <c r="AJ680" s="20">
        <f>IF(OR(S680="",'報告書'!$C$4=""),"",IF(S680&amp;""='報告書'!$C$4&amp;"",COUNTIF($S$5:S680,'報告書'!$C$4),""))</f>
        <v/>
      </c>
      <c r="AK680" s="20" t="n"/>
      <c r="AL680" s="47" t="n"/>
      <c r="AM680" s="47" t="n"/>
      <c r="AN680" s="53" t="n"/>
      <c r="AO680" s="47" t="n"/>
      <c r="AP680" s="47" t="n"/>
      <c r="AQ680" s="47" t="n"/>
      <c r="AR680" s="47" t="n"/>
      <c r="AS680" s="47" t="n"/>
      <c r="AT680" s="47" t="n"/>
      <c r="AU680" s="47" t="n"/>
      <c r="AV680" s="47" t="n"/>
      <c r="AW680" s="52" t="n"/>
    </row>
    <row r="681">
      <c r="A681" s="48" t="n"/>
      <c r="B681" s="52" t="n"/>
      <c r="C681" s="47">
        <f>IF(B681="","",IFERROR(INDEX('隊員マスタ'!$B$5:$B$204,MATCH(B681&amp;"",'隊員マスタ'!$F$5:$F$204,0)),IF(AK681="","番号なし",AK681)))</f>
        <v/>
      </c>
      <c r="D681" s="47" t="n"/>
      <c r="E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  <c r="N681" s="47" t="n"/>
      <c r="O681" s="47" t="n"/>
      <c r="P681" s="47" t="n"/>
      <c r="Q681" s="47" t="n"/>
      <c r="R681" s="47" t="n"/>
      <c r="S681" s="47" t="n"/>
      <c r="T681" s="47" t="n"/>
      <c r="U681" s="53" t="n"/>
      <c r="V681" s="53" t="n"/>
      <c r="W681" s="47" t="n"/>
      <c r="X681" s="47" t="n"/>
      <c r="Y681" s="47" t="n"/>
      <c r="Z681" s="47" t="n"/>
      <c r="AA681" s="47" t="n"/>
      <c r="AB681" s="47" t="n"/>
      <c r="AC681" s="47" t="n"/>
      <c r="AD681" s="47" t="n"/>
      <c r="AE681" s="47" t="n"/>
      <c r="AF681" s="20">
        <f>IF(A681="","",YEAR(EDATE(A681,-3)))</f>
        <v/>
      </c>
      <c r="AG681" s="20">
        <f>IF(OR(B681="",'経歴簿'!$C$4=""),"",IF(B681&amp;""='経歴簿'!$C$4&amp;"",MAX($AG$4:AG680)+1,""))</f>
        <v/>
      </c>
      <c r="AH681" s="20">
        <f>IF(A681="",0,IF(AND(OR('CSV抽出'!$C$4="",A681&gt;='CSV抽出'!$C$4),OR('CSV抽出'!$C$5="",A681&lt;='CSV抽出'!$C$5),OR('CSV抽出'!$C$6="すべて",'CSV抽出'!$C$6="",D681='CSV抽出'!$C$6),OR('CSV抽出'!$C$7="",B681&amp;""='CSV抽出'!$C$7&amp;"")),1,0))</f>
        <v/>
      </c>
      <c r="AI681" s="20">
        <f>IF(AH681=1,SUM($AH$5:AH681),"")</f>
        <v/>
      </c>
      <c r="AJ681" s="20">
        <f>IF(OR(S681="",'報告書'!$C$4=""),"",IF(S681&amp;""='報告書'!$C$4&amp;"",COUNTIF($S$5:S681,'報告書'!$C$4),""))</f>
        <v/>
      </c>
      <c r="AK681" s="20" t="n"/>
      <c r="AL681" s="47" t="n"/>
      <c r="AM681" s="47" t="n"/>
      <c r="AN681" s="53" t="n"/>
      <c r="AO681" s="47" t="n"/>
      <c r="AP681" s="47" t="n"/>
      <c r="AQ681" s="47" t="n"/>
      <c r="AR681" s="47" t="n"/>
      <c r="AS681" s="47" t="n"/>
      <c r="AT681" s="47" t="n"/>
      <c r="AU681" s="47" t="n"/>
      <c r="AV681" s="47" t="n"/>
      <c r="AW681" s="52" t="n"/>
    </row>
    <row r="682">
      <c r="A682" s="48" t="n"/>
      <c r="B682" s="52" t="n"/>
      <c r="C682" s="47">
        <f>IF(B682="","",IFERROR(INDEX('隊員マスタ'!$B$5:$B$204,MATCH(B682&amp;"",'隊員マスタ'!$F$5:$F$204,0)),IF(AK682="","番号なし",AK682)))</f>
        <v/>
      </c>
      <c r="D682" s="47" t="n"/>
      <c r="E682" s="47" t="n"/>
      <c r="F682" s="47" t="n"/>
      <c r="G682" s="47" t="n"/>
      <c r="H682" s="47" t="n"/>
      <c r="I682" s="47" t="n"/>
      <c r="J682" s="47" t="n"/>
      <c r="K682" s="47" t="n"/>
      <c r="L682" s="47" t="n"/>
      <c r="M682" s="47" t="n"/>
      <c r="N682" s="47" t="n"/>
      <c r="O682" s="47" t="n"/>
      <c r="P682" s="47" t="n"/>
      <c r="Q682" s="47" t="n"/>
      <c r="R682" s="47" t="n"/>
      <c r="S682" s="47" t="n"/>
      <c r="T682" s="47" t="n"/>
      <c r="U682" s="53" t="n"/>
      <c r="V682" s="53" t="n"/>
      <c r="W682" s="47" t="n"/>
      <c r="X682" s="47" t="n"/>
      <c r="Y682" s="47" t="n"/>
      <c r="Z682" s="47" t="n"/>
      <c r="AA682" s="47" t="n"/>
      <c r="AB682" s="47" t="n"/>
      <c r="AC682" s="47" t="n"/>
      <c r="AD682" s="47" t="n"/>
      <c r="AE682" s="47" t="n"/>
      <c r="AF682" s="20">
        <f>IF(A682="","",YEAR(EDATE(A682,-3)))</f>
        <v/>
      </c>
      <c r="AG682" s="20">
        <f>IF(OR(B682="",'経歴簿'!$C$4=""),"",IF(B682&amp;""='経歴簿'!$C$4&amp;"",MAX($AG$4:AG681)+1,""))</f>
        <v/>
      </c>
      <c r="AH682" s="20">
        <f>IF(A682="",0,IF(AND(OR('CSV抽出'!$C$4="",A682&gt;='CSV抽出'!$C$4),OR('CSV抽出'!$C$5="",A682&lt;='CSV抽出'!$C$5),OR('CSV抽出'!$C$6="すべて",'CSV抽出'!$C$6="",D682='CSV抽出'!$C$6),OR('CSV抽出'!$C$7="",B682&amp;""='CSV抽出'!$C$7&amp;"")),1,0))</f>
        <v/>
      </c>
      <c r="AI682" s="20">
        <f>IF(AH682=1,SUM($AH$5:AH682),"")</f>
        <v/>
      </c>
      <c r="AJ682" s="20">
        <f>IF(OR(S682="",'報告書'!$C$4=""),"",IF(S682&amp;""='報告書'!$C$4&amp;"",COUNTIF($S$5:S682,'報告書'!$C$4),""))</f>
        <v/>
      </c>
      <c r="AK682" s="20" t="n"/>
      <c r="AL682" s="47" t="n"/>
      <c r="AM682" s="47" t="n"/>
      <c r="AN682" s="53" t="n"/>
      <c r="AO682" s="47" t="n"/>
      <c r="AP682" s="47" t="n"/>
      <c r="AQ682" s="47" t="n"/>
      <c r="AR682" s="47" t="n"/>
      <c r="AS682" s="47" t="n"/>
      <c r="AT682" s="47" t="n"/>
      <c r="AU682" s="47" t="n"/>
      <c r="AV682" s="47" t="n"/>
      <c r="AW682" s="52" t="n"/>
    </row>
    <row r="683">
      <c r="A683" s="48" t="n"/>
      <c r="B683" s="52" t="n"/>
      <c r="C683" s="47">
        <f>IF(B683="","",IFERROR(INDEX('隊員マスタ'!$B$5:$B$204,MATCH(B683&amp;"",'隊員マスタ'!$F$5:$F$204,0)),IF(AK683="","番号なし",AK683)))</f>
        <v/>
      </c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  <c r="N683" s="47" t="n"/>
      <c r="O683" s="47" t="n"/>
      <c r="P683" s="47" t="n"/>
      <c r="Q683" s="47" t="n"/>
      <c r="R683" s="47" t="n"/>
      <c r="S683" s="47" t="n"/>
      <c r="T683" s="47" t="n"/>
      <c r="U683" s="53" t="n"/>
      <c r="V683" s="53" t="n"/>
      <c r="W683" s="47" t="n"/>
      <c r="X683" s="47" t="n"/>
      <c r="Y683" s="47" t="n"/>
      <c r="Z683" s="47" t="n"/>
      <c r="AA683" s="47" t="n"/>
      <c r="AB683" s="47" t="n"/>
      <c r="AC683" s="47" t="n"/>
      <c r="AD683" s="47" t="n"/>
      <c r="AE683" s="47" t="n"/>
      <c r="AF683" s="20">
        <f>IF(A683="","",YEAR(EDATE(A683,-3)))</f>
        <v/>
      </c>
      <c r="AG683" s="20">
        <f>IF(OR(B683="",'経歴簿'!$C$4=""),"",IF(B683&amp;""='経歴簿'!$C$4&amp;"",MAX($AG$4:AG682)+1,""))</f>
        <v/>
      </c>
      <c r="AH683" s="20">
        <f>IF(A683="",0,IF(AND(OR('CSV抽出'!$C$4="",A683&gt;='CSV抽出'!$C$4),OR('CSV抽出'!$C$5="",A683&lt;='CSV抽出'!$C$5),OR('CSV抽出'!$C$6="すべて",'CSV抽出'!$C$6="",D683='CSV抽出'!$C$6),OR('CSV抽出'!$C$7="",B683&amp;""='CSV抽出'!$C$7&amp;"")),1,0))</f>
        <v/>
      </c>
      <c r="AI683" s="20">
        <f>IF(AH683=1,SUM($AH$5:AH683),"")</f>
        <v/>
      </c>
      <c r="AJ683" s="20">
        <f>IF(OR(S683="",'報告書'!$C$4=""),"",IF(S683&amp;""='報告書'!$C$4&amp;"",COUNTIF($S$5:S683,'報告書'!$C$4),""))</f>
        <v/>
      </c>
      <c r="AK683" s="20" t="n"/>
      <c r="AL683" s="47" t="n"/>
      <c r="AM683" s="47" t="n"/>
      <c r="AN683" s="53" t="n"/>
      <c r="AO683" s="47" t="n"/>
      <c r="AP683" s="47" t="n"/>
      <c r="AQ683" s="47" t="n"/>
      <c r="AR683" s="47" t="n"/>
      <c r="AS683" s="47" t="n"/>
      <c r="AT683" s="47" t="n"/>
      <c r="AU683" s="47" t="n"/>
      <c r="AV683" s="47" t="n"/>
      <c r="AW683" s="52" t="n"/>
    </row>
    <row r="684">
      <c r="A684" s="48" t="n"/>
      <c r="B684" s="52" t="n"/>
      <c r="C684" s="47">
        <f>IF(B684="","",IFERROR(INDEX('隊員マスタ'!$B$5:$B$204,MATCH(B684&amp;"",'隊員マスタ'!$F$5:$F$204,0)),IF(AK684="","番号なし",AK684)))</f>
        <v/>
      </c>
      <c r="D684" s="47" t="n"/>
      <c r="E684" s="47" t="n"/>
      <c r="F684" s="47" t="n"/>
      <c r="G684" s="47" t="n"/>
      <c r="H684" s="47" t="n"/>
      <c r="I684" s="47" t="n"/>
      <c r="J684" s="47" t="n"/>
      <c r="K684" s="47" t="n"/>
      <c r="L684" s="47" t="n"/>
      <c r="M684" s="47" t="n"/>
      <c r="N684" s="47" t="n"/>
      <c r="O684" s="47" t="n"/>
      <c r="P684" s="47" t="n"/>
      <c r="Q684" s="47" t="n"/>
      <c r="R684" s="47" t="n"/>
      <c r="S684" s="47" t="n"/>
      <c r="T684" s="47" t="n"/>
      <c r="U684" s="53" t="n"/>
      <c r="V684" s="53" t="n"/>
      <c r="W684" s="47" t="n"/>
      <c r="X684" s="47" t="n"/>
      <c r="Y684" s="47" t="n"/>
      <c r="Z684" s="47" t="n"/>
      <c r="AA684" s="47" t="n"/>
      <c r="AB684" s="47" t="n"/>
      <c r="AC684" s="47" t="n"/>
      <c r="AD684" s="47" t="n"/>
      <c r="AE684" s="47" t="n"/>
      <c r="AF684" s="20">
        <f>IF(A684="","",YEAR(EDATE(A684,-3)))</f>
        <v/>
      </c>
      <c r="AG684" s="20">
        <f>IF(OR(B684="",'経歴簿'!$C$4=""),"",IF(B684&amp;""='経歴簿'!$C$4&amp;"",MAX($AG$4:AG683)+1,""))</f>
        <v/>
      </c>
      <c r="AH684" s="20">
        <f>IF(A684="",0,IF(AND(OR('CSV抽出'!$C$4="",A684&gt;='CSV抽出'!$C$4),OR('CSV抽出'!$C$5="",A684&lt;='CSV抽出'!$C$5),OR('CSV抽出'!$C$6="すべて",'CSV抽出'!$C$6="",D684='CSV抽出'!$C$6),OR('CSV抽出'!$C$7="",B684&amp;""='CSV抽出'!$C$7&amp;"")),1,0))</f>
        <v/>
      </c>
      <c r="AI684" s="20">
        <f>IF(AH684=1,SUM($AH$5:AH684),"")</f>
        <v/>
      </c>
      <c r="AJ684" s="20">
        <f>IF(OR(S684="",'報告書'!$C$4=""),"",IF(S684&amp;""='報告書'!$C$4&amp;"",COUNTIF($S$5:S684,'報告書'!$C$4),""))</f>
        <v/>
      </c>
      <c r="AK684" s="20" t="n"/>
      <c r="AL684" s="47" t="n"/>
      <c r="AM684" s="47" t="n"/>
      <c r="AN684" s="53" t="n"/>
      <c r="AO684" s="47" t="n"/>
      <c r="AP684" s="47" t="n"/>
      <c r="AQ684" s="47" t="n"/>
      <c r="AR684" s="47" t="n"/>
      <c r="AS684" s="47" t="n"/>
      <c r="AT684" s="47" t="n"/>
      <c r="AU684" s="47" t="n"/>
      <c r="AV684" s="47" t="n"/>
      <c r="AW684" s="52" t="n"/>
    </row>
    <row r="685">
      <c r="A685" s="48" t="n"/>
      <c r="B685" s="52" t="n"/>
      <c r="C685" s="47">
        <f>IF(B685="","",IFERROR(INDEX('隊員マスタ'!$B$5:$B$204,MATCH(B685&amp;"",'隊員マスタ'!$F$5:$F$204,0)),IF(AK685="","番号なし",AK685)))</f>
        <v/>
      </c>
      <c r="D685" s="47" t="n"/>
      <c r="E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  <c r="N685" s="47" t="n"/>
      <c r="O685" s="47" t="n"/>
      <c r="P685" s="47" t="n"/>
      <c r="Q685" s="47" t="n"/>
      <c r="R685" s="47" t="n"/>
      <c r="S685" s="47" t="n"/>
      <c r="T685" s="47" t="n"/>
      <c r="U685" s="53" t="n"/>
      <c r="V685" s="53" t="n"/>
      <c r="W685" s="47" t="n"/>
      <c r="X685" s="47" t="n"/>
      <c r="Y685" s="47" t="n"/>
      <c r="Z685" s="47" t="n"/>
      <c r="AA685" s="47" t="n"/>
      <c r="AB685" s="47" t="n"/>
      <c r="AC685" s="47" t="n"/>
      <c r="AD685" s="47" t="n"/>
      <c r="AE685" s="47" t="n"/>
      <c r="AF685" s="20">
        <f>IF(A685="","",YEAR(EDATE(A685,-3)))</f>
        <v/>
      </c>
      <c r="AG685" s="20">
        <f>IF(OR(B685="",'経歴簿'!$C$4=""),"",IF(B685&amp;""='経歴簿'!$C$4&amp;"",MAX($AG$4:AG684)+1,""))</f>
        <v/>
      </c>
      <c r="AH685" s="20">
        <f>IF(A685="",0,IF(AND(OR('CSV抽出'!$C$4="",A685&gt;='CSV抽出'!$C$4),OR('CSV抽出'!$C$5="",A685&lt;='CSV抽出'!$C$5),OR('CSV抽出'!$C$6="すべて",'CSV抽出'!$C$6="",D685='CSV抽出'!$C$6),OR('CSV抽出'!$C$7="",B685&amp;""='CSV抽出'!$C$7&amp;"")),1,0))</f>
        <v/>
      </c>
      <c r="AI685" s="20">
        <f>IF(AH685=1,SUM($AH$5:AH685),"")</f>
        <v/>
      </c>
      <c r="AJ685" s="20">
        <f>IF(OR(S685="",'報告書'!$C$4=""),"",IF(S685&amp;""='報告書'!$C$4&amp;"",COUNTIF($S$5:S685,'報告書'!$C$4),""))</f>
        <v/>
      </c>
      <c r="AK685" s="20" t="n"/>
      <c r="AL685" s="47" t="n"/>
      <c r="AM685" s="47" t="n"/>
      <c r="AN685" s="53" t="n"/>
      <c r="AO685" s="47" t="n"/>
      <c r="AP685" s="47" t="n"/>
      <c r="AQ685" s="47" t="n"/>
      <c r="AR685" s="47" t="n"/>
      <c r="AS685" s="47" t="n"/>
      <c r="AT685" s="47" t="n"/>
      <c r="AU685" s="47" t="n"/>
      <c r="AV685" s="47" t="n"/>
      <c r="AW685" s="52" t="n"/>
    </row>
    <row r="686">
      <c r="A686" s="48" t="n"/>
      <c r="B686" s="52" t="n"/>
      <c r="C686" s="47">
        <f>IF(B686="","",IFERROR(INDEX('隊員マスタ'!$B$5:$B$204,MATCH(B686&amp;"",'隊員マスタ'!$F$5:$F$204,0)),IF(AK686="","番号なし",AK686)))</f>
        <v/>
      </c>
      <c r="D686" s="47" t="n"/>
      <c r="E686" s="47" t="n"/>
      <c r="F686" s="47" t="n"/>
      <c r="G686" s="47" t="n"/>
      <c r="H686" s="47" t="n"/>
      <c r="I686" s="47" t="n"/>
      <c r="J686" s="47" t="n"/>
      <c r="K686" s="47" t="n"/>
      <c r="L686" s="47" t="n"/>
      <c r="M686" s="47" t="n"/>
      <c r="N686" s="47" t="n"/>
      <c r="O686" s="47" t="n"/>
      <c r="P686" s="47" t="n"/>
      <c r="Q686" s="47" t="n"/>
      <c r="R686" s="47" t="n"/>
      <c r="S686" s="47" t="n"/>
      <c r="T686" s="47" t="n"/>
      <c r="U686" s="53" t="n"/>
      <c r="V686" s="53" t="n"/>
      <c r="W686" s="47" t="n"/>
      <c r="X686" s="47" t="n"/>
      <c r="Y686" s="47" t="n"/>
      <c r="Z686" s="47" t="n"/>
      <c r="AA686" s="47" t="n"/>
      <c r="AB686" s="47" t="n"/>
      <c r="AC686" s="47" t="n"/>
      <c r="AD686" s="47" t="n"/>
      <c r="AE686" s="47" t="n"/>
      <c r="AF686" s="20">
        <f>IF(A686="","",YEAR(EDATE(A686,-3)))</f>
        <v/>
      </c>
      <c r="AG686" s="20">
        <f>IF(OR(B686="",'経歴簿'!$C$4=""),"",IF(B686&amp;""='経歴簿'!$C$4&amp;"",MAX($AG$4:AG685)+1,""))</f>
        <v/>
      </c>
      <c r="AH686" s="20">
        <f>IF(A686="",0,IF(AND(OR('CSV抽出'!$C$4="",A686&gt;='CSV抽出'!$C$4),OR('CSV抽出'!$C$5="",A686&lt;='CSV抽出'!$C$5),OR('CSV抽出'!$C$6="すべて",'CSV抽出'!$C$6="",D686='CSV抽出'!$C$6),OR('CSV抽出'!$C$7="",B686&amp;""='CSV抽出'!$C$7&amp;"")),1,0))</f>
        <v/>
      </c>
      <c r="AI686" s="20">
        <f>IF(AH686=1,SUM($AH$5:AH686),"")</f>
        <v/>
      </c>
      <c r="AJ686" s="20">
        <f>IF(OR(S686="",'報告書'!$C$4=""),"",IF(S686&amp;""='報告書'!$C$4&amp;"",COUNTIF($S$5:S686,'報告書'!$C$4),""))</f>
        <v/>
      </c>
      <c r="AK686" s="20" t="n"/>
      <c r="AL686" s="47" t="n"/>
      <c r="AM686" s="47" t="n"/>
      <c r="AN686" s="53" t="n"/>
      <c r="AO686" s="47" t="n"/>
      <c r="AP686" s="47" t="n"/>
      <c r="AQ686" s="47" t="n"/>
      <c r="AR686" s="47" t="n"/>
      <c r="AS686" s="47" t="n"/>
      <c r="AT686" s="47" t="n"/>
      <c r="AU686" s="47" t="n"/>
      <c r="AV686" s="47" t="n"/>
      <c r="AW686" s="52" t="n"/>
    </row>
    <row r="687">
      <c r="A687" s="48" t="n"/>
      <c r="B687" s="52" t="n"/>
      <c r="C687" s="47">
        <f>IF(B687="","",IFERROR(INDEX('隊員マスタ'!$B$5:$B$204,MATCH(B687&amp;"",'隊員マスタ'!$F$5:$F$204,0)),IF(AK687="","番号なし",AK687)))</f>
        <v/>
      </c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  <c r="N687" s="47" t="n"/>
      <c r="O687" s="47" t="n"/>
      <c r="P687" s="47" t="n"/>
      <c r="Q687" s="47" t="n"/>
      <c r="R687" s="47" t="n"/>
      <c r="S687" s="47" t="n"/>
      <c r="T687" s="47" t="n"/>
      <c r="U687" s="53" t="n"/>
      <c r="V687" s="53" t="n"/>
      <c r="W687" s="47" t="n"/>
      <c r="X687" s="47" t="n"/>
      <c r="Y687" s="47" t="n"/>
      <c r="Z687" s="47" t="n"/>
      <c r="AA687" s="47" t="n"/>
      <c r="AB687" s="47" t="n"/>
      <c r="AC687" s="47" t="n"/>
      <c r="AD687" s="47" t="n"/>
      <c r="AE687" s="47" t="n"/>
      <c r="AF687" s="20">
        <f>IF(A687="","",YEAR(EDATE(A687,-3)))</f>
        <v/>
      </c>
      <c r="AG687" s="20">
        <f>IF(OR(B687="",'経歴簿'!$C$4=""),"",IF(B687&amp;""='経歴簿'!$C$4&amp;"",MAX($AG$4:AG686)+1,""))</f>
        <v/>
      </c>
      <c r="AH687" s="20">
        <f>IF(A687="",0,IF(AND(OR('CSV抽出'!$C$4="",A687&gt;='CSV抽出'!$C$4),OR('CSV抽出'!$C$5="",A687&lt;='CSV抽出'!$C$5),OR('CSV抽出'!$C$6="すべて",'CSV抽出'!$C$6="",D687='CSV抽出'!$C$6),OR('CSV抽出'!$C$7="",B687&amp;""='CSV抽出'!$C$7&amp;"")),1,0))</f>
        <v/>
      </c>
      <c r="AI687" s="20">
        <f>IF(AH687=1,SUM($AH$5:AH687),"")</f>
        <v/>
      </c>
      <c r="AJ687" s="20">
        <f>IF(OR(S687="",'報告書'!$C$4=""),"",IF(S687&amp;""='報告書'!$C$4&amp;"",COUNTIF($S$5:S687,'報告書'!$C$4),""))</f>
        <v/>
      </c>
      <c r="AK687" s="20" t="n"/>
      <c r="AL687" s="47" t="n"/>
      <c r="AM687" s="47" t="n"/>
      <c r="AN687" s="53" t="n"/>
      <c r="AO687" s="47" t="n"/>
      <c r="AP687" s="47" t="n"/>
      <c r="AQ687" s="47" t="n"/>
      <c r="AR687" s="47" t="n"/>
      <c r="AS687" s="47" t="n"/>
      <c r="AT687" s="47" t="n"/>
      <c r="AU687" s="47" t="n"/>
      <c r="AV687" s="47" t="n"/>
      <c r="AW687" s="52" t="n"/>
    </row>
    <row r="688">
      <c r="A688" s="48" t="n"/>
      <c r="B688" s="52" t="n"/>
      <c r="C688" s="47">
        <f>IF(B688="","",IFERROR(INDEX('隊員マスタ'!$B$5:$B$204,MATCH(B688&amp;"",'隊員マスタ'!$F$5:$F$204,0)),IF(AK688="","番号なし",AK688)))</f>
        <v/>
      </c>
      <c r="D688" s="47" t="n"/>
      <c r="E688" s="47" t="n"/>
      <c r="F688" s="47" t="n"/>
      <c r="G688" s="47" t="n"/>
      <c r="H688" s="47" t="n"/>
      <c r="I688" s="47" t="n"/>
      <c r="J688" s="47" t="n"/>
      <c r="K688" s="47" t="n"/>
      <c r="L688" s="47" t="n"/>
      <c r="M688" s="47" t="n"/>
      <c r="N688" s="47" t="n"/>
      <c r="O688" s="47" t="n"/>
      <c r="P688" s="47" t="n"/>
      <c r="Q688" s="47" t="n"/>
      <c r="R688" s="47" t="n"/>
      <c r="S688" s="47" t="n"/>
      <c r="T688" s="47" t="n"/>
      <c r="U688" s="53" t="n"/>
      <c r="V688" s="53" t="n"/>
      <c r="W688" s="47" t="n"/>
      <c r="X688" s="47" t="n"/>
      <c r="Y688" s="47" t="n"/>
      <c r="Z688" s="47" t="n"/>
      <c r="AA688" s="47" t="n"/>
      <c r="AB688" s="47" t="n"/>
      <c r="AC688" s="47" t="n"/>
      <c r="AD688" s="47" t="n"/>
      <c r="AE688" s="47" t="n"/>
      <c r="AF688" s="20">
        <f>IF(A688="","",YEAR(EDATE(A688,-3)))</f>
        <v/>
      </c>
      <c r="AG688" s="20">
        <f>IF(OR(B688="",'経歴簿'!$C$4=""),"",IF(B688&amp;""='経歴簿'!$C$4&amp;"",MAX($AG$4:AG687)+1,""))</f>
        <v/>
      </c>
      <c r="AH688" s="20">
        <f>IF(A688="",0,IF(AND(OR('CSV抽出'!$C$4="",A688&gt;='CSV抽出'!$C$4),OR('CSV抽出'!$C$5="",A688&lt;='CSV抽出'!$C$5),OR('CSV抽出'!$C$6="すべて",'CSV抽出'!$C$6="",D688='CSV抽出'!$C$6),OR('CSV抽出'!$C$7="",B688&amp;""='CSV抽出'!$C$7&amp;"")),1,0))</f>
        <v/>
      </c>
      <c r="AI688" s="20">
        <f>IF(AH688=1,SUM($AH$5:AH688),"")</f>
        <v/>
      </c>
      <c r="AJ688" s="20">
        <f>IF(OR(S688="",'報告書'!$C$4=""),"",IF(S688&amp;""='報告書'!$C$4&amp;"",COUNTIF($S$5:S688,'報告書'!$C$4),""))</f>
        <v/>
      </c>
      <c r="AK688" s="20" t="n"/>
      <c r="AL688" s="47" t="n"/>
      <c r="AM688" s="47" t="n"/>
      <c r="AN688" s="53" t="n"/>
      <c r="AO688" s="47" t="n"/>
      <c r="AP688" s="47" t="n"/>
      <c r="AQ688" s="47" t="n"/>
      <c r="AR688" s="47" t="n"/>
      <c r="AS688" s="47" t="n"/>
      <c r="AT688" s="47" t="n"/>
      <c r="AU688" s="47" t="n"/>
      <c r="AV688" s="47" t="n"/>
      <c r="AW688" s="52" t="n"/>
    </row>
    <row r="689">
      <c r="A689" s="48" t="n"/>
      <c r="B689" s="52" t="n"/>
      <c r="C689" s="47">
        <f>IF(B689="","",IFERROR(INDEX('隊員マスタ'!$B$5:$B$204,MATCH(B689&amp;"",'隊員マスタ'!$F$5:$F$204,0)),IF(AK689="","番号なし",AK689)))</f>
        <v/>
      </c>
      <c r="D689" s="47" t="n"/>
      <c r="E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  <c r="N689" s="47" t="n"/>
      <c r="O689" s="47" t="n"/>
      <c r="P689" s="47" t="n"/>
      <c r="Q689" s="47" t="n"/>
      <c r="R689" s="47" t="n"/>
      <c r="S689" s="47" t="n"/>
      <c r="T689" s="47" t="n"/>
      <c r="U689" s="53" t="n"/>
      <c r="V689" s="53" t="n"/>
      <c r="W689" s="47" t="n"/>
      <c r="X689" s="47" t="n"/>
      <c r="Y689" s="47" t="n"/>
      <c r="Z689" s="47" t="n"/>
      <c r="AA689" s="47" t="n"/>
      <c r="AB689" s="47" t="n"/>
      <c r="AC689" s="47" t="n"/>
      <c r="AD689" s="47" t="n"/>
      <c r="AE689" s="47" t="n"/>
      <c r="AF689" s="20">
        <f>IF(A689="","",YEAR(EDATE(A689,-3)))</f>
        <v/>
      </c>
      <c r="AG689" s="20">
        <f>IF(OR(B689="",'経歴簿'!$C$4=""),"",IF(B689&amp;""='経歴簿'!$C$4&amp;"",MAX($AG$4:AG688)+1,""))</f>
        <v/>
      </c>
      <c r="AH689" s="20">
        <f>IF(A689="",0,IF(AND(OR('CSV抽出'!$C$4="",A689&gt;='CSV抽出'!$C$4),OR('CSV抽出'!$C$5="",A689&lt;='CSV抽出'!$C$5),OR('CSV抽出'!$C$6="すべて",'CSV抽出'!$C$6="",D689='CSV抽出'!$C$6),OR('CSV抽出'!$C$7="",B689&amp;""='CSV抽出'!$C$7&amp;"")),1,0))</f>
        <v/>
      </c>
      <c r="AI689" s="20">
        <f>IF(AH689=1,SUM($AH$5:AH689),"")</f>
        <v/>
      </c>
      <c r="AJ689" s="20">
        <f>IF(OR(S689="",'報告書'!$C$4=""),"",IF(S689&amp;""='報告書'!$C$4&amp;"",COUNTIF($S$5:S689,'報告書'!$C$4),""))</f>
        <v/>
      </c>
      <c r="AK689" s="20" t="n"/>
      <c r="AL689" s="47" t="n"/>
      <c r="AM689" s="47" t="n"/>
      <c r="AN689" s="53" t="n"/>
      <c r="AO689" s="47" t="n"/>
      <c r="AP689" s="47" t="n"/>
      <c r="AQ689" s="47" t="n"/>
      <c r="AR689" s="47" t="n"/>
      <c r="AS689" s="47" t="n"/>
      <c r="AT689" s="47" t="n"/>
      <c r="AU689" s="47" t="n"/>
      <c r="AV689" s="47" t="n"/>
      <c r="AW689" s="52" t="n"/>
    </row>
    <row r="690">
      <c r="A690" s="48" t="n"/>
      <c r="B690" s="52" t="n"/>
      <c r="C690" s="47">
        <f>IF(B690="","",IFERROR(INDEX('隊員マスタ'!$B$5:$B$204,MATCH(B690&amp;"",'隊員マスタ'!$F$5:$F$204,0)),IF(AK690="","番号なし",AK690)))</f>
        <v/>
      </c>
      <c r="D690" s="47" t="n"/>
      <c r="E690" s="47" t="n"/>
      <c r="F690" s="47" t="n"/>
      <c r="G690" s="47" t="n"/>
      <c r="H690" s="47" t="n"/>
      <c r="I690" s="47" t="n"/>
      <c r="J690" s="47" t="n"/>
      <c r="K690" s="47" t="n"/>
      <c r="L690" s="47" t="n"/>
      <c r="M690" s="47" t="n"/>
      <c r="N690" s="47" t="n"/>
      <c r="O690" s="47" t="n"/>
      <c r="P690" s="47" t="n"/>
      <c r="Q690" s="47" t="n"/>
      <c r="R690" s="47" t="n"/>
      <c r="S690" s="47" t="n"/>
      <c r="T690" s="47" t="n"/>
      <c r="U690" s="53" t="n"/>
      <c r="V690" s="53" t="n"/>
      <c r="W690" s="47" t="n"/>
      <c r="X690" s="47" t="n"/>
      <c r="Y690" s="47" t="n"/>
      <c r="Z690" s="47" t="n"/>
      <c r="AA690" s="47" t="n"/>
      <c r="AB690" s="47" t="n"/>
      <c r="AC690" s="47" t="n"/>
      <c r="AD690" s="47" t="n"/>
      <c r="AE690" s="47" t="n"/>
      <c r="AF690" s="20">
        <f>IF(A690="","",YEAR(EDATE(A690,-3)))</f>
        <v/>
      </c>
      <c r="AG690" s="20">
        <f>IF(OR(B690="",'経歴簿'!$C$4=""),"",IF(B690&amp;""='経歴簿'!$C$4&amp;"",MAX($AG$4:AG689)+1,""))</f>
        <v/>
      </c>
      <c r="AH690" s="20">
        <f>IF(A690="",0,IF(AND(OR('CSV抽出'!$C$4="",A690&gt;='CSV抽出'!$C$4),OR('CSV抽出'!$C$5="",A690&lt;='CSV抽出'!$C$5),OR('CSV抽出'!$C$6="すべて",'CSV抽出'!$C$6="",D690='CSV抽出'!$C$6),OR('CSV抽出'!$C$7="",B690&amp;""='CSV抽出'!$C$7&amp;"")),1,0))</f>
        <v/>
      </c>
      <c r="AI690" s="20">
        <f>IF(AH690=1,SUM($AH$5:AH690),"")</f>
        <v/>
      </c>
      <c r="AJ690" s="20">
        <f>IF(OR(S690="",'報告書'!$C$4=""),"",IF(S690&amp;""='報告書'!$C$4&amp;"",COUNTIF($S$5:S690,'報告書'!$C$4),""))</f>
        <v/>
      </c>
      <c r="AK690" s="20" t="n"/>
      <c r="AL690" s="47" t="n"/>
      <c r="AM690" s="47" t="n"/>
      <c r="AN690" s="53" t="n"/>
      <c r="AO690" s="47" t="n"/>
      <c r="AP690" s="47" t="n"/>
      <c r="AQ690" s="47" t="n"/>
      <c r="AR690" s="47" t="n"/>
      <c r="AS690" s="47" t="n"/>
      <c r="AT690" s="47" t="n"/>
      <c r="AU690" s="47" t="n"/>
      <c r="AV690" s="47" t="n"/>
      <c r="AW690" s="52" t="n"/>
    </row>
    <row r="691">
      <c r="A691" s="48" t="n"/>
      <c r="B691" s="52" t="n"/>
      <c r="C691" s="47">
        <f>IF(B691="","",IFERROR(INDEX('隊員マスタ'!$B$5:$B$204,MATCH(B691&amp;"",'隊員マスタ'!$F$5:$F$204,0)),IF(AK691="","番号なし",AK691)))</f>
        <v/>
      </c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  <c r="N691" s="47" t="n"/>
      <c r="O691" s="47" t="n"/>
      <c r="P691" s="47" t="n"/>
      <c r="Q691" s="47" t="n"/>
      <c r="R691" s="47" t="n"/>
      <c r="S691" s="47" t="n"/>
      <c r="T691" s="47" t="n"/>
      <c r="U691" s="53" t="n"/>
      <c r="V691" s="53" t="n"/>
      <c r="W691" s="47" t="n"/>
      <c r="X691" s="47" t="n"/>
      <c r="Y691" s="47" t="n"/>
      <c r="Z691" s="47" t="n"/>
      <c r="AA691" s="47" t="n"/>
      <c r="AB691" s="47" t="n"/>
      <c r="AC691" s="47" t="n"/>
      <c r="AD691" s="47" t="n"/>
      <c r="AE691" s="47" t="n"/>
      <c r="AF691" s="20">
        <f>IF(A691="","",YEAR(EDATE(A691,-3)))</f>
        <v/>
      </c>
      <c r="AG691" s="20">
        <f>IF(OR(B691="",'経歴簿'!$C$4=""),"",IF(B691&amp;""='経歴簿'!$C$4&amp;"",MAX($AG$4:AG690)+1,""))</f>
        <v/>
      </c>
      <c r="AH691" s="20">
        <f>IF(A691="",0,IF(AND(OR('CSV抽出'!$C$4="",A691&gt;='CSV抽出'!$C$4),OR('CSV抽出'!$C$5="",A691&lt;='CSV抽出'!$C$5),OR('CSV抽出'!$C$6="すべて",'CSV抽出'!$C$6="",D691='CSV抽出'!$C$6),OR('CSV抽出'!$C$7="",B691&amp;""='CSV抽出'!$C$7&amp;"")),1,0))</f>
        <v/>
      </c>
      <c r="AI691" s="20">
        <f>IF(AH691=1,SUM($AH$5:AH691),"")</f>
        <v/>
      </c>
      <c r="AJ691" s="20">
        <f>IF(OR(S691="",'報告書'!$C$4=""),"",IF(S691&amp;""='報告書'!$C$4&amp;"",COUNTIF($S$5:S691,'報告書'!$C$4),""))</f>
        <v/>
      </c>
      <c r="AK691" s="20" t="n"/>
      <c r="AL691" s="47" t="n"/>
      <c r="AM691" s="47" t="n"/>
      <c r="AN691" s="53" t="n"/>
      <c r="AO691" s="47" t="n"/>
      <c r="AP691" s="47" t="n"/>
      <c r="AQ691" s="47" t="n"/>
      <c r="AR691" s="47" t="n"/>
      <c r="AS691" s="47" t="n"/>
      <c r="AT691" s="47" t="n"/>
      <c r="AU691" s="47" t="n"/>
      <c r="AV691" s="47" t="n"/>
      <c r="AW691" s="52" t="n"/>
    </row>
    <row r="692">
      <c r="A692" s="48" t="n"/>
      <c r="B692" s="52" t="n"/>
      <c r="C692" s="47">
        <f>IF(B692="","",IFERROR(INDEX('隊員マスタ'!$B$5:$B$204,MATCH(B692&amp;"",'隊員マスタ'!$F$5:$F$204,0)),IF(AK692="","番号なし",AK692)))</f>
        <v/>
      </c>
      <c r="D692" s="47" t="n"/>
      <c r="E692" s="47" t="n"/>
      <c r="F692" s="47" t="n"/>
      <c r="G692" s="47" t="n"/>
      <c r="H692" s="47" t="n"/>
      <c r="I692" s="47" t="n"/>
      <c r="J692" s="47" t="n"/>
      <c r="K692" s="47" t="n"/>
      <c r="L692" s="47" t="n"/>
      <c r="M692" s="47" t="n"/>
      <c r="N692" s="47" t="n"/>
      <c r="O692" s="47" t="n"/>
      <c r="P692" s="47" t="n"/>
      <c r="Q692" s="47" t="n"/>
      <c r="R692" s="47" t="n"/>
      <c r="S692" s="47" t="n"/>
      <c r="T692" s="47" t="n"/>
      <c r="U692" s="53" t="n"/>
      <c r="V692" s="53" t="n"/>
      <c r="W692" s="47" t="n"/>
      <c r="X692" s="47" t="n"/>
      <c r="Y692" s="47" t="n"/>
      <c r="Z692" s="47" t="n"/>
      <c r="AA692" s="47" t="n"/>
      <c r="AB692" s="47" t="n"/>
      <c r="AC692" s="47" t="n"/>
      <c r="AD692" s="47" t="n"/>
      <c r="AE692" s="47" t="n"/>
      <c r="AF692" s="20">
        <f>IF(A692="","",YEAR(EDATE(A692,-3)))</f>
        <v/>
      </c>
      <c r="AG692" s="20">
        <f>IF(OR(B692="",'経歴簿'!$C$4=""),"",IF(B692&amp;""='経歴簿'!$C$4&amp;"",MAX($AG$4:AG691)+1,""))</f>
        <v/>
      </c>
      <c r="AH692" s="20">
        <f>IF(A692="",0,IF(AND(OR('CSV抽出'!$C$4="",A692&gt;='CSV抽出'!$C$4),OR('CSV抽出'!$C$5="",A692&lt;='CSV抽出'!$C$5),OR('CSV抽出'!$C$6="すべて",'CSV抽出'!$C$6="",D692='CSV抽出'!$C$6),OR('CSV抽出'!$C$7="",B692&amp;""='CSV抽出'!$C$7&amp;"")),1,0))</f>
        <v/>
      </c>
      <c r="AI692" s="20">
        <f>IF(AH692=1,SUM($AH$5:AH692),"")</f>
        <v/>
      </c>
      <c r="AJ692" s="20">
        <f>IF(OR(S692="",'報告書'!$C$4=""),"",IF(S692&amp;""='報告書'!$C$4&amp;"",COUNTIF($S$5:S692,'報告書'!$C$4),""))</f>
        <v/>
      </c>
      <c r="AK692" s="20" t="n"/>
      <c r="AL692" s="47" t="n"/>
      <c r="AM692" s="47" t="n"/>
      <c r="AN692" s="53" t="n"/>
      <c r="AO692" s="47" t="n"/>
      <c r="AP692" s="47" t="n"/>
      <c r="AQ692" s="47" t="n"/>
      <c r="AR692" s="47" t="n"/>
      <c r="AS692" s="47" t="n"/>
      <c r="AT692" s="47" t="n"/>
      <c r="AU692" s="47" t="n"/>
      <c r="AV692" s="47" t="n"/>
      <c r="AW692" s="52" t="n"/>
    </row>
    <row r="693">
      <c r="A693" s="48" t="n"/>
      <c r="B693" s="52" t="n"/>
      <c r="C693" s="47">
        <f>IF(B693="","",IFERROR(INDEX('隊員マスタ'!$B$5:$B$204,MATCH(B693&amp;"",'隊員マスタ'!$F$5:$F$204,0)),IF(AK693="","番号なし",AK693)))</f>
        <v/>
      </c>
      <c r="D693" s="47" t="n"/>
      <c r="E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  <c r="N693" s="47" t="n"/>
      <c r="O693" s="47" t="n"/>
      <c r="P693" s="47" t="n"/>
      <c r="Q693" s="47" t="n"/>
      <c r="R693" s="47" t="n"/>
      <c r="S693" s="47" t="n"/>
      <c r="T693" s="47" t="n"/>
      <c r="U693" s="53" t="n"/>
      <c r="V693" s="53" t="n"/>
      <c r="W693" s="47" t="n"/>
      <c r="X693" s="47" t="n"/>
      <c r="Y693" s="47" t="n"/>
      <c r="Z693" s="47" t="n"/>
      <c r="AA693" s="47" t="n"/>
      <c r="AB693" s="47" t="n"/>
      <c r="AC693" s="47" t="n"/>
      <c r="AD693" s="47" t="n"/>
      <c r="AE693" s="47" t="n"/>
      <c r="AF693" s="20">
        <f>IF(A693="","",YEAR(EDATE(A693,-3)))</f>
        <v/>
      </c>
      <c r="AG693" s="20">
        <f>IF(OR(B693="",'経歴簿'!$C$4=""),"",IF(B693&amp;""='経歴簿'!$C$4&amp;"",MAX($AG$4:AG692)+1,""))</f>
        <v/>
      </c>
      <c r="AH693" s="20">
        <f>IF(A693="",0,IF(AND(OR('CSV抽出'!$C$4="",A693&gt;='CSV抽出'!$C$4),OR('CSV抽出'!$C$5="",A693&lt;='CSV抽出'!$C$5),OR('CSV抽出'!$C$6="すべて",'CSV抽出'!$C$6="",D693='CSV抽出'!$C$6),OR('CSV抽出'!$C$7="",B693&amp;""='CSV抽出'!$C$7&amp;"")),1,0))</f>
        <v/>
      </c>
      <c r="AI693" s="20">
        <f>IF(AH693=1,SUM($AH$5:AH693),"")</f>
        <v/>
      </c>
      <c r="AJ693" s="20">
        <f>IF(OR(S693="",'報告書'!$C$4=""),"",IF(S693&amp;""='報告書'!$C$4&amp;"",COUNTIF($S$5:S693,'報告書'!$C$4),""))</f>
        <v/>
      </c>
      <c r="AK693" s="20" t="n"/>
      <c r="AL693" s="47" t="n"/>
      <c r="AM693" s="47" t="n"/>
      <c r="AN693" s="53" t="n"/>
      <c r="AO693" s="47" t="n"/>
      <c r="AP693" s="47" t="n"/>
      <c r="AQ693" s="47" t="n"/>
      <c r="AR693" s="47" t="n"/>
      <c r="AS693" s="47" t="n"/>
      <c r="AT693" s="47" t="n"/>
      <c r="AU693" s="47" t="n"/>
      <c r="AV693" s="47" t="n"/>
      <c r="AW693" s="52" t="n"/>
    </row>
    <row r="694">
      <c r="A694" s="48" t="n"/>
      <c r="B694" s="52" t="n"/>
      <c r="C694" s="47">
        <f>IF(B694="","",IFERROR(INDEX('隊員マスタ'!$B$5:$B$204,MATCH(B694&amp;"",'隊員マスタ'!$F$5:$F$204,0)),IF(AK694="","番号なし",AK694)))</f>
        <v/>
      </c>
      <c r="D694" s="47" t="n"/>
      <c r="E694" s="47" t="n"/>
      <c r="F694" s="47" t="n"/>
      <c r="G694" s="47" t="n"/>
      <c r="H694" s="47" t="n"/>
      <c r="I694" s="47" t="n"/>
      <c r="J694" s="47" t="n"/>
      <c r="K694" s="47" t="n"/>
      <c r="L694" s="47" t="n"/>
      <c r="M694" s="47" t="n"/>
      <c r="N694" s="47" t="n"/>
      <c r="O694" s="47" t="n"/>
      <c r="P694" s="47" t="n"/>
      <c r="Q694" s="47" t="n"/>
      <c r="R694" s="47" t="n"/>
      <c r="S694" s="47" t="n"/>
      <c r="T694" s="47" t="n"/>
      <c r="U694" s="53" t="n"/>
      <c r="V694" s="53" t="n"/>
      <c r="W694" s="47" t="n"/>
      <c r="X694" s="47" t="n"/>
      <c r="Y694" s="47" t="n"/>
      <c r="Z694" s="47" t="n"/>
      <c r="AA694" s="47" t="n"/>
      <c r="AB694" s="47" t="n"/>
      <c r="AC694" s="47" t="n"/>
      <c r="AD694" s="47" t="n"/>
      <c r="AE694" s="47" t="n"/>
      <c r="AF694" s="20">
        <f>IF(A694="","",YEAR(EDATE(A694,-3)))</f>
        <v/>
      </c>
      <c r="AG694" s="20">
        <f>IF(OR(B694="",'経歴簿'!$C$4=""),"",IF(B694&amp;""='経歴簿'!$C$4&amp;"",MAX($AG$4:AG693)+1,""))</f>
        <v/>
      </c>
      <c r="AH694" s="20">
        <f>IF(A694="",0,IF(AND(OR('CSV抽出'!$C$4="",A694&gt;='CSV抽出'!$C$4),OR('CSV抽出'!$C$5="",A694&lt;='CSV抽出'!$C$5),OR('CSV抽出'!$C$6="すべて",'CSV抽出'!$C$6="",D694='CSV抽出'!$C$6),OR('CSV抽出'!$C$7="",B694&amp;""='CSV抽出'!$C$7&amp;"")),1,0))</f>
        <v/>
      </c>
      <c r="AI694" s="20">
        <f>IF(AH694=1,SUM($AH$5:AH694),"")</f>
        <v/>
      </c>
      <c r="AJ694" s="20">
        <f>IF(OR(S694="",'報告書'!$C$4=""),"",IF(S694&amp;""='報告書'!$C$4&amp;"",COUNTIF($S$5:S694,'報告書'!$C$4),""))</f>
        <v/>
      </c>
      <c r="AK694" s="20" t="n"/>
      <c r="AL694" s="47" t="n"/>
      <c r="AM694" s="47" t="n"/>
      <c r="AN694" s="53" t="n"/>
      <c r="AO694" s="47" t="n"/>
      <c r="AP694" s="47" t="n"/>
      <c r="AQ694" s="47" t="n"/>
      <c r="AR694" s="47" t="n"/>
      <c r="AS694" s="47" t="n"/>
      <c r="AT694" s="47" t="n"/>
      <c r="AU694" s="47" t="n"/>
      <c r="AV694" s="47" t="n"/>
      <c r="AW694" s="52" t="n"/>
    </row>
    <row r="695">
      <c r="A695" s="48" t="n"/>
      <c r="B695" s="52" t="n"/>
      <c r="C695" s="47">
        <f>IF(B695="","",IFERROR(INDEX('隊員マスタ'!$B$5:$B$204,MATCH(B695&amp;"",'隊員マスタ'!$F$5:$F$204,0)),IF(AK695="","番号なし",AK695)))</f>
        <v/>
      </c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  <c r="N695" s="47" t="n"/>
      <c r="O695" s="47" t="n"/>
      <c r="P695" s="47" t="n"/>
      <c r="Q695" s="47" t="n"/>
      <c r="R695" s="47" t="n"/>
      <c r="S695" s="47" t="n"/>
      <c r="T695" s="47" t="n"/>
      <c r="U695" s="53" t="n"/>
      <c r="V695" s="53" t="n"/>
      <c r="W695" s="47" t="n"/>
      <c r="X695" s="47" t="n"/>
      <c r="Y695" s="47" t="n"/>
      <c r="Z695" s="47" t="n"/>
      <c r="AA695" s="47" t="n"/>
      <c r="AB695" s="47" t="n"/>
      <c r="AC695" s="47" t="n"/>
      <c r="AD695" s="47" t="n"/>
      <c r="AE695" s="47" t="n"/>
      <c r="AF695" s="20">
        <f>IF(A695="","",YEAR(EDATE(A695,-3)))</f>
        <v/>
      </c>
      <c r="AG695" s="20">
        <f>IF(OR(B695="",'経歴簿'!$C$4=""),"",IF(B695&amp;""='経歴簿'!$C$4&amp;"",MAX($AG$4:AG694)+1,""))</f>
        <v/>
      </c>
      <c r="AH695" s="20">
        <f>IF(A695="",0,IF(AND(OR('CSV抽出'!$C$4="",A695&gt;='CSV抽出'!$C$4),OR('CSV抽出'!$C$5="",A695&lt;='CSV抽出'!$C$5),OR('CSV抽出'!$C$6="すべて",'CSV抽出'!$C$6="",D695='CSV抽出'!$C$6),OR('CSV抽出'!$C$7="",B695&amp;""='CSV抽出'!$C$7&amp;"")),1,0))</f>
        <v/>
      </c>
      <c r="AI695" s="20">
        <f>IF(AH695=1,SUM($AH$5:AH695),"")</f>
        <v/>
      </c>
      <c r="AJ695" s="20">
        <f>IF(OR(S695="",'報告書'!$C$4=""),"",IF(S695&amp;""='報告書'!$C$4&amp;"",COUNTIF($S$5:S695,'報告書'!$C$4),""))</f>
        <v/>
      </c>
      <c r="AK695" s="20" t="n"/>
      <c r="AL695" s="47" t="n"/>
      <c r="AM695" s="47" t="n"/>
      <c r="AN695" s="53" t="n"/>
      <c r="AO695" s="47" t="n"/>
      <c r="AP695" s="47" t="n"/>
      <c r="AQ695" s="47" t="n"/>
      <c r="AR695" s="47" t="n"/>
      <c r="AS695" s="47" t="n"/>
      <c r="AT695" s="47" t="n"/>
      <c r="AU695" s="47" t="n"/>
      <c r="AV695" s="47" t="n"/>
      <c r="AW695" s="52" t="n"/>
    </row>
    <row r="696">
      <c r="A696" s="48" t="n"/>
      <c r="B696" s="52" t="n"/>
      <c r="C696" s="47">
        <f>IF(B696="","",IFERROR(INDEX('隊員マスタ'!$B$5:$B$204,MATCH(B696&amp;"",'隊員マスタ'!$F$5:$F$204,0)),IF(AK696="","番号なし",AK696)))</f>
        <v/>
      </c>
      <c r="D696" s="47" t="n"/>
      <c r="E696" s="47" t="n"/>
      <c r="F696" s="47" t="n"/>
      <c r="G696" s="47" t="n"/>
      <c r="H696" s="47" t="n"/>
      <c r="I696" s="47" t="n"/>
      <c r="J696" s="47" t="n"/>
      <c r="K696" s="47" t="n"/>
      <c r="L696" s="47" t="n"/>
      <c r="M696" s="47" t="n"/>
      <c r="N696" s="47" t="n"/>
      <c r="O696" s="47" t="n"/>
      <c r="P696" s="47" t="n"/>
      <c r="Q696" s="47" t="n"/>
      <c r="R696" s="47" t="n"/>
      <c r="S696" s="47" t="n"/>
      <c r="T696" s="47" t="n"/>
      <c r="U696" s="53" t="n"/>
      <c r="V696" s="53" t="n"/>
      <c r="W696" s="47" t="n"/>
      <c r="X696" s="47" t="n"/>
      <c r="Y696" s="47" t="n"/>
      <c r="Z696" s="47" t="n"/>
      <c r="AA696" s="47" t="n"/>
      <c r="AB696" s="47" t="n"/>
      <c r="AC696" s="47" t="n"/>
      <c r="AD696" s="47" t="n"/>
      <c r="AE696" s="47" t="n"/>
      <c r="AF696" s="20">
        <f>IF(A696="","",YEAR(EDATE(A696,-3)))</f>
        <v/>
      </c>
      <c r="AG696" s="20">
        <f>IF(OR(B696="",'経歴簿'!$C$4=""),"",IF(B696&amp;""='経歴簿'!$C$4&amp;"",MAX($AG$4:AG695)+1,""))</f>
        <v/>
      </c>
      <c r="AH696" s="20">
        <f>IF(A696="",0,IF(AND(OR('CSV抽出'!$C$4="",A696&gt;='CSV抽出'!$C$4),OR('CSV抽出'!$C$5="",A696&lt;='CSV抽出'!$C$5),OR('CSV抽出'!$C$6="すべて",'CSV抽出'!$C$6="",D696='CSV抽出'!$C$6),OR('CSV抽出'!$C$7="",B696&amp;""='CSV抽出'!$C$7&amp;"")),1,0))</f>
        <v/>
      </c>
      <c r="AI696" s="20">
        <f>IF(AH696=1,SUM($AH$5:AH696),"")</f>
        <v/>
      </c>
      <c r="AJ696" s="20">
        <f>IF(OR(S696="",'報告書'!$C$4=""),"",IF(S696&amp;""='報告書'!$C$4&amp;"",COUNTIF($S$5:S696,'報告書'!$C$4),""))</f>
        <v/>
      </c>
      <c r="AK696" s="20" t="n"/>
      <c r="AL696" s="47" t="n"/>
      <c r="AM696" s="47" t="n"/>
      <c r="AN696" s="53" t="n"/>
      <c r="AO696" s="47" t="n"/>
      <c r="AP696" s="47" t="n"/>
      <c r="AQ696" s="47" t="n"/>
      <c r="AR696" s="47" t="n"/>
      <c r="AS696" s="47" t="n"/>
      <c r="AT696" s="47" t="n"/>
      <c r="AU696" s="47" t="n"/>
      <c r="AV696" s="47" t="n"/>
      <c r="AW696" s="52" t="n"/>
    </row>
    <row r="697">
      <c r="A697" s="48" t="n"/>
      <c r="B697" s="52" t="n"/>
      <c r="C697" s="47">
        <f>IF(B697="","",IFERROR(INDEX('隊員マスタ'!$B$5:$B$204,MATCH(B697&amp;"",'隊員マスタ'!$F$5:$F$204,0)),IF(AK697="","番号なし",AK697)))</f>
        <v/>
      </c>
      <c r="D697" s="47" t="n"/>
      <c r="E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  <c r="N697" s="47" t="n"/>
      <c r="O697" s="47" t="n"/>
      <c r="P697" s="47" t="n"/>
      <c r="Q697" s="47" t="n"/>
      <c r="R697" s="47" t="n"/>
      <c r="S697" s="47" t="n"/>
      <c r="T697" s="47" t="n"/>
      <c r="U697" s="53" t="n"/>
      <c r="V697" s="53" t="n"/>
      <c r="W697" s="47" t="n"/>
      <c r="X697" s="47" t="n"/>
      <c r="Y697" s="47" t="n"/>
      <c r="Z697" s="47" t="n"/>
      <c r="AA697" s="47" t="n"/>
      <c r="AB697" s="47" t="n"/>
      <c r="AC697" s="47" t="n"/>
      <c r="AD697" s="47" t="n"/>
      <c r="AE697" s="47" t="n"/>
      <c r="AF697" s="20">
        <f>IF(A697="","",YEAR(EDATE(A697,-3)))</f>
        <v/>
      </c>
      <c r="AG697" s="20">
        <f>IF(OR(B697="",'経歴簿'!$C$4=""),"",IF(B697&amp;""='経歴簿'!$C$4&amp;"",MAX($AG$4:AG696)+1,""))</f>
        <v/>
      </c>
      <c r="AH697" s="20">
        <f>IF(A697="",0,IF(AND(OR('CSV抽出'!$C$4="",A697&gt;='CSV抽出'!$C$4),OR('CSV抽出'!$C$5="",A697&lt;='CSV抽出'!$C$5),OR('CSV抽出'!$C$6="すべて",'CSV抽出'!$C$6="",D697='CSV抽出'!$C$6),OR('CSV抽出'!$C$7="",B697&amp;""='CSV抽出'!$C$7&amp;"")),1,0))</f>
        <v/>
      </c>
      <c r="AI697" s="20">
        <f>IF(AH697=1,SUM($AH$5:AH697),"")</f>
        <v/>
      </c>
      <c r="AJ697" s="20">
        <f>IF(OR(S697="",'報告書'!$C$4=""),"",IF(S697&amp;""='報告書'!$C$4&amp;"",COUNTIF($S$5:S697,'報告書'!$C$4),""))</f>
        <v/>
      </c>
      <c r="AK697" s="20" t="n"/>
      <c r="AL697" s="47" t="n"/>
      <c r="AM697" s="47" t="n"/>
      <c r="AN697" s="53" t="n"/>
      <c r="AO697" s="47" t="n"/>
      <c r="AP697" s="47" t="n"/>
      <c r="AQ697" s="47" t="n"/>
      <c r="AR697" s="47" t="n"/>
      <c r="AS697" s="47" t="n"/>
      <c r="AT697" s="47" t="n"/>
      <c r="AU697" s="47" t="n"/>
      <c r="AV697" s="47" t="n"/>
      <c r="AW697" s="52" t="n"/>
    </row>
    <row r="698">
      <c r="A698" s="48" t="n"/>
      <c r="B698" s="52" t="n"/>
      <c r="C698" s="47">
        <f>IF(B698="","",IFERROR(INDEX('隊員マスタ'!$B$5:$B$204,MATCH(B698&amp;"",'隊員マスタ'!$F$5:$F$204,0)),IF(AK698="","番号なし",AK698)))</f>
        <v/>
      </c>
      <c r="D698" s="47" t="n"/>
      <c r="E698" s="47" t="n"/>
      <c r="F698" s="47" t="n"/>
      <c r="G698" s="47" t="n"/>
      <c r="H698" s="47" t="n"/>
      <c r="I698" s="47" t="n"/>
      <c r="J698" s="47" t="n"/>
      <c r="K698" s="47" t="n"/>
      <c r="L698" s="47" t="n"/>
      <c r="M698" s="47" t="n"/>
      <c r="N698" s="47" t="n"/>
      <c r="O698" s="47" t="n"/>
      <c r="P698" s="47" t="n"/>
      <c r="Q698" s="47" t="n"/>
      <c r="R698" s="47" t="n"/>
      <c r="S698" s="47" t="n"/>
      <c r="T698" s="47" t="n"/>
      <c r="U698" s="53" t="n"/>
      <c r="V698" s="53" t="n"/>
      <c r="W698" s="47" t="n"/>
      <c r="X698" s="47" t="n"/>
      <c r="Y698" s="47" t="n"/>
      <c r="Z698" s="47" t="n"/>
      <c r="AA698" s="47" t="n"/>
      <c r="AB698" s="47" t="n"/>
      <c r="AC698" s="47" t="n"/>
      <c r="AD698" s="47" t="n"/>
      <c r="AE698" s="47" t="n"/>
      <c r="AF698" s="20">
        <f>IF(A698="","",YEAR(EDATE(A698,-3)))</f>
        <v/>
      </c>
      <c r="AG698" s="20">
        <f>IF(OR(B698="",'経歴簿'!$C$4=""),"",IF(B698&amp;""='経歴簿'!$C$4&amp;"",MAX($AG$4:AG697)+1,""))</f>
        <v/>
      </c>
      <c r="AH698" s="20">
        <f>IF(A698="",0,IF(AND(OR('CSV抽出'!$C$4="",A698&gt;='CSV抽出'!$C$4),OR('CSV抽出'!$C$5="",A698&lt;='CSV抽出'!$C$5),OR('CSV抽出'!$C$6="すべて",'CSV抽出'!$C$6="",D698='CSV抽出'!$C$6),OR('CSV抽出'!$C$7="",B698&amp;""='CSV抽出'!$C$7&amp;"")),1,0))</f>
        <v/>
      </c>
      <c r="AI698" s="20">
        <f>IF(AH698=1,SUM($AH$5:AH698),"")</f>
        <v/>
      </c>
      <c r="AJ698" s="20">
        <f>IF(OR(S698="",'報告書'!$C$4=""),"",IF(S698&amp;""='報告書'!$C$4&amp;"",COUNTIF($S$5:S698,'報告書'!$C$4),""))</f>
        <v/>
      </c>
      <c r="AK698" s="20" t="n"/>
      <c r="AL698" s="47" t="n"/>
      <c r="AM698" s="47" t="n"/>
      <c r="AN698" s="53" t="n"/>
      <c r="AO698" s="47" t="n"/>
      <c r="AP698" s="47" t="n"/>
      <c r="AQ698" s="47" t="n"/>
      <c r="AR698" s="47" t="n"/>
      <c r="AS698" s="47" t="n"/>
      <c r="AT698" s="47" t="n"/>
      <c r="AU698" s="47" t="n"/>
      <c r="AV698" s="47" t="n"/>
      <c r="AW698" s="52" t="n"/>
    </row>
    <row r="699">
      <c r="A699" s="48" t="n"/>
      <c r="B699" s="52" t="n"/>
      <c r="C699" s="47">
        <f>IF(B699="","",IFERROR(INDEX('隊員マスタ'!$B$5:$B$204,MATCH(B699&amp;"",'隊員マスタ'!$F$5:$F$204,0)),IF(AK699="","番号なし",AK699)))</f>
        <v/>
      </c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  <c r="N699" s="47" t="n"/>
      <c r="O699" s="47" t="n"/>
      <c r="P699" s="47" t="n"/>
      <c r="Q699" s="47" t="n"/>
      <c r="R699" s="47" t="n"/>
      <c r="S699" s="47" t="n"/>
      <c r="T699" s="47" t="n"/>
      <c r="U699" s="53" t="n"/>
      <c r="V699" s="53" t="n"/>
      <c r="W699" s="47" t="n"/>
      <c r="X699" s="47" t="n"/>
      <c r="Y699" s="47" t="n"/>
      <c r="Z699" s="47" t="n"/>
      <c r="AA699" s="47" t="n"/>
      <c r="AB699" s="47" t="n"/>
      <c r="AC699" s="47" t="n"/>
      <c r="AD699" s="47" t="n"/>
      <c r="AE699" s="47" t="n"/>
      <c r="AF699" s="20">
        <f>IF(A699="","",YEAR(EDATE(A699,-3)))</f>
        <v/>
      </c>
      <c r="AG699" s="20">
        <f>IF(OR(B699="",'経歴簿'!$C$4=""),"",IF(B699&amp;""='経歴簿'!$C$4&amp;"",MAX($AG$4:AG698)+1,""))</f>
        <v/>
      </c>
      <c r="AH699" s="20">
        <f>IF(A699="",0,IF(AND(OR('CSV抽出'!$C$4="",A699&gt;='CSV抽出'!$C$4),OR('CSV抽出'!$C$5="",A699&lt;='CSV抽出'!$C$5),OR('CSV抽出'!$C$6="すべて",'CSV抽出'!$C$6="",D699='CSV抽出'!$C$6),OR('CSV抽出'!$C$7="",B699&amp;""='CSV抽出'!$C$7&amp;"")),1,0))</f>
        <v/>
      </c>
      <c r="AI699" s="20">
        <f>IF(AH699=1,SUM($AH$5:AH699),"")</f>
        <v/>
      </c>
      <c r="AJ699" s="20">
        <f>IF(OR(S699="",'報告書'!$C$4=""),"",IF(S699&amp;""='報告書'!$C$4&amp;"",COUNTIF($S$5:S699,'報告書'!$C$4),""))</f>
        <v/>
      </c>
      <c r="AK699" s="20" t="n"/>
      <c r="AL699" s="47" t="n"/>
      <c r="AM699" s="47" t="n"/>
      <c r="AN699" s="53" t="n"/>
      <c r="AO699" s="47" t="n"/>
      <c r="AP699" s="47" t="n"/>
      <c r="AQ699" s="47" t="n"/>
      <c r="AR699" s="47" t="n"/>
      <c r="AS699" s="47" t="n"/>
      <c r="AT699" s="47" t="n"/>
      <c r="AU699" s="47" t="n"/>
      <c r="AV699" s="47" t="n"/>
      <c r="AW699" s="52" t="n"/>
    </row>
    <row r="700">
      <c r="A700" s="48" t="n"/>
      <c r="B700" s="52" t="n"/>
      <c r="C700" s="47">
        <f>IF(B700="","",IFERROR(INDEX('隊員マスタ'!$B$5:$B$204,MATCH(B700&amp;"",'隊員マスタ'!$F$5:$F$204,0)),IF(AK700="","番号なし",AK700)))</f>
        <v/>
      </c>
      <c r="D700" s="47" t="n"/>
      <c r="E700" s="47" t="n"/>
      <c r="F700" s="47" t="n"/>
      <c r="G700" s="47" t="n"/>
      <c r="H700" s="47" t="n"/>
      <c r="I700" s="47" t="n"/>
      <c r="J700" s="47" t="n"/>
      <c r="K700" s="47" t="n"/>
      <c r="L700" s="47" t="n"/>
      <c r="M700" s="47" t="n"/>
      <c r="N700" s="47" t="n"/>
      <c r="O700" s="47" t="n"/>
      <c r="P700" s="47" t="n"/>
      <c r="Q700" s="47" t="n"/>
      <c r="R700" s="47" t="n"/>
      <c r="S700" s="47" t="n"/>
      <c r="T700" s="47" t="n"/>
      <c r="U700" s="53" t="n"/>
      <c r="V700" s="53" t="n"/>
      <c r="W700" s="47" t="n"/>
      <c r="X700" s="47" t="n"/>
      <c r="Y700" s="47" t="n"/>
      <c r="Z700" s="47" t="n"/>
      <c r="AA700" s="47" t="n"/>
      <c r="AB700" s="47" t="n"/>
      <c r="AC700" s="47" t="n"/>
      <c r="AD700" s="47" t="n"/>
      <c r="AE700" s="47" t="n"/>
      <c r="AF700" s="20">
        <f>IF(A700="","",YEAR(EDATE(A700,-3)))</f>
        <v/>
      </c>
      <c r="AG700" s="20">
        <f>IF(OR(B700="",'経歴簿'!$C$4=""),"",IF(B700&amp;""='経歴簿'!$C$4&amp;"",MAX($AG$4:AG699)+1,""))</f>
        <v/>
      </c>
      <c r="AH700" s="20">
        <f>IF(A700="",0,IF(AND(OR('CSV抽出'!$C$4="",A700&gt;='CSV抽出'!$C$4),OR('CSV抽出'!$C$5="",A700&lt;='CSV抽出'!$C$5),OR('CSV抽出'!$C$6="すべて",'CSV抽出'!$C$6="",D700='CSV抽出'!$C$6),OR('CSV抽出'!$C$7="",B700&amp;""='CSV抽出'!$C$7&amp;"")),1,0))</f>
        <v/>
      </c>
      <c r="AI700" s="20">
        <f>IF(AH700=1,SUM($AH$5:AH700),"")</f>
        <v/>
      </c>
      <c r="AJ700" s="20">
        <f>IF(OR(S700="",'報告書'!$C$4=""),"",IF(S700&amp;""='報告書'!$C$4&amp;"",COUNTIF($S$5:S700,'報告書'!$C$4),""))</f>
        <v/>
      </c>
      <c r="AK700" s="20" t="n"/>
      <c r="AL700" s="47" t="n"/>
      <c r="AM700" s="47" t="n"/>
      <c r="AN700" s="53" t="n"/>
      <c r="AO700" s="47" t="n"/>
      <c r="AP700" s="47" t="n"/>
      <c r="AQ700" s="47" t="n"/>
      <c r="AR700" s="47" t="n"/>
      <c r="AS700" s="47" t="n"/>
      <c r="AT700" s="47" t="n"/>
      <c r="AU700" s="47" t="n"/>
      <c r="AV700" s="47" t="n"/>
      <c r="AW700" s="52" t="n"/>
    </row>
    <row r="701">
      <c r="A701" s="48" t="n"/>
      <c r="B701" s="52" t="n"/>
      <c r="C701" s="47">
        <f>IF(B701="","",IFERROR(INDEX('隊員マスタ'!$B$5:$B$204,MATCH(B701&amp;"",'隊員マスタ'!$F$5:$F$204,0)),IF(AK701="","番号なし",AK701)))</f>
        <v/>
      </c>
      <c r="D701" s="47" t="n"/>
      <c r="E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  <c r="N701" s="47" t="n"/>
      <c r="O701" s="47" t="n"/>
      <c r="P701" s="47" t="n"/>
      <c r="Q701" s="47" t="n"/>
      <c r="R701" s="47" t="n"/>
      <c r="S701" s="47" t="n"/>
      <c r="T701" s="47" t="n"/>
      <c r="U701" s="53" t="n"/>
      <c r="V701" s="53" t="n"/>
      <c r="W701" s="47" t="n"/>
      <c r="X701" s="47" t="n"/>
      <c r="Y701" s="47" t="n"/>
      <c r="Z701" s="47" t="n"/>
      <c r="AA701" s="47" t="n"/>
      <c r="AB701" s="47" t="n"/>
      <c r="AC701" s="47" t="n"/>
      <c r="AD701" s="47" t="n"/>
      <c r="AE701" s="47" t="n"/>
      <c r="AF701" s="20">
        <f>IF(A701="","",YEAR(EDATE(A701,-3)))</f>
        <v/>
      </c>
      <c r="AG701" s="20">
        <f>IF(OR(B701="",'経歴簿'!$C$4=""),"",IF(B701&amp;""='経歴簿'!$C$4&amp;"",MAX($AG$4:AG700)+1,""))</f>
        <v/>
      </c>
      <c r="AH701" s="20">
        <f>IF(A701="",0,IF(AND(OR('CSV抽出'!$C$4="",A701&gt;='CSV抽出'!$C$4),OR('CSV抽出'!$C$5="",A701&lt;='CSV抽出'!$C$5),OR('CSV抽出'!$C$6="すべて",'CSV抽出'!$C$6="",D701='CSV抽出'!$C$6),OR('CSV抽出'!$C$7="",B701&amp;""='CSV抽出'!$C$7&amp;"")),1,0))</f>
        <v/>
      </c>
      <c r="AI701" s="20">
        <f>IF(AH701=1,SUM($AH$5:AH701),"")</f>
        <v/>
      </c>
      <c r="AJ701" s="20">
        <f>IF(OR(S701="",'報告書'!$C$4=""),"",IF(S701&amp;""='報告書'!$C$4&amp;"",COUNTIF($S$5:S701,'報告書'!$C$4),""))</f>
        <v/>
      </c>
      <c r="AK701" s="20" t="n"/>
      <c r="AL701" s="47" t="n"/>
      <c r="AM701" s="47" t="n"/>
      <c r="AN701" s="53" t="n"/>
      <c r="AO701" s="47" t="n"/>
      <c r="AP701" s="47" t="n"/>
      <c r="AQ701" s="47" t="n"/>
      <c r="AR701" s="47" t="n"/>
      <c r="AS701" s="47" t="n"/>
      <c r="AT701" s="47" t="n"/>
      <c r="AU701" s="47" t="n"/>
      <c r="AV701" s="47" t="n"/>
      <c r="AW701" s="52" t="n"/>
    </row>
    <row r="702">
      <c r="A702" s="48" t="n"/>
      <c r="B702" s="52" t="n"/>
      <c r="C702" s="47">
        <f>IF(B702="","",IFERROR(INDEX('隊員マスタ'!$B$5:$B$204,MATCH(B702&amp;"",'隊員マスタ'!$F$5:$F$204,0)),IF(AK702="","番号なし",AK702)))</f>
        <v/>
      </c>
      <c r="D702" s="47" t="n"/>
      <c r="E702" s="47" t="n"/>
      <c r="F702" s="47" t="n"/>
      <c r="G702" s="47" t="n"/>
      <c r="H702" s="47" t="n"/>
      <c r="I702" s="47" t="n"/>
      <c r="J702" s="47" t="n"/>
      <c r="K702" s="47" t="n"/>
      <c r="L702" s="47" t="n"/>
      <c r="M702" s="47" t="n"/>
      <c r="N702" s="47" t="n"/>
      <c r="O702" s="47" t="n"/>
      <c r="P702" s="47" t="n"/>
      <c r="Q702" s="47" t="n"/>
      <c r="R702" s="47" t="n"/>
      <c r="S702" s="47" t="n"/>
      <c r="T702" s="47" t="n"/>
      <c r="U702" s="53" t="n"/>
      <c r="V702" s="53" t="n"/>
      <c r="W702" s="47" t="n"/>
      <c r="X702" s="47" t="n"/>
      <c r="Y702" s="47" t="n"/>
      <c r="Z702" s="47" t="n"/>
      <c r="AA702" s="47" t="n"/>
      <c r="AB702" s="47" t="n"/>
      <c r="AC702" s="47" t="n"/>
      <c r="AD702" s="47" t="n"/>
      <c r="AE702" s="47" t="n"/>
      <c r="AF702" s="20">
        <f>IF(A702="","",YEAR(EDATE(A702,-3)))</f>
        <v/>
      </c>
      <c r="AG702" s="20">
        <f>IF(OR(B702="",'経歴簿'!$C$4=""),"",IF(B702&amp;""='経歴簿'!$C$4&amp;"",MAX($AG$4:AG701)+1,""))</f>
        <v/>
      </c>
      <c r="AH702" s="20">
        <f>IF(A702="",0,IF(AND(OR('CSV抽出'!$C$4="",A702&gt;='CSV抽出'!$C$4),OR('CSV抽出'!$C$5="",A702&lt;='CSV抽出'!$C$5),OR('CSV抽出'!$C$6="すべて",'CSV抽出'!$C$6="",D702='CSV抽出'!$C$6),OR('CSV抽出'!$C$7="",B702&amp;""='CSV抽出'!$C$7&amp;"")),1,0))</f>
        <v/>
      </c>
      <c r="AI702" s="20">
        <f>IF(AH702=1,SUM($AH$5:AH702),"")</f>
        <v/>
      </c>
      <c r="AJ702" s="20">
        <f>IF(OR(S702="",'報告書'!$C$4=""),"",IF(S702&amp;""='報告書'!$C$4&amp;"",COUNTIF($S$5:S702,'報告書'!$C$4),""))</f>
        <v/>
      </c>
      <c r="AK702" s="20" t="n"/>
      <c r="AL702" s="47" t="n"/>
      <c r="AM702" s="47" t="n"/>
      <c r="AN702" s="53" t="n"/>
      <c r="AO702" s="47" t="n"/>
      <c r="AP702" s="47" t="n"/>
      <c r="AQ702" s="47" t="n"/>
      <c r="AR702" s="47" t="n"/>
      <c r="AS702" s="47" t="n"/>
      <c r="AT702" s="47" t="n"/>
      <c r="AU702" s="47" t="n"/>
      <c r="AV702" s="47" t="n"/>
      <c r="AW702" s="52" t="n"/>
    </row>
    <row r="703">
      <c r="A703" s="48" t="n"/>
      <c r="B703" s="52" t="n"/>
      <c r="C703" s="47">
        <f>IF(B703="","",IFERROR(INDEX('隊員マスタ'!$B$5:$B$204,MATCH(B703&amp;"",'隊員マスタ'!$F$5:$F$204,0)),IF(AK703="","番号なし",AK703)))</f>
        <v/>
      </c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  <c r="N703" s="47" t="n"/>
      <c r="O703" s="47" t="n"/>
      <c r="P703" s="47" t="n"/>
      <c r="Q703" s="47" t="n"/>
      <c r="R703" s="47" t="n"/>
      <c r="S703" s="47" t="n"/>
      <c r="T703" s="47" t="n"/>
      <c r="U703" s="53" t="n"/>
      <c r="V703" s="53" t="n"/>
      <c r="W703" s="47" t="n"/>
      <c r="X703" s="47" t="n"/>
      <c r="Y703" s="47" t="n"/>
      <c r="Z703" s="47" t="n"/>
      <c r="AA703" s="47" t="n"/>
      <c r="AB703" s="47" t="n"/>
      <c r="AC703" s="47" t="n"/>
      <c r="AD703" s="47" t="n"/>
      <c r="AE703" s="47" t="n"/>
      <c r="AF703" s="20">
        <f>IF(A703="","",YEAR(EDATE(A703,-3)))</f>
        <v/>
      </c>
      <c r="AG703" s="20">
        <f>IF(OR(B703="",'経歴簿'!$C$4=""),"",IF(B703&amp;""='経歴簿'!$C$4&amp;"",MAX($AG$4:AG702)+1,""))</f>
        <v/>
      </c>
      <c r="AH703" s="20">
        <f>IF(A703="",0,IF(AND(OR('CSV抽出'!$C$4="",A703&gt;='CSV抽出'!$C$4),OR('CSV抽出'!$C$5="",A703&lt;='CSV抽出'!$C$5),OR('CSV抽出'!$C$6="すべて",'CSV抽出'!$C$6="",D703='CSV抽出'!$C$6),OR('CSV抽出'!$C$7="",B703&amp;""='CSV抽出'!$C$7&amp;"")),1,0))</f>
        <v/>
      </c>
      <c r="AI703" s="20">
        <f>IF(AH703=1,SUM($AH$5:AH703),"")</f>
        <v/>
      </c>
      <c r="AJ703" s="20">
        <f>IF(OR(S703="",'報告書'!$C$4=""),"",IF(S703&amp;""='報告書'!$C$4&amp;"",COUNTIF($S$5:S703,'報告書'!$C$4),""))</f>
        <v/>
      </c>
      <c r="AK703" s="20" t="n"/>
      <c r="AL703" s="47" t="n"/>
      <c r="AM703" s="47" t="n"/>
      <c r="AN703" s="53" t="n"/>
      <c r="AO703" s="47" t="n"/>
      <c r="AP703" s="47" t="n"/>
      <c r="AQ703" s="47" t="n"/>
      <c r="AR703" s="47" t="n"/>
      <c r="AS703" s="47" t="n"/>
      <c r="AT703" s="47" t="n"/>
      <c r="AU703" s="47" t="n"/>
      <c r="AV703" s="47" t="n"/>
      <c r="AW703" s="52" t="n"/>
    </row>
    <row r="704">
      <c r="A704" s="48" t="n"/>
      <c r="B704" s="52" t="n"/>
      <c r="C704" s="47">
        <f>IF(B704="","",IFERROR(INDEX('隊員マスタ'!$B$5:$B$204,MATCH(B704&amp;"",'隊員マスタ'!$F$5:$F$204,0)),IF(AK704="","番号なし",AK704)))</f>
        <v/>
      </c>
      <c r="D704" s="47" t="n"/>
      <c r="E704" s="47" t="n"/>
      <c r="F704" s="47" t="n"/>
      <c r="G704" s="47" t="n"/>
      <c r="H704" s="47" t="n"/>
      <c r="I704" s="47" t="n"/>
      <c r="J704" s="47" t="n"/>
      <c r="K704" s="47" t="n"/>
      <c r="L704" s="47" t="n"/>
      <c r="M704" s="47" t="n"/>
      <c r="N704" s="47" t="n"/>
      <c r="O704" s="47" t="n"/>
      <c r="P704" s="47" t="n"/>
      <c r="Q704" s="47" t="n"/>
      <c r="R704" s="47" t="n"/>
      <c r="S704" s="47" t="n"/>
      <c r="T704" s="47" t="n"/>
      <c r="U704" s="53" t="n"/>
      <c r="V704" s="53" t="n"/>
      <c r="W704" s="47" t="n"/>
      <c r="X704" s="47" t="n"/>
      <c r="Y704" s="47" t="n"/>
      <c r="Z704" s="47" t="n"/>
      <c r="AA704" s="47" t="n"/>
      <c r="AB704" s="47" t="n"/>
      <c r="AC704" s="47" t="n"/>
      <c r="AD704" s="47" t="n"/>
      <c r="AE704" s="47" t="n"/>
      <c r="AF704" s="20">
        <f>IF(A704="","",YEAR(EDATE(A704,-3)))</f>
        <v/>
      </c>
      <c r="AG704" s="20">
        <f>IF(OR(B704="",'経歴簿'!$C$4=""),"",IF(B704&amp;""='経歴簿'!$C$4&amp;"",MAX($AG$4:AG703)+1,""))</f>
        <v/>
      </c>
      <c r="AH704" s="20">
        <f>IF(A704="",0,IF(AND(OR('CSV抽出'!$C$4="",A704&gt;='CSV抽出'!$C$4),OR('CSV抽出'!$C$5="",A704&lt;='CSV抽出'!$C$5),OR('CSV抽出'!$C$6="すべて",'CSV抽出'!$C$6="",D704='CSV抽出'!$C$6),OR('CSV抽出'!$C$7="",B704&amp;""='CSV抽出'!$C$7&amp;"")),1,0))</f>
        <v/>
      </c>
      <c r="AI704" s="20">
        <f>IF(AH704=1,SUM($AH$5:AH704),"")</f>
        <v/>
      </c>
      <c r="AJ704" s="20">
        <f>IF(OR(S704="",'報告書'!$C$4=""),"",IF(S704&amp;""='報告書'!$C$4&amp;"",COUNTIF($S$5:S704,'報告書'!$C$4),""))</f>
        <v/>
      </c>
      <c r="AK704" s="20" t="n"/>
      <c r="AL704" s="47" t="n"/>
      <c r="AM704" s="47" t="n"/>
      <c r="AN704" s="53" t="n"/>
      <c r="AO704" s="47" t="n"/>
      <c r="AP704" s="47" t="n"/>
      <c r="AQ704" s="47" t="n"/>
      <c r="AR704" s="47" t="n"/>
      <c r="AS704" s="47" t="n"/>
      <c r="AT704" s="47" t="n"/>
      <c r="AU704" s="47" t="n"/>
      <c r="AV704" s="47" t="n"/>
      <c r="AW704" s="52" t="n"/>
    </row>
    <row r="705">
      <c r="A705" s="48" t="n"/>
      <c r="B705" s="52" t="n"/>
      <c r="C705" s="47">
        <f>IF(B705="","",IFERROR(INDEX('隊員マスタ'!$B$5:$B$204,MATCH(B705&amp;"",'隊員マスタ'!$F$5:$F$204,0)),IF(AK705="","番号なし",AK705)))</f>
        <v/>
      </c>
      <c r="D705" s="47" t="n"/>
      <c r="E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  <c r="N705" s="47" t="n"/>
      <c r="O705" s="47" t="n"/>
      <c r="P705" s="47" t="n"/>
      <c r="Q705" s="47" t="n"/>
      <c r="R705" s="47" t="n"/>
      <c r="S705" s="47" t="n"/>
      <c r="T705" s="47" t="n"/>
      <c r="U705" s="53" t="n"/>
      <c r="V705" s="53" t="n"/>
      <c r="W705" s="47" t="n"/>
      <c r="X705" s="47" t="n"/>
      <c r="Y705" s="47" t="n"/>
      <c r="Z705" s="47" t="n"/>
      <c r="AA705" s="47" t="n"/>
      <c r="AB705" s="47" t="n"/>
      <c r="AC705" s="47" t="n"/>
      <c r="AD705" s="47" t="n"/>
      <c r="AE705" s="47" t="n"/>
      <c r="AF705" s="20">
        <f>IF(A705="","",YEAR(EDATE(A705,-3)))</f>
        <v/>
      </c>
      <c r="AG705" s="20">
        <f>IF(OR(B705="",'経歴簿'!$C$4=""),"",IF(B705&amp;""='経歴簿'!$C$4&amp;"",MAX($AG$4:AG704)+1,""))</f>
        <v/>
      </c>
      <c r="AH705" s="20">
        <f>IF(A705="",0,IF(AND(OR('CSV抽出'!$C$4="",A705&gt;='CSV抽出'!$C$4),OR('CSV抽出'!$C$5="",A705&lt;='CSV抽出'!$C$5),OR('CSV抽出'!$C$6="すべて",'CSV抽出'!$C$6="",D705='CSV抽出'!$C$6),OR('CSV抽出'!$C$7="",B705&amp;""='CSV抽出'!$C$7&amp;"")),1,0))</f>
        <v/>
      </c>
      <c r="AI705" s="20">
        <f>IF(AH705=1,SUM($AH$5:AH705),"")</f>
        <v/>
      </c>
      <c r="AJ705" s="20">
        <f>IF(OR(S705="",'報告書'!$C$4=""),"",IF(S705&amp;""='報告書'!$C$4&amp;"",COUNTIF($S$5:S705,'報告書'!$C$4),""))</f>
        <v/>
      </c>
      <c r="AK705" s="20" t="n"/>
      <c r="AL705" s="47" t="n"/>
      <c r="AM705" s="47" t="n"/>
      <c r="AN705" s="53" t="n"/>
      <c r="AO705" s="47" t="n"/>
      <c r="AP705" s="47" t="n"/>
      <c r="AQ705" s="47" t="n"/>
      <c r="AR705" s="47" t="n"/>
      <c r="AS705" s="47" t="n"/>
      <c r="AT705" s="47" t="n"/>
      <c r="AU705" s="47" t="n"/>
      <c r="AV705" s="47" t="n"/>
      <c r="AW705" s="52" t="n"/>
    </row>
    <row r="706">
      <c r="A706" s="48" t="n"/>
      <c r="B706" s="52" t="n"/>
      <c r="C706" s="47">
        <f>IF(B706="","",IFERROR(INDEX('隊員マスタ'!$B$5:$B$204,MATCH(B706&amp;"",'隊員マスタ'!$F$5:$F$204,0)),IF(AK706="","番号なし",AK706)))</f>
        <v/>
      </c>
      <c r="D706" s="47" t="n"/>
      <c r="E706" s="47" t="n"/>
      <c r="F706" s="47" t="n"/>
      <c r="G706" s="47" t="n"/>
      <c r="H706" s="47" t="n"/>
      <c r="I706" s="47" t="n"/>
      <c r="J706" s="47" t="n"/>
      <c r="K706" s="47" t="n"/>
      <c r="L706" s="47" t="n"/>
      <c r="M706" s="47" t="n"/>
      <c r="N706" s="47" t="n"/>
      <c r="O706" s="47" t="n"/>
      <c r="P706" s="47" t="n"/>
      <c r="Q706" s="47" t="n"/>
      <c r="R706" s="47" t="n"/>
      <c r="S706" s="47" t="n"/>
      <c r="T706" s="47" t="n"/>
      <c r="U706" s="53" t="n"/>
      <c r="V706" s="53" t="n"/>
      <c r="W706" s="47" t="n"/>
      <c r="X706" s="47" t="n"/>
      <c r="Y706" s="47" t="n"/>
      <c r="Z706" s="47" t="n"/>
      <c r="AA706" s="47" t="n"/>
      <c r="AB706" s="47" t="n"/>
      <c r="AC706" s="47" t="n"/>
      <c r="AD706" s="47" t="n"/>
      <c r="AE706" s="47" t="n"/>
      <c r="AF706" s="20">
        <f>IF(A706="","",YEAR(EDATE(A706,-3)))</f>
        <v/>
      </c>
      <c r="AG706" s="20">
        <f>IF(OR(B706="",'経歴簿'!$C$4=""),"",IF(B706&amp;""='経歴簿'!$C$4&amp;"",MAX($AG$4:AG705)+1,""))</f>
        <v/>
      </c>
      <c r="AH706" s="20">
        <f>IF(A706="",0,IF(AND(OR('CSV抽出'!$C$4="",A706&gt;='CSV抽出'!$C$4),OR('CSV抽出'!$C$5="",A706&lt;='CSV抽出'!$C$5),OR('CSV抽出'!$C$6="すべて",'CSV抽出'!$C$6="",D706='CSV抽出'!$C$6),OR('CSV抽出'!$C$7="",B706&amp;""='CSV抽出'!$C$7&amp;"")),1,0))</f>
        <v/>
      </c>
      <c r="AI706" s="20">
        <f>IF(AH706=1,SUM($AH$5:AH706),"")</f>
        <v/>
      </c>
      <c r="AJ706" s="20">
        <f>IF(OR(S706="",'報告書'!$C$4=""),"",IF(S706&amp;""='報告書'!$C$4&amp;"",COUNTIF($S$5:S706,'報告書'!$C$4),""))</f>
        <v/>
      </c>
      <c r="AK706" s="20" t="n"/>
      <c r="AL706" s="47" t="n"/>
      <c r="AM706" s="47" t="n"/>
      <c r="AN706" s="53" t="n"/>
      <c r="AO706" s="47" t="n"/>
      <c r="AP706" s="47" t="n"/>
      <c r="AQ706" s="47" t="n"/>
      <c r="AR706" s="47" t="n"/>
      <c r="AS706" s="47" t="n"/>
      <c r="AT706" s="47" t="n"/>
      <c r="AU706" s="47" t="n"/>
      <c r="AV706" s="47" t="n"/>
      <c r="AW706" s="52" t="n"/>
    </row>
    <row r="707">
      <c r="A707" s="48" t="n"/>
      <c r="B707" s="52" t="n"/>
      <c r="C707" s="47">
        <f>IF(B707="","",IFERROR(INDEX('隊員マスタ'!$B$5:$B$204,MATCH(B707&amp;"",'隊員マスタ'!$F$5:$F$204,0)),IF(AK707="","番号なし",AK707)))</f>
        <v/>
      </c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  <c r="N707" s="47" t="n"/>
      <c r="O707" s="47" t="n"/>
      <c r="P707" s="47" t="n"/>
      <c r="Q707" s="47" t="n"/>
      <c r="R707" s="47" t="n"/>
      <c r="S707" s="47" t="n"/>
      <c r="T707" s="47" t="n"/>
      <c r="U707" s="53" t="n"/>
      <c r="V707" s="53" t="n"/>
      <c r="W707" s="47" t="n"/>
      <c r="X707" s="47" t="n"/>
      <c r="Y707" s="47" t="n"/>
      <c r="Z707" s="47" t="n"/>
      <c r="AA707" s="47" t="n"/>
      <c r="AB707" s="47" t="n"/>
      <c r="AC707" s="47" t="n"/>
      <c r="AD707" s="47" t="n"/>
      <c r="AE707" s="47" t="n"/>
      <c r="AF707" s="20">
        <f>IF(A707="","",YEAR(EDATE(A707,-3)))</f>
        <v/>
      </c>
      <c r="AG707" s="20">
        <f>IF(OR(B707="",'経歴簿'!$C$4=""),"",IF(B707&amp;""='経歴簿'!$C$4&amp;"",MAX($AG$4:AG706)+1,""))</f>
        <v/>
      </c>
      <c r="AH707" s="20">
        <f>IF(A707="",0,IF(AND(OR('CSV抽出'!$C$4="",A707&gt;='CSV抽出'!$C$4),OR('CSV抽出'!$C$5="",A707&lt;='CSV抽出'!$C$5),OR('CSV抽出'!$C$6="すべて",'CSV抽出'!$C$6="",D707='CSV抽出'!$C$6),OR('CSV抽出'!$C$7="",B707&amp;""='CSV抽出'!$C$7&amp;"")),1,0))</f>
        <v/>
      </c>
      <c r="AI707" s="20">
        <f>IF(AH707=1,SUM($AH$5:AH707),"")</f>
        <v/>
      </c>
      <c r="AJ707" s="20">
        <f>IF(OR(S707="",'報告書'!$C$4=""),"",IF(S707&amp;""='報告書'!$C$4&amp;"",COUNTIF($S$5:S707,'報告書'!$C$4),""))</f>
        <v/>
      </c>
      <c r="AK707" s="20" t="n"/>
      <c r="AL707" s="47" t="n"/>
      <c r="AM707" s="47" t="n"/>
      <c r="AN707" s="53" t="n"/>
      <c r="AO707" s="47" t="n"/>
      <c r="AP707" s="47" t="n"/>
      <c r="AQ707" s="47" t="n"/>
      <c r="AR707" s="47" t="n"/>
      <c r="AS707" s="47" t="n"/>
      <c r="AT707" s="47" t="n"/>
      <c r="AU707" s="47" t="n"/>
      <c r="AV707" s="47" t="n"/>
      <c r="AW707" s="52" t="n"/>
    </row>
    <row r="708">
      <c r="A708" s="48" t="n"/>
      <c r="B708" s="52" t="n"/>
      <c r="C708" s="47">
        <f>IF(B708="","",IFERROR(INDEX('隊員マスタ'!$B$5:$B$204,MATCH(B708&amp;"",'隊員マスタ'!$F$5:$F$204,0)),IF(AK708="","番号なし",AK708)))</f>
        <v/>
      </c>
      <c r="D708" s="47" t="n"/>
      <c r="E708" s="47" t="n"/>
      <c r="F708" s="47" t="n"/>
      <c r="G708" s="47" t="n"/>
      <c r="H708" s="47" t="n"/>
      <c r="I708" s="47" t="n"/>
      <c r="J708" s="47" t="n"/>
      <c r="K708" s="47" t="n"/>
      <c r="L708" s="47" t="n"/>
      <c r="M708" s="47" t="n"/>
      <c r="N708" s="47" t="n"/>
      <c r="O708" s="47" t="n"/>
      <c r="P708" s="47" t="n"/>
      <c r="Q708" s="47" t="n"/>
      <c r="R708" s="47" t="n"/>
      <c r="S708" s="47" t="n"/>
      <c r="T708" s="47" t="n"/>
      <c r="U708" s="53" t="n"/>
      <c r="V708" s="53" t="n"/>
      <c r="W708" s="47" t="n"/>
      <c r="X708" s="47" t="n"/>
      <c r="Y708" s="47" t="n"/>
      <c r="Z708" s="47" t="n"/>
      <c r="AA708" s="47" t="n"/>
      <c r="AB708" s="47" t="n"/>
      <c r="AC708" s="47" t="n"/>
      <c r="AD708" s="47" t="n"/>
      <c r="AE708" s="47" t="n"/>
      <c r="AF708" s="20">
        <f>IF(A708="","",YEAR(EDATE(A708,-3)))</f>
        <v/>
      </c>
      <c r="AG708" s="20">
        <f>IF(OR(B708="",'経歴簿'!$C$4=""),"",IF(B708&amp;""='経歴簿'!$C$4&amp;"",MAX($AG$4:AG707)+1,""))</f>
        <v/>
      </c>
      <c r="AH708" s="20">
        <f>IF(A708="",0,IF(AND(OR('CSV抽出'!$C$4="",A708&gt;='CSV抽出'!$C$4),OR('CSV抽出'!$C$5="",A708&lt;='CSV抽出'!$C$5),OR('CSV抽出'!$C$6="すべて",'CSV抽出'!$C$6="",D708='CSV抽出'!$C$6),OR('CSV抽出'!$C$7="",B708&amp;""='CSV抽出'!$C$7&amp;"")),1,0))</f>
        <v/>
      </c>
      <c r="AI708" s="20">
        <f>IF(AH708=1,SUM($AH$5:AH708),"")</f>
        <v/>
      </c>
      <c r="AJ708" s="20">
        <f>IF(OR(S708="",'報告書'!$C$4=""),"",IF(S708&amp;""='報告書'!$C$4&amp;"",COUNTIF($S$5:S708,'報告書'!$C$4),""))</f>
        <v/>
      </c>
      <c r="AK708" s="20" t="n"/>
      <c r="AL708" s="47" t="n"/>
      <c r="AM708" s="47" t="n"/>
      <c r="AN708" s="53" t="n"/>
      <c r="AO708" s="47" t="n"/>
      <c r="AP708" s="47" t="n"/>
      <c r="AQ708" s="47" t="n"/>
      <c r="AR708" s="47" t="n"/>
      <c r="AS708" s="47" t="n"/>
      <c r="AT708" s="47" t="n"/>
      <c r="AU708" s="47" t="n"/>
      <c r="AV708" s="47" t="n"/>
      <c r="AW708" s="52" t="n"/>
    </row>
    <row r="709">
      <c r="A709" s="48" t="n"/>
      <c r="B709" s="52" t="n"/>
      <c r="C709" s="47">
        <f>IF(B709="","",IFERROR(INDEX('隊員マスタ'!$B$5:$B$204,MATCH(B709&amp;"",'隊員マスタ'!$F$5:$F$204,0)),IF(AK709="","番号なし",AK709)))</f>
        <v/>
      </c>
      <c r="D709" s="47" t="n"/>
      <c r="E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  <c r="N709" s="47" t="n"/>
      <c r="O709" s="47" t="n"/>
      <c r="P709" s="47" t="n"/>
      <c r="Q709" s="47" t="n"/>
      <c r="R709" s="47" t="n"/>
      <c r="S709" s="47" t="n"/>
      <c r="T709" s="47" t="n"/>
      <c r="U709" s="53" t="n"/>
      <c r="V709" s="53" t="n"/>
      <c r="W709" s="47" t="n"/>
      <c r="X709" s="47" t="n"/>
      <c r="Y709" s="47" t="n"/>
      <c r="Z709" s="47" t="n"/>
      <c r="AA709" s="47" t="n"/>
      <c r="AB709" s="47" t="n"/>
      <c r="AC709" s="47" t="n"/>
      <c r="AD709" s="47" t="n"/>
      <c r="AE709" s="47" t="n"/>
      <c r="AF709" s="20">
        <f>IF(A709="","",YEAR(EDATE(A709,-3)))</f>
        <v/>
      </c>
      <c r="AG709" s="20">
        <f>IF(OR(B709="",'経歴簿'!$C$4=""),"",IF(B709&amp;""='経歴簿'!$C$4&amp;"",MAX($AG$4:AG708)+1,""))</f>
        <v/>
      </c>
      <c r="AH709" s="20">
        <f>IF(A709="",0,IF(AND(OR('CSV抽出'!$C$4="",A709&gt;='CSV抽出'!$C$4),OR('CSV抽出'!$C$5="",A709&lt;='CSV抽出'!$C$5),OR('CSV抽出'!$C$6="すべて",'CSV抽出'!$C$6="",D709='CSV抽出'!$C$6),OR('CSV抽出'!$C$7="",B709&amp;""='CSV抽出'!$C$7&amp;"")),1,0))</f>
        <v/>
      </c>
      <c r="AI709" s="20">
        <f>IF(AH709=1,SUM($AH$5:AH709),"")</f>
        <v/>
      </c>
      <c r="AJ709" s="20">
        <f>IF(OR(S709="",'報告書'!$C$4=""),"",IF(S709&amp;""='報告書'!$C$4&amp;"",COUNTIF($S$5:S709,'報告書'!$C$4),""))</f>
        <v/>
      </c>
      <c r="AK709" s="20" t="n"/>
      <c r="AL709" s="47" t="n"/>
      <c r="AM709" s="47" t="n"/>
      <c r="AN709" s="53" t="n"/>
      <c r="AO709" s="47" t="n"/>
      <c r="AP709" s="47" t="n"/>
      <c r="AQ709" s="47" t="n"/>
      <c r="AR709" s="47" t="n"/>
      <c r="AS709" s="47" t="n"/>
      <c r="AT709" s="47" t="n"/>
      <c r="AU709" s="47" t="n"/>
      <c r="AV709" s="47" t="n"/>
      <c r="AW709" s="52" t="n"/>
    </row>
    <row r="710">
      <c r="A710" s="48" t="n"/>
      <c r="B710" s="52" t="n"/>
      <c r="C710" s="47">
        <f>IF(B710="","",IFERROR(INDEX('隊員マスタ'!$B$5:$B$204,MATCH(B710&amp;"",'隊員マスタ'!$F$5:$F$204,0)),IF(AK710="","番号なし",AK710)))</f>
        <v/>
      </c>
      <c r="D710" s="47" t="n"/>
      <c r="E710" s="47" t="n"/>
      <c r="F710" s="47" t="n"/>
      <c r="G710" s="47" t="n"/>
      <c r="H710" s="47" t="n"/>
      <c r="I710" s="47" t="n"/>
      <c r="J710" s="47" t="n"/>
      <c r="K710" s="47" t="n"/>
      <c r="L710" s="47" t="n"/>
      <c r="M710" s="47" t="n"/>
      <c r="N710" s="47" t="n"/>
      <c r="O710" s="47" t="n"/>
      <c r="P710" s="47" t="n"/>
      <c r="Q710" s="47" t="n"/>
      <c r="R710" s="47" t="n"/>
      <c r="S710" s="47" t="n"/>
      <c r="T710" s="47" t="n"/>
      <c r="U710" s="53" t="n"/>
      <c r="V710" s="53" t="n"/>
      <c r="W710" s="47" t="n"/>
      <c r="X710" s="47" t="n"/>
      <c r="Y710" s="47" t="n"/>
      <c r="Z710" s="47" t="n"/>
      <c r="AA710" s="47" t="n"/>
      <c r="AB710" s="47" t="n"/>
      <c r="AC710" s="47" t="n"/>
      <c r="AD710" s="47" t="n"/>
      <c r="AE710" s="47" t="n"/>
      <c r="AF710" s="20">
        <f>IF(A710="","",YEAR(EDATE(A710,-3)))</f>
        <v/>
      </c>
      <c r="AG710" s="20">
        <f>IF(OR(B710="",'経歴簿'!$C$4=""),"",IF(B710&amp;""='経歴簿'!$C$4&amp;"",MAX($AG$4:AG709)+1,""))</f>
        <v/>
      </c>
      <c r="AH710" s="20">
        <f>IF(A710="",0,IF(AND(OR('CSV抽出'!$C$4="",A710&gt;='CSV抽出'!$C$4),OR('CSV抽出'!$C$5="",A710&lt;='CSV抽出'!$C$5),OR('CSV抽出'!$C$6="すべて",'CSV抽出'!$C$6="",D710='CSV抽出'!$C$6),OR('CSV抽出'!$C$7="",B710&amp;""='CSV抽出'!$C$7&amp;"")),1,0))</f>
        <v/>
      </c>
      <c r="AI710" s="20">
        <f>IF(AH710=1,SUM($AH$5:AH710),"")</f>
        <v/>
      </c>
      <c r="AJ710" s="20">
        <f>IF(OR(S710="",'報告書'!$C$4=""),"",IF(S710&amp;""='報告書'!$C$4&amp;"",COUNTIF($S$5:S710,'報告書'!$C$4),""))</f>
        <v/>
      </c>
      <c r="AK710" s="20" t="n"/>
      <c r="AL710" s="47" t="n"/>
      <c r="AM710" s="47" t="n"/>
      <c r="AN710" s="53" t="n"/>
      <c r="AO710" s="47" t="n"/>
      <c r="AP710" s="47" t="n"/>
      <c r="AQ710" s="47" t="n"/>
      <c r="AR710" s="47" t="n"/>
      <c r="AS710" s="47" t="n"/>
      <c r="AT710" s="47" t="n"/>
      <c r="AU710" s="47" t="n"/>
      <c r="AV710" s="47" t="n"/>
      <c r="AW710" s="52" t="n"/>
    </row>
    <row r="711">
      <c r="A711" s="48" t="n"/>
      <c r="B711" s="52" t="n"/>
      <c r="C711" s="47">
        <f>IF(B711="","",IFERROR(INDEX('隊員マスタ'!$B$5:$B$204,MATCH(B711&amp;"",'隊員マスタ'!$F$5:$F$204,0)),IF(AK711="","番号なし",AK711)))</f>
        <v/>
      </c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  <c r="N711" s="47" t="n"/>
      <c r="O711" s="47" t="n"/>
      <c r="P711" s="47" t="n"/>
      <c r="Q711" s="47" t="n"/>
      <c r="R711" s="47" t="n"/>
      <c r="S711" s="47" t="n"/>
      <c r="T711" s="47" t="n"/>
      <c r="U711" s="53" t="n"/>
      <c r="V711" s="53" t="n"/>
      <c r="W711" s="47" t="n"/>
      <c r="X711" s="47" t="n"/>
      <c r="Y711" s="47" t="n"/>
      <c r="Z711" s="47" t="n"/>
      <c r="AA711" s="47" t="n"/>
      <c r="AB711" s="47" t="n"/>
      <c r="AC711" s="47" t="n"/>
      <c r="AD711" s="47" t="n"/>
      <c r="AE711" s="47" t="n"/>
      <c r="AF711" s="20">
        <f>IF(A711="","",YEAR(EDATE(A711,-3)))</f>
        <v/>
      </c>
      <c r="AG711" s="20">
        <f>IF(OR(B711="",'経歴簿'!$C$4=""),"",IF(B711&amp;""='経歴簿'!$C$4&amp;"",MAX($AG$4:AG710)+1,""))</f>
        <v/>
      </c>
      <c r="AH711" s="20">
        <f>IF(A711="",0,IF(AND(OR('CSV抽出'!$C$4="",A711&gt;='CSV抽出'!$C$4),OR('CSV抽出'!$C$5="",A711&lt;='CSV抽出'!$C$5),OR('CSV抽出'!$C$6="すべて",'CSV抽出'!$C$6="",D711='CSV抽出'!$C$6),OR('CSV抽出'!$C$7="",B711&amp;""='CSV抽出'!$C$7&amp;"")),1,0))</f>
        <v/>
      </c>
      <c r="AI711" s="20">
        <f>IF(AH711=1,SUM($AH$5:AH711),"")</f>
        <v/>
      </c>
      <c r="AJ711" s="20">
        <f>IF(OR(S711="",'報告書'!$C$4=""),"",IF(S711&amp;""='報告書'!$C$4&amp;"",COUNTIF($S$5:S711,'報告書'!$C$4),""))</f>
        <v/>
      </c>
      <c r="AK711" s="20" t="n"/>
      <c r="AL711" s="47" t="n"/>
      <c r="AM711" s="47" t="n"/>
      <c r="AN711" s="53" t="n"/>
      <c r="AO711" s="47" t="n"/>
      <c r="AP711" s="47" t="n"/>
      <c r="AQ711" s="47" t="n"/>
      <c r="AR711" s="47" t="n"/>
      <c r="AS711" s="47" t="n"/>
      <c r="AT711" s="47" t="n"/>
      <c r="AU711" s="47" t="n"/>
      <c r="AV711" s="47" t="n"/>
      <c r="AW711" s="52" t="n"/>
    </row>
    <row r="712">
      <c r="A712" s="48" t="n"/>
      <c r="B712" s="52" t="n"/>
      <c r="C712" s="47">
        <f>IF(B712="","",IFERROR(INDEX('隊員マスタ'!$B$5:$B$204,MATCH(B712&amp;"",'隊員マスタ'!$F$5:$F$204,0)),IF(AK712="","番号なし",AK712)))</f>
        <v/>
      </c>
      <c r="D712" s="47" t="n"/>
      <c r="E712" s="47" t="n"/>
      <c r="F712" s="47" t="n"/>
      <c r="G712" s="47" t="n"/>
      <c r="H712" s="47" t="n"/>
      <c r="I712" s="47" t="n"/>
      <c r="J712" s="47" t="n"/>
      <c r="K712" s="47" t="n"/>
      <c r="L712" s="47" t="n"/>
      <c r="M712" s="47" t="n"/>
      <c r="N712" s="47" t="n"/>
      <c r="O712" s="47" t="n"/>
      <c r="P712" s="47" t="n"/>
      <c r="Q712" s="47" t="n"/>
      <c r="R712" s="47" t="n"/>
      <c r="S712" s="47" t="n"/>
      <c r="T712" s="47" t="n"/>
      <c r="U712" s="53" t="n"/>
      <c r="V712" s="53" t="n"/>
      <c r="W712" s="47" t="n"/>
      <c r="X712" s="47" t="n"/>
      <c r="Y712" s="47" t="n"/>
      <c r="Z712" s="47" t="n"/>
      <c r="AA712" s="47" t="n"/>
      <c r="AB712" s="47" t="n"/>
      <c r="AC712" s="47" t="n"/>
      <c r="AD712" s="47" t="n"/>
      <c r="AE712" s="47" t="n"/>
      <c r="AF712" s="20">
        <f>IF(A712="","",YEAR(EDATE(A712,-3)))</f>
        <v/>
      </c>
      <c r="AG712" s="20">
        <f>IF(OR(B712="",'経歴簿'!$C$4=""),"",IF(B712&amp;""='経歴簿'!$C$4&amp;"",MAX($AG$4:AG711)+1,""))</f>
        <v/>
      </c>
      <c r="AH712" s="20">
        <f>IF(A712="",0,IF(AND(OR('CSV抽出'!$C$4="",A712&gt;='CSV抽出'!$C$4),OR('CSV抽出'!$C$5="",A712&lt;='CSV抽出'!$C$5),OR('CSV抽出'!$C$6="すべて",'CSV抽出'!$C$6="",D712='CSV抽出'!$C$6),OR('CSV抽出'!$C$7="",B712&amp;""='CSV抽出'!$C$7&amp;"")),1,0))</f>
        <v/>
      </c>
      <c r="AI712" s="20">
        <f>IF(AH712=1,SUM($AH$5:AH712),"")</f>
        <v/>
      </c>
      <c r="AJ712" s="20">
        <f>IF(OR(S712="",'報告書'!$C$4=""),"",IF(S712&amp;""='報告書'!$C$4&amp;"",COUNTIF($S$5:S712,'報告書'!$C$4),""))</f>
        <v/>
      </c>
      <c r="AK712" s="20" t="n"/>
      <c r="AL712" s="47" t="n"/>
      <c r="AM712" s="47" t="n"/>
      <c r="AN712" s="53" t="n"/>
      <c r="AO712" s="47" t="n"/>
      <c r="AP712" s="47" t="n"/>
      <c r="AQ712" s="47" t="n"/>
      <c r="AR712" s="47" t="n"/>
      <c r="AS712" s="47" t="n"/>
      <c r="AT712" s="47" t="n"/>
      <c r="AU712" s="47" t="n"/>
      <c r="AV712" s="47" t="n"/>
      <c r="AW712" s="52" t="n"/>
    </row>
    <row r="713">
      <c r="A713" s="48" t="n"/>
      <c r="B713" s="52" t="n"/>
      <c r="C713" s="47">
        <f>IF(B713="","",IFERROR(INDEX('隊員マスタ'!$B$5:$B$204,MATCH(B713&amp;"",'隊員マスタ'!$F$5:$F$204,0)),IF(AK713="","番号なし",AK713)))</f>
        <v/>
      </c>
      <c r="D713" s="47" t="n"/>
      <c r="E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  <c r="N713" s="47" t="n"/>
      <c r="O713" s="47" t="n"/>
      <c r="P713" s="47" t="n"/>
      <c r="Q713" s="47" t="n"/>
      <c r="R713" s="47" t="n"/>
      <c r="S713" s="47" t="n"/>
      <c r="T713" s="47" t="n"/>
      <c r="U713" s="53" t="n"/>
      <c r="V713" s="53" t="n"/>
      <c r="W713" s="47" t="n"/>
      <c r="X713" s="47" t="n"/>
      <c r="Y713" s="47" t="n"/>
      <c r="Z713" s="47" t="n"/>
      <c r="AA713" s="47" t="n"/>
      <c r="AB713" s="47" t="n"/>
      <c r="AC713" s="47" t="n"/>
      <c r="AD713" s="47" t="n"/>
      <c r="AE713" s="47" t="n"/>
      <c r="AF713" s="20">
        <f>IF(A713="","",YEAR(EDATE(A713,-3)))</f>
        <v/>
      </c>
      <c r="AG713" s="20">
        <f>IF(OR(B713="",'経歴簿'!$C$4=""),"",IF(B713&amp;""='経歴簿'!$C$4&amp;"",MAX($AG$4:AG712)+1,""))</f>
        <v/>
      </c>
      <c r="AH713" s="20">
        <f>IF(A713="",0,IF(AND(OR('CSV抽出'!$C$4="",A713&gt;='CSV抽出'!$C$4),OR('CSV抽出'!$C$5="",A713&lt;='CSV抽出'!$C$5),OR('CSV抽出'!$C$6="すべて",'CSV抽出'!$C$6="",D713='CSV抽出'!$C$6),OR('CSV抽出'!$C$7="",B713&amp;""='CSV抽出'!$C$7&amp;"")),1,0))</f>
        <v/>
      </c>
      <c r="AI713" s="20">
        <f>IF(AH713=1,SUM($AH$5:AH713),"")</f>
        <v/>
      </c>
      <c r="AJ713" s="20">
        <f>IF(OR(S713="",'報告書'!$C$4=""),"",IF(S713&amp;""='報告書'!$C$4&amp;"",COUNTIF($S$5:S713,'報告書'!$C$4),""))</f>
        <v/>
      </c>
      <c r="AK713" s="20" t="n"/>
      <c r="AL713" s="47" t="n"/>
      <c r="AM713" s="47" t="n"/>
      <c r="AN713" s="53" t="n"/>
      <c r="AO713" s="47" t="n"/>
      <c r="AP713" s="47" t="n"/>
      <c r="AQ713" s="47" t="n"/>
      <c r="AR713" s="47" t="n"/>
      <c r="AS713" s="47" t="n"/>
      <c r="AT713" s="47" t="n"/>
      <c r="AU713" s="47" t="n"/>
      <c r="AV713" s="47" t="n"/>
      <c r="AW713" s="52" t="n"/>
    </row>
    <row r="714">
      <c r="A714" s="48" t="n"/>
      <c r="B714" s="52" t="n"/>
      <c r="C714" s="47">
        <f>IF(B714="","",IFERROR(INDEX('隊員マスタ'!$B$5:$B$204,MATCH(B714&amp;"",'隊員マスタ'!$F$5:$F$204,0)),IF(AK714="","番号なし",AK714)))</f>
        <v/>
      </c>
      <c r="D714" s="47" t="n"/>
      <c r="E714" s="47" t="n"/>
      <c r="F714" s="47" t="n"/>
      <c r="G714" s="47" t="n"/>
      <c r="H714" s="47" t="n"/>
      <c r="I714" s="47" t="n"/>
      <c r="J714" s="47" t="n"/>
      <c r="K714" s="47" t="n"/>
      <c r="L714" s="47" t="n"/>
      <c r="M714" s="47" t="n"/>
      <c r="N714" s="47" t="n"/>
      <c r="O714" s="47" t="n"/>
      <c r="P714" s="47" t="n"/>
      <c r="Q714" s="47" t="n"/>
      <c r="R714" s="47" t="n"/>
      <c r="S714" s="47" t="n"/>
      <c r="T714" s="47" t="n"/>
      <c r="U714" s="53" t="n"/>
      <c r="V714" s="53" t="n"/>
      <c r="W714" s="47" t="n"/>
      <c r="X714" s="47" t="n"/>
      <c r="Y714" s="47" t="n"/>
      <c r="Z714" s="47" t="n"/>
      <c r="AA714" s="47" t="n"/>
      <c r="AB714" s="47" t="n"/>
      <c r="AC714" s="47" t="n"/>
      <c r="AD714" s="47" t="n"/>
      <c r="AE714" s="47" t="n"/>
      <c r="AF714" s="20">
        <f>IF(A714="","",YEAR(EDATE(A714,-3)))</f>
        <v/>
      </c>
      <c r="AG714" s="20">
        <f>IF(OR(B714="",'経歴簿'!$C$4=""),"",IF(B714&amp;""='経歴簿'!$C$4&amp;"",MAX($AG$4:AG713)+1,""))</f>
        <v/>
      </c>
      <c r="AH714" s="20">
        <f>IF(A714="",0,IF(AND(OR('CSV抽出'!$C$4="",A714&gt;='CSV抽出'!$C$4),OR('CSV抽出'!$C$5="",A714&lt;='CSV抽出'!$C$5),OR('CSV抽出'!$C$6="すべて",'CSV抽出'!$C$6="",D714='CSV抽出'!$C$6),OR('CSV抽出'!$C$7="",B714&amp;""='CSV抽出'!$C$7&amp;"")),1,0))</f>
        <v/>
      </c>
      <c r="AI714" s="20">
        <f>IF(AH714=1,SUM($AH$5:AH714),"")</f>
        <v/>
      </c>
      <c r="AJ714" s="20">
        <f>IF(OR(S714="",'報告書'!$C$4=""),"",IF(S714&amp;""='報告書'!$C$4&amp;"",COUNTIF($S$5:S714,'報告書'!$C$4),""))</f>
        <v/>
      </c>
      <c r="AK714" s="20" t="n"/>
      <c r="AL714" s="47" t="n"/>
      <c r="AM714" s="47" t="n"/>
      <c r="AN714" s="53" t="n"/>
      <c r="AO714" s="47" t="n"/>
      <c r="AP714" s="47" t="n"/>
      <c r="AQ714" s="47" t="n"/>
      <c r="AR714" s="47" t="n"/>
      <c r="AS714" s="47" t="n"/>
      <c r="AT714" s="47" t="n"/>
      <c r="AU714" s="47" t="n"/>
      <c r="AV714" s="47" t="n"/>
      <c r="AW714" s="52" t="n"/>
    </row>
    <row r="715">
      <c r="A715" s="48" t="n"/>
      <c r="B715" s="52" t="n"/>
      <c r="C715" s="47">
        <f>IF(B715="","",IFERROR(INDEX('隊員マスタ'!$B$5:$B$204,MATCH(B715&amp;"",'隊員マスタ'!$F$5:$F$204,0)),IF(AK715="","番号なし",AK715)))</f>
        <v/>
      </c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  <c r="N715" s="47" t="n"/>
      <c r="O715" s="47" t="n"/>
      <c r="P715" s="47" t="n"/>
      <c r="Q715" s="47" t="n"/>
      <c r="R715" s="47" t="n"/>
      <c r="S715" s="47" t="n"/>
      <c r="T715" s="47" t="n"/>
      <c r="U715" s="53" t="n"/>
      <c r="V715" s="53" t="n"/>
      <c r="W715" s="47" t="n"/>
      <c r="X715" s="47" t="n"/>
      <c r="Y715" s="47" t="n"/>
      <c r="Z715" s="47" t="n"/>
      <c r="AA715" s="47" t="n"/>
      <c r="AB715" s="47" t="n"/>
      <c r="AC715" s="47" t="n"/>
      <c r="AD715" s="47" t="n"/>
      <c r="AE715" s="47" t="n"/>
      <c r="AF715" s="20">
        <f>IF(A715="","",YEAR(EDATE(A715,-3)))</f>
        <v/>
      </c>
      <c r="AG715" s="20">
        <f>IF(OR(B715="",'経歴簿'!$C$4=""),"",IF(B715&amp;""='経歴簿'!$C$4&amp;"",MAX($AG$4:AG714)+1,""))</f>
        <v/>
      </c>
      <c r="AH715" s="20">
        <f>IF(A715="",0,IF(AND(OR('CSV抽出'!$C$4="",A715&gt;='CSV抽出'!$C$4),OR('CSV抽出'!$C$5="",A715&lt;='CSV抽出'!$C$5),OR('CSV抽出'!$C$6="すべて",'CSV抽出'!$C$6="",D715='CSV抽出'!$C$6),OR('CSV抽出'!$C$7="",B715&amp;""='CSV抽出'!$C$7&amp;"")),1,0))</f>
        <v/>
      </c>
      <c r="AI715" s="20">
        <f>IF(AH715=1,SUM($AH$5:AH715),"")</f>
        <v/>
      </c>
      <c r="AJ715" s="20">
        <f>IF(OR(S715="",'報告書'!$C$4=""),"",IF(S715&amp;""='報告書'!$C$4&amp;"",COUNTIF($S$5:S715,'報告書'!$C$4),""))</f>
        <v/>
      </c>
      <c r="AK715" s="20" t="n"/>
      <c r="AL715" s="47" t="n"/>
      <c r="AM715" s="47" t="n"/>
      <c r="AN715" s="53" t="n"/>
      <c r="AO715" s="47" t="n"/>
      <c r="AP715" s="47" t="n"/>
      <c r="AQ715" s="47" t="n"/>
      <c r="AR715" s="47" t="n"/>
      <c r="AS715" s="47" t="n"/>
      <c r="AT715" s="47" t="n"/>
      <c r="AU715" s="47" t="n"/>
      <c r="AV715" s="47" t="n"/>
      <c r="AW715" s="52" t="n"/>
    </row>
    <row r="716">
      <c r="A716" s="48" t="n"/>
      <c r="B716" s="52" t="n"/>
      <c r="C716" s="47">
        <f>IF(B716="","",IFERROR(INDEX('隊員マスタ'!$B$5:$B$204,MATCH(B716&amp;"",'隊員マスタ'!$F$5:$F$204,0)),IF(AK716="","番号なし",AK716)))</f>
        <v/>
      </c>
      <c r="D716" s="47" t="n"/>
      <c r="E716" s="47" t="n"/>
      <c r="F716" s="47" t="n"/>
      <c r="G716" s="47" t="n"/>
      <c r="H716" s="47" t="n"/>
      <c r="I716" s="47" t="n"/>
      <c r="J716" s="47" t="n"/>
      <c r="K716" s="47" t="n"/>
      <c r="L716" s="47" t="n"/>
      <c r="M716" s="47" t="n"/>
      <c r="N716" s="47" t="n"/>
      <c r="O716" s="47" t="n"/>
      <c r="P716" s="47" t="n"/>
      <c r="Q716" s="47" t="n"/>
      <c r="R716" s="47" t="n"/>
      <c r="S716" s="47" t="n"/>
      <c r="T716" s="47" t="n"/>
      <c r="U716" s="53" t="n"/>
      <c r="V716" s="53" t="n"/>
      <c r="W716" s="47" t="n"/>
      <c r="X716" s="47" t="n"/>
      <c r="Y716" s="47" t="n"/>
      <c r="Z716" s="47" t="n"/>
      <c r="AA716" s="47" t="n"/>
      <c r="AB716" s="47" t="n"/>
      <c r="AC716" s="47" t="n"/>
      <c r="AD716" s="47" t="n"/>
      <c r="AE716" s="47" t="n"/>
      <c r="AF716" s="20">
        <f>IF(A716="","",YEAR(EDATE(A716,-3)))</f>
        <v/>
      </c>
      <c r="AG716" s="20">
        <f>IF(OR(B716="",'経歴簿'!$C$4=""),"",IF(B716&amp;""='経歴簿'!$C$4&amp;"",MAX($AG$4:AG715)+1,""))</f>
        <v/>
      </c>
      <c r="AH716" s="20">
        <f>IF(A716="",0,IF(AND(OR('CSV抽出'!$C$4="",A716&gt;='CSV抽出'!$C$4),OR('CSV抽出'!$C$5="",A716&lt;='CSV抽出'!$C$5),OR('CSV抽出'!$C$6="すべて",'CSV抽出'!$C$6="",D716='CSV抽出'!$C$6),OR('CSV抽出'!$C$7="",B716&amp;""='CSV抽出'!$C$7&amp;"")),1,0))</f>
        <v/>
      </c>
      <c r="AI716" s="20">
        <f>IF(AH716=1,SUM($AH$5:AH716),"")</f>
        <v/>
      </c>
      <c r="AJ716" s="20">
        <f>IF(OR(S716="",'報告書'!$C$4=""),"",IF(S716&amp;""='報告書'!$C$4&amp;"",COUNTIF($S$5:S716,'報告書'!$C$4),""))</f>
        <v/>
      </c>
      <c r="AK716" s="20" t="n"/>
      <c r="AL716" s="47" t="n"/>
      <c r="AM716" s="47" t="n"/>
      <c r="AN716" s="53" t="n"/>
      <c r="AO716" s="47" t="n"/>
      <c r="AP716" s="47" t="n"/>
      <c r="AQ716" s="47" t="n"/>
      <c r="AR716" s="47" t="n"/>
      <c r="AS716" s="47" t="n"/>
      <c r="AT716" s="47" t="n"/>
      <c r="AU716" s="47" t="n"/>
      <c r="AV716" s="47" t="n"/>
      <c r="AW716" s="52" t="n"/>
    </row>
    <row r="717">
      <c r="A717" s="48" t="n"/>
      <c r="B717" s="52" t="n"/>
      <c r="C717" s="47">
        <f>IF(B717="","",IFERROR(INDEX('隊員マスタ'!$B$5:$B$204,MATCH(B717&amp;"",'隊員マスタ'!$F$5:$F$204,0)),IF(AK717="","番号なし",AK717)))</f>
        <v/>
      </c>
      <c r="D717" s="47" t="n"/>
      <c r="E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  <c r="N717" s="47" t="n"/>
      <c r="O717" s="47" t="n"/>
      <c r="P717" s="47" t="n"/>
      <c r="Q717" s="47" t="n"/>
      <c r="R717" s="47" t="n"/>
      <c r="S717" s="47" t="n"/>
      <c r="T717" s="47" t="n"/>
      <c r="U717" s="53" t="n"/>
      <c r="V717" s="53" t="n"/>
      <c r="W717" s="47" t="n"/>
      <c r="X717" s="47" t="n"/>
      <c r="Y717" s="47" t="n"/>
      <c r="Z717" s="47" t="n"/>
      <c r="AA717" s="47" t="n"/>
      <c r="AB717" s="47" t="n"/>
      <c r="AC717" s="47" t="n"/>
      <c r="AD717" s="47" t="n"/>
      <c r="AE717" s="47" t="n"/>
      <c r="AF717" s="20">
        <f>IF(A717="","",YEAR(EDATE(A717,-3)))</f>
        <v/>
      </c>
      <c r="AG717" s="20">
        <f>IF(OR(B717="",'経歴簿'!$C$4=""),"",IF(B717&amp;""='経歴簿'!$C$4&amp;"",MAX($AG$4:AG716)+1,""))</f>
        <v/>
      </c>
      <c r="AH717" s="20">
        <f>IF(A717="",0,IF(AND(OR('CSV抽出'!$C$4="",A717&gt;='CSV抽出'!$C$4),OR('CSV抽出'!$C$5="",A717&lt;='CSV抽出'!$C$5),OR('CSV抽出'!$C$6="すべて",'CSV抽出'!$C$6="",D717='CSV抽出'!$C$6),OR('CSV抽出'!$C$7="",B717&amp;""='CSV抽出'!$C$7&amp;"")),1,0))</f>
        <v/>
      </c>
      <c r="AI717" s="20">
        <f>IF(AH717=1,SUM($AH$5:AH717),"")</f>
        <v/>
      </c>
      <c r="AJ717" s="20">
        <f>IF(OR(S717="",'報告書'!$C$4=""),"",IF(S717&amp;""='報告書'!$C$4&amp;"",COUNTIF($S$5:S717,'報告書'!$C$4),""))</f>
        <v/>
      </c>
      <c r="AK717" s="20" t="n"/>
      <c r="AL717" s="47" t="n"/>
      <c r="AM717" s="47" t="n"/>
      <c r="AN717" s="53" t="n"/>
      <c r="AO717" s="47" t="n"/>
      <c r="AP717" s="47" t="n"/>
      <c r="AQ717" s="47" t="n"/>
      <c r="AR717" s="47" t="n"/>
      <c r="AS717" s="47" t="n"/>
      <c r="AT717" s="47" t="n"/>
      <c r="AU717" s="47" t="n"/>
      <c r="AV717" s="47" t="n"/>
      <c r="AW717" s="52" t="n"/>
    </row>
    <row r="718">
      <c r="A718" s="48" t="n"/>
      <c r="B718" s="52" t="n"/>
      <c r="C718" s="47">
        <f>IF(B718="","",IFERROR(INDEX('隊員マスタ'!$B$5:$B$204,MATCH(B718&amp;"",'隊員マスタ'!$F$5:$F$204,0)),IF(AK718="","番号なし",AK718)))</f>
        <v/>
      </c>
      <c r="D718" s="47" t="n"/>
      <c r="E718" s="47" t="n"/>
      <c r="F718" s="47" t="n"/>
      <c r="G718" s="47" t="n"/>
      <c r="H718" s="47" t="n"/>
      <c r="I718" s="47" t="n"/>
      <c r="J718" s="47" t="n"/>
      <c r="K718" s="47" t="n"/>
      <c r="L718" s="47" t="n"/>
      <c r="M718" s="47" t="n"/>
      <c r="N718" s="47" t="n"/>
      <c r="O718" s="47" t="n"/>
      <c r="P718" s="47" t="n"/>
      <c r="Q718" s="47" t="n"/>
      <c r="R718" s="47" t="n"/>
      <c r="S718" s="47" t="n"/>
      <c r="T718" s="47" t="n"/>
      <c r="U718" s="53" t="n"/>
      <c r="V718" s="53" t="n"/>
      <c r="W718" s="47" t="n"/>
      <c r="X718" s="47" t="n"/>
      <c r="Y718" s="47" t="n"/>
      <c r="Z718" s="47" t="n"/>
      <c r="AA718" s="47" t="n"/>
      <c r="AB718" s="47" t="n"/>
      <c r="AC718" s="47" t="n"/>
      <c r="AD718" s="47" t="n"/>
      <c r="AE718" s="47" t="n"/>
      <c r="AF718" s="20">
        <f>IF(A718="","",YEAR(EDATE(A718,-3)))</f>
        <v/>
      </c>
      <c r="AG718" s="20">
        <f>IF(OR(B718="",'経歴簿'!$C$4=""),"",IF(B718&amp;""='経歴簿'!$C$4&amp;"",MAX($AG$4:AG717)+1,""))</f>
        <v/>
      </c>
      <c r="AH718" s="20">
        <f>IF(A718="",0,IF(AND(OR('CSV抽出'!$C$4="",A718&gt;='CSV抽出'!$C$4),OR('CSV抽出'!$C$5="",A718&lt;='CSV抽出'!$C$5),OR('CSV抽出'!$C$6="すべて",'CSV抽出'!$C$6="",D718='CSV抽出'!$C$6),OR('CSV抽出'!$C$7="",B718&amp;""='CSV抽出'!$C$7&amp;"")),1,0))</f>
        <v/>
      </c>
      <c r="AI718" s="20">
        <f>IF(AH718=1,SUM($AH$5:AH718),"")</f>
        <v/>
      </c>
      <c r="AJ718" s="20">
        <f>IF(OR(S718="",'報告書'!$C$4=""),"",IF(S718&amp;""='報告書'!$C$4&amp;"",COUNTIF($S$5:S718,'報告書'!$C$4),""))</f>
        <v/>
      </c>
      <c r="AK718" s="20" t="n"/>
      <c r="AL718" s="47" t="n"/>
      <c r="AM718" s="47" t="n"/>
      <c r="AN718" s="53" t="n"/>
      <c r="AO718" s="47" t="n"/>
      <c r="AP718" s="47" t="n"/>
      <c r="AQ718" s="47" t="n"/>
      <c r="AR718" s="47" t="n"/>
      <c r="AS718" s="47" t="n"/>
      <c r="AT718" s="47" t="n"/>
      <c r="AU718" s="47" t="n"/>
      <c r="AV718" s="47" t="n"/>
      <c r="AW718" s="52" t="n"/>
    </row>
    <row r="719">
      <c r="A719" s="48" t="n"/>
      <c r="B719" s="52" t="n"/>
      <c r="C719" s="47">
        <f>IF(B719="","",IFERROR(INDEX('隊員マスタ'!$B$5:$B$204,MATCH(B719&amp;"",'隊員マスタ'!$F$5:$F$204,0)),IF(AK719="","番号なし",AK719)))</f>
        <v/>
      </c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  <c r="N719" s="47" t="n"/>
      <c r="O719" s="47" t="n"/>
      <c r="P719" s="47" t="n"/>
      <c r="Q719" s="47" t="n"/>
      <c r="R719" s="47" t="n"/>
      <c r="S719" s="47" t="n"/>
      <c r="T719" s="47" t="n"/>
      <c r="U719" s="53" t="n"/>
      <c r="V719" s="53" t="n"/>
      <c r="W719" s="47" t="n"/>
      <c r="X719" s="47" t="n"/>
      <c r="Y719" s="47" t="n"/>
      <c r="Z719" s="47" t="n"/>
      <c r="AA719" s="47" t="n"/>
      <c r="AB719" s="47" t="n"/>
      <c r="AC719" s="47" t="n"/>
      <c r="AD719" s="47" t="n"/>
      <c r="AE719" s="47" t="n"/>
      <c r="AF719" s="20">
        <f>IF(A719="","",YEAR(EDATE(A719,-3)))</f>
        <v/>
      </c>
      <c r="AG719" s="20">
        <f>IF(OR(B719="",'経歴簿'!$C$4=""),"",IF(B719&amp;""='経歴簿'!$C$4&amp;"",MAX($AG$4:AG718)+1,""))</f>
        <v/>
      </c>
      <c r="AH719" s="20">
        <f>IF(A719="",0,IF(AND(OR('CSV抽出'!$C$4="",A719&gt;='CSV抽出'!$C$4),OR('CSV抽出'!$C$5="",A719&lt;='CSV抽出'!$C$5),OR('CSV抽出'!$C$6="すべて",'CSV抽出'!$C$6="",D719='CSV抽出'!$C$6),OR('CSV抽出'!$C$7="",B719&amp;""='CSV抽出'!$C$7&amp;"")),1,0))</f>
        <v/>
      </c>
      <c r="AI719" s="20">
        <f>IF(AH719=1,SUM($AH$5:AH719),"")</f>
        <v/>
      </c>
      <c r="AJ719" s="20">
        <f>IF(OR(S719="",'報告書'!$C$4=""),"",IF(S719&amp;""='報告書'!$C$4&amp;"",COUNTIF($S$5:S719,'報告書'!$C$4),""))</f>
        <v/>
      </c>
      <c r="AK719" s="20" t="n"/>
      <c r="AL719" s="47" t="n"/>
      <c r="AM719" s="47" t="n"/>
      <c r="AN719" s="53" t="n"/>
      <c r="AO719" s="47" t="n"/>
      <c r="AP719" s="47" t="n"/>
      <c r="AQ719" s="47" t="n"/>
      <c r="AR719" s="47" t="n"/>
      <c r="AS719" s="47" t="n"/>
      <c r="AT719" s="47" t="n"/>
      <c r="AU719" s="47" t="n"/>
      <c r="AV719" s="47" t="n"/>
      <c r="AW719" s="52" t="n"/>
    </row>
    <row r="720">
      <c r="A720" s="48" t="n"/>
      <c r="B720" s="52" t="n"/>
      <c r="C720" s="47">
        <f>IF(B720="","",IFERROR(INDEX('隊員マスタ'!$B$5:$B$204,MATCH(B720&amp;"",'隊員マスタ'!$F$5:$F$204,0)),IF(AK720="","番号なし",AK720)))</f>
        <v/>
      </c>
      <c r="D720" s="47" t="n"/>
      <c r="E720" s="47" t="n"/>
      <c r="F720" s="47" t="n"/>
      <c r="G720" s="47" t="n"/>
      <c r="H720" s="47" t="n"/>
      <c r="I720" s="47" t="n"/>
      <c r="J720" s="47" t="n"/>
      <c r="K720" s="47" t="n"/>
      <c r="L720" s="47" t="n"/>
      <c r="M720" s="47" t="n"/>
      <c r="N720" s="47" t="n"/>
      <c r="O720" s="47" t="n"/>
      <c r="P720" s="47" t="n"/>
      <c r="Q720" s="47" t="n"/>
      <c r="R720" s="47" t="n"/>
      <c r="S720" s="47" t="n"/>
      <c r="T720" s="47" t="n"/>
      <c r="U720" s="53" t="n"/>
      <c r="V720" s="53" t="n"/>
      <c r="W720" s="47" t="n"/>
      <c r="X720" s="47" t="n"/>
      <c r="Y720" s="47" t="n"/>
      <c r="Z720" s="47" t="n"/>
      <c r="AA720" s="47" t="n"/>
      <c r="AB720" s="47" t="n"/>
      <c r="AC720" s="47" t="n"/>
      <c r="AD720" s="47" t="n"/>
      <c r="AE720" s="47" t="n"/>
      <c r="AF720" s="20">
        <f>IF(A720="","",YEAR(EDATE(A720,-3)))</f>
        <v/>
      </c>
      <c r="AG720" s="20">
        <f>IF(OR(B720="",'経歴簿'!$C$4=""),"",IF(B720&amp;""='経歴簿'!$C$4&amp;"",MAX($AG$4:AG719)+1,""))</f>
        <v/>
      </c>
      <c r="AH720" s="20">
        <f>IF(A720="",0,IF(AND(OR('CSV抽出'!$C$4="",A720&gt;='CSV抽出'!$C$4),OR('CSV抽出'!$C$5="",A720&lt;='CSV抽出'!$C$5),OR('CSV抽出'!$C$6="すべて",'CSV抽出'!$C$6="",D720='CSV抽出'!$C$6),OR('CSV抽出'!$C$7="",B720&amp;""='CSV抽出'!$C$7&amp;"")),1,0))</f>
        <v/>
      </c>
      <c r="AI720" s="20">
        <f>IF(AH720=1,SUM($AH$5:AH720),"")</f>
        <v/>
      </c>
      <c r="AJ720" s="20">
        <f>IF(OR(S720="",'報告書'!$C$4=""),"",IF(S720&amp;""='報告書'!$C$4&amp;"",COUNTIF($S$5:S720,'報告書'!$C$4),""))</f>
        <v/>
      </c>
      <c r="AK720" s="20" t="n"/>
      <c r="AL720" s="47" t="n"/>
      <c r="AM720" s="47" t="n"/>
      <c r="AN720" s="53" t="n"/>
      <c r="AO720" s="47" t="n"/>
      <c r="AP720" s="47" t="n"/>
      <c r="AQ720" s="47" t="n"/>
      <c r="AR720" s="47" t="n"/>
      <c r="AS720" s="47" t="n"/>
      <c r="AT720" s="47" t="n"/>
      <c r="AU720" s="47" t="n"/>
      <c r="AV720" s="47" t="n"/>
      <c r="AW720" s="52" t="n"/>
    </row>
    <row r="721">
      <c r="A721" s="48" t="n"/>
      <c r="B721" s="52" t="n"/>
      <c r="C721" s="47">
        <f>IF(B721="","",IFERROR(INDEX('隊員マスタ'!$B$5:$B$204,MATCH(B721&amp;"",'隊員マスタ'!$F$5:$F$204,0)),IF(AK721="","番号なし",AK721)))</f>
        <v/>
      </c>
      <c r="D721" s="47" t="n"/>
      <c r="E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  <c r="N721" s="47" t="n"/>
      <c r="O721" s="47" t="n"/>
      <c r="P721" s="47" t="n"/>
      <c r="Q721" s="47" t="n"/>
      <c r="R721" s="47" t="n"/>
      <c r="S721" s="47" t="n"/>
      <c r="T721" s="47" t="n"/>
      <c r="U721" s="53" t="n"/>
      <c r="V721" s="53" t="n"/>
      <c r="W721" s="47" t="n"/>
      <c r="X721" s="47" t="n"/>
      <c r="Y721" s="47" t="n"/>
      <c r="Z721" s="47" t="n"/>
      <c r="AA721" s="47" t="n"/>
      <c r="AB721" s="47" t="n"/>
      <c r="AC721" s="47" t="n"/>
      <c r="AD721" s="47" t="n"/>
      <c r="AE721" s="47" t="n"/>
      <c r="AF721" s="20">
        <f>IF(A721="","",YEAR(EDATE(A721,-3)))</f>
        <v/>
      </c>
      <c r="AG721" s="20">
        <f>IF(OR(B721="",'経歴簿'!$C$4=""),"",IF(B721&amp;""='経歴簿'!$C$4&amp;"",MAX($AG$4:AG720)+1,""))</f>
        <v/>
      </c>
      <c r="AH721" s="20">
        <f>IF(A721="",0,IF(AND(OR('CSV抽出'!$C$4="",A721&gt;='CSV抽出'!$C$4),OR('CSV抽出'!$C$5="",A721&lt;='CSV抽出'!$C$5),OR('CSV抽出'!$C$6="すべて",'CSV抽出'!$C$6="",D721='CSV抽出'!$C$6),OR('CSV抽出'!$C$7="",B721&amp;""='CSV抽出'!$C$7&amp;"")),1,0))</f>
        <v/>
      </c>
      <c r="AI721" s="20">
        <f>IF(AH721=1,SUM($AH$5:AH721),"")</f>
        <v/>
      </c>
      <c r="AJ721" s="20">
        <f>IF(OR(S721="",'報告書'!$C$4=""),"",IF(S721&amp;""='報告書'!$C$4&amp;"",COUNTIF($S$5:S721,'報告書'!$C$4),""))</f>
        <v/>
      </c>
      <c r="AK721" s="20" t="n"/>
      <c r="AL721" s="47" t="n"/>
      <c r="AM721" s="47" t="n"/>
      <c r="AN721" s="53" t="n"/>
      <c r="AO721" s="47" t="n"/>
      <c r="AP721" s="47" t="n"/>
      <c r="AQ721" s="47" t="n"/>
      <c r="AR721" s="47" t="n"/>
      <c r="AS721" s="47" t="n"/>
      <c r="AT721" s="47" t="n"/>
      <c r="AU721" s="47" t="n"/>
      <c r="AV721" s="47" t="n"/>
      <c r="AW721" s="52" t="n"/>
    </row>
    <row r="722">
      <c r="A722" s="48" t="n"/>
      <c r="B722" s="52" t="n"/>
      <c r="C722" s="47">
        <f>IF(B722="","",IFERROR(INDEX('隊員マスタ'!$B$5:$B$204,MATCH(B722&amp;"",'隊員マスタ'!$F$5:$F$204,0)),IF(AK722="","番号なし",AK722)))</f>
        <v/>
      </c>
      <c r="D722" s="47" t="n"/>
      <c r="E722" s="47" t="n"/>
      <c r="F722" s="47" t="n"/>
      <c r="G722" s="47" t="n"/>
      <c r="H722" s="47" t="n"/>
      <c r="I722" s="47" t="n"/>
      <c r="J722" s="47" t="n"/>
      <c r="K722" s="47" t="n"/>
      <c r="L722" s="47" t="n"/>
      <c r="M722" s="47" t="n"/>
      <c r="N722" s="47" t="n"/>
      <c r="O722" s="47" t="n"/>
      <c r="P722" s="47" t="n"/>
      <c r="Q722" s="47" t="n"/>
      <c r="R722" s="47" t="n"/>
      <c r="S722" s="47" t="n"/>
      <c r="T722" s="47" t="n"/>
      <c r="U722" s="53" t="n"/>
      <c r="V722" s="53" t="n"/>
      <c r="W722" s="47" t="n"/>
      <c r="X722" s="47" t="n"/>
      <c r="Y722" s="47" t="n"/>
      <c r="Z722" s="47" t="n"/>
      <c r="AA722" s="47" t="n"/>
      <c r="AB722" s="47" t="n"/>
      <c r="AC722" s="47" t="n"/>
      <c r="AD722" s="47" t="n"/>
      <c r="AE722" s="47" t="n"/>
      <c r="AF722" s="20">
        <f>IF(A722="","",YEAR(EDATE(A722,-3)))</f>
        <v/>
      </c>
      <c r="AG722" s="20">
        <f>IF(OR(B722="",'経歴簿'!$C$4=""),"",IF(B722&amp;""='経歴簿'!$C$4&amp;"",MAX($AG$4:AG721)+1,""))</f>
        <v/>
      </c>
      <c r="AH722" s="20">
        <f>IF(A722="",0,IF(AND(OR('CSV抽出'!$C$4="",A722&gt;='CSV抽出'!$C$4),OR('CSV抽出'!$C$5="",A722&lt;='CSV抽出'!$C$5),OR('CSV抽出'!$C$6="すべて",'CSV抽出'!$C$6="",D722='CSV抽出'!$C$6),OR('CSV抽出'!$C$7="",B722&amp;""='CSV抽出'!$C$7&amp;"")),1,0))</f>
        <v/>
      </c>
      <c r="AI722" s="20">
        <f>IF(AH722=1,SUM($AH$5:AH722),"")</f>
        <v/>
      </c>
      <c r="AJ722" s="20">
        <f>IF(OR(S722="",'報告書'!$C$4=""),"",IF(S722&amp;""='報告書'!$C$4&amp;"",COUNTIF($S$5:S722,'報告書'!$C$4),""))</f>
        <v/>
      </c>
      <c r="AK722" s="20" t="n"/>
      <c r="AL722" s="47" t="n"/>
      <c r="AM722" s="47" t="n"/>
      <c r="AN722" s="53" t="n"/>
      <c r="AO722" s="47" t="n"/>
      <c r="AP722" s="47" t="n"/>
      <c r="AQ722" s="47" t="n"/>
      <c r="AR722" s="47" t="n"/>
      <c r="AS722" s="47" t="n"/>
      <c r="AT722" s="47" t="n"/>
      <c r="AU722" s="47" t="n"/>
      <c r="AV722" s="47" t="n"/>
      <c r="AW722" s="52" t="n"/>
    </row>
    <row r="723">
      <c r="A723" s="48" t="n"/>
      <c r="B723" s="52" t="n"/>
      <c r="C723" s="47">
        <f>IF(B723="","",IFERROR(INDEX('隊員マスタ'!$B$5:$B$204,MATCH(B723&amp;"",'隊員マスタ'!$F$5:$F$204,0)),IF(AK723="","番号なし",AK723)))</f>
        <v/>
      </c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  <c r="N723" s="47" t="n"/>
      <c r="O723" s="47" t="n"/>
      <c r="P723" s="47" t="n"/>
      <c r="Q723" s="47" t="n"/>
      <c r="R723" s="47" t="n"/>
      <c r="S723" s="47" t="n"/>
      <c r="T723" s="47" t="n"/>
      <c r="U723" s="53" t="n"/>
      <c r="V723" s="53" t="n"/>
      <c r="W723" s="47" t="n"/>
      <c r="X723" s="47" t="n"/>
      <c r="Y723" s="47" t="n"/>
      <c r="Z723" s="47" t="n"/>
      <c r="AA723" s="47" t="n"/>
      <c r="AB723" s="47" t="n"/>
      <c r="AC723" s="47" t="n"/>
      <c r="AD723" s="47" t="n"/>
      <c r="AE723" s="47" t="n"/>
      <c r="AF723" s="20">
        <f>IF(A723="","",YEAR(EDATE(A723,-3)))</f>
        <v/>
      </c>
      <c r="AG723" s="20">
        <f>IF(OR(B723="",'経歴簿'!$C$4=""),"",IF(B723&amp;""='経歴簿'!$C$4&amp;"",MAX($AG$4:AG722)+1,""))</f>
        <v/>
      </c>
      <c r="AH723" s="20">
        <f>IF(A723="",0,IF(AND(OR('CSV抽出'!$C$4="",A723&gt;='CSV抽出'!$C$4),OR('CSV抽出'!$C$5="",A723&lt;='CSV抽出'!$C$5),OR('CSV抽出'!$C$6="すべて",'CSV抽出'!$C$6="",D723='CSV抽出'!$C$6),OR('CSV抽出'!$C$7="",B723&amp;""='CSV抽出'!$C$7&amp;"")),1,0))</f>
        <v/>
      </c>
      <c r="AI723" s="20">
        <f>IF(AH723=1,SUM($AH$5:AH723),"")</f>
        <v/>
      </c>
      <c r="AJ723" s="20">
        <f>IF(OR(S723="",'報告書'!$C$4=""),"",IF(S723&amp;""='報告書'!$C$4&amp;"",COUNTIF($S$5:S723,'報告書'!$C$4),""))</f>
        <v/>
      </c>
      <c r="AK723" s="20" t="n"/>
      <c r="AL723" s="47" t="n"/>
      <c r="AM723" s="47" t="n"/>
      <c r="AN723" s="53" t="n"/>
      <c r="AO723" s="47" t="n"/>
      <c r="AP723" s="47" t="n"/>
      <c r="AQ723" s="47" t="n"/>
      <c r="AR723" s="47" t="n"/>
      <c r="AS723" s="47" t="n"/>
      <c r="AT723" s="47" t="n"/>
      <c r="AU723" s="47" t="n"/>
      <c r="AV723" s="47" t="n"/>
      <c r="AW723" s="52" t="n"/>
    </row>
    <row r="724">
      <c r="A724" s="48" t="n"/>
      <c r="B724" s="52" t="n"/>
      <c r="C724" s="47">
        <f>IF(B724="","",IFERROR(INDEX('隊員マスタ'!$B$5:$B$204,MATCH(B724&amp;"",'隊員マスタ'!$F$5:$F$204,0)),IF(AK724="","番号なし",AK724)))</f>
        <v/>
      </c>
      <c r="D724" s="47" t="n"/>
      <c r="E724" s="47" t="n"/>
      <c r="F724" s="47" t="n"/>
      <c r="G724" s="47" t="n"/>
      <c r="H724" s="47" t="n"/>
      <c r="I724" s="47" t="n"/>
      <c r="J724" s="47" t="n"/>
      <c r="K724" s="47" t="n"/>
      <c r="L724" s="47" t="n"/>
      <c r="M724" s="47" t="n"/>
      <c r="N724" s="47" t="n"/>
      <c r="O724" s="47" t="n"/>
      <c r="P724" s="47" t="n"/>
      <c r="Q724" s="47" t="n"/>
      <c r="R724" s="47" t="n"/>
      <c r="S724" s="47" t="n"/>
      <c r="T724" s="47" t="n"/>
      <c r="U724" s="53" t="n"/>
      <c r="V724" s="53" t="n"/>
      <c r="W724" s="47" t="n"/>
      <c r="X724" s="47" t="n"/>
      <c r="Y724" s="47" t="n"/>
      <c r="Z724" s="47" t="n"/>
      <c r="AA724" s="47" t="n"/>
      <c r="AB724" s="47" t="n"/>
      <c r="AC724" s="47" t="n"/>
      <c r="AD724" s="47" t="n"/>
      <c r="AE724" s="47" t="n"/>
      <c r="AF724" s="20">
        <f>IF(A724="","",YEAR(EDATE(A724,-3)))</f>
        <v/>
      </c>
      <c r="AG724" s="20">
        <f>IF(OR(B724="",'経歴簿'!$C$4=""),"",IF(B724&amp;""='経歴簿'!$C$4&amp;"",MAX($AG$4:AG723)+1,""))</f>
        <v/>
      </c>
      <c r="AH724" s="20">
        <f>IF(A724="",0,IF(AND(OR('CSV抽出'!$C$4="",A724&gt;='CSV抽出'!$C$4),OR('CSV抽出'!$C$5="",A724&lt;='CSV抽出'!$C$5),OR('CSV抽出'!$C$6="すべて",'CSV抽出'!$C$6="",D724='CSV抽出'!$C$6),OR('CSV抽出'!$C$7="",B724&amp;""='CSV抽出'!$C$7&amp;"")),1,0))</f>
        <v/>
      </c>
      <c r="AI724" s="20">
        <f>IF(AH724=1,SUM($AH$5:AH724),"")</f>
        <v/>
      </c>
      <c r="AJ724" s="20">
        <f>IF(OR(S724="",'報告書'!$C$4=""),"",IF(S724&amp;""='報告書'!$C$4&amp;"",COUNTIF($S$5:S724,'報告書'!$C$4),""))</f>
        <v/>
      </c>
      <c r="AK724" s="20" t="n"/>
      <c r="AL724" s="47" t="n"/>
      <c r="AM724" s="47" t="n"/>
      <c r="AN724" s="53" t="n"/>
      <c r="AO724" s="47" t="n"/>
      <c r="AP724" s="47" t="n"/>
      <c r="AQ724" s="47" t="n"/>
      <c r="AR724" s="47" t="n"/>
      <c r="AS724" s="47" t="n"/>
      <c r="AT724" s="47" t="n"/>
      <c r="AU724" s="47" t="n"/>
      <c r="AV724" s="47" t="n"/>
      <c r="AW724" s="52" t="n"/>
    </row>
    <row r="725">
      <c r="A725" s="48" t="n"/>
      <c r="B725" s="52" t="n"/>
      <c r="C725" s="47">
        <f>IF(B725="","",IFERROR(INDEX('隊員マスタ'!$B$5:$B$204,MATCH(B725&amp;"",'隊員マスタ'!$F$5:$F$204,0)),IF(AK725="","番号なし",AK725)))</f>
        <v/>
      </c>
      <c r="D725" s="47" t="n"/>
      <c r="E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  <c r="N725" s="47" t="n"/>
      <c r="O725" s="47" t="n"/>
      <c r="P725" s="47" t="n"/>
      <c r="Q725" s="47" t="n"/>
      <c r="R725" s="47" t="n"/>
      <c r="S725" s="47" t="n"/>
      <c r="T725" s="47" t="n"/>
      <c r="U725" s="53" t="n"/>
      <c r="V725" s="53" t="n"/>
      <c r="W725" s="47" t="n"/>
      <c r="X725" s="47" t="n"/>
      <c r="Y725" s="47" t="n"/>
      <c r="Z725" s="47" t="n"/>
      <c r="AA725" s="47" t="n"/>
      <c r="AB725" s="47" t="n"/>
      <c r="AC725" s="47" t="n"/>
      <c r="AD725" s="47" t="n"/>
      <c r="AE725" s="47" t="n"/>
      <c r="AF725" s="20">
        <f>IF(A725="","",YEAR(EDATE(A725,-3)))</f>
        <v/>
      </c>
      <c r="AG725" s="20">
        <f>IF(OR(B725="",'経歴簿'!$C$4=""),"",IF(B725&amp;""='経歴簿'!$C$4&amp;"",MAX($AG$4:AG724)+1,""))</f>
        <v/>
      </c>
      <c r="AH725" s="20">
        <f>IF(A725="",0,IF(AND(OR('CSV抽出'!$C$4="",A725&gt;='CSV抽出'!$C$4),OR('CSV抽出'!$C$5="",A725&lt;='CSV抽出'!$C$5),OR('CSV抽出'!$C$6="すべて",'CSV抽出'!$C$6="",D725='CSV抽出'!$C$6),OR('CSV抽出'!$C$7="",B725&amp;""='CSV抽出'!$C$7&amp;"")),1,0))</f>
        <v/>
      </c>
      <c r="AI725" s="20">
        <f>IF(AH725=1,SUM($AH$5:AH725),"")</f>
        <v/>
      </c>
      <c r="AJ725" s="20">
        <f>IF(OR(S725="",'報告書'!$C$4=""),"",IF(S725&amp;""='報告書'!$C$4&amp;"",COUNTIF($S$5:S725,'報告書'!$C$4),""))</f>
        <v/>
      </c>
      <c r="AK725" s="20" t="n"/>
      <c r="AL725" s="47" t="n"/>
      <c r="AM725" s="47" t="n"/>
      <c r="AN725" s="53" t="n"/>
      <c r="AO725" s="47" t="n"/>
      <c r="AP725" s="47" t="n"/>
      <c r="AQ725" s="47" t="n"/>
      <c r="AR725" s="47" t="n"/>
      <c r="AS725" s="47" t="n"/>
      <c r="AT725" s="47" t="n"/>
      <c r="AU725" s="47" t="n"/>
      <c r="AV725" s="47" t="n"/>
      <c r="AW725" s="52" t="n"/>
    </row>
    <row r="726">
      <c r="A726" s="48" t="n"/>
      <c r="B726" s="52" t="n"/>
      <c r="C726" s="47">
        <f>IF(B726="","",IFERROR(INDEX('隊員マスタ'!$B$5:$B$204,MATCH(B726&amp;"",'隊員マスタ'!$F$5:$F$204,0)),IF(AK726="","番号なし",AK726)))</f>
        <v/>
      </c>
      <c r="D726" s="47" t="n"/>
      <c r="E726" s="47" t="n"/>
      <c r="F726" s="47" t="n"/>
      <c r="G726" s="47" t="n"/>
      <c r="H726" s="47" t="n"/>
      <c r="I726" s="47" t="n"/>
      <c r="J726" s="47" t="n"/>
      <c r="K726" s="47" t="n"/>
      <c r="L726" s="47" t="n"/>
      <c r="M726" s="47" t="n"/>
      <c r="N726" s="47" t="n"/>
      <c r="O726" s="47" t="n"/>
      <c r="P726" s="47" t="n"/>
      <c r="Q726" s="47" t="n"/>
      <c r="R726" s="47" t="n"/>
      <c r="S726" s="47" t="n"/>
      <c r="T726" s="47" t="n"/>
      <c r="U726" s="53" t="n"/>
      <c r="V726" s="53" t="n"/>
      <c r="W726" s="47" t="n"/>
      <c r="X726" s="47" t="n"/>
      <c r="Y726" s="47" t="n"/>
      <c r="Z726" s="47" t="n"/>
      <c r="AA726" s="47" t="n"/>
      <c r="AB726" s="47" t="n"/>
      <c r="AC726" s="47" t="n"/>
      <c r="AD726" s="47" t="n"/>
      <c r="AE726" s="47" t="n"/>
      <c r="AF726" s="20">
        <f>IF(A726="","",YEAR(EDATE(A726,-3)))</f>
        <v/>
      </c>
      <c r="AG726" s="20">
        <f>IF(OR(B726="",'経歴簿'!$C$4=""),"",IF(B726&amp;""='経歴簿'!$C$4&amp;"",MAX($AG$4:AG725)+1,""))</f>
        <v/>
      </c>
      <c r="AH726" s="20">
        <f>IF(A726="",0,IF(AND(OR('CSV抽出'!$C$4="",A726&gt;='CSV抽出'!$C$4),OR('CSV抽出'!$C$5="",A726&lt;='CSV抽出'!$C$5),OR('CSV抽出'!$C$6="すべて",'CSV抽出'!$C$6="",D726='CSV抽出'!$C$6),OR('CSV抽出'!$C$7="",B726&amp;""='CSV抽出'!$C$7&amp;"")),1,0))</f>
        <v/>
      </c>
      <c r="AI726" s="20">
        <f>IF(AH726=1,SUM($AH$5:AH726),"")</f>
        <v/>
      </c>
      <c r="AJ726" s="20">
        <f>IF(OR(S726="",'報告書'!$C$4=""),"",IF(S726&amp;""='報告書'!$C$4&amp;"",COUNTIF($S$5:S726,'報告書'!$C$4),""))</f>
        <v/>
      </c>
      <c r="AK726" s="20" t="n"/>
      <c r="AL726" s="47" t="n"/>
      <c r="AM726" s="47" t="n"/>
      <c r="AN726" s="53" t="n"/>
      <c r="AO726" s="47" t="n"/>
      <c r="AP726" s="47" t="n"/>
      <c r="AQ726" s="47" t="n"/>
      <c r="AR726" s="47" t="n"/>
      <c r="AS726" s="47" t="n"/>
      <c r="AT726" s="47" t="n"/>
      <c r="AU726" s="47" t="n"/>
      <c r="AV726" s="47" t="n"/>
      <c r="AW726" s="52" t="n"/>
    </row>
    <row r="727">
      <c r="A727" s="48" t="n"/>
      <c r="B727" s="52" t="n"/>
      <c r="C727" s="47">
        <f>IF(B727="","",IFERROR(INDEX('隊員マスタ'!$B$5:$B$204,MATCH(B727&amp;"",'隊員マスタ'!$F$5:$F$204,0)),IF(AK727="","番号なし",AK727)))</f>
        <v/>
      </c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  <c r="N727" s="47" t="n"/>
      <c r="O727" s="47" t="n"/>
      <c r="P727" s="47" t="n"/>
      <c r="Q727" s="47" t="n"/>
      <c r="R727" s="47" t="n"/>
      <c r="S727" s="47" t="n"/>
      <c r="T727" s="47" t="n"/>
      <c r="U727" s="53" t="n"/>
      <c r="V727" s="53" t="n"/>
      <c r="W727" s="47" t="n"/>
      <c r="X727" s="47" t="n"/>
      <c r="Y727" s="47" t="n"/>
      <c r="Z727" s="47" t="n"/>
      <c r="AA727" s="47" t="n"/>
      <c r="AB727" s="47" t="n"/>
      <c r="AC727" s="47" t="n"/>
      <c r="AD727" s="47" t="n"/>
      <c r="AE727" s="47" t="n"/>
      <c r="AF727" s="20">
        <f>IF(A727="","",YEAR(EDATE(A727,-3)))</f>
        <v/>
      </c>
      <c r="AG727" s="20">
        <f>IF(OR(B727="",'経歴簿'!$C$4=""),"",IF(B727&amp;""='経歴簿'!$C$4&amp;"",MAX($AG$4:AG726)+1,""))</f>
        <v/>
      </c>
      <c r="AH727" s="20">
        <f>IF(A727="",0,IF(AND(OR('CSV抽出'!$C$4="",A727&gt;='CSV抽出'!$C$4),OR('CSV抽出'!$C$5="",A727&lt;='CSV抽出'!$C$5),OR('CSV抽出'!$C$6="すべて",'CSV抽出'!$C$6="",D727='CSV抽出'!$C$6),OR('CSV抽出'!$C$7="",B727&amp;""='CSV抽出'!$C$7&amp;"")),1,0))</f>
        <v/>
      </c>
      <c r="AI727" s="20">
        <f>IF(AH727=1,SUM($AH$5:AH727),"")</f>
        <v/>
      </c>
      <c r="AJ727" s="20">
        <f>IF(OR(S727="",'報告書'!$C$4=""),"",IF(S727&amp;""='報告書'!$C$4&amp;"",COUNTIF($S$5:S727,'報告書'!$C$4),""))</f>
        <v/>
      </c>
      <c r="AK727" s="20" t="n"/>
      <c r="AL727" s="47" t="n"/>
      <c r="AM727" s="47" t="n"/>
      <c r="AN727" s="53" t="n"/>
      <c r="AO727" s="47" t="n"/>
      <c r="AP727" s="47" t="n"/>
      <c r="AQ727" s="47" t="n"/>
      <c r="AR727" s="47" t="n"/>
      <c r="AS727" s="47" t="n"/>
      <c r="AT727" s="47" t="n"/>
      <c r="AU727" s="47" t="n"/>
      <c r="AV727" s="47" t="n"/>
      <c r="AW727" s="52" t="n"/>
    </row>
    <row r="728">
      <c r="A728" s="48" t="n"/>
      <c r="B728" s="52" t="n"/>
      <c r="C728" s="47">
        <f>IF(B728="","",IFERROR(INDEX('隊員マスタ'!$B$5:$B$204,MATCH(B728&amp;"",'隊員マスタ'!$F$5:$F$204,0)),IF(AK728="","番号なし",AK728)))</f>
        <v/>
      </c>
      <c r="D728" s="47" t="n"/>
      <c r="E728" s="47" t="n"/>
      <c r="F728" s="47" t="n"/>
      <c r="G728" s="47" t="n"/>
      <c r="H728" s="47" t="n"/>
      <c r="I728" s="47" t="n"/>
      <c r="J728" s="47" t="n"/>
      <c r="K728" s="47" t="n"/>
      <c r="L728" s="47" t="n"/>
      <c r="M728" s="47" t="n"/>
      <c r="N728" s="47" t="n"/>
      <c r="O728" s="47" t="n"/>
      <c r="P728" s="47" t="n"/>
      <c r="Q728" s="47" t="n"/>
      <c r="R728" s="47" t="n"/>
      <c r="S728" s="47" t="n"/>
      <c r="T728" s="47" t="n"/>
      <c r="U728" s="53" t="n"/>
      <c r="V728" s="53" t="n"/>
      <c r="W728" s="47" t="n"/>
      <c r="X728" s="47" t="n"/>
      <c r="Y728" s="47" t="n"/>
      <c r="Z728" s="47" t="n"/>
      <c r="AA728" s="47" t="n"/>
      <c r="AB728" s="47" t="n"/>
      <c r="AC728" s="47" t="n"/>
      <c r="AD728" s="47" t="n"/>
      <c r="AE728" s="47" t="n"/>
      <c r="AF728" s="20">
        <f>IF(A728="","",YEAR(EDATE(A728,-3)))</f>
        <v/>
      </c>
      <c r="AG728" s="20">
        <f>IF(OR(B728="",'経歴簿'!$C$4=""),"",IF(B728&amp;""='経歴簿'!$C$4&amp;"",MAX($AG$4:AG727)+1,""))</f>
        <v/>
      </c>
      <c r="AH728" s="20">
        <f>IF(A728="",0,IF(AND(OR('CSV抽出'!$C$4="",A728&gt;='CSV抽出'!$C$4),OR('CSV抽出'!$C$5="",A728&lt;='CSV抽出'!$C$5),OR('CSV抽出'!$C$6="すべて",'CSV抽出'!$C$6="",D728='CSV抽出'!$C$6),OR('CSV抽出'!$C$7="",B728&amp;""='CSV抽出'!$C$7&amp;"")),1,0))</f>
        <v/>
      </c>
      <c r="AI728" s="20">
        <f>IF(AH728=1,SUM($AH$5:AH728),"")</f>
        <v/>
      </c>
      <c r="AJ728" s="20">
        <f>IF(OR(S728="",'報告書'!$C$4=""),"",IF(S728&amp;""='報告書'!$C$4&amp;"",COUNTIF($S$5:S728,'報告書'!$C$4),""))</f>
        <v/>
      </c>
      <c r="AK728" s="20" t="n"/>
      <c r="AL728" s="47" t="n"/>
      <c r="AM728" s="47" t="n"/>
      <c r="AN728" s="53" t="n"/>
      <c r="AO728" s="47" t="n"/>
      <c r="AP728" s="47" t="n"/>
      <c r="AQ728" s="47" t="n"/>
      <c r="AR728" s="47" t="n"/>
      <c r="AS728" s="47" t="n"/>
      <c r="AT728" s="47" t="n"/>
      <c r="AU728" s="47" t="n"/>
      <c r="AV728" s="47" t="n"/>
      <c r="AW728" s="52" t="n"/>
    </row>
    <row r="729">
      <c r="A729" s="48" t="n"/>
      <c r="B729" s="52" t="n"/>
      <c r="C729" s="47">
        <f>IF(B729="","",IFERROR(INDEX('隊員マスタ'!$B$5:$B$204,MATCH(B729&amp;"",'隊員マスタ'!$F$5:$F$204,0)),IF(AK729="","番号なし",AK729)))</f>
        <v/>
      </c>
      <c r="D729" s="47" t="n"/>
      <c r="E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  <c r="N729" s="47" t="n"/>
      <c r="O729" s="47" t="n"/>
      <c r="P729" s="47" t="n"/>
      <c r="Q729" s="47" t="n"/>
      <c r="R729" s="47" t="n"/>
      <c r="S729" s="47" t="n"/>
      <c r="T729" s="47" t="n"/>
      <c r="U729" s="53" t="n"/>
      <c r="V729" s="53" t="n"/>
      <c r="W729" s="47" t="n"/>
      <c r="X729" s="47" t="n"/>
      <c r="Y729" s="47" t="n"/>
      <c r="Z729" s="47" t="n"/>
      <c r="AA729" s="47" t="n"/>
      <c r="AB729" s="47" t="n"/>
      <c r="AC729" s="47" t="n"/>
      <c r="AD729" s="47" t="n"/>
      <c r="AE729" s="47" t="n"/>
      <c r="AF729" s="20">
        <f>IF(A729="","",YEAR(EDATE(A729,-3)))</f>
        <v/>
      </c>
      <c r="AG729" s="20">
        <f>IF(OR(B729="",'経歴簿'!$C$4=""),"",IF(B729&amp;""='経歴簿'!$C$4&amp;"",MAX($AG$4:AG728)+1,""))</f>
        <v/>
      </c>
      <c r="AH729" s="20">
        <f>IF(A729="",0,IF(AND(OR('CSV抽出'!$C$4="",A729&gt;='CSV抽出'!$C$4),OR('CSV抽出'!$C$5="",A729&lt;='CSV抽出'!$C$5),OR('CSV抽出'!$C$6="すべて",'CSV抽出'!$C$6="",D729='CSV抽出'!$C$6),OR('CSV抽出'!$C$7="",B729&amp;""='CSV抽出'!$C$7&amp;"")),1,0))</f>
        <v/>
      </c>
      <c r="AI729" s="20">
        <f>IF(AH729=1,SUM($AH$5:AH729),"")</f>
        <v/>
      </c>
      <c r="AJ729" s="20">
        <f>IF(OR(S729="",'報告書'!$C$4=""),"",IF(S729&amp;""='報告書'!$C$4&amp;"",COUNTIF($S$5:S729,'報告書'!$C$4),""))</f>
        <v/>
      </c>
      <c r="AK729" s="20" t="n"/>
      <c r="AL729" s="47" t="n"/>
      <c r="AM729" s="47" t="n"/>
      <c r="AN729" s="53" t="n"/>
      <c r="AO729" s="47" t="n"/>
      <c r="AP729" s="47" t="n"/>
      <c r="AQ729" s="47" t="n"/>
      <c r="AR729" s="47" t="n"/>
      <c r="AS729" s="47" t="n"/>
      <c r="AT729" s="47" t="n"/>
      <c r="AU729" s="47" t="n"/>
      <c r="AV729" s="47" t="n"/>
      <c r="AW729" s="52" t="n"/>
    </row>
    <row r="730">
      <c r="A730" s="48" t="n"/>
      <c r="B730" s="52" t="n"/>
      <c r="C730" s="47">
        <f>IF(B730="","",IFERROR(INDEX('隊員マスタ'!$B$5:$B$204,MATCH(B730&amp;"",'隊員マスタ'!$F$5:$F$204,0)),IF(AK730="","番号なし",AK730)))</f>
        <v/>
      </c>
      <c r="D730" s="47" t="n"/>
      <c r="E730" s="47" t="n"/>
      <c r="F730" s="47" t="n"/>
      <c r="G730" s="47" t="n"/>
      <c r="H730" s="47" t="n"/>
      <c r="I730" s="47" t="n"/>
      <c r="J730" s="47" t="n"/>
      <c r="K730" s="47" t="n"/>
      <c r="L730" s="47" t="n"/>
      <c r="M730" s="47" t="n"/>
      <c r="N730" s="47" t="n"/>
      <c r="O730" s="47" t="n"/>
      <c r="P730" s="47" t="n"/>
      <c r="Q730" s="47" t="n"/>
      <c r="R730" s="47" t="n"/>
      <c r="S730" s="47" t="n"/>
      <c r="T730" s="47" t="n"/>
      <c r="U730" s="53" t="n"/>
      <c r="V730" s="53" t="n"/>
      <c r="W730" s="47" t="n"/>
      <c r="X730" s="47" t="n"/>
      <c r="Y730" s="47" t="n"/>
      <c r="Z730" s="47" t="n"/>
      <c r="AA730" s="47" t="n"/>
      <c r="AB730" s="47" t="n"/>
      <c r="AC730" s="47" t="n"/>
      <c r="AD730" s="47" t="n"/>
      <c r="AE730" s="47" t="n"/>
      <c r="AF730" s="20">
        <f>IF(A730="","",YEAR(EDATE(A730,-3)))</f>
        <v/>
      </c>
      <c r="AG730" s="20">
        <f>IF(OR(B730="",'経歴簿'!$C$4=""),"",IF(B730&amp;""='経歴簿'!$C$4&amp;"",MAX($AG$4:AG729)+1,""))</f>
        <v/>
      </c>
      <c r="AH730" s="20">
        <f>IF(A730="",0,IF(AND(OR('CSV抽出'!$C$4="",A730&gt;='CSV抽出'!$C$4),OR('CSV抽出'!$C$5="",A730&lt;='CSV抽出'!$C$5),OR('CSV抽出'!$C$6="すべて",'CSV抽出'!$C$6="",D730='CSV抽出'!$C$6),OR('CSV抽出'!$C$7="",B730&amp;""='CSV抽出'!$C$7&amp;"")),1,0))</f>
        <v/>
      </c>
      <c r="AI730" s="20">
        <f>IF(AH730=1,SUM($AH$5:AH730),"")</f>
        <v/>
      </c>
      <c r="AJ730" s="20">
        <f>IF(OR(S730="",'報告書'!$C$4=""),"",IF(S730&amp;""='報告書'!$C$4&amp;"",COUNTIF($S$5:S730,'報告書'!$C$4),""))</f>
        <v/>
      </c>
      <c r="AK730" s="20" t="n"/>
      <c r="AL730" s="47" t="n"/>
      <c r="AM730" s="47" t="n"/>
      <c r="AN730" s="53" t="n"/>
      <c r="AO730" s="47" t="n"/>
      <c r="AP730" s="47" t="n"/>
      <c r="AQ730" s="47" t="n"/>
      <c r="AR730" s="47" t="n"/>
      <c r="AS730" s="47" t="n"/>
      <c r="AT730" s="47" t="n"/>
      <c r="AU730" s="47" t="n"/>
      <c r="AV730" s="47" t="n"/>
      <c r="AW730" s="52" t="n"/>
    </row>
    <row r="731">
      <c r="A731" s="48" t="n"/>
      <c r="B731" s="52" t="n"/>
      <c r="C731" s="47">
        <f>IF(B731="","",IFERROR(INDEX('隊員マスタ'!$B$5:$B$204,MATCH(B731&amp;"",'隊員マスタ'!$F$5:$F$204,0)),IF(AK731="","番号なし",AK731)))</f>
        <v/>
      </c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  <c r="N731" s="47" t="n"/>
      <c r="O731" s="47" t="n"/>
      <c r="P731" s="47" t="n"/>
      <c r="Q731" s="47" t="n"/>
      <c r="R731" s="47" t="n"/>
      <c r="S731" s="47" t="n"/>
      <c r="T731" s="47" t="n"/>
      <c r="U731" s="53" t="n"/>
      <c r="V731" s="53" t="n"/>
      <c r="W731" s="47" t="n"/>
      <c r="X731" s="47" t="n"/>
      <c r="Y731" s="47" t="n"/>
      <c r="Z731" s="47" t="n"/>
      <c r="AA731" s="47" t="n"/>
      <c r="AB731" s="47" t="n"/>
      <c r="AC731" s="47" t="n"/>
      <c r="AD731" s="47" t="n"/>
      <c r="AE731" s="47" t="n"/>
      <c r="AF731" s="20">
        <f>IF(A731="","",YEAR(EDATE(A731,-3)))</f>
        <v/>
      </c>
      <c r="AG731" s="20">
        <f>IF(OR(B731="",'経歴簿'!$C$4=""),"",IF(B731&amp;""='経歴簿'!$C$4&amp;"",MAX($AG$4:AG730)+1,""))</f>
        <v/>
      </c>
      <c r="AH731" s="20">
        <f>IF(A731="",0,IF(AND(OR('CSV抽出'!$C$4="",A731&gt;='CSV抽出'!$C$4),OR('CSV抽出'!$C$5="",A731&lt;='CSV抽出'!$C$5),OR('CSV抽出'!$C$6="すべて",'CSV抽出'!$C$6="",D731='CSV抽出'!$C$6),OR('CSV抽出'!$C$7="",B731&amp;""='CSV抽出'!$C$7&amp;"")),1,0))</f>
        <v/>
      </c>
      <c r="AI731" s="20">
        <f>IF(AH731=1,SUM($AH$5:AH731),"")</f>
        <v/>
      </c>
      <c r="AJ731" s="20">
        <f>IF(OR(S731="",'報告書'!$C$4=""),"",IF(S731&amp;""='報告書'!$C$4&amp;"",COUNTIF($S$5:S731,'報告書'!$C$4),""))</f>
        <v/>
      </c>
      <c r="AK731" s="20" t="n"/>
      <c r="AL731" s="47" t="n"/>
      <c r="AM731" s="47" t="n"/>
      <c r="AN731" s="53" t="n"/>
      <c r="AO731" s="47" t="n"/>
      <c r="AP731" s="47" t="n"/>
      <c r="AQ731" s="47" t="n"/>
      <c r="AR731" s="47" t="n"/>
      <c r="AS731" s="47" t="n"/>
      <c r="AT731" s="47" t="n"/>
      <c r="AU731" s="47" t="n"/>
      <c r="AV731" s="47" t="n"/>
      <c r="AW731" s="52" t="n"/>
    </row>
    <row r="732">
      <c r="A732" s="48" t="n"/>
      <c r="B732" s="52" t="n"/>
      <c r="C732" s="47">
        <f>IF(B732="","",IFERROR(INDEX('隊員マスタ'!$B$5:$B$204,MATCH(B732&amp;"",'隊員マスタ'!$F$5:$F$204,0)),IF(AK732="","番号なし",AK732)))</f>
        <v/>
      </c>
      <c r="D732" s="47" t="n"/>
      <c r="E732" s="47" t="n"/>
      <c r="F732" s="47" t="n"/>
      <c r="G732" s="47" t="n"/>
      <c r="H732" s="47" t="n"/>
      <c r="I732" s="47" t="n"/>
      <c r="J732" s="47" t="n"/>
      <c r="K732" s="47" t="n"/>
      <c r="L732" s="47" t="n"/>
      <c r="M732" s="47" t="n"/>
      <c r="N732" s="47" t="n"/>
      <c r="O732" s="47" t="n"/>
      <c r="P732" s="47" t="n"/>
      <c r="Q732" s="47" t="n"/>
      <c r="R732" s="47" t="n"/>
      <c r="S732" s="47" t="n"/>
      <c r="T732" s="47" t="n"/>
      <c r="U732" s="53" t="n"/>
      <c r="V732" s="53" t="n"/>
      <c r="W732" s="47" t="n"/>
      <c r="X732" s="47" t="n"/>
      <c r="Y732" s="47" t="n"/>
      <c r="Z732" s="47" t="n"/>
      <c r="AA732" s="47" t="n"/>
      <c r="AB732" s="47" t="n"/>
      <c r="AC732" s="47" t="n"/>
      <c r="AD732" s="47" t="n"/>
      <c r="AE732" s="47" t="n"/>
      <c r="AF732" s="20">
        <f>IF(A732="","",YEAR(EDATE(A732,-3)))</f>
        <v/>
      </c>
      <c r="AG732" s="20">
        <f>IF(OR(B732="",'経歴簿'!$C$4=""),"",IF(B732&amp;""='経歴簿'!$C$4&amp;"",MAX($AG$4:AG731)+1,""))</f>
        <v/>
      </c>
      <c r="AH732" s="20">
        <f>IF(A732="",0,IF(AND(OR('CSV抽出'!$C$4="",A732&gt;='CSV抽出'!$C$4),OR('CSV抽出'!$C$5="",A732&lt;='CSV抽出'!$C$5),OR('CSV抽出'!$C$6="すべて",'CSV抽出'!$C$6="",D732='CSV抽出'!$C$6),OR('CSV抽出'!$C$7="",B732&amp;""='CSV抽出'!$C$7&amp;"")),1,0))</f>
        <v/>
      </c>
      <c r="AI732" s="20">
        <f>IF(AH732=1,SUM($AH$5:AH732),"")</f>
        <v/>
      </c>
      <c r="AJ732" s="20">
        <f>IF(OR(S732="",'報告書'!$C$4=""),"",IF(S732&amp;""='報告書'!$C$4&amp;"",COUNTIF($S$5:S732,'報告書'!$C$4),""))</f>
        <v/>
      </c>
      <c r="AK732" s="20" t="n"/>
      <c r="AL732" s="47" t="n"/>
      <c r="AM732" s="47" t="n"/>
      <c r="AN732" s="53" t="n"/>
      <c r="AO732" s="47" t="n"/>
      <c r="AP732" s="47" t="n"/>
      <c r="AQ732" s="47" t="n"/>
      <c r="AR732" s="47" t="n"/>
      <c r="AS732" s="47" t="n"/>
      <c r="AT732" s="47" t="n"/>
      <c r="AU732" s="47" t="n"/>
      <c r="AV732" s="47" t="n"/>
      <c r="AW732" s="52" t="n"/>
    </row>
    <row r="733">
      <c r="A733" s="48" t="n"/>
      <c r="B733" s="52" t="n"/>
      <c r="C733" s="47">
        <f>IF(B733="","",IFERROR(INDEX('隊員マスタ'!$B$5:$B$204,MATCH(B733&amp;"",'隊員マスタ'!$F$5:$F$204,0)),IF(AK733="","番号なし",AK733)))</f>
        <v/>
      </c>
      <c r="D733" s="47" t="n"/>
      <c r="E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  <c r="N733" s="47" t="n"/>
      <c r="O733" s="47" t="n"/>
      <c r="P733" s="47" t="n"/>
      <c r="Q733" s="47" t="n"/>
      <c r="R733" s="47" t="n"/>
      <c r="S733" s="47" t="n"/>
      <c r="T733" s="47" t="n"/>
      <c r="U733" s="53" t="n"/>
      <c r="V733" s="53" t="n"/>
      <c r="W733" s="47" t="n"/>
      <c r="X733" s="47" t="n"/>
      <c r="Y733" s="47" t="n"/>
      <c r="Z733" s="47" t="n"/>
      <c r="AA733" s="47" t="n"/>
      <c r="AB733" s="47" t="n"/>
      <c r="AC733" s="47" t="n"/>
      <c r="AD733" s="47" t="n"/>
      <c r="AE733" s="47" t="n"/>
      <c r="AF733" s="20">
        <f>IF(A733="","",YEAR(EDATE(A733,-3)))</f>
        <v/>
      </c>
      <c r="AG733" s="20">
        <f>IF(OR(B733="",'経歴簿'!$C$4=""),"",IF(B733&amp;""='経歴簿'!$C$4&amp;"",MAX($AG$4:AG732)+1,""))</f>
        <v/>
      </c>
      <c r="AH733" s="20">
        <f>IF(A733="",0,IF(AND(OR('CSV抽出'!$C$4="",A733&gt;='CSV抽出'!$C$4),OR('CSV抽出'!$C$5="",A733&lt;='CSV抽出'!$C$5),OR('CSV抽出'!$C$6="すべて",'CSV抽出'!$C$6="",D733='CSV抽出'!$C$6),OR('CSV抽出'!$C$7="",B733&amp;""='CSV抽出'!$C$7&amp;"")),1,0))</f>
        <v/>
      </c>
      <c r="AI733" s="20">
        <f>IF(AH733=1,SUM($AH$5:AH733),"")</f>
        <v/>
      </c>
      <c r="AJ733" s="20">
        <f>IF(OR(S733="",'報告書'!$C$4=""),"",IF(S733&amp;""='報告書'!$C$4&amp;"",COUNTIF($S$5:S733,'報告書'!$C$4),""))</f>
        <v/>
      </c>
      <c r="AK733" s="20" t="n"/>
      <c r="AL733" s="47" t="n"/>
      <c r="AM733" s="47" t="n"/>
      <c r="AN733" s="53" t="n"/>
      <c r="AO733" s="47" t="n"/>
      <c r="AP733" s="47" t="n"/>
      <c r="AQ733" s="47" t="n"/>
      <c r="AR733" s="47" t="n"/>
      <c r="AS733" s="47" t="n"/>
      <c r="AT733" s="47" t="n"/>
      <c r="AU733" s="47" t="n"/>
      <c r="AV733" s="47" t="n"/>
      <c r="AW733" s="52" t="n"/>
    </row>
    <row r="734">
      <c r="A734" s="48" t="n"/>
      <c r="B734" s="52" t="n"/>
      <c r="C734" s="47">
        <f>IF(B734="","",IFERROR(INDEX('隊員マスタ'!$B$5:$B$204,MATCH(B734&amp;"",'隊員マスタ'!$F$5:$F$204,0)),IF(AK734="","番号なし",AK734)))</f>
        <v/>
      </c>
      <c r="D734" s="47" t="n"/>
      <c r="E734" s="47" t="n"/>
      <c r="F734" s="47" t="n"/>
      <c r="G734" s="47" t="n"/>
      <c r="H734" s="47" t="n"/>
      <c r="I734" s="47" t="n"/>
      <c r="J734" s="47" t="n"/>
      <c r="K734" s="47" t="n"/>
      <c r="L734" s="47" t="n"/>
      <c r="M734" s="47" t="n"/>
      <c r="N734" s="47" t="n"/>
      <c r="O734" s="47" t="n"/>
      <c r="P734" s="47" t="n"/>
      <c r="Q734" s="47" t="n"/>
      <c r="R734" s="47" t="n"/>
      <c r="S734" s="47" t="n"/>
      <c r="T734" s="47" t="n"/>
      <c r="U734" s="53" t="n"/>
      <c r="V734" s="53" t="n"/>
      <c r="W734" s="47" t="n"/>
      <c r="X734" s="47" t="n"/>
      <c r="Y734" s="47" t="n"/>
      <c r="Z734" s="47" t="n"/>
      <c r="AA734" s="47" t="n"/>
      <c r="AB734" s="47" t="n"/>
      <c r="AC734" s="47" t="n"/>
      <c r="AD734" s="47" t="n"/>
      <c r="AE734" s="47" t="n"/>
      <c r="AF734" s="20">
        <f>IF(A734="","",YEAR(EDATE(A734,-3)))</f>
        <v/>
      </c>
      <c r="AG734" s="20">
        <f>IF(OR(B734="",'経歴簿'!$C$4=""),"",IF(B734&amp;""='経歴簿'!$C$4&amp;"",MAX($AG$4:AG733)+1,""))</f>
        <v/>
      </c>
      <c r="AH734" s="20">
        <f>IF(A734="",0,IF(AND(OR('CSV抽出'!$C$4="",A734&gt;='CSV抽出'!$C$4),OR('CSV抽出'!$C$5="",A734&lt;='CSV抽出'!$C$5),OR('CSV抽出'!$C$6="すべて",'CSV抽出'!$C$6="",D734='CSV抽出'!$C$6),OR('CSV抽出'!$C$7="",B734&amp;""='CSV抽出'!$C$7&amp;"")),1,0))</f>
        <v/>
      </c>
      <c r="AI734" s="20">
        <f>IF(AH734=1,SUM($AH$5:AH734),"")</f>
        <v/>
      </c>
      <c r="AJ734" s="20">
        <f>IF(OR(S734="",'報告書'!$C$4=""),"",IF(S734&amp;""='報告書'!$C$4&amp;"",COUNTIF($S$5:S734,'報告書'!$C$4),""))</f>
        <v/>
      </c>
      <c r="AK734" s="20" t="n"/>
      <c r="AL734" s="47" t="n"/>
      <c r="AM734" s="47" t="n"/>
      <c r="AN734" s="53" t="n"/>
      <c r="AO734" s="47" t="n"/>
      <c r="AP734" s="47" t="n"/>
      <c r="AQ734" s="47" t="n"/>
      <c r="AR734" s="47" t="n"/>
      <c r="AS734" s="47" t="n"/>
      <c r="AT734" s="47" t="n"/>
      <c r="AU734" s="47" t="n"/>
      <c r="AV734" s="47" t="n"/>
      <c r="AW734" s="52" t="n"/>
    </row>
    <row r="735">
      <c r="A735" s="48" t="n"/>
      <c r="B735" s="52" t="n"/>
      <c r="C735" s="47">
        <f>IF(B735="","",IFERROR(INDEX('隊員マスタ'!$B$5:$B$204,MATCH(B735&amp;"",'隊員マスタ'!$F$5:$F$204,0)),IF(AK735="","番号なし",AK735)))</f>
        <v/>
      </c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  <c r="N735" s="47" t="n"/>
      <c r="O735" s="47" t="n"/>
      <c r="P735" s="47" t="n"/>
      <c r="Q735" s="47" t="n"/>
      <c r="R735" s="47" t="n"/>
      <c r="S735" s="47" t="n"/>
      <c r="T735" s="47" t="n"/>
      <c r="U735" s="53" t="n"/>
      <c r="V735" s="53" t="n"/>
      <c r="W735" s="47" t="n"/>
      <c r="X735" s="47" t="n"/>
      <c r="Y735" s="47" t="n"/>
      <c r="Z735" s="47" t="n"/>
      <c r="AA735" s="47" t="n"/>
      <c r="AB735" s="47" t="n"/>
      <c r="AC735" s="47" t="n"/>
      <c r="AD735" s="47" t="n"/>
      <c r="AE735" s="47" t="n"/>
      <c r="AF735" s="20">
        <f>IF(A735="","",YEAR(EDATE(A735,-3)))</f>
        <v/>
      </c>
      <c r="AG735" s="20">
        <f>IF(OR(B735="",'経歴簿'!$C$4=""),"",IF(B735&amp;""='経歴簿'!$C$4&amp;"",MAX($AG$4:AG734)+1,""))</f>
        <v/>
      </c>
      <c r="AH735" s="20">
        <f>IF(A735="",0,IF(AND(OR('CSV抽出'!$C$4="",A735&gt;='CSV抽出'!$C$4),OR('CSV抽出'!$C$5="",A735&lt;='CSV抽出'!$C$5),OR('CSV抽出'!$C$6="すべて",'CSV抽出'!$C$6="",D735='CSV抽出'!$C$6),OR('CSV抽出'!$C$7="",B735&amp;""='CSV抽出'!$C$7&amp;"")),1,0))</f>
        <v/>
      </c>
      <c r="AI735" s="20">
        <f>IF(AH735=1,SUM($AH$5:AH735),"")</f>
        <v/>
      </c>
      <c r="AJ735" s="20">
        <f>IF(OR(S735="",'報告書'!$C$4=""),"",IF(S735&amp;""='報告書'!$C$4&amp;"",COUNTIF($S$5:S735,'報告書'!$C$4),""))</f>
        <v/>
      </c>
      <c r="AK735" s="20" t="n"/>
      <c r="AL735" s="47" t="n"/>
      <c r="AM735" s="47" t="n"/>
      <c r="AN735" s="53" t="n"/>
      <c r="AO735" s="47" t="n"/>
      <c r="AP735" s="47" t="n"/>
      <c r="AQ735" s="47" t="n"/>
      <c r="AR735" s="47" t="n"/>
      <c r="AS735" s="47" t="n"/>
      <c r="AT735" s="47" t="n"/>
      <c r="AU735" s="47" t="n"/>
      <c r="AV735" s="47" t="n"/>
      <c r="AW735" s="52" t="n"/>
    </row>
    <row r="736">
      <c r="A736" s="48" t="n"/>
      <c r="B736" s="52" t="n"/>
      <c r="C736" s="47">
        <f>IF(B736="","",IFERROR(INDEX('隊員マスタ'!$B$5:$B$204,MATCH(B736&amp;"",'隊員マスタ'!$F$5:$F$204,0)),IF(AK736="","番号なし",AK736)))</f>
        <v/>
      </c>
      <c r="D736" s="47" t="n"/>
      <c r="E736" s="47" t="n"/>
      <c r="F736" s="47" t="n"/>
      <c r="G736" s="47" t="n"/>
      <c r="H736" s="47" t="n"/>
      <c r="I736" s="47" t="n"/>
      <c r="J736" s="47" t="n"/>
      <c r="K736" s="47" t="n"/>
      <c r="L736" s="47" t="n"/>
      <c r="M736" s="47" t="n"/>
      <c r="N736" s="47" t="n"/>
      <c r="O736" s="47" t="n"/>
      <c r="P736" s="47" t="n"/>
      <c r="Q736" s="47" t="n"/>
      <c r="R736" s="47" t="n"/>
      <c r="S736" s="47" t="n"/>
      <c r="T736" s="47" t="n"/>
      <c r="U736" s="53" t="n"/>
      <c r="V736" s="53" t="n"/>
      <c r="W736" s="47" t="n"/>
      <c r="X736" s="47" t="n"/>
      <c r="Y736" s="47" t="n"/>
      <c r="Z736" s="47" t="n"/>
      <c r="AA736" s="47" t="n"/>
      <c r="AB736" s="47" t="n"/>
      <c r="AC736" s="47" t="n"/>
      <c r="AD736" s="47" t="n"/>
      <c r="AE736" s="47" t="n"/>
      <c r="AF736" s="20">
        <f>IF(A736="","",YEAR(EDATE(A736,-3)))</f>
        <v/>
      </c>
      <c r="AG736" s="20">
        <f>IF(OR(B736="",'経歴簿'!$C$4=""),"",IF(B736&amp;""='経歴簿'!$C$4&amp;"",MAX($AG$4:AG735)+1,""))</f>
        <v/>
      </c>
      <c r="AH736" s="20">
        <f>IF(A736="",0,IF(AND(OR('CSV抽出'!$C$4="",A736&gt;='CSV抽出'!$C$4),OR('CSV抽出'!$C$5="",A736&lt;='CSV抽出'!$C$5),OR('CSV抽出'!$C$6="すべて",'CSV抽出'!$C$6="",D736='CSV抽出'!$C$6),OR('CSV抽出'!$C$7="",B736&amp;""='CSV抽出'!$C$7&amp;"")),1,0))</f>
        <v/>
      </c>
      <c r="AI736" s="20">
        <f>IF(AH736=1,SUM($AH$5:AH736),"")</f>
        <v/>
      </c>
      <c r="AJ736" s="20">
        <f>IF(OR(S736="",'報告書'!$C$4=""),"",IF(S736&amp;""='報告書'!$C$4&amp;"",COUNTIF($S$5:S736,'報告書'!$C$4),""))</f>
        <v/>
      </c>
      <c r="AK736" s="20" t="n"/>
      <c r="AL736" s="47" t="n"/>
      <c r="AM736" s="47" t="n"/>
      <c r="AN736" s="53" t="n"/>
      <c r="AO736" s="47" t="n"/>
      <c r="AP736" s="47" t="n"/>
      <c r="AQ736" s="47" t="n"/>
      <c r="AR736" s="47" t="n"/>
      <c r="AS736" s="47" t="n"/>
      <c r="AT736" s="47" t="n"/>
      <c r="AU736" s="47" t="n"/>
      <c r="AV736" s="47" t="n"/>
      <c r="AW736" s="52" t="n"/>
    </row>
    <row r="737">
      <c r="A737" s="48" t="n"/>
      <c r="B737" s="52" t="n"/>
      <c r="C737" s="47">
        <f>IF(B737="","",IFERROR(INDEX('隊員マスタ'!$B$5:$B$204,MATCH(B737&amp;"",'隊員マスタ'!$F$5:$F$204,0)),IF(AK737="","番号なし",AK737)))</f>
        <v/>
      </c>
      <c r="D737" s="47" t="n"/>
      <c r="E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  <c r="N737" s="47" t="n"/>
      <c r="O737" s="47" t="n"/>
      <c r="P737" s="47" t="n"/>
      <c r="Q737" s="47" t="n"/>
      <c r="R737" s="47" t="n"/>
      <c r="S737" s="47" t="n"/>
      <c r="T737" s="47" t="n"/>
      <c r="U737" s="53" t="n"/>
      <c r="V737" s="53" t="n"/>
      <c r="W737" s="47" t="n"/>
      <c r="X737" s="47" t="n"/>
      <c r="Y737" s="47" t="n"/>
      <c r="Z737" s="47" t="n"/>
      <c r="AA737" s="47" t="n"/>
      <c r="AB737" s="47" t="n"/>
      <c r="AC737" s="47" t="n"/>
      <c r="AD737" s="47" t="n"/>
      <c r="AE737" s="47" t="n"/>
      <c r="AF737" s="20">
        <f>IF(A737="","",YEAR(EDATE(A737,-3)))</f>
        <v/>
      </c>
      <c r="AG737" s="20">
        <f>IF(OR(B737="",'経歴簿'!$C$4=""),"",IF(B737&amp;""='経歴簿'!$C$4&amp;"",MAX($AG$4:AG736)+1,""))</f>
        <v/>
      </c>
      <c r="AH737" s="20">
        <f>IF(A737="",0,IF(AND(OR('CSV抽出'!$C$4="",A737&gt;='CSV抽出'!$C$4),OR('CSV抽出'!$C$5="",A737&lt;='CSV抽出'!$C$5),OR('CSV抽出'!$C$6="すべて",'CSV抽出'!$C$6="",D737='CSV抽出'!$C$6),OR('CSV抽出'!$C$7="",B737&amp;""='CSV抽出'!$C$7&amp;"")),1,0))</f>
        <v/>
      </c>
      <c r="AI737" s="20">
        <f>IF(AH737=1,SUM($AH$5:AH737),"")</f>
        <v/>
      </c>
      <c r="AJ737" s="20">
        <f>IF(OR(S737="",'報告書'!$C$4=""),"",IF(S737&amp;""='報告書'!$C$4&amp;"",COUNTIF($S$5:S737,'報告書'!$C$4),""))</f>
        <v/>
      </c>
      <c r="AK737" s="20" t="n"/>
      <c r="AL737" s="47" t="n"/>
      <c r="AM737" s="47" t="n"/>
      <c r="AN737" s="53" t="n"/>
      <c r="AO737" s="47" t="n"/>
      <c r="AP737" s="47" t="n"/>
      <c r="AQ737" s="47" t="n"/>
      <c r="AR737" s="47" t="n"/>
      <c r="AS737" s="47" t="n"/>
      <c r="AT737" s="47" t="n"/>
      <c r="AU737" s="47" t="n"/>
      <c r="AV737" s="47" t="n"/>
      <c r="AW737" s="52" t="n"/>
    </row>
    <row r="738">
      <c r="A738" s="48" t="n"/>
      <c r="B738" s="52" t="n"/>
      <c r="C738" s="47">
        <f>IF(B738="","",IFERROR(INDEX('隊員マスタ'!$B$5:$B$204,MATCH(B738&amp;"",'隊員マスタ'!$F$5:$F$204,0)),IF(AK738="","番号なし",AK738)))</f>
        <v/>
      </c>
      <c r="D738" s="47" t="n"/>
      <c r="E738" s="47" t="n"/>
      <c r="F738" s="47" t="n"/>
      <c r="G738" s="47" t="n"/>
      <c r="H738" s="47" t="n"/>
      <c r="I738" s="47" t="n"/>
      <c r="J738" s="47" t="n"/>
      <c r="K738" s="47" t="n"/>
      <c r="L738" s="47" t="n"/>
      <c r="M738" s="47" t="n"/>
      <c r="N738" s="47" t="n"/>
      <c r="O738" s="47" t="n"/>
      <c r="P738" s="47" t="n"/>
      <c r="Q738" s="47" t="n"/>
      <c r="R738" s="47" t="n"/>
      <c r="S738" s="47" t="n"/>
      <c r="T738" s="47" t="n"/>
      <c r="U738" s="53" t="n"/>
      <c r="V738" s="53" t="n"/>
      <c r="W738" s="47" t="n"/>
      <c r="X738" s="47" t="n"/>
      <c r="Y738" s="47" t="n"/>
      <c r="Z738" s="47" t="n"/>
      <c r="AA738" s="47" t="n"/>
      <c r="AB738" s="47" t="n"/>
      <c r="AC738" s="47" t="n"/>
      <c r="AD738" s="47" t="n"/>
      <c r="AE738" s="47" t="n"/>
      <c r="AF738" s="20">
        <f>IF(A738="","",YEAR(EDATE(A738,-3)))</f>
        <v/>
      </c>
      <c r="AG738" s="20">
        <f>IF(OR(B738="",'経歴簿'!$C$4=""),"",IF(B738&amp;""='経歴簿'!$C$4&amp;"",MAX($AG$4:AG737)+1,""))</f>
        <v/>
      </c>
      <c r="AH738" s="20">
        <f>IF(A738="",0,IF(AND(OR('CSV抽出'!$C$4="",A738&gt;='CSV抽出'!$C$4),OR('CSV抽出'!$C$5="",A738&lt;='CSV抽出'!$C$5),OR('CSV抽出'!$C$6="すべて",'CSV抽出'!$C$6="",D738='CSV抽出'!$C$6),OR('CSV抽出'!$C$7="",B738&amp;""='CSV抽出'!$C$7&amp;"")),1,0))</f>
        <v/>
      </c>
      <c r="AI738" s="20">
        <f>IF(AH738=1,SUM($AH$5:AH738),"")</f>
        <v/>
      </c>
      <c r="AJ738" s="20">
        <f>IF(OR(S738="",'報告書'!$C$4=""),"",IF(S738&amp;""='報告書'!$C$4&amp;"",COUNTIF($S$5:S738,'報告書'!$C$4),""))</f>
        <v/>
      </c>
      <c r="AK738" s="20" t="n"/>
      <c r="AL738" s="47" t="n"/>
      <c r="AM738" s="47" t="n"/>
      <c r="AN738" s="53" t="n"/>
      <c r="AO738" s="47" t="n"/>
      <c r="AP738" s="47" t="n"/>
      <c r="AQ738" s="47" t="n"/>
      <c r="AR738" s="47" t="n"/>
      <c r="AS738" s="47" t="n"/>
      <c r="AT738" s="47" t="n"/>
      <c r="AU738" s="47" t="n"/>
      <c r="AV738" s="47" t="n"/>
      <c r="AW738" s="52" t="n"/>
    </row>
    <row r="739">
      <c r="A739" s="48" t="n"/>
      <c r="B739" s="52" t="n"/>
      <c r="C739" s="47">
        <f>IF(B739="","",IFERROR(INDEX('隊員マスタ'!$B$5:$B$204,MATCH(B739&amp;"",'隊員マスタ'!$F$5:$F$204,0)),IF(AK739="","番号なし",AK739)))</f>
        <v/>
      </c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  <c r="N739" s="47" t="n"/>
      <c r="O739" s="47" t="n"/>
      <c r="P739" s="47" t="n"/>
      <c r="Q739" s="47" t="n"/>
      <c r="R739" s="47" t="n"/>
      <c r="S739" s="47" t="n"/>
      <c r="T739" s="47" t="n"/>
      <c r="U739" s="53" t="n"/>
      <c r="V739" s="53" t="n"/>
      <c r="W739" s="47" t="n"/>
      <c r="X739" s="47" t="n"/>
      <c r="Y739" s="47" t="n"/>
      <c r="Z739" s="47" t="n"/>
      <c r="AA739" s="47" t="n"/>
      <c r="AB739" s="47" t="n"/>
      <c r="AC739" s="47" t="n"/>
      <c r="AD739" s="47" t="n"/>
      <c r="AE739" s="47" t="n"/>
      <c r="AF739" s="20">
        <f>IF(A739="","",YEAR(EDATE(A739,-3)))</f>
        <v/>
      </c>
      <c r="AG739" s="20">
        <f>IF(OR(B739="",'経歴簿'!$C$4=""),"",IF(B739&amp;""='経歴簿'!$C$4&amp;"",MAX($AG$4:AG738)+1,""))</f>
        <v/>
      </c>
      <c r="AH739" s="20">
        <f>IF(A739="",0,IF(AND(OR('CSV抽出'!$C$4="",A739&gt;='CSV抽出'!$C$4),OR('CSV抽出'!$C$5="",A739&lt;='CSV抽出'!$C$5),OR('CSV抽出'!$C$6="すべて",'CSV抽出'!$C$6="",D739='CSV抽出'!$C$6),OR('CSV抽出'!$C$7="",B739&amp;""='CSV抽出'!$C$7&amp;"")),1,0))</f>
        <v/>
      </c>
      <c r="AI739" s="20">
        <f>IF(AH739=1,SUM($AH$5:AH739),"")</f>
        <v/>
      </c>
      <c r="AJ739" s="20">
        <f>IF(OR(S739="",'報告書'!$C$4=""),"",IF(S739&amp;""='報告書'!$C$4&amp;"",COUNTIF($S$5:S739,'報告書'!$C$4),""))</f>
        <v/>
      </c>
      <c r="AK739" s="20" t="n"/>
      <c r="AL739" s="47" t="n"/>
      <c r="AM739" s="47" t="n"/>
      <c r="AN739" s="53" t="n"/>
      <c r="AO739" s="47" t="n"/>
      <c r="AP739" s="47" t="n"/>
      <c r="AQ739" s="47" t="n"/>
      <c r="AR739" s="47" t="n"/>
      <c r="AS739" s="47" t="n"/>
      <c r="AT739" s="47" t="n"/>
      <c r="AU739" s="47" t="n"/>
      <c r="AV739" s="47" t="n"/>
      <c r="AW739" s="52" t="n"/>
    </row>
    <row r="740">
      <c r="A740" s="48" t="n"/>
      <c r="B740" s="52" t="n"/>
      <c r="C740" s="47">
        <f>IF(B740="","",IFERROR(INDEX('隊員マスタ'!$B$5:$B$204,MATCH(B740&amp;"",'隊員マスタ'!$F$5:$F$204,0)),IF(AK740="","番号なし",AK740)))</f>
        <v/>
      </c>
      <c r="D740" s="47" t="n"/>
      <c r="E740" s="47" t="n"/>
      <c r="F740" s="47" t="n"/>
      <c r="G740" s="47" t="n"/>
      <c r="H740" s="47" t="n"/>
      <c r="I740" s="47" t="n"/>
      <c r="J740" s="47" t="n"/>
      <c r="K740" s="47" t="n"/>
      <c r="L740" s="47" t="n"/>
      <c r="M740" s="47" t="n"/>
      <c r="N740" s="47" t="n"/>
      <c r="O740" s="47" t="n"/>
      <c r="P740" s="47" t="n"/>
      <c r="Q740" s="47" t="n"/>
      <c r="R740" s="47" t="n"/>
      <c r="S740" s="47" t="n"/>
      <c r="T740" s="47" t="n"/>
      <c r="U740" s="53" t="n"/>
      <c r="V740" s="53" t="n"/>
      <c r="W740" s="47" t="n"/>
      <c r="X740" s="47" t="n"/>
      <c r="Y740" s="47" t="n"/>
      <c r="Z740" s="47" t="n"/>
      <c r="AA740" s="47" t="n"/>
      <c r="AB740" s="47" t="n"/>
      <c r="AC740" s="47" t="n"/>
      <c r="AD740" s="47" t="n"/>
      <c r="AE740" s="47" t="n"/>
      <c r="AF740" s="20">
        <f>IF(A740="","",YEAR(EDATE(A740,-3)))</f>
        <v/>
      </c>
      <c r="AG740" s="20">
        <f>IF(OR(B740="",'経歴簿'!$C$4=""),"",IF(B740&amp;""='経歴簿'!$C$4&amp;"",MAX($AG$4:AG739)+1,""))</f>
        <v/>
      </c>
      <c r="AH740" s="20">
        <f>IF(A740="",0,IF(AND(OR('CSV抽出'!$C$4="",A740&gt;='CSV抽出'!$C$4),OR('CSV抽出'!$C$5="",A740&lt;='CSV抽出'!$C$5),OR('CSV抽出'!$C$6="すべて",'CSV抽出'!$C$6="",D740='CSV抽出'!$C$6),OR('CSV抽出'!$C$7="",B740&amp;""='CSV抽出'!$C$7&amp;"")),1,0))</f>
        <v/>
      </c>
      <c r="AI740" s="20">
        <f>IF(AH740=1,SUM($AH$5:AH740),"")</f>
        <v/>
      </c>
      <c r="AJ740" s="20">
        <f>IF(OR(S740="",'報告書'!$C$4=""),"",IF(S740&amp;""='報告書'!$C$4&amp;"",COUNTIF($S$5:S740,'報告書'!$C$4),""))</f>
        <v/>
      </c>
      <c r="AK740" s="20" t="n"/>
      <c r="AL740" s="47" t="n"/>
      <c r="AM740" s="47" t="n"/>
      <c r="AN740" s="53" t="n"/>
      <c r="AO740" s="47" t="n"/>
      <c r="AP740" s="47" t="n"/>
      <c r="AQ740" s="47" t="n"/>
      <c r="AR740" s="47" t="n"/>
      <c r="AS740" s="47" t="n"/>
      <c r="AT740" s="47" t="n"/>
      <c r="AU740" s="47" t="n"/>
      <c r="AV740" s="47" t="n"/>
      <c r="AW740" s="52" t="n"/>
    </row>
    <row r="741">
      <c r="A741" s="48" t="n"/>
      <c r="B741" s="52" t="n"/>
      <c r="C741" s="47">
        <f>IF(B741="","",IFERROR(INDEX('隊員マスタ'!$B$5:$B$204,MATCH(B741&amp;"",'隊員マスタ'!$F$5:$F$204,0)),IF(AK741="","番号なし",AK741)))</f>
        <v/>
      </c>
      <c r="D741" s="47" t="n"/>
      <c r="E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  <c r="N741" s="47" t="n"/>
      <c r="O741" s="47" t="n"/>
      <c r="P741" s="47" t="n"/>
      <c r="Q741" s="47" t="n"/>
      <c r="R741" s="47" t="n"/>
      <c r="S741" s="47" t="n"/>
      <c r="T741" s="47" t="n"/>
      <c r="U741" s="53" t="n"/>
      <c r="V741" s="53" t="n"/>
      <c r="W741" s="47" t="n"/>
      <c r="X741" s="47" t="n"/>
      <c r="Y741" s="47" t="n"/>
      <c r="Z741" s="47" t="n"/>
      <c r="AA741" s="47" t="n"/>
      <c r="AB741" s="47" t="n"/>
      <c r="AC741" s="47" t="n"/>
      <c r="AD741" s="47" t="n"/>
      <c r="AE741" s="47" t="n"/>
      <c r="AF741" s="20">
        <f>IF(A741="","",YEAR(EDATE(A741,-3)))</f>
        <v/>
      </c>
      <c r="AG741" s="20">
        <f>IF(OR(B741="",'経歴簿'!$C$4=""),"",IF(B741&amp;""='経歴簿'!$C$4&amp;"",MAX($AG$4:AG740)+1,""))</f>
        <v/>
      </c>
      <c r="AH741" s="20">
        <f>IF(A741="",0,IF(AND(OR('CSV抽出'!$C$4="",A741&gt;='CSV抽出'!$C$4),OR('CSV抽出'!$C$5="",A741&lt;='CSV抽出'!$C$5),OR('CSV抽出'!$C$6="すべて",'CSV抽出'!$C$6="",D741='CSV抽出'!$C$6),OR('CSV抽出'!$C$7="",B741&amp;""='CSV抽出'!$C$7&amp;"")),1,0))</f>
        <v/>
      </c>
      <c r="AI741" s="20">
        <f>IF(AH741=1,SUM($AH$5:AH741),"")</f>
        <v/>
      </c>
      <c r="AJ741" s="20">
        <f>IF(OR(S741="",'報告書'!$C$4=""),"",IF(S741&amp;""='報告書'!$C$4&amp;"",COUNTIF($S$5:S741,'報告書'!$C$4),""))</f>
        <v/>
      </c>
      <c r="AK741" s="20" t="n"/>
      <c r="AL741" s="47" t="n"/>
      <c r="AM741" s="47" t="n"/>
      <c r="AN741" s="53" t="n"/>
      <c r="AO741" s="47" t="n"/>
      <c r="AP741" s="47" t="n"/>
      <c r="AQ741" s="47" t="n"/>
      <c r="AR741" s="47" t="n"/>
      <c r="AS741" s="47" t="n"/>
      <c r="AT741" s="47" t="n"/>
      <c r="AU741" s="47" t="n"/>
      <c r="AV741" s="47" t="n"/>
      <c r="AW741" s="52" t="n"/>
    </row>
    <row r="742">
      <c r="A742" s="48" t="n"/>
      <c r="B742" s="52" t="n"/>
      <c r="C742" s="47">
        <f>IF(B742="","",IFERROR(INDEX('隊員マスタ'!$B$5:$B$204,MATCH(B742&amp;"",'隊員マスタ'!$F$5:$F$204,0)),IF(AK742="","番号なし",AK742)))</f>
        <v/>
      </c>
      <c r="D742" s="47" t="n"/>
      <c r="E742" s="47" t="n"/>
      <c r="F742" s="47" t="n"/>
      <c r="G742" s="47" t="n"/>
      <c r="H742" s="47" t="n"/>
      <c r="I742" s="47" t="n"/>
      <c r="J742" s="47" t="n"/>
      <c r="K742" s="47" t="n"/>
      <c r="L742" s="47" t="n"/>
      <c r="M742" s="47" t="n"/>
      <c r="N742" s="47" t="n"/>
      <c r="O742" s="47" t="n"/>
      <c r="P742" s="47" t="n"/>
      <c r="Q742" s="47" t="n"/>
      <c r="R742" s="47" t="n"/>
      <c r="S742" s="47" t="n"/>
      <c r="T742" s="47" t="n"/>
      <c r="U742" s="53" t="n"/>
      <c r="V742" s="53" t="n"/>
      <c r="W742" s="47" t="n"/>
      <c r="X742" s="47" t="n"/>
      <c r="Y742" s="47" t="n"/>
      <c r="Z742" s="47" t="n"/>
      <c r="AA742" s="47" t="n"/>
      <c r="AB742" s="47" t="n"/>
      <c r="AC742" s="47" t="n"/>
      <c r="AD742" s="47" t="n"/>
      <c r="AE742" s="47" t="n"/>
      <c r="AF742" s="20">
        <f>IF(A742="","",YEAR(EDATE(A742,-3)))</f>
        <v/>
      </c>
      <c r="AG742" s="20">
        <f>IF(OR(B742="",'経歴簿'!$C$4=""),"",IF(B742&amp;""='経歴簿'!$C$4&amp;"",MAX($AG$4:AG741)+1,""))</f>
        <v/>
      </c>
      <c r="AH742" s="20">
        <f>IF(A742="",0,IF(AND(OR('CSV抽出'!$C$4="",A742&gt;='CSV抽出'!$C$4),OR('CSV抽出'!$C$5="",A742&lt;='CSV抽出'!$C$5),OR('CSV抽出'!$C$6="すべて",'CSV抽出'!$C$6="",D742='CSV抽出'!$C$6),OR('CSV抽出'!$C$7="",B742&amp;""='CSV抽出'!$C$7&amp;"")),1,0))</f>
        <v/>
      </c>
      <c r="AI742" s="20">
        <f>IF(AH742=1,SUM($AH$5:AH742),"")</f>
        <v/>
      </c>
      <c r="AJ742" s="20">
        <f>IF(OR(S742="",'報告書'!$C$4=""),"",IF(S742&amp;""='報告書'!$C$4&amp;"",COUNTIF($S$5:S742,'報告書'!$C$4),""))</f>
        <v/>
      </c>
      <c r="AK742" s="20" t="n"/>
      <c r="AL742" s="47" t="n"/>
      <c r="AM742" s="47" t="n"/>
      <c r="AN742" s="53" t="n"/>
      <c r="AO742" s="47" t="n"/>
      <c r="AP742" s="47" t="n"/>
      <c r="AQ742" s="47" t="n"/>
      <c r="AR742" s="47" t="n"/>
      <c r="AS742" s="47" t="n"/>
      <c r="AT742" s="47" t="n"/>
      <c r="AU742" s="47" t="n"/>
      <c r="AV742" s="47" t="n"/>
      <c r="AW742" s="52" t="n"/>
    </row>
    <row r="743">
      <c r="A743" s="48" t="n"/>
      <c r="B743" s="52" t="n"/>
      <c r="C743" s="47">
        <f>IF(B743="","",IFERROR(INDEX('隊員マスタ'!$B$5:$B$204,MATCH(B743&amp;"",'隊員マスタ'!$F$5:$F$204,0)),IF(AK743="","番号なし",AK743)))</f>
        <v/>
      </c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  <c r="N743" s="47" t="n"/>
      <c r="O743" s="47" t="n"/>
      <c r="P743" s="47" t="n"/>
      <c r="Q743" s="47" t="n"/>
      <c r="R743" s="47" t="n"/>
      <c r="S743" s="47" t="n"/>
      <c r="T743" s="47" t="n"/>
      <c r="U743" s="53" t="n"/>
      <c r="V743" s="53" t="n"/>
      <c r="W743" s="47" t="n"/>
      <c r="X743" s="47" t="n"/>
      <c r="Y743" s="47" t="n"/>
      <c r="Z743" s="47" t="n"/>
      <c r="AA743" s="47" t="n"/>
      <c r="AB743" s="47" t="n"/>
      <c r="AC743" s="47" t="n"/>
      <c r="AD743" s="47" t="n"/>
      <c r="AE743" s="47" t="n"/>
      <c r="AF743" s="20">
        <f>IF(A743="","",YEAR(EDATE(A743,-3)))</f>
        <v/>
      </c>
      <c r="AG743" s="20">
        <f>IF(OR(B743="",'経歴簿'!$C$4=""),"",IF(B743&amp;""='経歴簿'!$C$4&amp;"",MAX($AG$4:AG742)+1,""))</f>
        <v/>
      </c>
      <c r="AH743" s="20">
        <f>IF(A743="",0,IF(AND(OR('CSV抽出'!$C$4="",A743&gt;='CSV抽出'!$C$4),OR('CSV抽出'!$C$5="",A743&lt;='CSV抽出'!$C$5),OR('CSV抽出'!$C$6="すべて",'CSV抽出'!$C$6="",D743='CSV抽出'!$C$6),OR('CSV抽出'!$C$7="",B743&amp;""='CSV抽出'!$C$7&amp;"")),1,0))</f>
        <v/>
      </c>
      <c r="AI743" s="20">
        <f>IF(AH743=1,SUM($AH$5:AH743),"")</f>
        <v/>
      </c>
      <c r="AJ743" s="20">
        <f>IF(OR(S743="",'報告書'!$C$4=""),"",IF(S743&amp;""='報告書'!$C$4&amp;"",COUNTIF($S$5:S743,'報告書'!$C$4),""))</f>
        <v/>
      </c>
      <c r="AK743" s="20" t="n"/>
      <c r="AL743" s="47" t="n"/>
      <c r="AM743" s="47" t="n"/>
      <c r="AN743" s="53" t="n"/>
      <c r="AO743" s="47" t="n"/>
      <c r="AP743" s="47" t="n"/>
      <c r="AQ743" s="47" t="n"/>
      <c r="AR743" s="47" t="n"/>
      <c r="AS743" s="47" t="n"/>
      <c r="AT743" s="47" t="n"/>
      <c r="AU743" s="47" t="n"/>
      <c r="AV743" s="47" t="n"/>
      <c r="AW743" s="52" t="n"/>
    </row>
    <row r="744">
      <c r="A744" s="48" t="n"/>
      <c r="B744" s="52" t="n"/>
      <c r="C744" s="47">
        <f>IF(B744="","",IFERROR(INDEX('隊員マスタ'!$B$5:$B$204,MATCH(B744&amp;"",'隊員マスタ'!$F$5:$F$204,0)),IF(AK744="","番号なし",AK744)))</f>
        <v/>
      </c>
      <c r="D744" s="47" t="n"/>
      <c r="E744" s="47" t="n"/>
      <c r="F744" s="47" t="n"/>
      <c r="G744" s="47" t="n"/>
      <c r="H744" s="47" t="n"/>
      <c r="I744" s="47" t="n"/>
      <c r="J744" s="47" t="n"/>
      <c r="K744" s="47" t="n"/>
      <c r="L744" s="47" t="n"/>
      <c r="M744" s="47" t="n"/>
      <c r="N744" s="47" t="n"/>
      <c r="O744" s="47" t="n"/>
      <c r="P744" s="47" t="n"/>
      <c r="Q744" s="47" t="n"/>
      <c r="R744" s="47" t="n"/>
      <c r="S744" s="47" t="n"/>
      <c r="T744" s="47" t="n"/>
      <c r="U744" s="53" t="n"/>
      <c r="V744" s="53" t="n"/>
      <c r="W744" s="47" t="n"/>
      <c r="X744" s="47" t="n"/>
      <c r="Y744" s="47" t="n"/>
      <c r="Z744" s="47" t="n"/>
      <c r="AA744" s="47" t="n"/>
      <c r="AB744" s="47" t="n"/>
      <c r="AC744" s="47" t="n"/>
      <c r="AD744" s="47" t="n"/>
      <c r="AE744" s="47" t="n"/>
      <c r="AF744" s="20">
        <f>IF(A744="","",YEAR(EDATE(A744,-3)))</f>
        <v/>
      </c>
      <c r="AG744" s="20">
        <f>IF(OR(B744="",'経歴簿'!$C$4=""),"",IF(B744&amp;""='経歴簿'!$C$4&amp;"",MAX($AG$4:AG743)+1,""))</f>
        <v/>
      </c>
      <c r="AH744" s="20">
        <f>IF(A744="",0,IF(AND(OR('CSV抽出'!$C$4="",A744&gt;='CSV抽出'!$C$4),OR('CSV抽出'!$C$5="",A744&lt;='CSV抽出'!$C$5),OR('CSV抽出'!$C$6="すべて",'CSV抽出'!$C$6="",D744='CSV抽出'!$C$6),OR('CSV抽出'!$C$7="",B744&amp;""='CSV抽出'!$C$7&amp;"")),1,0))</f>
        <v/>
      </c>
      <c r="AI744" s="20">
        <f>IF(AH744=1,SUM($AH$5:AH744),"")</f>
        <v/>
      </c>
      <c r="AJ744" s="20">
        <f>IF(OR(S744="",'報告書'!$C$4=""),"",IF(S744&amp;""='報告書'!$C$4&amp;"",COUNTIF($S$5:S744,'報告書'!$C$4),""))</f>
        <v/>
      </c>
      <c r="AK744" s="20" t="n"/>
      <c r="AL744" s="47" t="n"/>
      <c r="AM744" s="47" t="n"/>
      <c r="AN744" s="53" t="n"/>
      <c r="AO744" s="47" t="n"/>
      <c r="AP744" s="47" t="n"/>
      <c r="AQ744" s="47" t="n"/>
      <c r="AR744" s="47" t="n"/>
      <c r="AS744" s="47" t="n"/>
      <c r="AT744" s="47" t="n"/>
      <c r="AU744" s="47" t="n"/>
      <c r="AV744" s="47" t="n"/>
      <c r="AW744" s="52" t="n"/>
    </row>
    <row r="745">
      <c r="A745" s="48" t="n"/>
      <c r="B745" s="52" t="n"/>
      <c r="C745" s="47">
        <f>IF(B745="","",IFERROR(INDEX('隊員マスタ'!$B$5:$B$204,MATCH(B745&amp;"",'隊員マスタ'!$F$5:$F$204,0)),IF(AK745="","番号なし",AK745)))</f>
        <v/>
      </c>
      <c r="D745" s="47" t="n"/>
      <c r="E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  <c r="N745" s="47" t="n"/>
      <c r="O745" s="47" t="n"/>
      <c r="P745" s="47" t="n"/>
      <c r="Q745" s="47" t="n"/>
      <c r="R745" s="47" t="n"/>
      <c r="S745" s="47" t="n"/>
      <c r="T745" s="47" t="n"/>
      <c r="U745" s="53" t="n"/>
      <c r="V745" s="53" t="n"/>
      <c r="W745" s="47" t="n"/>
      <c r="X745" s="47" t="n"/>
      <c r="Y745" s="47" t="n"/>
      <c r="Z745" s="47" t="n"/>
      <c r="AA745" s="47" t="n"/>
      <c r="AB745" s="47" t="n"/>
      <c r="AC745" s="47" t="n"/>
      <c r="AD745" s="47" t="n"/>
      <c r="AE745" s="47" t="n"/>
      <c r="AF745" s="20">
        <f>IF(A745="","",YEAR(EDATE(A745,-3)))</f>
        <v/>
      </c>
      <c r="AG745" s="20">
        <f>IF(OR(B745="",'経歴簿'!$C$4=""),"",IF(B745&amp;""='経歴簿'!$C$4&amp;"",MAX($AG$4:AG744)+1,""))</f>
        <v/>
      </c>
      <c r="AH745" s="20">
        <f>IF(A745="",0,IF(AND(OR('CSV抽出'!$C$4="",A745&gt;='CSV抽出'!$C$4),OR('CSV抽出'!$C$5="",A745&lt;='CSV抽出'!$C$5),OR('CSV抽出'!$C$6="すべて",'CSV抽出'!$C$6="",D745='CSV抽出'!$C$6),OR('CSV抽出'!$C$7="",B745&amp;""='CSV抽出'!$C$7&amp;"")),1,0))</f>
        <v/>
      </c>
      <c r="AI745" s="20">
        <f>IF(AH745=1,SUM($AH$5:AH745),"")</f>
        <v/>
      </c>
      <c r="AJ745" s="20">
        <f>IF(OR(S745="",'報告書'!$C$4=""),"",IF(S745&amp;""='報告書'!$C$4&amp;"",COUNTIF($S$5:S745,'報告書'!$C$4),""))</f>
        <v/>
      </c>
      <c r="AK745" s="20" t="n"/>
      <c r="AL745" s="47" t="n"/>
      <c r="AM745" s="47" t="n"/>
      <c r="AN745" s="53" t="n"/>
      <c r="AO745" s="47" t="n"/>
      <c r="AP745" s="47" t="n"/>
      <c r="AQ745" s="47" t="n"/>
      <c r="AR745" s="47" t="n"/>
      <c r="AS745" s="47" t="n"/>
      <c r="AT745" s="47" t="n"/>
      <c r="AU745" s="47" t="n"/>
      <c r="AV745" s="47" t="n"/>
      <c r="AW745" s="52" t="n"/>
    </row>
    <row r="746">
      <c r="A746" s="48" t="n"/>
      <c r="B746" s="52" t="n"/>
      <c r="C746" s="47">
        <f>IF(B746="","",IFERROR(INDEX('隊員マスタ'!$B$5:$B$204,MATCH(B746&amp;"",'隊員マスタ'!$F$5:$F$204,0)),IF(AK746="","番号なし",AK746)))</f>
        <v/>
      </c>
      <c r="D746" s="47" t="n"/>
      <c r="E746" s="47" t="n"/>
      <c r="F746" s="47" t="n"/>
      <c r="G746" s="47" t="n"/>
      <c r="H746" s="47" t="n"/>
      <c r="I746" s="47" t="n"/>
      <c r="J746" s="47" t="n"/>
      <c r="K746" s="47" t="n"/>
      <c r="L746" s="47" t="n"/>
      <c r="M746" s="47" t="n"/>
      <c r="N746" s="47" t="n"/>
      <c r="O746" s="47" t="n"/>
      <c r="P746" s="47" t="n"/>
      <c r="Q746" s="47" t="n"/>
      <c r="R746" s="47" t="n"/>
      <c r="S746" s="47" t="n"/>
      <c r="T746" s="47" t="n"/>
      <c r="U746" s="53" t="n"/>
      <c r="V746" s="53" t="n"/>
      <c r="W746" s="47" t="n"/>
      <c r="X746" s="47" t="n"/>
      <c r="Y746" s="47" t="n"/>
      <c r="Z746" s="47" t="n"/>
      <c r="AA746" s="47" t="n"/>
      <c r="AB746" s="47" t="n"/>
      <c r="AC746" s="47" t="n"/>
      <c r="AD746" s="47" t="n"/>
      <c r="AE746" s="47" t="n"/>
      <c r="AF746" s="20">
        <f>IF(A746="","",YEAR(EDATE(A746,-3)))</f>
        <v/>
      </c>
      <c r="AG746" s="20">
        <f>IF(OR(B746="",'経歴簿'!$C$4=""),"",IF(B746&amp;""='経歴簿'!$C$4&amp;"",MAX($AG$4:AG745)+1,""))</f>
        <v/>
      </c>
      <c r="AH746" s="20">
        <f>IF(A746="",0,IF(AND(OR('CSV抽出'!$C$4="",A746&gt;='CSV抽出'!$C$4),OR('CSV抽出'!$C$5="",A746&lt;='CSV抽出'!$C$5),OR('CSV抽出'!$C$6="すべて",'CSV抽出'!$C$6="",D746='CSV抽出'!$C$6),OR('CSV抽出'!$C$7="",B746&amp;""='CSV抽出'!$C$7&amp;"")),1,0))</f>
        <v/>
      </c>
      <c r="AI746" s="20">
        <f>IF(AH746=1,SUM($AH$5:AH746),"")</f>
        <v/>
      </c>
      <c r="AJ746" s="20">
        <f>IF(OR(S746="",'報告書'!$C$4=""),"",IF(S746&amp;""='報告書'!$C$4&amp;"",COUNTIF($S$5:S746,'報告書'!$C$4),""))</f>
        <v/>
      </c>
      <c r="AK746" s="20" t="n"/>
      <c r="AL746" s="47" t="n"/>
      <c r="AM746" s="47" t="n"/>
      <c r="AN746" s="53" t="n"/>
      <c r="AO746" s="47" t="n"/>
      <c r="AP746" s="47" t="n"/>
      <c r="AQ746" s="47" t="n"/>
      <c r="AR746" s="47" t="n"/>
      <c r="AS746" s="47" t="n"/>
      <c r="AT746" s="47" t="n"/>
      <c r="AU746" s="47" t="n"/>
      <c r="AV746" s="47" t="n"/>
      <c r="AW746" s="52" t="n"/>
    </row>
    <row r="747">
      <c r="A747" s="48" t="n"/>
      <c r="B747" s="52" t="n"/>
      <c r="C747" s="47">
        <f>IF(B747="","",IFERROR(INDEX('隊員マスタ'!$B$5:$B$204,MATCH(B747&amp;"",'隊員マスタ'!$F$5:$F$204,0)),IF(AK747="","番号なし",AK747)))</f>
        <v/>
      </c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  <c r="N747" s="47" t="n"/>
      <c r="O747" s="47" t="n"/>
      <c r="P747" s="47" t="n"/>
      <c r="Q747" s="47" t="n"/>
      <c r="R747" s="47" t="n"/>
      <c r="S747" s="47" t="n"/>
      <c r="T747" s="47" t="n"/>
      <c r="U747" s="53" t="n"/>
      <c r="V747" s="53" t="n"/>
      <c r="W747" s="47" t="n"/>
      <c r="X747" s="47" t="n"/>
      <c r="Y747" s="47" t="n"/>
      <c r="Z747" s="47" t="n"/>
      <c r="AA747" s="47" t="n"/>
      <c r="AB747" s="47" t="n"/>
      <c r="AC747" s="47" t="n"/>
      <c r="AD747" s="47" t="n"/>
      <c r="AE747" s="47" t="n"/>
      <c r="AF747" s="20">
        <f>IF(A747="","",YEAR(EDATE(A747,-3)))</f>
        <v/>
      </c>
      <c r="AG747" s="20">
        <f>IF(OR(B747="",'経歴簿'!$C$4=""),"",IF(B747&amp;""='経歴簿'!$C$4&amp;"",MAX($AG$4:AG746)+1,""))</f>
        <v/>
      </c>
      <c r="AH747" s="20">
        <f>IF(A747="",0,IF(AND(OR('CSV抽出'!$C$4="",A747&gt;='CSV抽出'!$C$4),OR('CSV抽出'!$C$5="",A747&lt;='CSV抽出'!$C$5),OR('CSV抽出'!$C$6="すべて",'CSV抽出'!$C$6="",D747='CSV抽出'!$C$6),OR('CSV抽出'!$C$7="",B747&amp;""='CSV抽出'!$C$7&amp;"")),1,0))</f>
        <v/>
      </c>
      <c r="AI747" s="20">
        <f>IF(AH747=1,SUM($AH$5:AH747),"")</f>
        <v/>
      </c>
      <c r="AJ747" s="20">
        <f>IF(OR(S747="",'報告書'!$C$4=""),"",IF(S747&amp;""='報告書'!$C$4&amp;"",COUNTIF($S$5:S747,'報告書'!$C$4),""))</f>
        <v/>
      </c>
      <c r="AK747" s="20" t="n"/>
      <c r="AL747" s="47" t="n"/>
      <c r="AM747" s="47" t="n"/>
      <c r="AN747" s="53" t="n"/>
      <c r="AO747" s="47" t="n"/>
      <c r="AP747" s="47" t="n"/>
      <c r="AQ747" s="47" t="n"/>
      <c r="AR747" s="47" t="n"/>
      <c r="AS747" s="47" t="n"/>
      <c r="AT747" s="47" t="n"/>
      <c r="AU747" s="47" t="n"/>
      <c r="AV747" s="47" t="n"/>
      <c r="AW747" s="52" t="n"/>
    </row>
    <row r="748">
      <c r="A748" s="48" t="n"/>
      <c r="B748" s="52" t="n"/>
      <c r="C748" s="47">
        <f>IF(B748="","",IFERROR(INDEX('隊員マスタ'!$B$5:$B$204,MATCH(B748&amp;"",'隊員マスタ'!$F$5:$F$204,0)),IF(AK748="","番号なし",AK748)))</f>
        <v/>
      </c>
      <c r="D748" s="47" t="n"/>
      <c r="E748" s="47" t="n"/>
      <c r="F748" s="47" t="n"/>
      <c r="G748" s="47" t="n"/>
      <c r="H748" s="47" t="n"/>
      <c r="I748" s="47" t="n"/>
      <c r="J748" s="47" t="n"/>
      <c r="K748" s="47" t="n"/>
      <c r="L748" s="47" t="n"/>
      <c r="M748" s="47" t="n"/>
      <c r="N748" s="47" t="n"/>
      <c r="O748" s="47" t="n"/>
      <c r="P748" s="47" t="n"/>
      <c r="Q748" s="47" t="n"/>
      <c r="R748" s="47" t="n"/>
      <c r="S748" s="47" t="n"/>
      <c r="T748" s="47" t="n"/>
      <c r="U748" s="53" t="n"/>
      <c r="V748" s="53" t="n"/>
      <c r="W748" s="47" t="n"/>
      <c r="X748" s="47" t="n"/>
      <c r="Y748" s="47" t="n"/>
      <c r="Z748" s="47" t="n"/>
      <c r="AA748" s="47" t="n"/>
      <c r="AB748" s="47" t="n"/>
      <c r="AC748" s="47" t="n"/>
      <c r="AD748" s="47" t="n"/>
      <c r="AE748" s="47" t="n"/>
      <c r="AF748" s="20">
        <f>IF(A748="","",YEAR(EDATE(A748,-3)))</f>
        <v/>
      </c>
      <c r="AG748" s="20">
        <f>IF(OR(B748="",'経歴簿'!$C$4=""),"",IF(B748&amp;""='経歴簿'!$C$4&amp;"",MAX($AG$4:AG747)+1,""))</f>
        <v/>
      </c>
      <c r="AH748" s="20">
        <f>IF(A748="",0,IF(AND(OR('CSV抽出'!$C$4="",A748&gt;='CSV抽出'!$C$4),OR('CSV抽出'!$C$5="",A748&lt;='CSV抽出'!$C$5),OR('CSV抽出'!$C$6="すべて",'CSV抽出'!$C$6="",D748='CSV抽出'!$C$6),OR('CSV抽出'!$C$7="",B748&amp;""='CSV抽出'!$C$7&amp;"")),1,0))</f>
        <v/>
      </c>
      <c r="AI748" s="20">
        <f>IF(AH748=1,SUM($AH$5:AH748),"")</f>
        <v/>
      </c>
      <c r="AJ748" s="20">
        <f>IF(OR(S748="",'報告書'!$C$4=""),"",IF(S748&amp;""='報告書'!$C$4&amp;"",COUNTIF($S$5:S748,'報告書'!$C$4),""))</f>
        <v/>
      </c>
      <c r="AK748" s="20" t="n"/>
      <c r="AL748" s="47" t="n"/>
      <c r="AM748" s="47" t="n"/>
      <c r="AN748" s="53" t="n"/>
      <c r="AO748" s="47" t="n"/>
      <c r="AP748" s="47" t="n"/>
      <c r="AQ748" s="47" t="n"/>
      <c r="AR748" s="47" t="n"/>
      <c r="AS748" s="47" t="n"/>
      <c r="AT748" s="47" t="n"/>
      <c r="AU748" s="47" t="n"/>
      <c r="AV748" s="47" t="n"/>
      <c r="AW748" s="52" t="n"/>
    </row>
    <row r="749">
      <c r="A749" s="48" t="n"/>
      <c r="B749" s="52" t="n"/>
      <c r="C749" s="47">
        <f>IF(B749="","",IFERROR(INDEX('隊員マスタ'!$B$5:$B$204,MATCH(B749&amp;"",'隊員マスタ'!$F$5:$F$204,0)),IF(AK749="","番号なし",AK749)))</f>
        <v/>
      </c>
      <c r="D749" s="47" t="n"/>
      <c r="E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  <c r="N749" s="47" t="n"/>
      <c r="O749" s="47" t="n"/>
      <c r="P749" s="47" t="n"/>
      <c r="Q749" s="47" t="n"/>
      <c r="R749" s="47" t="n"/>
      <c r="S749" s="47" t="n"/>
      <c r="T749" s="47" t="n"/>
      <c r="U749" s="53" t="n"/>
      <c r="V749" s="53" t="n"/>
      <c r="W749" s="47" t="n"/>
      <c r="X749" s="47" t="n"/>
      <c r="Y749" s="47" t="n"/>
      <c r="Z749" s="47" t="n"/>
      <c r="AA749" s="47" t="n"/>
      <c r="AB749" s="47" t="n"/>
      <c r="AC749" s="47" t="n"/>
      <c r="AD749" s="47" t="n"/>
      <c r="AE749" s="47" t="n"/>
      <c r="AF749" s="20">
        <f>IF(A749="","",YEAR(EDATE(A749,-3)))</f>
        <v/>
      </c>
      <c r="AG749" s="20">
        <f>IF(OR(B749="",'経歴簿'!$C$4=""),"",IF(B749&amp;""='経歴簿'!$C$4&amp;"",MAX($AG$4:AG748)+1,""))</f>
        <v/>
      </c>
      <c r="AH749" s="20">
        <f>IF(A749="",0,IF(AND(OR('CSV抽出'!$C$4="",A749&gt;='CSV抽出'!$C$4),OR('CSV抽出'!$C$5="",A749&lt;='CSV抽出'!$C$5),OR('CSV抽出'!$C$6="すべて",'CSV抽出'!$C$6="",D749='CSV抽出'!$C$6),OR('CSV抽出'!$C$7="",B749&amp;""='CSV抽出'!$C$7&amp;"")),1,0))</f>
        <v/>
      </c>
      <c r="AI749" s="20">
        <f>IF(AH749=1,SUM($AH$5:AH749),"")</f>
        <v/>
      </c>
      <c r="AJ749" s="20">
        <f>IF(OR(S749="",'報告書'!$C$4=""),"",IF(S749&amp;""='報告書'!$C$4&amp;"",COUNTIF($S$5:S749,'報告書'!$C$4),""))</f>
        <v/>
      </c>
      <c r="AK749" s="20" t="n"/>
      <c r="AL749" s="47" t="n"/>
      <c r="AM749" s="47" t="n"/>
      <c r="AN749" s="53" t="n"/>
      <c r="AO749" s="47" t="n"/>
      <c r="AP749" s="47" t="n"/>
      <c r="AQ749" s="47" t="n"/>
      <c r="AR749" s="47" t="n"/>
      <c r="AS749" s="47" t="n"/>
      <c r="AT749" s="47" t="n"/>
      <c r="AU749" s="47" t="n"/>
      <c r="AV749" s="47" t="n"/>
      <c r="AW749" s="52" t="n"/>
    </row>
    <row r="750">
      <c r="A750" s="48" t="n"/>
      <c r="B750" s="52" t="n"/>
      <c r="C750" s="47">
        <f>IF(B750="","",IFERROR(INDEX('隊員マスタ'!$B$5:$B$204,MATCH(B750&amp;"",'隊員マスタ'!$F$5:$F$204,0)),IF(AK750="","番号なし",AK750)))</f>
        <v/>
      </c>
      <c r="D750" s="47" t="n"/>
      <c r="E750" s="47" t="n"/>
      <c r="F750" s="47" t="n"/>
      <c r="G750" s="47" t="n"/>
      <c r="H750" s="47" t="n"/>
      <c r="I750" s="47" t="n"/>
      <c r="J750" s="47" t="n"/>
      <c r="K750" s="47" t="n"/>
      <c r="L750" s="47" t="n"/>
      <c r="M750" s="47" t="n"/>
      <c r="N750" s="47" t="n"/>
      <c r="O750" s="47" t="n"/>
      <c r="P750" s="47" t="n"/>
      <c r="Q750" s="47" t="n"/>
      <c r="R750" s="47" t="n"/>
      <c r="S750" s="47" t="n"/>
      <c r="T750" s="47" t="n"/>
      <c r="U750" s="53" t="n"/>
      <c r="V750" s="53" t="n"/>
      <c r="W750" s="47" t="n"/>
      <c r="X750" s="47" t="n"/>
      <c r="Y750" s="47" t="n"/>
      <c r="Z750" s="47" t="n"/>
      <c r="AA750" s="47" t="n"/>
      <c r="AB750" s="47" t="n"/>
      <c r="AC750" s="47" t="n"/>
      <c r="AD750" s="47" t="n"/>
      <c r="AE750" s="47" t="n"/>
      <c r="AF750" s="20">
        <f>IF(A750="","",YEAR(EDATE(A750,-3)))</f>
        <v/>
      </c>
      <c r="AG750" s="20">
        <f>IF(OR(B750="",'経歴簿'!$C$4=""),"",IF(B750&amp;""='経歴簿'!$C$4&amp;"",MAX($AG$4:AG749)+1,""))</f>
        <v/>
      </c>
      <c r="AH750" s="20">
        <f>IF(A750="",0,IF(AND(OR('CSV抽出'!$C$4="",A750&gt;='CSV抽出'!$C$4),OR('CSV抽出'!$C$5="",A750&lt;='CSV抽出'!$C$5),OR('CSV抽出'!$C$6="すべて",'CSV抽出'!$C$6="",D750='CSV抽出'!$C$6),OR('CSV抽出'!$C$7="",B750&amp;""='CSV抽出'!$C$7&amp;"")),1,0))</f>
        <v/>
      </c>
      <c r="AI750" s="20">
        <f>IF(AH750=1,SUM($AH$5:AH750),"")</f>
        <v/>
      </c>
      <c r="AJ750" s="20">
        <f>IF(OR(S750="",'報告書'!$C$4=""),"",IF(S750&amp;""='報告書'!$C$4&amp;"",COUNTIF($S$5:S750,'報告書'!$C$4),""))</f>
        <v/>
      </c>
      <c r="AK750" s="20" t="n"/>
      <c r="AL750" s="47" t="n"/>
      <c r="AM750" s="47" t="n"/>
      <c r="AN750" s="53" t="n"/>
      <c r="AO750" s="47" t="n"/>
      <c r="AP750" s="47" t="n"/>
      <c r="AQ750" s="47" t="n"/>
      <c r="AR750" s="47" t="n"/>
      <c r="AS750" s="47" t="n"/>
      <c r="AT750" s="47" t="n"/>
      <c r="AU750" s="47" t="n"/>
      <c r="AV750" s="47" t="n"/>
      <c r="AW750" s="52" t="n"/>
    </row>
    <row r="751">
      <c r="A751" s="48" t="n"/>
      <c r="B751" s="52" t="n"/>
      <c r="C751" s="47">
        <f>IF(B751="","",IFERROR(INDEX('隊員マスタ'!$B$5:$B$204,MATCH(B751&amp;"",'隊員マスタ'!$F$5:$F$204,0)),IF(AK751="","番号なし",AK751)))</f>
        <v/>
      </c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  <c r="N751" s="47" t="n"/>
      <c r="O751" s="47" t="n"/>
      <c r="P751" s="47" t="n"/>
      <c r="Q751" s="47" t="n"/>
      <c r="R751" s="47" t="n"/>
      <c r="S751" s="47" t="n"/>
      <c r="T751" s="47" t="n"/>
      <c r="U751" s="53" t="n"/>
      <c r="V751" s="53" t="n"/>
      <c r="W751" s="47" t="n"/>
      <c r="X751" s="47" t="n"/>
      <c r="Y751" s="47" t="n"/>
      <c r="Z751" s="47" t="n"/>
      <c r="AA751" s="47" t="n"/>
      <c r="AB751" s="47" t="n"/>
      <c r="AC751" s="47" t="n"/>
      <c r="AD751" s="47" t="n"/>
      <c r="AE751" s="47" t="n"/>
      <c r="AF751" s="20">
        <f>IF(A751="","",YEAR(EDATE(A751,-3)))</f>
        <v/>
      </c>
      <c r="AG751" s="20">
        <f>IF(OR(B751="",'経歴簿'!$C$4=""),"",IF(B751&amp;""='経歴簿'!$C$4&amp;"",MAX($AG$4:AG750)+1,""))</f>
        <v/>
      </c>
      <c r="AH751" s="20">
        <f>IF(A751="",0,IF(AND(OR('CSV抽出'!$C$4="",A751&gt;='CSV抽出'!$C$4),OR('CSV抽出'!$C$5="",A751&lt;='CSV抽出'!$C$5),OR('CSV抽出'!$C$6="すべて",'CSV抽出'!$C$6="",D751='CSV抽出'!$C$6),OR('CSV抽出'!$C$7="",B751&amp;""='CSV抽出'!$C$7&amp;"")),1,0))</f>
        <v/>
      </c>
      <c r="AI751" s="20">
        <f>IF(AH751=1,SUM($AH$5:AH751),"")</f>
        <v/>
      </c>
      <c r="AJ751" s="20">
        <f>IF(OR(S751="",'報告書'!$C$4=""),"",IF(S751&amp;""='報告書'!$C$4&amp;"",COUNTIF($S$5:S751,'報告書'!$C$4),""))</f>
        <v/>
      </c>
      <c r="AK751" s="20" t="n"/>
      <c r="AL751" s="47" t="n"/>
      <c r="AM751" s="47" t="n"/>
      <c r="AN751" s="53" t="n"/>
      <c r="AO751" s="47" t="n"/>
      <c r="AP751" s="47" t="n"/>
      <c r="AQ751" s="47" t="n"/>
      <c r="AR751" s="47" t="n"/>
      <c r="AS751" s="47" t="n"/>
      <c r="AT751" s="47" t="n"/>
      <c r="AU751" s="47" t="n"/>
      <c r="AV751" s="47" t="n"/>
      <c r="AW751" s="52" t="n"/>
    </row>
    <row r="752">
      <c r="A752" s="48" t="n"/>
      <c r="B752" s="52" t="n"/>
      <c r="C752" s="47">
        <f>IF(B752="","",IFERROR(INDEX('隊員マスタ'!$B$5:$B$204,MATCH(B752&amp;"",'隊員マスタ'!$F$5:$F$204,0)),IF(AK752="","番号なし",AK752)))</f>
        <v/>
      </c>
      <c r="D752" s="47" t="n"/>
      <c r="E752" s="47" t="n"/>
      <c r="F752" s="47" t="n"/>
      <c r="G752" s="47" t="n"/>
      <c r="H752" s="47" t="n"/>
      <c r="I752" s="47" t="n"/>
      <c r="J752" s="47" t="n"/>
      <c r="K752" s="47" t="n"/>
      <c r="L752" s="47" t="n"/>
      <c r="M752" s="47" t="n"/>
      <c r="N752" s="47" t="n"/>
      <c r="O752" s="47" t="n"/>
      <c r="P752" s="47" t="n"/>
      <c r="Q752" s="47" t="n"/>
      <c r="R752" s="47" t="n"/>
      <c r="S752" s="47" t="n"/>
      <c r="T752" s="47" t="n"/>
      <c r="U752" s="53" t="n"/>
      <c r="V752" s="53" t="n"/>
      <c r="W752" s="47" t="n"/>
      <c r="X752" s="47" t="n"/>
      <c r="Y752" s="47" t="n"/>
      <c r="Z752" s="47" t="n"/>
      <c r="AA752" s="47" t="n"/>
      <c r="AB752" s="47" t="n"/>
      <c r="AC752" s="47" t="n"/>
      <c r="AD752" s="47" t="n"/>
      <c r="AE752" s="47" t="n"/>
      <c r="AF752" s="20">
        <f>IF(A752="","",YEAR(EDATE(A752,-3)))</f>
        <v/>
      </c>
      <c r="AG752" s="20">
        <f>IF(OR(B752="",'経歴簿'!$C$4=""),"",IF(B752&amp;""='経歴簿'!$C$4&amp;"",MAX($AG$4:AG751)+1,""))</f>
        <v/>
      </c>
      <c r="AH752" s="20">
        <f>IF(A752="",0,IF(AND(OR('CSV抽出'!$C$4="",A752&gt;='CSV抽出'!$C$4),OR('CSV抽出'!$C$5="",A752&lt;='CSV抽出'!$C$5),OR('CSV抽出'!$C$6="すべて",'CSV抽出'!$C$6="",D752='CSV抽出'!$C$6),OR('CSV抽出'!$C$7="",B752&amp;""='CSV抽出'!$C$7&amp;"")),1,0))</f>
        <v/>
      </c>
      <c r="AI752" s="20">
        <f>IF(AH752=1,SUM($AH$5:AH752),"")</f>
        <v/>
      </c>
      <c r="AJ752" s="20">
        <f>IF(OR(S752="",'報告書'!$C$4=""),"",IF(S752&amp;""='報告書'!$C$4&amp;"",COUNTIF($S$5:S752,'報告書'!$C$4),""))</f>
        <v/>
      </c>
      <c r="AK752" s="20" t="n"/>
      <c r="AL752" s="47" t="n"/>
      <c r="AM752" s="47" t="n"/>
      <c r="AN752" s="53" t="n"/>
      <c r="AO752" s="47" t="n"/>
      <c r="AP752" s="47" t="n"/>
      <c r="AQ752" s="47" t="n"/>
      <c r="AR752" s="47" t="n"/>
      <c r="AS752" s="47" t="n"/>
      <c r="AT752" s="47" t="n"/>
      <c r="AU752" s="47" t="n"/>
      <c r="AV752" s="47" t="n"/>
      <c r="AW752" s="52" t="n"/>
    </row>
    <row r="753">
      <c r="A753" s="48" t="n"/>
      <c r="B753" s="52" t="n"/>
      <c r="C753" s="47">
        <f>IF(B753="","",IFERROR(INDEX('隊員マスタ'!$B$5:$B$204,MATCH(B753&amp;"",'隊員マスタ'!$F$5:$F$204,0)),IF(AK753="","番号なし",AK753)))</f>
        <v/>
      </c>
      <c r="D753" s="47" t="n"/>
      <c r="E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  <c r="N753" s="47" t="n"/>
      <c r="O753" s="47" t="n"/>
      <c r="P753" s="47" t="n"/>
      <c r="Q753" s="47" t="n"/>
      <c r="R753" s="47" t="n"/>
      <c r="S753" s="47" t="n"/>
      <c r="T753" s="47" t="n"/>
      <c r="U753" s="53" t="n"/>
      <c r="V753" s="53" t="n"/>
      <c r="W753" s="47" t="n"/>
      <c r="X753" s="47" t="n"/>
      <c r="Y753" s="47" t="n"/>
      <c r="Z753" s="47" t="n"/>
      <c r="AA753" s="47" t="n"/>
      <c r="AB753" s="47" t="n"/>
      <c r="AC753" s="47" t="n"/>
      <c r="AD753" s="47" t="n"/>
      <c r="AE753" s="47" t="n"/>
      <c r="AF753" s="20">
        <f>IF(A753="","",YEAR(EDATE(A753,-3)))</f>
        <v/>
      </c>
      <c r="AG753" s="20">
        <f>IF(OR(B753="",'経歴簿'!$C$4=""),"",IF(B753&amp;""='経歴簿'!$C$4&amp;"",MAX($AG$4:AG752)+1,""))</f>
        <v/>
      </c>
      <c r="AH753" s="20">
        <f>IF(A753="",0,IF(AND(OR('CSV抽出'!$C$4="",A753&gt;='CSV抽出'!$C$4),OR('CSV抽出'!$C$5="",A753&lt;='CSV抽出'!$C$5),OR('CSV抽出'!$C$6="すべて",'CSV抽出'!$C$6="",D753='CSV抽出'!$C$6),OR('CSV抽出'!$C$7="",B753&amp;""='CSV抽出'!$C$7&amp;"")),1,0))</f>
        <v/>
      </c>
      <c r="AI753" s="20">
        <f>IF(AH753=1,SUM($AH$5:AH753),"")</f>
        <v/>
      </c>
      <c r="AJ753" s="20">
        <f>IF(OR(S753="",'報告書'!$C$4=""),"",IF(S753&amp;""='報告書'!$C$4&amp;"",COUNTIF($S$5:S753,'報告書'!$C$4),""))</f>
        <v/>
      </c>
      <c r="AK753" s="20" t="n"/>
      <c r="AL753" s="47" t="n"/>
      <c r="AM753" s="47" t="n"/>
      <c r="AN753" s="53" t="n"/>
      <c r="AO753" s="47" t="n"/>
      <c r="AP753" s="47" t="n"/>
      <c r="AQ753" s="47" t="n"/>
      <c r="AR753" s="47" t="n"/>
      <c r="AS753" s="47" t="n"/>
      <c r="AT753" s="47" t="n"/>
      <c r="AU753" s="47" t="n"/>
      <c r="AV753" s="47" t="n"/>
      <c r="AW753" s="52" t="n"/>
    </row>
    <row r="754">
      <c r="A754" s="48" t="n"/>
      <c r="B754" s="52" t="n"/>
      <c r="C754" s="47">
        <f>IF(B754="","",IFERROR(INDEX('隊員マスタ'!$B$5:$B$204,MATCH(B754&amp;"",'隊員マスタ'!$F$5:$F$204,0)),IF(AK754="","番号なし",AK754)))</f>
        <v/>
      </c>
      <c r="D754" s="47" t="n"/>
      <c r="E754" s="47" t="n"/>
      <c r="F754" s="47" t="n"/>
      <c r="G754" s="47" t="n"/>
      <c r="H754" s="47" t="n"/>
      <c r="I754" s="47" t="n"/>
      <c r="J754" s="47" t="n"/>
      <c r="K754" s="47" t="n"/>
      <c r="L754" s="47" t="n"/>
      <c r="M754" s="47" t="n"/>
      <c r="N754" s="47" t="n"/>
      <c r="O754" s="47" t="n"/>
      <c r="P754" s="47" t="n"/>
      <c r="Q754" s="47" t="n"/>
      <c r="R754" s="47" t="n"/>
      <c r="S754" s="47" t="n"/>
      <c r="T754" s="47" t="n"/>
      <c r="U754" s="53" t="n"/>
      <c r="V754" s="53" t="n"/>
      <c r="W754" s="47" t="n"/>
      <c r="X754" s="47" t="n"/>
      <c r="Y754" s="47" t="n"/>
      <c r="Z754" s="47" t="n"/>
      <c r="AA754" s="47" t="n"/>
      <c r="AB754" s="47" t="n"/>
      <c r="AC754" s="47" t="n"/>
      <c r="AD754" s="47" t="n"/>
      <c r="AE754" s="47" t="n"/>
      <c r="AF754" s="20">
        <f>IF(A754="","",YEAR(EDATE(A754,-3)))</f>
        <v/>
      </c>
      <c r="AG754" s="20">
        <f>IF(OR(B754="",'経歴簿'!$C$4=""),"",IF(B754&amp;""='経歴簿'!$C$4&amp;"",MAX($AG$4:AG753)+1,""))</f>
        <v/>
      </c>
      <c r="AH754" s="20">
        <f>IF(A754="",0,IF(AND(OR('CSV抽出'!$C$4="",A754&gt;='CSV抽出'!$C$4),OR('CSV抽出'!$C$5="",A754&lt;='CSV抽出'!$C$5),OR('CSV抽出'!$C$6="すべて",'CSV抽出'!$C$6="",D754='CSV抽出'!$C$6),OR('CSV抽出'!$C$7="",B754&amp;""='CSV抽出'!$C$7&amp;"")),1,0))</f>
        <v/>
      </c>
      <c r="AI754" s="20">
        <f>IF(AH754=1,SUM($AH$5:AH754),"")</f>
        <v/>
      </c>
      <c r="AJ754" s="20">
        <f>IF(OR(S754="",'報告書'!$C$4=""),"",IF(S754&amp;""='報告書'!$C$4&amp;"",COUNTIF($S$5:S754,'報告書'!$C$4),""))</f>
        <v/>
      </c>
      <c r="AK754" s="20" t="n"/>
      <c r="AL754" s="47" t="n"/>
      <c r="AM754" s="47" t="n"/>
      <c r="AN754" s="53" t="n"/>
      <c r="AO754" s="47" t="n"/>
      <c r="AP754" s="47" t="n"/>
      <c r="AQ754" s="47" t="n"/>
      <c r="AR754" s="47" t="n"/>
      <c r="AS754" s="47" t="n"/>
      <c r="AT754" s="47" t="n"/>
      <c r="AU754" s="47" t="n"/>
      <c r="AV754" s="47" t="n"/>
      <c r="AW754" s="52" t="n"/>
    </row>
    <row r="755">
      <c r="A755" s="48" t="n"/>
      <c r="B755" s="52" t="n"/>
      <c r="C755" s="47">
        <f>IF(B755="","",IFERROR(INDEX('隊員マスタ'!$B$5:$B$204,MATCH(B755&amp;"",'隊員マスタ'!$F$5:$F$204,0)),IF(AK755="","番号なし",AK755)))</f>
        <v/>
      </c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  <c r="N755" s="47" t="n"/>
      <c r="O755" s="47" t="n"/>
      <c r="P755" s="47" t="n"/>
      <c r="Q755" s="47" t="n"/>
      <c r="R755" s="47" t="n"/>
      <c r="S755" s="47" t="n"/>
      <c r="T755" s="47" t="n"/>
      <c r="U755" s="53" t="n"/>
      <c r="V755" s="53" t="n"/>
      <c r="W755" s="47" t="n"/>
      <c r="X755" s="47" t="n"/>
      <c r="Y755" s="47" t="n"/>
      <c r="Z755" s="47" t="n"/>
      <c r="AA755" s="47" t="n"/>
      <c r="AB755" s="47" t="n"/>
      <c r="AC755" s="47" t="n"/>
      <c r="AD755" s="47" t="n"/>
      <c r="AE755" s="47" t="n"/>
      <c r="AF755" s="20">
        <f>IF(A755="","",YEAR(EDATE(A755,-3)))</f>
        <v/>
      </c>
      <c r="AG755" s="20">
        <f>IF(OR(B755="",'経歴簿'!$C$4=""),"",IF(B755&amp;""='経歴簿'!$C$4&amp;"",MAX($AG$4:AG754)+1,""))</f>
        <v/>
      </c>
      <c r="AH755" s="20">
        <f>IF(A755="",0,IF(AND(OR('CSV抽出'!$C$4="",A755&gt;='CSV抽出'!$C$4),OR('CSV抽出'!$C$5="",A755&lt;='CSV抽出'!$C$5),OR('CSV抽出'!$C$6="すべて",'CSV抽出'!$C$6="",D755='CSV抽出'!$C$6),OR('CSV抽出'!$C$7="",B755&amp;""='CSV抽出'!$C$7&amp;"")),1,0))</f>
        <v/>
      </c>
      <c r="AI755" s="20">
        <f>IF(AH755=1,SUM($AH$5:AH755),"")</f>
        <v/>
      </c>
      <c r="AJ755" s="20">
        <f>IF(OR(S755="",'報告書'!$C$4=""),"",IF(S755&amp;""='報告書'!$C$4&amp;"",COUNTIF($S$5:S755,'報告書'!$C$4),""))</f>
        <v/>
      </c>
      <c r="AK755" s="20" t="n"/>
      <c r="AL755" s="47" t="n"/>
      <c r="AM755" s="47" t="n"/>
      <c r="AN755" s="53" t="n"/>
      <c r="AO755" s="47" t="n"/>
      <c r="AP755" s="47" t="n"/>
      <c r="AQ755" s="47" t="n"/>
      <c r="AR755" s="47" t="n"/>
      <c r="AS755" s="47" t="n"/>
      <c r="AT755" s="47" t="n"/>
      <c r="AU755" s="47" t="n"/>
      <c r="AV755" s="47" t="n"/>
      <c r="AW755" s="52" t="n"/>
    </row>
    <row r="756">
      <c r="A756" s="48" t="n"/>
      <c r="B756" s="52" t="n"/>
      <c r="C756" s="47">
        <f>IF(B756="","",IFERROR(INDEX('隊員マスタ'!$B$5:$B$204,MATCH(B756&amp;"",'隊員マスタ'!$F$5:$F$204,0)),IF(AK756="","番号なし",AK756)))</f>
        <v/>
      </c>
      <c r="D756" s="47" t="n"/>
      <c r="E756" s="47" t="n"/>
      <c r="F756" s="47" t="n"/>
      <c r="G756" s="47" t="n"/>
      <c r="H756" s="47" t="n"/>
      <c r="I756" s="47" t="n"/>
      <c r="J756" s="47" t="n"/>
      <c r="K756" s="47" t="n"/>
      <c r="L756" s="47" t="n"/>
      <c r="M756" s="47" t="n"/>
      <c r="N756" s="47" t="n"/>
      <c r="O756" s="47" t="n"/>
      <c r="P756" s="47" t="n"/>
      <c r="Q756" s="47" t="n"/>
      <c r="R756" s="47" t="n"/>
      <c r="S756" s="47" t="n"/>
      <c r="T756" s="47" t="n"/>
      <c r="U756" s="53" t="n"/>
      <c r="V756" s="53" t="n"/>
      <c r="W756" s="47" t="n"/>
      <c r="X756" s="47" t="n"/>
      <c r="Y756" s="47" t="n"/>
      <c r="Z756" s="47" t="n"/>
      <c r="AA756" s="47" t="n"/>
      <c r="AB756" s="47" t="n"/>
      <c r="AC756" s="47" t="n"/>
      <c r="AD756" s="47" t="n"/>
      <c r="AE756" s="47" t="n"/>
      <c r="AF756" s="20">
        <f>IF(A756="","",YEAR(EDATE(A756,-3)))</f>
        <v/>
      </c>
      <c r="AG756" s="20">
        <f>IF(OR(B756="",'経歴簿'!$C$4=""),"",IF(B756&amp;""='経歴簿'!$C$4&amp;"",MAX($AG$4:AG755)+1,""))</f>
        <v/>
      </c>
      <c r="AH756" s="20">
        <f>IF(A756="",0,IF(AND(OR('CSV抽出'!$C$4="",A756&gt;='CSV抽出'!$C$4),OR('CSV抽出'!$C$5="",A756&lt;='CSV抽出'!$C$5),OR('CSV抽出'!$C$6="すべて",'CSV抽出'!$C$6="",D756='CSV抽出'!$C$6),OR('CSV抽出'!$C$7="",B756&amp;""='CSV抽出'!$C$7&amp;"")),1,0))</f>
        <v/>
      </c>
      <c r="AI756" s="20">
        <f>IF(AH756=1,SUM($AH$5:AH756),"")</f>
        <v/>
      </c>
      <c r="AJ756" s="20">
        <f>IF(OR(S756="",'報告書'!$C$4=""),"",IF(S756&amp;""='報告書'!$C$4&amp;"",COUNTIF($S$5:S756,'報告書'!$C$4),""))</f>
        <v/>
      </c>
      <c r="AK756" s="20" t="n"/>
      <c r="AL756" s="47" t="n"/>
      <c r="AM756" s="47" t="n"/>
      <c r="AN756" s="53" t="n"/>
      <c r="AO756" s="47" t="n"/>
      <c r="AP756" s="47" t="n"/>
      <c r="AQ756" s="47" t="n"/>
      <c r="AR756" s="47" t="n"/>
      <c r="AS756" s="47" t="n"/>
      <c r="AT756" s="47" t="n"/>
      <c r="AU756" s="47" t="n"/>
      <c r="AV756" s="47" t="n"/>
      <c r="AW756" s="52" t="n"/>
    </row>
    <row r="757">
      <c r="A757" s="48" t="n"/>
      <c r="B757" s="52" t="n"/>
      <c r="C757" s="47">
        <f>IF(B757="","",IFERROR(INDEX('隊員マスタ'!$B$5:$B$204,MATCH(B757&amp;"",'隊員マスタ'!$F$5:$F$204,0)),IF(AK757="","番号なし",AK757)))</f>
        <v/>
      </c>
      <c r="D757" s="47" t="n"/>
      <c r="E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  <c r="N757" s="47" t="n"/>
      <c r="O757" s="47" t="n"/>
      <c r="P757" s="47" t="n"/>
      <c r="Q757" s="47" t="n"/>
      <c r="R757" s="47" t="n"/>
      <c r="S757" s="47" t="n"/>
      <c r="T757" s="47" t="n"/>
      <c r="U757" s="53" t="n"/>
      <c r="V757" s="53" t="n"/>
      <c r="W757" s="47" t="n"/>
      <c r="X757" s="47" t="n"/>
      <c r="Y757" s="47" t="n"/>
      <c r="Z757" s="47" t="n"/>
      <c r="AA757" s="47" t="n"/>
      <c r="AB757" s="47" t="n"/>
      <c r="AC757" s="47" t="n"/>
      <c r="AD757" s="47" t="n"/>
      <c r="AE757" s="47" t="n"/>
      <c r="AF757" s="20">
        <f>IF(A757="","",YEAR(EDATE(A757,-3)))</f>
        <v/>
      </c>
      <c r="AG757" s="20">
        <f>IF(OR(B757="",'経歴簿'!$C$4=""),"",IF(B757&amp;""='経歴簿'!$C$4&amp;"",MAX($AG$4:AG756)+1,""))</f>
        <v/>
      </c>
      <c r="AH757" s="20">
        <f>IF(A757="",0,IF(AND(OR('CSV抽出'!$C$4="",A757&gt;='CSV抽出'!$C$4),OR('CSV抽出'!$C$5="",A757&lt;='CSV抽出'!$C$5),OR('CSV抽出'!$C$6="すべて",'CSV抽出'!$C$6="",D757='CSV抽出'!$C$6),OR('CSV抽出'!$C$7="",B757&amp;""='CSV抽出'!$C$7&amp;"")),1,0))</f>
        <v/>
      </c>
      <c r="AI757" s="20">
        <f>IF(AH757=1,SUM($AH$5:AH757),"")</f>
        <v/>
      </c>
      <c r="AJ757" s="20">
        <f>IF(OR(S757="",'報告書'!$C$4=""),"",IF(S757&amp;""='報告書'!$C$4&amp;"",COUNTIF($S$5:S757,'報告書'!$C$4),""))</f>
        <v/>
      </c>
      <c r="AK757" s="20" t="n"/>
      <c r="AL757" s="47" t="n"/>
      <c r="AM757" s="47" t="n"/>
      <c r="AN757" s="53" t="n"/>
      <c r="AO757" s="47" t="n"/>
      <c r="AP757" s="47" t="n"/>
      <c r="AQ757" s="47" t="n"/>
      <c r="AR757" s="47" t="n"/>
      <c r="AS757" s="47" t="n"/>
      <c r="AT757" s="47" t="n"/>
      <c r="AU757" s="47" t="n"/>
      <c r="AV757" s="47" t="n"/>
      <c r="AW757" s="52" t="n"/>
    </row>
    <row r="758">
      <c r="A758" s="48" t="n"/>
      <c r="B758" s="52" t="n"/>
      <c r="C758" s="47">
        <f>IF(B758="","",IFERROR(INDEX('隊員マスタ'!$B$5:$B$204,MATCH(B758&amp;"",'隊員マスタ'!$F$5:$F$204,0)),IF(AK758="","番号なし",AK758)))</f>
        <v/>
      </c>
      <c r="D758" s="47" t="n"/>
      <c r="E758" s="47" t="n"/>
      <c r="F758" s="47" t="n"/>
      <c r="G758" s="47" t="n"/>
      <c r="H758" s="47" t="n"/>
      <c r="I758" s="47" t="n"/>
      <c r="J758" s="47" t="n"/>
      <c r="K758" s="47" t="n"/>
      <c r="L758" s="47" t="n"/>
      <c r="M758" s="47" t="n"/>
      <c r="N758" s="47" t="n"/>
      <c r="O758" s="47" t="n"/>
      <c r="P758" s="47" t="n"/>
      <c r="Q758" s="47" t="n"/>
      <c r="R758" s="47" t="n"/>
      <c r="S758" s="47" t="n"/>
      <c r="T758" s="47" t="n"/>
      <c r="U758" s="53" t="n"/>
      <c r="V758" s="53" t="n"/>
      <c r="W758" s="47" t="n"/>
      <c r="X758" s="47" t="n"/>
      <c r="Y758" s="47" t="n"/>
      <c r="Z758" s="47" t="n"/>
      <c r="AA758" s="47" t="n"/>
      <c r="AB758" s="47" t="n"/>
      <c r="AC758" s="47" t="n"/>
      <c r="AD758" s="47" t="n"/>
      <c r="AE758" s="47" t="n"/>
      <c r="AF758" s="20">
        <f>IF(A758="","",YEAR(EDATE(A758,-3)))</f>
        <v/>
      </c>
      <c r="AG758" s="20">
        <f>IF(OR(B758="",'経歴簿'!$C$4=""),"",IF(B758&amp;""='経歴簿'!$C$4&amp;"",MAX($AG$4:AG757)+1,""))</f>
        <v/>
      </c>
      <c r="AH758" s="20">
        <f>IF(A758="",0,IF(AND(OR('CSV抽出'!$C$4="",A758&gt;='CSV抽出'!$C$4),OR('CSV抽出'!$C$5="",A758&lt;='CSV抽出'!$C$5),OR('CSV抽出'!$C$6="すべて",'CSV抽出'!$C$6="",D758='CSV抽出'!$C$6),OR('CSV抽出'!$C$7="",B758&amp;""='CSV抽出'!$C$7&amp;"")),1,0))</f>
        <v/>
      </c>
      <c r="AI758" s="20">
        <f>IF(AH758=1,SUM($AH$5:AH758),"")</f>
        <v/>
      </c>
      <c r="AJ758" s="20">
        <f>IF(OR(S758="",'報告書'!$C$4=""),"",IF(S758&amp;""='報告書'!$C$4&amp;"",COUNTIF($S$5:S758,'報告書'!$C$4),""))</f>
        <v/>
      </c>
      <c r="AK758" s="20" t="n"/>
      <c r="AL758" s="47" t="n"/>
      <c r="AM758" s="47" t="n"/>
      <c r="AN758" s="53" t="n"/>
      <c r="AO758" s="47" t="n"/>
      <c r="AP758" s="47" t="n"/>
      <c r="AQ758" s="47" t="n"/>
      <c r="AR758" s="47" t="n"/>
      <c r="AS758" s="47" t="n"/>
      <c r="AT758" s="47" t="n"/>
      <c r="AU758" s="47" t="n"/>
      <c r="AV758" s="47" t="n"/>
      <c r="AW758" s="52" t="n"/>
    </row>
    <row r="759">
      <c r="A759" s="48" t="n"/>
      <c r="B759" s="52" t="n"/>
      <c r="C759" s="47">
        <f>IF(B759="","",IFERROR(INDEX('隊員マスタ'!$B$5:$B$204,MATCH(B759&amp;"",'隊員マスタ'!$F$5:$F$204,0)),IF(AK759="","番号なし",AK759)))</f>
        <v/>
      </c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  <c r="N759" s="47" t="n"/>
      <c r="O759" s="47" t="n"/>
      <c r="P759" s="47" t="n"/>
      <c r="Q759" s="47" t="n"/>
      <c r="R759" s="47" t="n"/>
      <c r="S759" s="47" t="n"/>
      <c r="T759" s="47" t="n"/>
      <c r="U759" s="53" t="n"/>
      <c r="V759" s="53" t="n"/>
      <c r="W759" s="47" t="n"/>
      <c r="X759" s="47" t="n"/>
      <c r="Y759" s="47" t="n"/>
      <c r="Z759" s="47" t="n"/>
      <c r="AA759" s="47" t="n"/>
      <c r="AB759" s="47" t="n"/>
      <c r="AC759" s="47" t="n"/>
      <c r="AD759" s="47" t="n"/>
      <c r="AE759" s="47" t="n"/>
      <c r="AF759" s="20">
        <f>IF(A759="","",YEAR(EDATE(A759,-3)))</f>
        <v/>
      </c>
      <c r="AG759" s="20">
        <f>IF(OR(B759="",'経歴簿'!$C$4=""),"",IF(B759&amp;""='経歴簿'!$C$4&amp;"",MAX($AG$4:AG758)+1,""))</f>
        <v/>
      </c>
      <c r="AH759" s="20">
        <f>IF(A759="",0,IF(AND(OR('CSV抽出'!$C$4="",A759&gt;='CSV抽出'!$C$4),OR('CSV抽出'!$C$5="",A759&lt;='CSV抽出'!$C$5),OR('CSV抽出'!$C$6="すべて",'CSV抽出'!$C$6="",D759='CSV抽出'!$C$6),OR('CSV抽出'!$C$7="",B759&amp;""='CSV抽出'!$C$7&amp;"")),1,0))</f>
        <v/>
      </c>
      <c r="AI759" s="20">
        <f>IF(AH759=1,SUM($AH$5:AH759),"")</f>
        <v/>
      </c>
      <c r="AJ759" s="20">
        <f>IF(OR(S759="",'報告書'!$C$4=""),"",IF(S759&amp;""='報告書'!$C$4&amp;"",COUNTIF($S$5:S759,'報告書'!$C$4),""))</f>
        <v/>
      </c>
      <c r="AK759" s="20" t="n"/>
      <c r="AL759" s="47" t="n"/>
      <c r="AM759" s="47" t="n"/>
      <c r="AN759" s="53" t="n"/>
      <c r="AO759" s="47" t="n"/>
      <c r="AP759" s="47" t="n"/>
      <c r="AQ759" s="47" t="n"/>
      <c r="AR759" s="47" t="n"/>
      <c r="AS759" s="47" t="n"/>
      <c r="AT759" s="47" t="n"/>
      <c r="AU759" s="47" t="n"/>
      <c r="AV759" s="47" t="n"/>
      <c r="AW759" s="52" t="n"/>
    </row>
    <row r="760">
      <c r="A760" s="48" t="n"/>
      <c r="B760" s="52" t="n"/>
      <c r="C760" s="47">
        <f>IF(B760="","",IFERROR(INDEX('隊員マスタ'!$B$5:$B$204,MATCH(B760&amp;"",'隊員マスタ'!$F$5:$F$204,0)),IF(AK760="","番号なし",AK760)))</f>
        <v/>
      </c>
      <c r="D760" s="47" t="n"/>
      <c r="E760" s="47" t="n"/>
      <c r="F760" s="47" t="n"/>
      <c r="G760" s="47" t="n"/>
      <c r="H760" s="47" t="n"/>
      <c r="I760" s="47" t="n"/>
      <c r="J760" s="47" t="n"/>
      <c r="K760" s="47" t="n"/>
      <c r="L760" s="47" t="n"/>
      <c r="M760" s="47" t="n"/>
      <c r="N760" s="47" t="n"/>
      <c r="O760" s="47" t="n"/>
      <c r="P760" s="47" t="n"/>
      <c r="Q760" s="47" t="n"/>
      <c r="R760" s="47" t="n"/>
      <c r="S760" s="47" t="n"/>
      <c r="T760" s="47" t="n"/>
      <c r="U760" s="53" t="n"/>
      <c r="V760" s="53" t="n"/>
      <c r="W760" s="47" t="n"/>
      <c r="X760" s="47" t="n"/>
      <c r="Y760" s="47" t="n"/>
      <c r="Z760" s="47" t="n"/>
      <c r="AA760" s="47" t="n"/>
      <c r="AB760" s="47" t="n"/>
      <c r="AC760" s="47" t="n"/>
      <c r="AD760" s="47" t="n"/>
      <c r="AE760" s="47" t="n"/>
      <c r="AF760" s="20">
        <f>IF(A760="","",YEAR(EDATE(A760,-3)))</f>
        <v/>
      </c>
      <c r="AG760" s="20">
        <f>IF(OR(B760="",'経歴簿'!$C$4=""),"",IF(B760&amp;""='経歴簿'!$C$4&amp;"",MAX($AG$4:AG759)+1,""))</f>
        <v/>
      </c>
      <c r="AH760" s="20">
        <f>IF(A760="",0,IF(AND(OR('CSV抽出'!$C$4="",A760&gt;='CSV抽出'!$C$4),OR('CSV抽出'!$C$5="",A760&lt;='CSV抽出'!$C$5),OR('CSV抽出'!$C$6="すべて",'CSV抽出'!$C$6="",D760='CSV抽出'!$C$6),OR('CSV抽出'!$C$7="",B760&amp;""='CSV抽出'!$C$7&amp;"")),1,0))</f>
        <v/>
      </c>
      <c r="AI760" s="20">
        <f>IF(AH760=1,SUM($AH$5:AH760),"")</f>
        <v/>
      </c>
      <c r="AJ760" s="20">
        <f>IF(OR(S760="",'報告書'!$C$4=""),"",IF(S760&amp;""='報告書'!$C$4&amp;"",COUNTIF($S$5:S760,'報告書'!$C$4),""))</f>
        <v/>
      </c>
      <c r="AK760" s="20" t="n"/>
      <c r="AL760" s="47" t="n"/>
      <c r="AM760" s="47" t="n"/>
      <c r="AN760" s="53" t="n"/>
      <c r="AO760" s="47" t="n"/>
      <c r="AP760" s="47" t="n"/>
      <c r="AQ760" s="47" t="n"/>
      <c r="AR760" s="47" t="n"/>
      <c r="AS760" s="47" t="n"/>
      <c r="AT760" s="47" t="n"/>
      <c r="AU760" s="47" t="n"/>
      <c r="AV760" s="47" t="n"/>
      <c r="AW760" s="52" t="n"/>
    </row>
    <row r="761">
      <c r="A761" s="48" t="n"/>
      <c r="B761" s="52" t="n"/>
      <c r="C761" s="47">
        <f>IF(B761="","",IFERROR(INDEX('隊員マスタ'!$B$5:$B$204,MATCH(B761&amp;"",'隊員マスタ'!$F$5:$F$204,0)),IF(AK761="","番号なし",AK761)))</f>
        <v/>
      </c>
      <c r="D761" s="47" t="n"/>
      <c r="E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  <c r="N761" s="47" t="n"/>
      <c r="O761" s="47" t="n"/>
      <c r="P761" s="47" t="n"/>
      <c r="Q761" s="47" t="n"/>
      <c r="R761" s="47" t="n"/>
      <c r="S761" s="47" t="n"/>
      <c r="T761" s="47" t="n"/>
      <c r="U761" s="53" t="n"/>
      <c r="V761" s="53" t="n"/>
      <c r="W761" s="47" t="n"/>
      <c r="X761" s="47" t="n"/>
      <c r="Y761" s="47" t="n"/>
      <c r="Z761" s="47" t="n"/>
      <c r="AA761" s="47" t="n"/>
      <c r="AB761" s="47" t="n"/>
      <c r="AC761" s="47" t="n"/>
      <c r="AD761" s="47" t="n"/>
      <c r="AE761" s="47" t="n"/>
      <c r="AF761" s="20">
        <f>IF(A761="","",YEAR(EDATE(A761,-3)))</f>
        <v/>
      </c>
      <c r="AG761" s="20">
        <f>IF(OR(B761="",'経歴簿'!$C$4=""),"",IF(B761&amp;""='経歴簿'!$C$4&amp;"",MAX($AG$4:AG760)+1,""))</f>
        <v/>
      </c>
      <c r="AH761" s="20">
        <f>IF(A761="",0,IF(AND(OR('CSV抽出'!$C$4="",A761&gt;='CSV抽出'!$C$4),OR('CSV抽出'!$C$5="",A761&lt;='CSV抽出'!$C$5),OR('CSV抽出'!$C$6="すべて",'CSV抽出'!$C$6="",D761='CSV抽出'!$C$6),OR('CSV抽出'!$C$7="",B761&amp;""='CSV抽出'!$C$7&amp;"")),1,0))</f>
        <v/>
      </c>
      <c r="AI761" s="20">
        <f>IF(AH761=1,SUM($AH$5:AH761),"")</f>
        <v/>
      </c>
      <c r="AJ761" s="20">
        <f>IF(OR(S761="",'報告書'!$C$4=""),"",IF(S761&amp;""='報告書'!$C$4&amp;"",COUNTIF($S$5:S761,'報告書'!$C$4),""))</f>
        <v/>
      </c>
      <c r="AK761" s="20" t="n"/>
      <c r="AL761" s="47" t="n"/>
      <c r="AM761" s="47" t="n"/>
      <c r="AN761" s="53" t="n"/>
      <c r="AO761" s="47" t="n"/>
      <c r="AP761" s="47" t="n"/>
      <c r="AQ761" s="47" t="n"/>
      <c r="AR761" s="47" t="n"/>
      <c r="AS761" s="47" t="n"/>
      <c r="AT761" s="47" t="n"/>
      <c r="AU761" s="47" t="n"/>
      <c r="AV761" s="47" t="n"/>
      <c r="AW761" s="52" t="n"/>
    </row>
    <row r="762">
      <c r="A762" s="48" t="n"/>
      <c r="B762" s="52" t="n"/>
      <c r="C762" s="47">
        <f>IF(B762="","",IFERROR(INDEX('隊員マスタ'!$B$5:$B$204,MATCH(B762&amp;"",'隊員マスタ'!$F$5:$F$204,0)),IF(AK762="","番号なし",AK762)))</f>
        <v/>
      </c>
      <c r="D762" s="47" t="n"/>
      <c r="E762" s="47" t="n"/>
      <c r="F762" s="47" t="n"/>
      <c r="G762" s="47" t="n"/>
      <c r="H762" s="47" t="n"/>
      <c r="I762" s="47" t="n"/>
      <c r="J762" s="47" t="n"/>
      <c r="K762" s="47" t="n"/>
      <c r="L762" s="47" t="n"/>
      <c r="M762" s="47" t="n"/>
      <c r="N762" s="47" t="n"/>
      <c r="O762" s="47" t="n"/>
      <c r="P762" s="47" t="n"/>
      <c r="Q762" s="47" t="n"/>
      <c r="R762" s="47" t="n"/>
      <c r="S762" s="47" t="n"/>
      <c r="T762" s="47" t="n"/>
      <c r="U762" s="53" t="n"/>
      <c r="V762" s="53" t="n"/>
      <c r="W762" s="47" t="n"/>
      <c r="X762" s="47" t="n"/>
      <c r="Y762" s="47" t="n"/>
      <c r="Z762" s="47" t="n"/>
      <c r="AA762" s="47" t="n"/>
      <c r="AB762" s="47" t="n"/>
      <c r="AC762" s="47" t="n"/>
      <c r="AD762" s="47" t="n"/>
      <c r="AE762" s="47" t="n"/>
      <c r="AF762" s="20">
        <f>IF(A762="","",YEAR(EDATE(A762,-3)))</f>
        <v/>
      </c>
      <c r="AG762" s="20">
        <f>IF(OR(B762="",'経歴簿'!$C$4=""),"",IF(B762&amp;""='経歴簿'!$C$4&amp;"",MAX($AG$4:AG761)+1,""))</f>
        <v/>
      </c>
      <c r="AH762" s="20">
        <f>IF(A762="",0,IF(AND(OR('CSV抽出'!$C$4="",A762&gt;='CSV抽出'!$C$4),OR('CSV抽出'!$C$5="",A762&lt;='CSV抽出'!$C$5),OR('CSV抽出'!$C$6="すべて",'CSV抽出'!$C$6="",D762='CSV抽出'!$C$6),OR('CSV抽出'!$C$7="",B762&amp;""='CSV抽出'!$C$7&amp;"")),1,0))</f>
        <v/>
      </c>
      <c r="AI762" s="20">
        <f>IF(AH762=1,SUM($AH$5:AH762),"")</f>
        <v/>
      </c>
      <c r="AJ762" s="20">
        <f>IF(OR(S762="",'報告書'!$C$4=""),"",IF(S762&amp;""='報告書'!$C$4&amp;"",COUNTIF($S$5:S762,'報告書'!$C$4),""))</f>
        <v/>
      </c>
      <c r="AK762" s="20" t="n"/>
      <c r="AL762" s="47" t="n"/>
      <c r="AM762" s="47" t="n"/>
      <c r="AN762" s="53" t="n"/>
      <c r="AO762" s="47" t="n"/>
      <c r="AP762" s="47" t="n"/>
      <c r="AQ762" s="47" t="n"/>
      <c r="AR762" s="47" t="n"/>
      <c r="AS762" s="47" t="n"/>
      <c r="AT762" s="47" t="n"/>
      <c r="AU762" s="47" t="n"/>
      <c r="AV762" s="47" t="n"/>
      <c r="AW762" s="52" t="n"/>
    </row>
    <row r="763">
      <c r="A763" s="48" t="n"/>
      <c r="B763" s="52" t="n"/>
      <c r="C763" s="47">
        <f>IF(B763="","",IFERROR(INDEX('隊員マスタ'!$B$5:$B$204,MATCH(B763&amp;"",'隊員マスタ'!$F$5:$F$204,0)),IF(AK763="","番号なし",AK763)))</f>
        <v/>
      </c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  <c r="N763" s="47" t="n"/>
      <c r="O763" s="47" t="n"/>
      <c r="P763" s="47" t="n"/>
      <c r="Q763" s="47" t="n"/>
      <c r="R763" s="47" t="n"/>
      <c r="S763" s="47" t="n"/>
      <c r="T763" s="47" t="n"/>
      <c r="U763" s="53" t="n"/>
      <c r="V763" s="53" t="n"/>
      <c r="W763" s="47" t="n"/>
      <c r="X763" s="47" t="n"/>
      <c r="Y763" s="47" t="n"/>
      <c r="Z763" s="47" t="n"/>
      <c r="AA763" s="47" t="n"/>
      <c r="AB763" s="47" t="n"/>
      <c r="AC763" s="47" t="n"/>
      <c r="AD763" s="47" t="n"/>
      <c r="AE763" s="47" t="n"/>
      <c r="AF763" s="20">
        <f>IF(A763="","",YEAR(EDATE(A763,-3)))</f>
        <v/>
      </c>
      <c r="AG763" s="20">
        <f>IF(OR(B763="",'経歴簿'!$C$4=""),"",IF(B763&amp;""='経歴簿'!$C$4&amp;"",MAX($AG$4:AG762)+1,""))</f>
        <v/>
      </c>
      <c r="AH763" s="20">
        <f>IF(A763="",0,IF(AND(OR('CSV抽出'!$C$4="",A763&gt;='CSV抽出'!$C$4),OR('CSV抽出'!$C$5="",A763&lt;='CSV抽出'!$C$5),OR('CSV抽出'!$C$6="すべて",'CSV抽出'!$C$6="",D763='CSV抽出'!$C$6),OR('CSV抽出'!$C$7="",B763&amp;""='CSV抽出'!$C$7&amp;"")),1,0))</f>
        <v/>
      </c>
      <c r="AI763" s="20">
        <f>IF(AH763=1,SUM($AH$5:AH763),"")</f>
        <v/>
      </c>
      <c r="AJ763" s="20">
        <f>IF(OR(S763="",'報告書'!$C$4=""),"",IF(S763&amp;""='報告書'!$C$4&amp;"",COUNTIF($S$5:S763,'報告書'!$C$4),""))</f>
        <v/>
      </c>
      <c r="AK763" s="20" t="n"/>
      <c r="AL763" s="47" t="n"/>
      <c r="AM763" s="47" t="n"/>
      <c r="AN763" s="53" t="n"/>
      <c r="AO763" s="47" t="n"/>
      <c r="AP763" s="47" t="n"/>
      <c r="AQ763" s="47" t="n"/>
      <c r="AR763" s="47" t="n"/>
      <c r="AS763" s="47" t="n"/>
      <c r="AT763" s="47" t="n"/>
      <c r="AU763" s="47" t="n"/>
      <c r="AV763" s="47" t="n"/>
      <c r="AW763" s="52" t="n"/>
    </row>
    <row r="764">
      <c r="A764" s="48" t="n"/>
      <c r="B764" s="52" t="n"/>
      <c r="C764" s="47">
        <f>IF(B764="","",IFERROR(INDEX('隊員マスタ'!$B$5:$B$204,MATCH(B764&amp;"",'隊員マスタ'!$F$5:$F$204,0)),IF(AK764="","番号なし",AK764)))</f>
        <v/>
      </c>
      <c r="D764" s="47" t="n"/>
      <c r="E764" s="47" t="n"/>
      <c r="F764" s="47" t="n"/>
      <c r="G764" s="47" t="n"/>
      <c r="H764" s="47" t="n"/>
      <c r="I764" s="47" t="n"/>
      <c r="J764" s="47" t="n"/>
      <c r="K764" s="47" t="n"/>
      <c r="L764" s="47" t="n"/>
      <c r="M764" s="47" t="n"/>
      <c r="N764" s="47" t="n"/>
      <c r="O764" s="47" t="n"/>
      <c r="P764" s="47" t="n"/>
      <c r="Q764" s="47" t="n"/>
      <c r="R764" s="47" t="n"/>
      <c r="S764" s="47" t="n"/>
      <c r="T764" s="47" t="n"/>
      <c r="U764" s="53" t="n"/>
      <c r="V764" s="53" t="n"/>
      <c r="W764" s="47" t="n"/>
      <c r="X764" s="47" t="n"/>
      <c r="Y764" s="47" t="n"/>
      <c r="Z764" s="47" t="n"/>
      <c r="AA764" s="47" t="n"/>
      <c r="AB764" s="47" t="n"/>
      <c r="AC764" s="47" t="n"/>
      <c r="AD764" s="47" t="n"/>
      <c r="AE764" s="47" t="n"/>
      <c r="AF764" s="20">
        <f>IF(A764="","",YEAR(EDATE(A764,-3)))</f>
        <v/>
      </c>
      <c r="AG764" s="20">
        <f>IF(OR(B764="",'経歴簿'!$C$4=""),"",IF(B764&amp;""='経歴簿'!$C$4&amp;"",MAX($AG$4:AG763)+1,""))</f>
        <v/>
      </c>
      <c r="AH764" s="20">
        <f>IF(A764="",0,IF(AND(OR('CSV抽出'!$C$4="",A764&gt;='CSV抽出'!$C$4),OR('CSV抽出'!$C$5="",A764&lt;='CSV抽出'!$C$5),OR('CSV抽出'!$C$6="すべて",'CSV抽出'!$C$6="",D764='CSV抽出'!$C$6),OR('CSV抽出'!$C$7="",B764&amp;""='CSV抽出'!$C$7&amp;"")),1,0))</f>
        <v/>
      </c>
      <c r="AI764" s="20">
        <f>IF(AH764=1,SUM($AH$5:AH764),"")</f>
        <v/>
      </c>
      <c r="AJ764" s="20">
        <f>IF(OR(S764="",'報告書'!$C$4=""),"",IF(S764&amp;""='報告書'!$C$4&amp;"",COUNTIF($S$5:S764,'報告書'!$C$4),""))</f>
        <v/>
      </c>
      <c r="AK764" s="20" t="n"/>
      <c r="AL764" s="47" t="n"/>
      <c r="AM764" s="47" t="n"/>
      <c r="AN764" s="53" t="n"/>
      <c r="AO764" s="47" t="n"/>
      <c r="AP764" s="47" t="n"/>
      <c r="AQ764" s="47" t="n"/>
      <c r="AR764" s="47" t="n"/>
      <c r="AS764" s="47" t="n"/>
      <c r="AT764" s="47" t="n"/>
      <c r="AU764" s="47" t="n"/>
      <c r="AV764" s="47" t="n"/>
      <c r="AW764" s="52" t="n"/>
    </row>
    <row r="765">
      <c r="A765" s="48" t="n"/>
      <c r="B765" s="52" t="n"/>
      <c r="C765" s="47">
        <f>IF(B765="","",IFERROR(INDEX('隊員マスタ'!$B$5:$B$204,MATCH(B765&amp;"",'隊員マスタ'!$F$5:$F$204,0)),IF(AK765="","番号なし",AK765)))</f>
        <v/>
      </c>
      <c r="D765" s="47" t="n"/>
      <c r="E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  <c r="N765" s="47" t="n"/>
      <c r="O765" s="47" t="n"/>
      <c r="P765" s="47" t="n"/>
      <c r="Q765" s="47" t="n"/>
      <c r="R765" s="47" t="n"/>
      <c r="S765" s="47" t="n"/>
      <c r="T765" s="47" t="n"/>
      <c r="U765" s="53" t="n"/>
      <c r="V765" s="53" t="n"/>
      <c r="W765" s="47" t="n"/>
      <c r="X765" s="47" t="n"/>
      <c r="Y765" s="47" t="n"/>
      <c r="Z765" s="47" t="n"/>
      <c r="AA765" s="47" t="n"/>
      <c r="AB765" s="47" t="n"/>
      <c r="AC765" s="47" t="n"/>
      <c r="AD765" s="47" t="n"/>
      <c r="AE765" s="47" t="n"/>
      <c r="AF765" s="20">
        <f>IF(A765="","",YEAR(EDATE(A765,-3)))</f>
        <v/>
      </c>
      <c r="AG765" s="20">
        <f>IF(OR(B765="",'経歴簿'!$C$4=""),"",IF(B765&amp;""='経歴簿'!$C$4&amp;"",MAX($AG$4:AG764)+1,""))</f>
        <v/>
      </c>
      <c r="AH765" s="20">
        <f>IF(A765="",0,IF(AND(OR('CSV抽出'!$C$4="",A765&gt;='CSV抽出'!$C$4),OR('CSV抽出'!$C$5="",A765&lt;='CSV抽出'!$C$5),OR('CSV抽出'!$C$6="すべて",'CSV抽出'!$C$6="",D765='CSV抽出'!$C$6),OR('CSV抽出'!$C$7="",B765&amp;""='CSV抽出'!$C$7&amp;"")),1,0))</f>
        <v/>
      </c>
      <c r="AI765" s="20">
        <f>IF(AH765=1,SUM($AH$5:AH765),"")</f>
        <v/>
      </c>
      <c r="AJ765" s="20">
        <f>IF(OR(S765="",'報告書'!$C$4=""),"",IF(S765&amp;""='報告書'!$C$4&amp;"",COUNTIF($S$5:S765,'報告書'!$C$4),""))</f>
        <v/>
      </c>
      <c r="AK765" s="20" t="n"/>
      <c r="AL765" s="47" t="n"/>
      <c r="AM765" s="47" t="n"/>
      <c r="AN765" s="53" t="n"/>
      <c r="AO765" s="47" t="n"/>
      <c r="AP765" s="47" t="n"/>
      <c r="AQ765" s="47" t="n"/>
      <c r="AR765" s="47" t="n"/>
      <c r="AS765" s="47" t="n"/>
      <c r="AT765" s="47" t="n"/>
      <c r="AU765" s="47" t="n"/>
      <c r="AV765" s="47" t="n"/>
      <c r="AW765" s="52" t="n"/>
    </row>
    <row r="766">
      <c r="A766" s="48" t="n"/>
      <c r="B766" s="52" t="n"/>
      <c r="C766" s="47">
        <f>IF(B766="","",IFERROR(INDEX('隊員マスタ'!$B$5:$B$204,MATCH(B766&amp;"",'隊員マスタ'!$F$5:$F$204,0)),IF(AK766="","番号なし",AK766)))</f>
        <v/>
      </c>
      <c r="D766" s="47" t="n"/>
      <c r="E766" s="47" t="n"/>
      <c r="F766" s="47" t="n"/>
      <c r="G766" s="47" t="n"/>
      <c r="H766" s="47" t="n"/>
      <c r="I766" s="47" t="n"/>
      <c r="J766" s="47" t="n"/>
      <c r="K766" s="47" t="n"/>
      <c r="L766" s="47" t="n"/>
      <c r="M766" s="47" t="n"/>
      <c r="N766" s="47" t="n"/>
      <c r="O766" s="47" t="n"/>
      <c r="P766" s="47" t="n"/>
      <c r="Q766" s="47" t="n"/>
      <c r="R766" s="47" t="n"/>
      <c r="S766" s="47" t="n"/>
      <c r="T766" s="47" t="n"/>
      <c r="U766" s="53" t="n"/>
      <c r="V766" s="53" t="n"/>
      <c r="W766" s="47" t="n"/>
      <c r="X766" s="47" t="n"/>
      <c r="Y766" s="47" t="n"/>
      <c r="Z766" s="47" t="n"/>
      <c r="AA766" s="47" t="n"/>
      <c r="AB766" s="47" t="n"/>
      <c r="AC766" s="47" t="n"/>
      <c r="AD766" s="47" t="n"/>
      <c r="AE766" s="47" t="n"/>
      <c r="AF766" s="20">
        <f>IF(A766="","",YEAR(EDATE(A766,-3)))</f>
        <v/>
      </c>
      <c r="AG766" s="20">
        <f>IF(OR(B766="",'経歴簿'!$C$4=""),"",IF(B766&amp;""='経歴簿'!$C$4&amp;"",MAX($AG$4:AG765)+1,""))</f>
        <v/>
      </c>
      <c r="AH766" s="20">
        <f>IF(A766="",0,IF(AND(OR('CSV抽出'!$C$4="",A766&gt;='CSV抽出'!$C$4),OR('CSV抽出'!$C$5="",A766&lt;='CSV抽出'!$C$5),OR('CSV抽出'!$C$6="すべて",'CSV抽出'!$C$6="",D766='CSV抽出'!$C$6),OR('CSV抽出'!$C$7="",B766&amp;""='CSV抽出'!$C$7&amp;"")),1,0))</f>
        <v/>
      </c>
      <c r="AI766" s="20">
        <f>IF(AH766=1,SUM($AH$5:AH766),"")</f>
        <v/>
      </c>
      <c r="AJ766" s="20">
        <f>IF(OR(S766="",'報告書'!$C$4=""),"",IF(S766&amp;""='報告書'!$C$4&amp;"",COUNTIF($S$5:S766,'報告書'!$C$4),""))</f>
        <v/>
      </c>
      <c r="AK766" s="20" t="n"/>
      <c r="AL766" s="47" t="n"/>
      <c r="AM766" s="47" t="n"/>
      <c r="AN766" s="53" t="n"/>
      <c r="AO766" s="47" t="n"/>
      <c r="AP766" s="47" t="n"/>
      <c r="AQ766" s="47" t="n"/>
      <c r="AR766" s="47" t="n"/>
      <c r="AS766" s="47" t="n"/>
      <c r="AT766" s="47" t="n"/>
      <c r="AU766" s="47" t="n"/>
      <c r="AV766" s="47" t="n"/>
      <c r="AW766" s="52" t="n"/>
    </row>
    <row r="767">
      <c r="A767" s="48" t="n"/>
      <c r="B767" s="52" t="n"/>
      <c r="C767" s="47">
        <f>IF(B767="","",IFERROR(INDEX('隊員マスタ'!$B$5:$B$204,MATCH(B767&amp;"",'隊員マスタ'!$F$5:$F$204,0)),IF(AK767="","番号なし",AK767)))</f>
        <v/>
      </c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  <c r="N767" s="47" t="n"/>
      <c r="O767" s="47" t="n"/>
      <c r="P767" s="47" t="n"/>
      <c r="Q767" s="47" t="n"/>
      <c r="R767" s="47" t="n"/>
      <c r="S767" s="47" t="n"/>
      <c r="T767" s="47" t="n"/>
      <c r="U767" s="53" t="n"/>
      <c r="V767" s="53" t="n"/>
      <c r="W767" s="47" t="n"/>
      <c r="X767" s="47" t="n"/>
      <c r="Y767" s="47" t="n"/>
      <c r="Z767" s="47" t="n"/>
      <c r="AA767" s="47" t="n"/>
      <c r="AB767" s="47" t="n"/>
      <c r="AC767" s="47" t="n"/>
      <c r="AD767" s="47" t="n"/>
      <c r="AE767" s="47" t="n"/>
      <c r="AF767" s="20">
        <f>IF(A767="","",YEAR(EDATE(A767,-3)))</f>
        <v/>
      </c>
      <c r="AG767" s="20">
        <f>IF(OR(B767="",'経歴簿'!$C$4=""),"",IF(B767&amp;""='経歴簿'!$C$4&amp;"",MAX($AG$4:AG766)+1,""))</f>
        <v/>
      </c>
      <c r="AH767" s="20">
        <f>IF(A767="",0,IF(AND(OR('CSV抽出'!$C$4="",A767&gt;='CSV抽出'!$C$4),OR('CSV抽出'!$C$5="",A767&lt;='CSV抽出'!$C$5),OR('CSV抽出'!$C$6="すべて",'CSV抽出'!$C$6="",D767='CSV抽出'!$C$6),OR('CSV抽出'!$C$7="",B767&amp;""='CSV抽出'!$C$7&amp;"")),1,0))</f>
        <v/>
      </c>
      <c r="AI767" s="20">
        <f>IF(AH767=1,SUM($AH$5:AH767),"")</f>
        <v/>
      </c>
      <c r="AJ767" s="20">
        <f>IF(OR(S767="",'報告書'!$C$4=""),"",IF(S767&amp;""='報告書'!$C$4&amp;"",COUNTIF($S$5:S767,'報告書'!$C$4),""))</f>
        <v/>
      </c>
      <c r="AK767" s="20" t="n"/>
      <c r="AL767" s="47" t="n"/>
      <c r="AM767" s="47" t="n"/>
      <c r="AN767" s="53" t="n"/>
      <c r="AO767" s="47" t="n"/>
      <c r="AP767" s="47" t="n"/>
      <c r="AQ767" s="47" t="n"/>
      <c r="AR767" s="47" t="n"/>
      <c r="AS767" s="47" t="n"/>
      <c r="AT767" s="47" t="n"/>
      <c r="AU767" s="47" t="n"/>
      <c r="AV767" s="47" t="n"/>
      <c r="AW767" s="52" t="n"/>
    </row>
    <row r="768">
      <c r="A768" s="48" t="n"/>
      <c r="B768" s="52" t="n"/>
      <c r="C768" s="47">
        <f>IF(B768="","",IFERROR(INDEX('隊員マスタ'!$B$5:$B$204,MATCH(B768&amp;"",'隊員マスタ'!$F$5:$F$204,0)),IF(AK768="","番号なし",AK768)))</f>
        <v/>
      </c>
      <c r="D768" s="47" t="n"/>
      <c r="E768" s="47" t="n"/>
      <c r="F768" s="47" t="n"/>
      <c r="G768" s="47" t="n"/>
      <c r="H768" s="47" t="n"/>
      <c r="I768" s="47" t="n"/>
      <c r="J768" s="47" t="n"/>
      <c r="K768" s="47" t="n"/>
      <c r="L768" s="47" t="n"/>
      <c r="M768" s="47" t="n"/>
      <c r="N768" s="47" t="n"/>
      <c r="O768" s="47" t="n"/>
      <c r="P768" s="47" t="n"/>
      <c r="Q768" s="47" t="n"/>
      <c r="R768" s="47" t="n"/>
      <c r="S768" s="47" t="n"/>
      <c r="T768" s="47" t="n"/>
      <c r="U768" s="53" t="n"/>
      <c r="V768" s="53" t="n"/>
      <c r="W768" s="47" t="n"/>
      <c r="X768" s="47" t="n"/>
      <c r="Y768" s="47" t="n"/>
      <c r="Z768" s="47" t="n"/>
      <c r="AA768" s="47" t="n"/>
      <c r="AB768" s="47" t="n"/>
      <c r="AC768" s="47" t="n"/>
      <c r="AD768" s="47" t="n"/>
      <c r="AE768" s="47" t="n"/>
      <c r="AF768" s="20">
        <f>IF(A768="","",YEAR(EDATE(A768,-3)))</f>
        <v/>
      </c>
      <c r="AG768" s="20">
        <f>IF(OR(B768="",'経歴簿'!$C$4=""),"",IF(B768&amp;""='経歴簿'!$C$4&amp;"",MAX($AG$4:AG767)+1,""))</f>
        <v/>
      </c>
      <c r="AH768" s="20">
        <f>IF(A768="",0,IF(AND(OR('CSV抽出'!$C$4="",A768&gt;='CSV抽出'!$C$4),OR('CSV抽出'!$C$5="",A768&lt;='CSV抽出'!$C$5),OR('CSV抽出'!$C$6="すべて",'CSV抽出'!$C$6="",D768='CSV抽出'!$C$6),OR('CSV抽出'!$C$7="",B768&amp;""='CSV抽出'!$C$7&amp;"")),1,0))</f>
        <v/>
      </c>
      <c r="AI768" s="20">
        <f>IF(AH768=1,SUM($AH$5:AH768),"")</f>
        <v/>
      </c>
      <c r="AJ768" s="20">
        <f>IF(OR(S768="",'報告書'!$C$4=""),"",IF(S768&amp;""='報告書'!$C$4&amp;"",COUNTIF($S$5:S768,'報告書'!$C$4),""))</f>
        <v/>
      </c>
      <c r="AK768" s="20" t="n"/>
      <c r="AL768" s="47" t="n"/>
      <c r="AM768" s="47" t="n"/>
      <c r="AN768" s="53" t="n"/>
      <c r="AO768" s="47" t="n"/>
      <c r="AP768" s="47" t="n"/>
      <c r="AQ768" s="47" t="n"/>
      <c r="AR768" s="47" t="n"/>
      <c r="AS768" s="47" t="n"/>
      <c r="AT768" s="47" t="n"/>
      <c r="AU768" s="47" t="n"/>
      <c r="AV768" s="47" t="n"/>
      <c r="AW768" s="52" t="n"/>
    </row>
    <row r="769">
      <c r="A769" s="48" t="n"/>
      <c r="B769" s="52" t="n"/>
      <c r="C769" s="47">
        <f>IF(B769="","",IFERROR(INDEX('隊員マスタ'!$B$5:$B$204,MATCH(B769&amp;"",'隊員マスタ'!$F$5:$F$204,0)),IF(AK769="","番号なし",AK769)))</f>
        <v/>
      </c>
      <c r="D769" s="47" t="n"/>
      <c r="E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  <c r="N769" s="47" t="n"/>
      <c r="O769" s="47" t="n"/>
      <c r="P769" s="47" t="n"/>
      <c r="Q769" s="47" t="n"/>
      <c r="R769" s="47" t="n"/>
      <c r="S769" s="47" t="n"/>
      <c r="T769" s="47" t="n"/>
      <c r="U769" s="53" t="n"/>
      <c r="V769" s="53" t="n"/>
      <c r="W769" s="47" t="n"/>
      <c r="X769" s="47" t="n"/>
      <c r="Y769" s="47" t="n"/>
      <c r="Z769" s="47" t="n"/>
      <c r="AA769" s="47" t="n"/>
      <c r="AB769" s="47" t="n"/>
      <c r="AC769" s="47" t="n"/>
      <c r="AD769" s="47" t="n"/>
      <c r="AE769" s="47" t="n"/>
      <c r="AF769" s="20">
        <f>IF(A769="","",YEAR(EDATE(A769,-3)))</f>
        <v/>
      </c>
      <c r="AG769" s="20">
        <f>IF(OR(B769="",'経歴簿'!$C$4=""),"",IF(B769&amp;""='経歴簿'!$C$4&amp;"",MAX($AG$4:AG768)+1,""))</f>
        <v/>
      </c>
      <c r="AH769" s="20">
        <f>IF(A769="",0,IF(AND(OR('CSV抽出'!$C$4="",A769&gt;='CSV抽出'!$C$4),OR('CSV抽出'!$C$5="",A769&lt;='CSV抽出'!$C$5),OR('CSV抽出'!$C$6="すべて",'CSV抽出'!$C$6="",D769='CSV抽出'!$C$6),OR('CSV抽出'!$C$7="",B769&amp;""='CSV抽出'!$C$7&amp;"")),1,0))</f>
        <v/>
      </c>
      <c r="AI769" s="20">
        <f>IF(AH769=1,SUM($AH$5:AH769),"")</f>
        <v/>
      </c>
      <c r="AJ769" s="20">
        <f>IF(OR(S769="",'報告書'!$C$4=""),"",IF(S769&amp;""='報告書'!$C$4&amp;"",COUNTIF($S$5:S769,'報告書'!$C$4),""))</f>
        <v/>
      </c>
      <c r="AK769" s="20" t="n"/>
      <c r="AL769" s="47" t="n"/>
      <c r="AM769" s="47" t="n"/>
      <c r="AN769" s="53" t="n"/>
      <c r="AO769" s="47" t="n"/>
      <c r="AP769" s="47" t="n"/>
      <c r="AQ769" s="47" t="n"/>
      <c r="AR769" s="47" t="n"/>
      <c r="AS769" s="47" t="n"/>
      <c r="AT769" s="47" t="n"/>
      <c r="AU769" s="47" t="n"/>
      <c r="AV769" s="47" t="n"/>
      <c r="AW769" s="52" t="n"/>
    </row>
    <row r="770">
      <c r="A770" s="48" t="n"/>
      <c r="B770" s="52" t="n"/>
      <c r="C770" s="47">
        <f>IF(B770="","",IFERROR(INDEX('隊員マスタ'!$B$5:$B$204,MATCH(B770&amp;"",'隊員マスタ'!$F$5:$F$204,0)),IF(AK770="","番号なし",AK770)))</f>
        <v/>
      </c>
      <c r="D770" s="47" t="n"/>
      <c r="E770" s="47" t="n"/>
      <c r="F770" s="47" t="n"/>
      <c r="G770" s="47" t="n"/>
      <c r="H770" s="47" t="n"/>
      <c r="I770" s="47" t="n"/>
      <c r="J770" s="47" t="n"/>
      <c r="K770" s="47" t="n"/>
      <c r="L770" s="47" t="n"/>
      <c r="M770" s="47" t="n"/>
      <c r="N770" s="47" t="n"/>
      <c r="O770" s="47" t="n"/>
      <c r="P770" s="47" t="n"/>
      <c r="Q770" s="47" t="n"/>
      <c r="R770" s="47" t="n"/>
      <c r="S770" s="47" t="n"/>
      <c r="T770" s="47" t="n"/>
      <c r="U770" s="53" t="n"/>
      <c r="V770" s="53" t="n"/>
      <c r="W770" s="47" t="n"/>
      <c r="X770" s="47" t="n"/>
      <c r="Y770" s="47" t="n"/>
      <c r="Z770" s="47" t="n"/>
      <c r="AA770" s="47" t="n"/>
      <c r="AB770" s="47" t="n"/>
      <c r="AC770" s="47" t="n"/>
      <c r="AD770" s="47" t="n"/>
      <c r="AE770" s="47" t="n"/>
      <c r="AF770" s="20">
        <f>IF(A770="","",YEAR(EDATE(A770,-3)))</f>
        <v/>
      </c>
      <c r="AG770" s="20">
        <f>IF(OR(B770="",'経歴簿'!$C$4=""),"",IF(B770&amp;""='経歴簿'!$C$4&amp;"",MAX($AG$4:AG769)+1,""))</f>
        <v/>
      </c>
      <c r="AH770" s="20">
        <f>IF(A770="",0,IF(AND(OR('CSV抽出'!$C$4="",A770&gt;='CSV抽出'!$C$4),OR('CSV抽出'!$C$5="",A770&lt;='CSV抽出'!$C$5),OR('CSV抽出'!$C$6="すべて",'CSV抽出'!$C$6="",D770='CSV抽出'!$C$6),OR('CSV抽出'!$C$7="",B770&amp;""='CSV抽出'!$C$7&amp;"")),1,0))</f>
        <v/>
      </c>
      <c r="AI770" s="20">
        <f>IF(AH770=1,SUM($AH$5:AH770),"")</f>
        <v/>
      </c>
      <c r="AJ770" s="20">
        <f>IF(OR(S770="",'報告書'!$C$4=""),"",IF(S770&amp;""='報告書'!$C$4&amp;"",COUNTIF($S$5:S770,'報告書'!$C$4),""))</f>
        <v/>
      </c>
      <c r="AK770" s="20" t="n"/>
      <c r="AL770" s="47" t="n"/>
      <c r="AM770" s="47" t="n"/>
      <c r="AN770" s="53" t="n"/>
      <c r="AO770" s="47" t="n"/>
      <c r="AP770" s="47" t="n"/>
      <c r="AQ770" s="47" t="n"/>
      <c r="AR770" s="47" t="n"/>
      <c r="AS770" s="47" t="n"/>
      <c r="AT770" s="47" t="n"/>
      <c r="AU770" s="47" t="n"/>
      <c r="AV770" s="47" t="n"/>
      <c r="AW770" s="52" t="n"/>
    </row>
    <row r="771">
      <c r="A771" s="48" t="n"/>
      <c r="B771" s="52" t="n"/>
      <c r="C771" s="47">
        <f>IF(B771="","",IFERROR(INDEX('隊員マスタ'!$B$5:$B$204,MATCH(B771&amp;"",'隊員マスタ'!$F$5:$F$204,0)),IF(AK771="","番号なし",AK771)))</f>
        <v/>
      </c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  <c r="N771" s="47" t="n"/>
      <c r="O771" s="47" t="n"/>
      <c r="P771" s="47" t="n"/>
      <c r="Q771" s="47" t="n"/>
      <c r="R771" s="47" t="n"/>
      <c r="S771" s="47" t="n"/>
      <c r="T771" s="47" t="n"/>
      <c r="U771" s="53" t="n"/>
      <c r="V771" s="53" t="n"/>
      <c r="W771" s="47" t="n"/>
      <c r="X771" s="47" t="n"/>
      <c r="Y771" s="47" t="n"/>
      <c r="Z771" s="47" t="n"/>
      <c r="AA771" s="47" t="n"/>
      <c r="AB771" s="47" t="n"/>
      <c r="AC771" s="47" t="n"/>
      <c r="AD771" s="47" t="n"/>
      <c r="AE771" s="47" t="n"/>
      <c r="AF771" s="20">
        <f>IF(A771="","",YEAR(EDATE(A771,-3)))</f>
        <v/>
      </c>
      <c r="AG771" s="20">
        <f>IF(OR(B771="",'経歴簿'!$C$4=""),"",IF(B771&amp;""='経歴簿'!$C$4&amp;"",MAX($AG$4:AG770)+1,""))</f>
        <v/>
      </c>
      <c r="AH771" s="20">
        <f>IF(A771="",0,IF(AND(OR('CSV抽出'!$C$4="",A771&gt;='CSV抽出'!$C$4),OR('CSV抽出'!$C$5="",A771&lt;='CSV抽出'!$C$5),OR('CSV抽出'!$C$6="すべて",'CSV抽出'!$C$6="",D771='CSV抽出'!$C$6),OR('CSV抽出'!$C$7="",B771&amp;""='CSV抽出'!$C$7&amp;"")),1,0))</f>
        <v/>
      </c>
      <c r="AI771" s="20">
        <f>IF(AH771=1,SUM($AH$5:AH771),"")</f>
        <v/>
      </c>
      <c r="AJ771" s="20">
        <f>IF(OR(S771="",'報告書'!$C$4=""),"",IF(S771&amp;""='報告書'!$C$4&amp;"",COUNTIF($S$5:S771,'報告書'!$C$4),""))</f>
        <v/>
      </c>
      <c r="AK771" s="20" t="n"/>
      <c r="AL771" s="47" t="n"/>
      <c r="AM771" s="47" t="n"/>
      <c r="AN771" s="53" t="n"/>
      <c r="AO771" s="47" t="n"/>
      <c r="AP771" s="47" t="n"/>
      <c r="AQ771" s="47" t="n"/>
      <c r="AR771" s="47" t="n"/>
      <c r="AS771" s="47" t="n"/>
      <c r="AT771" s="47" t="n"/>
      <c r="AU771" s="47" t="n"/>
      <c r="AV771" s="47" t="n"/>
      <c r="AW771" s="52" t="n"/>
    </row>
    <row r="772">
      <c r="A772" s="48" t="n"/>
      <c r="B772" s="52" t="n"/>
      <c r="C772" s="47">
        <f>IF(B772="","",IFERROR(INDEX('隊員マスタ'!$B$5:$B$204,MATCH(B772&amp;"",'隊員マスタ'!$F$5:$F$204,0)),IF(AK772="","番号なし",AK772)))</f>
        <v/>
      </c>
      <c r="D772" s="47" t="n"/>
      <c r="E772" s="47" t="n"/>
      <c r="F772" s="47" t="n"/>
      <c r="G772" s="47" t="n"/>
      <c r="H772" s="47" t="n"/>
      <c r="I772" s="47" t="n"/>
      <c r="J772" s="47" t="n"/>
      <c r="K772" s="47" t="n"/>
      <c r="L772" s="47" t="n"/>
      <c r="M772" s="47" t="n"/>
      <c r="N772" s="47" t="n"/>
      <c r="O772" s="47" t="n"/>
      <c r="P772" s="47" t="n"/>
      <c r="Q772" s="47" t="n"/>
      <c r="R772" s="47" t="n"/>
      <c r="S772" s="47" t="n"/>
      <c r="T772" s="47" t="n"/>
      <c r="U772" s="53" t="n"/>
      <c r="V772" s="53" t="n"/>
      <c r="W772" s="47" t="n"/>
      <c r="X772" s="47" t="n"/>
      <c r="Y772" s="47" t="n"/>
      <c r="Z772" s="47" t="n"/>
      <c r="AA772" s="47" t="n"/>
      <c r="AB772" s="47" t="n"/>
      <c r="AC772" s="47" t="n"/>
      <c r="AD772" s="47" t="n"/>
      <c r="AE772" s="47" t="n"/>
      <c r="AF772" s="20">
        <f>IF(A772="","",YEAR(EDATE(A772,-3)))</f>
        <v/>
      </c>
      <c r="AG772" s="20">
        <f>IF(OR(B772="",'経歴簿'!$C$4=""),"",IF(B772&amp;""='経歴簿'!$C$4&amp;"",MAX($AG$4:AG771)+1,""))</f>
        <v/>
      </c>
      <c r="AH772" s="20">
        <f>IF(A772="",0,IF(AND(OR('CSV抽出'!$C$4="",A772&gt;='CSV抽出'!$C$4),OR('CSV抽出'!$C$5="",A772&lt;='CSV抽出'!$C$5),OR('CSV抽出'!$C$6="すべて",'CSV抽出'!$C$6="",D772='CSV抽出'!$C$6),OR('CSV抽出'!$C$7="",B772&amp;""='CSV抽出'!$C$7&amp;"")),1,0))</f>
        <v/>
      </c>
      <c r="AI772" s="20">
        <f>IF(AH772=1,SUM($AH$5:AH772),"")</f>
        <v/>
      </c>
      <c r="AJ772" s="20">
        <f>IF(OR(S772="",'報告書'!$C$4=""),"",IF(S772&amp;""='報告書'!$C$4&amp;"",COUNTIF($S$5:S772,'報告書'!$C$4),""))</f>
        <v/>
      </c>
      <c r="AK772" s="20" t="n"/>
      <c r="AL772" s="47" t="n"/>
      <c r="AM772" s="47" t="n"/>
      <c r="AN772" s="53" t="n"/>
      <c r="AO772" s="47" t="n"/>
      <c r="AP772" s="47" t="n"/>
      <c r="AQ772" s="47" t="n"/>
      <c r="AR772" s="47" t="n"/>
      <c r="AS772" s="47" t="n"/>
      <c r="AT772" s="47" t="n"/>
      <c r="AU772" s="47" t="n"/>
      <c r="AV772" s="47" t="n"/>
      <c r="AW772" s="52" t="n"/>
    </row>
    <row r="773">
      <c r="A773" s="48" t="n"/>
      <c r="B773" s="52" t="n"/>
      <c r="C773" s="47">
        <f>IF(B773="","",IFERROR(INDEX('隊員マスタ'!$B$5:$B$204,MATCH(B773&amp;"",'隊員マスタ'!$F$5:$F$204,0)),IF(AK773="","番号なし",AK773)))</f>
        <v/>
      </c>
      <c r="D773" s="47" t="n"/>
      <c r="E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  <c r="N773" s="47" t="n"/>
      <c r="O773" s="47" t="n"/>
      <c r="P773" s="47" t="n"/>
      <c r="Q773" s="47" t="n"/>
      <c r="R773" s="47" t="n"/>
      <c r="S773" s="47" t="n"/>
      <c r="T773" s="47" t="n"/>
      <c r="U773" s="53" t="n"/>
      <c r="V773" s="53" t="n"/>
      <c r="W773" s="47" t="n"/>
      <c r="X773" s="47" t="n"/>
      <c r="Y773" s="47" t="n"/>
      <c r="Z773" s="47" t="n"/>
      <c r="AA773" s="47" t="n"/>
      <c r="AB773" s="47" t="n"/>
      <c r="AC773" s="47" t="n"/>
      <c r="AD773" s="47" t="n"/>
      <c r="AE773" s="47" t="n"/>
      <c r="AF773" s="20">
        <f>IF(A773="","",YEAR(EDATE(A773,-3)))</f>
        <v/>
      </c>
      <c r="AG773" s="20">
        <f>IF(OR(B773="",'経歴簿'!$C$4=""),"",IF(B773&amp;""='経歴簿'!$C$4&amp;"",MAX($AG$4:AG772)+1,""))</f>
        <v/>
      </c>
      <c r="AH773" s="20">
        <f>IF(A773="",0,IF(AND(OR('CSV抽出'!$C$4="",A773&gt;='CSV抽出'!$C$4),OR('CSV抽出'!$C$5="",A773&lt;='CSV抽出'!$C$5),OR('CSV抽出'!$C$6="すべて",'CSV抽出'!$C$6="",D773='CSV抽出'!$C$6),OR('CSV抽出'!$C$7="",B773&amp;""='CSV抽出'!$C$7&amp;"")),1,0))</f>
        <v/>
      </c>
      <c r="AI773" s="20">
        <f>IF(AH773=1,SUM($AH$5:AH773),"")</f>
        <v/>
      </c>
      <c r="AJ773" s="20">
        <f>IF(OR(S773="",'報告書'!$C$4=""),"",IF(S773&amp;""='報告書'!$C$4&amp;"",COUNTIF($S$5:S773,'報告書'!$C$4),""))</f>
        <v/>
      </c>
      <c r="AK773" s="20" t="n"/>
      <c r="AL773" s="47" t="n"/>
      <c r="AM773" s="47" t="n"/>
      <c r="AN773" s="53" t="n"/>
      <c r="AO773" s="47" t="n"/>
      <c r="AP773" s="47" t="n"/>
      <c r="AQ773" s="47" t="n"/>
      <c r="AR773" s="47" t="n"/>
      <c r="AS773" s="47" t="n"/>
      <c r="AT773" s="47" t="n"/>
      <c r="AU773" s="47" t="n"/>
      <c r="AV773" s="47" t="n"/>
      <c r="AW773" s="52" t="n"/>
    </row>
    <row r="774">
      <c r="A774" s="48" t="n"/>
      <c r="B774" s="52" t="n"/>
      <c r="C774" s="47">
        <f>IF(B774="","",IFERROR(INDEX('隊員マスタ'!$B$5:$B$204,MATCH(B774&amp;"",'隊員マスタ'!$F$5:$F$204,0)),IF(AK774="","番号なし",AK774)))</f>
        <v/>
      </c>
      <c r="D774" s="47" t="n"/>
      <c r="E774" s="47" t="n"/>
      <c r="F774" s="47" t="n"/>
      <c r="G774" s="47" t="n"/>
      <c r="H774" s="47" t="n"/>
      <c r="I774" s="47" t="n"/>
      <c r="J774" s="47" t="n"/>
      <c r="K774" s="47" t="n"/>
      <c r="L774" s="47" t="n"/>
      <c r="M774" s="47" t="n"/>
      <c r="N774" s="47" t="n"/>
      <c r="O774" s="47" t="n"/>
      <c r="P774" s="47" t="n"/>
      <c r="Q774" s="47" t="n"/>
      <c r="R774" s="47" t="n"/>
      <c r="S774" s="47" t="n"/>
      <c r="T774" s="47" t="n"/>
      <c r="U774" s="53" t="n"/>
      <c r="V774" s="53" t="n"/>
      <c r="W774" s="47" t="n"/>
      <c r="X774" s="47" t="n"/>
      <c r="Y774" s="47" t="n"/>
      <c r="Z774" s="47" t="n"/>
      <c r="AA774" s="47" t="n"/>
      <c r="AB774" s="47" t="n"/>
      <c r="AC774" s="47" t="n"/>
      <c r="AD774" s="47" t="n"/>
      <c r="AE774" s="47" t="n"/>
      <c r="AF774" s="20">
        <f>IF(A774="","",YEAR(EDATE(A774,-3)))</f>
        <v/>
      </c>
      <c r="AG774" s="20">
        <f>IF(OR(B774="",'経歴簿'!$C$4=""),"",IF(B774&amp;""='経歴簿'!$C$4&amp;"",MAX($AG$4:AG773)+1,""))</f>
        <v/>
      </c>
      <c r="AH774" s="20">
        <f>IF(A774="",0,IF(AND(OR('CSV抽出'!$C$4="",A774&gt;='CSV抽出'!$C$4),OR('CSV抽出'!$C$5="",A774&lt;='CSV抽出'!$C$5),OR('CSV抽出'!$C$6="すべて",'CSV抽出'!$C$6="",D774='CSV抽出'!$C$6),OR('CSV抽出'!$C$7="",B774&amp;""='CSV抽出'!$C$7&amp;"")),1,0))</f>
        <v/>
      </c>
      <c r="AI774" s="20">
        <f>IF(AH774=1,SUM($AH$5:AH774),"")</f>
        <v/>
      </c>
      <c r="AJ774" s="20">
        <f>IF(OR(S774="",'報告書'!$C$4=""),"",IF(S774&amp;""='報告書'!$C$4&amp;"",COUNTIF($S$5:S774,'報告書'!$C$4),""))</f>
        <v/>
      </c>
      <c r="AK774" s="20" t="n"/>
      <c r="AL774" s="47" t="n"/>
      <c r="AM774" s="47" t="n"/>
      <c r="AN774" s="53" t="n"/>
      <c r="AO774" s="47" t="n"/>
      <c r="AP774" s="47" t="n"/>
      <c r="AQ774" s="47" t="n"/>
      <c r="AR774" s="47" t="n"/>
      <c r="AS774" s="47" t="n"/>
      <c r="AT774" s="47" t="n"/>
      <c r="AU774" s="47" t="n"/>
      <c r="AV774" s="47" t="n"/>
      <c r="AW774" s="52" t="n"/>
    </row>
    <row r="775">
      <c r="A775" s="48" t="n"/>
      <c r="B775" s="52" t="n"/>
      <c r="C775" s="47">
        <f>IF(B775="","",IFERROR(INDEX('隊員マスタ'!$B$5:$B$204,MATCH(B775&amp;"",'隊員マスタ'!$F$5:$F$204,0)),IF(AK775="","番号なし",AK775)))</f>
        <v/>
      </c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  <c r="N775" s="47" t="n"/>
      <c r="O775" s="47" t="n"/>
      <c r="P775" s="47" t="n"/>
      <c r="Q775" s="47" t="n"/>
      <c r="R775" s="47" t="n"/>
      <c r="S775" s="47" t="n"/>
      <c r="T775" s="47" t="n"/>
      <c r="U775" s="53" t="n"/>
      <c r="V775" s="53" t="n"/>
      <c r="W775" s="47" t="n"/>
      <c r="X775" s="47" t="n"/>
      <c r="Y775" s="47" t="n"/>
      <c r="Z775" s="47" t="n"/>
      <c r="AA775" s="47" t="n"/>
      <c r="AB775" s="47" t="n"/>
      <c r="AC775" s="47" t="n"/>
      <c r="AD775" s="47" t="n"/>
      <c r="AE775" s="47" t="n"/>
      <c r="AF775" s="20">
        <f>IF(A775="","",YEAR(EDATE(A775,-3)))</f>
        <v/>
      </c>
      <c r="AG775" s="20">
        <f>IF(OR(B775="",'経歴簿'!$C$4=""),"",IF(B775&amp;""='経歴簿'!$C$4&amp;"",MAX($AG$4:AG774)+1,""))</f>
        <v/>
      </c>
      <c r="AH775" s="20">
        <f>IF(A775="",0,IF(AND(OR('CSV抽出'!$C$4="",A775&gt;='CSV抽出'!$C$4),OR('CSV抽出'!$C$5="",A775&lt;='CSV抽出'!$C$5),OR('CSV抽出'!$C$6="すべて",'CSV抽出'!$C$6="",D775='CSV抽出'!$C$6),OR('CSV抽出'!$C$7="",B775&amp;""='CSV抽出'!$C$7&amp;"")),1,0))</f>
        <v/>
      </c>
      <c r="AI775" s="20">
        <f>IF(AH775=1,SUM($AH$5:AH775),"")</f>
        <v/>
      </c>
      <c r="AJ775" s="20">
        <f>IF(OR(S775="",'報告書'!$C$4=""),"",IF(S775&amp;""='報告書'!$C$4&amp;"",COUNTIF($S$5:S775,'報告書'!$C$4),""))</f>
        <v/>
      </c>
      <c r="AK775" s="20" t="n"/>
      <c r="AL775" s="47" t="n"/>
      <c r="AM775" s="47" t="n"/>
      <c r="AN775" s="53" t="n"/>
      <c r="AO775" s="47" t="n"/>
      <c r="AP775" s="47" t="n"/>
      <c r="AQ775" s="47" t="n"/>
      <c r="AR775" s="47" t="n"/>
      <c r="AS775" s="47" t="n"/>
      <c r="AT775" s="47" t="n"/>
      <c r="AU775" s="47" t="n"/>
      <c r="AV775" s="47" t="n"/>
      <c r="AW775" s="52" t="n"/>
    </row>
    <row r="776">
      <c r="A776" s="48" t="n"/>
      <c r="B776" s="52" t="n"/>
      <c r="C776" s="47">
        <f>IF(B776="","",IFERROR(INDEX('隊員マスタ'!$B$5:$B$204,MATCH(B776&amp;"",'隊員マスタ'!$F$5:$F$204,0)),IF(AK776="","番号なし",AK776)))</f>
        <v/>
      </c>
      <c r="D776" s="47" t="n"/>
      <c r="E776" s="47" t="n"/>
      <c r="F776" s="47" t="n"/>
      <c r="G776" s="47" t="n"/>
      <c r="H776" s="47" t="n"/>
      <c r="I776" s="47" t="n"/>
      <c r="J776" s="47" t="n"/>
      <c r="K776" s="47" t="n"/>
      <c r="L776" s="47" t="n"/>
      <c r="M776" s="47" t="n"/>
      <c r="N776" s="47" t="n"/>
      <c r="O776" s="47" t="n"/>
      <c r="P776" s="47" t="n"/>
      <c r="Q776" s="47" t="n"/>
      <c r="R776" s="47" t="n"/>
      <c r="S776" s="47" t="n"/>
      <c r="T776" s="47" t="n"/>
      <c r="U776" s="53" t="n"/>
      <c r="V776" s="53" t="n"/>
      <c r="W776" s="47" t="n"/>
      <c r="X776" s="47" t="n"/>
      <c r="Y776" s="47" t="n"/>
      <c r="Z776" s="47" t="n"/>
      <c r="AA776" s="47" t="n"/>
      <c r="AB776" s="47" t="n"/>
      <c r="AC776" s="47" t="n"/>
      <c r="AD776" s="47" t="n"/>
      <c r="AE776" s="47" t="n"/>
      <c r="AF776" s="20">
        <f>IF(A776="","",YEAR(EDATE(A776,-3)))</f>
        <v/>
      </c>
      <c r="AG776" s="20">
        <f>IF(OR(B776="",'経歴簿'!$C$4=""),"",IF(B776&amp;""='経歴簿'!$C$4&amp;"",MAX($AG$4:AG775)+1,""))</f>
        <v/>
      </c>
      <c r="AH776" s="20">
        <f>IF(A776="",0,IF(AND(OR('CSV抽出'!$C$4="",A776&gt;='CSV抽出'!$C$4),OR('CSV抽出'!$C$5="",A776&lt;='CSV抽出'!$C$5),OR('CSV抽出'!$C$6="すべて",'CSV抽出'!$C$6="",D776='CSV抽出'!$C$6),OR('CSV抽出'!$C$7="",B776&amp;""='CSV抽出'!$C$7&amp;"")),1,0))</f>
        <v/>
      </c>
      <c r="AI776" s="20">
        <f>IF(AH776=1,SUM($AH$5:AH776),"")</f>
        <v/>
      </c>
      <c r="AJ776" s="20">
        <f>IF(OR(S776="",'報告書'!$C$4=""),"",IF(S776&amp;""='報告書'!$C$4&amp;"",COUNTIF($S$5:S776,'報告書'!$C$4),""))</f>
        <v/>
      </c>
      <c r="AK776" s="20" t="n"/>
      <c r="AL776" s="47" t="n"/>
      <c r="AM776" s="47" t="n"/>
      <c r="AN776" s="53" t="n"/>
      <c r="AO776" s="47" t="n"/>
      <c r="AP776" s="47" t="n"/>
      <c r="AQ776" s="47" t="n"/>
      <c r="AR776" s="47" t="n"/>
      <c r="AS776" s="47" t="n"/>
      <c r="AT776" s="47" t="n"/>
      <c r="AU776" s="47" t="n"/>
      <c r="AV776" s="47" t="n"/>
      <c r="AW776" s="52" t="n"/>
    </row>
    <row r="777">
      <c r="A777" s="48" t="n"/>
      <c r="B777" s="52" t="n"/>
      <c r="C777" s="47">
        <f>IF(B777="","",IFERROR(INDEX('隊員マスタ'!$B$5:$B$204,MATCH(B777&amp;"",'隊員マスタ'!$F$5:$F$204,0)),IF(AK777="","番号なし",AK777)))</f>
        <v/>
      </c>
      <c r="D777" s="47" t="n"/>
      <c r="E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  <c r="N777" s="47" t="n"/>
      <c r="O777" s="47" t="n"/>
      <c r="P777" s="47" t="n"/>
      <c r="Q777" s="47" t="n"/>
      <c r="R777" s="47" t="n"/>
      <c r="S777" s="47" t="n"/>
      <c r="T777" s="47" t="n"/>
      <c r="U777" s="53" t="n"/>
      <c r="V777" s="53" t="n"/>
      <c r="W777" s="47" t="n"/>
      <c r="X777" s="47" t="n"/>
      <c r="Y777" s="47" t="n"/>
      <c r="Z777" s="47" t="n"/>
      <c r="AA777" s="47" t="n"/>
      <c r="AB777" s="47" t="n"/>
      <c r="AC777" s="47" t="n"/>
      <c r="AD777" s="47" t="n"/>
      <c r="AE777" s="47" t="n"/>
      <c r="AF777" s="20">
        <f>IF(A777="","",YEAR(EDATE(A777,-3)))</f>
        <v/>
      </c>
      <c r="AG777" s="20">
        <f>IF(OR(B777="",'経歴簿'!$C$4=""),"",IF(B777&amp;""='経歴簿'!$C$4&amp;"",MAX($AG$4:AG776)+1,""))</f>
        <v/>
      </c>
      <c r="AH777" s="20">
        <f>IF(A777="",0,IF(AND(OR('CSV抽出'!$C$4="",A777&gt;='CSV抽出'!$C$4),OR('CSV抽出'!$C$5="",A777&lt;='CSV抽出'!$C$5),OR('CSV抽出'!$C$6="すべて",'CSV抽出'!$C$6="",D777='CSV抽出'!$C$6),OR('CSV抽出'!$C$7="",B777&amp;""='CSV抽出'!$C$7&amp;"")),1,0))</f>
        <v/>
      </c>
      <c r="AI777" s="20">
        <f>IF(AH777=1,SUM($AH$5:AH777),"")</f>
        <v/>
      </c>
      <c r="AJ777" s="20">
        <f>IF(OR(S777="",'報告書'!$C$4=""),"",IF(S777&amp;""='報告書'!$C$4&amp;"",COUNTIF($S$5:S777,'報告書'!$C$4),""))</f>
        <v/>
      </c>
      <c r="AK777" s="20" t="n"/>
      <c r="AL777" s="47" t="n"/>
      <c r="AM777" s="47" t="n"/>
      <c r="AN777" s="53" t="n"/>
      <c r="AO777" s="47" t="n"/>
      <c r="AP777" s="47" t="n"/>
      <c r="AQ777" s="47" t="n"/>
      <c r="AR777" s="47" t="n"/>
      <c r="AS777" s="47" t="n"/>
      <c r="AT777" s="47" t="n"/>
      <c r="AU777" s="47" t="n"/>
      <c r="AV777" s="47" t="n"/>
      <c r="AW777" s="52" t="n"/>
    </row>
    <row r="778">
      <c r="A778" s="48" t="n"/>
      <c r="B778" s="52" t="n"/>
      <c r="C778" s="47">
        <f>IF(B778="","",IFERROR(INDEX('隊員マスタ'!$B$5:$B$204,MATCH(B778&amp;"",'隊員マスタ'!$F$5:$F$204,0)),IF(AK778="","番号なし",AK778)))</f>
        <v/>
      </c>
      <c r="D778" s="47" t="n"/>
      <c r="E778" s="47" t="n"/>
      <c r="F778" s="47" t="n"/>
      <c r="G778" s="47" t="n"/>
      <c r="H778" s="47" t="n"/>
      <c r="I778" s="47" t="n"/>
      <c r="J778" s="47" t="n"/>
      <c r="K778" s="47" t="n"/>
      <c r="L778" s="47" t="n"/>
      <c r="M778" s="47" t="n"/>
      <c r="N778" s="47" t="n"/>
      <c r="O778" s="47" t="n"/>
      <c r="P778" s="47" t="n"/>
      <c r="Q778" s="47" t="n"/>
      <c r="R778" s="47" t="n"/>
      <c r="S778" s="47" t="n"/>
      <c r="T778" s="47" t="n"/>
      <c r="U778" s="53" t="n"/>
      <c r="V778" s="53" t="n"/>
      <c r="W778" s="47" t="n"/>
      <c r="X778" s="47" t="n"/>
      <c r="Y778" s="47" t="n"/>
      <c r="Z778" s="47" t="n"/>
      <c r="AA778" s="47" t="n"/>
      <c r="AB778" s="47" t="n"/>
      <c r="AC778" s="47" t="n"/>
      <c r="AD778" s="47" t="n"/>
      <c r="AE778" s="47" t="n"/>
      <c r="AF778" s="20">
        <f>IF(A778="","",YEAR(EDATE(A778,-3)))</f>
        <v/>
      </c>
      <c r="AG778" s="20">
        <f>IF(OR(B778="",'経歴簿'!$C$4=""),"",IF(B778&amp;""='経歴簿'!$C$4&amp;"",MAX($AG$4:AG777)+1,""))</f>
        <v/>
      </c>
      <c r="AH778" s="20">
        <f>IF(A778="",0,IF(AND(OR('CSV抽出'!$C$4="",A778&gt;='CSV抽出'!$C$4),OR('CSV抽出'!$C$5="",A778&lt;='CSV抽出'!$C$5),OR('CSV抽出'!$C$6="すべて",'CSV抽出'!$C$6="",D778='CSV抽出'!$C$6),OR('CSV抽出'!$C$7="",B778&amp;""='CSV抽出'!$C$7&amp;"")),1,0))</f>
        <v/>
      </c>
      <c r="AI778" s="20">
        <f>IF(AH778=1,SUM($AH$5:AH778),"")</f>
        <v/>
      </c>
      <c r="AJ778" s="20">
        <f>IF(OR(S778="",'報告書'!$C$4=""),"",IF(S778&amp;""='報告書'!$C$4&amp;"",COUNTIF($S$5:S778,'報告書'!$C$4),""))</f>
        <v/>
      </c>
      <c r="AK778" s="20" t="n"/>
      <c r="AL778" s="47" t="n"/>
      <c r="AM778" s="47" t="n"/>
      <c r="AN778" s="53" t="n"/>
      <c r="AO778" s="47" t="n"/>
      <c r="AP778" s="47" t="n"/>
      <c r="AQ778" s="47" t="n"/>
      <c r="AR778" s="47" t="n"/>
      <c r="AS778" s="47" t="n"/>
      <c r="AT778" s="47" t="n"/>
      <c r="AU778" s="47" t="n"/>
      <c r="AV778" s="47" t="n"/>
      <c r="AW778" s="52" t="n"/>
    </row>
    <row r="779">
      <c r="A779" s="48" t="n"/>
      <c r="B779" s="52" t="n"/>
      <c r="C779" s="47">
        <f>IF(B779="","",IFERROR(INDEX('隊員マスタ'!$B$5:$B$204,MATCH(B779&amp;"",'隊員マスタ'!$F$5:$F$204,0)),IF(AK779="","番号なし",AK779)))</f>
        <v/>
      </c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  <c r="N779" s="47" t="n"/>
      <c r="O779" s="47" t="n"/>
      <c r="P779" s="47" t="n"/>
      <c r="Q779" s="47" t="n"/>
      <c r="R779" s="47" t="n"/>
      <c r="S779" s="47" t="n"/>
      <c r="T779" s="47" t="n"/>
      <c r="U779" s="53" t="n"/>
      <c r="V779" s="53" t="n"/>
      <c r="W779" s="47" t="n"/>
      <c r="X779" s="47" t="n"/>
      <c r="Y779" s="47" t="n"/>
      <c r="Z779" s="47" t="n"/>
      <c r="AA779" s="47" t="n"/>
      <c r="AB779" s="47" t="n"/>
      <c r="AC779" s="47" t="n"/>
      <c r="AD779" s="47" t="n"/>
      <c r="AE779" s="47" t="n"/>
      <c r="AF779" s="20">
        <f>IF(A779="","",YEAR(EDATE(A779,-3)))</f>
        <v/>
      </c>
      <c r="AG779" s="20">
        <f>IF(OR(B779="",'経歴簿'!$C$4=""),"",IF(B779&amp;""='経歴簿'!$C$4&amp;"",MAX($AG$4:AG778)+1,""))</f>
        <v/>
      </c>
      <c r="AH779" s="20">
        <f>IF(A779="",0,IF(AND(OR('CSV抽出'!$C$4="",A779&gt;='CSV抽出'!$C$4),OR('CSV抽出'!$C$5="",A779&lt;='CSV抽出'!$C$5),OR('CSV抽出'!$C$6="すべて",'CSV抽出'!$C$6="",D779='CSV抽出'!$C$6),OR('CSV抽出'!$C$7="",B779&amp;""='CSV抽出'!$C$7&amp;"")),1,0))</f>
        <v/>
      </c>
      <c r="AI779" s="20">
        <f>IF(AH779=1,SUM($AH$5:AH779),"")</f>
        <v/>
      </c>
      <c r="AJ779" s="20">
        <f>IF(OR(S779="",'報告書'!$C$4=""),"",IF(S779&amp;""='報告書'!$C$4&amp;"",COUNTIF($S$5:S779,'報告書'!$C$4),""))</f>
        <v/>
      </c>
      <c r="AK779" s="20" t="n"/>
      <c r="AL779" s="47" t="n"/>
      <c r="AM779" s="47" t="n"/>
      <c r="AN779" s="53" t="n"/>
      <c r="AO779" s="47" t="n"/>
      <c r="AP779" s="47" t="n"/>
      <c r="AQ779" s="47" t="n"/>
      <c r="AR779" s="47" t="n"/>
      <c r="AS779" s="47" t="n"/>
      <c r="AT779" s="47" t="n"/>
      <c r="AU779" s="47" t="n"/>
      <c r="AV779" s="47" t="n"/>
      <c r="AW779" s="52" t="n"/>
    </row>
    <row r="780">
      <c r="A780" s="48" t="n"/>
      <c r="B780" s="52" t="n"/>
      <c r="C780" s="47">
        <f>IF(B780="","",IFERROR(INDEX('隊員マスタ'!$B$5:$B$204,MATCH(B780&amp;"",'隊員マスタ'!$F$5:$F$204,0)),IF(AK780="","番号なし",AK780)))</f>
        <v/>
      </c>
      <c r="D780" s="47" t="n"/>
      <c r="E780" s="47" t="n"/>
      <c r="F780" s="47" t="n"/>
      <c r="G780" s="47" t="n"/>
      <c r="H780" s="47" t="n"/>
      <c r="I780" s="47" t="n"/>
      <c r="J780" s="47" t="n"/>
      <c r="K780" s="47" t="n"/>
      <c r="L780" s="47" t="n"/>
      <c r="M780" s="47" t="n"/>
      <c r="N780" s="47" t="n"/>
      <c r="O780" s="47" t="n"/>
      <c r="P780" s="47" t="n"/>
      <c r="Q780" s="47" t="n"/>
      <c r="R780" s="47" t="n"/>
      <c r="S780" s="47" t="n"/>
      <c r="T780" s="47" t="n"/>
      <c r="U780" s="53" t="n"/>
      <c r="V780" s="53" t="n"/>
      <c r="W780" s="47" t="n"/>
      <c r="X780" s="47" t="n"/>
      <c r="Y780" s="47" t="n"/>
      <c r="Z780" s="47" t="n"/>
      <c r="AA780" s="47" t="n"/>
      <c r="AB780" s="47" t="n"/>
      <c r="AC780" s="47" t="n"/>
      <c r="AD780" s="47" t="n"/>
      <c r="AE780" s="47" t="n"/>
      <c r="AF780" s="20">
        <f>IF(A780="","",YEAR(EDATE(A780,-3)))</f>
        <v/>
      </c>
      <c r="AG780" s="20">
        <f>IF(OR(B780="",'経歴簿'!$C$4=""),"",IF(B780&amp;""='経歴簿'!$C$4&amp;"",MAX($AG$4:AG779)+1,""))</f>
        <v/>
      </c>
      <c r="AH780" s="20">
        <f>IF(A780="",0,IF(AND(OR('CSV抽出'!$C$4="",A780&gt;='CSV抽出'!$C$4),OR('CSV抽出'!$C$5="",A780&lt;='CSV抽出'!$C$5),OR('CSV抽出'!$C$6="すべて",'CSV抽出'!$C$6="",D780='CSV抽出'!$C$6),OR('CSV抽出'!$C$7="",B780&amp;""='CSV抽出'!$C$7&amp;"")),1,0))</f>
        <v/>
      </c>
      <c r="AI780" s="20">
        <f>IF(AH780=1,SUM($AH$5:AH780),"")</f>
        <v/>
      </c>
      <c r="AJ780" s="20">
        <f>IF(OR(S780="",'報告書'!$C$4=""),"",IF(S780&amp;""='報告書'!$C$4&amp;"",COUNTIF($S$5:S780,'報告書'!$C$4),""))</f>
        <v/>
      </c>
      <c r="AK780" s="20" t="n"/>
      <c r="AL780" s="47" t="n"/>
      <c r="AM780" s="47" t="n"/>
      <c r="AN780" s="53" t="n"/>
      <c r="AO780" s="47" t="n"/>
      <c r="AP780" s="47" t="n"/>
      <c r="AQ780" s="47" t="n"/>
      <c r="AR780" s="47" t="n"/>
      <c r="AS780" s="47" t="n"/>
      <c r="AT780" s="47" t="n"/>
      <c r="AU780" s="47" t="n"/>
      <c r="AV780" s="47" t="n"/>
      <c r="AW780" s="52" t="n"/>
    </row>
    <row r="781">
      <c r="A781" s="48" t="n"/>
      <c r="B781" s="52" t="n"/>
      <c r="C781" s="47">
        <f>IF(B781="","",IFERROR(INDEX('隊員マスタ'!$B$5:$B$204,MATCH(B781&amp;"",'隊員マスタ'!$F$5:$F$204,0)),IF(AK781="","番号なし",AK781)))</f>
        <v/>
      </c>
      <c r="D781" s="47" t="n"/>
      <c r="E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  <c r="N781" s="47" t="n"/>
      <c r="O781" s="47" t="n"/>
      <c r="P781" s="47" t="n"/>
      <c r="Q781" s="47" t="n"/>
      <c r="R781" s="47" t="n"/>
      <c r="S781" s="47" t="n"/>
      <c r="T781" s="47" t="n"/>
      <c r="U781" s="53" t="n"/>
      <c r="V781" s="53" t="n"/>
      <c r="W781" s="47" t="n"/>
      <c r="X781" s="47" t="n"/>
      <c r="Y781" s="47" t="n"/>
      <c r="Z781" s="47" t="n"/>
      <c r="AA781" s="47" t="n"/>
      <c r="AB781" s="47" t="n"/>
      <c r="AC781" s="47" t="n"/>
      <c r="AD781" s="47" t="n"/>
      <c r="AE781" s="47" t="n"/>
      <c r="AF781" s="20">
        <f>IF(A781="","",YEAR(EDATE(A781,-3)))</f>
        <v/>
      </c>
      <c r="AG781" s="20">
        <f>IF(OR(B781="",'経歴簿'!$C$4=""),"",IF(B781&amp;""='経歴簿'!$C$4&amp;"",MAX($AG$4:AG780)+1,""))</f>
        <v/>
      </c>
      <c r="AH781" s="20">
        <f>IF(A781="",0,IF(AND(OR('CSV抽出'!$C$4="",A781&gt;='CSV抽出'!$C$4),OR('CSV抽出'!$C$5="",A781&lt;='CSV抽出'!$C$5),OR('CSV抽出'!$C$6="すべて",'CSV抽出'!$C$6="",D781='CSV抽出'!$C$6),OR('CSV抽出'!$C$7="",B781&amp;""='CSV抽出'!$C$7&amp;"")),1,0))</f>
        <v/>
      </c>
      <c r="AI781" s="20">
        <f>IF(AH781=1,SUM($AH$5:AH781),"")</f>
        <v/>
      </c>
      <c r="AJ781" s="20">
        <f>IF(OR(S781="",'報告書'!$C$4=""),"",IF(S781&amp;""='報告書'!$C$4&amp;"",COUNTIF($S$5:S781,'報告書'!$C$4),""))</f>
        <v/>
      </c>
      <c r="AK781" s="20" t="n"/>
      <c r="AL781" s="47" t="n"/>
      <c r="AM781" s="47" t="n"/>
      <c r="AN781" s="53" t="n"/>
      <c r="AO781" s="47" t="n"/>
      <c r="AP781" s="47" t="n"/>
      <c r="AQ781" s="47" t="n"/>
      <c r="AR781" s="47" t="n"/>
      <c r="AS781" s="47" t="n"/>
      <c r="AT781" s="47" t="n"/>
      <c r="AU781" s="47" t="n"/>
      <c r="AV781" s="47" t="n"/>
      <c r="AW781" s="52" t="n"/>
    </row>
    <row r="782">
      <c r="A782" s="48" t="n"/>
      <c r="B782" s="52" t="n"/>
      <c r="C782" s="47">
        <f>IF(B782="","",IFERROR(INDEX('隊員マスタ'!$B$5:$B$204,MATCH(B782&amp;"",'隊員マスタ'!$F$5:$F$204,0)),IF(AK782="","番号なし",AK782)))</f>
        <v/>
      </c>
      <c r="D782" s="47" t="n"/>
      <c r="E782" s="47" t="n"/>
      <c r="F782" s="47" t="n"/>
      <c r="G782" s="47" t="n"/>
      <c r="H782" s="47" t="n"/>
      <c r="I782" s="47" t="n"/>
      <c r="J782" s="47" t="n"/>
      <c r="K782" s="47" t="n"/>
      <c r="L782" s="47" t="n"/>
      <c r="M782" s="47" t="n"/>
      <c r="N782" s="47" t="n"/>
      <c r="O782" s="47" t="n"/>
      <c r="P782" s="47" t="n"/>
      <c r="Q782" s="47" t="n"/>
      <c r="R782" s="47" t="n"/>
      <c r="S782" s="47" t="n"/>
      <c r="T782" s="47" t="n"/>
      <c r="U782" s="53" t="n"/>
      <c r="V782" s="53" t="n"/>
      <c r="W782" s="47" t="n"/>
      <c r="X782" s="47" t="n"/>
      <c r="Y782" s="47" t="n"/>
      <c r="Z782" s="47" t="n"/>
      <c r="AA782" s="47" t="n"/>
      <c r="AB782" s="47" t="n"/>
      <c r="AC782" s="47" t="n"/>
      <c r="AD782" s="47" t="n"/>
      <c r="AE782" s="47" t="n"/>
      <c r="AF782" s="20">
        <f>IF(A782="","",YEAR(EDATE(A782,-3)))</f>
        <v/>
      </c>
      <c r="AG782" s="20">
        <f>IF(OR(B782="",'経歴簿'!$C$4=""),"",IF(B782&amp;""='経歴簿'!$C$4&amp;"",MAX($AG$4:AG781)+1,""))</f>
        <v/>
      </c>
      <c r="AH782" s="20">
        <f>IF(A782="",0,IF(AND(OR('CSV抽出'!$C$4="",A782&gt;='CSV抽出'!$C$4),OR('CSV抽出'!$C$5="",A782&lt;='CSV抽出'!$C$5),OR('CSV抽出'!$C$6="すべて",'CSV抽出'!$C$6="",D782='CSV抽出'!$C$6),OR('CSV抽出'!$C$7="",B782&amp;""='CSV抽出'!$C$7&amp;"")),1,0))</f>
        <v/>
      </c>
      <c r="AI782" s="20">
        <f>IF(AH782=1,SUM($AH$5:AH782),"")</f>
        <v/>
      </c>
      <c r="AJ782" s="20">
        <f>IF(OR(S782="",'報告書'!$C$4=""),"",IF(S782&amp;""='報告書'!$C$4&amp;"",COUNTIF($S$5:S782,'報告書'!$C$4),""))</f>
        <v/>
      </c>
      <c r="AK782" s="20" t="n"/>
      <c r="AL782" s="47" t="n"/>
      <c r="AM782" s="47" t="n"/>
      <c r="AN782" s="53" t="n"/>
      <c r="AO782" s="47" t="n"/>
      <c r="AP782" s="47" t="n"/>
      <c r="AQ782" s="47" t="n"/>
      <c r="AR782" s="47" t="n"/>
      <c r="AS782" s="47" t="n"/>
      <c r="AT782" s="47" t="n"/>
      <c r="AU782" s="47" t="n"/>
      <c r="AV782" s="47" t="n"/>
      <c r="AW782" s="52" t="n"/>
    </row>
    <row r="783">
      <c r="A783" s="48" t="n"/>
      <c r="B783" s="52" t="n"/>
      <c r="C783" s="47">
        <f>IF(B783="","",IFERROR(INDEX('隊員マスタ'!$B$5:$B$204,MATCH(B783&amp;"",'隊員マスタ'!$F$5:$F$204,0)),IF(AK783="","番号なし",AK783)))</f>
        <v/>
      </c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  <c r="N783" s="47" t="n"/>
      <c r="O783" s="47" t="n"/>
      <c r="P783" s="47" t="n"/>
      <c r="Q783" s="47" t="n"/>
      <c r="R783" s="47" t="n"/>
      <c r="S783" s="47" t="n"/>
      <c r="T783" s="47" t="n"/>
      <c r="U783" s="53" t="n"/>
      <c r="V783" s="53" t="n"/>
      <c r="W783" s="47" t="n"/>
      <c r="X783" s="47" t="n"/>
      <c r="Y783" s="47" t="n"/>
      <c r="Z783" s="47" t="n"/>
      <c r="AA783" s="47" t="n"/>
      <c r="AB783" s="47" t="n"/>
      <c r="AC783" s="47" t="n"/>
      <c r="AD783" s="47" t="n"/>
      <c r="AE783" s="47" t="n"/>
      <c r="AF783" s="20">
        <f>IF(A783="","",YEAR(EDATE(A783,-3)))</f>
        <v/>
      </c>
      <c r="AG783" s="20">
        <f>IF(OR(B783="",'経歴簿'!$C$4=""),"",IF(B783&amp;""='経歴簿'!$C$4&amp;"",MAX($AG$4:AG782)+1,""))</f>
        <v/>
      </c>
      <c r="AH783" s="20">
        <f>IF(A783="",0,IF(AND(OR('CSV抽出'!$C$4="",A783&gt;='CSV抽出'!$C$4),OR('CSV抽出'!$C$5="",A783&lt;='CSV抽出'!$C$5),OR('CSV抽出'!$C$6="すべて",'CSV抽出'!$C$6="",D783='CSV抽出'!$C$6),OR('CSV抽出'!$C$7="",B783&amp;""='CSV抽出'!$C$7&amp;"")),1,0))</f>
        <v/>
      </c>
      <c r="AI783" s="20">
        <f>IF(AH783=1,SUM($AH$5:AH783),"")</f>
        <v/>
      </c>
      <c r="AJ783" s="20">
        <f>IF(OR(S783="",'報告書'!$C$4=""),"",IF(S783&amp;""='報告書'!$C$4&amp;"",COUNTIF($S$5:S783,'報告書'!$C$4),""))</f>
        <v/>
      </c>
      <c r="AK783" s="20" t="n"/>
      <c r="AL783" s="47" t="n"/>
      <c r="AM783" s="47" t="n"/>
      <c r="AN783" s="53" t="n"/>
      <c r="AO783" s="47" t="n"/>
      <c r="AP783" s="47" t="n"/>
      <c r="AQ783" s="47" t="n"/>
      <c r="AR783" s="47" t="n"/>
      <c r="AS783" s="47" t="n"/>
      <c r="AT783" s="47" t="n"/>
      <c r="AU783" s="47" t="n"/>
      <c r="AV783" s="47" t="n"/>
      <c r="AW783" s="52" t="n"/>
    </row>
    <row r="784">
      <c r="A784" s="48" t="n"/>
      <c r="B784" s="52" t="n"/>
      <c r="C784" s="47">
        <f>IF(B784="","",IFERROR(INDEX('隊員マスタ'!$B$5:$B$204,MATCH(B784&amp;"",'隊員マスタ'!$F$5:$F$204,0)),IF(AK784="","番号なし",AK784)))</f>
        <v/>
      </c>
      <c r="D784" s="47" t="n"/>
      <c r="E784" s="47" t="n"/>
      <c r="F784" s="47" t="n"/>
      <c r="G784" s="47" t="n"/>
      <c r="H784" s="47" t="n"/>
      <c r="I784" s="47" t="n"/>
      <c r="J784" s="47" t="n"/>
      <c r="K784" s="47" t="n"/>
      <c r="L784" s="47" t="n"/>
      <c r="M784" s="47" t="n"/>
      <c r="N784" s="47" t="n"/>
      <c r="O784" s="47" t="n"/>
      <c r="P784" s="47" t="n"/>
      <c r="Q784" s="47" t="n"/>
      <c r="R784" s="47" t="n"/>
      <c r="S784" s="47" t="n"/>
      <c r="T784" s="47" t="n"/>
      <c r="U784" s="53" t="n"/>
      <c r="V784" s="53" t="n"/>
      <c r="W784" s="47" t="n"/>
      <c r="X784" s="47" t="n"/>
      <c r="Y784" s="47" t="n"/>
      <c r="Z784" s="47" t="n"/>
      <c r="AA784" s="47" t="n"/>
      <c r="AB784" s="47" t="n"/>
      <c r="AC784" s="47" t="n"/>
      <c r="AD784" s="47" t="n"/>
      <c r="AE784" s="47" t="n"/>
      <c r="AF784" s="20">
        <f>IF(A784="","",YEAR(EDATE(A784,-3)))</f>
        <v/>
      </c>
      <c r="AG784" s="20">
        <f>IF(OR(B784="",'経歴簿'!$C$4=""),"",IF(B784&amp;""='経歴簿'!$C$4&amp;"",MAX($AG$4:AG783)+1,""))</f>
        <v/>
      </c>
      <c r="AH784" s="20">
        <f>IF(A784="",0,IF(AND(OR('CSV抽出'!$C$4="",A784&gt;='CSV抽出'!$C$4),OR('CSV抽出'!$C$5="",A784&lt;='CSV抽出'!$C$5),OR('CSV抽出'!$C$6="すべて",'CSV抽出'!$C$6="",D784='CSV抽出'!$C$6),OR('CSV抽出'!$C$7="",B784&amp;""='CSV抽出'!$C$7&amp;"")),1,0))</f>
        <v/>
      </c>
      <c r="AI784" s="20">
        <f>IF(AH784=1,SUM($AH$5:AH784),"")</f>
        <v/>
      </c>
      <c r="AJ784" s="20">
        <f>IF(OR(S784="",'報告書'!$C$4=""),"",IF(S784&amp;""='報告書'!$C$4&amp;"",COUNTIF($S$5:S784,'報告書'!$C$4),""))</f>
        <v/>
      </c>
      <c r="AK784" s="20" t="n"/>
      <c r="AL784" s="47" t="n"/>
      <c r="AM784" s="47" t="n"/>
      <c r="AN784" s="53" t="n"/>
      <c r="AO784" s="47" t="n"/>
      <c r="AP784" s="47" t="n"/>
      <c r="AQ784" s="47" t="n"/>
      <c r="AR784" s="47" t="n"/>
      <c r="AS784" s="47" t="n"/>
      <c r="AT784" s="47" t="n"/>
      <c r="AU784" s="47" t="n"/>
      <c r="AV784" s="47" t="n"/>
      <c r="AW784" s="52" t="n"/>
    </row>
    <row r="785">
      <c r="A785" s="48" t="n"/>
      <c r="B785" s="52" t="n"/>
      <c r="C785" s="47">
        <f>IF(B785="","",IFERROR(INDEX('隊員マスタ'!$B$5:$B$204,MATCH(B785&amp;"",'隊員マスタ'!$F$5:$F$204,0)),IF(AK785="","番号なし",AK785)))</f>
        <v/>
      </c>
      <c r="D785" s="47" t="n"/>
      <c r="E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  <c r="N785" s="47" t="n"/>
      <c r="O785" s="47" t="n"/>
      <c r="P785" s="47" t="n"/>
      <c r="Q785" s="47" t="n"/>
      <c r="R785" s="47" t="n"/>
      <c r="S785" s="47" t="n"/>
      <c r="T785" s="47" t="n"/>
      <c r="U785" s="53" t="n"/>
      <c r="V785" s="53" t="n"/>
      <c r="W785" s="47" t="n"/>
      <c r="X785" s="47" t="n"/>
      <c r="Y785" s="47" t="n"/>
      <c r="Z785" s="47" t="n"/>
      <c r="AA785" s="47" t="n"/>
      <c r="AB785" s="47" t="n"/>
      <c r="AC785" s="47" t="n"/>
      <c r="AD785" s="47" t="n"/>
      <c r="AE785" s="47" t="n"/>
      <c r="AF785" s="20">
        <f>IF(A785="","",YEAR(EDATE(A785,-3)))</f>
        <v/>
      </c>
      <c r="AG785" s="20">
        <f>IF(OR(B785="",'経歴簿'!$C$4=""),"",IF(B785&amp;""='経歴簿'!$C$4&amp;"",MAX($AG$4:AG784)+1,""))</f>
        <v/>
      </c>
      <c r="AH785" s="20">
        <f>IF(A785="",0,IF(AND(OR('CSV抽出'!$C$4="",A785&gt;='CSV抽出'!$C$4),OR('CSV抽出'!$C$5="",A785&lt;='CSV抽出'!$C$5),OR('CSV抽出'!$C$6="すべて",'CSV抽出'!$C$6="",D785='CSV抽出'!$C$6),OR('CSV抽出'!$C$7="",B785&amp;""='CSV抽出'!$C$7&amp;"")),1,0))</f>
        <v/>
      </c>
      <c r="AI785" s="20">
        <f>IF(AH785=1,SUM($AH$5:AH785),"")</f>
        <v/>
      </c>
      <c r="AJ785" s="20">
        <f>IF(OR(S785="",'報告書'!$C$4=""),"",IF(S785&amp;""='報告書'!$C$4&amp;"",COUNTIF($S$5:S785,'報告書'!$C$4),""))</f>
        <v/>
      </c>
      <c r="AK785" s="20" t="n"/>
      <c r="AL785" s="47" t="n"/>
      <c r="AM785" s="47" t="n"/>
      <c r="AN785" s="53" t="n"/>
      <c r="AO785" s="47" t="n"/>
      <c r="AP785" s="47" t="n"/>
      <c r="AQ785" s="47" t="n"/>
      <c r="AR785" s="47" t="n"/>
      <c r="AS785" s="47" t="n"/>
      <c r="AT785" s="47" t="n"/>
      <c r="AU785" s="47" t="n"/>
      <c r="AV785" s="47" t="n"/>
      <c r="AW785" s="52" t="n"/>
    </row>
    <row r="786">
      <c r="A786" s="48" t="n"/>
      <c r="B786" s="52" t="n"/>
      <c r="C786" s="47">
        <f>IF(B786="","",IFERROR(INDEX('隊員マスタ'!$B$5:$B$204,MATCH(B786&amp;"",'隊員マスタ'!$F$5:$F$204,0)),IF(AK786="","番号なし",AK786)))</f>
        <v/>
      </c>
      <c r="D786" s="47" t="n"/>
      <c r="E786" s="47" t="n"/>
      <c r="F786" s="47" t="n"/>
      <c r="G786" s="47" t="n"/>
      <c r="H786" s="47" t="n"/>
      <c r="I786" s="47" t="n"/>
      <c r="J786" s="47" t="n"/>
      <c r="K786" s="47" t="n"/>
      <c r="L786" s="47" t="n"/>
      <c r="M786" s="47" t="n"/>
      <c r="N786" s="47" t="n"/>
      <c r="O786" s="47" t="n"/>
      <c r="P786" s="47" t="n"/>
      <c r="Q786" s="47" t="n"/>
      <c r="R786" s="47" t="n"/>
      <c r="S786" s="47" t="n"/>
      <c r="T786" s="47" t="n"/>
      <c r="U786" s="53" t="n"/>
      <c r="V786" s="53" t="n"/>
      <c r="W786" s="47" t="n"/>
      <c r="X786" s="47" t="n"/>
      <c r="Y786" s="47" t="n"/>
      <c r="Z786" s="47" t="n"/>
      <c r="AA786" s="47" t="n"/>
      <c r="AB786" s="47" t="n"/>
      <c r="AC786" s="47" t="n"/>
      <c r="AD786" s="47" t="n"/>
      <c r="AE786" s="47" t="n"/>
      <c r="AF786" s="20">
        <f>IF(A786="","",YEAR(EDATE(A786,-3)))</f>
        <v/>
      </c>
      <c r="AG786" s="20">
        <f>IF(OR(B786="",'経歴簿'!$C$4=""),"",IF(B786&amp;""='経歴簿'!$C$4&amp;"",MAX($AG$4:AG785)+1,""))</f>
        <v/>
      </c>
      <c r="AH786" s="20">
        <f>IF(A786="",0,IF(AND(OR('CSV抽出'!$C$4="",A786&gt;='CSV抽出'!$C$4),OR('CSV抽出'!$C$5="",A786&lt;='CSV抽出'!$C$5),OR('CSV抽出'!$C$6="すべて",'CSV抽出'!$C$6="",D786='CSV抽出'!$C$6),OR('CSV抽出'!$C$7="",B786&amp;""='CSV抽出'!$C$7&amp;"")),1,0))</f>
        <v/>
      </c>
      <c r="AI786" s="20">
        <f>IF(AH786=1,SUM($AH$5:AH786),"")</f>
        <v/>
      </c>
      <c r="AJ786" s="20">
        <f>IF(OR(S786="",'報告書'!$C$4=""),"",IF(S786&amp;""='報告書'!$C$4&amp;"",COUNTIF($S$5:S786,'報告書'!$C$4),""))</f>
        <v/>
      </c>
      <c r="AK786" s="20" t="n"/>
      <c r="AL786" s="47" t="n"/>
      <c r="AM786" s="47" t="n"/>
      <c r="AN786" s="53" t="n"/>
      <c r="AO786" s="47" t="n"/>
      <c r="AP786" s="47" t="n"/>
      <c r="AQ786" s="47" t="n"/>
      <c r="AR786" s="47" t="n"/>
      <c r="AS786" s="47" t="n"/>
      <c r="AT786" s="47" t="n"/>
      <c r="AU786" s="47" t="n"/>
      <c r="AV786" s="47" t="n"/>
      <c r="AW786" s="52" t="n"/>
    </row>
    <row r="787">
      <c r="A787" s="48" t="n"/>
      <c r="B787" s="52" t="n"/>
      <c r="C787" s="47">
        <f>IF(B787="","",IFERROR(INDEX('隊員マスタ'!$B$5:$B$204,MATCH(B787&amp;"",'隊員マスタ'!$F$5:$F$204,0)),IF(AK787="","番号なし",AK787)))</f>
        <v/>
      </c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  <c r="N787" s="47" t="n"/>
      <c r="O787" s="47" t="n"/>
      <c r="P787" s="47" t="n"/>
      <c r="Q787" s="47" t="n"/>
      <c r="R787" s="47" t="n"/>
      <c r="S787" s="47" t="n"/>
      <c r="T787" s="47" t="n"/>
      <c r="U787" s="53" t="n"/>
      <c r="V787" s="53" t="n"/>
      <c r="W787" s="47" t="n"/>
      <c r="X787" s="47" t="n"/>
      <c r="Y787" s="47" t="n"/>
      <c r="Z787" s="47" t="n"/>
      <c r="AA787" s="47" t="n"/>
      <c r="AB787" s="47" t="n"/>
      <c r="AC787" s="47" t="n"/>
      <c r="AD787" s="47" t="n"/>
      <c r="AE787" s="47" t="n"/>
      <c r="AF787" s="20">
        <f>IF(A787="","",YEAR(EDATE(A787,-3)))</f>
        <v/>
      </c>
      <c r="AG787" s="20">
        <f>IF(OR(B787="",'経歴簿'!$C$4=""),"",IF(B787&amp;""='経歴簿'!$C$4&amp;"",MAX($AG$4:AG786)+1,""))</f>
        <v/>
      </c>
      <c r="AH787" s="20">
        <f>IF(A787="",0,IF(AND(OR('CSV抽出'!$C$4="",A787&gt;='CSV抽出'!$C$4),OR('CSV抽出'!$C$5="",A787&lt;='CSV抽出'!$C$5),OR('CSV抽出'!$C$6="すべて",'CSV抽出'!$C$6="",D787='CSV抽出'!$C$6),OR('CSV抽出'!$C$7="",B787&amp;""='CSV抽出'!$C$7&amp;"")),1,0))</f>
        <v/>
      </c>
      <c r="AI787" s="20">
        <f>IF(AH787=1,SUM($AH$5:AH787),"")</f>
        <v/>
      </c>
      <c r="AJ787" s="20">
        <f>IF(OR(S787="",'報告書'!$C$4=""),"",IF(S787&amp;""='報告書'!$C$4&amp;"",COUNTIF($S$5:S787,'報告書'!$C$4),""))</f>
        <v/>
      </c>
      <c r="AK787" s="20" t="n"/>
      <c r="AL787" s="47" t="n"/>
      <c r="AM787" s="47" t="n"/>
      <c r="AN787" s="53" t="n"/>
      <c r="AO787" s="47" t="n"/>
      <c r="AP787" s="47" t="n"/>
      <c r="AQ787" s="47" t="n"/>
      <c r="AR787" s="47" t="n"/>
      <c r="AS787" s="47" t="n"/>
      <c r="AT787" s="47" t="n"/>
      <c r="AU787" s="47" t="n"/>
      <c r="AV787" s="47" t="n"/>
      <c r="AW787" s="52" t="n"/>
    </row>
    <row r="788">
      <c r="A788" s="48" t="n"/>
      <c r="B788" s="52" t="n"/>
      <c r="C788" s="47">
        <f>IF(B788="","",IFERROR(INDEX('隊員マスタ'!$B$5:$B$204,MATCH(B788&amp;"",'隊員マスタ'!$F$5:$F$204,0)),IF(AK788="","番号なし",AK788)))</f>
        <v/>
      </c>
      <c r="D788" s="47" t="n"/>
      <c r="E788" s="47" t="n"/>
      <c r="F788" s="47" t="n"/>
      <c r="G788" s="47" t="n"/>
      <c r="H788" s="47" t="n"/>
      <c r="I788" s="47" t="n"/>
      <c r="J788" s="47" t="n"/>
      <c r="K788" s="47" t="n"/>
      <c r="L788" s="47" t="n"/>
      <c r="M788" s="47" t="n"/>
      <c r="N788" s="47" t="n"/>
      <c r="O788" s="47" t="n"/>
      <c r="P788" s="47" t="n"/>
      <c r="Q788" s="47" t="n"/>
      <c r="R788" s="47" t="n"/>
      <c r="S788" s="47" t="n"/>
      <c r="T788" s="47" t="n"/>
      <c r="U788" s="53" t="n"/>
      <c r="V788" s="53" t="n"/>
      <c r="W788" s="47" t="n"/>
      <c r="X788" s="47" t="n"/>
      <c r="Y788" s="47" t="n"/>
      <c r="Z788" s="47" t="n"/>
      <c r="AA788" s="47" t="n"/>
      <c r="AB788" s="47" t="n"/>
      <c r="AC788" s="47" t="n"/>
      <c r="AD788" s="47" t="n"/>
      <c r="AE788" s="47" t="n"/>
      <c r="AF788" s="20">
        <f>IF(A788="","",YEAR(EDATE(A788,-3)))</f>
        <v/>
      </c>
      <c r="AG788" s="20">
        <f>IF(OR(B788="",'経歴簿'!$C$4=""),"",IF(B788&amp;""='経歴簿'!$C$4&amp;"",MAX($AG$4:AG787)+1,""))</f>
        <v/>
      </c>
      <c r="AH788" s="20">
        <f>IF(A788="",0,IF(AND(OR('CSV抽出'!$C$4="",A788&gt;='CSV抽出'!$C$4),OR('CSV抽出'!$C$5="",A788&lt;='CSV抽出'!$C$5),OR('CSV抽出'!$C$6="すべて",'CSV抽出'!$C$6="",D788='CSV抽出'!$C$6),OR('CSV抽出'!$C$7="",B788&amp;""='CSV抽出'!$C$7&amp;"")),1,0))</f>
        <v/>
      </c>
      <c r="AI788" s="20">
        <f>IF(AH788=1,SUM($AH$5:AH788),"")</f>
        <v/>
      </c>
      <c r="AJ788" s="20">
        <f>IF(OR(S788="",'報告書'!$C$4=""),"",IF(S788&amp;""='報告書'!$C$4&amp;"",COUNTIF($S$5:S788,'報告書'!$C$4),""))</f>
        <v/>
      </c>
      <c r="AK788" s="20" t="n"/>
      <c r="AL788" s="47" t="n"/>
      <c r="AM788" s="47" t="n"/>
      <c r="AN788" s="53" t="n"/>
      <c r="AO788" s="47" t="n"/>
      <c r="AP788" s="47" t="n"/>
      <c r="AQ788" s="47" t="n"/>
      <c r="AR788" s="47" t="n"/>
      <c r="AS788" s="47" t="n"/>
      <c r="AT788" s="47" t="n"/>
      <c r="AU788" s="47" t="n"/>
      <c r="AV788" s="47" t="n"/>
      <c r="AW788" s="52" t="n"/>
    </row>
    <row r="789">
      <c r="A789" s="48" t="n"/>
      <c r="B789" s="52" t="n"/>
      <c r="C789" s="47">
        <f>IF(B789="","",IFERROR(INDEX('隊員マスタ'!$B$5:$B$204,MATCH(B789&amp;"",'隊員マスタ'!$F$5:$F$204,0)),IF(AK789="","番号なし",AK789)))</f>
        <v/>
      </c>
      <c r="D789" s="47" t="n"/>
      <c r="E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  <c r="N789" s="47" t="n"/>
      <c r="O789" s="47" t="n"/>
      <c r="P789" s="47" t="n"/>
      <c r="Q789" s="47" t="n"/>
      <c r="R789" s="47" t="n"/>
      <c r="S789" s="47" t="n"/>
      <c r="T789" s="47" t="n"/>
      <c r="U789" s="53" t="n"/>
      <c r="V789" s="53" t="n"/>
      <c r="W789" s="47" t="n"/>
      <c r="X789" s="47" t="n"/>
      <c r="Y789" s="47" t="n"/>
      <c r="Z789" s="47" t="n"/>
      <c r="AA789" s="47" t="n"/>
      <c r="AB789" s="47" t="n"/>
      <c r="AC789" s="47" t="n"/>
      <c r="AD789" s="47" t="n"/>
      <c r="AE789" s="47" t="n"/>
      <c r="AF789" s="20">
        <f>IF(A789="","",YEAR(EDATE(A789,-3)))</f>
        <v/>
      </c>
      <c r="AG789" s="20">
        <f>IF(OR(B789="",'経歴簿'!$C$4=""),"",IF(B789&amp;""='経歴簿'!$C$4&amp;"",MAX($AG$4:AG788)+1,""))</f>
        <v/>
      </c>
      <c r="AH789" s="20">
        <f>IF(A789="",0,IF(AND(OR('CSV抽出'!$C$4="",A789&gt;='CSV抽出'!$C$4),OR('CSV抽出'!$C$5="",A789&lt;='CSV抽出'!$C$5),OR('CSV抽出'!$C$6="すべて",'CSV抽出'!$C$6="",D789='CSV抽出'!$C$6),OR('CSV抽出'!$C$7="",B789&amp;""='CSV抽出'!$C$7&amp;"")),1,0))</f>
        <v/>
      </c>
      <c r="AI789" s="20">
        <f>IF(AH789=1,SUM($AH$5:AH789),"")</f>
        <v/>
      </c>
      <c r="AJ789" s="20">
        <f>IF(OR(S789="",'報告書'!$C$4=""),"",IF(S789&amp;""='報告書'!$C$4&amp;"",COUNTIF($S$5:S789,'報告書'!$C$4),""))</f>
        <v/>
      </c>
      <c r="AK789" s="20" t="n"/>
      <c r="AL789" s="47" t="n"/>
      <c r="AM789" s="47" t="n"/>
      <c r="AN789" s="53" t="n"/>
      <c r="AO789" s="47" t="n"/>
      <c r="AP789" s="47" t="n"/>
      <c r="AQ789" s="47" t="n"/>
      <c r="AR789" s="47" t="n"/>
      <c r="AS789" s="47" t="n"/>
      <c r="AT789" s="47" t="n"/>
      <c r="AU789" s="47" t="n"/>
      <c r="AV789" s="47" t="n"/>
      <c r="AW789" s="52" t="n"/>
    </row>
    <row r="790">
      <c r="A790" s="48" t="n"/>
      <c r="B790" s="52" t="n"/>
      <c r="C790" s="47">
        <f>IF(B790="","",IFERROR(INDEX('隊員マスタ'!$B$5:$B$204,MATCH(B790&amp;"",'隊員マスタ'!$F$5:$F$204,0)),IF(AK790="","番号なし",AK790)))</f>
        <v/>
      </c>
      <c r="D790" s="47" t="n"/>
      <c r="E790" s="47" t="n"/>
      <c r="F790" s="47" t="n"/>
      <c r="G790" s="47" t="n"/>
      <c r="H790" s="47" t="n"/>
      <c r="I790" s="47" t="n"/>
      <c r="J790" s="47" t="n"/>
      <c r="K790" s="47" t="n"/>
      <c r="L790" s="47" t="n"/>
      <c r="M790" s="47" t="n"/>
      <c r="N790" s="47" t="n"/>
      <c r="O790" s="47" t="n"/>
      <c r="P790" s="47" t="n"/>
      <c r="Q790" s="47" t="n"/>
      <c r="R790" s="47" t="n"/>
      <c r="S790" s="47" t="n"/>
      <c r="T790" s="47" t="n"/>
      <c r="U790" s="53" t="n"/>
      <c r="V790" s="53" t="n"/>
      <c r="W790" s="47" t="n"/>
      <c r="X790" s="47" t="n"/>
      <c r="Y790" s="47" t="n"/>
      <c r="Z790" s="47" t="n"/>
      <c r="AA790" s="47" t="n"/>
      <c r="AB790" s="47" t="n"/>
      <c r="AC790" s="47" t="n"/>
      <c r="AD790" s="47" t="n"/>
      <c r="AE790" s="47" t="n"/>
      <c r="AF790" s="20">
        <f>IF(A790="","",YEAR(EDATE(A790,-3)))</f>
        <v/>
      </c>
      <c r="AG790" s="20">
        <f>IF(OR(B790="",'経歴簿'!$C$4=""),"",IF(B790&amp;""='経歴簿'!$C$4&amp;"",MAX($AG$4:AG789)+1,""))</f>
        <v/>
      </c>
      <c r="AH790" s="20">
        <f>IF(A790="",0,IF(AND(OR('CSV抽出'!$C$4="",A790&gt;='CSV抽出'!$C$4),OR('CSV抽出'!$C$5="",A790&lt;='CSV抽出'!$C$5),OR('CSV抽出'!$C$6="すべて",'CSV抽出'!$C$6="",D790='CSV抽出'!$C$6),OR('CSV抽出'!$C$7="",B790&amp;""='CSV抽出'!$C$7&amp;"")),1,0))</f>
        <v/>
      </c>
      <c r="AI790" s="20">
        <f>IF(AH790=1,SUM($AH$5:AH790),"")</f>
        <v/>
      </c>
      <c r="AJ790" s="20">
        <f>IF(OR(S790="",'報告書'!$C$4=""),"",IF(S790&amp;""='報告書'!$C$4&amp;"",COUNTIF($S$5:S790,'報告書'!$C$4),""))</f>
        <v/>
      </c>
      <c r="AK790" s="20" t="n"/>
      <c r="AL790" s="47" t="n"/>
      <c r="AM790" s="47" t="n"/>
      <c r="AN790" s="53" t="n"/>
      <c r="AO790" s="47" t="n"/>
      <c r="AP790" s="47" t="n"/>
      <c r="AQ790" s="47" t="n"/>
      <c r="AR790" s="47" t="n"/>
      <c r="AS790" s="47" t="n"/>
      <c r="AT790" s="47" t="n"/>
      <c r="AU790" s="47" t="n"/>
      <c r="AV790" s="47" t="n"/>
      <c r="AW790" s="52" t="n"/>
    </row>
    <row r="791">
      <c r="A791" s="48" t="n"/>
      <c r="B791" s="52" t="n"/>
      <c r="C791" s="47">
        <f>IF(B791="","",IFERROR(INDEX('隊員マスタ'!$B$5:$B$204,MATCH(B791&amp;"",'隊員マスタ'!$F$5:$F$204,0)),IF(AK791="","番号なし",AK791)))</f>
        <v/>
      </c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  <c r="N791" s="47" t="n"/>
      <c r="O791" s="47" t="n"/>
      <c r="P791" s="47" t="n"/>
      <c r="Q791" s="47" t="n"/>
      <c r="R791" s="47" t="n"/>
      <c r="S791" s="47" t="n"/>
      <c r="T791" s="47" t="n"/>
      <c r="U791" s="53" t="n"/>
      <c r="V791" s="53" t="n"/>
      <c r="W791" s="47" t="n"/>
      <c r="X791" s="47" t="n"/>
      <c r="Y791" s="47" t="n"/>
      <c r="Z791" s="47" t="n"/>
      <c r="AA791" s="47" t="n"/>
      <c r="AB791" s="47" t="n"/>
      <c r="AC791" s="47" t="n"/>
      <c r="AD791" s="47" t="n"/>
      <c r="AE791" s="47" t="n"/>
      <c r="AF791" s="20">
        <f>IF(A791="","",YEAR(EDATE(A791,-3)))</f>
        <v/>
      </c>
      <c r="AG791" s="20">
        <f>IF(OR(B791="",'経歴簿'!$C$4=""),"",IF(B791&amp;""='経歴簿'!$C$4&amp;"",MAX($AG$4:AG790)+1,""))</f>
        <v/>
      </c>
      <c r="AH791" s="20">
        <f>IF(A791="",0,IF(AND(OR('CSV抽出'!$C$4="",A791&gt;='CSV抽出'!$C$4),OR('CSV抽出'!$C$5="",A791&lt;='CSV抽出'!$C$5),OR('CSV抽出'!$C$6="すべて",'CSV抽出'!$C$6="",D791='CSV抽出'!$C$6),OR('CSV抽出'!$C$7="",B791&amp;""='CSV抽出'!$C$7&amp;"")),1,0))</f>
        <v/>
      </c>
      <c r="AI791" s="20">
        <f>IF(AH791=1,SUM($AH$5:AH791),"")</f>
        <v/>
      </c>
      <c r="AJ791" s="20">
        <f>IF(OR(S791="",'報告書'!$C$4=""),"",IF(S791&amp;""='報告書'!$C$4&amp;"",COUNTIF($S$5:S791,'報告書'!$C$4),""))</f>
        <v/>
      </c>
      <c r="AK791" s="20" t="n"/>
      <c r="AL791" s="47" t="n"/>
      <c r="AM791" s="47" t="n"/>
      <c r="AN791" s="53" t="n"/>
      <c r="AO791" s="47" t="n"/>
      <c r="AP791" s="47" t="n"/>
      <c r="AQ791" s="47" t="n"/>
      <c r="AR791" s="47" t="n"/>
      <c r="AS791" s="47" t="n"/>
      <c r="AT791" s="47" t="n"/>
      <c r="AU791" s="47" t="n"/>
      <c r="AV791" s="47" t="n"/>
      <c r="AW791" s="52" t="n"/>
    </row>
    <row r="792">
      <c r="A792" s="48" t="n"/>
      <c r="B792" s="52" t="n"/>
      <c r="C792" s="47">
        <f>IF(B792="","",IFERROR(INDEX('隊員マスタ'!$B$5:$B$204,MATCH(B792&amp;"",'隊員マスタ'!$F$5:$F$204,0)),IF(AK792="","番号なし",AK792)))</f>
        <v/>
      </c>
      <c r="D792" s="47" t="n"/>
      <c r="E792" s="47" t="n"/>
      <c r="F792" s="47" t="n"/>
      <c r="G792" s="47" t="n"/>
      <c r="H792" s="47" t="n"/>
      <c r="I792" s="47" t="n"/>
      <c r="J792" s="47" t="n"/>
      <c r="K792" s="47" t="n"/>
      <c r="L792" s="47" t="n"/>
      <c r="M792" s="47" t="n"/>
      <c r="N792" s="47" t="n"/>
      <c r="O792" s="47" t="n"/>
      <c r="P792" s="47" t="n"/>
      <c r="Q792" s="47" t="n"/>
      <c r="R792" s="47" t="n"/>
      <c r="S792" s="47" t="n"/>
      <c r="T792" s="47" t="n"/>
      <c r="U792" s="53" t="n"/>
      <c r="V792" s="53" t="n"/>
      <c r="W792" s="47" t="n"/>
      <c r="X792" s="47" t="n"/>
      <c r="Y792" s="47" t="n"/>
      <c r="Z792" s="47" t="n"/>
      <c r="AA792" s="47" t="n"/>
      <c r="AB792" s="47" t="n"/>
      <c r="AC792" s="47" t="n"/>
      <c r="AD792" s="47" t="n"/>
      <c r="AE792" s="47" t="n"/>
      <c r="AF792" s="20">
        <f>IF(A792="","",YEAR(EDATE(A792,-3)))</f>
        <v/>
      </c>
      <c r="AG792" s="20">
        <f>IF(OR(B792="",'経歴簿'!$C$4=""),"",IF(B792&amp;""='経歴簿'!$C$4&amp;"",MAX($AG$4:AG791)+1,""))</f>
        <v/>
      </c>
      <c r="AH792" s="20">
        <f>IF(A792="",0,IF(AND(OR('CSV抽出'!$C$4="",A792&gt;='CSV抽出'!$C$4),OR('CSV抽出'!$C$5="",A792&lt;='CSV抽出'!$C$5),OR('CSV抽出'!$C$6="すべて",'CSV抽出'!$C$6="",D792='CSV抽出'!$C$6),OR('CSV抽出'!$C$7="",B792&amp;""='CSV抽出'!$C$7&amp;"")),1,0))</f>
        <v/>
      </c>
      <c r="AI792" s="20">
        <f>IF(AH792=1,SUM($AH$5:AH792),"")</f>
        <v/>
      </c>
      <c r="AJ792" s="20">
        <f>IF(OR(S792="",'報告書'!$C$4=""),"",IF(S792&amp;""='報告書'!$C$4&amp;"",COUNTIF($S$5:S792,'報告書'!$C$4),""))</f>
        <v/>
      </c>
      <c r="AK792" s="20" t="n"/>
      <c r="AL792" s="47" t="n"/>
      <c r="AM792" s="47" t="n"/>
      <c r="AN792" s="53" t="n"/>
      <c r="AO792" s="47" t="n"/>
      <c r="AP792" s="47" t="n"/>
      <c r="AQ792" s="47" t="n"/>
      <c r="AR792" s="47" t="n"/>
      <c r="AS792" s="47" t="n"/>
      <c r="AT792" s="47" t="n"/>
      <c r="AU792" s="47" t="n"/>
      <c r="AV792" s="47" t="n"/>
      <c r="AW792" s="52" t="n"/>
    </row>
    <row r="793">
      <c r="A793" s="48" t="n"/>
      <c r="B793" s="52" t="n"/>
      <c r="C793" s="47">
        <f>IF(B793="","",IFERROR(INDEX('隊員マスタ'!$B$5:$B$204,MATCH(B793&amp;"",'隊員マスタ'!$F$5:$F$204,0)),IF(AK793="","番号なし",AK793)))</f>
        <v/>
      </c>
      <c r="D793" s="47" t="n"/>
      <c r="E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  <c r="N793" s="47" t="n"/>
      <c r="O793" s="47" t="n"/>
      <c r="P793" s="47" t="n"/>
      <c r="Q793" s="47" t="n"/>
      <c r="R793" s="47" t="n"/>
      <c r="S793" s="47" t="n"/>
      <c r="T793" s="47" t="n"/>
      <c r="U793" s="53" t="n"/>
      <c r="V793" s="53" t="n"/>
      <c r="W793" s="47" t="n"/>
      <c r="X793" s="47" t="n"/>
      <c r="Y793" s="47" t="n"/>
      <c r="Z793" s="47" t="n"/>
      <c r="AA793" s="47" t="n"/>
      <c r="AB793" s="47" t="n"/>
      <c r="AC793" s="47" t="n"/>
      <c r="AD793" s="47" t="n"/>
      <c r="AE793" s="47" t="n"/>
      <c r="AF793" s="20">
        <f>IF(A793="","",YEAR(EDATE(A793,-3)))</f>
        <v/>
      </c>
      <c r="AG793" s="20">
        <f>IF(OR(B793="",'経歴簿'!$C$4=""),"",IF(B793&amp;""='経歴簿'!$C$4&amp;"",MAX($AG$4:AG792)+1,""))</f>
        <v/>
      </c>
      <c r="AH793" s="20">
        <f>IF(A793="",0,IF(AND(OR('CSV抽出'!$C$4="",A793&gt;='CSV抽出'!$C$4),OR('CSV抽出'!$C$5="",A793&lt;='CSV抽出'!$C$5),OR('CSV抽出'!$C$6="すべて",'CSV抽出'!$C$6="",D793='CSV抽出'!$C$6),OR('CSV抽出'!$C$7="",B793&amp;""='CSV抽出'!$C$7&amp;"")),1,0))</f>
        <v/>
      </c>
      <c r="AI793" s="20">
        <f>IF(AH793=1,SUM($AH$5:AH793),"")</f>
        <v/>
      </c>
      <c r="AJ793" s="20">
        <f>IF(OR(S793="",'報告書'!$C$4=""),"",IF(S793&amp;""='報告書'!$C$4&amp;"",COUNTIF($S$5:S793,'報告書'!$C$4),""))</f>
        <v/>
      </c>
      <c r="AK793" s="20" t="n"/>
      <c r="AL793" s="47" t="n"/>
      <c r="AM793" s="47" t="n"/>
      <c r="AN793" s="53" t="n"/>
      <c r="AO793" s="47" t="n"/>
      <c r="AP793" s="47" t="n"/>
      <c r="AQ793" s="47" t="n"/>
      <c r="AR793" s="47" t="n"/>
      <c r="AS793" s="47" t="n"/>
      <c r="AT793" s="47" t="n"/>
      <c r="AU793" s="47" t="n"/>
      <c r="AV793" s="47" t="n"/>
      <c r="AW793" s="52" t="n"/>
    </row>
    <row r="794">
      <c r="A794" s="48" t="n"/>
      <c r="B794" s="52" t="n"/>
      <c r="C794" s="47">
        <f>IF(B794="","",IFERROR(INDEX('隊員マスタ'!$B$5:$B$204,MATCH(B794&amp;"",'隊員マスタ'!$F$5:$F$204,0)),IF(AK794="","番号なし",AK794)))</f>
        <v/>
      </c>
      <c r="D794" s="47" t="n"/>
      <c r="E794" s="47" t="n"/>
      <c r="F794" s="47" t="n"/>
      <c r="G794" s="47" t="n"/>
      <c r="H794" s="47" t="n"/>
      <c r="I794" s="47" t="n"/>
      <c r="J794" s="47" t="n"/>
      <c r="K794" s="47" t="n"/>
      <c r="L794" s="47" t="n"/>
      <c r="M794" s="47" t="n"/>
      <c r="N794" s="47" t="n"/>
      <c r="O794" s="47" t="n"/>
      <c r="P794" s="47" t="n"/>
      <c r="Q794" s="47" t="n"/>
      <c r="R794" s="47" t="n"/>
      <c r="S794" s="47" t="n"/>
      <c r="T794" s="47" t="n"/>
      <c r="U794" s="53" t="n"/>
      <c r="V794" s="53" t="n"/>
      <c r="W794" s="47" t="n"/>
      <c r="X794" s="47" t="n"/>
      <c r="Y794" s="47" t="n"/>
      <c r="Z794" s="47" t="n"/>
      <c r="AA794" s="47" t="n"/>
      <c r="AB794" s="47" t="n"/>
      <c r="AC794" s="47" t="n"/>
      <c r="AD794" s="47" t="n"/>
      <c r="AE794" s="47" t="n"/>
      <c r="AF794" s="20">
        <f>IF(A794="","",YEAR(EDATE(A794,-3)))</f>
        <v/>
      </c>
      <c r="AG794" s="20">
        <f>IF(OR(B794="",'経歴簿'!$C$4=""),"",IF(B794&amp;""='経歴簿'!$C$4&amp;"",MAX($AG$4:AG793)+1,""))</f>
        <v/>
      </c>
      <c r="AH794" s="20">
        <f>IF(A794="",0,IF(AND(OR('CSV抽出'!$C$4="",A794&gt;='CSV抽出'!$C$4),OR('CSV抽出'!$C$5="",A794&lt;='CSV抽出'!$C$5),OR('CSV抽出'!$C$6="すべて",'CSV抽出'!$C$6="",D794='CSV抽出'!$C$6),OR('CSV抽出'!$C$7="",B794&amp;""='CSV抽出'!$C$7&amp;"")),1,0))</f>
        <v/>
      </c>
      <c r="AI794" s="20">
        <f>IF(AH794=1,SUM($AH$5:AH794),"")</f>
        <v/>
      </c>
      <c r="AJ794" s="20">
        <f>IF(OR(S794="",'報告書'!$C$4=""),"",IF(S794&amp;""='報告書'!$C$4&amp;"",COUNTIF($S$5:S794,'報告書'!$C$4),""))</f>
        <v/>
      </c>
      <c r="AK794" s="20" t="n"/>
      <c r="AL794" s="47" t="n"/>
      <c r="AM794" s="47" t="n"/>
      <c r="AN794" s="53" t="n"/>
      <c r="AO794" s="47" t="n"/>
      <c r="AP794" s="47" t="n"/>
      <c r="AQ794" s="47" t="n"/>
      <c r="AR794" s="47" t="n"/>
      <c r="AS794" s="47" t="n"/>
      <c r="AT794" s="47" t="n"/>
      <c r="AU794" s="47" t="n"/>
      <c r="AV794" s="47" t="n"/>
      <c r="AW794" s="52" t="n"/>
    </row>
    <row r="795">
      <c r="A795" s="48" t="n"/>
      <c r="B795" s="52" t="n"/>
      <c r="C795" s="47">
        <f>IF(B795="","",IFERROR(INDEX('隊員マスタ'!$B$5:$B$204,MATCH(B795&amp;"",'隊員マスタ'!$F$5:$F$204,0)),IF(AK795="","番号なし",AK795)))</f>
        <v/>
      </c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  <c r="N795" s="47" t="n"/>
      <c r="O795" s="47" t="n"/>
      <c r="P795" s="47" t="n"/>
      <c r="Q795" s="47" t="n"/>
      <c r="R795" s="47" t="n"/>
      <c r="S795" s="47" t="n"/>
      <c r="T795" s="47" t="n"/>
      <c r="U795" s="53" t="n"/>
      <c r="V795" s="53" t="n"/>
      <c r="W795" s="47" t="n"/>
      <c r="X795" s="47" t="n"/>
      <c r="Y795" s="47" t="n"/>
      <c r="Z795" s="47" t="n"/>
      <c r="AA795" s="47" t="n"/>
      <c r="AB795" s="47" t="n"/>
      <c r="AC795" s="47" t="n"/>
      <c r="AD795" s="47" t="n"/>
      <c r="AE795" s="47" t="n"/>
      <c r="AF795" s="20">
        <f>IF(A795="","",YEAR(EDATE(A795,-3)))</f>
        <v/>
      </c>
      <c r="AG795" s="20">
        <f>IF(OR(B795="",'経歴簿'!$C$4=""),"",IF(B795&amp;""='経歴簿'!$C$4&amp;"",MAX($AG$4:AG794)+1,""))</f>
        <v/>
      </c>
      <c r="AH795" s="20">
        <f>IF(A795="",0,IF(AND(OR('CSV抽出'!$C$4="",A795&gt;='CSV抽出'!$C$4),OR('CSV抽出'!$C$5="",A795&lt;='CSV抽出'!$C$5),OR('CSV抽出'!$C$6="すべて",'CSV抽出'!$C$6="",D795='CSV抽出'!$C$6),OR('CSV抽出'!$C$7="",B795&amp;""='CSV抽出'!$C$7&amp;"")),1,0))</f>
        <v/>
      </c>
      <c r="AI795" s="20">
        <f>IF(AH795=1,SUM($AH$5:AH795),"")</f>
        <v/>
      </c>
      <c r="AJ795" s="20">
        <f>IF(OR(S795="",'報告書'!$C$4=""),"",IF(S795&amp;""='報告書'!$C$4&amp;"",COUNTIF($S$5:S795,'報告書'!$C$4),""))</f>
        <v/>
      </c>
      <c r="AK795" s="20" t="n"/>
      <c r="AL795" s="47" t="n"/>
      <c r="AM795" s="47" t="n"/>
      <c r="AN795" s="53" t="n"/>
      <c r="AO795" s="47" t="n"/>
      <c r="AP795" s="47" t="n"/>
      <c r="AQ795" s="47" t="n"/>
      <c r="AR795" s="47" t="n"/>
      <c r="AS795" s="47" t="n"/>
      <c r="AT795" s="47" t="n"/>
      <c r="AU795" s="47" t="n"/>
      <c r="AV795" s="47" t="n"/>
      <c r="AW795" s="52" t="n"/>
    </row>
    <row r="796">
      <c r="A796" s="48" t="n"/>
      <c r="B796" s="52" t="n"/>
      <c r="C796" s="47">
        <f>IF(B796="","",IFERROR(INDEX('隊員マスタ'!$B$5:$B$204,MATCH(B796&amp;"",'隊員マスタ'!$F$5:$F$204,0)),IF(AK796="","番号なし",AK796)))</f>
        <v/>
      </c>
      <c r="D796" s="47" t="n"/>
      <c r="E796" s="47" t="n"/>
      <c r="F796" s="47" t="n"/>
      <c r="G796" s="47" t="n"/>
      <c r="H796" s="47" t="n"/>
      <c r="I796" s="47" t="n"/>
      <c r="J796" s="47" t="n"/>
      <c r="K796" s="47" t="n"/>
      <c r="L796" s="47" t="n"/>
      <c r="M796" s="47" t="n"/>
      <c r="N796" s="47" t="n"/>
      <c r="O796" s="47" t="n"/>
      <c r="P796" s="47" t="n"/>
      <c r="Q796" s="47" t="n"/>
      <c r="R796" s="47" t="n"/>
      <c r="S796" s="47" t="n"/>
      <c r="T796" s="47" t="n"/>
      <c r="U796" s="53" t="n"/>
      <c r="V796" s="53" t="n"/>
      <c r="W796" s="47" t="n"/>
      <c r="X796" s="47" t="n"/>
      <c r="Y796" s="47" t="n"/>
      <c r="Z796" s="47" t="n"/>
      <c r="AA796" s="47" t="n"/>
      <c r="AB796" s="47" t="n"/>
      <c r="AC796" s="47" t="n"/>
      <c r="AD796" s="47" t="n"/>
      <c r="AE796" s="47" t="n"/>
      <c r="AF796" s="20">
        <f>IF(A796="","",YEAR(EDATE(A796,-3)))</f>
        <v/>
      </c>
      <c r="AG796" s="20">
        <f>IF(OR(B796="",'経歴簿'!$C$4=""),"",IF(B796&amp;""='経歴簿'!$C$4&amp;"",MAX($AG$4:AG795)+1,""))</f>
        <v/>
      </c>
      <c r="AH796" s="20">
        <f>IF(A796="",0,IF(AND(OR('CSV抽出'!$C$4="",A796&gt;='CSV抽出'!$C$4),OR('CSV抽出'!$C$5="",A796&lt;='CSV抽出'!$C$5),OR('CSV抽出'!$C$6="すべて",'CSV抽出'!$C$6="",D796='CSV抽出'!$C$6),OR('CSV抽出'!$C$7="",B796&amp;""='CSV抽出'!$C$7&amp;"")),1,0))</f>
        <v/>
      </c>
      <c r="AI796" s="20">
        <f>IF(AH796=1,SUM($AH$5:AH796),"")</f>
        <v/>
      </c>
      <c r="AJ796" s="20">
        <f>IF(OR(S796="",'報告書'!$C$4=""),"",IF(S796&amp;""='報告書'!$C$4&amp;"",COUNTIF($S$5:S796,'報告書'!$C$4),""))</f>
        <v/>
      </c>
      <c r="AK796" s="20" t="n"/>
      <c r="AL796" s="47" t="n"/>
      <c r="AM796" s="47" t="n"/>
      <c r="AN796" s="53" t="n"/>
      <c r="AO796" s="47" t="n"/>
      <c r="AP796" s="47" t="n"/>
      <c r="AQ796" s="47" t="n"/>
      <c r="AR796" s="47" t="n"/>
      <c r="AS796" s="47" t="n"/>
      <c r="AT796" s="47" t="n"/>
      <c r="AU796" s="47" t="n"/>
      <c r="AV796" s="47" t="n"/>
      <c r="AW796" s="52" t="n"/>
    </row>
    <row r="797">
      <c r="A797" s="48" t="n"/>
      <c r="B797" s="52" t="n"/>
      <c r="C797" s="47">
        <f>IF(B797="","",IFERROR(INDEX('隊員マスタ'!$B$5:$B$204,MATCH(B797&amp;"",'隊員マスタ'!$F$5:$F$204,0)),IF(AK797="","番号なし",AK797)))</f>
        <v/>
      </c>
      <c r="D797" s="47" t="n"/>
      <c r="E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  <c r="N797" s="47" t="n"/>
      <c r="O797" s="47" t="n"/>
      <c r="P797" s="47" t="n"/>
      <c r="Q797" s="47" t="n"/>
      <c r="R797" s="47" t="n"/>
      <c r="S797" s="47" t="n"/>
      <c r="T797" s="47" t="n"/>
      <c r="U797" s="53" t="n"/>
      <c r="V797" s="53" t="n"/>
      <c r="W797" s="47" t="n"/>
      <c r="X797" s="47" t="n"/>
      <c r="Y797" s="47" t="n"/>
      <c r="Z797" s="47" t="n"/>
      <c r="AA797" s="47" t="n"/>
      <c r="AB797" s="47" t="n"/>
      <c r="AC797" s="47" t="n"/>
      <c r="AD797" s="47" t="n"/>
      <c r="AE797" s="47" t="n"/>
      <c r="AF797" s="20">
        <f>IF(A797="","",YEAR(EDATE(A797,-3)))</f>
        <v/>
      </c>
      <c r="AG797" s="20">
        <f>IF(OR(B797="",'経歴簿'!$C$4=""),"",IF(B797&amp;""='経歴簿'!$C$4&amp;"",MAX($AG$4:AG796)+1,""))</f>
        <v/>
      </c>
      <c r="AH797" s="20">
        <f>IF(A797="",0,IF(AND(OR('CSV抽出'!$C$4="",A797&gt;='CSV抽出'!$C$4),OR('CSV抽出'!$C$5="",A797&lt;='CSV抽出'!$C$5),OR('CSV抽出'!$C$6="すべて",'CSV抽出'!$C$6="",D797='CSV抽出'!$C$6),OR('CSV抽出'!$C$7="",B797&amp;""='CSV抽出'!$C$7&amp;"")),1,0))</f>
        <v/>
      </c>
      <c r="AI797" s="20">
        <f>IF(AH797=1,SUM($AH$5:AH797),"")</f>
        <v/>
      </c>
      <c r="AJ797" s="20">
        <f>IF(OR(S797="",'報告書'!$C$4=""),"",IF(S797&amp;""='報告書'!$C$4&amp;"",COUNTIF($S$5:S797,'報告書'!$C$4),""))</f>
        <v/>
      </c>
      <c r="AK797" s="20" t="n"/>
      <c r="AL797" s="47" t="n"/>
      <c r="AM797" s="47" t="n"/>
      <c r="AN797" s="53" t="n"/>
      <c r="AO797" s="47" t="n"/>
      <c r="AP797" s="47" t="n"/>
      <c r="AQ797" s="47" t="n"/>
      <c r="AR797" s="47" t="n"/>
      <c r="AS797" s="47" t="n"/>
      <c r="AT797" s="47" t="n"/>
      <c r="AU797" s="47" t="n"/>
      <c r="AV797" s="47" t="n"/>
      <c r="AW797" s="52" t="n"/>
    </row>
    <row r="798">
      <c r="A798" s="48" t="n"/>
      <c r="B798" s="52" t="n"/>
      <c r="C798" s="47">
        <f>IF(B798="","",IFERROR(INDEX('隊員マスタ'!$B$5:$B$204,MATCH(B798&amp;"",'隊員マスタ'!$F$5:$F$204,0)),IF(AK798="","番号なし",AK798)))</f>
        <v/>
      </c>
      <c r="D798" s="47" t="n"/>
      <c r="E798" s="47" t="n"/>
      <c r="F798" s="47" t="n"/>
      <c r="G798" s="47" t="n"/>
      <c r="H798" s="47" t="n"/>
      <c r="I798" s="47" t="n"/>
      <c r="J798" s="47" t="n"/>
      <c r="K798" s="47" t="n"/>
      <c r="L798" s="47" t="n"/>
      <c r="M798" s="47" t="n"/>
      <c r="N798" s="47" t="n"/>
      <c r="O798" s="47" t="n"/>
      <c r="P798" s="47" t="n"/>
      <c r="Q798" s="47" t="n"/>
      <c r="R798" s="47" t="n"/>
      <c r="S798" s="47" t="n"/>
      <c r="T798" s="47" t="n"/>
      <c r="U798" s="53" t="n"/>
      <c r="V798" s="53" t="n"/>
      <c r="W798" s="47" t="n"/>
      <c r="X798" s="47" t="n"/>
      <c r="Y798" s="47" t="n"/>
      <c r="Z798" s="47" t="n"/>
      <c r="AA798" s="47" t="n"/>
      <c r="AB798" s="47" t="n"/>
      <c r="AC798" s="47" t="n"/>
      <c r="AD798" s="47" t="n"/>
      <c r="AE798" s="47" t="n"/>
      <c r="AF798" s="20">
        <f>IF(A798="","",YEAR(EDATE(A798,-3)))</f>
        <v/>
      </c>
      <c r="AG798" s="20">
        <f>IF(OR(B798="",'経歴簿'!$C$4=""),"",IF(B798&amp;""='経歴簿'!$C$4&amp;"",MAX($AG$4:AG797)+1,""))</f>
        <v/>
      </c>
      <c r="AH798" s="20">
        <f>IF(A798="",0,IF(AND(OR('CSV抽出'!$C$4="",A798&gt;='CSV抽出'!$C$4),OR('CSV抽出'!$C$5="",A798&lt;='CSV抽出'!$C$5),OR('CSV抽出'!$C$6="すべて",'CSV抽出'!$C$6="",D798='CSV抽出'!$C$6),OR('CSV抽出'!$C$7="",B798&amp;""='CSV抽出'!$C$7&amp;"")),1,0))</f>
        <v/>
      </c>
      <c r="AI798" s="20">
        <f>IF(AH798=1,SUM($AH$5:AH798),"")</f>
        <v/>
      </c>
      <c r="AJ798" s="20">
        <f>IF(OR(S798="",'報告書'!$C$4=""),"",IF(S798&amp;""='報告書'!$C$4&amp;"",COUNTIF($S$5:S798,'報告書'!$C$4),""))</f>
        <v/>
      </c>
      <c r="AK798" s="20" t="n"/>
      <c r="AL798" s="47" t="n"/>
      <c r="AM798" s="47" t="n"/>
      <c r="AN798" s="53" t="n"/>
      <c r="AO798" s="47" t="n"/>
      <c r="AP798" s="47" t="n"/>
      <c r="AQ798" s="47" t="n"/>
      <c r="AR798" s="47" t="n"/>
      <c r="AS798" s="47" t="n"/>
      <c r="AT798" s="47" t="n"/>
      <c r="AU798" s="47" t="n"/>
      <c r="AV798" s="47" t="n"/>
      <c r="AW798" s="52" t="n"/>
    </row>
    <row r="799">
      <c r="A799" s="48" t="n"/>
      <c r="B799" s="52" t="n"/>
      <c r="C799" s="47">
        <f>IF(B799="","",IFERROR(INDEX('隊員マスタ'!$B$5:$B$204,MATCH(B799&amp;"",'隊員マスタ'!$F$5:$F$204,0)),IF(AK799="","番号なし",AK799)))</f>
        <v/>
      </c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  <c r="N799" s="47" t="n"/>
      <c r="O799" s="47" t="n"/>
      <c r="P799" s="47" t="n"/>
      <c r="Q799" s="47" t="n"/>
      <c r="R799" s="47" t="n"/>
      <c r="S799" s="47" t="n"/>
      <c r="T799" s="47" t="n"/>
      <c r="U799" s="53" t="n"/>
      <c r="V799" s="53" t="n"/>
      <c r="W799" s="47" t="n"/>
      <c r="X799" s="47" t="n"/>
      <c r="Y799" s="47" t="n"/>
      <c r="Z799" s="47" t="n"/>
      <c r="AA799" s="47" t="n"/>
      <c r="AB799" s="47" t="n"/>
      <c r="AC799" s="47" t="n"/>
      <c r="AD799" s="47" t="n"/>
      <c r="AE799" s="47" t="n"/>
      <c r="AF799" s="20">
        <f>IF(A799="","",YEAR(EDATE(A799,-3)))</f>
        <v/>
      </c>
      <c r="AG799" s="20">
        <f>IF(OR(B799="",'経歴簿'!$C$4=""),"",IF(B799&amp;""='経歴簿'!$C$4&amp;"",MAX($AG$4:AG798)+1,""))</f>
        <v/>
      </c>
      <c r="AH799" s="20">
        <f>IF(A799="",0,IF(AND(OR('CSV抽出'!$C$4="",A799&gt;='CSV抽出'!$C$4),OR('CSV抽出'!$C$5="",A799&lt;='CSV抽出'!$C$5),OR('CSV抽出'!$C$6="すべて",'CSV抽出'!$C$6="",D799='CSV抽出'!$C$6),OR('CSV抽出'!$C$7="",B799&amp;""='CSV抽出'!$C$7&amp;"")),1,0))</f>
        <v/>
      </c>
      <c r="AI799" s="20">
        <f>IF(AH799=1,SUM($AH$5:AH799),"")</f>
        <v/>
      </c>
      <c r="AJ799" s="20">
        <f>IF(OR(S799="",'報告書'!$C$4=""),"",IF(S799&amp;""='報告書'!$C$4&amp;"",COUNTIF($S$5:S799,'報告書'!$C$4),""))</f>
        <v/>
      </c>
      <c r="AK799" s="20" t="n"/>
      <c r="AL799" s="47" t="n"/>
      <c r="AM799" s="47" t="n"/>
      <c r="AN799" s="53" t="n"/>
      <c r="AO799" s="47" t="n"/>
      <c r="AP799" s="47" t="n"/>
      <c r="AQ799" s="47" t="n"/>
      <c r="AR799" s="47" t="n"/>
      <c r="AS799" s="47" t="n"/>
      <c r="AT799" s="47" t="n"/>
      <c r="AU799" s="47" t="n"/>
      <c r="AV799" s="47" t="n"/>
      <c r="AW799" s="52" t="n"/>
    </row>
    <row r="800">
      <c r="A800" s="48" t="n"/>
      <c r="B800" s="52" t="n"/>
      <c r="C800" s="47">
        <f>IF(B800="","",IFERROR(INDEX('隊員マスタ'!$B$5:$B$204,MATCH(B800&amp;"",'隊員マスタ'!$F$5:$F$204,0)),IF(AK800="","番号なし",AK800)))</f>
        <v/>
      </c>
      <c r="D800" s="47" t="n"/>
      <c r="E800" s="47" t="n"/>
      <c r="F800" s="47" t="n"/>
      <c r="G800" s="47" t="n"/>
      <c r="H800" s="47" t="n"/>
      <c r="I800" s="47" t="n"/>
      <c r="J800" s="47" t="n"/>
      <c r="K800" s="47" t="n"/>
      <c r="L800" s="47" t="n"/>
      <c r="M800" s="47" t="n"/>
      <c r="N800" s="47" t="n"/>
      <c r="O800" s="47" t="n"/>
      <c r="P800" s="47" t="n"/>
      <c r="Q800" s="47" t="n"/>
      <c r="R800" s="47" t="n"/>
      <c r="S800" s="47" t="n"/>
      <c r="T800" s="47" t="n"/>
      <c r="U800" s="53" t="n"/>
      <c r="V800" s="53" t="n"/>
      <c r="W800" s="47" t="n"/>
      <c r="X800" s="47" t="n"/>
      <c r="Y800" s="47" t="n"/>
      <c r="Z800" s="47" t="n"/>
      <c r="AA800" s="47" t="n"/>
      <c r="AB800" s="47" t="n"/>
      <c r="AC800" s="47" t="n"/>
      <c r="AD800" s="47" t="n"/>
      <c r="AE800" s="47" t="n"/>
      <c r="AF800" s="20">
        <f>IF(A800="","",YEAR(EDATE(A800,-3)))</f>
        <v/>
      </c>
      <c r="AG800" s="20">
        <f>IF(OR(B800="",'経歴簿'!$C$4=""),"",IF(B800&amp;""='経歴簿'!$C$4&amp;"",MAX($AG$4:AG799)+1,""))</f>
        <v/>
      </c>
      <c r="AH800" s="20">
        <f>IF(A800="",0,IF(AND(OR('CSV抽出'!$C$4="",A800&gt;='CSV抽出'!$C$4),OR('CSV抽出'!$C$5="",A800&lt;='CSV抽出'!$C$5),OR('CSV抽出'!$C$6="すべて",'CSV抽出'!$C$6="",D800='CSV抽出'!$C$6),OR('CSV抽出'!$C$7="",B800&amp;""='CSV抽出'!$C$7&amp;"")),1,0))</f>
        <v/>
      </c>
      <c r="AI800" s="20">
        <f>IF(AH800=1,SUM($AH$5:AH800),"")</f>
        <v/>
      </c>
      <c r="AJ800" s="20">
        <f>IF(OR(S800="",'報告書'!$C$4=""),"",IF(S800&amp;""='報告書'!$C$4&amp;"",COUNTIF($S$5:S800,'報告書'!$C$4),""))</f>
        <v/>
      </c>
      <c r="AK800" s="20" t="n"/>
      <c r="AL800" s="47" t="n"/>
      <c r="AM800" s="47" t="n"/>
      <c r="AN800" s="53" t="n"/>
      <c r="AO800" s="47" t="n"/>
      <c r="AP800" s="47" t="n"/>
      <c r="AQ800" s="47" t="n"/>
      <c r="AR800" s="47" t="n"/>
      <c r="AS800" s="47" t="n"/>
      <c r="AT800" s="47" t="n"/>
      <c r="AU800" s="47" t="n"/>
      <c r="AV800" s="47" t="n"/>
      <c r="AW800" s="52" t="n"/>
    </row>
    <row r="801">
      <c r="A801" s="48" t="n"/>
      <c r="B801" s="52" t="n"/>
      <c r="C801" s="47">
        <f>IF(B801="","",IFERROR(INDEX('隊員マスタ'!$B$5:$B$204,MATCH(B801&amp;"",'隊員マスタ'!$F$5:$F$204,0)),IF(AK801="","番号なし",AK801)))</f>
        <v/>
      </c>
      <c r="D801" s="47" t="n"/>
      <c r="E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  <c r="N801" s="47" t="n"/>
      <c r="O801" s="47" t="n"/>
      <c r="P801" s="47" t="n"/>
      <c r="Q801" s="47" t="n"/>
      <c r="R801" s="47" t="n"/>
      <c r="S801" s="47" t="n"/>
      <c r="T801" s="47" t="n"/>
      <c r="U801" s="53" t="n"/>
      <c r="V801" s="53" t="n"/>
      <c r="W801" s="47" t="n"/>
      <c r="X801" s="47" t="n"/>
      <c r="Y801" s="47" t="n"/>
      <c r="Z801" s="47" t="n"/>
      <c r="AA801" s="47" t="n"/>
      <c r="AB801" s="47" t="n"/>
      <c r="AC801" s="47" t="n"/>
      <c r="AD801" s="47" t="n"/>
      <c r="AE801" s="47" t="n"/>
      <c r="AF801" s="20">
        <f>IF(A801="","",YEAR(EDATE(A801,-3)))</f>
        <v/>
      </c>
      <c r="AG801" s="20">
        <f>IF(OR(B801="",'経歴簿'!$C$4=""),"",IF(B801&amp;""='経歴簿'!$C$4&amp;"",MAX($AG$4:AG800)+1,""))</f>
        <v/>
      </c>
      <c r="AH801" s="20">
        <f>IF(A801="",0,IF(AND(OR('CSV抽出'!$C$4="",A801&gt;='CSV抽出'!$C$4),OR('CSV抽出'!$C$5="",A801&lt;='CSV抽出'!$C$5),OR('CSV抽出'!$C$6="すべて",'CSV抽出'!$C$6="",D801='CSV抽出'!$C$6),OR('CSV抽出'!$C$7="",B801&amp;""='CSV抽出'!$C$7&amp;"")),1,0))</f>
        <v/>
      </c>
      <c r="AI801" s="20">
        <f>IF(AH801=1,SUM($AH$5:AH801),"")</f>
        <v/>
      </c>
      <c r="AJ801" s="20">
        <f>IF(OR(S801="",'報告書'!$C$4=""),"",IF(S801&amp;""='報告書'!$C$4&amp;"",COUNTIF($S$5:S801,'報告書'!$C$4),""))</f>
        <v/>
      </c>
      <c r="AK801" s="20" t="n"/>
      <c r="AL801" s="47" t="n"/>
      <c r="AM801" s="47" t="n"/>
      <c r="AN801" s="53" t="n"/>
      <c r="AO801" s="47" t="n"/>
      <c r="AP801" s="47" t="n"/>
      <c r="AQ801" s="47" t="n"/>
      <c r="AR801" s="47" t="n"/>
      <c r="AS801" s="47" t="n"/>
      <c r="AT801" s="47" t="n"/>
      <c r="AU801" s="47" t="n"/>
      <c r="AV801" s="47" t="n"/>
      <c r="AW801" s="52" t="n"/>
    </row>
    <row r="802">
      <c r="A802" s="48" t="n"/>
      <c r="B802" s="52" t="n"/>
      <c r="C802" s="47">
        <f>IF(B802="","",IFERROR(INDEX('隊員マスタ'!$B$5:$B$204,MATCH(B802&amp;"",'隊員マスタ'!$F$5:$F$204,0)),IF(AK802="","番号なし",AK802)))</f>
        <v/>
      </c>
      <c r="D802" s="47" t="n"/>
      <c r="E802" s="47" t="n"/>
      <c r="F802" s="47" t="n"/>
      <c r="G802" s="47" t="n"/>
      <c r="H802" s="47" t="n"/>
      <c r="I802" s="47" t="n"/>
      <c r="J802" s="47" t="n"/>
      <c r="K802" s="47" t="n"/>
      <c r="L802" s="47" t="n"/>
      <c r="M802" s="47" t="n"/>
      <c r="N802" s="47" t="n"/>
      <c r="O802" s="47" t="n"/>
      <c r="P802" s="47" t="n"/>
      <c r="Q802" s="47" t="n"/>
      <c r="R802" s="47" t="n"/>
      <c r="S802" s="47" t="n"/>
      <c r="T802" s="47" t="n"/>
      <c r="U802" s="53" t="n"/>
      <c r="V802" s="53" t="n"/>
      <c r="W802" s="47" t="n"/>
      <c r="X802" s="47" t="n"/>
      <c r="Y802" s="47" t="n"/>
      <c r="Z802" s="47" t="n"/>
      <c r="AA802" s="47" t="n"/>
      <c r="AB802" s="47" t="n"/>
      <c r="AC802" s="47" t="n"/>
      <c r="AD802" s="47" t="n"/>
      <c r="AE802" s="47" t="n"/>
      <c r="AF802" s="20">
        <f>IF(A802="","",YEAR(EDATE(A802,-3)))</f>
        <v/>
      </c>
      <c r="AG802" s="20">
        <f>IF(OR(B802="",'経歴簿'!$C$4=""),"",IF(B802&amp;""='経歴簿'!$C$4&amp;"",MAX($AG$4:AG801)+1,""))</f>
        <v/>
      </c>
      <c r="AH802" s="20">
        <f>IF(A802="",0,IF(AND(OR('CSV抽出'!$C$4="",A802&gt;='CSV抽出'!$C$4),OR('CSV抽出'!$C$5="",A802&lt;='CSV抽出'!$C$5),OR('CSV抽出'!$C$6="すべて",'CSV抽出'!$C$6="",D802='CSV抽出'!$C$6),OR('CSV抽出'!$C$7="",B802&amp;""='CSV抽出'!$C$7&amp;"")),1,0))</f>
        <v/>
      </c>
      <c r="AI802" s="20">
        <f>IF(AH802=1,SUM($AH$5:AH802),"")</f>
        <v/>
      </c>
      <c r="AJ802" s="20">
        <f>IF(OR(S802="",'報告書'!$C$4=""),"",IF(S802&amp;""='報告書'!$C$4&amp;"",COUNTIF($S$5:S802,'報告書'!$C$4),""))</f>
        <v/>
      </c>
      <c r="AK802" s="20" t="n"/>
      <c r="AL802" s="47" t="n"/>
      <c r="AM802" s="47" t="n"/>
      <c r="AN802" s="53" t="n"/>
      <c r="AO802" s="47" t="n"/>
      <c r="AP802" s="47" t="n"/>
      <c r="AQ802" s="47" t="n"/>
      <c r="AR802" s="47" t="n"/>
      <c r="AS802" s="47" t="n"/>
      <c r="AT802" s="47" t="n"/>
      <c r="AU802" s="47" t="n"/>
      <c r="AV802" s="47" t="n"/>
      <c r="AW802" s="52" t="n"/>
    </row>
    <row r="803">
      <c r="A803" s="48" t="n"/>
      <c r="B803" s="52" t="n"/>
      <c r="C803" s="47">
        <f>IF(B803="","",IFERROR(INDEX('隊員マスタ'!$B$5:$B$204,MATCH(B803&amp;"",'隊員マスタ'!$F$5:$F$204,0)),IF(AK803="","番号なし",AK803)))</f>
        <v/>
      </c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  <c r="N803" s="47" t="n"/>
      <c r="O803" s="47" t="n"/>
      <c r="P803" s="47" t="n"/>
      <c r="Q803" s="47" t="n"/>
      <c r="R803" s="47" t="n"/>
      <c r="S803" s="47" t="n"/>
      <c r="T803" s="47" t="n"/>
      <c r="U803" s="53" t="n"/>
      <c r="V803" s="53" t="n"/>
      <c r="W803" s="47" t="n"/>
      <c r="X803" s="47" t="n"/>
      <c r="Y803" s="47" t="n"/>
      <c r="Z803" s="47" t="n"/>
      <c r="AA803" s="47" t="n"/>
      <c r="AB803" s="47" t="n"/>
      <c r="AC803" s="47" t="n"/>
      <c r="AD803" s="47" t="n"/>
      <c r="AE803" s="47" t="n"/>
      <c r="AF803" s="20">
        <f>IF(A803="","",YEAR(EDATE(A803,-3)))</f>
        <v/>
      </c>
      <c r="AG803" s="20">
        <f>IF(OR(B803="",'経歴簿'!$C$4=""),"",IF(B803&amp;""='経歴簿'!$C$4&amp;"",MAX($AG$4:AG802)+1,""))</f>
        <v/>
      </c>
      <c r="AH803" s="20">
        <f>IF(A803="",0,IF(AND(OR('CSV抽出'!$C$4="",A803&gt;='CSV抽出'!$C$4),OR('CSV抽出'!$C$5="",A803&lt;='CSV抽出'!$C$5),OR('CSV抽出'!$C$6="すべて",'CSV抽出'!$C$6="",D803='CSV抽出'!$C$6),OR('CSV抽出'!$C$7="",B803&amp;""='CSV抽出'!$C$7&amp;"")),1,0))</f>
        <v/>
      </c>
      <c r="AI803" s="20">
        <f>IF(AH803=1,SUM($AH$5:AH803),"")</f>
        <v/>
      </c>
      <c r="AJ803" s="20">
        <f>IF(OR(S803="",'報告書'!$C$4=""),"",IF(S803&amp;""='報告書'!$C$4&amp;"",COUNTIF($S$5:S803,'報告書'!$C$4),""))</f>
        <v/>
      </c>
      <c r="AK803" s="20" t="n"/>
      <c r="AL803" s="47" t="n"/>
      <c r="AM803" s="47" t="n"/>
      <c r="AN803" s="53" t="n"/>
      <c r="AO803" s="47" t="n"/>
      <c r="AP803" s="47" t="n"/>
      <c r="AQ803" s="47" t="n"/>
      <c r="AR803" s="47" t="n"/>
      <c r="AS803" s="47" t="n"/>
      <c r="AT803" s="47" t="n"/>
      <c r="AU803" s="47" t="n"/>
      <c r="AV803" s="47" t="n"/>
      <c r="AW803" s="52" t="n"/>
    </row>
    <row r="804">
      <c r="A804" s="48" t="n"/>
      <c r="B804" s="52" t="n"/>
      <c r="C804" s="47">
        <f>IF(B804="","",IFERROR(INDEX('隊員マスタ'!$B$5:$B$204,MATCH(B804&amp;"",'隊員マスタ'!$F$5:$F$204,0)),IF(AK804="","番号なし",AK804)))</f>
        <v/>
      </c>
      <c r="D804" s="47" t="n"/>
      <c r="E804" s="47" t="n"/>
      <c r="F804" s="47" t="n"/>
      <c r="G804" s="47" t="n"/>
      <c r="H804" s="47" t="n"/>
      <c r="I804" s="47" t="n"/>
      <c r="J804" s="47" t="n"/>
      <c r="K804" s="47" t="n"/>
      <c r="L804" s="47" t="n"/>
      <c r="M804" s="47" t="n"/>
      <c r="N804" s="47" t="n"/>
      <c r="O804" s="47" t="n"/>
      <c r="P804" s="47" t="n"/>
      <c r="Q804" s="47" t="n"/>
      <c r="R804" s="47" t="n"/>
      <c r="S804" s="47" t="n"/>
      <c r="T804" s="47" t="n"/>
      <c r="U804" s="53" t="n"/>
      <c r="V804" s="53" t="n"/>
      <c r="W804" s="47" t="n"/>
      <c r="X804" s="47" t="n"/>
      <c r="Y804" s="47" t="n"/>
      <c r="Z804" s="47" t="n"/>
      <c r="AA804" s="47" t="n"/>
      <c r="AB804" s="47" t="n"/>
      <c r="AC804" s="47" t="n"/>
      <c r="AD804" s="47" t="n"/>
      <c r="AE804" s="47" t="n"/>
      <c r="AF804" s="20">
        <f>IF(A804="","",YEAR(EDATE(A804,-3)))</f>
        <v/>
      </c>
      <c r="AG804" s="20">
        <f>IF(OR(B804="",'経歴簿'!$C$4=""),"",IF(B804&amp;""='経歴簿'!$C$4&amp;"",MAX($AG$4:AG803)+1,""))</f>
        <v/>
      </c>
      <c r="AH804" s="20">
        <f>IF(A804="",0,IF(AND(OR('CSV抽出'!$C$4="",A804&gt;='CSV抽出'!$C$4),OR('CSV抽出'!$C$5="",A804&lt;='CSV抽出'!$C$5),OR('CSV抽出'!$C$6="すべて",'CSV抽出'!$C$6="",D804='CSV抽出'!$C$6),OR('CSV抽出'!$C$7="",B804&amp;""='CSV抽出'!$C$7&amp;"")),1,0))</f>
        <v/>
      </c>
      <c r="AI804" s="20">
        <f>IF(AH804=1,SUM($AH$5:AH804),"")</f>
        <v/>
      </c>
      <c r="AJ804" s="20">
        <f>IF(OR(S804="",'報告書'!$C$4=""),"",IF(S804&amp;""='報告書'!$C$4&amp;"",COUNTIF($S$5:S804,'報告書'!$C$4),""))</f>
        <v/>
      </c>
      <c r="AK804" s="20" t="n"/>
      <c r="AL804" s="47" t="n"/>
      <c r="AM804" s="47" t="n"/>
      <c r="AN804" s="53" t="n"/>
      <c r="AO804" s="47" t="n"/>
      <c r="AP804" s="47" t="n"/>
      <c r="AQ804" s="47" t="n"/>
      <c r="AR804" s="47" t="n"/>
      <c r="AS804" s="47" t="n"/>
      <c r="AT804" s="47" t="n"/>
      <c r="AU804" s="47" t="n"/>
      <c r="AV804" s="47" t="n"/>
      <c r="AW804" s="52" t="n"/>
    </row>
    <row r="805">
      <c r="A805" s="48" t="n"/>
      <c r="B805" s="52" t="n"/>
      <c r="C805" s="47">
        <f>IF(B805="","",IFERROR(INDEX('隊員マスタ'!$B$5:$B$204,MATCH(B805&amp;"",'隊員マスタ'!$F$5:$F$204,0)),IF(AK805="","番号なし",AK805)))</f>
        <v/>
      </c>
      <c r="D805" s="47" t="n"/>
      <c r="E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  <c r="N805" s="47" t="n"/>
      <c r="O805" s="47" t="n"/>
      <c r="P805" s="47" t="n"/>
      <c r="Q805" s="47" t="n"/>
      <c r="R805" s="47" t="n"/>
      <c r="S805" s="47" t="n"/>
      <c r="T805" s="47" t="n"/>
      <c r="U805" s="53" t="n"/>
      <c r="V805" s="53" t="n"/>
      <c r="W805" s="47" t="n"/>
      <c r="X805" s="47" t="n"/>
      <c r="Y805" s="47" t="n"/>
      <c r="Z805" s="47" t="n"/>
      <c r="AA805" s="47" t="n"/>
      <c r="AB805" s="47" t="n"/>
      <c r="AC805" s="47" t="n"/>
      <c r="AD805" s="47" t="n"/>
      <c r="AE805" s="47" t="n"/>
      <c r="AF805" s="20">
        <f>IF(A805="","",YEAR(EDATE(A805,-3)))</f>
        <v/>
      </c>
      <c r="AG805" s="20">
        <f>IF(OR(B805="",'経歴簿'!$C$4=""),"",IF(B805&amp;""='経歴簿'!$C$4&amp;"",MAX($AG$4:AG804)+1,""))</f>
        <v/>
      </c>
      <c r="AH805" s="20">
        <f>IF(A805="",0,IF(AND(OR('CSV抽出'!$C$4="",A805&gt;='CSV抽出'!$C$4),OR('CSV抽出'!$C$5="",A805&lt;='CSV抽出'!$C$5),OR('CSV抽出'!$C$6="すべて",'CSV抽出'!$C$6="",D805='CSV抽出'!$C$6),OR('CSV抽出'!$C$7="",B805&amp;""='CSV抽出'!$C$7&amp;"")),1,0))</f>
        <v/>
      </c>
      <c r="AI805" s="20">
        <f>IF(AH805=1,SUM($AH$5:AH805),"")</f>
        <v/>
      </c>
      <c r="AJ805" s="20">
        <f>IF(OR(S805="",'報告書'!$C$4=""),"",IF(S805&amp;""='報告書'!$C$4&amp;"",COUNTIF($S$5:S805,'報告書'!$C$4),""))</f>
        <v/>
      </c>
      <c r="AK805" s="20" t="n"/>
      <c r="AL805" s="47" t="n"/>
      <c r="AM805" s="47" t="n"/>
      <c r="AN805" s="53" t="n"/>
      <c r="AO805" s="47" t="n"/>
      <c r="AP805" s="47" t="n"/>
      <c r="AQ805" s="47" t="n"/>
      <c r="AR805" s="47" t="n"/>
      <c r="AS805" s="47" t="n"/>
      <c r="AT805" s="47" t="n"/>
      <c r="AU805" s="47" t="n"/>
      <c r="AV805" s="47" t="n"/>
      <c r="AW805" s="52" t="n"/>
    </row>
    <row r="806">
      <c r="A806" s="48" t="n"/>
      <c r="B806" s="52" t="n"/>
      <c r="C806" s="47">
        <f>IF(B806="","",IFERROR(INDEX('隊員マスタ'!$B$5:$B$204,MATCH(B806&amp;"",'隊員マスタ'!$F$5:$F$204,0)),IF(AK806="","番号なし",AK806)))</f>
        <v/>
      </c>
      <c r="D806" s="47" t="n"/>
      <c r="E806" s="47" t="n"/>
      <c r="F806" s="47" t="n"/>
      <c r="G806" s="47" t="n"/>
      <c r="H806" s="47" t="n"/>
      <c r="I806" s="47" t="n"/>
      <c r="J806" s="47" t="n"/>
      <c r="K806" s="47" t="n"/>
      <c r="L806" s="47" t="n"/>
      <c r="M806" s="47" t="n"/>
      <c r="N806" s="47" t="n"/>
      <c r="O806" s="47" t="n"/>
      <c r="P806" s="47" t="n"/>
      <c r="Q806" s="47" t="n"/>
      <c r="R806" s="47" t="n"/>
      <c r="S806" s="47" t="n"/>
      <c r="T806" s="47" t="n"/>
      <c r="U806" s="53" t="n"/>
      <c r="V806" s="53" t="n"/>
      <c r="W806" s="47" t="n"/>
      <c r="X806" s="47" t="n"/>
      <c r="Y806" s="47" t="n"/>
      <c r="Z806" s="47" t="n"/>
      <c r="AA806" s="47" t="n"/>
      <c r="AB806" s="47" t="n"/>
      <c r="AC806" s="47" t="n"/>
      <c r="AD806" s="47" t="n"/>
      <c r="AE806" s="47" t="n"/>
      <c r="AF806" s="20">
        <f>IF(A806="","",YEAR(EDATE(A806,-3)))</f>
        <v/>
      </c>
      <c r="AG806" s="20">
        <f>IF(OR(B806="",'経歴簿'!$C$4=""),"",IF(B806&amp;""='経歴簿'!$C$4&amp;"",MAX($AG$4:AG805)+1,""))</f>
        <v/>
      </c>
      <c r="AH806" s="20">
        <f>IF(A806="",0,IF(AND(OR('CSV抽出'!$C$4="",A806&gt;='CSV抽出'!$C$4),OR('CSV抽出'!$C$5="",A806&lt;='CSV抽出'!$C$5),OR('CSV抽出'!$C$6="すべて",'CSV抽出'!$C$6="",D806='CSV抽出'!$C$6),OR('CSV抽出'!$C$7="",B806&amp;""='CSV抽出'!$C$7&amp;"")),1,0))</f>
        <v/>
      </c>
      <c r="AI806" s="20">
        <f>IF(AH806=1,SUM($AH$5:AH806),"")</f>
        <v/>
      </c>
      <c r="AJ806" s="20">
        <f>IF(OR(S806="",'報告書'!$C$4=""),"",IF(S806&amp;""='報告書'!$C$4&amp;"",COUNTIF($S$5:S806,'報告書'!$C$4),""))</f>
        <v/>
      </c>
      <c r="AK806" s="20" t="n"/>
      <c r="AL806" s="47" t="n"/>
      <c r="AM806" s="47" t="n"/>
      <c r="AN806" s="53" t="n"/>
      <c r="AO806" s="47" t="n"/>
      <c r="AP806" s="47" t="n"/>
      <c r="AQ806" s="47" t="n"/>
      <c r="AR806" s="47" t="n"/>
      <c r="AS806" s="47" t="n"/>
      <c r="AT806" s="47" t="n"/>
      <c r="AU806" s="47" t="n"/>
      <c r="AV806" s="47" t="n"/>
      <c r="AW806" s="52" t="n"/>
    </row>
    <row r="807">
      <c r="A807" s="48" t="n"/>
      <c r="B807" s="52" t="n"/>
      <c r="C807" s="47">
        <f>IF(B807="","",IFERROR(INDEX('隊員マスタ'!$B$5:$B$204,MATCH(B807&amp;"",'隊員マスタ'!$F$5:$F$204,0)),IF(AK807="","番号なし",AK807)))</f>
        <v/>
      </c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  <c r="N807" s="47" t="n"/>
      <c r="O807" s="47" t="n"/>
      <c r="P807" s="47" t="n"/>
      <c r="Q807" s="47" t="n"/>
      <c r="R807" s="47" t="n"/>
      <c r="S807" s="47" t="n"/>
      <c r="T807" s="47" t="n"/>
      <c r="U807" s="53" t="n"/>
      <c r="V807" s="53" t="n"/>
      <c r="W807" s="47" t="n"/>
      <c r="X807" s="47" t="n"/>
      <c r="Y807" s="47" t="n"/>
      <c r="Z807" s="47" t="n"/>
      <c r="AA807" s="47" t="n"/>
      <c r="AB807" s="47" t="n"/>
      <c r="AC807" s="47" t="n"/>
      <c r="AD807" s="47" t="n"/>
      <c r="AE807" s="47" t="n"/>
      <c r="AF807" s="20">
        <f>IF(A807="","",YEAR(EDATE(A807,-3)))</f>
        <v/>
      </c>
      <c r="AG807" s="20">
        <f>IF(OR(B807="",'経歴簿'!$C$4=""),"",IF(B807&amp;""='経歴簿'!$C$4&amp;"",MAX($AG$4:AG806)+1,""))</f>
        <v/>
      </c>
      <c r="AH807" s="20">
        <f>IF(A807="",0,IF(AND(OR('CSV抽出'!$C$4="",A807&gt;='CSV抽出'!$C$4),OR('CSV抽出'!$C$5="",A807&lt;='CSV抽出'!$C$5),OR('CSV抽出'!$C$6="すべて",'CSV抽出'!$C$6="",D807='CSV抽出'!$C$6),OR('CSV抽出'!$C$7="",B807&amp;""='CSV抽出'!$C$7&amp;"")),1,0))</f>
        <v/>
      </c>
      <c r="AI807" s="20">
        <f>IF(AH807=1,SUM($AH$5:AH807),"")</f>
        <v/>
      </c>
      <c r="AJ807" s="20">
        <f>IF(OR(S807="",'報告書'!$C$4=""),"",IF(S807&amp;""='報告書'!$C$4&amp;"",COUNTIF($S$5:S807,'報告書'!$C$4),""))</f>
        <v/>
      </c>
      <c r="AK807" s="20" t="n"/>
      <c r="AL807" s="47" t="n"/>
      <c r="AM807" s="47" t="n"/>
      <c r="AN807" s="53" t="n"/>
      <c r="AO807" s="47" t="n"/>
      <c r="AP807" s="47" t="n"/>
      <c r="AQ807" s="47" t="n"/>
      <c r="AR807" s="47" t="n"/>
      <c r="AS807" s="47" t="n"/>
      <c r="AT807" s="47" t="n"/>
      <c r="AU807" s="47" t="n"/>
      <c r="AV807" s="47" t="n"/>
      <c r="AW807" s="52" t="n"/>
    </row>
    <row r="808">
      <c r="A808" s="48" t="n"/>
      <c r="B808" s="52" t="n"/>
      <c r="C808" s="47">
        <f>IF(B808="","",IFERROR(INDEX('隊員マスタ'!$B$5:$B$204,MATCH(B808&amp;"",'隊員マスタ'!$F$5:$F$204,0)),IF(AK808="","番号なし",AK808)))</f>
        <v/>
      </c>
      <c r="D808" s="47" t="n"/>
      <c r="E808" s="47" t="n"/>
      <c r="F808" s="47" t="n"/>
      <c r="G808" s="47" t="n"/>
      <c r="H808" s="47" t="n"/>
      <c r="I808" s="47" t="n"/>
      <c r="J808" s="47" t="n"/>
      <c r="K808" s="47" t="n"/>
      <c r="L808" s="47" t="n"/>
      <c r="M808" s="47" t="n"/>
      <c r="N808" s="47" t="n"/>
      <c r="O808" s="47" t="n"/>
      <c r="P808" s="47" t="n"/>
      <c r="Q808" s="47" t="n"/>
      <c r="R808" s="47" t="n"/>
      <c r="S808" s="47" t="n"/>
      <c r="T808" s="47" t="n"/>
      <c r="U808" s="53" t="n"/>
      <c r="V808" s="53" t="n"/>
      <c r="W808" s="47" t="n"/>
      <c r="X808" s="47" t="n"/>
      <c r="Y808" s="47" t="n"/>
      <c r="Z808" s="47" t="n"/>
      <c r="AA808" s="47" t="n"/>
      <c r="AB808" s="47" t="n"/>
      <c r="AC808" s="47" t="n"/>
      <c r="AD808" s="47" t="n"/>
      <c r="AE808" s="47" t="n"/>
      <c r="AF808" s="20">
        <f>IF(A808="","",YEAR(EDATE(A808,-3)))</f>
        <v/>
      </c>
      <c r="AG808" s="20">
        <f>IF(OR(B808="",'経歴簿'!$C$4=""),"",IF(B808&amp;""='経歴簿'!$C$4&amp;"",MAX($AG$4:AG807)+1,""))</f>
        <v/>
      </c>
      <c r="AH808" s="20">
        <f>IF(A808="",0,IF(AND(OR('CSV抽出'!$C$4="",A808&gt;='CSV抽出'!$C$4),OR('CSV抽出'!$C$5="",A808&lt;='CSV抽出'!$C$5),OR('CSV抽出'!$C$6="すべて",'CSV抽出'!$C$6="",D808='CSV抽出'!$C$6),OR('CSV抽出'!$C$7="",B808&amp;""='CSV抽出'!$C$7&amp;"")),1,0))</f>
        <v/>
      </c>
      <c r="AI808" s="20">
        <f>IF(AH808=1,SUM($AH$5:AH808),"")</f>
        <v/>
      </c>
      <c r="AJ808" s="20">
        <f>IF(OR(S808="",'報告書'!$C$4=""),"",IF(S808&amp;""='報告書'!$C$4&amp;"",COUNTIF($S$5:S808,'報告書'!$C$4),""))</f>
        <v/>
      </c>
      <c r="AK808" s="20" t="n"/>
      <c r="AL808" s="47" t="n"/>
      <c r="AM808" s="47" t="n"/>
      <c r="AN808" s="53" t="n"/>
      <c r="AO808" s="47" t="n"/>
      <c r="AP808" s="47" t="n"/>
      <c r="AQ808" s="47" t="n"/>
      <c r="AR808" s="47" t="n"/>
      <c r="AS808" s="47" t="n"/>
      <c r="AT808" s="47" t="n"/>
      <c r="AU808" s="47" t="n"/>
      <c r="AV808" s="47" t="n"/>
      <c r="AW808" s="52" t="n"/>
    </row>
    <row r="809">
      <c r="A809" s="48" t="n"/>
      <c r="B809" s="52" t="n"/>
      <c r="C809" s="47">
        <f>IF(B809="","",IFERROR(INDEX('隊員マスタ'!$B$5:$B$204,MATCH(B809&amp;"",'隊員マスタ'!$F$5:$F$204,0)),IF(AK809="","番号なし",AK809)))</f>
        <v/>
      </c>
      <c r="D809" s="47" t="n"/>
      <c r="E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  <c r="N809" s="47" t="n"/>
      <c r="O809" s="47" t="n"/>
      <c r="P809" s="47" t="n"/>
      <c r="Q809" s="47" t="n"/>
      <c r="R809" s="47" t="n"/>
      <c r="S809" s="47" t="n"/>
      <c r="T809" s="47" t="n"/>
      <c r="U809" s="53" t="n"/>
      <c r="V809" s="53" t="n"/>
      <c r="W809" s="47" t="n"/>
      <c r="X809" s="47" t="n"/>
      <c r="Y809" s="47" t="n"/>
      <c r="Z809" s="47" t="n"/>
      <c r="AA809" s="47" t="n"/>
      <c r="AB809" s="47" t="n"/>
      <c r="AC809" s="47" t="n"/>
      <c r="AD809" s="47" t="n"/>
      <c r="AE809" s="47" t="n"/>
      <c r="AF809" s="20">
        <f>IF(A809="","",YEAR(EDATE(A809,-3)))</f>
        <v/>
      </c>
      <c r="AG809" s="20">
        <f>IF(OR(B809="",'経歴簿'!$C$4=""),"",IF(B809&amp;""='経歴簿'!$C$4&amp;"",MAX($AG$4:AG808)+1,""))</f>
        <v/>
      </c>
      <c r="AH809" s="20">
        <f>IF(A809="",0,IF(AND(OR('CSV抽出'!$C$4="",A809&gt;='CSV抽出'!$C$4),OR('CSV抽出'!$C$5="",A809&lt;='CSV抽出'!$C$5),OR('CSV抽出'!$C$6="すべて",'CSV抽出'!$C$6="",D809='CSV抽出'!$C$6),OR('CSV抽出'!$C$7="",B809&amp;""='CSV抽出'!$C$7&amp;"")),1,0))</f>
        <v/>
      </c>
      <c r="AI809" s="20">
        <f>IF(AH809=1,SUM($AH$5:AH809),"")</f>
        <v/>
      </c>
      <c r="AJ809" s="20">
        <f>IF(OR(S809="",'報告書'!$C$4=""),"",IF(S809&amp;""='報告書'!$C$4&amp;"",COUNTIF($S$5:S809,'報告書'!$C$4),""))</f>
        <v/>
      </c>
      <c r="AK809" s="20" t="n"/>
      <c r="AL809" s="47" t="n"/>
      <c r="AM809" s="47" t="n"/>
      <c r="AN809" s="53" t="n"/>
      <c r="AO809" s="47" t="n"/>
      <c r="AP809" s="47" t="n"/>
      <c r="AQ809" s="47" t="n"/>
      <c r="AR809" s="47" t="n"/>
      <c r="AS809" s="47" t="n"/>
      <c r="AT809" s="47" t="n"/>
      <c r="AU809" s="47" t="n"/>
      <c r="AV809" s="47" t="n"/>
      <c r="AW809" s="52" t="n"/>
    </row>
    <row r="810">
      <c r="A810" s="48" t="n"/>
      <c r="B810" s="52" t="n"/>
      <c r="C810" s="47">
        <f>IF(B810="","",IFERROR(INDEX('隊員マスタ'!$B$5:$B$204,MATCH(B810&amp;"",'隊員マスタ'!$F$5:$F$204,0)),IF(AK810="","番号なし",AK810)))</f>
        <v/>
      </c>
      <c r="D810" s="47" t="n"/>
      <c r="E810" s="47" t="n"/>
      <c r="F810" s="47" t="n"/>
      <c r="G810" s="47" t="n"/>
      <c r="H810" s="47" t="n"/>
      <c r="I810" s="47" t="n"/>
      <c r="J810" s="47" t="n"/>
      <c r="K810" s="47" t="n"/>
      <c r="L810" s="47" t="n"/>
      <c r="M810" s="47" t="n"/>
      <c r="N810" s="47" t="n"/>
      <c r="O810" s="47" t="n"/>
      <c r="P810" s="47" t="n"/>
      <c r="Q810" s="47" t="n"/>
      <c r="R810" s="47" t="n"/>
      <c r="S810" s="47" t="n"/>
      <c r="T810" s="47" t="n"/>
      <c r="U810" s="53" t="n"/>
      <c r="V810" s="53" t="n"/>
      <c r="W810" s="47" t="n"/>
      <c r="X810" s="47" t="n"/>
      <c r="Y810" s="47" t="n"/>
      <c r="Z810" s="47" t="n"/>
      <c r="AA810" s="47" t="n"/>
      <c r="AB810" s="47" t="n"/>
      <c r="AC810" s="47" t="n"/>
      <c r="AD810" s="47" t="n"/>
      <c r="AE810" s="47" t="n"/>
      <c r="AF810" s="20">
        <f>IF(A810="","",YEAR(EDATE(A810,-3)))</f>
        <v/>
      </c>
      <c r="AG810" s="20">
        <f>IF(OR(B810="",'経歴簿'!$C$4=""),"",IF(B810&amp;""='経歴簿'!$C$4&amp;"",MAX($AG$4:AG809)+1,""))</f>
        <v/>
      </c>
      <c r="AH810" s="20">
        <f>IF(A810="",0,IF(AND(OR('CSV抽出'!$C$4="",A810&gt;='CSV抽出'!$C$4),OR('CSV抽出'!$C$5="",A810&lt;='CSV抽出'!$C$5),OR('CSV抽出'!$C$6="すべて",'CSV抽出'!$C$6="",D810='CSV抽出'!$C$6),OR('CSV抽出'!$C$7="",B810&amp;""='CSV抽出'!$C$7&amp;"")),1,0))</f>
        <v/>
      </c>
      <c r="AI810" s="20">
        <f>IF(AH810=1,SUM($AH$5:AH810),"")</f>
        <v/>
      </c>
      <c r="AJ810" s="20">
        <f>IF(OR(S810="",'報告書'!$C$4=""),"",IF(S810&amp;""='報告書'!$C$4&amp;"",COUNTIF($S$5:S810,'報告書'!$C$4),""))</f>
        <v/>
      </c>
      <c r="AK810" s="20" t="n"/>
      <c r="AL810" s="47" t="n"/>
      <c r="AM810" s="47" t="n"/>
      <c r="AN810" s="53" t="n"/>
      <c r="AO810" s="47" t="n"/>
      <c r="AP810" s="47" t="n"/>
      <c r="AQ810" s="47" t="n"/>
      <c r="AR810" s="47" t="n"/>
      <c r="AS810" s="47" t="n"/>
      <c r="AT810" s="47" t="n"/>
      <c r="AU810" s="47" t="n"/>
      <c r="AV810" s="47" t="n"/>
      <c r="AW810" s="52" t="n"/>
    </row>
    <row r="811">
      <c r="A811" s="48" t="n"/>
      <c r="B811" s="52" t="n"/>
      <c r="C811" s="47">
        <f>IF(B811="","",IFERROR(INDEX('隊員マスタ'!$B$5:$B$204,MATCH(B811&amp;"",'隊員マスタ'!$F$5:$F$204,0)),IF(AK811="","番号なし",AK811)))</f>
        <v/>
      </c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  <c r="N811" s="47" t="n"/>
      <c r="O811" s="47" t="n"/>
      <c r="P811" s="47" t="n"/>
      <c r="Q811" s="47" t="n"/>
      <c r="R811" s="47" t="n"/>
      <c r="S811" s="47" t="n"/>
      <c r="T811" s="47" t="n"/>
      <c r="U811" s="53" t="n"/>
      <c r="V811" s="53" t="n"/>
      <c r="W811" s="47" t="n"/>
      <c r="X811" s="47" t="n"/>
      <c r="Y811" s="47" t="n"/>
      <c r="Z811" s="47" t="n"/>
      <c r="AA811" s="47" t="n"/>
      <c r="AB811" s="47" t="n"/>
      <c r="AC811" s="47" t="n"/>
      <c r="AD811" s="47" t="n"/>
      <c r="AE811" s="47" t="n"/>
      <c r="AF811" s="20">
        <f>IF(A811="","",YEAR(EDATE(A811,-3)))</f>
        <v/>
      </c>
      <c r="AG811" s="20">
        <f>IF(OR(B811="",'経歴簿'!$C$4=""),"",IF(B811&amp;""='経歴簿'!$C$4&amp;"",MAX($AG$4:AG810)+1,""))</f>
        <v/>
      </c>
      <c r="AH811" s="20">
        <f>IF(A811="",0,IF(AND(OR('CSV抽出'!$C$4="",A811&gt;='CSV抽出'!$C$4),OR('CSV抽出'!$C$5="",A811&lt;='CSV抽出'!$C$5),OR('CSV抽出'!$C$6="すべて",'CSV抽出'!$C$6="",D811='CSV抽出'!$C$6),OR('CSV抽出'!$C$7="",B811&amp;""='CSV抽出'!$C$7&amp;"")),1,0))</f>
        <v/>
      </c>
      <c r="AI811" s="20">
        <f>IF(AH811=1,SUM($AH$5:AH811),"")</f>
        <v/>
      </c>
      <c r="AJ811" s="20">
        <f>IF(OR(S811="",'報告書'!$C$4=""),"",IF(S811&amp;""='報告書'!$C$4&amp;"",COUNTIF($S$5:S811,'報告書'!$C$4),""))</f>
        <v/>
      </c>
      <c r="AK811" s="20" t="n"/>
      <c r="AL811" s="47" t="n"/>
      <c r="AM811" s="47" t="n"/>
      <c r="AN811" s="53" t="n"/>
      <c r="AO811" s="47" t="n"/>
      <c r="AP811" s="47" t="n"/>
      <c r="AQ811" s="47" t="n"/>
      <c r="AR811" s="47" t="n"/>
      <c r="AS811" s="47" t="n"/>
      <c r="AT811" s="47" t="n"/>
      <c r="AU811" s="47" t="n"/>
      <c r="AV811" s="47" t="n"/>
      <c r="AW811" s="52" t="n"/>
    </row>
    <row r="812">
      <c r="A812" s="48" t="n"/>
      <c r="B812" s="52" t="n"/>
      <c r="C812" s="47">
        <f>IF(B812="","",IFERROR(INDEX('隊員マスタ'!$B$5:$B$204,MATCH(B812&amp;"",'隊員マスタ'!$F$5:$F$204,0)),IF(AK812="","番号なし",AK812)))</f>
        <v/>
      </c>
      <c r="D812" s="47" t="n"/>
      <c r="E812" s="47" t="n"/>
      <c r="F812" s="47" t="n"/>
      <c r="G812" s="47" t="n"/>
      <c r="H812" s="47" t="n"/>
      <c r="I812" s="47" t="n"/>
      <c r="J812" s="47" t="n"/>
      <c r="K812" s="47" t="n"/>
      <c r="L812" s="47" t="n"/>
      <c r="M812" s="47" t="n"/>
      <c r="N812" s="47" t="n"/>
      <c r="O812" s="47" t="n"/>
      <c r="P812" s="47" t="n"/>
      <c r="Q812" s="47" t="n"/>
      <c r="R812" s="47" t="n"/>
      <c r="S812" s="47" t="n"/>
      <c r="T812" s="47" t="n"/>
      <c r="U812" s="53" t="n"/>
      <c r="V812" s="53" t="n"/>
      <c r="W812" s="47" t="n"/>
      <c r="X812" s="47" t="n"/>
      <c r="Y812" s="47" t="n"/>
      <c r="Z812" s="47" t="n"/>
      <c r="AA812" s="47" t="n"/>
      <c r="AB812" s="47" t="n"/>
      <c r="AC812" s="47" t="n"/>
      <c r="AD812" s="47" t="n"/>
      <c r="AE812" s="47" t="n"/>
      <c r="AF812" s="20">
        <f>IF(A812="","",YEAR(EDATE(A812,-3)))</f>
        <v/>
      </c>
      <c r="AG812" s="20">
        <f>IF(OR(B812="",'経歴簿'!$C$4=""),"",IF(B812&amp;""='経歴簿'!$C$4&amp;"",MAX($AG$4:AG811)+1,""))</f>
        <v/>
      </c>
      <c r="AH812" s="20">
        <f>IF(A812="",0,IF(AND(OR('CSV抽出'!$C$4="",A812&gt;='CSV抽出'!$C$4),OR('CSV抽出'!$C$5="",A812&lt;='CSV抽出'!$C$5),OR('CSV抽出'!$C$6="すべて",'CSV抽出'!$C$6="",D812='CSV抽出'!$C$6),OR('CSV抽出'!$C$7="",B812&amp;""='CSV抽出'!$C$7&amp;"")),1,0))</f>
        <v/>
      </c>
      <c r="AI812" s="20">
        <f>IF(AH812=1,SUM($AH$5:AH812),"")</f>
        <v/>
      </c>
      <c r="AJ812" s="20">
        <f>IF(OR(S812="",'報告書'!$C$4=""),"",IF(S812&amp;""='報告書'!$C$4&amp;"",COUNTIF($S$5:S812,'報告書'!$C$4),""))</f>
        <v/>
      </c>
      <c r="AK812" s="20" t="n"/>
      <c r="AL812" s="47" t="n"/>
      <c r="AM812" s="47" t="n"/>
      <c r="AN812" s="53" t="n"/>
      <c r="AO812" s="47" t="n"/>
      <c r="AP812" s="47" t="n"/>
      <c r="AQ812" s="47" t="n"/>
      <c r="AR812" s="47" t="n"/>
      <c r="AS812" s="47" t="n"/>
      <c r="AT812" s="47" t="n"/>
      <c r="AU812" s="47" t="n"/>
      <c r="AV812" s="47" t="n"/>
      <c r="AW812" s="52" t="n"/>
    </row>
    <row r="813">
      <c r="A813" s="48" t="n"/>
      <c r="B813" s="52" t="n"/>
      <c r="C813" s="47">
        <f>IF(B813="","",IFERROR(INDEX('隊員マスタ'!$B$5:$B$204,MATCH(B813&amp;"",'隊員マスタ'!$F$5:$F$204,0)),IF(AK813="","番号なし",AK813)))</f>
        <v/>
      </c>
      <c r="D813" s="47" t="n"/>
      <c r="E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  <c r="N813" s="47" t="n"/>
      <c r="O813" s="47" t="n"/>
      <c r="P813" s="47" t="n"/>
      <c r="Q813" s="47" t="n"/>
      <c r="R813" s="47" t="n"/>
      <c r="S813" s="47" t="n"/>
      <c r="T813" s="47" t="n"/>
      <c r="U813" s="53" t="n"/>
      <c r="V813" s="53" t="n"/>
      <c r="W813" s="47" t="n"/>
      <c r="X813" s="47" t="n"/>
      <c r="Y813" s="47" t="n"/>
      <c r="Z813" s="47" t="n"/>
      <c r="AA813" s="47" t="n"/>
      <c r="AB813" s="47" t="n"/>
      <c r="AC813" s="47" t="n"/>
      <c r="AD813" s="47" t="n"/>
      <c r="AE813" s="47" t="n"/>
      <c r="AF813" s="20">
        <f>IF(A813="","",YEAR(EDATE(A813,-3)))</f>
        <v/>
      </c>
      <c r="AG813" s="20">
        <f>IF(OR(B813="",'経歴簿'!$C$4=""),"",IF(B813&amp;""='経歴簿'!$C$4&amp;"",MAX($AG$4:AG812)+1,""))</f>
        <v/>
      </c>
      <c r="AH813" s="20">
        <f>IF(A813="",0,IF(AND(OR('CSV抽出'!$C$4="",A813&gt;='CSV抽出'!$C$4),OR('CSV抽出'!$C$5="",A813&lt;='CSV抽出'!$C$5),OR('CSV抽出'!$C$6="すべて",'CSV抽出'!$C$6="",D813='CSV抽出'!$C$6),OR('CSV抽出'!$C$7="",B813&amp;""='CSV抽出'!$C$7&amp;"")),1,0))</f>
        <v/>
      </c>
      <c r="AI813" s="20">
        <f>IF(AH813=1,SUM($AH$5:AH813),"")</f>
        <v/>
      </c>
      <c r="AJ813" s="20">
        <f>IF(OR(S813="",'報告書'!$C$4=""),"",IF(S813&amp;""='報告書'!$C$4&amp;"",COUNTIF($S$5:S813,'報告書'!$C$4),""))</f>
        <v/>
      </c>
      <c r="AK813" s="20" t="n"/>
      <c r="AL813" s="47" t="n"/>
      <c r="AM813" s="47" t="n"/>
      <c r="AN813" s="53" t="n"/>
      <c r="AO813" s="47" t="n"/>
      <c r="AP813" s="47" t="n"/>
      <c r="AQ813" s="47" t="n"/>
      <c r="AR813" s="47" t="n"/>
      <c r="AS813" s="47" t="n"/>
      <c r="AT813" s="47" t="n"/>
      <c r="AU813" s="47" t="n"/>
      <c r="AV813" s="47" t="n"/>
      <c r="AW813" s="52" t="n"/>
    </row>
    <row r="814">
      <c r="A814" s="48" t="n"/>
      <c r="B814" s="52" t="n"/>
      <c r="C814" s="47">
        <f>IF(B814="","",IFERROR(INDEX('隊員マスタ'!$B$5:$B$204,MATCH(B814&amp;"",'隊員マスタ'!$F$5:$F$204,0)),IF(AK814="","番号なし",AK814)))</f>
        <v/>
      </c>
      <c r="D814" s="47" t="n"/>
      <c r="E814" s="47" t="n"/>
      <c r="F814" s="47" t="n"/>
      <c r="G814" s="47" t="n"/>
      <c r="H814" s="47" t="n"/>
      <c r="I814" s="47" t="n"/>
      <c r="J814" s="47" t="n"/>
      <c r="K814" s="47" t="n"/>
      <c r="L814" s="47" t="n"/>
      <c r="M814" s="47" t="n"/>
      <c r="N814" s="47" t="n"/>
      <c r="O814" s="47" t="n"/>
      <c r="P814" s="47" t="n"/>
      <c r="Q814" s="47" t="n"/>
      <c r="R814" s="47" t="n"/>
      <c r="S814" s="47" t="n"/>
      <c r="T814" s="47" t="n"/>
      <c r="U814" s="53" t="n"/>
      <c r="V814" s="53" t="n"/>
      <c r="W814" s="47" t="n"/>
      <c r="X814" s="47" t="n"/>
      <c r="Y814" s="47" t="n"/>
      <c r="Z814" s="47" t="n"/>
      <c r="AA814" s="47" t="n"/>
      <c r="AB814" s="47" t="n"/>
      <c r="AC814" s="47" t="n"/>
      <c r="AD814" s="47" t="n"/>
      <c r="AE814" s="47" t="n"/>
      <c r="AF814" s="20">
        <f>IF(A814="","",YEAR(EDATE(A814,-3)))</f>
        <v/>
      </c>
      <c r="AG814" s="20">
        <f>IF(OR(B814="",'経歴簿'!$C$4=""),"",IF(B814&amp;""='経歴簿'!$C$4&amp;"",MAX($AG$4:AG813)+1,""))</f>
        <v/>
      </c>
      <c r="AH814" s="20">
        <f>IF(A814="",0,IF(AND(OR('CSV抽出'!$C$4="",A814&gt;='CSV抽出'!$C$4),OR('CSV抽出'!$C$5="",A814&lt;='CSV抽出'!$C$5),OR('CSV抽出'!$C$6="すべて",'CSV抽出'!$C$6="",D814='CSV抽出'!$C$6),OR('CSV抽出'!$C$7="",B814&amp;""='CSV抽出'!$C$7&amp;"")),1,0))</f>
        <v/>
      </c>
      <c r="AI814" s="20">
        <f>IF(AH814=1,SUM($AH$5:AH814),"")</f>
        <v/>
      </c>
      <c r="AJ814" s="20">
        <f>IF(OR(S814="",'報告書'!$C$4=""),"",IF(S814&amp;""='報告書'!$C$4&amp;"",COUNTIF($S$5:S814,'報告書'!$C$4),""))</f>
        <v/>
      </c>
      <c r="AK814" s="20" t="n"/>
      <c r="AL814" s="47" t="n"/>
      <c r="AM814" s="47" t="n"/>
      <c r="AN814" s="53" t="n"/>
      <c r="AO814" s="47" t="n"/>
      <c r="AP814" s="47" t="n"/>
      <c r="AQ814" s="47" t="n"/>
      <c r="AR814" s="47" t="n"/>
      <c r="AS814" s="47" t="n"/>
      <c r="AT814" s="47" t="n"/>
      <c r="AU814" s="47" t="n"/>
      <c r="AV814" s="47" t="n"/>
      <c r="AW814" s="52" t="n"/>
    </row>
    <row r="815">
      <c r="A815" s="48" t="n"/>
      <c r="B815" s="52" t="n"/>
      <c r="C815" s="47">
        <f>IF(B815="","",IFERROR(INDEX('隊員マスタ'!$B$5:$B$204,MATCH(B815&amp;"",'隊員マスタ'!$F$5:$F$204,0)),IF(AK815="","番号なし",AK815)))</f>
        <v/>
      </c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  <c r="N815" s="47" t="n"/>
      <c r="O815" s="47" t="n"/>
      <c r="P815" s="47" t="n"/>
      <c r="Q815" s="47" t="n"/>
      <c r="R815" s="47" t="n"/>
      <c r="S815" s="47" t="n"/>
      <c r="T815" s="47" t="n"/>
      <c r="U815" s="53" t="n"/>
      <c r="V815" s="53" t="n"/>
      <c r="W815" s="47" t="n"/>
      <c r="X815" s="47" t="n"/>
      <c r="Y815" s="47" t="n"/>
      <c r="Z815" s="47" t="n"/>
      <c r="AA815" s="47" t="n"/>
      <c r="AB815" s="47" t="n"/>
      <c r="AC815" s="47" t="n"/>
      <c r="AD815" s="47" t="n"/>
      <c r="AE815" s="47" t="n"/>
      <c r="AF815" s="20">
        <f>IF(A815="","",YEAR(EDATE(A815,-3)))</f>
        <v/>
      </c>
      <c r="AG815" s="20">
        <f>IF(OR(B815="",'経歴簿'!$C$4=""),"",IF(B815&amp;""='経歴簿'!$C$4&amp;"",MAX($AG$4:AG814)+1,""))</f>
        <v/>
      </c>
      <c r="AH815" s="20">
        <f>IF(A815="",0,IF(AND(OR('CSV抽出'!$C$4="",A815&gt;='CSV抽出'!$C$4),OR('CSV抽出'!$C$5="",A815&lt;='CSV抽出'!$C$5),OR('CSV抽出'!$C$6="すべて",'CSV抽出'!$C$6="",D815='CSV抽出'!$C$6),OR('CSV抽出'!$C$7="",B815&amp;""='CSV抽出'!$C$7&amp;"")),1,0))</f>
        <v/>
      </c>
      <c r="AI815" s="20">
        <f>IF(AH815=1,SUM($AH$5:AH815),"")</f>
        <v/>
      </c>
      <c r="AJ815" s="20">
        <f>IF(OR(S815="",'報告書'!$C$4=""),"",IF(S815&amp;""='報告書'!$C$4&amp;"",COUNTIF($S$5:S815,'報告書'!$C$4),""))</f>
        <v/>
      </c>
      <c r="AK815" s="20" t="n"/>
      <c r="AL815" s="47" t="n"/>
      <c r="AM815" s="47" t="n"/>
      <c r="AN815" s="53" t="n"/>
      <c r="AO815" s="47" t="n"/>
      <c r="AP815" s="47" t="n"/>
      <c r="AQ815" s="47" t="n"/>
      <c r="AR815" s="47" t="n"/>
      <c r="AS815" s="47" t="n"/>
      <c r="AT815" s="47" t="n"/>
      <c r="AU815" s="47" t="n"/>
      <c r="AV815" s="47" t="n"/>
      <c r="AW815" s="52" t="n"/>
    </row>
    <row r="816">
      <c r="A816" s="48" t="n"/>
      <c r="B816" s="52" t="n"/>
      <c r="C816" s="47">
        <f>IF(B816="","",IFERROR(INDEX('隊員マスタ'!$B$5:$B$204,MATCH(B816&amp;"",'隊員マスタ'!$F$5:$F$204,0)),IF(AK816="","番号なし",AK816)))</f>
        <v/>
      </c>
      <c r="D816" s="47" t="n"/>
      <c r="E816" s="47" t="n"/>
      <c r="F816" s="47" t="n"/>
      <c r="G816" s="47" t="n"/>
      <c r="H816" s="47" t="n"/>
      <c r="I816" s="47" t="n"/>
      <c r="J816" s="47" t="n"/>
      <c r="K816" s="47" t="n"/>
      <c r="L816" s="47" t="n"/>
      <c r="M816" s="47" t="n"/>
      <c r="N816" s="47" t="n"/>
      <c r="O816" s="47" t="n"/>
      <c r="P816" s="47" t="n"/>
      <c r="Q816" s="47" t="n"/>
      <c r="R816" s="47" t="n"/>
      <c r="S816" s="47" t="n"/>
      <c r="T816" s="47" t="n"/>
      <c r="U816" s="53" t="n"/>
      <c r="V816" s="53" t="n"/>
      <c r="W816" s="47" t="n"/>
      <c r="X816" s="47" t="n"/>
      <c r="Y816" s="47" t="n"/>
      <c r="Z816" s="47" t="n"/>
      <c r="AA816" s="47" t="n"/>
      <c r="AB816" s="47" t="n"/>
      <c r="AC816" s="47" t="n"/>
      <c r="AD816" s="47" t="n"/>
      <c r="AE816" s="47" t="n"/>
      <c r="AF816" s="20">
        <f>IF(A816="","",YEAR(EDATE(A816,-3)))</f>
        <v/>
      </c>
      <c r="AG816" s="20">
        <f>IF(OR(B816="",'経歴簿'!$C$4=""),"",IF(B816&amp;""='経歴簿'!$C$4&amp;"",MAX($AG$4:AG815)+1,""))</f>
        <v/>
      </c>
      <c r="AH816" s="20">
        <f>IF(A816="",0,IF(AND(OR('CSV抽出'!$C$4="",A816&gt;='CSV抽出'!$C$4),OR('CSV抽出'!$C$5="",A816&lt;='CSV抽出'!$C$5),OR('CSV抽出'!$C$6="すべて",'CSV抽出'!$C$6="",D816='CSV抽出'!$C$6),OR('CSV抽出'!$C$7="",B816&amp;""='CSV抽出'!$C$7&amp;"")),1,0))</f>
        <v/>
      </c>
      <c r="AI816" s="20">
        <f>IF(AH816=1,SUM($AH$5:AH816),"")</f>
        <v/>
      </c>
      <c r="AJ816" s="20">
        <f>IF(OR(S816="",'報告書'!$C$4=""),"",IF(S816&amp;""='報告書'!$C$4&amp;"",COUNTIF($S$5:S816,'報告書'!$C$4),""))</f>
        <v/>
      </c>
      <c r="AK816" s="20" t="n"/>
      <c r="AL816" s="47" t="n"/>
      <c r="AM816" s="47" t="n"/>
      <c r="AN816" s="53" t="n"/>
      <c r="AO816" s="47" t="n"/>
      <c r="AP816" s="47" t="n"/>
      <c r="AQ816" s="47" t="n"/>
      <c r="AR816" s="47" t="n"/>
      <c r="AS816" s="47" t="n"/>
      <c r="AT816" s="47" t="n"/>
      <c r="AU816" s="47" t="n"/>
      <c r="AV816" s="47" t="n"/>
      <c r="AW816" s="52" t="n"/>
    </row>
    <row r="817">
      <c r="A817" s="48" t="n"/>
      <c r="B817" s="52" t="n"/>
      <c r="C817" s="47">
        <f>IF(B817="","",IFERROR(INDEX('隊員マスタ'!$B$5:$B$204,MATCH(B817&amp;"",'隊員マスタ'!$F$5:$F$204,0)),IF(AK817="","番号なし",AK817)))</f>
        <v/>
      </c>
      <c r="D817" s="47" t="n"/>
      <c r="E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  <c r="N817" s="47" t="n"/>
      <c r="O817" s="47" t="n"/>
      <c r="P817" s="47" t="n"/>
      <c r="Q817" s="47" t="n"/>
      <c r="R817" s="47" t="n"/>
      <c r="S817" s="47" t="n"/>
      <c r="T817" s="47" t="n"/>
      <c r="U817" s="53" t="n"/>
      <c r="V817" s="53" t="n"/>
      <c r="W817" s="47" t="n"/>
      <c r="X817" s="47" t="n"/>
      <c r="Y817" s="47" t="n"/>
      <c r="Z817" s="47" t="n"/>
      <c r="AA817" s="47" t="n"/>
      <c r="AB817" s="47" t="n"/>
      <c r="AC817" s="47" t="n"/>
      <c r="AD817" s="47" t="n"/>
      <c r="AE817" s="47" t="n"/>
      <c r="AF817" s="20">
        <f>IF(A817="","",YEAR(EDATE(A817,-3)))</f>
        <v/>
      </c>
      <c r="AG817" s="20">
        <f>IF(OR(B817="",'経歴簿'!$C$4=""),"",IF(B817&amp;""='経歴簿'!$C$4&amp;"",MAX($AG$4:AG816)+1,""))</f>
        <v/>
      </c>
      <c r="AH817" s="20">
        <f>IF(A817="",0,IF(AND(OR('CSV抽出'!$C$4="",A817&gt;='CSV抽出'!$C$4),OR('CSV抽出'!$C$5="",A817&lt;='CSV抽出'!$C$5),OR('CSV抽出'!$C$6="すべて",'CSV抽出'!$C$6="",D817='CSV抽出'!$C$6),OR('CSV抽出'!$C$7="",B817&amp;""='CSV抽出'!$C$7&amp;"")),1,0))</f>
        <v/>
      </c>
      <c r="AI817" s="20">
        <f>IF(AH817=1,SUM($AH$5:AH817),"")</f>
        <v/>
      </c>
      <c r="AJ817" s="20">
        <f>IF(OR(S817="",'報告書'!$C$4=""),"",IF(S817&amp;""='報告書'!$C$4&amp;"",COUNTIF($S$5:S817,'報告書'!$C$4),""))</f>
        <v/>
      </c>
      <c r="AK817" s="20" t="n"/>
      <c r="AL817" s="47" t="n"/>
      <c r="AM817" s="47" t="n"/>
      <c r="AN817" s="53" t="n"/>
      <c r="AO817" s="47" t="n"/>
      <c r="AP817" s="47" t="n"/>
      <c r="AQ817" s="47" t="n"/>
      <c r="AR817" s="47" t="n"/>
      <c r="AS817" s="47" t="n"/>
      <c r="AT817" s="47" t="n"/>
      <c r="AU817" s="47" t="n"/>
      <c r="AV817" s="47" t="n"/>
      <c r="AW817" s="52" t="n"/>
    </row>
    <row r="818">
      <c r="A818" s="48" t="n"/>
      <c r="B818" s="52" t="n"/>
      <c r="C818" s="47">
        <f>IF(B818="","",IFERROR(INDEX('隊員マスタ'!$B$5:$B$204,MATCH(B818&amp;"",'隊員マスタ'!$F$5:$F$204,0)),IF(AK818="","番号なし",AK818)))</f>
        <v/>
      </c>
      <c r="D818" s="47" t="n"/>
      <c r="E818" s="47" t="n"/>
      <c r="F818" s="47" t="n"/>
      <c r="G818" s="47" t="n"/>
      <c r="H818" s="47" t="n"/>
      <c r="I818" s="47" t="n"/>
      <c r="J818" s="47" t="n"/>
      <c r="K818" s="47" t="n"/>
      <c r="L818" s="47" t="n"/>
      <c r="M818" s="47" t="n"/>
      <c r="N818" s="47" t="n"/>
      <c r="O818" s="47" t="n"/>
      <c r="P818" s="47" t="n"/>
      <c r="Q818" s="47" t="n"/>
      <c r="R818" s="47" t="n"/>
      <c r="S818" s="47" t="n"/>
      <c r="T818" s="47" t="n"/>
      <c r="U818" s="53" t="n"/>
      <c r="V818" s="53" t="n"/>
      <c r="W818" s="47" t="n"/>
      <c r="X818" s="47" t="n"/>
      <c r="Y818" s="47" t="n"/>
      <c r="Z818" s="47" t="n"/>
      <c r="AA818" s="47" t="n"/>
      <c r="AB818" s="47" t="n"/>
      <c r="AC818" s="47" t="n"/>
      <c r="AD818" s="47" t="n"/>
      <c r="AE818" s="47" t="n"/>
      <c r="AF818" s="20">
        <f>IF(A818="","",YEAR(EDATE(A818,-3)))</f>
        <v/>
      </c>
      <c r="AG818" s="20">
        <f>IF(OR(B818="",'経歴簿'!$C$4=""),"",IF(B818&amp;""='経歴簿'!$C$4&amp;"",MAX($AG$4:AG817)+1,""))</f>
        <v/>
      </c>
      <c r="AH818" s="20">
        <f>IF(A818="",0,IF(AND(OR('CSV抽出'!$C$4="",A818&gt;='CSV抽出'!$C$4),OR('CSV抽出'!$C$5="",A818&lt;='CSV抽出'!$C$5),OR('CSV抽出'!$C$6="すべて",'CSV抽出'!$C$6="",D818='CSV抽出'!$C$6),OR('CSV抽出'!$C$7="",B818&amp;""='CSV抽出'!$C$7&amp;"")),1,0))</f>
        <v/>
      </c>
      <c r="AI818" s="20">
        <f>IF(AH818=1,SUM($AH$5:AH818),"")</f>
        <v/>
      </c>
      <c r="AJ818" s="20">
        <f>IF(OR(S818="",'報告書'!$C$4=""),"",IF(S818&amp;""='報告書'!$C$4&amp;"",COUNTIF($S$5:S818,'報告書'!$C$4),""))</f>
        <v/>
      </c>
      <c r="AK818" s="20" t="n"/>
      <c r="AL818" s="47" t="n"/>
      <c r="AM818" s="47" t="n"/>
      <c r="AN818" s="53" t="n"/>
      <c r="AO818" s="47" t="n"/>
      <c r="AP818" s="47" t="n"/>
      <c r="AQ818" s="47" t="n"/>
      <c r="AR818" s="47" t="n"/>
      <c r="AS818" s="47" t="n"/>
      <c r="AT818" s="47" t="n"/>
      <c r="AU818" s="47" t="n"/>
      <c r="AV818" s="47" t="n"/>
      <c r="AW818" s="52" t="n"/>
    </row>
    <row r="819">
      <c r="A819" s="48" t="n"/>
      <c r="B819" s="52" t="n"/>
      <c r="C819" s="47">
        <f>IF(B819="","",IFERROR(INDEX('隊員マスタ'!$B$5:$B$204,MATCH(B819&amp;"",'隊員マスタ'!$F$5:$F$204,0)),IF(AK819="","番号なし",AK819)))</f>
        <v/>
      </c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  <c r="N819" s="47" t="n"/>
      <c r="O819" s="47" t="n"/>
      <c r="P819" s="47" t="n"/>
      <c r="Q819" s="47" t="n"/>
      <c r="R819" s="47" t="n"/>
      <c r="S819" s="47" t="n"/>
      <c r="T819" s="47" t="n"/>
      <c r="U819" s="53" t="n"/>
      <c r="V819" s="53" t="n"/>
      <c r="W819" s="47" t="n"/>
      <c r="X819" s="47" t="n"/>
      <c r="Y819" s="47" t="n"/>
      <c r="Z819" s="47" t="n"/>
      <c r="AA819" s="47" t="n"/>
      <c r="AB819" s="47" t="n"/>
      <c r="AC819" s="47" t="n"/>
      <c r="AD819" s="47" t="n"/>
      <c r="AE819" s="47" t="n"/>
      <c r="AF819" s="20">
        <f>IF(A819="","",YEAR(EDATE(A819,-3)))</f>
        <v/>
      </c>
      <c r="AG819" s="20">
        <f>IF(OR(B819="",'経歴簿'!$C$4=""),"",IF(B819&amp;""='経歴簿'!$C$4&amp;"",MAX($AG$4:AG818)+1,""))</f>
        <v/>
      </c>
      <c r="AH819" s="20">
        <f>IF(A819="",0,IF(AND(OR('CSV抽出'!$C$4="",A819&gt;='CSV抽出'!$C$4),OR('CSV抽出'!$C$5="",A819&lt;='CSV抽出'!$C$5),OR('CSV抽出'!$C$6="すべて",'CSV抽出'!$C$6="",D819='CSV抽出'!$C$6),OR('CSV抽出'!$C$7="",B819&amp;""='CSV抽出'!$C$7&amp;"")),1,0))</f>
        <v/>
      </c>
      <c r="AI819" s="20">
        <f>IF(AH819=1,SUM($AH$5:AH819),"")</f>
        <v/>
      </c>
      <c r="AJ819" s="20">
        <f>IF(OR(S819="",'報告書'!$C$4=""),"",IF(S819&amp;""='報告書'!$C$4&amp;"",COUNTIF($S$5:S819,'報告書'!$C$4),""))</f>
        <v/>
      </c>
      <c r="AK819" s="20" t="n"/>
      <c r="AL819" s="47" t="n"/>
      <c r="AM819" s="47" t="n"/>
      <c r="AN819" s="53" t="n"/>
      <c r="AO819" s="47" t="n"/>
      <c r="AP819" s="47" t="n"/>
      <c r="AQ819" s="47" t="n"/>
      <c r="AR819" s="47" t="n"/>
      <c r="AS819" s="47" t="n"/>
      <c r="AT819" s="47" t="n"/>
      <c r="AU819" s="47" t="n"/>
      <c r="AV819" s="47" t="n"/>
      <c r="AW819" s="52" t="n"/>
    </row>
    <row r="820">
      <c r="A820" s="48" t="n"/>
      <c r="B820" s="52" t="n"/>
      <c r="C820" s="47">
        <f>IF(B820="","",IFERROR(INDEX('隊員マスタ'!$B$5:$B$204,MATCH(B820&amp;"",'隊員マスタ'!$F$5:$F$204,0)),IF(AK820="","番号なし",AK820)))</f>
        <v/>
      </c>
      <c r="D820" s="47" t="n"/>
      <c r="E820" s="47" t="n"/>
      <c r="F820" s="47" t="n"/>
      <c r="G820" s="47" t="n"/>
      <c r="H820" s="47" t="n"/>
      <c r="I820" s="47" t="n"/>
      <c r="J820" s="47" t="n"/>
      <c r="K820" s="47" t="n"/>
      <c r="L820" s="47" t="n"/>
      <c r="M820" s="47" t="n"/>
      <c r="N820" s="47" t="n"/>
      <c r="O820" s="47" t="n"/>
      <c r="P820" s="47" t="n"/>
      <c r="Q820" s="47" t="n"/>
      <c r="R820" s="47" t="n"/>
      <c r="S820" s="47" t="n"/>
      <c r="T820" s="47" t="n"/>
      <c r="U820" s="53" t="n"/>
      <c r="V820" s="53" t="n"/>
      <c r="W820" s="47" t="n"/>
      <c r="X820" s="47" t="n"/>
      <c r="Y820" s="47" t="n"/>
      <c r="Z820" s="47" t="n"/>
      <c r="AA820" s="47" t="n"/>
      <c r="AB820" s="47" t="n"/>
      <c r="AC820" s="47" t="n"/>
      <c r="AD820" s="47" t="n"/>
      <c r="AE820" s="47" t="n"/>
      <c r="AF820" s="20">
        <f>IF(A820="","",YEAR(EDATE(A820,-3)))</f>
        <v/>
      </c>
      <c r="AG820" s="20">
        <f>IF(OR(B820="",'経歴簿'!$C$4=""),"",IF(B820&amp;""='経歴簿'!$C$4&amp;"",MAX($AG$4:AG819)+1,""))</f>
        <v/>
      </c>
      <c r="AH820" s="20">
        <f>IF(A820="",0,IF(AND(OR('CSV抽出'!$C$4="",A820&gt;='CSV抽出'!$C$4),OR('CSV抽出'!$C$5="",A820&lt;='CSV抽出'!$C$5),OR('CSV抽出'!$C$6="すべて",'CSV抽出'!$C$6="",D820='CSV抽出'!$C$6),OR('CSV抽出'!$C$7="",B820&amp;""='CSV抽出'!$C$7&amp;"")),1,0))</f>
        <v/>
      </c>
      <c r="AI820" s="20">
        <f>IF(AH820=1,SUM($AH$5:AH820),"")</f>
        <v/>
      </c>
      <c r="AJ820" s="20">
        <f>IF(OR(S820="",'報告書'!$C$4=""),"",IF(S820&amp;""='報告書'!$C$4&amp;"",COUNTIF($S$5:S820,'報告書'!$C$4),""))</f>
        <v/>
      </c>
      <c r="AK820" s="20" t="n"/>
      <c r="AL820" s="47" t="n"/>
      <c r="AM820" s="47" t="n"/>
      <c r="AN820" s="53" t="n"/>
      <c r="AO820" s="47" t="n"/>
      <c r="AP820" s="47" t="n"/>
      <c r="AQ820" s="47" t="n"/>
      <c r="AR820" s="47" t="n"/>
      <c r="AS820" s="47" t="n"/>
      <c r="AT820" s="47" t="n"/>
      <c r="AU820" s="47" t="n"/>
      <c r="AV820" s="47" t="n"/>
      <c r="AW820" s="52" t="n"/>
    </row>
    <row r="821">
      <c r="A821" s="48" t="n"/>
      <c r="B821" s="52" t="n"/>
      <c r="C821" s="47">
        <f>IF(B821="","",IFERROR(INDEX('隊員マスタ'!$B$5:$B$204,MATCH(B821&amp;"",'隊員マスタ'!$F$5:$F$204,0)),IF(AK821="","番号なし",AK821)))</f>
        <v/>
      </c>
      <c r="D821" s="47" t="n"/>
      <c r="E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  <c r="N821" s="47" t="n"/>
      <c r="O821" s="47" t="n"/>
      <c r="P821" s="47" t="n"/>
      <c r="Q821" s="47" t="n"/>
      <c r="R821" s="47" t="n"/>
      <c r="S821" s="47" t="n"/>
      <c r="T821" s="47" t="n"/>
      <c r="U821" s="53" t="n"/>
      <c r="V821" s="53" t="n"/>
      <c r="W821" s="47" t="n"/>
      <c r="X821" s="47" t="n"/>
      <c r="Y821" s="47" t="n"/>
      <c r="Z821" s="47" t="n"/>
      <c r="AA821" s="47" t="n"/>
      <c r="AB821" s="47" t="n"/>
      <c r="AC821" s="47" t="n"/>
      <c r="AD821" s="47" t="n"/>
      <c r="AE821" s="47" t="n"/>
      <c r="AF821" s="20">
        <f>IF(A821="","",YEAR(EDATE(A821,-3)))</f>
        <v/>
      </c>
      <c r="AG821" s="20">
        <f>IF(OR(B821="",'経歴簿'!$C$4=""),"",IF(B821&amp;""='経歴簿'!$C$4&amp;"",MAX($AG$4:AG820)+1,""))</f>
        <v/>
      </c>
      <c r="AH821" s="20">
        <f>IF(A821="",0,IF(AND(OR('CSV抽出'!$C$4="",A821&gt;='CSV抽出'!$C$4),OR('CSV抽出'!$C$5="",A821&lt;='CSV抽出'!$C$5),OR('CSV抽出'!$C$6="すべて",'CSV抽出'!$C$6="",D821='CSV抽出'!$C$6),OR('CSV抽出'!$C$7="",B821&amp;""='CSV抽出'!$C$7&amp;"")),1,0))</f>
        <v/>
      </c>
      <c r="AI821" s="20">
        <f>IF(AH821=1,SUM($AH$5:AH821),"")</f>
        <v/>
      </c>
      <c r="AJ821" s="20">
        <f>IF(OR(S821="",'報告書'!$C$4=""),"",IF(S821&amp;""='報告書'!$C$4&amp;"",COUNTIF($S$5:S821,'報告書'!$C$4),""))</f>
        <v/>
      </c>
      <c r="AK821" s="20" t="n"/>
      <c r="AL821" s="47" t="n"/>
      <c r="AM821" s="47" t="n"/>
      <c r="AN821" s="53" t="n"/>
      <c r="AO821" s="47" t="n"/>
      <c r="AP821" s="47" t="n"/>
      <c r="AQ821" s="47" t="n"/>
      <c r="AR821" s="47" t="n"/>
      <c r="AS821" s="47" t="n"/>
      <c r="AT821" s="47" t="n"/>
      <c r="AU821" s="47" t="n"/>
      <c r="AV821" s="47" t="n"/>
      <c r="AW821" s="52" t="n"/>
    </row>
    <row r="822">
      <c r="A822" s="48" t="n"/>
      <c r="B822" s="52" t="n"/>
      <c r="C822" s="47">
        <f>IF(B822="","",IFERROR(INDEX('隊員マスタ'!$B$5:$B$204,MATCH(B822&amp;"",'隊員マスタ'!$F$5:$F$204,0)),IF(AK822="","番号なし",AK822)))</f>
        <v/>
      </c>
      <c r="D822" s="47" t="n"/>
      <c r="E822" s="47" t="n"/>
      <c r="F822" s="47" t="n"/>
      <c r="G822" s="47" t="n"/>
      <c r="H822" s="47" t="n"/>
      <c r="I822" s="47" t="n"/>
      <c r="J822" s="47" t="n"/>
      <c r="K822" s="47" t="n"/>
      <c r="L822" s="47" t="n"/>
      <c r="M822" s="47" t="n"/>
      <c r="N822" s="47" t="n"/>
      <c r="O822" s="47" t="n"/>
      <c r="P822" s="47" t="n"/>
      <c r="Q822" s="47" t="n"/>
      <c r="R822" s="47" t="n"/>
      <c r="S822" s="47" t="n"/>
      <c r="T822" s="47" t="n"/>
      <c r="U822" s="53" t="n"/>
      <c r="V822" s="53" t="n"/>
      <c r="W822" s="47" t="n"/>
      <c r="X822" s="47" t="n"/>
      <c r="Y822" s="47" t="n"/>
      <c r="Z822" s="47" t="n"/>
      <c r="AA822" s="47" t="n"/>
      <c r="AB822" s="47" t="n"/>
      <c r="AC822" s="47" t="n"/>
      <c r="AD822" s="47" t="n"/>
      <c r="AE822" s="47" t="n"/>
      <c r="AF822" s="20">
        <f>IF(A822="","",YEAR(EDATE(A822,-3)))</f>
        <v/>
      </c>
      <c r="AG822" s="20">
        <f>IF(OR(B822="",'経歴簿'!$C$4=""),"",IF(B822&amp;""='経歴簿'!$C$4&amp;"",MAX($AG$4:AG821)+1,""))</f>
        <v/>
      </c>
      <c r="AH822" s="20">
        <f>IF(A822="",0,IF(AND(OR('CSV抽出'!$C$4="",A822&gt;='CSV抽出'!$C$4),OR('CSV抽出'!$C$5="",A822&lt;='CSV抽出'!$C$5),OR('CSV抽出'!$C$6="すべて",'CSV抽出'!$C$6="",D822='CSV抽出'!$C$6),OR('CSV抽出'!$C$7="",B822&amp;""='CSV抽出'!$C$7&amp;"")),1,0))</f>
        <v/>
      </c>
      <c r="AI822" s="20">
        <f>IF(AH822=1,SUM($AH$5:AH822),"")</f>
        <v/>
      </c>
      <c r="AJ822" s="20">
        <f>IF(OR(S822="",'報告書'!$C$4=""),"",IF(S822&amp;""='報告書'!$C$4&amp;"",COUNTIF($S$5:S822,'報告書'!$C$4),""))</f>
        <v/>
      </c>
      <c r="AK822" s="20" t="n"/>
      <c r="AL822" s="47" t="n"/>
      <c r="AM822" s="47" t="n"/>
      <c r="AN822" s="53" t="n"/>
      <c r="AO822" s="47" t="n"/>
      <c r="AP822" s="47" t="n"/>
      <c r="AQ822" s="47" t="n"/>
      <c r="AR822" s="47" t="n"/>
      <c r="AS822" s="47" t="n"/>
      <c r="AT822" s="47" t="n"/>
      <c r="AU822" s="47" t="n"/>
      <c r="AV822" s="47" t="n"/>
      <c r="AW822" s="52" t="n"/>
    </row>
    <row r="823">
      <c r="A823" s="48" t="n"/>
      <c r="B823" s="52" t="n"/>
      <c r="C823" s="47">
        <f>IF(B823="","",IFERROR(INDEX('隊員マスタ'!$B$5:$B$204,MATCH(B823&amp;"",'隊員マスタ'!$F$5:$F$204,0)),IF(AK823="","番号なし",AK823)))</f>
        <v/>
      </c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  <c r="N823" s="47" t="n"/>
      <c r="O823" s="47" t="n"/>
      <c r="P823" s="47" t="n"/>
      <c r="Q823" s="47" t="n"/>
      <c r="R823" s="47" t="n"/>
      <c r="S823" s="47" t="n"/>
      <c r="T823" s="47" t="n"/>
      <c r="U823" s="53" t="n"/>
      <c r="V823" s="53" t="n"/>
      <c r="W823" s="47" t="n"/>
      <c r="X823" s="47" t="n"/>
      <c r="Y823" s="47" t="n"/>
      <c r="Z823" s="47" t="n"/>
      <c r="AA823" s="47" t="n"/>
      <c r="AB823" s="47" t="n"/>
      <c r="AC823" s="47" t="n"/>
      <c r="AD823" s="47" t="n"/>
      <c r="AE823" s="47" t="n"/>
      <c r="AF823" s="20">
        <f>IF(A823="","",YEAR(EDATE(A823,-3)))</f>
        <v/>
      </c>
      <c r="AG823" s="20">
        <f>IF(OR(B823="",'経歴簿'!$C$4=""),"",IF(B823&amp;""='経歴簿'!$C$4&amp;"",MAX($AG$4:AG822)+1,""))</f>
        <v/>
      </c>
      <c r="AH823" s="20">
        <f>IF(A823="",0,IF(AND(OR('CSV抽出'!$C$4="",A823&gt;='CSV抽出'!$C$4),OR('CSV抽出'!$C$5="",A823&lt;='CSV抽出'!$C$5),OR('CSV抽出'!$C$6="すべて",'CSV抽出'!$C$6="",D823='CSV抽出'!$C$6),OR('CSV抽出'!$C$7="",B823&amp;""='CSV抽出'!$C$7&amp;"")),1,0))</f>
        <v/>
      </c>
      <c r="AI823" s="20">
        <f>IF(AH823=1,SUM($AH$5:AH823),"")</f>
        <v/>
      </c>
      <c r="AJ823" s="20">
        <f>IF(OR(S823="",'報告書'!$C$4=""),"",IF(S823&amp;""='報告書'!$C$4&amp;"",COUNTIF($S$5:S823,'報告書'!$C$4),""))</f>
        <v/>
      </c>
      <c r="AK823" s="20" t="n"/>
      <c r="AL823" s="47" t="n"/>
      <c r="AM823" s="47" t="n"/>
      <c r="AN823" s="53" t="n"/>
      <c r="AO823" s="47" t="n"/>
      <c r="AP823" s="47" t="n"/>
      <c r="AQ823" s="47" t="n"/>
      <c r="AR823" s="47" t="n"/>
      <c r="AS823" s="47" t="n"/>
      <c r="AT823" s="47" t="n"/>
      <c r="AU823" s="47" t="n"/>
      <c r="AV823" s="47" t="n"/>
      <c r="AW823" s="52" t="n"/>
    </row>
    <row r="824">
      <c r="A824" s="48" t="n"/>
      <c r="B824" s="52" t="n"/>
      <c r="C824" s="47">
        <f>IF(B824="","",IFERROR(INDEX('隊員マスタ'!$B$5:$B$204,MATCH(B824&amp;"",'隊員マスタ'!$F$5:$F$204,0)),IF(AK824="","番号なし",AK824)))</f>
        <v/>
      </c>
      <c r="D824" s="47" t="n"/>
      <c r="E824" s="47" t="n"/>
      <c r="F824" s="47" t="n"/>
      <c r="G824" s="47" t="n"/>
      <c r="H824" s="47" t="n"/>
      <c r="I824" s="47" t="n"/>
      <c r="J824" s="47" t="n"/>
      <c r="K824" s="47" t="n"/>
      <c r="L824" s="47" t="n"/>
      <c r="M824" s="47" t="n"/>
      <c r="N824" s="47" t="n"/>
      <c r="O824" s="47" t="n"/>
      <c r="P824" s="47" t="n"/>
      <c r="Q824" s="47" t="n"/>
      <c r="R824" s="47" t="n"/>
      <c r="S824" s="47" t="n"/>
      <c r="T824" s="47" t="n"/>
      <c r="U824" s="53" t="n"/>
      <c r="V824" s="53" t="n"/>
      <c r="W824" s="47" t="n"/>
      <c r="X824" s="47" t="n"/>
      <c r="Y824" s="47" t="n"/>
      <c r="Z824" s="47" t="n"/>
      <c r="AA824" s="47" t="n"/>
      <c r="AB824" s="47" t="n"/>
      <c r="AC824" s="47" t="n"/>
      <c r="AD824" s="47" t="n"/>
      <c r="AE824" s="47" t="n"/>
      <c r="AF824" s="20">
        <f>IF(A824="","",YEAR(EDATE(A824,-3)))</f>
        <v/>
      </c>
      <c r="AG824" s="20">
        <f>IF(OR(B824="",'経歴簿'!$C$4=""),"",IF(B824&amp;""='経歴簿'!$C$4&amp;"",MAX($AG$4:AG823)+1,""))</f>
        <v/>
      </c>
      <c r="AH824" s="20">
        <f>IF(A824="",0,IF(AND(OR('CSV抽出'!$C$4="",A824&gt;='CSV抽出'!$C$4),OR('CSV抽出'!$C$5="",A824&lt;='CSV抽出'!$C$5),OR('CSV抽出'!$C$6="すべて",'CSV抽出'!$C$6="",D824='CSV抽出'!$C$6),OR('CSV抽出'!$C$7="",B824&amp;""='CSV抽出'!$C$7&amp;"")),1,0))</f>
        <v/>
      </c>
      <c r="AI824" s="20">
        <f>IF(AH824=1,SUM($AH$5:AH824),"")</f>
        <v/>
      </c>
      <c r="AJ824" s="20">
        <f>IF(OR(S824="",'報告書'!$C$4=""),"",IF(S824&amp;""='報告書'!$C$4&amp;"",COUNTIF($S$5:S824,'報告書'!$C$4),""))</f>
        <v/>
      </c>
      <c r="AK824" s="20" t="n"/>
      <c r="AL824" s="47" t="n"/>
      <c r="AM824" s="47" t="n"/>
      <c r="AN824" s="53" t="n"/>
      <c r="AO824" s="47" t="n"/>
      <c r="AP824" s="47" t="n"/>
      <c r="AQ824" s="47" t="n"/>
      <c r="AR824" s="47" t="n"/>
      <c r="AS824" s="47" t="n"/>
      <c r="AT824" s="47" t="n"/>
      <c r="AU824" s="47" t="n"/>
      <c r="AV824" s="47" t="n"/>
      <c r="AW824" s="52" t="n"/>
    </row>
    <row r="825">
      <c r="A825" s="48" t="n"/>
      <c r="B825" s="52" t="n"/>
      <c r="C825" s="47">
        <f>IF(B825="","",IFERROR(INDEX('隊員マスタ'!$B$5:$B$204,MATCH(B825&amp;"",'隊員マスタ'!$F$5:$F$204,0)),IF(AK825="","番号なし",AK825)))</f>
        <v/>
      </c>
      <c r="D825" s="47" t="n"/>
      <c r="E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  <c r="N825" s="47" t="n"/>
      <c r="O825" s="47" t="n"/>
      <c r="P825" s="47" t="n"/>
      <c r="Q825" s="47" t="n"/>
      <c r="R825" s="47" t="n"/>
      <c r="S825" s="47" t="n"/>
      <c r="T825" s="47" t="n"/>
      <c r="U825" s="53" t="n"/>
      <c r="V825" s="53" t="n"/>
      <c r="W825" s="47" t="n"/>
      <c r="X825" s="47" t="n"/>
      <c r="Y825" s="47" t="n"/>
      <c r="Z825" s="47" t="n"/>
      <c r="AA825" s="47" t="n"/>
      <c r="AB825" s="47" t="n"/>
      <c r="AC825" s="47" t="n"/>
      <c r="AD825" s="47" t="n"/>
      <c r="AE825" s="47" t="n"/>
      <c r="AF825" s="20">
        <f>IF(A825="","",YEAR(EDATE(A825,-3)))</f>
        <v/>
      </c>
      <c r="AG825" s="20">
        <f>IF(OR(B825="",'経歴簿'!$C$4=""),"",IF(B825&amp;""='経歴簿'!$C$4&amp;"",MAX($AG$4:AG824)+1,""))</f>
        <v/>
      </c>
      <c r="AH825" s="20">
        <f>IF(A825="",0,IF(AND(OR('CSV抽出'!$C$4="",A825&gt;='CSV抽出'!$C$4),OR('CSV抽出'!$C$5="",A825&lt;='CSV抽出'!$C$5),OR('CSV抽出'!$C$6="すべて",'CSV抽出'!$C$6="",D825='CSV抽出'!$C$6),OR('CSV抽出'!$C$7="",B825&amp;""='CSV抽出'!$C$7&amp;"")),1,0))</f>
        <v/>
      </c>
      <c r="AI825" s="20">
        <f>IF(AH825=1,SUM($AH$5:AH825),"")</f>
        <v/>
      </c>
      <c r="AJ825" s="20">
        <f>IF(OR(S825="",'報告書'!$C$4=""),"",IF(S825&amp;""='報告書'!$C$4&amp;"",COUNTIF($S$5:S825,'報告書'!$C$4),""))</f>
        <v/>
      </c>
      <c r="AK825" s="20" t="n"/>
      <c r="AL825" s="47" t="n"/>
      <c r="AM825" s="47" t="n"/>
      <c r="AN825" s="53" t="n"/>
      <c r="AO825" s="47" t="n"/>
      <c r="AP825" s="47" t="n"/>
      <c r="AQ825" s="47" t="n"/>
      <c r="AR825" s="47" t="n"/>
      <c r="AS825" s="47" t="n"/>
      <c r="AT825" s="47" t="n"/>
      <c r="AU825" s="47" t="n"/>
      <c r="AV825" s="47" t="n"/>
      <c r="AW825" s="52" t="n"/>
    </row>
    <row r="826">
      <c r="A826" s="48" t="n"/>
      <c r="B826" s="52" t="n"/>
      <c r="C826" s="47">
        <f>IF(B826="","",IFERROR(INDEX('隊員マスタ'!$B$5:$B$204,MATCH(B826&amp;"",'隊員マスタ'!$F$5:$F$204,0)),IF(AK826="","番号なし",AK826)))</f>
        <v/>
      </c>
      <c r="D826" s="47" t="n"/>
      <c r="E826" s="47" t="n"/>
      <c r="F826" s="47" t="n"/>
      <c r="G826" s="47" t="n"/>
      <c r="H826" s="47" t="n"/>
      <c r="I826" s="47" t="n"/>
      <c r="J826" s="47" t="n"/>
      <c r="K826" s="47" t="n"/>
      <c r="L826" s="47" t="n"/>
      <c r="M826" s="47" t="n"/>
      <c r="N826" s="47" t="n"/>
      <c r="O826" s="47" t="n"/>
      <c r="P826" s="47" t="n"/>
      <c r="Q826" s="47" t="n"/>
      <c r="R826" s="47" t="n"/>
      <c r="S826" s="47" t="n"/>
      <c r="T826" s="47" t="n"/>
      <c r="U826" s="53" t="n"/>
      <c r="V826" s="53" t="n"/>
      <c r="W826" s="47" t="n"/>
      <c r="X826" s="47" t="n"/>
      <c r="Y826" s="47" t="n"/>
      <c r="Z826" s="47" t="n"/>
      <c r="AA826" s="47" t="n"/>
      <c r="AB826" s="47" t="n"/>
      <c r="AC826" s="47" t="n"/>
      <c r="AD826" s="47" t="n"/>
      <c r="AE826" s="47" t="n"/>
      <c r="AF826" s="20">
        <f>IF(A826="","",YEAR(EDATE(A826,-3)))</f>
        <v/>
      </c>
      <c r="AG826" s="20">
        <f>IF(OR(B826="",'経歴簿'!$C$4=""),"",IF(B826&amp;""='経歴簿'!$C$4&amp;"",MAX($AG$4:AG825)+1,""))</f>
        <v/>
      </c>
      <c r="AH826" s="20">
        <f>IF(A826="",0,IF(AND(OR('CSV抽出'!$C$4="",A826&gt;='CSV抽出'!$C$4),OR('CSV抽出'!$C$5="",A826&lt;='CSV抽出'!$C$5),OR('CSV抽出'!$C$6="すべて",'CSV抽出'!$C$6="",D826='CSV抽出'!$C$6),OR('CSV抽出'!$C$7="",B826&amp;""='CSV抽出'!$C$7&amp;"")),1,0))</f>
        <v/>
      </c>
      <c r="AI826" s="20">
        <f>IF(AH826=1,SUM($AH$5:AH826),"")</f>
        <v/>
      </c>
      <c r="AJ826" s="20">
        <f>IF(OR(S826="",'報告書'!$C$4=""),"",IF(S826&amp;""='報告書'!$C$4&amp;"",COUNTIF($S$5:S826,'報告書'!$C$4),""))</f>
        <v/>
      </c>
      <c r="AK826" s="20" t="n"/>
      <c r="AL826" s="47" t="n"/>
      <c r="AM826" s="47" t="n"/>
      <c r="AN826" s="53" t="n"/>
      <c r="AO826" s="47" t="n"/>
      <c r="AP826" s="47" t="n"/>
      <c r="AQ826" s="47" t="n"/>
      <c r="AR826" s="47" t="n"/>
      <c r="AS826" s="47" t="n"/>
      <c r="AT826" s="47" t="n"/>
      <c r="AU826" s="47" t="n"/>
      <c r="AV826" s="47" t="n"/>
      <c r="AW826" s="52" t="n"/>
    </row>
    <row r="827">
      <c r="A827" s="48" t="n"/>
      <c r="B827" s="52" t="n"/>
      <c r="C827" s="47">
        <f>IF(B827="","",IFERROR(INDEX('隊員マスタ'!$B$5:$B$204,MATCH(B827&amp;"",'隊員マスタ'!$F$5:$F$204,0)),IF(AK827="","番号なし",AK827)))</f>
        <v/>
      </c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  <c r="N827" s="47" t="n"/>
      <c r="O827" s="47" t="n"/>
      <c r="P827" s="47" t="n"/>
      <c r="Q827" s="47" t="n"/>
      <c r="R827" s="47" t="n"/>
      <c r="S827" s="47" t="n"/>
      <c r="T827" s="47" t="n"/>
      <c r="U827" s="53" t="n"/>
      <c r="V827" s="53" t="n"/>
      <c r="W827" s="47" t="n"/>
      <c r="X827" s="47" t="n"/>
      <c r="Y827" s="47" t="n"/>
      <c r="Z827" s="47" t="n"/>
      <c r="AA827" s="47" t="n"/>
      <c r="AB827" s="47" t="n"/>
      <c r="AC827" s="47" t="n"/>
      <c r="AD827" s="47" t="n"/>
      <c r="AE827" s="47" t="n"/>
      <c r="AF827" s="20">
        <f>IF(A827="","",YEAR(EDATE(A827,-3)))</f>
        <v/>
      </c>
      <c r="AG827" s="20">
        <f>IF(OR(B827="",'経歴簿'!$C$4=""),"",IF(B827&amp;""='経歴簿'!$C$4&amp;"",MAX($AG$4:AG826)+1,""))</f>
        <v/>
      </c>
      <c r="AH827" s="20">
        <f>IF(A827="",0,IF(AND(OR('CSV抽出'!$C$4="",A827&gt;='CSV抽出'!$C$4),OR('CSV抽出'!$C$5="",A827&lt;='CSV抽出'!$C$5),OR('CSV抽出'!$C$6="すべて",'CSV抽出'!$C$6="",D827='CSV抽出'!$C$6),OR('CSV抽出'!$C$7="",B827&amp;""='CSV抽出'!$C$7&amp;"")),1,0))</f>
        <v/>
      </c>
      <c r="AI827" s="20">
        <f>IF(AH827=1,SUM($AH$5:AH827),"")</f>
        <v/>
      </c>
      <c r="AJ827" s="20">
        <f>IF(OR(S827="",'報告書'!$C$4=""),"",IF(S827&amp;""='報告書'!$C$4&amp;"",COUNTIF($S$5:S827,'報告書'!$C$4),""))</f>
        <v/>
      </c>
      <c r="AK827" s="20" t="n"/>
      <c r="AL827" s="47" t="n"/>
      <c r="AM827" s="47" t="n"/>
      <c r="AN827" s="53" t="n"/>
      <c r="AO827" s="47" t="n"/>
      <c r="AP827" s="47" t="n"/>
      <c r="AQ827" s="47" t="n"/>
      <c r="AR827" s="47" t="n"/>
      <c r="AS827" s="47" t="n"/>
      <c r="AT827" s="47" t="n"/>
      <c r="AU827" s="47" t="n"/>
      <c r="AV827" s="47" t="n"/>
      <c r="AW827" s="52" t="n"/>
    </row>
    <row r="828">
      <c r="A828" s="48" t="n"/>
      <c r="B828" s="52" t="n"/>
      <c r="C828" s="47">
        <f>IF(B828="","",IFERROR(INDEX('隊員マスタ'!$B$5:$B$204,MATCH(B828&amp;"",'隊員マスタ'!$F$5:$F$204,0)),IF(AK828="","番号なし",AK828)))</f>
        <v/>
      </c>
      <c r="D828" s="47" t="n"/>
      <c r="E828" s="47" t="n"/>
      <c r="F828" s="47" t="n"/>
      <c r="G828" s="47" t="n"/>
      <c r="H828" s="47" t="n"/>
      <c r="I828" s="47" t="n"/>
      <c r="J828" s="47" t="n"/>
      <c r="K828" s="47" t="n"/>
      <c r="L828" s="47" t="n"/>
      <c r="M828" s="47" t="n"/>
      <c r="N828" s="47" t="n"/>
      <c r="O828" s="47" t="n"/>
      <c r="P828" s="47" t="n"/>
      <c r="Q828" s="47" t="n"/>
      <c r="R828" s="47" t="n"/>
      <c r="S828" s="47" t="n"/>
      <c r="T828" s="47" t="n"/>
      <c r="U828" s="53" t="n"/>
      <c r="V828" s="53" t="n"/>
      <c r="W828" s="47" t="n"/>
      <c r="X828" s="47" t="n"/>
      <c r="Y828" s="47" t="n"/>
      <c r="Z828" s="47" t="n"/>
      <c r="AA828" s="47" t="n"/>
      <c r="AB828" s="47" t="n"/>
      <c r="AC828" s="47" t="n"/>
      <c r="AD828" s="47" t="n"/>
      <c r="AE828" s="47" t="n"/>
      <c r="AF828" s="20">
        <f>IF(A828="","",YEAR(EDATE(A828,-3)))</f>
        <v/>
      </c>
      <c r="AG828" s="20">
        <f>IF(OR(B828="",'経歴簿'!$C$4=""),"",IF(B828&amp;""='経歴簿'!$C$4&amp;"",MAX($AG$4:AG827)+1,""))</f>
        <v/>
      </c>
      <c r="AH828" s="20">
        <f>IF(A828="",0,IF(AND(OR('CSV抽出'!$C$4="",A828&gt;='CSV抽出'!$C$4),OR('CSV抽出'!$C$5="",A828&lt;='CSV抽出'!$C$5),OR('CSV抽出'!$C$6="すべて",'CSV抽出'!$C$6="",D828='CSV抽出'!$C$6),OR('CSV抽出'!$C$7="",B828&amp;""='CSV抽出'!$C$7&amp;"")),1,0))</f>
        <v/>
      </c>
      <c r="AI828" s="20">
        <f>IF(AH828=1,SUM($AH$5:AH828),"")</f>
        <v/>
      </c>
      <c r="AJ828" s="20">
        <f>IF(OR(S828="",'報告書'!$C$4=""),"",IF(S828&amp;""='報告書'!$C$4&amp;"",COUNTIF($S$5:S828,'報告書'!$C$4),""))</f>
        <v/>
      </c>
      <c r="AK828" s="20" t="n"/>
      <c r="AL828" s="47" t="n"/>
      <c r="AM828" s="47" t="n"/>
      <c r="AN828" s="53" t="n"/>
      <c r="AO828" s="47" t="n"/>
      <c r="AP828" s="47" t="n"/>
      <c r="AQ828" s="47" t="n"/>
      <c r="AR828" s="47" t="n"/>
      <c r="AS828" s="47" t="n"/>
      <c r="AT828" s="47" t="n"/>
      <c r="AU828" s="47" t="n"/>
      <c r="AV828" s="47" t="n"/>
      <c r="AW828" s="52" t="n"/>
    </row>
    <row r="829">
      <c r="A829" s="48" t="n"/>
      <c r="B829" s="52" t="n"/>
      <c r="C829" s="47">
        <f>IF(B829="","",IFERROR(INDEX('隊員マスタ'!$B$5:$B$204,MATCH(B829&amp;"",'隊員マスタ'!$F$5:$F$204,0)),IF(AK829="","番号なし",AK829)))</f>
        <v/>
      </c>
      <c r="D829" s="47" t="n"/>
      <c r="E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  <c r="N829" s="47" t="n"/>
      <c r="O829" s="47" t="n"/>
      <c r="P829" s="47" t="n"/>
      <c r="Q829" s="47" t="n"/>
      <c r="R829" s="47" t="n"/>
      <c r="S829" s="47" t="n"/>
      <c r="T829" s="47" t="n"/>
      <c r="U829" s="53" t="n"/>
      <c r="V829" s="53" t="n"/>
      <c r="W829" s="47" t="n"/>
      <c r="X829" s="47" t="n"/>
      <c r="Y829" s="47" t="n"/>
      <c r="Z829" s="47" t="n"/>
      <c r="AA829" s="47" t="n"/>
      <c r="AB829" s="47" t="n"/>
      <c r="AC829" s="47" t="n"/>
      <c r="AD829" s="47" t="n"/>
      <c r="AE829" s="47" t="n"/>
      <c r="AF829" s="20">
        <f>IF(A829="","",YEAR(EDATE(A829,-3)))</f>
        <v/>
      </c>
      <c r="AG829" s="20">
        <f>IF(OR(B829="",'経歴簿'!$C$4=""),"",IF(B829&amp;""='経歴簿'!$C$4&amp;"",MAX($AG$4:AG828)+1,""))</f>
        <v/>
      </c>
      <c r="AH829" s="20">
        <f>IF(A829="",0,IF(AND(OR('CSV抽出'!$C$4="",A829&gt;='CSV抽出'!$C$4),OR('CSV抽出'!$C$5="",A829&lt;='CSV抽出'!$C$5),OR('CSV抽出'!$C$6="すべて",'CSV抽出'!$C$6="",D829='CSV抽出'!$C$6),OR('CSV抽出'!$C$7="",B829&amp;""='CSV抽出'!$C$7&amp;"")),1,0))</f>
        <v/>
      </c>
      <c r="AI829" s="20">
        <f>IF(AH829=1,SUM($AH$5:AH829),"")</f>
        <v/>
      </c>
      <c r="AJ829" s="20">
        <f>IF(OR(S829="",'報告書'!$C$4=""),"",IF(S829&amp;""='報告書'!$C$4&amp;"",COUNTIF($S$5:S829,'報告書'!$C$4),""))</f>
        <v/>
      </c>
      <c r="AK829" s="20" t="n"/>
      <c r="AL829" s="47" t="n"/>
      <c r="AM829" s="47" t="n"/>
      <c r="AN829" s="53" t="n"/>
      <c r="AO829" s="47" t="n"/>
      <c r="AP829" s="47" t="n"/>
      <c r="AQ829" s="47" t="n"/>
      <c r="AR829" s="47" t="n"/>
      <c r="AS829" s="47" t="n"/>
      <c r="AT829" s="47" t="n"/>
      <c r="AU829" s="47" t="n"/>
      <c r="AV829" s="47" t="n"/>
      <c r="AW829" s="52" t="n"/>
    </row>
    <row r="830">
      <c r="A830" s="48" t="n"/>
      <c r="B830" s="52" t="n"/>
      <c r="C830" s="47">
        <f>IF(B830="","",IFERROR(INDEX('隊員マスタ'!$B$5:$B$204,MATCH(B830&amp;"",'隊員マスタ'!$F$5:$F$204,0)),IF(AK830="","番号なし",AK830)))</f>
        <v/>
      </c>
      <c r="D830" s="47" t="n"/>
      <c r="E830" s="47" t="n"/>
      <c r="F830" s="47" t="n"/>
      <c r="G830" s="47" t="n"/>
      <c r="H830" s="47" t="n"/>
      <c r="I830" s="47" t="n"/>
      <c r="J830" s="47" t="n"/>
      <c r="K830" s="47" t="n"/>
      <c r="L830" s="47" t="n"/>
      <c r="M830" s="47" t="n"/>
      <c r="N830" s="47" t="n"/>
      <c r="O830" s="47" t="n"/>
      <c r="P830" s="47" t="n"/>
      <c r="Q830" s="47" t="n"/>
      <c r="R830" s="47" t="n"/>
      <c r="S830" s="47" t="n"/>
      <c r="T830" s="47" t="n"/>
      <c r="U830" s="53" t="n"/>
      <c r="V830" s="53" t="n"/>
      <c r="W830" s="47" t="n"/>
      <c r="X830" s="47" t="n"/>
      <c r="Y830" s="47" t="n"/>
      <c r="Z830" s="47" t="n"/>
      <c r="AA830" s="47" t="n"/>
      <c r="AB830" s="47" t="n"/>
      <c r="AC830" s="47" t="n"/>
      <c r="AD830" s="47" t="n"/>
      <c r="AE830" s="47" t="n"/>
      <c r="AF830" s="20">
        <f>IF(A830="","",YEAR(EDATE(A830,-3)))</f>
        <v/>
      </c>
      <c r="AG830" s="20">
        <f>IF(OR(B830="",'経歴簿'!$C$4=""),"",IF(B830&amp;""='経歴簿'!$C$4&amp;"",MAX($AG$4:AG829)+1,""))</f>
        <v/>
      </c>
      <c r="AH830" s="20">
        <f>IF(A830="",0,IF(AND(OR('CSV抽出'!$C$4="",A830&gt;='CSV抽出'!$C$4),OR('CSV抽出'!$C$5="",A830&lt;='CSV抽出'!$C$5),OR('CSV抽出'!$C$6="すべて",'CSV抽出'!$C$6="",D830='CSV抽出'!$C$6),OR('CSV抽出'!$C$7="",B830&amp;""='CSV抽出'!$C$7&amp;"")),1,0))</f>
        <v/>
      </c>
      <c r="AI830" s="20">
        <f>IF(AH830=1,SUM($AH$5:AH830),"")</f>
        <v/>
      </c>
      <c r="AJ830" s="20">
        <f>IF(OR(S830="",'報告書'!$C$4=""),"",IF(S830&amp;""='報告書'!$C$4&amp;"",COUNTIF($S$5:S830,'報告書'!$C$4),""))</f>
        <v/>
      </c>
      <c r="AK830" s="20" t="n"/>
      <c r="AL830" s="47" t="n"/>
      <c r="AM830" s="47" t="n"/>
      <c r="AN830" s="53" t="n"/>
      <c r="AO830" s="47" t="n"/>
      <c r="AP830" s="47" t="n"/>
      <c r="AQ830" s="47" t="n"/>
      <c r="AR830" s="47" t="n"/>
      <c r="AS830" s="47" t="n"/>
      <c r="AT830" s="47" t="n"/>
      <c r="AU830" s="47" t="n"/>
      <c r="AV830" s="47" t="n"/>
      <c r="AW830" s="52" t="n"/>
    </row>
    <row r="831">
      <c r="A831" s="48" t="n"/>
      <c r="B831" s="52" t="n"/>
      <c r="C831" s="47">
        <f>IF(B831="","",IFERROR(INDEX('隊員マスタ'!$B$5:$B$204,MATCH(B831&amp;"",'隊員マスタ'!$F$5:$F$204,0)),IF(AK831="","番号なし",AK831)))</f>
        <v/>
      </c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  <c r="N831" s="47" t="n"/>
      <c r="O831" s="47" t="n"/>
      <c r="P831" s="47" t="n"/>
      <c r="Q831" s="47" t="n"/>
      <c r="R831" s="47" t="n"/>
      <c r="S831" s="47" t="n"/>
      <c r="T831" s="47" t="n"/>
      <c r="U831" s="53" t="n"/>
      <c r="V831" s="53" t="n"/>
      <c r="W831" s="47" t="n"/>
      <c r="X831" s="47" t="n"/>
      <c r="Y831" s="47" t="n"/>
      <c r="Z831" s="47" t="n"/>
      <c r="AA831" s="47" t="n"/>
      <c r="AB831" s="47" t="n"/>
      <c r="AC831" s="47" t="n"/>
      <c r="AD831" s="47" t="n"/>
      <c r="AE831" s="47" t="n"/>
      <c r="AF831" s="20">
        <f>IF(A831="","",YEAR(EDATE(A831,-3)))</f>
        <v/>
      </c>
      <c r="AG831" s="20">
        <f>IF(OR(B831="",'経歴簿'!$C$4=""),"",IF(B831&amp;""='経歴簿'!$C$4&amp;"",MAX($AG$4:AG830)+1,""))</f>
        <v/>
      </c>
      <c r="AH831" s="20">
        <f>IF(A831="",0,IF(AND(OR('CSV抽出'!$C$4="",A831&gt;='CSV抽出'!$C$4),OR('CSV抽出'!$C$5="",A831&lt;='CSV抽出'!$C$5),OR('CSV抽出'!$C$6="すべて",'CSV抽出'!$C$6="",D831='CSV抽出'!$C$6),OR('CSV抽出'!$C$7="",B831&amp;""='CSV抽出'!$C$7&amp;"")),1,0))</f>
        <v/>
      </c>
      <c r="AI831" s="20">
        <f>IF(AH831=1,SUM($AH$5:AH831),"")</f>
        <v/>
      </c>
      <c r="AJ831" s="20">
        <f>IF(OR(S831="",'報告書'!$C$4=""),"",IF(S831&amp;""='報告書'!$C$4&amp;"",COUNTIF($S$5:S831,'報告書'!$C$4),""))</f>
        <v/>
      </c>
      <c r="AK831" s="20" t="n"/>
      <c r="AL831" s="47" t="n"/>
      <c r="AM831" s="47" t="n"/>
      <c r="AN831" s="53" t="n"/>
      <c r="AO831" s="47" t="n"/>
      <c r="AP831" s="47" t="n"/>
      <c r="AQ831" s="47" t="n"/>
      <c r="AR831" s="47" t="n"/>
      <c r="AS831" s="47" t="n"/>
      <c r="AT831" s="47" t="n"/>
      <c r="AU831" s="47" t="n"/>
      <c r="AV831" s="47" t="n"/>
      <c r="AW831" s="52" t="n"/>
    </row>
    <row r="832">
      <c r="A832" s="48" t="n"/>
      <c r="B832" s="52" t="n"/>
      <c r="C832" s="47">
        <f>IF(B832="","",IFERROR(INDEX('隊員マスタ'!$B$5:$B$204,MATCH(B832&amp;"",'隊員マスタ'!$F$5:$F$204,0)),IF(AK832="","番号なし",AK832)))</f>
        <v/>
      </c>
      <c r="D832" s="47" t="n"/>
      <c r="E832" s="47" t="n"/>
      <c r="F832" s="47" t="n"/>
      <c r="G832" s="47" t="n"/>
      <c r="H832" s="47" t="n"/>
      <c r="I832" s="47" t="n"/>
      <c r="J832" s="47" t="n"/>
      <c r="K832" s="47" t="n"/>
      <c r="L832" s="47" t="n"/>
      <c r="M832" s="47" t="n"/>
      <c r="N832" s="47" t="n"/>
      <c r="O832" s="47" t="n"/>
      <c r="P832" s="47" t="n"/>
      <c r="Q832" s="47" t="n"/>
      <c r="R832" s="47" t="n"/>
      <c r="S832" s="47" t="n"/>
      <c r="T832" s="47" t="n"/>
      <c r="U832" s="53" t="n"/>
      <c r="V832" s="53" t="n"/>
      <c r="W832" s="47" t="n"/>
      <c r="X832" s="47" t="n"/>
      <c r="Y832" s="47" t="n"/>
      <c r="Z832" s="47" t="n"/>
      <c r="AA832" s="47" t="n"/>
      <c r="AB832" s="47" t="n"/>
      <c r="AC832" s="47" t="n"/>
      <c r="AD832" s="47" t="n"/>
      <c r="AE832" s="47" t="n"/>
      <c r="AF832" s="20">
        <f>IF(A832="","",YEAR(EDATE(A832,-3)))</f>
        <v/>
      </c>
      <c r="AG832" s="20">
        <f>IF(OR(B832="",'経歴簿'!$C$4=""),"",IF(B832&amp;""='経歴簿'!$C$4&amp;"",MAX($AG$4:AG831)+1,""))</f>
        <v/>
      </c>
      <c r="AH832" s="20">
        <f>IF(A832="",0,IF(AND(OR('CSV抽出'!$C$4="",A832&gt;='CSV抽出'!$C$4),OR('CSV抽出'!$C$5="",A832&lt;='CSV抽出'!$C$5),OR('CSV抽出'!$C$6="すべて",'CSV抽出'!$C$6="",D832='CSV抽出'!$C$6),OR('CSV抽出'!$C$7="",B832&amp;""='CSV抽出'!$C$7&amp;"")),1,0))</f>
        <v/>
      </c>
      <c r="AI832" s="20">
        <f>IF(AH832=1,SUM($AH$5:AH832),"")</f>
        <v/>
      </c>
      <c r="AJ832" s="20">
        <f>IF(OR(S832="",'報告書'!$C$4=""),"",IF(S832&amp;""='報告書'!$C$4&amp;"",COUNTIF($S$5:S832,'報告書'!$C$4),""))</f>
        <v/>
      </c>
      <c r="AK832" s="20" t="n"/>
      <c r="AL832" s="47" t="n"/>
      <c r="AM832" s="47" t="n"/>
      <c r="AN832" s="53" t="n"/>
      <c r="AO832" s="47" t="n"/>
      <c r="AP832" s="47" t="n"/>
      <c r="AQ832" s="47" t="n"/>
      <c r="AR832" s="47" t="n"/>
      <c r="AS832" s="47" t="n"/>
      <c r="AT832" s="47" t="n"/>
      <c r="AU832" s="47" t="n"/>
      <c r="AV832" s="47" t="n"/>
      <c r="AW832" s="52" t="n"/>
    </row>
    <row r="833">
      <c r="A833" s="48" t="n"/>
      <c r="B833" s="52" t="n"/>
      <c r="C833" s="47">
        <f>IF(B833="","",IFERROR(INDEX('隊員マスタ'!$B$5:$B$204,MATCH(B833&amp;"",'隊員マスタ'!$F$5:$F$204,0)),IF(AK833="","番号なし",AK833)))</f>
        <v/>
      </c>
      <c r="D833" s="47" t="n"/>
      <c r="E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  <c r="N833" s="47" t="n"/>
      <c r="O833" s="47" t="n"/>
      <c r="P833" s="47" t="n"/>
      <c r="Q833" s="47" t="n"/>
      <c r="R833" s="47" t="n"/>
      <c r="S833" s="47" t="n"/>
      <c r="T833" s="47" t="n"/>
      <c r="U833" s="53" t="n"/>
      <c r="V833" s="53" t="n"/>
      <c r="W833" s="47" t="n"/>
      <c r="X833" s="47" t="n"/>
      <c r="Y833" s="47" t="n"/>
      <c r="Z833" s="47" t="n"/>
      <c r="AA833" s="47" t="n"/>
      <c r="AB833" s="47" t="n"/>
      <c r="AC833" s="47" t="n"/>
      <c r="AD833" s="47" t="n"/>
      <c r="AE833" s="47" t="n"/>
      <c r="AF833" s="20">
        <f>IF(A833="","",YEAR(EDATE(A833,-3)))</f>
        <v/>
      </c>
      <c r="AG833" s="20">
        <f>IF(OR(B833="",'経歴簿'!$C$4=""),"",IF(B833&amp;""='経歴簿'!$C$4&amp;"",MAX($AG$4:AG832)+1,""))</f>
        <v/>
      </c>
      <c r="AH833" s="20">
        <f>IF(A833="",0,IF(AND(OR('CSV抽出'!$C$4="",A833&gt;='CSV抽出'!$C$4),OR('CSV抽出'!$C$5="",A833&lt;='CSV抽出'!$C$5),OR('CSV抽出'!$C$6="すべて",'CSV抽出'!$C$6="",D833='CSV抽出'!$C$6),OR('CSV抽出'!$C$7="",B833&amp;""='CSV抽出'!$C$7&amp;"")),1,0))</f>
        <v/>
      </c>
      <c r="AI833" s="20">
        <f>IF(AH833=1,SUM($AH$5:AH833),"")</f>
        <v/>
      </c>
      <c r="AJ833" s="20">
        <f>IF(OR(S833="",'報告書'!$C$4=""),"",IF(S833&amp;""='報告書'!$C$4&amp;"",COUNTIF($S$5:S833,'報告書'!$C$4),""))</f>
        <v/>
      </c>
      <c r="AK833" s="20" t="n"/>
      <c r="AL833" s="47" t="n"/>
      <c r="AM833" s="47" t="n"/>
      <c r="AN833" s="53" t="n"/>
      <c r="AO833" s="47" t="n"/>
      <c r="AP833" s="47" t="n"/>
      <c r="AQ833" s="47" t="n"/>
      <c r="AR833" s="47" t="n"/>
      <c r="AS833" s="47" t="n"/>
      <c r="AT833" s="47" t="n"/>
      <c r="AU833" s="47" t="n"/>
      <c r="AV833" s="47" t="n"/>
      <c r="AW833" s="52" t="n"/>
    </row>
    <row r="834">
      <c r="A834" s="48" t="n"/>
      <c r="B834" s="52" t="n"/>
      <c r="C834" s="47">
        <f>IF(B834="","",IFERROR(INDEX('隊員マスタ'!$B$5:$B$204,MATCH(B834&amp;"",'隊員マスタ'!$F$5:$F$204,0)),IF(AK834="","番号なし",AK834)))</f>
        <v/>
      </c>
      <c r="D834" s="47" t="n"/>
      <c r="E834" s="47" t="n"/>
      <c r="F834" s="47" t="n"/>
      <c r="G834" s="47" t="n"/>
      <c r="H834" s="47" t="n"/>
      <c r="I834" s="47" t="n"/>
      <c r="J834" s="47" t="n"/>
      <c r="K834" s="47" t="n"/>
      <c r="L834" s="47" t="n"/>
      <c r="M834" s="47" t="n"/>
      <c r="N834" s="47" t="n"/>
      <c r="O834" s="47" t="n"/>
      <c r="P834" s="47" t="n"/>
      <c r="Q834" s="47" t="n"/>
      <c r="R834" s="47" t="n"/>
      <c r="S834" s="47" t="n"/>
      <c r="T834" s="47" t="n"/>
      <c r="U834" s="53" t="n"/>
      <c r="V834" s="53" t="n"/>
      <c r="W834" s="47" t="n"/>
      <c r="X834" s="47" t="n"/>
      <c r="Y834" s="47" t="n"/>
      <c r="Z834" s="47" t="n"/>
      <c r="AA834" s="47" t="n"/>
      <c r="AB834" s="47" t="n"/>
      <c r="AC834" s="47" t="n"/>
      <c r="AD834" s="47" t="n"/>
      <c r="AE834" s="47" t="n"/>
      <c r="AF834" s="20">
        <f>IF(A834="","",YEAR(EDATE(A834,-3)))</f>
        <v/>
      </c>
      <c r="AG834" s="20">
        <f>IF(OR(B834="",'経歴簿'!$C$4=""),"",IF(B834&amp;""='経歴簿'!$C$4&amp;"",MAX($AG$4:AG833)+1,""))</f>
        <v/>
      </c>
      <c r="AH834" s="20">
        <f>IF(A834="",0,IF(AND(OR('CSV抽出'!$C$4="",A834&gt;='CSV抽出'!$C$4),OR('CSV抽出'!$C$5="",A834&lt;='CSV抽出'!$C$5),OR('CSV抽出'!$C$6="すべて",'CSV抽出'!$C$6="",D834='CSV抽出'!$C$6),OR('CSV抽出'!$C$7="",B834&amp;""='CSV抽出'!$C$7&amp;"")),1,0))</f>
        <v/>
      </c>
      <c r="AI834" s="20">
        <f>IF(AH834=1,SUM($AH$5:AH834),"")</f>
        <v/>
      </c>
      <c r="AJ834" s="20">
        <f>IF(OR(S834="",'報告書'!$C$4=""),"",IF(S834&amp;""='報告書'!$C$4&amp;"",COUNTIF($S$5:S834,'報告書'!$C$4),""))</f>
        <v/>
      </c>
      <c r="AK834" s="20" t="n"/>
      <c r="AL834" s="47" t="n"/>
      <c r="AM834" s="47" t="n"/>
      <c r="AN834" s="53" t="n"/>
      <c r="AO834" s="47" t="n"/>
      <c r="AP834" s="47" t="n"/>
      <c r="AQ834" s="47" t="n"/>
      <c r="AR834" s="47" t="n"/>
      <c r="AS834" s="47" t="n"/>
      <c r="AT834" s="47" t="n"/>
      <c r="AU834" s="47" t="n"/>
      <c r="AV834" s="47" t="n"/>
      <c r="AW834" s="52" t="n"/>
    </row>
    <row r="835">
      <c r="A835" s="48" t="n"/>
      <c r="B835" s="52" t="n"/>
      <c r="C835" s="47">
        <f>IF(B835="","",IFERROR(INDEX('隊員マスタ'!$B$5:$B$204,MATCH(B835&amp;"",'隊員マスタ'!$F$5:$F$204,0)),IF(AK835="","番号なし",AK835)))</f>
        <v/>
      </c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  <c r="N835" s="47" t="n"/>
      <c r="O835" s="47" t="n"/>
      <c r="P835" s="47" t="n"/>
      <c r="Q835" s="47" t="n"/>
      <c r="R835" s="47" t="n"/>
      <c r="S835" s="47" t="n"/>
      <c r="T835" s="47" t="n"/>
      <c r="U835" s="53" t="n"/>
      <c r="V835" s="53" t="n"/>
      <c r="W835" s="47" t="n"/>
      <c r="X835" s="47" t="n"/>
      <c r="Y835" s="47" t="n"/>
      <c r="Z835" s="47" t="n"/>
      <c r="AA835" s="47" t="n"/>
      <c r="AB835" s="47" t="n"/>
      <c r="AC835" s="47" t="n"/>
      <c r="AD835" s="47" t="n"/>
      <c r="AE835" s="47" t="n"/>
      <c r="AF835" s="20">
        <f>IF(A835="","",YEAR(EDATE(A835,-3)))</f>
        <v/>
      </c>
      <c r="AG835" s="20">
        <f>IF(OR(B835="",'経歴簿'!$C$4=""),"",IF(B835&amp;""='経歴簿'!$C$4&amp;"",MAX($AG$4:AG834)+1,""))</f>
        <v/>
      </c>
      <c r="AH835" s="20">
        <f>IF(A835="",0,IF(AND(OR('CSV抽出'!$C$4="",A835&gt;='CSV抽出'!$C$4),OR('CSV抽出'!$C$5="",A835&lt;='CSV抽出'!$C$5),OR('CSV抽出'!$C$6="すべて",'CSV抽出'!$C$6="",D835='CSV抽出'!$C$6),OR('CSV抽出'!$C$7="",B835&amp;""='CSV抽出'!$C$7&amp;"")),1,0))</f>
        <v/>
      </c>
      <c r="AI835" s="20">
        <f>IF(AH835=1,SUM($AH$5:AH835),"")</f>
        <v/>
      </c>
      <c r="AJ835" s="20">
        <f>IF(OR(S835="",'報告書'!$C$4=""),"",IF(S835&amp;""='報告書'!$C$4&amp;"",COUNTIF($S$5:S835,'報告書'!$C$4),""))</f>
        <v/>
      </c>
      <c r="AK835" s="20" t="n"/>
      <c r="AL835" s="47" t="n"/>
      <c r="AM835" s="47" t="n"/>
      <c r="AN835" s="53" t="n"/>
      <c r="AO835" s="47" t="n"/>
      <c r="AP835" s="47" t="n"/>
      <c r="AQ835" s="47" t="n"/>
      <c r="AR835" s="47" t="n"/>
      <c r="AS835" s="47" t="n"/>
      <c r="AT835" s="47" t="n"/>
      <c r="AU835" s="47" t="n"/>
      <c r="AV835" s="47" t="n"/>
      <c r="AW835" s="52" t="n"/>
    </row>
    <row r="836">
      <c r="A836" s="48" t="n"/>
      <c r="B836" s="52" t="n"/>
      <c r="C836" s="47">
        <f>IF(B836="","",IFERROR(INDEX('隊員マスタ'!$B$5:$B$204,MATCH(B836&amp;"",'隊員マスタ'!$F$5:$F$204,0)),IF(AK836="","番号なし",AK836)))</f>
        <v/>
      </c>
      <c r="D836" s="47" t="n"/>
      <c r="E836" s="47" t="n"/>
      <c r="F836" s="47" t="n"/>
      <c r="G836" s="47" t="n"/>
      <c r="H836" s="47" t="n"/>
      <c r="I836" s="47" t="n"/>
      <c r="J836" s="47" t="n"/>
      <c r="K836" s="47" t="n"/>
      <c r="L836" s="47" t="n"/>
      <c r="M836" s="47" t="n"/>
      <c r="N836" s="47" t="n"/>
      <c r="O836" s="47" t="n"/>
      <c r="P836" s="47" t="n"/>
      <c r="Q836" s="47" t="n"/>
      <c r="R836" s="47" t="n"/>
      <c r="S836" s="47" t="n"/>
      <c r="T836" s="47" t="n"/>
      <c r="U836" s="53" t="n"/>
      <c r="V836" s="53" t="n"/>
      <c r="W836" s="47" t="n"/>
      <c r="X836" s="47" t="n"/>
      <c r="Y836" s="47" t="n"/>
      <c r="Z836" s="47" t="n"/>
      <c r="AA836" s="47" t="n"/>
      <c r="AB836" s="47" t="n"/>
      <c r="AC836" s="47" t="n"/>
      <c r="AD836" s="47" t="n"/>
      <c r="AE836" s="47" t="n"/>
      <c r="AF836" s="20">
        <f>IF(A836="","",YEAR(EDATE(A836,-3)))</f>
        <v/>
      </c>
      <c r="AG836" s="20">
        <f>IF(OR(B836="",'経歴簿'!$C$4=""),"",IF(B836&amp;""='経歴簿'!$C$4&amp;"",MAX($AG$4:AG835)+1,""))</f>
        <v/>
      </c>
      <c r="AH836" s="20">
        <f>IF(A836="",0,IF(AND(OR('CSV抽出'!$C$4="",A836&gt;='CSV抽出'!$C$4),OR('CSV抽出'!$C$5="",A836&lt;='CSV抽出'!$C$5),OR('CSV抽出'!$C$6="すべて",'CSV抽出'!$C$6="",D836='CSV抽出'!$C$6),OR('CSV抽出'!$C$7="",B836&amp;""='CSV抽出'!$C$7&amp;"")),1,0))</f>
        <v/>
      </c>
      <c r="AI836" s="20">
        <f>IF(AH836=1,SUM($AH$5:AH836),"")</f>
        <v/>
      </c>
      <c r="AJ836" s="20">
        <f>IF(OR(S836="",'報告書'!$C$4=""),"",IF(S836&amp;""='報告書'!$C$4&amp;"",COUNTIF($S$5:S836,'報告書'!$C$4),""))</f>
        <v/>
      </c>
      <c r="AK836" s="20" t="n"/>
      <c r="AL836" s="47" t="n"/>
      <c r="AM836" s="47" t="n"/>
      <c r="AN836" s="53" t="n"/>
      <c r="AO836" s="47" t="n"/>
      <c r="AP836" s="47" t="n"/>
      <c r="AQ836" s="47" t="n"/>
      <c r="AR836" s="47" t="n"/>
      <c r="AS836" s="47" t="n"/>
      <c r="AT836" s="47" t="n"/>
      <c r="AU836" s="47" t="n"/>
      <c r="AV836" s="47" t="n"/>
      <c r="AW836" s="52" t="n"/>
    </row>
    <row r="837">
      <c r="A837" s="48" t="n"/>
      <c r="B837" s="52" t="n"/>
      <c r="C837" s="47">
        <f>IF(B837="","",IFERROR(INDEX('隊員マスタ'!$B$5:$B$204,MATCH(B837&amp;"",'隊員マスタ'!$F$5:$F$204,0)),IF(AK837="","番号なし",AK837)))</f>
        <v/>
      </c>
      <c r="D837" s="47" t="n"/>
      <c r="E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  <c r="N837" s="47" t="n"/>
      <c r="O837" s="47" t="n"/>
      <c r="P837" s="47" t="n"/>
      <c r="Q837" s="47" t="n"/>
      <c r="R837" s="47" t="n"/>
      <c r="S837" s="47" t="n"/>
      <c r="T837" s="47" t="n"/>
      <c r="U837" s="53" t="n"/>
      <c r="V837" s="53" t="n"/>
      <c r="W837" s="47" t="n"/>
      <c r="X837" s="47" t="n"/>
      <c r="Y837" s="47" t="n"/>
      <c r="Z837" s="47" t="n"/>
      <c r="AA837" s="47" t="n"/>
      <c r="AB837" s="47" t="n"/>
      <c r="AC837" s="47" t="n"/>
      <c r="AD837" s="47" t="n"/>
      <c r="AE837" s="47" t="n"/>
      <c r="AF837" s="20">
        <f>IF(A837="","",YEAR(EDATE(A837,-3)))</f>
        <v/>
      </c>
      <c r="AG837" s="20">
        <f>IF(OR(B837="",'経歴簿'!$C$4=""),"",IF(B837&amp;""='経歴簿'!$C$4&amp;"",MAX($AG$4:AG836)+1,""))</f>
        <v/>
      </c>
      <c r="AH837" s="20">
        <f>IF(A837="",0,IF(AND(OR('CSV抽出'!$C$4="",A837&gt;='CSV抽出'!$C$4),OR('CSV抽出'!$C$5="",A837&lt;='CSV抽出'!$C$5),OR('CSV抽出'!$C$6="すべて",'CSV抽出'!$C$6="",D837='CSV抽出'!$C$6),OR('CSV抽出'!$C$7="",B837&amp;""='CSV抽出'!$C$7&amp;"")),1,0))</f>
        <v/>
      </c>
      <c r="AI837" s="20">
        <f>IF(AH837=1,SUM($AH$5:AH837),"")</f>
        <v/>
      </c>
      <c r="AJ837" s="20">
        <f>IF(OR(S837="",'報告書'!$C$4=""),"",IF(S837&amp;""='報告書'!$C$4&amp;"",COUNTIF($S$5:S837,'報告書'!$C$4),""))</f>
        <v/>
      </c>
      <c r="AK837" s="20" t="n"/>
      <c r="AL837" s="47" t="n"/>
      <c r="AM837" s="47" t="n"/>
      <c r="AN837" s="53" t="n"/>
      <c r="AO837" s="47" t="n"/>
      <c r="AP837" s="47" t="n"/>
      <c r="AQ837" s="47" t="n"/>
      <c r="AR837" s="47" t="n"/>
      <c r="AS837" s="47" t="n"/>
      <c r="AT837" s="47" t="n"/>
      <c r="AU837" s="47" t="n"/>
      <c r="AV837" s="47" t="n"/>
      <c r="AW837" s="52" t="n"/>
    </row>
    <row r="838">
      <c r="A838" s="48" t="n"/>
      <c r="B838" s="52" t="n"/>
      <c r="C838" s="47">
        <f>IF(B838="","",IFERROR(INDEX('隊員マスタ'!$B$5:$B$204,MATCH(B838&amp;"",'隊員マスタ'!$F$5:$F$204,0)),IF(AK838="","番号なし",AK838)))</f>
        <v/>
      </c>
      <c r="D838" s="47" t="n"/>
      <c r="E838" s="47" t="n"/>
      <c r="F838" s="47" t="n"/>
      <c r="G838" s="47" t="n"/>
      <c r="H838" s="47" t="n"/>
      <c r="I838" s="47" t="n"/>
      <c r="J838" s="47" t="n"/>
      <c r="K838" s="47" t="n"/>
      <c r="L838" s="47" t="n"/>
      <c r="M838" s="47" t="n"/>
      <c r="N838" s="47" t="n"/>
      <c r="O838" s="47" t="n"/>
      <c r="P838" s="47" t="n"/>
      <c r="Q838" s="47" t="n"/>
      <c r="R838" s="47" t="n"/>
      <c r="S838" s="47" t="n"/>
      <c r="T838" s="47" t="n"/>
      <c r="U838" s="53" t="n"/>
      <c r="V838" s="53" t="n"/>
      <c r="W838" s="47" t="n"/>
      <c r="X838" s="47" t="n"/>
      <c r="Y838" s="47" t="n"/>
      <c r="Z838" s="47" t="n"/>
      <c r="AA838" s="47" t="n"/>
      <c r="AB838" s="47" t="n"/>
      <c r="AC838" s="47" t="n"/>
      <c r="AD838" s="47" t="n"/>
      <c r="AE838" s="47" t="n"/>
      <c r="AF838" s="20">
        <f>IF(A838="","",YEAR(EDATE(A838,-3)))</f>
        <v/>
      </c>
      <c r="AG838" s="20">
        <f>IF(OR(B838="",'経歴簿'!$C$4=""),"",IF(B838&amp;""='経歴簿'!$C$4&amp;"",MAX($AG$4:AG837)+1,""))</f>
        <v/>
      </c>
      <c r="AH838" s="20">
        <f>IF(A838="",0,IF(AND(OR('CSV抽出'!$C$4="",A838&gt;='CSV抽出'!$C$4),OR('CSV抽出'!$C$5="",A838&lt;='CSV抽出'!$C$5),OR('CSV抽出'!$C$6="すべて",'CSV抽出'!$C$6="",D838='CSV抽出'!$C$6),OR('CSV抽出'!$C$7="",B838&amp;""='CSV抽出'!$C$7&amp;"")),1,0))</f>
        <v/>
      </c>
      <c r="AI838" s="20">
        <f>IF(AH838=1,SUM($AH$5:AH838),"")</f>
        <v/>
      </c>
      <c r="AJ838" s="20">
        <f>IF(OR(S838="",'報告書'!$C$4=""),"",IF(S838&amp;""='報告書'!$C$4&amp;"",COUNTIF($S$5:S838,'報告書'!$C$4),""))</f>
        <v/>
      </c>
      <c r="AK838" s="20" t="n"/>
      <c r="AL838" s="47" t="n"/>
      <c r="AM838" s="47" t="n"/>
      <c r="AN838" s="53" t="n"/>
      <c r="AO838" s="47" t="n"/>
      <c r="AP838" s="47" t="n"/>
      <c r="AQ838" s="47" t="n"/>
      <c r="AR838" s="47" t="n"/>
      <c r="AS838" s="47" t="n"/>
      <c r="AT838" s="47" t="n"/>
      <c r="AU838" s="47" t="n"/>
      <c r="AV838" s="47" t="n"/>
      <c r="AW838" s="52" t="n"/>
    </row>
    <row r="839">
      <c r="A839" s="48" t="n"/>
      <c r="B839" s="52" t="n"/>
      <c r="C839" s="47">
        <f>IF(B839="","",IFERROR(INDEX('隊員マスタ'!$B$5:$B$204,MATCH(B839&amp;"",'隊員マスタ'!$F$5:$F$204,0)),IF(AK839="","番号なし",AK839)))</f>
        <v/>
      </c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  <c r="N839" s="47" t="n"/>
      <c r="O839" s="47" t="n"/>
      <c r="P839" s="47" t="n"/>
      <c r="Q839" s="47" t="n"/>
      <c r="R839" s="47" t="n"/>
      <c r="S839" s="47" t="n"/>
      <c r="T839" s="47" t="n"/>
      <c r="U839" s="53" t="n"/>
      <c r="V839" s="53" t="n"/>
      <c r="W839" s="47" t="n"/>
      <c r="X839" s="47" t="n"/>
      <c r="Y839" s="47" t="n"/>
      <c r="Z839" s="47" t="n"/>
      <c r="AA839" s="47" t="n"/>
      <c r="AB839" s="47" t="n"/>
      <c r="AC839" s="47" t="n"/>
      <c r="AD839" s="47" t="n"/>
      <c r="AE839" s="47" t="n"/>
      <c r="AF839" s="20">
        <f>IF(A839="","",YEAR(EDATE(A839,-3)))</f>
        <v/>
      </c>
      <c r="AG839" s="20">
        <f>IF(OR(B839="",'経歴簿'!$C$4=""),"",IF(B839&amp;""='経歴簿'!$C$4&amp;"",MAX($AG$4:AG838)+1,""))</f>
        <v/>
      </c>
      <c r="AH839" s="20">
        <f>IF(A839="",0,IF(AND(OR('CSV抽出'!$C$4="",A839&gt;='CSV抽出'!$C$4),OR('CSV抽出'!$C$5="",A839&lt;='CSV抽出'!$C$5),OR('CSV抽出'!$C$6="すべて",'CSV抽出'!$C$6="",D839='CSV抽出'!$C$6),OR('CSV抽出'!$C$7="",B839&amp;""='CSV抽出'!$C$7&amp;"")),1,0))</f>
        <v/>
      </c>
      <c r="AI839" s="20">
        <f>IF(AH839=1,SUM($AH$5:AH839),"")</f>
        <v/>
      </c>
      <c r="AJ839" s="20">
        <f>IF(OR(S839="",'報告書'!$C$4=""),"",IF(S839&amp;""='報告書'!$C$4&amp;"",COUNTIF($S$5:S839,'報告書'!$C$4),""))</f>
        <v/>
      </c>
      <c r="AK839" s="20" t="n"/>
      <c r="AL839" s="47" t="n"/>
      <c r="AM839" s="47" t="n"/>
      <c r="AN839" s="53" t="n"/>
      <c r="AO839" s="47" t="n"/>
      <c r="AP839" s="47" t="n"/>
      <c r="AQ839" s="47" t="n"/>
      <c r="AR839" s="47" t="n"/>
      <c r="AS839" s="47" t="n"/>
      <c r="AT839" s="47" t="n"/>
      <c r="AU839" s="47" t="n"/>
      <c r="AV839" s="47" t="n"/>
      <c r="AW839" s="52" t="n"/>
    </row>
    <row r="840">
      <c r="A840" s="48" t="n"/>
      <c r="B840" s="52" t="n"/>
      <c r="C840" s="47">
        <f>IF(B840="","",IFERROR(INDEX('隊員マスタ'!$B$5:$B$204,MATCH(B840&amp;"",'隊員マスタ'!$F$5:$F$204,0)),IF(AK840="","番号なし",AK840)))</f>
        <v/>
      </c>
      <c r="D840" s="47" t="n"/>
      <c r="E840" s="47" t="n"/>
      <c r="F840" s="47" t="n"/>
      <c r="G840" s="47" t="n"/>
      <c r="H840" s="47" t="n"/>
      <c r="I840" s="47" t="n"/>
      <c r="J840" s="47" t="n"/>
      <c r="K840" s="47" t="n"/>
      <c r="L840" s="47" t="n"/>
      <c r="M840" s="47" t="n"/>
      <c r="N840" s="47" t="n"/>
      <c r="O840" s="47" t="n"/>
      <c r="P840" s="47" t="n"/>
      <c r="Q840" s="47" t="n"/>
      <c r="R840" s="47" t="n"/>
      <c r="S840" s="47" t="n"/>
      <c r="T840" s="47" t="n"/>
      <c r="U840" s="53" t="n"/>
      <c r="V840" s="53" t="n"/>
      <c r="W840" s="47" t="n"/>
      <c r="X840" s="47" t="n"/>
      <c r="Y840" s="47" t="n"/>
      <c r="Z840" s="47" t="n"/>
      <c r="AA840" s="47" t="n"/>
      <c r="AB840" s="47" t="n"/>
      <c r="AC840" s="47" t="n"/>
      <c r="AD840" s="47" t="n"/>
      <c r="AE840" s="47" t="n"/>
      <c r="AF840" s="20">
        <f>IF(A840="","",YEAR(EDATE(A840,-3)))</f>
        <v/>
      </c>
      <c r="AG840" s="20">
        <f>IF(OR(B840="",'経歴簿'!$C$4=""),"",IF(B840&amp;""='経歴簿'!$C$4&amp;"",MAX($AG$4:AG839)+1,""))</f>
        <v/>
      </c>
      <c r="AH840" s="20">
        <f>IF(A840="",0,IF(AND(OR('CSV抽出'!$C$4="",A840&gt;='CSV抽出'!$C$4),OR('CSV抽出'!$C$5="",A840&lt;='CSV抽出'!$C$5),OR('CSV抽出'!$C$6="すべて",'CSV抽出'!$C$6="",D840='CSV抽出'!$C$6),OR('CSV抽出'!$C$7="",B840&amp;""='CSV抽出'!$C$7&amp;"")),1,0))</f>
        <v/>
      </c>
      <c r="AI840" s="20">
        <f>IF(AH840=1,SUM($AH$5:AH840),"")</f>
        <v/>
      </c>
      <c r="AJ840" s="20">
        <f>IF(OR(S840="",'報告書'!$C$4=""),"",IF(S840&amp;""='報告書'!$C$4&amp;"",COUNTIF($S$5:S840,'報告書'!$C$4),""))</f>
        <v/>
      </c>
      <c r="AK840" s="20" t="n"/>
      <c r="AL840" s="47" t="n"/>
      <c r="AM840" s="47" t="n"/>
      <c r="AN840" s="53" t="n"/>
      <c r="AO840" s="47" t="n"/>
      <c r="AP840" s="47" t="n"/>
      <c r="AQ840" s="47" t="n"/>
      <c r="AR840" s="47" t="n"/>
      <c r="AS840" s="47" t="n"/>
      <c r="AT840" s="47" t="n"/>
      <c r="AU840" s="47" t="n"/>
      <c r="AV840" s="47" t="n"/>
      <c r="AW840" s="52" t="n"/>
    </row>
    <row r="841">
      <c r="A841" s="48" t="n"/>
      <c r="B841" s="52" t="n"/>
      <c r="C841" s="47">
        <f>IF(B841="","",IFERROR(INDEX('隊員マスタ'!$B$5:$B$204,MATCH(B841&amp;"",'隊員マスタ'!$F$5:$F$204,0)),IF(AK841="","番号なし",AK841)))</f>
        <v/>
      </c>
      <c r="D841" s="47" t="n"/>
      <c r="E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  <c r="N841" s="47" t="n"/>
      <c r="O841" s="47" t="n"/>
      <c r="P841" s="47" t="n"/>
      <c r="Q841" s="47" t="n"/>
      <c r="R841" s="47" t="n"/>
      <c r="S841" s="47" t="n"/>
      <c r="T841" s="47" t="n"/>
      <c r="U841" s="53" t="n"/>
      <c r="V841" s="53" t="n"/>
      <c r="W841" s="47" t="n"/>
      <c r="X841" s="47" t="n"/>
      <c r="Y841" s="47" t="n"/>
      <c r="Z841" s="47" t="n"/>
      <c r="AA841" s="47" t="n"/>
      <c r="AB841" s="47" t="n"/>
      <c r="AC841" s="47" t="n"/>
      <c r="AD841" s="47" t="n"/>
      <c r="AE841" s="47" t="n"/>
      <c r="AF841" s="20">
        <f>IF(A841="","",YEAR(EDATE(A841,-3)))</f>
        <v/>
      </c>
      <c r="AG841" s="20">
        <f>IF(OR(B841="",'経歴簿'!$C$4=""),"",IF(B841&amp;""='経歴簿'!$C$4&amp;"",MAX($AG$4:AG840)+1,""))</f>
        <v/>
      </c>
      <c r="AH841" s="20">
        <f>IF(A841="",0,IF(AND(OR('CSV抽出'!$C$4="",A841&gt;='CSV抽出'!$C$4),OR('CSV抽出'!$C$5="",A841&lt;='CSV抽出'!$C$5),OR('CSV抽出'!$C$6="すべて",'CSV抽出'!$C$6="",D841='CSV抽出'!$C$6),OR('CSV抽出'!$C$7="",B841&amp;""='CSV抽出'!$C$7&amp;"")),1,0))</f>
        <v/>
      </c>
      <c r="AI841" s="20">
        <f>IF(AH841=1,SUM($AH$5:AH841),"")</f>
        <v/>
      </c>
      <c r="AJ841" s="20">
        <f>IF(OR(S841="",'報告書'!$C$4=""),"",IF(S841&amp;""='報告書'!$C$4&amp;"",COUNTIF($S$5:S841,'報告書'!$C$4),""))</f>
        <v/>
      </c>
      <c r="AK841" s="20" t="n"/>
      <c r="AL841" s="47" t="n"/>
      <c r="AM841" s="47" t="n"/>
      <c r="AN841" s="53" t="n"/>
      <c r="AO841" s="47" t="n"/>
      <c r="AP841" s="47" t="n"/>
      <c r="AQ841" s="47" t="n"/>
      <c r="AR841" s="47" t="n"/>
      <c r="AS841" s="47" t="n"/>
      <c r="AT841" s="47" t="n"/>
      <c r="AU841" s="47" t="n"/>
      <c r="AV841" s="47" t="n"/>
      <c r="AW841" s="52" t="n"/>
    </row>
    <row r="842">
      <c r="A842" s="48" t="n"/>
      <c r="B842" s="52" t="n"/>
      <c r="C842" s="47">
        <f>IF(B842="","",IFERROR(INDEX('隊員マスタ'!$B$5:$B$204,MATCH(B842&amp;"",'隊員マスタ'!$F$5:$F$204,0)),IF(AK842="","番号なし",AK842)))</f>
        <v/>
      </c>
      <c r="D842" s="47" t="n"/>
      <c r="E842" s="47" t="n"/>
      <c r="F842" s="47" t="n"/>
      <c r="G842" s="47" t="n"/>
      <c r="H842" s="47" t="n"/>
      <c r="I842" s="47" t="n"/>
      <c r="J842" s="47" t="n"/>
      <c r="K842" s="47" t="n"/>
      <c r="L842" s="47" t="n"/>
      <c r="M842" s="47" t="n"/>
      <c r="N842" s="47" t="n"/>
      <c r="O842" s="47" t="n"/>
      <c r="P842" s="47" t="n"/>
      <c r="Q842" s="47" t="n"/>
      <c r="R842" s="47" t="n"/>
      <c r="S842" s="47" t="n"/>
      <c r="T842" s="47" t="n"/>
      <c r="U842" s="53" t="n"/>
      <c r="V842" s="53" t="n"/>
      <c r="W842" s="47" t="n"/>
      <c r="X842" s="47" t="n"/>
      <c r="Y842" s="47" t="n"/>
      <c r="Z842" s="47" t="n"/>
      <c r="AA842" s="47" t="n"/>
      <c r="AB842" s="47" t="n"/>
      <c r="AC842" s="47" t="n"/>
      <c r="AD842" s="47" t="n"/>
      <c r="AE842" s="47" t="n"/>
      <c r="AF842" s="20">
        <f>IF(A842="","",YEAR(EDATE(A842,-3)))</f>
        <v/>
      </c>
      <c r="AG842" s="20">
        <f>IF(OR(B842="",'経歴簿'!$C$4=""),"",IF(B842&amp;""='経歴簿'!$C$4&amp;"",MAX($AG$4:AG841)+1,""))</f>
        <v/>
      </c>
      <c r="AH842" s="20">
        <f>IF(A842="",0,IF(AND(OR('CSV抽出'!$C$4="",A842&gt;='CSV抽出'!$C$4),OR('CSV抽出'!$C$5="",A842&lt;='CSV抽出'!$C$5),OR('CSV抽出'!$C$6="すべて",'CSV抽出'!$C$6="",D842='CSV抽出'!$C$6),OR('CSV抽出'!$C$7="",B842&amp;""='CSV抽出'!$C$7&amp;"")),1,0))</f>
        <v/>
      </c>
      <c r="AI842" s="20">
        <f>IF(AH842=1,SUM($AH$5:AH842),"")</f>
        <v/>
      </c>
      <c r="AJ842" s="20">
        <f>IF(OR(S842="",'報告書'!$C$4=""),"",IF(S842&amp;""='報告書'!$C$4&amp;"",COUNTIF($S$5:S842,'報告書'!$C$4),""))</f>
        <v/>
      </c>
      <c r="AK842" s="20" t="n"/>
      <c r="AL842" s="47" t="n"/>
      <c r="AM842" s="47" t="n"/>
      <c r="AN842" s="53" t="n"/>
      <c r="AO842" s="47" t="n"/>
      <c r="AP842" s="47" t="n"/>
      <c r="AQ842" s="47" t="n"/>
      <c r="AR842" s="47" t="n"/>
      <c r="AS842" s="47" t="n"/>
      <c r="AT842" s="47" t="n"/>
      <c r="AU842" s="47" t="n"/>
      <c r="AV842" s="47" t="n"/>
      <c r="AW842" s="52" t="n"/>
    </row>
    <row r="843">
      <c r="A843" s="48" t="n"/>
      <c r="B843" s="52" t="n"/>
      <c r="C843" s="47">
        <f>IF(B843="","",IFERROR(INDEX('隊員マスタ'!$B$5:$B$204,MATCH(B843&amp;"",'隊員マスタ'!$F$5:$F$204,0)),IF(AK843="","番号なし",AK843)))</f>
        <v/>
      </c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  <c r="N843" s="47" t="n"/>
      <c r="O843" s="47" t="n"/>
      <c r="P843" s="47" t="n"/>
      <c r="Q843" s="47" t="n"/>
      <c r="R843" s="47" t="n"/>
      <c r="S843" s="47" t="n"/>
      <c r="T843" s="47" t="n"/>
      <c r="U843" s="53" t="n"/>
      <c r="V843" s="53" t="n"/>
      <c r="W843" s="47" t="n"/>
      <c r="X843" s="47" t="n"/>
      <c r="Y843" s="47" t="n"/>
      <c r="Z843" s="47" t="n"/>
      <c r="AA843" s="47" t="n"/>
      <c r="AB843" s="47" t="n"/>
      <c r="AC843" s="47" t="n"/>
      <c r="AD843" s="47" t="n"/>
      <c r="AE843" s="47" t="n"/>
      <c r="AF843" s="20">
        <f>IF(A843="","",YEAR(EDATE(A843,-3)))</f>
        <v/>
      </c>
      <c r="AG843" s="20">
        <f>IF(OR(B843="",'経歴簿'!$C$4=""),"",IF(B843&amp;""='経歴簿'!$C$4&amp;"",MAX($AG$4:AG842)+1,""))</f>
        <v/>
      </c>
      <c r="AH843" s="20">
        <f>IF(A843="",0,IF(AND(OR('CSV抽出'!$C$4="",A843&gt;='CSV抽出'!$C$4),OR('CSV抽出'!$C$5="",A843&lt;='CSV抽出'!$C$5),OR('CSV抽出'!$C$6="すべて",'CSV抽出'!$C$6="",D843='CSV抽出'!$C$6),OR('CSV抽出'!$C$7="",B843&amp;""='CSV抽出'!$C$7&amp;"")),1,0))</f>
        <v/>
      </c>
      <c r="AI843" s="20">
        <f>IF(AH843=1,SUM($AH$5:AH843),"")</f>
        <v/>
      </c>
      <c r="AJ843" s="20">
        <f>IF(OR(S843="",'報告書'!$C$4=""),"",IF(S843&amp;""='報告書'!$C$4&amp;"",COUNTIF($S$5:S843,'報告書'!$C$4),""))</f>
        <v/>
      </c>
      <c r="AK843" s="20" t="n"/>
      <c r="AL843" s="47" t="n"/>
      <c r="AM843" s="47" t="n"/>
      <c r="AN843" s="53" t="n"/>
      <c r="AO843" s="47" t="n"/>
      <c r="AP843" s="47" t="n"/>
      <c r="AQ843" s="47" t="n"/>
      <c r="AR843" s="47" t="n"/>
      <c r="AS843" s="47" t="n"/>
      <c r="AT843" s="47" t="n"/>
      <c r="AU843" s="47" t="n"/>
      <c r="AV843" s="47" t="n"/>
      <c r="AW843" s="52" t="n"/>
    </row>
    <row r="844">
      <c r="A844" s="48" t="n"/>
      <c r="B844" s="52" t="n"/>
      <c r="C844" s="47">
        <f>IF(B844="","",IFERROR(INDEX('隊員マスタ'!$B$5:$B$204,MATCH(B844&amp;"",'隊員マスタ'!$F$5:$F$204,0)),IF(AK844="","番号なし",AK844)))</f>
        <v/>
      </c>
      <c r="D844" s="47" t="n"/>
      <c r="E844" s="47" t="n"/>
      <c r="F844" s="47" t="n"/>
      <c r="G844" s="47" t="n"/>
      <c r="H844" s="47" t="n"/>
      <c r="I844" s="47" t="n"/>
      <c r="J844" s="47" t="n"/>
      <c r="K844" s="47" t="n"/>
      <c r="L844" s="47" t="n"/>
      <c r="M844" s="47" t="n"/>
      <c r="N844" s="47" t="n"/>
      <c r="O844" s="47" t="n"/>
      <c r="P844" s="47" t="n"/>
      <c r="Q844" s="47" t="n"/>
      <c r="R844" s="47" t="n"/>
      <c r="S844" s="47" t="n"/>
      <c r="T844" s="47" t="n"/>
      <c r="U844" s="53" t="n"/>
      <c r="V844" s="53" t="n"/>
      <c r="W844" s="47" t="n"/>
      <c r="X844" s="47" t="n"/>
      <c r="Y844" s="47" t="n"/>
      <c r="Z844" s="47" t="n"/>
      <c r="AA844" s="47" t="n"/>
      <c r="AB844" s="47" t="n"/>
      <c r="AC844" s="47" t="n"/>
      <c r="AD844" s="47" t="n"/>
      <c r="AE844" s="47" t="n"/>
      <c r="AF844" s="20">
        <f>IF(A844="","",YEAR(EDATE(A844,-3)))</f>
        <v/>
      </c>
      <c r="AG844" s="20">
        <f>IF(OR(B844="",'経歴簿'!$C$4=""),"",IF(B844&amp;""='経歴簿'!$C$4&amp;"",MAX($AG$4:AG843)+1,""))</f>
        <v/>
      </c>
      <c r="AH844" s="20">
        <f>IF(A844="",0,IF(AND(OR('CSV抽出'!$C$4="",A844&gt;='CSV抽出'!$C$4),OR('CSV抽出'!$C$5="",A844&lt;='CSV抽出'!$C$5),OR('CSV抽出'!$C$6="すべて",'CSV抽出'!$C$6="",D844='CSV抽出'!$C$6),OR('CSV抽出'!$C$7="",B844&amp;""='CSV抽出'!$C$7&amp;"")),1,0))</f>
        <v/>
      </c>
      <c r="AI844" s="20">
        <f>IF(AH844=1,SUM($AH$5:AH844),"")</f>
        <v/>
      </c>
      <c r="AJ844" s="20">
        <f>IF(OR(S844="",'報告書'!$C$4=""),"",IF(S844&amp;""='報告書'!$C$4&amp;"",COUNTIF($S$5:S844,'報告書'!$C$4),""))</f>
        <v/>
      </c>
      <c r="AK844" s="20" t="n"/>
      <c r="AL844" s="47" t="n"/>
      <c r="AM844" s="47" t="n"/>
      <c r="AN844" s="53" t="n"/>
      <c r="AO844" s="47" t="n"/>
      <c r="AP844" s="47" t="n"/>
      <c r="AQ844" s="47" t="n"/>
      <c r="AR844" s="47" t="n"/>
      <c r="AS844" s="47" t="n"/>
      <c r="AT844" s="47" t="n"/>
      <c r="AU844" s="47" t="n"/>
      <c r="AV844" s="47" t="n"/>
      <c r="AW844" s="52" t="n"/>
    </row>
    <row r="845">
      <c r="A845" s="48" t="n"/>
      <c r="B845" s="52" t="n"/>
      <c r="C845" s="47">
        <f>IF(B845="","",IFERROR(INDEX('隊員マスタ'!$B$5:$B$204,MATCH(B845&amp;"",'隊員マスタ'!$F$5:$F$204,0)),IF(AK845="","番号なし",AK845)))</f>
        <v/>
      </c>
      <c r="D845" s="47" t="n"/>
      <c r="E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  <c r="N845" s="47" t="n"/>
      <c r="O845" s="47" t="n"/>
      <c r="P845" s="47" t="n"/>
      <c r="Q845" s="47" t="n"/>
      <c r="R845" s="47" t="n"/>
      <c r="S845" s="47" t="n"/>
      <c r="T845" s="47" t="n"/>
      <c r="U845" s="53" t="n"/>
      <c r="V845" s="53" t="n"/>
      <c r="W845" s="47" t="n"/>
      <c r="X845" s="47" t="n"/>
      <c r="Y845" s="47" t="n"/>
      <c r="Z845" s="47" t="n"/>
      <c r="AA845" s="47" t="n"/>
      <c r="AB845" s="47" t="n"/>
      <c r="AC845" s="47" t="n"/>
      <c r="AD845" s="47" t="n"/>
      <c r="AE845" s="47" t="n"/>
      <c r="AF845" s="20">
        <f>IF(A845="","",YEAR(EDATE(A845,-3)))</f>
        <v/>
      </c>
      <c r="AG845" s="20">
        <f>IF(OR(B845="",'経歴簿'!$C$4=""),"",IF(B845&amp;""='経歴簿'!$C$4&amp;"",MAX($AG$4:AG844)+1,""))</f>
        <v/>
      </c>
      <c r="AH845" s="20">
        <f>IF(A845="",0,IF(AND(OR('CSV抽出'!$C$4="",A845&gt;='CSV抽出'!$C$4),OR('CSV抽出'!$C$5="",A845&lt;='CSV抽出'!$C$5),OR('CSV抽出'!$C$6="すべて",'CSV抽出'!$C$6="",D845='CSV抽出'!$C$6),OR('CSV抽出'!$C$7="",B845&amp;""='CSV抽出'!$C$7&amp;"")),1,0))</f>
        <v/>
      </c>
      <c r="AI845" s="20">
        <f>IF(AH845=1,SUM($AH$5:AH845),"")</f>
        <v/>
      </c>
      <c r="AJ845" s="20">
        <f>IF(OR(S845="",'報告書'!$C$4=""),"",IF(S845&amp;""='報告書'!$C$4&amp;"",COUNTIF($S$5:S845,'報告書'!$C$4),""))</f>
        <v/>
      </c>
      <c r="AK845" s="20" t="n"/>
      <c r="AL845" s="47" t="n"/>
      <c r="AM845" s="47" t="n"/>
      <c r="AN845" s="53" t="n"/>
      <c r="AO845" s="47" t="n"/>
      <c r="AP845" s="47" t="n"/>
      <c r="AQ845" s="47" t="n"/>
      <c r="AR845" s="47" t="n"/>
      <c r="AS845" s="47" t="n"/>
      <c r="AT845" s="47" t="n"/>
      <c r="AU845" s="47" t="n"/>
      <c r="AV845" s="47" t="n"/>
      <c r="AW845" s="52" t="n"/>
    </row>
    <row r="846">
      <c r="A846" s="48" t="n"/>
      <c r="B846" s="52" t="n"/>
      <c r="C846" s="47">
        <f>IF(B846="","",IFERROR(INDEX('隊員マスタ'!$B$5:$B$204,MATCH(B846&amp;"",'隊員マスタ'!$F$5:$F$204,0)),IF(AK846="","番号なし",AK846)))</f>
        <v/>
      </c>
      <c r="D846" s="47" t="n"/>
      <c r="E846" s="47" t="n"/>
      <c r="F846" s="47" t="n"/>
      <c r="G846" s="47" t="n"/>
      <c r="H846" s="47" t="n"/>
      <c r="I846" s="47" t="n"/>
      <c r="J846" s="47" t="n"/>
      <c r="K846" s="47" t="n"/>
      <c r="L846" s="47" t="n"/>
      <c r="M846" s="47" t="n"/>
      <c r="N846" s="47" t="n"/>
      <c r="O846" s="47" t="n"/>
      <c r="P846" s="47" t="n"/>
      <c r="Q846" s="47" t="n"/>
      <c r="R846" s="47" t="n"/>
      <c r="S846" s="47" t="n"/>
      <c r="T846" s="47" t="n"/>
      <c r="U846" s="53" t="n"/>
      <c r="V846" s="53" t="n"/>
      <c r="W846" s="47" t="n"/>
      <c r="X846" s="47" t="n"/>
      <c r="Y846" s="47" t="n"/>
      <c r="Z846" s="47" t="n"/>
      <c r="AA846" s="47" t="n"/>
      <c r="AB846" s="47" t="n"/>
      <c r="AC846" s="47" t="n"/>
      <c r="AD846" s="47" t="n"/>
      <c r="AE846" s="47" t="n"/>
      <c r="AF846" s="20">
        <f>IF(A846="","",YEAR(EDATE(A846,-3)))</f>
        <v/>
      </c>
      <c r="AG846" s="20">
        <f>IF(OR(B846="",'経歴簿'!$C$4=""),"",IF(B846&amp;""='経歴簿'!$C$4&amp;"",MAX($AG$4:AG845)+1,""))</f>
        <v/>
      </c>
      <c r="AH846" s="20">
        <f>IF(A846="",0,IF(AND(OR('CSV抽出'!$C$4="",A846&gt;='CSV抽出'!$C$4),OR('CSV抽出'!$C$5="",A846&lt;='CSV抽出'!$C$5),OR('CSV抽出'!$C$6="すべて",'CSV抽出'!$C$6="",D846='CSV抽出'!$C$6),OR('CSV抽出'!$C$7="",B846&amp;""='CSV抽出'!$C$7&amp;"")),1,0))</f>
        <v/>
      </c>
      <c r="AI846" s="20">
        <f>IF(AH846=1,SUM($AH$5:AH846),"")</f>
        <v/>
      </c>
      <c r="AJ846" s="20">
        <f>IF(OR(S846="",'報告書'!$C$4=""),"",IF(S846&amp;""='報告書'!$C$4&amp;"",COUNTIF($S$5:S846,'報告書'!$C$4),""))</f>
        <v/>
      </c>
      <c r="AK846" s="20" t="n"/>
      <c r="AL846" s="47" t="n"/>
      <c r="AM846" s="47" t="n"/>
      <c r="AN846" s="53" t="n"/>
      <c r="AO846" s="47" t="n"/>
      <c r="AP846" s="47" t="n"/>
      <c r="AQ846" s="47" t="n"/>
      <c r="AR846" s="47" t="n"/>
      <c r="AS846" s="47" t="n"/>
      <c r="AT846" s="47" t="n"/>
      <c r="AU846" s="47" t="n"/>
      <c r="AV846" s="47" t="n"/>
      <c r="AW846" s="52" t="n"/>
    </row>
    <row r="847">
      <c r="A847" s="48" t="n"/>
      <c r="B847" s="52" t="n"/>
      <c r="C847" s="47">
        <f>IF(B847="","",IFERROR(INDEX('隊員マスタ'!$B$5:$B$204,MATCH(B847&amp;"",'隊員マスタ'!$F$5:$F$204,0)),IF(AK847="","番号なし",AK847)))</f>
        <v/>
      </c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  <c r="N847" s="47" t="n"/>
      <c r="O847" s="47" t="n"/>
      <c r="P847" s="47" t="n"/>
      <c r="Q847" s="47" t="n"/>
      <c r="R847" s="47" t="n"/>
      <c r="S847" s="47" t="n"/>
      <c r="T847" s="47" t="n"/>
      <c r="U847" s="53" t="n"/>
      <c r="V847" s="53" t="n"/>
      <c r="W847" s="47" t="n"/>
      <c r="X847" s="47" t="n"/>
      <c r="Y847" s="47" t="n"/>
      <c r="Z847" s="47" t="n"/>
      <c r="AA847" s="47" t="n"/>
      <c r="AB847" s="47" t="n"/>
      <c r="AC847" s="47" t="n"/>
      <c r="AD847" s="47" t="n"/>
      <c r="AE847" s="47" t="n"/>
      <c r="AF847" s="20">
        <f>IF(A847="","",YEAR(EDATE(A847,-3)))</f>
        <v/>
      </c>
      <c r="AG847" s="20">
        <f>IF(OR(B847="",'経歴簿'!$C$4=""),"",IF(B847&amp;""='経歴簿'!$C$4&amp;"",MAX($AG$4:AG846)+1,""))</f>
        <v/>
      </c>
      <c r="AH847" s="20">
        <f>IF(A847="",0,IF(AND(OR('CSV抽出'!$C$4="",A847&gt;='CSV抽出'!$C$4),OR('CSV抽出'!$C$5="",A847&lt;='CSV抽出'!$C$5),OR('CSV抽出'!$C$6="すべて",'CSV抽出'!$C$6="",D847='CSV抽出'!$C$6),OR('CSV抽出'!$C$7="",B847&amp;""='CSV抽出'!$C$7&amp;"")),1,0))</f>
        <v/>
      </c>
      <c r="AI847" s="20">
        <f>IF(AH847=1,SUM($AH$5:AH847),"")</f>
        <v/>
      </c>
      <c r="AJ847" s="20">
        <f>IF(OR(S847="",'報告書'!$C$4=""),"",IF(S847&amp;""='報告書'!$C$4&amp;"",COUNTIF($S$5:S847,'報告書'!$C$4),""))</f>
        <v/>
      </c>
      <c r="AK847" s="20" t="n"/>
      <c r="AL847" s="47" t="n"/>
      <c r="AM847" s="47" t="n"/>
      <c r="AN847" s="53" t="n"/>
      <c r="AO847" s="47" t="n"/>
      <c r="AP847" s="47" t="n"/>
      <c r="AQ847" s="47" t="n"/>
      <c r="AR847" s="47" t="n"/>
      <c r="AS847" s="47" t="n"/>
      <c r="AT847" s="47" t="n"/>
      <c r="AU847" s="47" t="n"/>
      <c r="AV847" s="47" t="n"/>
      <c r="AW847" s="52" t="n"/>
    </row>
    <row r="848">
      <c r="A848" s="48" t="n"/>
      <c r="B848" s="52" t="n"/>
      <c r="C848" s="47">
        <f>IF(B848="","",IFERROR(INDEX('隊員マスタ'!$B$5:$B$204,MATCH(B848&amp;"",'隊員マスタ'!$F$5:$F$204,0)),IF(AK848="","番号なし",AK848)))</f>
        <v/>
      </c>
      <c r="D848" s="47" t="n"/>
      <c r="E848" s="47" t="n"/>
      <c r="F848" s="47" t="n"/>
      <c r="G848" s="47" t="n"/>
      <c r="H848" s="47" t="n"/>
      <c r="I848" s="47" t="n"/>
      <c r="J848" s="47" t="n"/>
      <c r="K848" s="47" t="n"/>
      <c r="L848" s="47" t="n"/>
      <c r="M848" s="47" t="n"/>
      <c r="N848" s="47" t="n"/>
      <c r="O848" s="47" t="n"/>
      <c r="P848" s="47" t="n"/>
      <c r="Q848" s="47" t="n"/>
      <c r="R848" s="47" t="n"/>
      <c r="S848" s="47" t="n"/>
      <c r="T848" s="47" t="n"/>
      <c r="U848" s="53" t="n"/>
      <c r="V848" s="53" t="n"/>
      <c r="W848" s="47" t="n"/>
      <c r="X848" s="47" t="n"/>
      <c r="Y848" s="47" t="n"/>
      <c r="Z848" s="47" t="n"/>
      <c r="AA848" s="47" t="n"/>
      <c r="AB848" s="47" t="n"/>
      <c r="AC848" s="47" t="n"/>
      <c r="AD848" s="47" t="n"/>
      <c r="AE848" s="47" t="n"/>
      <c r="AF848" s="20">
        <f>IF(A848="","",YEAR(EDATE(A848,-3)))</f>
        <v/>
      </c>
      <c r="AG848" s="20">
        <f>IF(OR(B848="",'経歴簿'!$C$4=""),"",IF(B848&amp;""='経歴簿'!$C$4&amp;"",MAX($AG$4:AG847)+1,""))</f>
        <v/>
      </c>
      <c r="AH848" s="20">
        <f>IF(A848="",0,IF(AND(OR('CSV抽出'!$C$4="",A848&gt;='CSV抽出'!$C$4),OR('CSV抽出'!$C$5="",A848&lt;='CSV抽出'!$C$5),OR('CSV抽出'!$C$6="すべて",'CSV抽出'!$C$6="",D848='CSV抽出'!$C$6),OR('CSV抽出'!$C$7="",B848&amp;""='CSV抽出'!$C$7&amp;"")),1,0))</f>
        <v/>
      </c>
      <c r="AI848" s="20">
        <f>IF(AH848=1,SUM($AH$5:AH848),"")</f>
        <v/>
      </c>
      <c r="AJ848" s="20">
        <f>IF(OR(S848="",'報告書'!$C$4=""),"",IF(S848&amp;""='報告書'!$C$4&amp;"",COUNTIF($S$5:S848,'報告書'!$C$4),""))</f>
        <v/>
      </c>
      <c r="AK848" s="20" t="n"/>
      <c r="AL848" s="47" t="n"/>
      <c r="AM848" s="47" t="n"/>
      <c r="AN848" s="53" t="n"/>
      <c r="AO848" s="47" t="n"/>
      <c r="AP848" s="47" t="n"/>
      <c r="AQ848" s="47" t="n"/>
      <c r="AR848" s="47" t="n"/>
      <c r="AS848" s="47" t="n"/>
      <c r="AT848" s="47" t="n"/>
      <c r="AU848" s="47" t="n"/>
      <c r="AV848" s="47" t="n"/>
      <c r="AW848" s="52" t="n"/>
    </row>
    <row r="849">
      <c r="A849" s="48" t="n"/>
      <c r="B849" s="52" t="n"/>
      <c r="C849" s="47">
        <f>IF(B849="","",IFERROR(INDEX('隊員マスタ'!$B$5:$B$204,MATCH(B849&amp;"",'隊員マスタ'!$F$5:$F$204,0)),IF(AK849="","番号なし",AK849)))</f>
        <v/>
      </c>
      <c r="D849" s="47" t="n"/>
      <c r="E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  <c r="N849" s="47" t="n"/>
      <c r="O849" s="47" t="n"/>
      <c r="P849" s="47" t="n"/>
      <c r="Q849" s="47" t="n"/>
      <c r="R849" s="47" t="n"/>
      <c r="S849" s="47" t="n"/>
      <c r="T849" s="47" t="n"/>
      <c r="U849" s="53" t="n"/>
      <c r="V849" s="53" t="n"/>
      <c r="W849" s="47" t="n"/>
      <c r="X849" s="47" t="n"/>
      <c r="Y849" s="47" t="n"/>
      <c r="Z849" s="47" t="n"/>
      <c r="AA849" s="47" t="n"/>
      <c r="AB849" s="47" t="n"/>
      <c r="AC849" s="47" t="n"/>
      <c r="AD849" s="47" t="n"/>
      <c r="AE849" s="47" t="n"/>
      <c r="AF849" s="20">
        <f>IF(A849="","",YEAR(EDATE(A849,-3)))</f>
        <v/>
      </c>
      <c r="AG849" s="20">
        <f>IF(OR(B849="",'経歴簿'!$C$4=""),"",IF(B849&amp;""='経歴簿'!$C$4&amp;"",MAX($AG$4:AG848)+1,""))</f>
        <v/>
      </c>
      <c r="AH849" s="20">
        <f>IF(A849="",0,IF(AND(OR('CSV抽出'!$C$4="",A849&gt;='CSV抽出'!$C$4),OR('CSV抽出'!$C$5="",A849&lt;='CSV抽出'!$C$5),OR('CSV抽出'!$C$6="すべて",'CSV抽出'!$C$6="",D849='CSV抽出'!$C$6),OR('CSV抽出'!$C$7="",B849&amp;""='CSV抽出'!$C$7&amp;"")),1,0))</f>
        <v/>
      </c>
      <c r="AI849" s="20">
        <f>IF(AH849=1,SUM($AH$5:AH849),"")</f>
        <v/>
      </c>
      <c r="AJ849" s="20">
        <f>IF(OR(S849="",'報告書'!$C$4=""),"",IF(S849&amp;""='報告書'!$C$4&amp;"",COUNTIF($S$5:S849,'報告書'!$C$4),""))</f>
        <v/>
      </c>
      <c r="AK849" s="20" t="n"/>
      <c r="AL849" s="47" t="n"/>
      <c r="AM849" s="47" t="n"/>
      <c r="AN849" s="53" t="n"/>
      <c r="AO849" s="47" t="n"/>
      <c r="AP849" s="47" t="n"/>
      <c r="AQ849" s="47" t="n"/>
      <c r="AR849" s="47" t="n"/>
      <c r="AS849" s="47" t="n"/>
      <c r="AT849" s="47" t="n"/>
      <c r="AU849" s="47" t="n"/>
      <c r="AV849" s="47" t="n"/>
      <c r="AW849" s="52" t="n"/>
    </row>
    <row r="850">
      <c r="A850" s="48" t="n"/>
      <c r="B850" s="52" t="n"/>
      <c r="C850" s="47">
        <f>IF(B850="","",IFERROR(INDEX('隊員マスタ'!$B$5:$B$204,MATCH(B850&amp;"",'隊員マスタ'!$F$5:$F$204,0)),IF(AK850="","番号なし",AK850)))</f>
        <v/>
      </c>
      <c r="D850" s="47" t="n"/>
      <c r="E850" s="47" t="n"/>
      <c r="F850" s="47" t="n"/>
      <c r="G850" s="47" t="n"/>
      <c r="H850" s="47" t="n"/>
      <c r="I850" s="47" t="n"/>
      <c r="J850" s="47" t="n"/>
      <c r="K850" s="47" t="n"/>
      <c r="L850" s="47" t="n"/>
      <c r="M850" s="47" t="n"/>
      <c r="N850" s="47" t="n"/>
      <c r="O850" s="47" t="n"/>
      <c r="P850" s="47" t="n"/>
      <c r="Q850" s="47" t="n"/>
      <c r="R850" s="47" t="n"/>
      <c r="S850" s="47" t="n"/>
      <c r="T850" s="47" t="n"/>
      <c r="U850" s="53" t="n"/>
      <c r="V850" s="53" t="n"/>
      <c r="W850" s="47" t="n"/>
      <c r="X850" s="47" t="n"/>
      <c r="Y850" s="47" t="n"/>
      <c r="Z850" s="47" t="n"/>
      <c r="AA850" s="47" t="n"/>
      <c r="AB850" s="47" t="n"/>
      <c r="AC850" s="47" t="n"/>
      <c r="AD850" s="47" t="n"/>
      <c r="AE850" s="47" t="n"/>
      <c r="AF850" s="20">
        <f>IF(A850="","",YEAR(EDATE(A850,-3)))</f>
        <v/>
      </c>
      <c r="AG850" s="20">
        <f>IF(OR(B850="",'経歴簿'!$C$4=""),"",IF(B850&amp;""='経歴簿'!$C$4&amp;"",MAX($AG$4:AG849)+1,""))</f>
        <v/>
      </c>
      <c r="AH850" s="20">
        <f>IF(A850="",0,IF(AND(OR('CSV抽出'!$C$4="",A850&gt;='CSV抽出'!$C$4),OR('CSV抽出'!$C$5="",A850&lt;='CSV抽出'!$C$5),OR('CSV抽出'!$C$6="すべて",'CSV抽出'!$C$6="",D850='CSV抽出'!$C$6),OR('CSV抽出'!$C$7="",B850&amp;""='CSV抽出'!$C$7&amp;"")),1,0))</f>
        <v/>
      </c>
      <c r="AI850" s="20">
        <f>IF(AH850=1,SUM($AH$5:AH850),"")</f>
        <v/>
      </c>
      <c r="AJ850" s="20">
        <f>IF(OR(S850="",'報告書'!$C$4=""),"",IF(S850&amp;""='報告書'!$C$4&amp;"",COUNTIF($S$5:S850,'報告書'!$C$4),""))</f>
        <v/>
      </c>
      <c r="AK850" s="20" t="n"/>
      <c r="AL850" s="47" t="n"/>
      <c r="AM850" s="47" t="n"/>
      <c r="AN850" s="53" t="n"/>
      <c r="AO850" s="47" t="n"/>
      <c r="AP850" s="47" t="n"/>
      <c r="AQ850" s="47" t="n"/>
      <c r="AR850" s="47" t="n"/>
      <c r="AS850" s="47" t="n"/>
      <c r="AT850" s="47" t="n"/>
      <c r="AU850" s="47" t="n"/>
      <c r="AV850" s="47" t="n"/>
      <c r="AW850" s="52" t="n"/>
    </row>
    <row r="851">
      <c r="A851" s="48" t="n"/>
      <c r="B851" s="52" t="n"/>
      <c r="C851" s="47">
        <f>IF(B851="","",IFERROR(INDEX('隊員マスタ'!$B$5:$B$204,MATCH(B851&amp;"",'隊員マスタ'!$F$5:$F$204,0)),IF(AK851="","番号なし",AK851)))</f>
        <v/>
      </c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  <c r="N851" s="47" t="n"/>
      <c r="O851" s="47" t="n"/>
      <c r="P851" s="47" t="n"/>
      <c r="Q851" s="47" t="n"/>
      <c r="R851" s="47" t="n"/>
      <c r="S851" s="47" t="n"/>
      <c r="T851" s="47" t="n"/>
      <c r="U851" s="53" t="n"/>
      <c r="V851" s="53" t="n"/>
      <c r="W851" s="47" t="n"/>
      <c r="X851" s="47" t="n"/>
      <c r="Y851" s="47" t="n"/>
      <c r="Z851" s="47" t="n"/>
      <c r="AA851" s="47" t="n"/>
      <c r="AB851" s="47" t="n"/>
      <c r="AC851" s="47" t="n"/>
      <c r="AD851" s="47" t="n"/>
      <c r="AE851" s="47" t="n"/>
      <c r="AF851" s="20">
        <f>IF(A851="","",YEAR(EDATE(A851,-3)))</f>
        <v/>
      </c>
      <c r="AG851" s="20">
        <f>IF(OR(B851="",'経歴簿'!$C$4=""),"",IF(B851&amp;""='経歴簿'!$C$4&amp;"",MAX($AG$4:AG850)+1,""))</f>
        <v/>
      </c>
      <c r="AH851" s="20">
        <f>IF(A851="",0,IF(AND(OR('CSV抽出'!$C$4="",A851&gt;='CSV抽出'!$C$4),OR('CSV抽出'!$C$5="",A851&lt;='CSV抽出'!$C$5),OR('CSV抽出'!$C$6="すべて",'CSV抽出'!$C$6="",D851='CSV抽出'!$C$6),OR('CSV抽出'!$C$7="",B851&amp;""='CSV抽出'!$C$7&amp;"")),1,0))</f>
        <v/>
      </c>
      <c r="AI851" s="20">
        <f>IF(AH851=1,SUM($AH$5:AH851),"")</f>
        <v/>
      </c>
      <c r="AJ851" s="20">
        <f>IF(OR(S851="",'報告書'!$C$4=""),"",IF(S851&amp;""='報告書'!$C$4&amp;"",COUNTIF($S$5:S851,'報告書'!$C$4),""))</f>
        <v/>
      </c>
      <c r="AK851" s="20" t="n"/>
      <c r="AL851" s="47" t="n"/>
      <c r="AM851" s="47" t="n"/>
      <c r="AN851" s="53" t="n"/>
      <c r="AO851" s="47" t="n"/>
      <c r="AP851" s="47" t="n"/>
      <c r="AQ851" s="47" t="n"/>
      <c r="AR851" s="47" t="n"/>
      <c r="AS851" s="47" t="n"/>
      <c r="AT851" s="47" t="n"/>
      <c r="AU851" s="47" t="n"/>
      <c r="AV851" s="47" t="n"/>
      <c r="AW851" s="52" t="n"/>
    </row>
    <row r="852">
      <c r="A852" s="48" t="n"/>
      <c r="B852" s="52" t="n"/>
      <c r="C852" s="47">
        <f>IF(B852="","",IFERROR(INDEX('隊員マスタ'!$B$5:$B$204,MATCH(B852&amp;"",'隊員マスタ'!$F$5:$F$204,0)),IF(AK852="","番号なし",AK852)))</f>
        <v/>
      </c>
      <c r="D852" s="47" t="n"/>
      <c r="E852" s="47" t="n"/>
      <c r="F852" s="47" t="n"/>
      <c r="G852" s="47" t="n"/>
      <c r="H852" s="47" t="n"/>
      <c r="I852" s="47" t="n"/>
      <c r="J852" s="47" t="n"/>
      <c r="K852" s="47" t="n"/>
      <c r="L852" s="47" t="n"/>
      <c r="M852" s="47" t="n"/>
      <c r="N852" s="47" t="n"/>
      <c r="O852" s="47" t="n"/>
      <c r="P852" s="47" t="n"/>
      <c r="Q852" s="47" t="n"/>
      <c r="R852" s="47" t="n"/>
      <c r="S852" s="47" t="n"/>
      <c r="T852" s="47" t="n"/>
      <c r="U852" s="53" t="n"/>
      <c r="V852" s="53" t="n"/>
      <c r="W852" s="47" t="n"/>
      <c r="X852" s="47" t="n"/>
      <c r="Y852" s="47" t="n"/>
      <c r="Z852" s="47" t="n"/>
      <c r="AA852" s="47" t="n"/>
      <c r="AB852" s="47" t="n"/>
      <c r="AC852" s="47" t="n"/>
      <c r="AD852" s="47" t="n"/>
      <c r="AE852" s="47" t="n"/>
      <c r="AF852" s="20">
        <f>IF(A852="","",YEAR(EDATE(A852,-3)))</f>
        <v/>
      </c>
      <c r="AG852" s="20">
        <f>IF(OR(B852="",'経歴簿'!$C$4=""),"",IF(B852&amp;""='経歴簿'!$C$4&amp;"",MAX($AG$4:AG851)+1,""))</f>
        <v/>
      </c>
      <c r="AH852" s="20">
        <f>IF(A852="",0,IF(AND(OR('CSV抽出'!$C$4="",A852&gt;='CSV抽出'!$C$4),OR('CSV抽出'!$C$5="",A852&lt;='CSV抽出'!$C$5),OR('CSV抽出'!$C$6="すべて",'CSV抽出'!$C$6="",D852='CSV抽出'!$C$6),OR('CSV抽出'!$C$7="",B852&amp;""='CSV抽出'!$C$7&amp;"")),1,0))</f>
        <v/>
      </c>
      <c r="AI852" s="20">
        <f>IF(AH852=1,SUM($AH$5:AH852),"")</f>
        <v/>
      </c>
      <c r="AJ852" s="20">
        <f>IF(OR(S852="",'報告書'!$C$4=""),"",IF(S852&amp;""='報告書'!$C$4&amp;"",COUNTIF($S$5:S852,'報告書'!$C$4),""))</f>
        <v/>
      </c>
      <c r="AK852" s="20" t="n"/>
      <c r="AL852" s="47" t="n"/>
      <c r="AM852" s="47" t="n"/>
      <c r="AN852" s="53" t="n"/>
      <c r="AO852" s="47" t="n"/>
      <c r="AP852" s="47" t="n"/>
      <c r="AQ852" s="47" t="n"/>
      <c r="AR852" s="47" t="n"/>
      <c r="AS852" s="47" t="n"/>
      <c r="AT852" s="47" t="n"/>
      <c r="AU852" s="47" t="n"/>
      <c r="AV852" s="47" t="n"/>
      <c r="AW852" s="52" t="n"/>
    </row>
    <row r="853">
      <c r="A853" s="48" t="n"/>
      <c r="B853" s="52" t="n"/>
      <c r="C853" s="47">
        <f>IF(B853="","",IFERROR(INDEX('隊員マスタ'!$B$5:$B$204,MATCH(B853&amp;"",'隊員マスタ'!$F$5:$F$204,0)),IF(AK853="","番号なし",AK853)))</f>
        <v/>
      </c>
      <c r="D853" s="47" t="n"/>
      <c r="E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  <c r="N853" s="47" t="n"/>
      <c r="O853" s="47" t="n"/>
      <c r="P853" s="47" t="n"/>
      <c r="Q853" s="47" t="n"/>
      <c r="R853" s="47" t="n"/>
      <c r="S853" s="47" t="n"/>
      <c r="T853" s="47" t="n"/>
      <c r="U853" s="53" t="n"/>
      <c r="V853" s="53" t="n"/>
      <c r="W853" s="47" t="n"/>
      <c r="X853" s="47" t="n"/>
      <c r="Y853" s="47" t="n"/>
      <c r="Z853" s="47" t="n"/>
      <c r="AA853" s="47" t="n"/>
      <c r="AB853" s="47" t="n"/>
      <c r="AC853" s="47" t="n"/>
      <c r="AD853" s="47" t="n"/>
      <c r="AE853" s="47" t="n"/>
      <c r="AF853" s="20">
        <f>IF(A853="","",YEAR(EDATE(A853,-3)))</f>
        <v/>
      </c>
      <c r="AG853" s="20">
        <f>IF(OR(B853="",'経歴簿'!$C$4=""),"",IF(B853&amp;""='経歴簿'!$C$4&amp;"",MAX($AG$4:AG852)+1,""))</f>
        <v/>
      </c>
      <c r="AH853" s="20">
        <f>IF(A853="",0,IF(AND(OR('CSV抽出'!$C$4="",A853&gt;='CSV抽出'!$C$4),OR('CSV抽出'!$C$5="",A853&lt;='CSV抽出'!$C$5),OR('CSV抽出'!$C$6="すべて",'CSV抽出'!$C$6="",D853='CSV抽出'!$C$6),OR('CSV抽出'!$C$7="",B853&amp;""='CSV抽出'!$C$7&amp;"")),1,0))</f>
        <v/>
      </c>
      <c r="AI853" s="20">
        <f>IF(AH853=1,SUM($AH$5:AH853),"")</f>
        <v/>
      </c>
      <c r="AJ853" s="20">
        <f>IF(OR(S853="",'報告書'!$C$4=""),"",IF(S853&amp;""='報告書'!$C$4&amp;"",COUNTIF($S$5:S853,'報告書'!$C$4),""))</f>
        <v/>
      </c>
      <c r="AK853" s="20" t="n"/>
      <c r="AL853" s="47" t="n"/>
      <c r="AM853" s="47" t="n"/>
      <c r="AN853" s="53" t="n"/>
      <c r="AO853" s="47" t="n"/>
      <c r="AP853" s="47" t="n"/>
      <c r="AQ853" s="47" t="n"/>
      <c r="AR853" s="47" t="n"/>
      <c r="AS853" s="47" t="n"/>
      <c r="AT853" s="47" t="n"/>
      <c r="AU853" s="47" t="n"/>
      <c r="AV853" s="47" t="n"/>
      <c r="AW853" s="52" t="n"/>
    </row>
    <row r="854">
      <c r="A854" s="48" t="n"/>
      <c r="B854" s="52" t="n"/>
      <c r="C854" s="47">
        <f>IF(B854="","",IFERROR(INDEX('隊員マスタ'!$B$5:$B$204,MATCH(B854&amp;"",'隊員マスタ'!$F$5:$F$204,0)),IF(AK854="","番号なし",AK854)))</f>
        <v/>
      </c>
      <c r="D854" s="47" t="n"/>
      <c r="E854" s="47" t="n"/>
      <c r="F854" s="47" t="n"/>
      <c r="G854" s="47" t="n"/>
      <c r="H854" s="47" t="n"/>
      <c r="I854" s="47" t="n"/>
      <c r="J854" s="47" t="n"/>
      <c r="K854" s="47" t="n"/>
      <c r="L854" s="47" t="n"/>
      <c r="M854" s="47" t="n"/>
      <c r="N854" s="47" t="n"/>
      <c r="O854" s="47" t="n"/>
      <c r="P854" s="47" t="n"/>
      <c r="Q854" s="47" t="n"/>
      <c r="R854" s="47" t="n"/>
      <c r="S854" s="47" t="n"/>
      <c r="T854" s="47" t="n"/>
      <c r="U854" s="53" t="n"/>
      <c r="V854" s="53" t="n"/>
      <c r="W854" s="47" t="n"/>
      <c r="X854" s="47" t="n"/>
      <c r="Y854" s="47" t="n"/>
      <c r="Z854" s="47" t="n"/>
      <c r="AA854" s="47" t="n"/>
      <c r="AB854" s="47" t="n"/>
      <c r="AC854" s="47" t="n"/>
      <c r="AD854" s="47" t="n"/>
      <c r="AE854" s="47" t="n"/>
      <c r="AF854" s="20">
        <f>IF(A854="","",YEAR(EDATE(A854,-3)))</f>
        <v/>
      </c>
      <c r="AG854" s="20">
        <f>IF(OR(B854="",'経歴簿'!$C$4=""),"",IF(B854&amp;""='経歴簿'!$C$4&amp;"",MAX($AG$4:AG853)+1,""))</f>
        <v/>
      </c>
      <c r="AH854" s="20">
        <f>IF(A854="",0,IF(AND(OR('CSV抽出'!$C$4="",A854&gt;='CSV抽出'!$C$4),OR('CSV抽出'!$C$5="",A854&lt;='CSV抽出'!$C$5),OR('CSV抽出'!$C$6="すべて",'CSV抽出'!$C$6="",D854='CSV抽出'!$C$6),OR('CSV抽出'!$C$7="",B854&amp;""='CSV抽出'!$C$7&amp;"")),1,0))</f>
        <v/>
      </c>
      <c r="AI854" s="20">
        <f>IF(AH854=1,SUM($AH$5:AH854),"")</f>
        <v/>
      </c>
      <c r="AJ854" s="20">
        <f>IF(OR(S854="",'報告書'!$C$4=""),"",IF(S854&amp;""='報告書'!$C$4&amp;"",COUNTIF($S$5:S854,'報告書'!$C$4),""))</f>
        <v/>
      </c>
      <c r="AK854" s="20" t="n"/>
      <c r="AL854" s="47" t="n"/>
      <c r="AM854" s="47" t="n"/>
      <c r="AN854" s="53" t="n"/>
      <c r="AO854" s="47" t="n"/>
      <c r="AP854" s="47" t="n"/>
      <c r="AQ854" s="47" t="n"/>
      <c r="AR854" s="47" t="n"/>
      <c r="AS854" s="47" t="n"/>
      <c r="AT854" s="47" t="n"/>
      <c r="AU854" s="47" t="n"/>
      <c r="AV854" s="47" t="n"/>
      <c r="AW854" s="52" t="n"/>
    </row>
    <row r="855">
      <c r="A855" s="48" t="n"/>
      <c r="B855" s="52" t="n"/>
      <c r="C855" s="47">
        <f>IF(B855="","",IFERROR(INDEX('隊員マスタ'!$B$5:$B$204,MATCH(B855&amp;"",'隊員マスタ'!$F$5:$F$204,0)),IF(AK855="","番号なし",AK855)))</f>
        <v/>
      </c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  <c r="N855" s="47" t="n"/>
      <c r="O855" s="47" t="n"/>
      <c r="P855" s="47" t="n"/>
      <c r="Q855" s="47" t="n"/>
      <c r="R855" s="47" t="n"/>
      <c r="S855" s="47" t="n"/>
      <c r="T855" s="47" t="n"/>
      <c r="U855" s="53" t="n"/>
      <c r="V855" s="53" t="n"/>
      <c r="W855" s="47" t="n"/>
      <c r="X855" s="47" t="n"/>
      <c r="Y855" s="47" t="n"/>
      <c r="Z855" s="47" t="n"/>
      <c r="AA855" s="47" t="n"/>
      <c r="AB855" s="47" t="n"/>
      <c r="AC855" s="47" t="n"/>
      <c r="AD855" s="47" t="n"/>
      <c r="AE855" s="47" t="n"/>
      <c r="AF855" s="20">
        <f>IF(A855="","",YEAR(EDATE(A855,-3)))</f>
        <v/>
      </c>
      <c r="AG855" s="20">
        <f>IF(OR(B855="",'経歴簿'!$C$4=""),"",IF(B855&amp;""='経歴簿'!$C$4&amp;"",MAX($AG$4:AG854)+1,""))</f>
        <v/>
      </c>
      <c r="AH855" s="20">
        <f>IF(A855="",0,IF(AND(OR('CSV抽出'!$C$4="",A855&gt;='CSV抽出'!$C$4),OR('CSV抽出'!$C$5="",A855&lt;='CSV抽出'!$C$5),OR('CSV抽出'!$C$6="すべて",'CSV抽出'!$C$6="",D855='CSV抽出'!$C$6),OR('CSV抽出'!$C$7="",B855&amp;""='CSV抽出'!$C$7&amp;"")),1,0))</f>
        <v/>
      </c>
      <c r="AI855" s="20">
        <f>IF(AH855=1,SUM($AH$5:AH855),"")</f>
        <v/>
      </c>
      <c r="AJ855" s="20">
        <f>IF(OR(S855="",'報告書'!$C$4=""),"",IF(S855&amp;""='報告書'!$C$4&amp;"",COUNTIF($S$5:S855,'報告書'!$C$4),""))</f>
        <v/>
      </c>
      <c r="AK855" s="20" t="n"/>
      <c r="AL855" s="47" t="n"/>
      <c r="AM855" s="47" t="n"/>
      <c r="AN855" s="53" t="n"/>
      <c r="AO855" s="47" t="n"/>
      <c r="AP855" s="47" t="n"/>
      <c r="AQ855" s="47" t="n"/>
      <c r="AR855" s="47" t="n"/>
      <c r="AS855" s="47" t="n"/>
      <c r="AT855" s="47" t="n"/>
      <c r="AU855" s="47" t="n"/>
      <c r="AV855" s="47" t="n"/>
      <c r="AW855" s="52" t="n"/>
    </row>
    <row r="856">
      <c r="A856" s="48" t="n"/>
      <c r="B856" s="52" t="n"/>
      <c r="C856" s="47">
        <f>IF(B856="","",IFERROR(INDEX('隊員マスタ'!$B$5:$B$204,MATCH(B856&amp;"",'隊員マスタ'!$F$5:$F$204,0)),IF(AK856="","番号なし",AK856)))</f>
        <v/>
      </c>
      <c r="D856" s="47" t="n"/>
      <c r="E856" s="47" t="n"/>
      <c r="F856" s="47" t="n"/>
      <c r="G856" s="47" t="n"/>
      <c r="H856" s="47" t="n"/>
      <c r="I856" s="47" t="n"/>
      <c r="J856" s="47" t="n"/>
      <c r="K856" s="47" t="n"/>
      <c r="L856" s="47" t="n"/>
      <c r="M856" s="47" t="n"/>
      <c r="N856" s="47" t="n"/>
      <c r="O856" s="47" t="n"/>
      <c r="P856" s="47" t="n"/>
      <c r="Q856" s="47" t="n"/>
      <c r="R856" s="47" t="n"/>
      <c r="S856" s="47" t="n"/>
      <c r="T856" s="47" t="n"/>
      <c r="U856" s="53" t="n"/>
      <c r="V856" s="53" t="n"/>
      <c r="W856" s="47" t="n"/>
      <c r="X856" s="47" t="n"/>
      <c r="Y856" s="47" t="n"/>
      <c r="Z856" s="47" t="n"/>
      <c r="AA856" s="47" t="n"/>
      <c r="AB856" s="47" t="n"/>
      <c r="AC856" s="47" t="n"/>
      <c r="AD856" s="47" t="n"/>
      <c r="AE856" s="47" t="n"/>
      <c r="AF856" s="20">
        <f>IF(A856="","",YEAR(EDATE(A856,-3)))</f>
        <v/>
      </c>
      <c r="AG856" s="20">
        <f>IF(OR(B856="",'経歴簿'!$C$4=""),"",IF(B856&amp;""='経歴簿'!$C$4&amp;"",MAX($AG$4:AG855)+1,""))</f>
        <v/>
      </c>
      <c r="AH856" s="20">
        <f>IF(A856="",0,IF(AND(OR('CSV抽出'!$C$4="",A856&gt;='CSV抽出'!$C$4),OR('CSV抽出'!$C$5="",A856&lt;='CSV抽出'!$C$5),OR('CSV抽出'!$C$6="すべて",'CSV抽出'!$C$6="",D856='CSV抽出'!$C$6),OR('CSV抽出'!$C$7="",B856&amp;""='CSV抽出'!$C$7&amp;"")),1,0))</f>
        <v/>
      </c>
      <c r="AI856" s="20">
        <f>IF(AH856=1,SUM($AH$5:AH856),"")</f>
        <v/>
      </c>
      <c r="AJ856" s="20">
        <f>IF(OR(S856="",'報告書'!$C$4=""),"",IF(S856&amp;""='報告書'!$C$4&amp;"",COUNTIF($S$5:S856,'報告書'!$C$4),""))</f>
        <v/>
      </c>
      <c r="AK856" s="20" t="n"/>
      <c r="AL856" s="47" t="n"/>
      <c r="AM856" s="47" t="n"/>
      <c r="AN856" s="53" t="n"/>
      <c r="AO856" s="47" t="n"/>
      <c r="AP856" s="47" t="n"/>
      <c r="AQ856" s="47" t="n"/>
      <c r="AR856" s="47" t="n"/>
      <c r="AS856" s="47" t="n"/>
      <c r="AT856" s="47" t="n"/>
      <c r="AU856" s="47" t="n"/>
      <c r="AV856" s="47" t="n"/>
      <c r="AW856" s="52" t="n"/>
    </row>
    <row r="857">
      <c r="A857" s="48" t="n"/>
      <c r="B857" s="52" t="n"/>
      <c r="C857" s="47">
        <f>IF(B857="","",IFERROR(INDEX('隊員マスタ'!$B$5:$B$204,MATCH(B857&amp;"",'隊員マスタ'!$F$5:$F$204,0)),IF(AK857="","番号なし",AK857)))</f>
        <v/>
      </c>
      <c r="D857" s="47" t="n"/>
      <c r="E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  <c r="N857" s="47" t="n"/>
      <c r="O857" s="47" t="n"/>
      <c r="P857" s="47" t="n"/>
      <c r="Q857" s="47" t="n"/>
      <c r="R857" s="47" t="n"/>
      <c r="S857" s="47" t="n"/>
      <c r="T857" s="47" t="n"/>
      <c r="U857" s="53" t="n"/>
      <c r="V857" s="53" t="n"/>
      <c r="W857" s="47" t="n"/>
      <c r="X857" s="47" t="n"/>
      <c r="Y857" s="47" t="n"/>
      <c r="Z857" s="47" t="n"/>
      <c r="AA857" s="47" t="n"/>
      <c r="AB857" s="47" t="n"/>
      <c r="AC857" s="47" t="n"/>
      <c r="AD857" s="47" t="n"/>
      <c r="AE857" s="47" t="n"/>
      <c r="AF857" s="20">
        <f>IF(A857="","",YEAR(EDATE(A857,-3)))</f>
        <v/>
      </c>
      <c r="AG857" s="20">
        <f>IF(OR(B857="",'経歴簿'!$C$4=""),"",IF(B857&amp;""='経歴簿'!$C$4&amp;"",MAX($AG$4:AG856)+1,""))</f>
        <v/>
      </c>
      <c r="AH857" s="20">
        <f>IF(A857="",0,IF(AND(OR('CSV抽出'!$C$4="",A857&gt;='CSV抽出'!$C$4),OR('CSV抽出'!$C$5="",A857&lt;='CSV抽出'!$C$5),OR('CSV抽出'!$C$6="すべて",'CSV抽出'!$C$6="",D857='CSV抽出'!$C$6),OR('CSV抽出'!$C$7="",B857&amp;""='CSV抽出'!$C$7&amp;"")),1,0))</f>
        <v/>
      </c>
      <c r="AI857" s="20">
        <f>IF(AH857=1,SUM($AH$5:AH857),"")</f>
        <v/>
      </c>
      <c r="AJ857" s="20">
        <f>IF(OR(S857="",'報告書'!$C$4=""),"",IF(S857&amp;""='報告書'!$C$4&amp;"",COUNTIF($S$5:S857,'報告書'!$C$4),""))</f>
        <v/>
      </c>
      <c r="AK857" s="20" t="n"/>
      <c r="AL857" s="47" t="n"/>
      <c r="AM857" s="47" t="n"/>
      <c r="AN857" s="53" t="n"/>
      <c r="AO857" s="47" t="n"/>
      <c r="AP857" s="47" t="n"/>
      <c r="AQ857" s="47" t="n"/>
      <c r="AR857" s="47" t="n"/>
      <c r="AS857" s="47" t="n"/>
      <c r="AT857" s="47" t="n"/>
      <c r="AU857" s="47" t="n"/>
      <c r="AV857" s="47" t="n"/>
      <c r="AW857" s="52" t="n"/>
    </row>
    <row r="858">
      <c r="A858" s="48" t="n"/>
      <c r="B858" s="52" t="n"/>
      <c r="C858" s="47">
        <f>IF(B858="","",IFERROR(INDEX('隊員マスタ'!$B$5:$B$204,MATCH(B858&amp;"",'隊員マスタ'!$F$5:$F$204,0)),IF(AK858="","番号なし",AK858)))</f>
        <v/>
      </c>
      <c r="D858" s="47" t="n"/>
      <c r="E858" s="47" t="n"/>
      <c r="F858" s="47" t="n"/>
      <c r="G858" s="47" t="n"/>
      <c r="H858" s="47" t="n"/>
      <c r="I858" s="47" t="n"/>
      <c r="J858" s="47" t="n"/>
      <c r="K858" s="47" t="n"/>
      <c r="L858" s="47" t="n"/>
      <c r="M858" s="47" t="n"/>
      <c r="N858" s="47" t="n"/>
      <c r="O858" s="47" t="n"/>
      <c r="P858" s="47" t="n"/>
      <c r="Q858" s="47" t="n"/>
      <c r="R858" s="47" t="n"/>
      <c r="S858" s="47" t="n"/>
      <c r="T858" s="47" t="n"/>
      <c r="U858" s="53" t="n"/>
      <c r="V858" s="53" t="n"/>
      <c r="W858" s="47" t="n"/>
      <c r="X858" s="47" t="n"/>
      <c r="Y858" s="47" t="n"/>
      <c r="Z858" s="47" t="n"/>
      <c r="AA858" s="47" t="n"/>
      <c r="AB858" s="47" t="n"/>
      <c r="AC858" s="47" t="n"/>
      <c r="AD858" s="47" t="n"/>
      <c r="AE858" s="47" t="n"/>
      <c r="AF858" s="20">
        <f>IF(A858="","",YEAR(EDATE(A858,-3)))</f>
        <v/>
      </c>
      <c r="AG858" s="20">
        <f>IF(OR(B858="",'経歴簿'!$C$4=""),"",IF(B858&amp;""='経歴簿'!$C$4&amp;"",MAX($AG$4:AG857)+1,""))</f>
        <v/>
      </c>
      <c r="AH858" s="20">
        <f>IF(A858="",0,IF(AND(OR('CSV抽出'!$C$4="",A858&gt;='CSV抽出'!$C$4),OR('CSV抽出'!$C$5="",A858&lt;='CSV抽出'!$C$5),OR('CSV抽出'!$C$6="すべて",'CSV抽出'!$C$6="",D858='CSV抽出'!$C$6),OR('CSV抽出'!$C$7="",B858&amp;""='CSV抽出'!$C$7&amp;"")),1,0))</f>
        <v/>
      </c>
      <c r="AI858" s="20">
        <f>IF(AH858=1,SUM($AH$5:AH858),"")</f>
        <v/>
      </c>
      <c r="AJ858" s="20">
        <f>IF(OR(S858="",'報告書'!$C$4=""),"",IF(S858&amp;""='報告書'!$C$4&amp;"",COUNTIF($S$5:S858,'報告書'!$C$4),""))</f>
        <v/>
      </c>
      <c r="AK858" s="20" t="n"/>
      <c r="AL858" s="47" t="n"/>
      <c r="AM858" s="47" t="n"/>
      <c r="AN858" s="53" t="n"/>
      <c r="AO858" s="47" t="n"/>
      <c r="AP858" s="47" t="n"/>
      <c r="AQ858" s="47" t="n"/>
      <c r="AR858" s="47" t="n"/>
      <c r="AS858" s="47" t="n"/>
      <c r="AT858" s="47" t="n"/>
      <c r="AU858" s="47" t="n"/>
      <c r="AV858" s="47" t="n"/>
      <c r="AW858" s="52" t="n"/>
    </row>
    <row r="859">
      <c r="A859" s="48" t="n"/>
      <c r="B859" s="52" t="n"/>
      <c r="C859" s="47">
        <f>IF(B859="","",IFERROR(INDEX('隊員マスタ'!$B$5:$B$204,MATCH(B859&amp;"",'隊員マスタ'!$F$5:$F$204,0)),IF(AK859="","番号なし",AK859)))</f>
        <v/>
      </c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  <c r="N859" s="47" t="n"/>
      <c r="O859" s="47" t="n"/>
      <c r="P859" s="47" t="n"/>
      <c r="Q859" s="47" t="n"/>
      <c r="R859" s="47" t="n"/>
      <c r="S859" s="47" t="n"/>
      <c r="T859" s="47" t="n"/>
      <c r="U859" s="53" t="n"/>
      <c r="V859" s="53" t="n"/>
      <c r="W859" s="47" t="n"/>
      <c r="X859" s="47" t="n"/>
      <c r="Y859" s="47" t="n"/>
      <c r="Z859" s="47" t="n"/>
      <c r="AA859" s="47" t="n"/>
      <c r="AB859" s="47" t="n"/>
      <c r="AC859" s="47" t="n"/>
      <c r="AD859" s="47" t="n"/>
      <c r="AE859" s="47" t="n"/>
      <c r="AF859" s="20">
        <f>IF(A859="","",YEAR(EDATE(A859,-3)))</f>
        <v/>
      </c>
      <c r="AG859" s="20">
        <f>IF(OR(B859="",'経歴簿'!$C$4=""),"",IF(B859&amp;""='経歴簿'!$C$4&amp;"",MAX($AG$4:AG858)+1,""))</f>
        <v/>
      </c>
      <c r="AH859" s="20">
        <f>IF(A859="",0,IF(AND(OR('CSV抽出'!$C$4="",A859&gt;='CSV抽出'!$C$4),OR('CSV抽出'!$C$5="",A859&lt;='CSV抽出'!$C$5),OR('CSV抽出'!$C$6="すべて",'CSV抽出'!$C$6="",D859='CSV抽出'!$C$6),OR('CSV抽出'!$C$7="",B859&amp;""='CSV抽出'!$C$7&amp;"")),1,0))</f>
        <v/>
      </c>
      <c r="AI859" s="20">
        <f>IF(AH859=1,SUM($AH$5:AH859),"")</f>
        <v/>
      </c>
      <c r="AJ859" s="20">
        <f>IF(OR(S859="",'報告書'!$C$4=""),"",IF(S859&amp;""='報告書'!$C$4&amp;"",COUNTIF($S$5:S859,'報告書'!$C$4),""))</f>
        <v/>
      </c>
      <c r="AK859" s="20" t="n"/>
      <c r="AL859" s="47" t="n"/>
      <c r="AM859" s="47" t="n"/>
      <c r="AN859" s="53" t="n"/>
      <c r="AO859" s="47" t="n"/>
      <c r="AP859" s="47" t="n"/>
      <c r="AQ859" s="47" t="n"/>
      <c r="AR859" s="47" t="n"/>
      <c r="AS859" s="47" t="n"/>
      <c r="AT859" s="47" t="n"/>
      <c r="AU859" s="47" t="n"/>
      <c r="AV859" s="47" t="n"/>
      <c r="AW859" s="52" t="n"/>
    </row>
    <row r="860">
      <c r="A860" s="48" t="n"/>
      <c r="B860" s="52" t="n"/>
      <c r="C860" s="47">
        <f>IF(B860="","",IFERROR(INDEX('隊員マスタ'!$B$5:$B$204,MATCH(B860&amp;"",'隊員マスタ'!$F$5:$F$204,0)),IF(AK860="","番号なし",AK860)))</f>
        <v/>
      </c>
      <c r="D860" s="47" t="n"/>
      <c r="E860" s="47" t="n"/>
      <c r="F860" s="47" t="n"/>
      <c r="G860" s="47" t="n"/>
      <c r="H860" s="47" t="n"/>
      <c r="I860" s="47" t="n"/>
      <c r="J860" s="47" t="n"/>
      <c r="K860" s="47" t="n"/>
      <c r="L860" s="47" t="n"/>
      <c r="M860" s="47" t="n"/>
      <c r="N860" s="47" t="n"/>
      <c r="O860" s="47" t="n"/>
      <c r="P860" s="47" t="n"/>
      <c r="Q860" s="47" t="n"/>
      <c r="R860" s="47" t="n"/>
      <c r="S860" s="47" t="n"/>
      <c r="T860" s="47" t="n"/>
      <c r="U860" s="53" t="n"/>
      <c r="V860" s="53" t="n"/>
      <c r="W860" s="47" t="n"/>
      <c r="X860" s="47" t="n"/>
      <c r="Y860" s="47" t="n"/>
      <c r="Z860" s="47" t="n"/>
      <c r="AA860" s="47" t="n"/>
      <c r="AB860" s="47" t="n"/>
      <c r="AC860" s="47" t="n"/>
      <c r="AD860" s="47" t="n"/>
      <c r="AE860" s="47" t="n"/>
      <c r="AF860" s="20">
        <f>IF(A860="","",YEAR(EDATE(A860,-3)))</f>
        <v/>
      </c>
      <c r="AG860" s="20">
        <f>IF(OR(B860="",'経歴簿'!$C$4=""),"",IF(B860&amp;""='経歴簿'!$C$4&amp;"",MAX($AG$4:AG859)+1,""))</f>
        <v/>
      </c>
      <c r="AH860" s="20">
        <f>IF(A860="",0,IF(AND(OR('CSV抽出'!$C$4="",A860&gt;='CSV抽出'!$C$4),OR('CSV抽出'!$C$5="",A860&lt;='CSV抽出'!$C$5),OR('CSV抽出'!$C$6="すべて",'CSV抽出'!$C$6="",D860='CSV抽出'!$C$6),OR('CSV抽出'!$C$7="",B860&amp;""='CSV抽出'!$C$7&amp;"")),1,0))</f>
        <v/>
      </c>
      <c r="AI860" s="20">
        <f>IF(AH860=1,SUM($AH$5:AH860),"")</f>
        <v/>
      </c>
      <c r="AJ860" s="20">
        <f>IF(OR(S860="",'報告書'!$C$4=""),"",IF(S860&amp;""='報告書'!$C$4&amp;"",COUNTIF($S$5:S860,'報告書'!$C$4),""))</f>
        <v/>
      </c>
      <c r="AK860" s="20" t="n"/>
      <c r="AL860" s="47" t="n"/>
      <c r="AM860" s="47" t="n"/>
      <c r="AN860" s="53" t="n"/>
      <c r="AO860" s="47" t="n"/>
      <c r="AP860" s="47" t="n"/>
      <c r="AQ860" s="47" t="n"/>
      <c r="AR860" s="47" t="n"/>
      <c r="AS860" s="47" t="n"/>
      <c r="AT860" s="47" t="n"/>
      <c r="AU860" s="47" t="n"/>
      <c r="AV860" s="47" t="n"/>
      <c r="AW860" s="52" t="n"/>
    </row>
    <row r="861">
      <c r="A861" s="48" t="n"/>
      <c r="B861" s="52" t="n"/>
      <c r="C861" s="47">
        <f>IF(B861="","",IFERROR(INDEX('隊員マスタ'!$B$5:$B$204,MATCH(B861&amp;"",'隊員マスタ'!$F$5:$F$204,0)),IF(AK861="","番号なし",AK861)))</f>
        <v/>
      </c>
      <c r="D861" s="47" t="n"/>
      <c r="E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  <c r="N861" s="47" t="n"/>
      <c r="O861" s="47" t="n"/>
      <c r="P861" s="47" t="n"/>
      <c r="Q861" s="47" t="n"/>
      <c r="R861" s="47" t="n"/>
      <c r="S861" s="47" t="n"/>
      <c r="T861" s="47" t="n"/>
      <c r="U861" s="53" t="n"/>
      <c r="V861" s="53" t="n"/>
      <c r="W861" s="47" t="n"/>
      <c r="X861" s="47" t="n"/>
      <c r="Y861" s="47" t="n"/>
      <c r="Z861" s="47" t="n"/>
      <c r="AA861" s="47" t="n"/>
      <c r="AB861" s="47" t="n"/>
      <c r="AC861" s="47" t="n"/>
      <c r="AD861" s="47" t="n"/>
      <c r="AE861" s="47" t="n"/>
      <c r="AF861" s="20">
        <f>IF(A861="","",YEAR(EDATE(A861,-3)))</f>
        <v/>
      </c>
      <c r="AG861" s="20">
        <f>IF(OR(B861="",'経歴簿'!$C$4=""),"",IF(B861&amp;""='経歴簿'!$C$4&amp;"",MAX($AG$4:AG860)+1,""))</f>
        <v/>
      </c>
      <c r="AH861" s="20">
        <f>IF(A861="",0,IF(AND(OR('CSV抽出'!$C$4="",A861&gt;='CSV抽出'!$C$4),OR('CSV抽出'!$C$5="",A861&lt;='CSV抽出'!$C$5),OR('CSV抽出'!$C$6="すべて",'CSV抽出'!$C$6="",D861='CSV抽出'!$C$6),OR('CSV抽出'!$C$7="",B861&amp;""='CSV抽出'!$C$7&amp;"")),1,0))</f>
        <v/>
      </c>
      <c r="AI861" s="20">
        <f>IF(AH861=1,SUM($AH$5:AH861),"")</f>
        <v/>
      </c>
      <c r="AJ861" s="20">
        <f>IF(OR(S861="",'報告書'!$C$4=""),"",IF(S861&amp;""='報告書'!$C$4&amp;"",COUNTIF($S$5:S861,'報告書'!$C$4),""))</f>
        <v/>
      </c>
      <c r="AK861" s="20" t="n"/>
      <c r="AL861" s="47" t="n"/>
      <c r="AM861" s="47" t="n"/>
      <c r="AN861" s="53" t="n"/>
      <c r="AO861" s="47" t="n"/>
      <c r="AP861" s="47" t="n"/>
      <c r="AQ861" s="47" t="n"/>
      <c r="AR861" s="47" t="n"/>
      <c r="AS861" s="47" t="n"/>
      <c r="AT861" s="47" t="n"/>
      <c r="AU861" s="47" t="n"/>
      <c r="AV861" s="47" t="n"/>
      <c r="AW861" s="52" t="n"/>
    </row>
    <row r="862">
      <c r="A862" s="48" t="n"/>
      <c r="B862" s="52" t="n"/>
      <c r="C862" s="47">
        <f>IF(B862="","",IFERROR(INDEX('隊員マスタ'!$B$5:$B$204,MATCH(B862&amp;"",'隊員マスタ'!$F$5:$F$204,0)),IF(AK862="","番号なし",AK862)))</f>
        <v/>
      </c>
      <c r="D862" s="47" t="n"/>
      <c r="E862" s="47" t="n"/>
      <c r="F862" s="47" t="n"/>
      <c r="G862" s="47" t="n"/>
      <c r="H862" s="47" t="n"/>
      <c r="I862" s="47" t="n"/>
      <c r="J862" s="47" t="n"/>
      <c r="K862" s="47" t="n"/>
      <c r="L862" s="47" t="n"/>
      <c r="M862" s="47" t="n"/>
      <c r="N862" s="47" t="n"/>
      <c r="O862" s="47" t="n"/>
      <c r="P862" s="47" t="n"/>
      <c r="Q862" s="47" t="n"/>
      <c r="R862" s="47" t="n"/>
      <c r="S862" s="47" t="n"/>
      <c r="T862" s="47" t="n"/>
      <c r="U862" s="53" t="n"/>
      <c r="V862" s="53" t="n"/>
      <c r="W862" s="47" t="n"/>
      <c r="X862" s="47" t="n"/>
      <c r="Y862" s="47" t="n"/>
      <c r="Z862" s="47" t="n"/>
      <c r="AA862" s="47" t="n"/>
      <c r="AB862" s="47" t="n"/>
      <c r="AC862" s="47" t="n"/>
      <c r="AD862" s="47" t="n"/>
      <c r="AE862" s="47" t="n"/>
      <c r="AF862" s="20">
        <f>IF(A862="","",YEAR(EDATE(A862,-3)))</f>
        <v/>
      </c>
      <c r="AG862" s="20">
        <f>IF(OR(B862="",'経歴簿'!$C$4=""),"",IF(B862&amp;""='経歴簿'!$C$4&amp;"",MAX($AG$4:AG861)+1,""))</f>
        <v/>
      </c>
      <c r="AH862" s="20">
        <f>IF(A862="",0,IF(AND(OR('CSV抽出'!$C$4="",A862&gt;='CSV抽出'!$C$4),OR('CSV抽出'!$C$5="",A862&lt;='CSV抽出'!$C$5),OR('CSV抽出'!$C$6="すべて",'CSV抽出'!$C$6="",D862='CSV抽出'!$C$6),OR('CSV抽出'!$C$7="",B862&amp;""='CSV抽出'!$C$7&amp;"")),1,0))</f>
        <v/>
      </c>
      <c r="AI862" s="20">
        <f>IF(AH862=1,SUM($AH$5:AH862),"")</f>
        <v/>
      </c>
      <c r="AJ862" s="20">
        <f>IF(OR(S862="",'報告書'!$C$4=""),"",IF(S862&amp;""='報告書'!$C$4&amp;"",COUNTIF($S$5:S862,'報告書'!$C$4),""))</f>
        <v/>
      </c>
      <c r="AK862" s="20" t="n"/>
      <c r="AL862" s="47" t="n"/>
      <c r="AM862" s="47" t="n"/>
      <c r="AN862" s="53" t="n"/>
      <c r="AO862" s="47" t="n"/>
      <c r="AP862" s="47" t="n"/>
      <c r="AQ862" s="47" t="n"/>
      <c r="AR862" s="47" t="n"/>
      <c r="AS862" s="47" t="n"/>
      <c r="AT862" s="47" t="n"/>
      <c r="AU862" s="47" t="n"/>
      <c r="AV862" s="47" t="n"/>
      <c r="AW862" s="52" t="n"/>
    </row>
    <row r="863">
      <c r="A863" s="48" t="n"/>
      <c r="B863" s="52" t="n"/>
      <c r="C863" s="47">
        <f>IF(B863="","",IFERROR(INDEX('隊員マスタ'!$B$5:$B$204,MATCH(B863&amp;"",'隊員マスタ'!$F$5:$F$204,0)),IF(AK863="","番号なし",AK863)))</f>
        <v/>
      </c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  <c r="N863" s="47" t="n"/>
      <c r="O863" s="47" t="n"/>
      <c r="P863" s="47" t="n"/>
      <c r="Q863" s="47" t="n"/>
      <c r="R863" s="47" t="n"/>
      <c r="S863" s="47" t="n"/>
      <c r="T863" s="47" t="n"/>
      <c r="U863" s="53" t="n"/>
      <c r="V863" s="53" t="n"/>
      <c r="W863" s="47" t="n"/>
      <c r="X863" s="47" t="n"/>
      <c r="Y863" s="47" t="n"/>
      <c r="Z863" s="47" t="n"/>
      <c r="AA863" s="47" t="n"/>
      <c r="AB863" s="47" t="n"/>
      <c r="AC863" s="47" t="n"/>
      <c r="AD863" s="47" t="n"/>
      <c r="AE863" s="47" t="n"/>
      <c r="AF863" s="20">
        <f>IF(A863="","",YEAR(EDATE(A863,-3)))</f>
        <v/>
      </c>
      <c r="AG863" s="20">
        <f>IF(OR(B863="",'経歴簿'!$C$4=""),"",IF(B863&amp;""='経歴簿'!$C$4&amp;"",MAX($AG$4:AG862)+1,""))</f>
        <v/>
      </c>
      <c r="AH863" s="20">
        <f>IF(A863="",0,IF(AND(OR('CSV抽出'!$C$4="",A863&gt;='CSV抽出'!$C$4),OR('CSV抽出'!$C$5="",A863&lt;='CSV抽出'!$C$5),OR('CSV抽出'!$C$6="すべて",'CSV抽出'!$C$6="",D863='CSV抽出'!$C$6),OR('CSV抽出'!$C$7="",B863&amp;""='CSV抽出'!$C$7&amp;"")),1,0))</f>
        <v/>
      </c>
      <c r="AI863" s="20">
        <f>IF(AH863=1,SUM($AH$5:AH863),"")</f>
        <v/>
      </c>
      <c r="AJ863" s="20">
        <f>IF(OR(S863="",'報告書'!$C$4=""),"",IF(S863&amp;""='報告書'!$C$4&amp;"",COUNTIF($S$5:S863,'報告書'!$C$4),""))</f>
        <v/>
      </c>
      <c r="AK863" s="20" t="n"/>
      <c r="AL863" s="47" t="n"/>
      <c r="AM863" s="47" t="n"/>
      <c r="AN863" s="53" t="n"/>
      <c r="AO863" s="47" t="n"/>
      <c r="AP863" s="47" t="n"/>
      <c r="AQ863" s="47" t="n"/>
      <c r="AR863" s="47" t="n"/>
      <c r="AS863" s="47" t="n"/>
      <c r="AT863" s="47" t="n"/>
      <c r="AU863" s="47" t="n"/>
      <c r="AV863" s="47" t="n"/>
      <c r="AW863" s="52" t="n"/>
    </row>
    <row r="864">
      <c r="A864" s="48" t="n"/>
      <c r="B864" s="52" t="n"/>
      <c r="C864" s="47">
        <f>IF(B864="","",IFERROR(INDEX('隊員マスタ'!$B$5:$B$204,MATCH(B864&amp;"",'隊員マスタ'!$F$5:$F$204,0)),IF(AK864="","番号なし",AK864)))</f>
        <v/>
      </c>
      <c r="D864" s="47" t="n"/>
      <c r="E864" s="47" t="n"/>
      <c r="F864" s="47" t="n"/>
      <c r="G864" s="47" t="n"/>
      <c r="H864" s="47" t="n"/>
      <c r="I864" s="47" t="n"/>
      <c r="J864" s="47" t="n"/>
      <c r="K864" s="47" t="n"/>
      <c r="L864" s="47" t="n"/>
      <c r="M864" s="47" t="n"/>
      <c r="N864" s="47" t="n"/>
      <c r="O864" s="47" t="n"/>
      <c r="P864" s="47" t="n"/>
      <c r="Q864" s="47" t="n"/>
      <c r="R864" s="47" t="n"/>
      <c r="S864" s="47" t="n"/>
      <c r="T864" s="47" t="n"/>
      <c r="U864" s="53" t="n"/>
      <c r="V864" s="53" t="n"/>
      <c r="W864" s="47" t="n"/>
      <c r="X864" s="47" t="n"/>
      <c r="Y864" s="47" t="n"/>
      <c r="Z864" s="47" t="n"/>
      <c r="AA864" s="47" t="n"/>
      <c r="AB864" s="47" t="n"/>
      <c r="AC864" s="47" t="n"/>
      <c r="AD864" s="47" t="n"/>
      <c r="AE864" s="47" t="n"/>
      <c r="AF864" s="20">
        <f>IF(A864="","",YEAR(EDATE(A864,-3)))</f>
        <v/>
      </c>
      <c r="AG864" s="20">
        <f>IF(OR(B864="",'経歴簿'!$C$4=""),"",IF(B864&amp;""='経歴簿'!$C$4&amp;"",MAX($AG$4:AG863)+1,""))</f>
        <v/>
      </c>
      <c r="AH864" s="20">
        <f>IF(A864="",0,IF(AND(OR('CSV抽出'!$C$4="",A864&gt;='CSV抽出'!$C$4),OR('CSV抽出'!$C$5="",A864&lt;='CSV抽出'!$C$5),OR('CSV抽出'!$C$6="すべて",'CSV抽出'!$C$6="",D864='CSV抽出'!$C$6),OR('CSV抽出'!$C$7="",B864&amp;""='CSV抽出'!$C$7&amp;"")),1,0))</f>
        <v/>
      </c>
      <c r="AI864" s="20">
        <f>IF(AH864=1,SUM($AH$5:AH864),"")</f>
        <v/>
      </c>
      <c r="AJ864" s="20">
        <f>IF(OR(S864="",'報告書'!$C$4=""),"",IF(S864&amp;""='報告書'!$C$4&amp;"",COUNTIF($S$5:S864,'報告書'!$C$4),""))</f>
        <v/>
      </c>
      <c r="AK864" s="20" t="n"/>
      <c r="AL864" s="47" t="n"/>
      <c r="AM864" s="47" t="n"/>
      <c r="AN864" s="53" t="n"/>
      <c r="AO864" s="47" t="n"/>
      <c r="AP864" s="47" t="n"/>
      <c r="AQ864" s="47" t="n"/>
      <c r="AR864" s="47" t="n"/>
      <c r="AS864" s="47" t="n"/>
      <c r="AT864" s="47" t="n"/>
      <c r="AU864" s="47" t="n"/>
      <c r="AV864" s="47" t="n"/>
      <c r="AW864" s="52" t="n"/>
    </row>
    <row r="865">
      <c r="A865" s="48" t="n"/>
      <c r="B865" s="52" t="n"/>
      <c r="C865" s="47">
        <f>IF(B865="","",IFERROR(INDEX('隊員マスタ'!$B$5:$B$204,MATCH(B865&amp;"",'隊員マスタ'!$F$5:$F$204,0)),IF(AK865="","番号なし",AK865)))</f>
        <v/>
      </c>
      <c r="D865" s="47" t="n"/>
      <c r="E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  <c r="N865" s="47" t="n"/>
      <c r="O865" s="47" t="n"/>
      <c r="P865" s="47" t="n"/>
      <c r="Q865" s="47" t="n"/>
      <c r="R865" s="47" t="n"/>
      <c r="S865" s="47" t="n"/>
      <c r="T865" s="47" t="n"/>
      <c r="U865" s="53" t="n"/>
      <c r="V865" s="53" t="n"/>
      <c r="W865" s="47" t="n"/>
      <c r="X865" s="47" t="n"/>
      <c r="Y865" s="47" t="n"/>
      <c r="Z865" s="47" t="n"/>
      <c r="AA865" s="47" t="n"/>
      <c r="AB865" s="47" t="n"/>
      <c r="AC865" s="47" t="n"/>
      <c r="AD865" s="47" t="n"/>
      <c r="AE865" s="47" t="n"/>
      <c r="AF865" s="20">
        <f>IF(A865="","",YEAR(EDATE(A865,-3)))</f>
        <v/>
      </c>
      <c r="AG865" s="20">
        <f>IF(OR(B865="",'経歴簿'!$C$4=""),"",IF(B865&amp;""='経歴簿'!$C$4&amp;"",MAX($AG$4:AG864)+1,""))</f>
        <v/>
      </c>
      <c r="AH865" s="20">
        <f>IF(A865="",0,IF(AND(OR('CSV抽出'!$C$4="",A865&gt;='CSV抽出'!$C$4),OR('CSV抽出'!$C$5="",A865&lt;='CSV抽出'!$C$5),OR('CSV抽出'!$C$6="すべて",'CSV抽出'!$C$6="",D865='CSV抽出'!$C$6),OR('CSV抽出'!$C$7="",B865&amp;""='CSV抽出'!$C$7&amp;"")),1,0))</f>
        <v/>
      </c>
      <c r="AI865" s="20">
        <f>IF(AH865=1,SUM($AH$5:AH865),"")</f>
        <v/>
      </c>
      <c r="AJ865" s="20">
        <f>IF(OR(S865="",'報告書'!$C$4=""),"",IF(S865&amp;""='報告書'!$C$4&amp;"",COUNTIF($S$5:S865,'報告書'!$C$4),""))</f>
        <v/>
      </c>
      <c r="AK865" s="20" t="n"/>
      <c r="AL865" s="47" t="n"/>
      <c r="AM865" s="47" t="n"/>
      <c r="AN865" s="53" t="n"/>
      <c r="AO865" s="47" t="n"/>
      <c r="AP865" s="47" t="n"/>
      <c r="AQ865" s="47" t="n"/>
      <c r="AR865" s="47" t="n"/>
      <c r="AS865" s="47" t="n"/>
      <c r="AT865" s="47" t="n"/>
      <c r="AU865" s="47" t="n"/>
      <c r="AV865" s="47" t="n"/>
      <c r="AW865" s="52" t="n"/>
    </row>
    <row r="866">
      <c r="A866" s="48" t="n"/>
      <c r="B866" s="52" t="n"/>
      <c r="C866" s="47">
        <f>IF(B866="","",IFERROR(INDEX('隊員マスタ'!$B$5:$B$204,MATCH(B866&amp;"",'隊員マスタ'!$F$5:$F$204,0)),IF(AK866="","番号なし",AK866)))</f>
        <v/>
      </c>
      <c r="D866" s="47" t="n"/>
      <c r="E866" s="47" t="n"/>
      <c r="F866" s="47" t="n"/>
      <c r="G866" s="47" t="n"/>
      <c r="H866" s="47" t="n"/>
      <c r="I866" s="47" t="n"/>
      <c r="J866" s="47" t="n"/>
      <c r="K866" s="47" t="n"/>
      <c r="L866" s="47" t="n"/>
      <c r="M866" s="47" t="n"/>
      <c r="N866" s="47" t="n"/>
      <c r="O866" s="47" t="n"/>
      <c r="P866" s="47" t="n"/>
      <c r="Q866" s="47" t="n"/>
      <c r="R866" s="47" t="n"/>
      <c r="S866" s="47" t="n"/>
      <c r="T866" s="47" t="n"/>
      <c r="U866" s="53" t="n"/>
      <c r="V866" s="53" t="n"/>
      <c r="W866" s="47" t="n"/>
      <c r="X866" s="47" t="n"/>
      <c r="Y866" s="47" t="n"/>
      <c r="Z866" s="47" t="n"/>
      <c r="AA866" s="47" t="n"/>
      <c r="AB866" s="47" t="n"/>
      <c r="AC866" s="47" t="n"/>
      <c r="AD866" s="47" t="n"/>
      <c r="AE866" s="47" t="n"/>
      <c r="AF866" s="20">
        <f>IF(A866="","",YEAR(EDATE(A866,-3)))</f>
        <v/>
      </c>
      <c r="AG866" s="20">
        <f>IF(OR(B866="",'経歴簿'!$C$4=""),"",IF(B866&amp;""='経歴簿'!$C$4&amp;"",MAX($AG$4:AG865)+1,""))</f>
        <v/>
      </c>
      <c r="AH866" s="20">
        <f>IF(A866="",0,IF(AND(OR('CSV抽出'!$C$4="",A866&gt;='CSV抽出'!$C$4),OR('CSV抽出'!$C$5="",A866&lt;='CSV抽出'!$C$5),OR('CSV抽出'!$C$6="すべて",'CSV抽出'!$C$6="",D866='CSV抽出'!$C$6),OR('CSV抽出'!$C$7="",B866&amp;""='CSV抽出'!$C$7&amp;"")),1,0))</f>
        <v/>
      </c>
      <c r="AI866" s="20">
        <f>IF(AH866=1,SUM($AH$5:AH866),"")</f>
        <v/>
      </c>
      <c r="AJ866" s="20">
        <f>IF(OR(S866="",'報告書'!$C$4=""),"",IF(S866&amp;""='報告書'!$C$4&amp;"",COUNTIF($S$5:S866,'報告書'!$C$4),""))</f>
        <v/>
      </c>
      <c r="AK866" s="20" t="n"/>
      <c r="AL866" s="47" t="n"/>
      <c r="AM866" s="47" t="n"/>
      <c r="AN866" s="53" t="n"/>
      <c r="AO866" s="47" t="n"/>
      <c r="AP866" s="47" t="n"/>
      <c r="AQ866" s="47" t="n"/>
      <c r="AR866" s="47" t="n"/>
      <c r="AS866" s="47" t="n"/>
      <c r="AT866" s="47" t="n"/>
      <c r="AU866" s="47" t="n"/>
      <c r="AV866" s="47" t="n"/>
      <c r="AW866" s="52" t="n"/>
    </row>
    <row r="867">
      <c r="A867" s="48" t="n"/>
      <c r="B867" s="52" t="n"/>
      <c r="C867" s="47">
        <f>IF(B867="","",IFERROR(INDEX('隊員マスタ'!$B$5:$B$204,MATCH(B867&amp;"",'隊員マスタ'!$F$5:$F$204,0)),IF(AK867="","番号なし",AK867)))</f>
        <v/>
      </c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  <c r="N867" s="47" t="n"/>
      <c r="O867" s="47" t="n"/>
      <c r="P867" s="47" t="n"/>
      <c r="Q867" s="47" t="n"/>
      <c r="R867" s="47" t="n"/>
      <c r="S867" s="47" t="n"/>
      <c r="T867" s="47" t="n"/>
      <c r="U867" s="53" t="n"/>
      <c r="V867" s="53" t="n"/>
      <c r="W867" s="47" t="n"/>
      <c r="X867" s="47" t="n"/>
      <c r="Y867" s="47" t="n"/>
      <c r="Z867" s="47" t="n"/>
      <c r="AA867" s="47" t="n"/>
      <c r="AB867" s="47" t="n"/>
      <c r="AC867" s="47" t="n"/>
      <c r="AD867" s="47" t="n"/>
      <c r="AE867" s="47" t="n"/>
      <c r="AF867" s="20">
        <f>IF(A867="","",YEAR(EDATE(A867,-3)))</f>
        <v/>
      </c>
      <c r="AG867" s="20">
        <f>IF(OR(B867="",'経歴簿'!$C$4=""),"",IF(B867&amp;""='経歴簿'!$C$4&amp;"",MAX($AG$4:AG866)+1,""))</f>
        <v/>
      </c>
      <c r="AH867" s="20">
        <f>IF(A867="",0,IF(AND(OR('CSV抽出'!$C$4="",A867&gt;='CSV抽出'!$C$4),OR('CSV抽出'!$C$5="",A867&lt;='CSV抽出'!$C$5),OR('CSV抽出'!$C$6="すべて",'CSV抽出'!$C$6="",D867='CSV抽出'!$C$6),OR('CSV抽出'!$C$7="",B867&amp;""='CSV抽出'!$C$7&amp;"")),1,0))</f>
        <v/>
      </c>
      <c r="AI867" s="20">
        <f>IF(AH867=1,SUM($AH$5:AH867),"")</f>
        <v/>
      </c>
      <c r="AJ867" s="20">
        <f>IF(OR(S867="",'報告書'!$C$4=""),"",IF(S867&amp;""='報告書'!$C$4&amp;"",COUNTIF($S$5:S867,'報告書'!$C$4),""))</f>
        <v/>
      </c>
      <c r="AK867" s="20" t="n"/>
      <c r="AL867" s="47" t="n"/>
      <c r="AM867" s="47" t="n"/>
      <c r="AN867" s="53" t="n"/>
      <c r="AO867" s="47" t="n"/>
      <c r="AP867" s="47" t="n"/>
      <c r="AQ867" s="47" t="n"/>
      <c r="AR867" s="47" t="n"/>
      <c r="AS867" s="47" t="n"/>
      <c r="AT867" s="47" t="n"/>
      <c r="AU867" s="47" t="n"/>
      <c r="AV867" s="47" t="n"/>
      <c r="AW867" s="52" t="n"/>
    </row>
    <row r="868">
      <c r="A868" s="48" t="n"/>
      <c r="B868" s="52" t="n"/>
      <c r="C868" s="47">
        <f>IF(B868="","",IFERROR(INDEX('隊員マスタ'!$B$5:$B$204,MATCH(B868&amp;"",'隊員マスタ'!$F$5:$F$204,0)),IF(AK868="","番号なし",AK868)))</f>
        <v/>
      </c>
      <c r="D868" s="47" t="n"/>
      <c r="E868" s="47" t="n"/>
      <c r="F868" s="47" t="n"/>
      <c r="G868" s="47" t="n"/>
      <c r="H868" s="47" t="n"/>
      <c r="I868" s="47" t="n"/>
      <c r="J868" s="47" t="n"/>
      <c r="K868" s="47" t="n"/>
      <c r="L868" s="47" t="n"/>
      <c r="M868" s="47" t="n"/>
      <c r="N868" s="47" t="n"/>
      <c r="O868" s="47" t="n"/>
      <c r="P868" s="47" t="n"/>
      <c r="Q868" s="47" t="n"/>
      <c r="R868" s="47" t="n"/>
      <c r="S868" s="47" t="n"/>
      <c r="T868" s="47" t="n"/>
      <c r="U868" s="53" t="n"/>
      <c r="V868" s="53" t="n"/>
      <c r="W868" s="47" t="n"/>
      <c r="X868" s="47" t="n"/>
      <c r="Y868" s="47" t="n"/>
      <c r="Z868" s="47" t="n"/>
      <c r="AA868" s="47" t="n"/>
      <c r="AB868" s="47" t="n"/>
      <c r="AC868" s="47" t="n"/>
      <c r="AD868" s="47" t="n"/>
      <c r="AE868" s="47" t="n"/>
      <c r="AF868" s="20">
        <f>IF(A868="","",YEAR(EDATE(A868,-3)))</f>
        <v/>
      </c>
      <c r="AG868" s="20">
        <f>IF(OR(B868="",'経歴簿'!$C$4=""),"",IF(B868&amp;""='経歴簿'!$C$4&amp;"",MAX($AG$4:AG867)+1,""))</f>
        <v/>
      </c>
      <c r="AH868" s="20">
        <f>IF(A868="",0,IF(AND(OR('CSV抽出'!$C$4="",A868&gt;='CSV抽出'!$C$4),OR('CSV抽出'!$C$5="",A868&lt;='CSV抽出'!$C$5),OR('CSV抽出'!$C$6="すべて",'CSV抽出'!$C$6="",D868='CSV抽出'!$C$6),OR('CSV抽出'!$C$7="",B868&amp;""='CSV抽出'!$C$7&amp;"")),1,0))</f>
        <v/>
      </c>
      <c r="AI868" s="20">
        <f>IF(AH868=1,SUM($AH$5:AH868),"")</f>
        <v/>
      </c>
      <c r="AJ868" s="20">
        <f>IF(OR(S868="",'報告書'!$C$4=""),"",IF(S868&amp;""='報告書'!$C$4&amp;"",COUNTIF($S$5:S868,'報告書'!$C$4),""))</f>
        <v/>
      </c>
      <c r="AK868" s="20" t="n"/>
      <c r="AL868" s="47" t="n"/>
      <c r="AM868" s="47" t="n"/>
      <c r="AN868" s="53" t="n"/>
      <c r="AO868" s="47" t="n"/>
      <c r="AP868" s="47" t="n"/>
      <c r="AQ868" s="47" t="n"/>
      <c r="AR868" s="47" t="n"/>
      <c r="AS868" s="47" t="n"/>
      <c r="AT868" s="47" t="n"/>
      <c r="AU868" s="47" t="n"/>
      <c r="AV868" s="47" t="n"/>
      <c r="AW868" s="52" t="n"/>
    </row>
    <row r="869">
      <c r="A869" s="48" t="n"/>
      <c r="B869" s="52" t="n"/>
      <c r="C869" s="47">
        <f>IF(B869="","",IFERROR(INDEX('隊員マスタ'!$B$5:$B$204,MATCH(B869&amp;"",'隊員マスタ'!$F$5:$F$204,0)),IF(AK869="","番号なし",AK869)))</f>
        <v/>
      </c>
      <c r="D869" s="47" t="n"/>
      <c r="E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  <c r="N869" s="47" t="n"/>
      <c r="O869" s="47" t="n"/>
      <c r="P869" s="47" t="n"/>
      <c r="Q869" s="47" t="n"/>
      <c r="R869" s="47" t="n"/>
      <c r="S869" s="47" t="n"/>
      <c r="T869" s="47" t="n"/>
      <c r="U869" s="53" t="n"/>
      <c r="V869" s="53" t="n"/>
      <c r="W869" s="47" t="n"/>
      <c r="X869" s="47" t="n"/>
      <c r="Y869" s="47" t="n"/>
      <c r="Z869" s="47" t="n"/>
      <c r="AA869" s="47" t="n"/>
      <c r="AB869" s="47" t="n"/>
      <c r="AC869" s="47" t="n"/>
      <c r="AD869" s="47" t="n"/>
      <c r="AE869" s="47" t="n"/>
      <c r="AF869" s="20">
        <f>IF(A869="","",YEAR(EDATE(A869,-3)))</f>
        <v/>
      </c>
      <c r="AG869" s="20">
        <f>IF(OR(B869="",'経歴簿'!$C$4=""),"",IF(B869&amp;""='経歴簿'!$C$4&amp;"",MAX($AG$4:AG868)+1,""))</f>
        <v/>
      </c>
      <c r="AH869" s="20">
        <f>IF(A869="",0,IF(AND(OR('CSV抽出'!$C$4="",A869&gt;='CSV抽出'!$C$4),OR('CSV抽出'!$C$5="",A869&lt;='CSV抽出'!$C$5),OR('CSV抽出'!$C$6="すべて",'CSV抽出'!$C$6="",D869='CSV抽出'!$C$6),OR('CSV抽出'!$C$7="",B869&amp;""='CSV抽出'!$C$7&amp;"")),1,0))</f>
        <v/>
      </c>
      <c r="AI869" s="20">
        <f>IF(AH869=1,SUM($AH$5:AH869),"")</f>
        <v/>
      </c>
      <c r="AJ869" s="20">
        <f>IF(OR(S869="",'報告書'!$C$4=""),"",IF(S869&amp;""='報告書'!$C$4&amp;"",COUNTIF($S$5:S869,'報告書'!$C$4),""))</f>
        <v/>
      </c>
      <c r="AK869" s="20" t="n"/>
      <c r="AL869" s="47" t="n"/>
      <c r="AM869" s="47" t="n"/>
      <c r="AN869" s="53" t="n"/>
      <c r="AO869" s="47" t="n"/>
      <c r="AP869" s="47" t="n"/>
      <c r="AQ869" s="47" t="n"/>
      <c r="AR869" s="47" t="n"/>
      <c r="AS869" s="47" t="n"/>
      <c r="AT869" s="47" t="n"/>
      <c r="AU869" s="47" t="n"/>
      <c r="AV869" s="47" t="n"/>
      <c r="AW869" s="52" t="n"/>
    </row>
    <row r="870">
      <c r="A870" s="48" t="n"/>
      <c r="B870" s="52" t="n"/>
      <c r="C870" s="47">
        <f>IF(B870="","",IFERROR(INDEX('隊員マスタ'!$B$5:$B$204,MATCH(B870&amp;"",'隊員マスタ'!$F$5:$F$204,0)),IF(AK870="","番号なし",AK870)))</f>
        <v/>
      </c>
      <c r="D870" s="47" t="n"/>
      <c r="E870" s="47" t="n"/>
      <c r="F870" s="47" t="n"/>
      <c r="G870" s="47" t="n"/>
      <c r="H870" s="47" t="n"/>
      <c r="I870" s="47" t="n"/>
      <c r="J870" s="47" t="n"/>
      <c r="K870" s="47" t="n"/>
      <c r="L870" s="47" t="n"/>
      <c r="M870" s="47" t="n"/>
      <c r="N870" s="47" t="n"/>
      <c r="O870" s="47" t="n"/>
      <c r="P870" s="47" t="n"/>
      <c r="Q870" s="47" t="n"/>
      <c r="R870" s="47" t="n"/>
      <c r="S870" s="47" t="n"/>
      <c r="T870" s="47" t="n"/>
      <c r="U870" s="53" t="n"/>
      <c r="V870" s="53" t="n"/>
      <c r="W870" s="47" t="n"/>
      <c r="X870" s="47" t="n"/>
      <c r="Y870" s="47" t="n"/>
      <c r="Z870" s="47" t="n"/>
      <c r="AA870" s="47" t="n"/>
      <c r="AB870" s="47" t="n"/>
      <c r="AC870" s="47" t="n"/>
      <c r="AD870" s="47" t="n"/>
      <c r="AE870" s="47" t="n"/>
      <c r="AF870" s="20">
        <f>IF(A870="","",YEAR(EDATE(A870,-3)))</f>
        <v/>
      </c>
      <c r="AG870" s="20">
        <f>IF(OR(B870="",'経歴簿'!$C$4=""),"",IF(B870&amp;""='経歴簿'!$C$4&amp;"",MAX($AG$4:AG869)+1,""))</f>
        <v/>
      </c>
      <c r="AH870" s="20">
        <f>IF(A870="",0,IF(AND(OR('CSV抽出'!$C$4="",A870&gt;='CSV抽出'!$C$4),OR('CSV抽出'!$C$5="",A870&lt;='CSV抽出'!$C$5),OR('CSV抽出'!$C$6="すべて",'CSV抽出'!$C$6="",D870='CSV抽出'!$C$6),OR('CSV抽出'!$C$7="",B870&amp;""='CSV抽出'!$C$7&amp;"")),1,0))</f>
        <v/>
      </c>
      <c r="AI870" s="20">
        <f>IF(AH870=1,SUM($AH$5:AH870),"")</f>
        <v/>
      </c>
      <c r="AJ870" s="20">
        <f>IF(OR(S870="",'報告書'!$C$4=""),"",IF(S870&amp;""='報告書'!$C$4&amp;"",COUNTIF($S$5:S870,'報告書'!$C$4),""))</f>
        <v/>
      </c>
      <c r="AK870" s="20" t="n"/>
      <c r="AL870" s="47" t="n"/>
      <c r="AM870" s="47" t="n"/>
      <c r="AN870" s="53" t="n"/>
      <c r="AO870" s="47" t="n"/>
      <c r="AP870" s="47" t="n"/>
      <c r="AQ870" s="47" t="n"/>
      <c r="AR870" s="47" t="n"/>
      <c r="AS870" s="47" t="n"/>
      <c r="AT870" s="47" t="n"/>
      <c r="AU870" s="47" t="n"/>
      <c r="AV870" s="47" t="n"/>
      <c r="AW870" s="52" t="n"/>
    </row>
    <row r="871">
      <c r="A871" s="48" t="n"/>
      <c r="B871" s="52" t="n"/>
      <c r="C871" s="47">
        <f>IF(B871="","",IFERROR(INDEX('隊員マスタ'!$B$5:$B$204,MATCH(B871&amp;"",'隊員マスタ'!$F$5:$F$204,0)),IF(AK871="","番号なし",AK871)))</f>
        <v/>
      </c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  <c r="N871" s="47" t="n"/>
      <c r="O871" s="47" t="n"/>
      <c r="P871" s="47" t="n"/>
      <c r="Q871" s="47" t="n"/>
      <c r="R871" s="47" t="n"/>
      <c r="S871" s="47" t="n"/>
      <c r="T871" s="47" t="n"/>
      <c r="U871" s="53" t="n"/>
      <c r="V871" s="53" t="n"/>
      <c r="W871" s="47" t="n"/>
      <c r="X871" s="47" t="n"/>
      <c r="Y871" s="47" t="n"/>
      <c r="Z871" s="47" t="n"/>
      <c r="AA871" s="47" t="n"/>
      <c r="AB871" s="47" t="n"/>
      <c r="AC871" s="47" t="n"/>
      <c r="AD871" s="47" t="n"/>
      <c r="AE871" s="47" t="n"/>
      <c r="AF871" s="20">
        <f>IF(A871="","",YEAR(EDATE(A871,-3)))</f>
        <v/>
      </c>
      <c r="AG871" s="20">
        <f>IF(OR(B871="",'経歴簿'!$C$4=""),"",IF(B871&amp;""='経歴簿'!$C$4&amp;"",MAX($AG$4:AG870)+1,""))</f>
        <v/>
      </c>
      <c r="AH871" s="20">
        <f>IF(A871="",0,IF(AND(OR('CSV抽出'!$C$4="",A871&gt;='CSV抽出'!$C$4),OR('CSV抽出'!$C$5="",A871&lt;='CSV抽出'!$C$5),OR('CSV抽出'!$C$6="すべて",'CSV抽出'!$C$6="",D871='CSV抽出'!$C$6),OR('CSV抽出'!$C$7="",B871&amp;""='CSV抽出'!$C$7&amp;"")),1,0))</f>
        <v/>
      </c>
      <c r="AI871" s="20">
        <f>IF(AH871=1,SUM($AH$5:AH871),"")</f>
        <v/>
      </c>
      <c r="AJ871" s="20">
        <f>IF(OR(S871="",'報告書'!$C$4=""),"",IF(S871&amp;""='報告書'!$C$4&amp;"",COUNTIF($S$5:S871,'報告書'!$C$4),""))</f>
        <v/>
      </c>
      <c r="AK871" s="20" t="n"/>
      <c r="AL871" s="47" t="n"/>
      <c r="AM871" s="47" t="n"/>
      <c r="AN871" s="53" t="n"/>
      <c r="AO871" s="47" t="n"/>
      <c r="AP871" s="47" t="n"/>
      <c r="AQ871" s="47" t="n"/>
      <c r="AR871" s="47" t="n"/>
      <c r="AS871" s="47" t="n"/>
      <c r="AT871" s="47" t="n"/>
      <c r="AU871" s="47" t="n"/>
      <c r="AV871" s="47" t="n"/>
      <c r="AW871" s="52" t="n"/>
    </row>
    <row r="872">
      <c r="A872" s="48" t="n"/>
      <c r="B872" s="52" t="n"/>
      <c r="C872" s="47">
        <f>IF(B872="","",IFERROR(INDEX('隊員マスタ'!$B$5:$B$204,MATCH(B872&amp;"",'隊員マスタ'!$F$5:$F$204,0)),IF(AK872="","番号なし",AK872)))</f>
        <v/>
      </c>
      <c r="D872" s="47" t="n"/>
      <c r="E872" s="47" t="n"/>
      <c r="F872" s="47" t="n"/>
      <c r="G872" s="47" t="n"/>
      <c r="H872" s="47" t="n"/>
      <c r="I872" s="47" t="n"/>
      <c r="J872" s="47" t="n"/>
      <c r="K872" s="47" t="n"/>
      <c r="L872" s="47" t="n"/>
      <c r="M872" s="47" t="n"/>
      <c r="N872" s="47" t="n"/>
      <c r="O872" s="47" t="n"/>
      <c r="P872" s="47" t="n"/>
      <c r="Q872" s="47" t="n"/>
      <c r="R872" s="47" t="n"/>
      <c r="S872" s="47" t="n"/>
      <c r="T872" s="47" t="n"/>
      <c r="U872" s="53" t="n"/>
      <c r="V872" s="53" t="n"/>
      <c r="W872" s="47" t="n"/>
      <c r="X872" s="47" t="n"/>
      <c r="Y872" s="47" t="n"/>
      <c r="Z872" s="47" t="n"/>
      <c r="AA872" s="47" t="n"/>
      <c r="AB872" s="47" t="n"/>
      <c r="AC872" s="47" t="n"/>
      <c r="AD872" s="47" t="n"/>
      <c r="AE872" s="47" t="n"/>
      <c r="AF872" s="20">
        <f>IF(A872="","",YEAR(EDATE(A872,-3)))</f>
        <v/>
      </c>
      <c r="AG872" s="20">
        <f>IF(OR(B872="",'経歴簿'!$C$4=""),"",IF(B872&amp;""='経歴簿'!$C$4&amp;"",MAX($AG$4:AG871)+1,""))</f>
        <v/>
      </c>
      <c r="AH872" s="20">
        <f>IF(A872="",0,IF(AND(OR('CSV抽出'!$C$4="",A872&gt;='CSV抽出'!$C$4),OR('CSV抽出'!$C$5="",A872&lt;='CSV抽出'!$C$5),OR('CSV抽出'!$C$6="すべて",'CSV抽出'!$C$6="",D872='CSV抽出'!$C$6),OR('CSV抽出'!$C$7="",B872&amp;""='CSV抽出'!$C$7&amp;"")),1,0))</f>
        <v/>
      </c>
      <c r="AI872" s="20">
        <f>IF(AH872=1,SUM($AH$5:AH872),"")</f>
        <v/>
      </c>
      <c r="AJ872" s="20">
        <f>IF(OR(S872="",'報告書'!$C$4=""),"",IF(S872&amp;""='報告書'!$C$4&amp;"",COUNTIF($S$5:S872,'報告書'!$C$4),""))</f>
        <v/>
      </c>
      <c r="AK872" s="20" t="n"/>
      <c r="AL872" s="47" t="n"/>
      <c r="AM872" s="47" t="n"/>
      <c r="AN872" s="53" t="n"/>
      <c r="AO872" s="47" t="n"/>
      <c r="AP872" s="47" t="n"/>
      <c r="AQ872" s="47" t="n"/>
      <c r="AR872" s="47" t="n"/>
      <c r="AS872" s="47" t="n"/>
      <c r="AT872" s="47" t="n"/>
      <c r="AU872" s="47" t="n"/>
      <c r="AV872" s="47" t="n"/>
      <c r="AW872" s="52" t="n"/>
    </row>
    <row r="873">
      <c r="A873" s="48" t="n"/>
      <c r="B873" s="52" t="n"/>
      <c r="C873" s="47">
        <f>IF(B873="","",IFERROR(INDEX('隊員マスタ'!$B$5:$B$204,MATCH(B873&amp;"",'隊員マスタ'!$F$5:$F$204,0)),IF(AK873="","番号なし",AK873)))</f>
        <v/>
      </c>
      <c r="D873" s="47" t="n"/>
      <c r="E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  <c r="N873" s="47" t="n"/>
      <c r="O873" s="47" t="n"/>
      <c r="P873" s="47" t="n"/>
      <c r="Q873" s="47" t="n"/>
      <c r="R873" s="47" t="n"/>
      <c r="S873" s="47" t="n"/>
      <c r="T873" s="47" t="n"/>
      <c r="U873" s="53" t="n"/>
      <c r="V873" s="53" t="n"/>
      <c r="W873" s="47" t="n"/>
      <c r="X873" s="47" t="n"/>
      <c r="Y873" s="47" t="n"/>
      <c r="Z873" s="47" t="n"/>
      <c r="AA873" s="47" t="n"/>
      <c r="AB873" s="47" t="n"/>
      <c r="AC873" s="47" t="n"/>
      <c r="AD873" s="47" t="n"/>
      <c r="AE873" s="47" t="n"/>
      <c r="AF873" s="20">
        <f>IF(A873="","",YEAR(EDATE(A873,-3)))</f>
        <v/>
      </c>
      <c r="AG873" s="20">
        <f>IF(OR(B873="",'経歴簿'!$C$4=""),"",IF(B873&amp;""='経歴簿'!$C$4&amp;"",MAX($AG$4:AG872)+1,""))</f>
        <v/>
      </c>
      <c r="AH873" s="20">
        <f>IF(A873="",0,IF(AND(OR('CSV抽出'!$C$4="",A873&gt;='CSV抽出'!$C$4),OR('CSV抽出'!$C$5="",A873&lt;='CSV抽出'!$C$5),OR('CSV抽出'!$C$6="すべて",'CSV抽出'!$C$6="",D873='CSV抽出'!$C$6),OR('CSV抽出'!$C$7="",B873&amp;""='CSV抽出'!$C$7&amp;"")),1,0))</f>
        <v/>
      </c>
      <c r="AI873" s="20">
        <f>IF(AH873=1,SUM($AH$5:AH873),"")</f>
        <v/>
      </c>
      <c r="AJ873" s="20">
        <f>IF(OR(S873="",'報告書'!$C$4=""),"",IF(S873&amp;""='報告書'!$C$4&amp;"",COUNTIF($S$5:S873,'報告書'!$C$4),""))</f>
        <v/>
      </c>
      <c r="AK873" s="20" t="n"/>
      <c r="AL873" s="47" t="n"/>
      <c r="AM873" s="47" t="n"/>
      <c r="AN873" s="53" t="n"/>
      <c r="AO873" s="47" t="n"/>
      <c r="AP873" s="47" t="n"/>
      <c r="AQ873" s="47" t="n"/>
      <c r="AR873" s="47" t="n"/>
      <c r="AS873" s="47" t="n"/>
      <c r="AT873" s="47" t="n"/>
      <c r="AU873" s="47" t="n"/>
      <c r="AV873" s="47" t="n"/>
      <c r="AW873" s="52" t="n"/>
    </row>
    <row r="874">
      <c r="A874" s="48" t="n"/>
      <c r="B874" s="52" t="n"/>
      <c r="C874" s="47">
        <f>IF(B874="","",IFERROR(INDEX('隊員マスタ'!$B$5:$B$204,MATCH(B874&amp;"",'隊員マスタ'!$F$5:$F$204,0)),IF(AK874="","番号なし",AK874)))</f>
        <v/>
      </c>
      <c r="D874" s="47" t="n"/>
      <c r="E874" s="47" t="n"/>
      <c r="F874" s="47" t="n"/>
      <c r="G874" s="47" t="n"/>
      <c r="H874" s="47" t="n"/>
      <c r="I874" s="47" t="n"/>
      <c r="J874" s="47" t="n"/>
      <c r="K874" s="47" t="n"/>
      <c r="L874" s="47" t="n"/>
      <c r="M874" s="47" t="n"/>
      <c r="N874" s="47" t="n"/>
      <c r="O874" s="47" t="n"/>
      <c r="P874" s="47" t="n"/>
      <c r="Q874" s="47" t="n"/>
      <c r="R874" s="47" t="n"/>
      <c r="S874" s="47" t="n"/>
      <c r="T874" s="47" t="n"/>
      <c r="U874" s="53" t="n"/>
      <c r="V874" s="53" t="n"/>
      <c r="W874" s="47" t="n"/>
      <c r="X874" s="47" t="n"/>
      <c r="Y874" s="47" t="n"/>
      <c r="Z874" s="47" t="n"/>
      <c r="AA874" s="47" t="n"/>
      <c r="AB874" s="47" t="n"/>
      <c r="AC874" s="47" t="n"/>
      <c r="AD874" s="47" t="n"/>
      <c r="AE874" s="47" t="n"/>
      <c r="AF874" s="20">
        <f>IF(A874="","",YEAR(EDATE(A874,-3)))</f>
        <v/>
      </c>
      <c r="AG874" s="20">
        <f>IF(OR(B874="",'経歴簿'!$C$4=""),"",IF(B874&amp;""='経歴簿'!$C$4&amp;"",MAX($AG$4:AG873)+1,""))</f>
        <v/>
      </c>
      <c r="AH874" s="20">
        <f>IF(A874="",0,IF(AND(OR('CSV抽出'!$C$4="",A874&gt;='CSV抽出'!$C$4),OR('CSV抽出'!$C$5="",A874&lt;='CSV抽出'!$C$5),OR('CSV抽出'!$C$6="すべて",'CSV抽出'!$C$6="",D874='CSV抽出'!$C$6),OR('CSV抽出'!$C$7="",B874&amp;""='CSV抽出'!$C$7&amp;"")),1,0))</f>
        <v/>
      </c>
      <c r="AI874" s="20">
        <f>IF(AH874=1,SUM($AH$5:AH874),"")</f>
        <v/>
      </c>
      <c r="AJ874" s="20">
        <f>IF(OR(S874="",'報告書'!$C$4=""),"",IF(S874&amp;""='報告書'!$C$4&amp;"",COUNTIF($S$5:S874,'報告書'!$C$4),""))</f>
        <v/>
      </c>
      <c r="AK874" s="20" t="n"/>
      <c r="AL874" s="47" t="n"/>
      <c r="AM874" s="47" t="n"/>
      <c r="AN874" s="53" t="n"/>
      <c r="AO874" s="47" t="n"/>
      <c r="AP874" s="47" t="n"/>
      <c r="AQ874" s="47" t="n"/>
      <c r="AR874" s="47" t="n"/>
      <c r="AS874" s="47" t="n"/>
      <c r="AT874" s="47" t="n"/>
      <c r="AU874" s="47" t="n"/>
      <c r="AV874" s="47" t="n"/>
      <c r="AW874" s="52" t="n"/>
    </row>
    <row r="875">
      <c r="A875" s="48" t="n"/>
      <c r="B875" s="52" t="n"/>
      <c r="C875" s="47">
        <f>IF(B875="","",IFERROR(INDEX('隊員マスタ'!$B$5:$B$204,MATCH(B875&amp;"",'隊員マスタ'!$F$5:$F$204,0)),IF(AK875="","番号なし",AK875)))</f>
        <v/>
      </c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  <c r="N875" s="47" t="n"/>
      <c r="O875" s="47" t="n"/>
      <c r="P875" s="47" t="n"/>
      <c r="Q875" s="47" t="n"/>
      <c r="R875" s="47" t="n"/>
      <c r="S875" s="47" t="n"/>
      <c r="T875" s="47" t="n"/>
      <c r="U875" s="53" t="n"/>
      <c r="V875" s="53" t="n"/>
      <c r="W875" s="47" t="n"/>
      <c r="X875" s="47" t="n"/>
      <c r="Y875" s="47" t="n"/>
      <c r="Z875" s="47" t="n"/>
      <c r="AA875" s="47" t="n"/>
      <c r="AB875" s="47" t="n"/>
      <c r="AC875" s="47" t="n"/>
      <c r="AD875" s="47" t="n"/>
      <c r="AE875" s="47" t="n"/>
      <c r="AF875" s="20">
        <f>IF(A875="","",YEAR(EDATE(A875,-3)))</f>
        <v/>
      </c>
      <c r="AG875" s="20">
        <f>IF(OR(B875="",'経歴簿'!$C$4=""),"",IF(B875&amp;""='経歴簿'!$C$4&amp;"",MAX($AG$4:AG874)+1,""))</f>
        <v/>
      </c>
      <c r="AH875" s="20">
        <f>IF(A875="",0,IF(AND(OR('CSV抽出'!$C$4="",A875&gt;='CSV抽出'!$C$4),OR('CSV抽出'!$C$5="",A875&lt;='CSV抽出'!$C$5),OR('CSV抽出'!$C$6="すべて",'CSV抽出'!$C$6="",D875='CSV抽出'!$C$6),OR('CSV抽出'!$C$7="",B875&amp;""='CSV抽出'!$C$7&amp;"")),1,0))</f>
        <v/>
      </c>
      <c r="AI875" s="20">
        <f>IF(AH875=1,SUM($AH$5:AH875),"")</f>
        <v/>
      </c>
      <c r="AJ875" s="20">
        <f>IF(OR(S875="",'報告書'!$C$4=""),"",IF(S875&amp;""='報告書'!$C$4&amp;"",COUNTIF($S$5:S875,'報告書'!$C$4),""))</f>
        <v/>
      </c>
      <c r="AK875" s="20" t="n"/>
      <c r="AL875" s="47" t="n"/>
      <c r="AM875" s="47" t="n"/>
      <c r="AN875" s="53" t="n"/>
      <c r="AO875" s="47" t="n"/>
      <c r="AP875" s="47" t="n"/>
      <c r="AQ875" s="47" t="n"/>
      <c r="AR875" s="47" t="n"/>
      <c r="AS875" s="47" t="n"/>
      <c r="AT875" s="47" t="n"/>
      <c r="AU875" s="47" t="n"/>
      <c r="AV875" s="47" t="n"/>
      <c r="AW875" s="52" t="n"/>
    </row>
    <row r="876">
      <c r="A876" s="48" t="n"/>
      <c r="B876" s="52" t="n"/>
      <c r="C876" s="47">
        <f>IF(B876="","",IFERROR(INDEX('隊員マスタ'!$B$5:$B$204,MATCH(B876&amp;"",'隊員マスタ'!$F$5:$F$204,0)),IF(AK876="","番号なし",AK876)))</f>
        <v/>
      </c>
      <c r="D876" s="47" t="n"/>
      <c r="E876" s="47" t="n"/>
      <c r="F876" s="47" t="n"/>
      <c r="G876" s="47" t="n"/>
      <c r="H876" s="47" t="n"/>
      <c r="I876" s="47" t="n"/>
      <c r="J876" s="47" t="n"/>
      <c r="K876" s="47" t="n"/>
      <c r="L876" s="47" t="n"/>
      <c r="M876" s="47" t="n"/>
      <c r="N876" s="47" t="n"/>
      <c r="O876" s="47" t="n"/>
      <c r="P876" s="47" t="n"/>
      <c r="Q876" s="47" t="n"/>
      <c r="R876" s="47" t="n"/>
      <c r="S876" s="47" t="n"/>
      <c r="T876" s="47" t="n"/>
      <c r="U876" s="53" t="n"/>
      <c r="V876" s="53" t="n"/>
      <c r="W876" s="47" t="n"/>
      <c r="X876" s="47" t="n"/>
      <c r="Y876" s="47" t="n"/>
      <c r="Z876" s="47" t="n"/>
      <c r="AA876" s="47" t="n"/>
      <c r="AB876" s="47" t="n"/>
      <c r="AC876" s="47" t="n"/>
      <c r="AD876" s="47" t="n"/>
      <c r="AE876" s="47" t="n"/>
      <c r="AF876" s="20">
        <f>IF(A876="","",YEAR(EDATE(A876,-3)))</f>
        <v/>
      </c>
      <c r="AG876" s="20">
        <f>IF(OR(B876="",'経歴簿'!$C$4=""),"",IF(B876&amp;""='経歴簿'!$C$4&amp;"",MAX($AG$4:AG875)+1,""))</f>
        <v/>
      </c>
      <c r="AH876" s="20">
        <f>IF(A876="",0,IF(AND(OR('CSV抽出'!$C$4="",A876&gt;='CSV抽出'!$C$4),OR('CSV抽出'!$C$5="",A876&lt;='CSV抽出'!$C$5),OR('CSV抽出'!$C$6="すべて",'CSV抽出'!$C$6="",D876='CSV抽出'!$C$6),OR('CSV抽出'!$C$7="",B876&amp;""='CSV抽出'!$C$7&amp;"")),1,0))</f>
        <v/>
      </c>
      <c r="AI876" s="20">
        <f>IF(AH876=1,SUM($AH$5:AH876),"")</f>
        <v/>
      </c>
      <c r="AJ876" s="20">
        <f>IF(OR(S876="",'報告書'!$C$4=""),"",IF(S876&amp;""='報告書'!$C$4&amp;"",COUNTIF($S$5:S876,'報告書'!$C$4),""))</f>
        <v/>
      </c>
      <c r="AK876" s="20" t="n"/>
      <c r="AL876" s="47" t="n"/>
      <c r="AM876" s="47" t="n"/>
      <c r="AN876" s="53" t="n"/>
      <c r="AO876" s="47" t="n"/>
      <c r="AP876" s="47" t="n"/>
      <c r="AQ876" s="47" t="n"/>
      <c r="AR876" s="47" t="n"/>
      <c r="AS876" s="47" t="n"/>
      <c r="AT876" s="47" t="n"/>
      <c r="AU876" s="47" t="n"/>
      <c r="AV876" s="47" t="n"/>
      <c r="AW876" s="52" t="n"/>
    </row>
    <row r="877">
      <c r="A877" s="48" t="n"/>
      <c r="B877" s="52" t="n"/>
      <c r="C877" s="47">
        <f>IF(B877="","",IFERROR(INDEX('隊員マスタ'!$B$5:$B$204,MATCH(B877&amp;"",'隊員マスタ'!$F$5:$F$204,0)),IF(AK877="","番号なし",AK877)))</f>
        <v/>
      </c>
      <c r="D877" s="47" t="n"/>
      <c r="E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  <c r="N877" s="47" t="n"/>
      <c r="O877" s="47" t="n"/>
      <c r="P877" s="47" t="n"/>
      <c r="Q877" s="47" t="n"/>
      <c r="R877" s="47" t="n"/>
      <c r="S877" s="47" t="n"/>
      <c r="T877" s="47" t="n"/>
      <c r="U877" s="53" t="n"/>
      <c r="V877" s="53" t="n"/>
      <c r="W877" s="47" t="n"/>
      <c r="X877" s="47" t="n"/>
      <c r="Y877" s="47" t="n"/>
      <c r="Z877" s="47" t="n"/>
      <c r="AA877" s="47" t="n"/>
      <c r="AB877" s="47" t="n"/>
      <c r="AC877" s="47" t="n"/>
      <c r="AD877" s="47" t="n"/>
      <c r="AE877" s="47" t="n"/>
      <c r="AF877" s="20">
        <f>IF(A877="","",YEAR(EDATE(A877,-3)))</f>
        <v/>
      </c>
      <c r="AG877" s="20">
        <f>IF(OR(B877="",'経歴簿'!$C$4=""),"",IF(B877&amp;""='経歴簿'!$C$4&amp;"",MAX($AG$4:AG876)+1,""))</f>
        <v/>
      </c>
      <c r="AH877" s="20">
        <f>IF(A877="",0,IF(AND(OR('CSV抽出'!$C$4="",A877&gt;='CSV抽出'!$C$4),OR('CSV抽出'!$C$5="",A877&lt;='CSV抽出'!$C$5),OR('CSV抽出'!$C$6="すべて",'CSV抽出'!$C$6="",D877='CSV抽出'!$C$6),OR('CSV抽出'!$C$7="",B877&amp;""='CSV抽出'!$C$7&amp;"")),1,0))</f>
        <v/>
      </c>
      <c r="AI877" s="20">
        <f>IF(AH877=1,SUM($AH$5:AH877),"")</f>
        <v/>
      </c>
      <c r="AJ877" s="20">
        <f>IF(OR(S877="",'報告書'!$C$4=""),"",IF(S877&amp;""='報告書'!$C$4&amp;"",COUNTIF($S$5:S877,'報告書'!$C$4),""))</f>
        <v/>
      </c>
      <c r="AK877" s="20" t="n"/>
      <c r="AL877" s="47" t="n"/>
      <c r="AM877" s="47" t="n"/>
      <c r="AN877" s="53" t="n"/>
      <c r="AO877" s="47" t="n"/>
      <c r="AP877" s="47" t="n"/>
      <c r="AQ877" s="47" t="n"/>
      <c r="AR877" s="47" t="n"/>
      <c r="AS877" s="47" t="n"/>
      <c r="AT877" s="47" t="n"/>
      <c r="AU877" s="47" t="n"/>
      <c r="AV877" s="47" t="n"/>
      <c r="AW877" s="52" t="n"/>
    </row>
    <row r="878">
      <c r="A878" s="48" t="n"/>
      <c r="B878" s="52" t="n"/>
      <c r="C878" s="47">
        <f>IF(B878="","",IFERROR(INDEX('隊員マスタ'!$B$5:$B$204,MATCH(B878&amp;"",'隊員マスタ'!$F$5:$F$204,0)),IF(AK878="","番号なし",AK878)))</f>
        <v/>
      </c>
      <c r="D878" s="47" t="n"/>
      <c r="E878" s="47" t="n"/>
      <c r="F878" s="47" t="n"/>
      <c r="G878" s="47" t="n"/>
      <c r="H878" s="47" t="n"/>
      <c r="I878" s="47" t="n"/>
      <c r="J878" s="47" t="n"/>
      <c r="K878" s="47" t="n"/>
      <c r="L878" s="47" t="n"/>
      <c r="M878" s="47" t="n"/>
      <c r="N878" s="47" t="n"/>
      <c r="O878" s="47" t="n"/>
      <c r="P878" s="47" t="n"/>
      <c r="Q878" s="47" t="n"/>
      <c r="R878" s="47" t="n"/>
      <c r="S878" s="47" t="n"/>
      <c r="T878" s="47" t="n"/>
      <c r="U878" s="53" t="n"/>
      <c r="V878" s="53" t="n"/>
      <c r="W878" s="47" t="n"/>
      <c r="X878" s="47" t="n"/>
      <c r="Y878" s="47" t="n"/>
      <c r="Z878" s="47" t="n"/>
      <c r="AA878" s="47" t="n"/>
      <c r="AB878" s="47" t="n"/>
      <c r="AC878" s="47" t="n"/>
      <c r="AD878" s="47" t="n"/>
      <c r="AE878" s="47" t="n"/>
      <c r="AF878" s="20">
        <f>IF(A878="","",YEAR(EDATE(A878,-3)))</f>
        <v/>
      </c>
      <c r="AG878" s="20">
        <f>IF(OR(B878="",'経歴簿'!$C$4=""),"",IF(B878&amp;""='経歴簿'!$C$4&amp;"",MAX($AG$4:AG877)+1,""))</f>
        <v/>
      </c>
      <c r="AH878" s="20">
        <f>IF(A878="",0,IF(AND(OR('CSV抽出'!$C$4="",A878&gt;='CSV抽出'!$C$4),OR('CSV抽出'!$C$5="",A878&lt;='CSV抽出'!$C$5),OR('CSV抽出'!$C$6="すべて",'CSV抽出'!$C$6="",D878='CSV抽出'!$C$6),OR('CSV抽出'!$C$7="",B878&amp;""='CSV抽出'!$C$7&amp;"")),1,0))</f>
        <v/>
      </c>
      <c r="AI878" s="20">
        <f>IF(AH878=1,SUM($AH$5:AH878),"")</f>
        <v/>
      </c>
      <c r="AJ878" s="20">
        <f>IF(OR(S878="",'報告書'!$C$4=""),"",IF(S878&amp;""='報告書'!$C$4&amp;"",COUNTIF($S$5:S878,'報告書'!$C$4),""))</f>
        <v/>
      </c>
      <c r="AK878" s="20" t="n"/>
      <c r="AL878" s="47" t="n"/>
      <c r="AM878" s="47" t="n"/>
      <c r="AN878" s="53" t="n"/>
      <c r="AO878" s="47" t="n"/>
      <c r="AP878" s="47" t="n"/>
      <c r="AQ878" s="47" t="n"/>
      <c r="AR878" s="47" t="n"/>
      <c r="AS878" s="47" t="n"/>
      <c r="AT878" s="47" t="n"/>
      <c r="AU878" s="47" t="n"/>
      <c r="AV878" s="47" t="n"/>
      <c r="AW878" s="52" t="n"/>
    </row>
    <row r="879">
      <c r="A879" s="48" t="n"/>
      <c r="B879" s="52" t="n"/>
      <c r="C879" s="47">
        <f>IF(B879="","",IFERROR(INDEX('隊員マスタ'!$B$5:$B$204,MATCH(B879&amp;"",'隊員マスタ'!$F$5:$F$204,0)),IF(AK879="","番号なし",AK879)))</f>
        <v/>
      </c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  <c r="N879" s="47" t="n"/>
      <c r="O879" s="47" t="n"/>
      <c r="P879" s="47" t="n"/>
      <c r="Q879" s="47" t="n"/>
      <c r="R879" s="47" t="n"/>
      <c r="S879" s="47" t="n"/>
      <c r="T879" s="47" t="n"/>
      <c r="U879" s="53" t="n"/>
      <c r="V879" s="53" t="n"/>
      <c r="W879" s="47" t="n"/>
      <c r="X879" s="47" t="n"/>
      <c r="Y879" s="47" t="n"/>
      <c r="Z879" s="47" t="n"/>
      <c r="AA879" s="47" t="n"/>
      <c r="AB879" s="47" t="n"/>
      <c r="AC879" s="47" t="n"/>
      <c r="AD879" s="47" t="n"/>
      <c r="AE879" s="47" t="n"/>
      <c r="AF879" s="20">
        <f>IF(A879="","",YEAR(EDATE(A879,-3)))</f>
        <v/>
      </c>
      <c r="AG879" s="20">
        <f>IF(OR(B879="",'経歴簿'!$C$4=""),"",IF(B879&amp;""='経歴簿'!$C$4&amp;"",MAX($AG$4:AG878)+1,""))</f>
        <v/>
      </c>
      <c r="AH879" s="20">
        <f>IF(A879="",0,IF(AND(OR('CSV抽出'!$C$4="",A879&gt;='CSV抽出'!$C$4),OR('CSV抽出'!$C$5="",A879&lt;='CSV抽出'!$C$5),OR('CSV抽出'!$C$6="すべて",'CSV抽出'!$C$6="",D879='CSV抽出'!$C$6),OR('CSV抽出'!$C$7="",B879&amp;""='CSV抽出'!$C$7&amp;"")),1,0))</f>
        <v/>
      </c>
      <c r="AI879" s="20">
        <f>IF(AH879=1,SUM($AH$5:AH879),"")</f>
        <v/>
      </c>
      <c r="AJ879" s="20">
        <f>IF(OR(S879="",'報告書'!$C$4=""),"",IF(S879&amp;""='報告書'!$C$4&amp;"",COUNTIF($S$5:S879,'報告書'!$C$4),""))</f>
        <v/>
      </c>
      <c r="AK879" s="20" t="n"/>
      <c r="AL879" s="47" t="n"/>
      <c r="AM879" s="47" t="n"/>
      <c r="AN879" s="53" t="n"/>
      <c r="AO879" s="47" t="n"/>
      <c r="AP879" s="47" t="n"/>
      <c r="AQ879" s="47" t="n"/>
      <c r="AR879" s="47" t="n"/>
      <c r="AS879" s="47" t="n"/>
      <c r="AT879" s="47" t="n"/>
      <c r="AU879" s="47" t="n"/>
      <c r="AV879" s="47" t="n"/>
      <c r="AW879" s="52" t="n"/>
    </row>
    <row r="880">
      <c r="A880" s="48" t="n"/>
      <c r="B880" s="52" t="n"/>
      <c r="C880" s="47">
        <f>IF(B880="","",IFERROR(INDEX('隊員マスタ'!$B$5:$B$204,MATCH(B880&amp;"",'隊員マスタ'!$F$5:$F$204,0)),IF(AK880="","番号なし",AK880)))</f>
        <v/>
      </c>
      <c r="D880" s="47" t="n"/>
      <c r="E880" s="47" t="n"/>
      <c r="F880" s="47" t="n"/>
      <c r="G880" s="47" t="n"/>
      <c r="H880" s="47" t="n"/>
      <c r="I880" s="47" t="n"/>
      <c r="J880" s="47" t="n"/>
      <c r="K880" s="47" t="n"/>
      <c r="L880" s="47" t="n"/>
      <c r="M880" s="47" t="n"/>
      <c r="N880" s="47" t="n"/>
      <c r="O880" s="47" t="n"/>
      <c r="P880" s="47" t="n"/>
      <c r="Q880" s="47" t="n"/>
      <c r="R880" s="47" t="n"/>
      <c r="S880" s="47" t="n"/>
      <c r="T880" s="47" t="n"/>
      <c r="U880" s="53" t="n"/>
      <c r="V880" s="53" t="n"/>
      <c r="W880" s="47" t="n"/>
      <c r="X880" s="47" t="n"/>
      <c r="Y880" s="47" t="n"/>
      <c r="Z880" s="47" t="n"/>
      <c r="AA880" s="47" t="n"/>
      <c r="AB880" s="47" t="n"/>
      <c r="AC880" s="47" t="n"/>
      <c r="AD880" s="47" t="n"/>
      <c r="AE880" s="47" t="n"/>
      <c r="AF880" s="20">
        <f>IF(A880="","",YEAR(EDATE(A880,-3)))</f>
        <v/>
      </c>
      <c r="AG880" s="20">
        <f>IF(OR(B880="",'経歴簿'!$C$4=""),"",IF(B880&amp;""='経歴簿'!$C$4&amp;"",MAX($AG$4:AG879)+1,""))</f>
        <v/>
      </c>
      <c r="AH880" s="20">
        <f>IF(A880="",0,IF(AND(OR('CSV抽出'!$C$4="",A880&gt;='CSV抽出'!$C$4),OR('CSV抽出'!$C$5="",A880&lt;='CSV抽出'!$C$5),OR('CSV抽出'!$C$6="すべて",'CSV抽出'!$C$6="",D880='CSV抽出'!$C$6),OR('CSV抽出'!$C$7="",B880&amp;""='CSV抽出'!$C$7&amp;"")),1,0))</f>
        <v/>
      </c>
      <c r="AI880" s="20">
        <f>IF(AH880=1,SUM($AH$5:AH880),"")</f>
        <v/>
      </c>
      <c r="AJ880" s="20">
        <f>IF(OR(S880="",'報告書'!$C$4=""),"",IF(S880&amp;""='報告書'!$C$4&amp;"",COUNTIF($S$5:S880,'報告書'!$C$4),""))</f>
        <v/>
      </c>
      <c r="AK880" s="20" t="n"/>
      <c r="AL880" s="47" t="n"/>
      <c r="AM880" s="47" t="n"/>
      <c r="AN880" s="53" t="n"/>
      <c r="AO880" s="47" t="n"/>
      <c r="AP880" s="47" t="n"/>
      <c r="AQ880" s="47" t="n"/>
      <c r="AR880" s="47" t="n"/>
      <c r="AS880" s="47" t="n"/>
      <c r="AT880" s="47" t="n"/>
      <c r="AU880" s="47" t="n"/>
      <c r="AV880" s="47" t="n"/>
      <c r="AW880" s="52" t="n"/>
    </row>
    <row r="881">
      <c r="A881" s="48" t="n"/>
      <c r="B881" s="52" t="n"/>
      <c r="C881" s="47">
        <f>IF(B881="","",IFERROR(INDEX('隊員マスタ'!$B$5:$B$204,MATCH(B881&amp;"",'隊員マスタ'!$F$5:$F$204,0)),IF(AK881="","番号なし",AK881)))</f>
        <v/>
      </c>
      <c r="D881" s="47" t="n"/>
      <c r="E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  <c r="N881" s="47" t="n"/>
      <c r="O881" s="47" t="n"/>
      <c r="P881" s="47" t="n"/>
      <c r="Q881" s="47" t="n"/>
      <c r="R881" s="47" t="n"/>
      <c r="S881" s="47" t="n"/>
      <c r="T881" s="47" t="n"/>
      <c r="U881" s="53" t="n"/>
      <c r="V881" s="53" t="n"/>
      <c r="W881" s="47" t="n"/>
      <c r="X881" s="47" t="n"/>
      <c r="Y881" s="47" t="n"/>
      <c r="Z881" s="47" t="n"/>
      <c r="AA881" s="47" t="n"/>
      <c r="AB881" s="47" t="n"/>
      <c r="AC881" s="47" t="n"/>
      <c r="AD881" s="47" t="n"/>
      <c r="AE881" s="47" t="n"/>
      <c r="AF881" s="20">
        <f>IF(A881="","",YEAR(EDATE(A881,-3)))</f>
        <v/>
      </c>
      <c r="AG881" s="20">
        <f>IF(OR(B881="",'経歴簿'!$C$4=""),"",IF(B881&amp;""='経歴簿'!$C$4&amp;"",MAX($AG$4:AG880)+1,""))</f>
        <v/>
      </c>
      <c r="AH881" s="20">
        <f>IF(A881="",0,IF(AND(OR('CSV抽出'!$C$4="",A881&gt;='CSV抽出'!$C$4),OR('CSV抽出'!$C$5="",A881&lt;='CSV抽出'!$C$5),OR('CSV抽出'!$C$6="すべて",'CSV抽出'!$C$6="",D881='CSV抽出'!$C$6),OR('CSV抽出'!$C$7="",B881&amp;""='CSV抽出'!$C$7&amp;"")),1,0))</f>
        <v/>
      </c>
      <c r="AI881" s="20">
        <f>IF(AH881=1,SUM($AH$5:AH881),"")</f>
        <v/>
      </c>
      <c r="AJ881" s="20">
        <f>IF(OR(S881="",'報告書'!$C$4=""),"",IF(S881&amp;""='報告書'!$C$4&amp;"",COUNTIF($S$5:S881,'報告書'!$C$4),""))</f>
        <v/>
      </c>
      <c r="AK881" s="20" t="n"/>
      <c r="AL881" s="47" t="n"/>
      <c r="AM881" s="47" t="n"/>
      <c r="AN881" s="53" t="n"/>
      <c r="AO881" s="47" t="n"/>
      <c r="AP881" s="47" t="n"/>
      <c r="AQ881" s="47" t="n"/>
      <c r="AR881" s="47" t="n"/>
      <c r="AS881" s="47" t="n"/>
      <c r="AT881" s="47" t="n"/>
      <c r="AU881" s="47" t="n"/>
      <c r="AV881" s="47" t="n"/>
      <c r="AW881" s="52" t="n"/>
    </row>
    <row r="882">
      <c r="A882" s="48" t="n"/>
      <c r="B882" s="52" t="n"/>
      <c r="C882" s="47">
        <f>IF(B882="","",IFERROR(INDEX('隊員マスタ'!$B$5:$B$204,MATCH(B882&amp;"",'隊員マスタ'!$F$5:$F$204,0)),IF(AK882="","番号なし",AK882)))</f>
        <v/>
      </c>
      <c r="D882" s="47" t="n"/>
      <c r="E882" s="47" t="n"/>
      <c r="F882" s="47" t="n"/>
      <c r="G882" s="47" t="n"/>
      <c r="H882" s="47" t="n"/>
      <c r="I882" s="47" t="n"/>
      <c r="J882" s="47" t="n"/>
      <c r="K882" s="47" t="n"/>
      <c r="L882" s="47" t="n"/>
      <c r="M882" s="47" t="n"/>
      <c r="N882" s="47" t="n"/>
      <c r="O882" s="47" t="n"/>
      <c r="P882" s="47" t="n"/>
      <c r="Q882" s="47" t="n"/>
      <c r="R882" s="47" t="n"/>
      <c r="S882" s="47" t="n"/>
      <c r="T882" s="47" t="n"/>
      <c r="U882" s="53" t="n"/>
      <c r="V882" s="53" t="n"/>
      <c r="W882" s="47" t="n"/>
      <c r="X882" s="47" t="n"/>
      <c r="Y882" s="47" t="n"/>
      <c r="Z882" s="47" t="n"/>
      <c r="AA882" s="47" t="n"/>
      <c r="AB882" s="47" t="n"/>
      <c r="AC882" s="47" t="n"/>
      <c r="AD882" s="47" t="n"/>
      <c r="AE882" s="47" t="n"/>
      <c r="AF882" s="20">
        <f>IF(A882="","",YEAR(EDATE(A882,-3)))</f>
        <v/>
      </c>
      <c r="AG882" s="20">
        <f>IF(OR(B882="",'経歴簿'!$C$4=""),"",IF(B882&amp;""='経歴簿'!$C$4&amp;"",MAX($AG$4:AG881)+1,""))</f>
        <v/>
      </c>
      <c r="AH882" s="20">
        <f>IF(A882="",0,IF(AND(OR('CSV抽出'!$C$4="",A882&gt;='CSV抽出'!$C$4),OR('CSV抽出'!$C$5="",A882&lt;='CSV抽出'!$C$5),OR('CSV抽出'!$C$6="すべて",'CSV抽出'!$C$6="",D882='CSV抽出'!$C$6),OR('CSV抽出'!$C$7="",B882&amp;""='CSV抽出'!$C$7&amp;"")),1,0))</f>
        <v/>
      </c>
      <c r="AI882" s="20">
        <f>IF(AH882=1,SUM($AH$5:AH882),"")</f>
        <v/>
      </c>
      <c r="AJ882" s="20">
        <f>IF(OR(S882="",'報告書'!$C$4=""),"",IF(S882&amp;""='報告書'!$C$4&amp;"",COUNTIF($S$5:S882,'報告書'!$C$4),""))</f>
        <v/>
      </c>
      <c r="AK882" s="20" t="n"/>
      <c r="AL882" s="47" t="n"/>
      <c r="AM882" s="47" t="n"/>
      <c r="AN882" s="53" t="n"/>
      <c r="AO882" s="47" t="n"/>
      <c r="AP882" s="47" t="n"/>
      <c r="AQ882" s="47" t="n"/>
      <c r="AR882" s="47" t="n"/>
      <c r="AS882" s="47" t="n"/>
      <c r="AT882" s="47" t="n"/>
      <c r="AU882" s="47" t="n"/>
      <c r="AV882" s="47" t="n"/>
      <c r="AW882" s="52" t="n"/>
    </row>
    <row r="883">
      <c r="A883" s="48" t="n"/>
      <c r="B883" s="52" t="n"/>
      <c r="C883" s="47">
        <f>IF(B883="","",IFERROR(INDEX('隊員マスタ'!$B$5:$B$204,MATCH(B883&amp;"",'隊員マスタ'!$F$5:$F$204,0)),IF(AK883="","番号なし",AK883)))</f>
        <v/>
      </c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  <c r="N883" s="47" t="n"/>
      <c r="O883" s="47" t="n"/>
      <c r="P883" s="47" t="n"/>
      <c r="Q883" s="47" t="n"/>
      <c r="R883" s="47" t="n"/>
      <c r="S883" s="47" t="n"/>
      <c r="T883" s="47" t="n"/>
      <c r="U883" s="53" t="n"/>
      <c r="V883" s="53" t="n"/>
      <c r="W883" s="47" t="n"/>
      <c r="X883" s="47" t="n"/>
      <c r="Y883" s="47" t="n"/>
      <c r="Z883" s="47" t="n"/>
      <c r="AA883" s="47" t="n"/>
      <c r="AB883" s="47" t="n"/>
      <c r="AC883" s="47" t="n"/>
      <c r="AD883" s="47" t="n"/>
      <c r="AE883" s="47" t="n"/>
      <c r="AF883" s="20">
        <f>IF(A883="","",YEAR(EDATE(A883,-3)))</f>
        <v/>
      </c>
      <c r="AG883" s="20">
        <f>IF(OR(B883="",'経歴簿'!$C$4=""),"",IF(B883&amp;""='経歴簿'!$C$4&amp;"",MAX($AG$4:AG882)+1,""))</f>
        <v/>
      </c>
      <c r="AH883" s="20">
        <f>IF(A883="",0,IF(AND(OR('CSV抽出'!$C$4="",A883&gt;='CSV抽出'!$C$4),OR('CSV抽出'!$C$5="",A883&lt;='CSV抽出'!$C$5),OR('CSV抽出'!$C$6="すべて",'CSV抽出'!$C$6="",D883='CSV抽出'!$C$6),OR('CSV抽出'!$C$7="",B883&amp;""='CSV抽出'!$C$7&amp;"")),1,0))</f>
        <v/>
      </c>
      <c r="AI883" s="20">
        <f>IF(AH883=1,SUM($AH$5:AH883),"")</f>
        <v/>
      </c>
      <c r="AJ883" s="20">
        <f>IF(OR(S883="",'報告書'!$C$4=""),"",IF(S883&amp;""='報告書'!$C$4&amp;"",COUNTIF($S$5:S883,'報告書'!$C$4),""))</f>
        <v/>
      </c>
      <c r="AK883" s="20" t="n"/>
      <c r="AL883" s="47" t="n"/>
      <c r="AM883" s="47" t="n"/>
      <c r="AN883" s="53" t="n"/>
      <c r="AO883" s="47" t="n"/>
      <c r="AP883" s="47" t="n"/>
      <c r="AQ883" s="47" t="n"/>
      <c r="AR883" s="47" t="n"/>
      <c r="AS883" s="47" t="n"/>
      <c r="AT883" s="47" t="n"/>
      <c r="AU883" s="47" t="n"/>
      <c r="AV883" s="47" t="n"/>
      <c r="AW883" s="52" t="n"/>
    </row>
    <row r="884">
      <c r="A884" s="48" t="n"/>
      <c r="B884" s="52" t="n"/>
      <c r="C884" s="47">
        <f>IF(B884="","",IFERROR(INDEX('隊員マスタ'!$B$5:$B$204,MATCH(B884&amp;"",'隊員マスタ'!$F$5:$F$204,0)),IF(AK884="","番号なし",AK884)))</f>
        <v/>
      </c>
      <c r="D884" s="47" t="n"/>
      <c r="E884" s="47" t="n"/>
      <c r="F884" s="47" t="n"/>
      <c r="G884" s="47" t="n"/>
      <c r="H884" s="47" t="n"/>
      <c r="I884" s="47" t="n"/>
      <c r="J884" s="47" t="n"/>
      <c r="K884" s="47" t="n"/>
      <c r="L884" s="47" t="n"/>
      <c r="M884" s="47" t="n"/>
      <c r="N884" s="47" t="n"/>
      <c r="O884" s="47" t="n"/>
      <c r="P884" s="47" t="n"/>
      <c r="Q884" s="47" t="n"/>
      <c r="R884" s="47" t="n"/>
      <c r="S884" s="47" t="n"/>
      <c r="T884" s="47" t="n"/>
      <c r="U884" s="53" t="n"/>
      <c r="V884" s="53" t="n"/>
      <c r="W884" s="47" t="n"/>
      <c r="X884" s="47" t="n"/>
      <c r="Y884" s="47" t="n"/>
      <c r="Z884" s="47" t="n"/>
      <c r="AA884" s="47" t="n"/>
      <c r="AB884" s="47" t="n"/>
      <c r="AC884" s="47" t="n"/>
      <c r="AD884" s="47" t="n"/>
      <c r="AE884" s="47" t="n"/>
      <c r="AF884" s="20">
        <f>IF(A884="","",YEAR(EDATE(A884,-3)))</f>
        <v/>
      </c>
      <c r="AG884" s="20">
        <f>IF(OR(B884="",'経歴簿'!$C$4=""),"",IF(B884&amp;""='経歴簿'!$C$4&amp;"",MAX($AG$4:AG883)+1,""))</f>
        <v/>
      </c>
      <c r="AH884" s="20">
        <f>IF(A884="",0,IF(AND(OR('CSV抽出'!$C$4="",A884&gt;='CSV抽出'!$C$4),OR('CSV抽出'!$C$5="",A884&lt;='CSV抽出'!$C$5),OR('CSV抽出'!$C$6="すべて",'CSV抽出'!$C$6="",D884='CSV抽出'!$C$6),OR('CSV抽出'!$C$7="",B884&amp;""='CSV抽出'!$C$7&amp;"")),1,0))</f>
        <v/>
      </c>
      <c r="AI884" s="20">
        <f>IF(AH884=1,SUM($AH$5:AH884),"")</f>
        <v/>
      </c>
      <c r="AJ884" s="20">
        <f>IF(OR(S884="",'報告書'!$C$4=""),"",IF(S884&amp;""='報告書'!$C$4&amp;"",COUNTIF($S$5:S884,'報告書'!$C$4),""))</f>
        <v/>
      </c>
      <c r="AK884" s="20" t="n"/>
      <c r="AL884" s="47" t="n"/>
      <c r="AM884" s="47" t="n"/>
      <c r="AN884" s="53" t="n"/>
      <c r="AO884" s="47" t="n"/>
      <c r="AP884" s="47" t="n"/>
      <c r="AQ884" s="47" t="n"/>
      <c r="AR884" s="47" t="n"/>
      <c r="AS884" s="47" t="n"/>
      <c r="AT884" s="47" t="n"/>
      <c r="AU884" s="47" t="n"/>
      <c r="AV884" s="47" t="n"/>
      <c r="AW884" s="52" t="n"/>
    </row>
    <row r="885">
      <c r="A885" s="48" t="n"/>
      <c r="B885" s="52" t="n"/>
      <c r="C885" s="47">
        <f>IF(B885="","",IFERROR(INDEX('隊員マスタ'!$B$5:$B$204,MATCH(B885&amp;"",'隊員マスタ'!$F$5:$F$204,0)),IF(AK885="","番号なし",AK885)))</f>
        <v/>
      </c>
      <c r="D885" s="47" t="n"/>
      <c r="E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  <c r="N885" s="47" t="n"/>
      <c r="O885" s="47" t="n"/>
      <c r="P885" s="47" t="n"/>
      <c r="Q885" s="47" t="n"/>
      <c r="R885" s="47" t="n"/>
      <c r="S885" s="47" t="n"/>
      <c r="T885" s="47" t="n"/>
      <c r="U885" s="53" t="n"/>
      <c r="V885" s="53" t="n"/>
      <c r="W885" s="47" t="n"/>
      <c r="X885" s="47" t="n"/>
      <c r="Y885" s="47" t="n"/>
      <c r="Z885" s="47" t="n"/>
      <c r="AA885" s="47" t="n"/>
      <c r="AB885" s="47" t="n"/>
      <c r="AC885" s="47" t="n"/>
      <c r="AD885" s="47" t="n"/>
      <c r="AE885" s="47" t="n"/>
      <c r="AF885" s="20">
        <f>IF(A885="","",YEAR(EDATE(A885,-3)))</f>
        <v/>
      </c>
      <c r="AG885" s="20">
        <f>IF(OR(B885="",'経歴簿'!$C$4=""),"",IF(B885&amp;""='経歴簿'!$C$4&amp;"",MAX($AG$4:AG884)+1,""))</f>
        <v/>
      </c>
      <c r="AH885" s="20">
        <f>IF(A885="",0,IF(AND(OR('CSV抽出'!$C$4="",A885&gt;='CSV抽出'!$C$4),OR('CSV抽出'!$C$5="",A885&lt;='CSV抽出'!$C$5),OR('CSV抽出'!$C$6="すべて",'CSV抽出'!$C$6="",D885='CSV抽出'!$C$6),OR('CSV抽出'!$C$7="",B885&amp;""='CSV抽出'!$C$7&amp;"")),1,0))</f>
        <v/>
      </c>
      <c r="AI885" s="20">
        <f>IF(AH885=1,SUM($AH$5:AH885),"")</f>
        <v/>
      </c>
      <c r="AJ885" s="20">
        <f>IF(OR(S885="",'報告書'!$C$4=""),"",IF(S885&amp;""='報告書'!$C$4&amp;"",COUNTIF($S$5:S885,'報告書'!$C$4),""))</f>
        <v/>
      </c>
      <c r="AK885" s="20" t="n"/>
      <c r="AL885" s="47" t="n"/>
      <c r="AM885" s="47" t="n"/>
      <c r="AN885" s="53" t="n"/>
      <c r="AO885" s="47" t="n"/>
      <c r="AP885" s="47" t="n"/>
      <c r="AQ885" s="47" t="n"/>
      <c r="AR885" s="47" t="n"/>
      <c r="AS885" s="47" t="n"/>
      <c r="AT885" s="47" t="n"/>
      <c r="AU885" s="47" t="n"/>
      <c r="AV885" s="47" t="n"/>
      <c r="AW885" s="52" t="n"/>
    </row>
    <row r="886">
      <c r="A886" s="48" t="n"/>
      <c r="B886" s="52" t="n"/>
      <c r="C886" s="47">
        <f>IF(B886="","",IFERROR(INDEX('隊員マスタ'!$B$5:$B$204,MATCH(B886&amp;"",'隊員マスタ'!$F$5:$F$204,0)),IF(AK886="","番号なし",AK886)))</f>
        <v/>
      </c>
      <c r="D886" s="47" t="n"/>
      <c r="E886" s="47" t="n"/>
      <c r="F886" s="47" t="n"/>
      <c r="G886" s="47" t="n"/>
      <c r="H886" s="47" t="n"/>
      <c r="I886" s="47" t="n"/>
      <c r="J886" s="47" t="n"/>
      <c r="K886" s="47" t="n"/>
      <c r="L886" s="47" t="n"/>
      <c r="M886" s="47" t="n"/>
      <c r="N886" s="47" t="n"/>
      <c r="O886" s="47" t="n"/>
      <c r="P886" s="47" t="n"/>
      <c r="Q886" s="47" t="n"/>
      <c r="R886" s="47" t="n"/>
      <c r="S886" s="47" t="n"/>
      <c r="T886" s="47" t="n"/>
      <c r="U886" s="53" t="n"/>
      <c r="V886" s="53" t="n"/>
      <c r="W886" s="47" t="n"/>
      <c r="X886" s="47" t="n"/>
      <c r="Y886" s="47" t="n"/>
      <c r="Z886" s="47" t="n"/>
      <c r="AA886" s="47" t="n"/>
      <c r="AB886" s="47" t="n"/>
      <c r="AC886" s="47" t="n"/>
      <c r="AD886" s="47" t="n"/>
      <c r="AE886" s="47" t="n"/>
      <c r="AF886" s="20">
        <f>IF(A886="","",YEAR(EDATE(A886,-3)))</f>
        <v/>
      </c>
      <c r="AG886" s="20">
        <f>IF(OR(B886="",'経歴簿'!$C$4=""),"",IF(B886&amp;""='経歴簿'!$C$4&amp;"",MAX($AG$4:AG885)+1,""))</f>
        <v/>
      </c>
      <c r="AH886" s="20">
        <f>IF(A886="",0,IF(AND(OR('CSV抽出'!$C$4="",A886&gt;='CSV抽出'!$C$4),OR('CSV抽出'!$C$5="",A886&lt;='CSV抽出'!$C$5),OR('CSV抽出'!$C$6="すべて",'CSV抽出'!$C$6="",D886='CSV抽出'!$C$6),OR('CSV抽出'!$C$7="",B886&amp;""='CSV抽出'!$C$7&amp;"")),1,0))</f>
        <v/>
      </c>
      <c r="AI886" s="20">
        <f>IF(AH886=1,SUM($AH$5:AH886),"")</f>
        <v/>
      </c>
      <c r="AJ886" s="20">
        <f>IF(OR(S886="",'報告書'!$C$4=""),"",IF(S886&amp;""='報告書'!$C$4&amp;"",COUNTIF($S$5:S886,'報告書'!$C$4),""))</f>
        <v/>
      </c>
      <c r="AK886" s="20" t="n"/>
      <c r="AL886" s="47" t="n"/>
      <c r="AM886" s="47" t="n"/>
      <c r="AN886" s="53" t="n"/>
      <c r="AO886" s="47" t="n"/>
      <c r="AP886" s="47" t="n"/>
      <c r="AQ886" s="47" t="n"/>
      <c r="AR886" s="47" t="n"/>
      <c r="AS886" s="47" t="n"/>
      <c r="AT886" s="47" t="n"/>
      <c r="AU886" s="47" t="n"/>
      <c r="AV886" s="47" t="n"/>
      <c r="AW886" s="52" t="n"/>
    </row>
    <row r="887">
      <c r="A887" s="48" t="n"/>
      <c r="B887" s="52" t="n"/>
      <c r="C887" s="47">
        <f>IF(B887="","",IFERROR(INDEX('隊員マスタ'!$B$5:$B$204,MATCH(B887&amp;"",'隊員マスタ'!$F$5:$F$204,0)),IF(AK887="","番号なし",AK887)))</f>
        <v/>
      </c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  <c r="N887" s="47" t="n"/>
      <c r="O887" s="47" t="n"/>
      <c r="P887" s="47" t="n"/>
      <c r="Q887" s="47" t="n"/>
      <c r="R887" s="47" t="n"/>
      <c r="S887" s="47" t="n"/>
      <c r="T887" s="47" t="n"/>
      <c r="U887" s="53" t="n"/>
      <c r="V887" s="53" t="n"/>
      <c r="W887" s="47" t="n"/>
      <c r="X887" s="47" t="n"/>
      <c r="Y887" s="47" t="n"/>
      <c r="Z887" s="47" t="n"/>
      <c r="AA887" s="47" t="n"/>
      <c r="AB887" s="47" t="n"/>
      <c r="AC887" s="47" t="n"/>
      <c r="AD887" s="47" t="n"/>
      <c r="AE887" s="47" t="n"/>
      <c r="AF887" s="20">
        <f>IF(A887="","",YEAR(EDATE(A887,-3)))</f>
        <v/>
      </c>
      <c r="AG887" s="20">
        <f>IF(OR(B887="",'経歴簿'!$C$4=""),"",IF(B887&amp;""='経歴簿'!$C$4&amp;"",MAX($AG$4:AG886)+1,""))</f>
        <v/>
      </c>
      <c r="AH887" s="20">
        <f>IF(A887="",0,IF(AND(OR('CSV抽出'!$C$4="",A887&gt;='CSV抽出'!$C$4),OR('CSV抽出'!$C$5="",A887&lt;='CSV抽出'!$C$5),OR('CSV抽出'!$C$6="すべて",'CSV抽出'!$C$6="",D887='CSV抽出'!$C$6),OR('CSV抽出'!$C$7="",B887&amp;""='CSV抽出'!$C$7&amp;"")),1,0))</f>
        <v/>
      </c>
      <c r="AI887" s="20">
        <f>IF(AH887=1,SUM($AH$5:AH887),"")</f>
        <v/>
      </c>
      <c r="AJ887" s="20">
        <f>IF(OR(S887="",'報告書'!$C$4=""),"",IF(S887&amp;""='報告書'!$C$4&amp;"",COUNTIF($S$5:S887,'報告書'!$C$4),""))</f>
        <v/>
      </c>
      <c r="AK887" s="20" t="n"/>
      <c r="AL887" s="47" t="n"/>
      <c r="AM887" s="47" t="n"/>
      <c r="AN887" s="53" t="n"/>
      <c r="AO887" s="47" t="n"/>
      <c r="AP887" s="47" t="n"/>
      <c r="AQ887" s="47" t="n"/>
      <c r="AR887" s="47" t="n"/>
      <c r="AS887" s="47" t="n"/>
      <c r="AT887" s="47" t="n"/>
      <c r="AU887" s="47" t="n"/>
      <c r="AV887" s="47" t="n"/>
      <c r="AW887" s="52" t="n"/>
    </row>
    <row r="888">
      <c r="A888" s="48" t="n"/>
      <c r="B888" s="52" t="n"/>
      <c r="C888" s="47">
        <f>IF(B888="","",IFERROR(INDEX('隊員マスタ'!$B$5:$B$204,MATCH(B888&amp;"",'隊員マスタ'!$F$5:$F$204,0)),IF(AK888="","番号なし",AK888)))</f>
        <v/>
      </c>
      <c r="D888" s="47" t="n"/>
      <c r="E888" s="47" t="n"/>
      <c r="F888" s="47" t="n"/>
      <c r="G888" s="47" t="n"/>
      <c r="H888" s="47" t="n"/>
      <c r="I888" s="47" t="n"/>
      <c r="J888" s="47" t="n"/>
      <c r="K888" s="47" t="n"/>
      <c r="L888" s="47" t="n"/>
      <c r="M888" s="47" t="n"/>
      <c r="N888" s="47" t="n"/>
      <c r="O888" s="47" t="n"/>
      <c r="P888" s="47" t="n"/>
      <c r="Q888" s="47" t="n"/>
      <c r="R888" s="47" t="n"/>
      <c r="S888" s="47" t="n"/>
      <c r="T888" s="47" t="n"/>
      <c r="U888" s="53" t="n"/>
      <c r="V888" s="53" t="n"/>
      <c r="W888" s="47" t="n"/>
      <c r="X888" s="47" t="n"/>
      <c r="Y888" s="47" t="n"/>
      <c r="Z888" s="47" t="n"/>
      <c r="AA888" s="47" t="n"/>
      <c r="AB888" s="47" t="n"/>
      <c r="AC888" s="47" t="n"/>
      <c r="AD888" s="47" t="n"/>
      <c r="AE888" s="47" t="n"/>
      <c r="AF888" s="20">
        <f>IF(A888="","",YEAR(EDATE(A888,-3)))</f>
        <v/>
      </c>
      <c r="AG888" s="20">
        <f>IF(OR(B888="",'経歴簿'!$C$4=""),"",IF(B888&amp;""='経歴簿'!$C$4&amp;"",MAX($AG$4:AG887)+1,""))</f>
        <v/>
      </c>
      <c r="AH888" s="20">
        <f>IF(A888="",0,IF(AND(OR('CSV抽出'!$C$4="",A888&gt;='CSV抽出'!$C$4),OR('CSV抽出'!$C$5="",A888&lt;='CSV抽出'!$C$5),OR('CSV抽出'!$C$6="すべて",'CSV抽出'!$C$6="",D888='CSV抽出'!$C$6),OR('CSV抽出'!$C$7="",B888&amp;""='CSV抽出'!$C$7&amp;"")),1,0))</f>
        <v/>
      </c>
      <c r="AI888" s="20">
        <f>IF(AH888=1,SUM($AH$5:AH888),"")</f>
        <v/>
      </c>
      <c r="AJ888" s="20">
        <f>IF(OR(S888="",'報告書'!$C$4=""),"",IF(S888&amp;""='報告書'!$C$4&amp;"",COUNTIF($S$5:S888,'報告書'!$C$4),""))</f>
        <v/>
      </c>
      <c r="AK888" s="20" t="n"/>
      <c r="AL888" s="47" t="n"/>
      <c r="AM888" s="47" t="n"/>
      <c r="AN888" s="53" t="n"/>
      <c r="AO888" s="47" t="n"/>
      <c r="AP888" s="47" t="n"/>
      <c r="AQ888" s="47" t="n"/>
      <c r="AR888" s="47" t="n"/>
      <c r="AS888" s="47" t="n"/>
      <c r="AT888" s="47" t="n"/>
      <c r="AU888" s="47" t="n"/>
      <c r="AV888" s="47" t="n"/>
      <c r="AW888" s="52" t="n"/>
    </row>
    <row r="889">
      <c r="A889" s="48" t="n"/>
      <c r="B889" s="52" t="n"/>
      <c r="C889" s="47">
        <f>IF(B889="","",IFERROR(INDEX('隊員マスタ'!$B$5:$B$204,MATCH(B889&amp;"",'隊員マスタ'!$F$5:$F$204,0)),IF(AK889="","番号なし",AK889)))</f>
        <v/>
      </c>
      <c r="D889" s="47" t="n"/>
      <c r="E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  <c r="N889" s="47" t="n"/>
      <c r="O889" s="47" t="n"/>
      <c r="P889" s="47" t="n"/>
      <c r="Q889" s="47" t="n"/>
      <c r="R889" s="47" t="n"/>
      <c r="S889" s="47" t="n"/>
      <c r="T889" s="47" t="n"/>
      <c r="U889" s="53" t="n"/>
      <c r="V889" s="53" t="n"/>
      <c r="W889" s="47" t="n"/>
      <c r="X889" s="47" t="n"/>
      <c r="Y889" s="47" t="n"/>
      <c r="Z889" s="47" t="n"/>
      <c r="AA889" s="47" t="n"/>
      <c r="AB889" s="47" t="n"/>
      <c r="AC889" s="47" t="n"/>
      <c r="AD889" s="47" t="n"/>
      <c r="AE889" s="47" t="n"/>
      <c r="AF889" s="20">
        <f>IF(A889="","",YEAR(EDATE(A889,-3)))</f>
        <v/>
      </c>
      <c r="AG889" s="20">
        <f>IF(OR(B889="",'経歴簿'!$C$4=""),"",IF(B889&amp;""='経歴簿'!$C$4&amp;"",MAX($AG$4:AG888)+1,""))</f>
        <v/>
      </c>
      <c r="AH889" s="20">
        <f>IF(A889="",0,IF(AND(OR('CSV抽出'!$C$4="",A889&gt;='CSV抽出'!$C$4),OR('CSV抽出'!$C$5="",A889&lt;='CSV抽出'!$C$5),OR('CSV抽出'!$C$6="すべて",'CSV抽出'!$C$6="",D889='CSV抽出'!$C$6),OR('CSV抽出'!$C$7="",B889&amp;""='CSV抽出'!$C$7&amp;"")),1,0))</f>
        <v/>
      </c>
      <c r="AI889" s="20">
        <f>IF(AH889=1,SUM($AH$5:AH889),"")</f>
        <v/>
      </c>
      <c r="AJ889" s="20">
        <f>IF(OR(S889="",'報告書'!$C$4=""),"",IF(S889&amp;""='報告書'!$C$4&amp;"",COUNTIF($S$5:S889,'報告書'!$C$4),""))</f>
        <v/>
      </c>
      <c r="AK889" s="20" t="n"/>
      <c r="AL889" s="47" t="n"/>
      <c r="AM889" s="47" t="n"/>
      <c r="AN889" s="53" t="n"/>
      <c r="AO889" s="47" t="n"/>
      <c r="AP889" s="47" t="n"/>
      <c r="AQ889" s="47" t="n"/>
      <c r="AR889" s="47" t="n"/>
      <c r="AS889" s="47" t="n"/>
      <c r="AT889" s="47" t="n"/>
      <c r="AU889" s="47" t="n"/>
      <c r="AV889" s="47" t="n"/>
      <c r="AW889" s="52" t="n"/>
    </row>
    <row r="890">
      <c r="A890" s="48" t="n"/>
      <c r="B890" s="52" t="n"/>
      <c r="C890" s="47">
        <f>IF(B890="","",IFERROR(INDEX('隊員マスタ'!$B$5:$B$204,MATCH(B890&amp;"",'隊員マスタ'!$F$5:$F$204,0)),IF(AK890="","番号なし",AK890)))</f>
        <v/>
      </c>
      <c r="D890" s="47" t="n"/>
      <c r="E890" s="47" t="n"/>
      <c r="F890" s="47" t="n"/>
      <c r="G890" s="47" t="n"/>
      <c r="H890" s="47" t="n"/>
      <c r="I890" s="47" t="n"/>
      <c r="J890" s="47" t="n"/>
      <c r="K890" s="47" t="n"/>
      <c r="L890" s="47" t="n"/>
      <c r="M890" s="47" t="n"/>
      <c r="N890" s="47" t="n"/>
      <c r="O890" s="47" t="n"/>
      <c r="P890" s="47" t="n"/>
      <c r="Q890" s="47" t="n"/>
      <c r="R890" s="47" t="n"/>
      <c r="S890" s="47" t="n"/>
      <c r="T890" s="47" t="n"/>
      <c r="U890" s="53" t="n"/>
      <c r="V890" s="53" t="n"/>
      <c r="W890" s="47" t="n"/>
      <c r="X890" s="47" t="n"/>
      <c r="Y890" s="47" t="n"/>
      <c r="Z890" s="47" t="n"/>
      <c r="AA890" s="47" t="n"/>
      <c r="AB890" s="47" t="n"/>
      <c r="AC890" s="47" t="n"/>
      <c r="AD890" s="47" t="n"/>
      <c r="AE890" s="47" t="n"/>
      <c r="AF890" s="20">
        <f>IF(A890="","",YEAR(EDATE(A890,-3)))</f>
        <v/>
      </c>
      <c r="AG890" s="20">
        <f>IF(OR(B890="",'経歴簿'!$C$4=""),"",IF(B890&amp;""='経歴簿'!$C$4&amp;"",MAX($AG$4:AG889)+1,""))</f>
        <v/>
      </c>
      <c r="AH890" s="20">
        <f>IF(A890="",0,IF(AND(OR('CSV抽出'!$C$4="",A890&gt;='CSV抽出'!$C$4),OR('CSV抽出'!$C$5="",A890&lt;='CSV抽出'!$C$5),OR('CSV抽出'!$C$6="すべて",'CSV抽出'!$C$6="",D890='CSV抽出'!$C$6),OR('CSV抽出'!$C$7="",B890&amp;""='CSV抽出'!$C$7&amp;"")),1,0))</f>
        <v/>
      </c>
      <c r="AI890" s="20">
        <f>IF(AH890=1,SUM($AH$5:AH890),"")</f>
        <v/>
      </c>
      <c r="AJ890" s="20">
        <f>IF(OR(S890="",'報告書'!$C$4=""),"",IF(S890&amp;""='報告書'!$C$4&amp;"",COUNTIF($S$5:S890,'報告書'!$C$4),""))</f>
        <v/>
      </c>
      <c r="AK890" s="20" t="n"/>
      <c r="AL890" s="47" t="n"/>
      <c r="AM890" s="47" t="n"/>
      <c r="AN890" s="53" t="n"/>
      <c r="AO890" s="47" t="n"/>
      <c r="AP890" s="47" t="n"/>
      <c r="AQ890" s="47" t="n"/>
      <c r="AR890" s="47" t="n"/>
      <c r="AS890" s="47" t="n"/>
      <c r="AT890" s="47" t="n"/>
      <c r="AU890" s="47" t="n"/>
      <c r="AV890" s="47" t="n"/>
      <c r="AW890" s="52" t="n"/>
    </row>
    <row r="891">
      <c r="A891" s="48" t="n"/>
      <c r="B891" s="52" t="n"/>
      <c r="C891" s="47">
        <f>IF(B891="","",IFERROR(INDEX('隊員マスタ'!$B$5:$B$204,MATCH(B891&amp;"",'隊員マスタ'!$F$5:$F$204,0)),IF(AK891="","番号なし",AK891)))</f>
        <v/>
      </c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  <c r="N891" s="47" t="n"/>
      <c r="O891" s="47" t="n"/>
      <c r="P891" s="47" t="n"/>
      <c r="Q891" s="47" t="n"/>
      <c r="R891" s="47" t="n"/>
      <c r="S891" s="47" t="n"/>
      <c r="T891" s="47" t="n"/>
      <c r="U891" s="53" t="n"/>
      <c r="V891" s="53" t="n"/>
      <c r="W891" s="47" t="n"/>
      <c r="X891" s="47" t="n"/>
      <c r="Y891" s="47" t="n"/>
      <c r="Z891" s="47" t="n"/>
      <c r="AA891" s="47" t="n"/>
      <c r="AB891" s="47" t="n"/>
      <c r="AC891" s="47" t="n"/>
      <c r="AD891" s="47" t="n"/>
      <c r="AE891" s="47" t="n"/>
      <c r="AF891" s="20">
        <f>IF(A891="","",YEAR(EDATE(A891,-3)))</f>
        <v/>
      </c>
      <c r="AG891" s="20">
        <f>IF(OR(B891="",'経歴簿'!$C$4=""),"",IF(B891&amp;""='経歴簿'!$C$4&amp;"",MAX($AG$4:AG890)+1,""))</f>
        <v/>
      </c>
      <c r="AH891" s="20">
        <f>IF(A891="",0,IF(AND(OR('CSV抽出'!$C$4="",A891&gt;='CSV抽出'!$C$4),OR('CSV抽出'!$C$5="",A891&lt;='CSV抽出'!$C$5),OR('CSV抽出'!$C$6="すべて",'CSV抽出'!$C$6="",D891='CSV抽出'!$C$6),OR('CSV抽出'!$C$7="",B891&amp;""='CSV抽出'!$C$7&amp;"")),1,0))</f>
        <v/>
      </c>
      <c r="AI891" s="20">
        <f>IF(AH891=1,SUM($AH$5:AH891),"")</f>
        <v/>
      </c>
      <c r="AJ891" s="20">
        <f>IF(OR(S891="",'報告書'!$C$4=""),"",IF(S891&amp;""='報告書'!$C$4&amp;"",COUNTIF($S$5:S891,'報告書'!$C$4),""))</f>
        <v/>
      </c>
      <c r="AK891" s="20" t="n"/>
      <c r="AL891" s="47" t="n"/>
      <c r="AM891" s="47" t="n"/>
      <c r="AN891" s="53" t="n"/>
      <c r="AO891" s="47" t="n"/>
      <c r="AP891" s="47" t="n"/>
      <c r="AQ891" s="47" t="n"/>
      <c r="AR891" s="47" t="n"/>
      <c r="AS891" s="47" t="n"/>
      <c r="AT891" s="47" t="n"/>
      <c r="AU891" s="47" t="n"/>
      <c r="AV891" s="47" t="n"/>
      <c r="AW891" s="52" t="n"/>
    </row>
    <row r="892">
      <c r="A892" s="48" t="n"/>
      <c r="B892" s="52" t="n"/>
      <c r="C892" s="47">
        <f>IF(B892="","",IFERROR(INDEX('隊員マスタ'!$B$5:$B$204,MATCH(B892&amp;"",'隊員マスタ'!$F$5:$F$204,0)),IF(AK892="","番号なし",AK892)))</f>
        <v/>
      </c>
      <c r="D892" s="47" t="n"/>
      <c r="E892" s="47" t="n"/>
      <c r="F892" s="47" t="n"/>
      <c r="G892" s="47" t="n"/>
      <c r="H892" s="47" t="n"/>
      <c r="I892" s="47" t="n"/>
      <c r="J892" s="47" t="n"/>
      <c r="K892" s="47" t="n"/>
      <c r="L892" s="47" t="n"/>
      <c r="M892" s="47" t="n"/>
      <c r="N892" s="47" t="n"/>
      <c r="O892" s="47" t="n"/>
      <c r="P892" s="47" t="n"/>
      <c r="Q892" s="47" t="n"/>
      <c r="R892" s="47" t="n"/>
      <c r="S892" s="47" t="n"/>
      <c r="T892" s="47" t="n"/>
      <c r="U892" s="53" t="n"/>
      <c r="V892" s="53" t="n"/>
      <c r="W892" s="47" t="n"/>
      <c r="X892" s="47" t="n"/>
      <c r="Y892" s="47" t="n"/>
      <c r="Z892" s="47" t="n"/>
      <c r="AA892" s="47" t="n"/>
      <c r="AB892" s="47" t="n"/>
      <c r="AC892" s="47" t="n"/>
      <c r="AD892" s="47" t="n"/>
      <c r="AE892" s="47" t="n"/>
      <c r="AF892" s="20">
        <f>IF(A892="","",YEAR(EDATE(A892,-3)))</f>
        <v/>
      </c>
      <c r="AG892" s="20">
        <f>IF(OR(B892="",'経歴簿'!$C$4=""),"",IF(B892&amp;""='経歴簿'!$C$4&amp;"",MAX($AG$4:AG891)+1,""))</f>
        <v/>
      </c>
      <c r="AH892" s="20">
        <f>IF(A892="",0,IF(AND(OR('CSV抽出'!$C$4="",A892&gt;='CSV抽出'!$C$4),OR('CSV抽出'!$C$5="",A892&lt;='CSV抽出'!$C$5),OR('CSV抽出'!$C$6="すべて",'CSV抽出'!$C$6="",D892='CSV抽出'!$C$6),OR('CSV抽出'!$C$7="",B892&amp;""='CSV抽出'!$C$7&amp;"")),1,0))</f>
        <v/>
      </c>
      <c r="AI892" s="20">
        <f>IF(AH892=1,SUM($AH$5:AH892),"")</f>
        <v/>
      </c>
      <c r="AJ892" s="20">
        <f>IF(OR(S892="",'報告書'!$C$4=""),"",IF(S892&amp;""='報告書'!$C$4&amp;"",COUNTIF($S$5:S892,'報告書'!$C$4),""))</f>
        <v/>
      </c>
      <c r="AK892" s="20" t="n"/>
      <c r="AL892" s="47" t="n"/>
      <c r="AM892" s="47" t="n"/>
      <c r="AN892" s="53" t="n"/>
      <c r="AO892" s="47" t="n"/>
      <c r="AP892" s="47" t="n"/>
      <c r="AQ892" s="47" t="n"/>
      <c r="AR892" s="47" t="n"/>
      <c r="AS892" s="47" t="n"/>
      <c r="AT892" s="47" t="n"/>
      <c r="AU892" s="47" t="n"/>
      <c r="AV892" s="47" t="n"/>
      <c r="AW892" s="52" t="n"/>
    </row>
    <row r="893">
      <c r="A893" s="48" t="n"/>
      <c r="B893" s="52" t="n"/>
      <c r="C893" s="47">
        <f>IF(B893="","",IFERROR(INDEX('隊員マスタ'!$B$5:$B$204,MATCH(B893&amp;"",'隊員マスタ'!$F$5:$F$204,0)),IF(AK893="","番号なし",AK893)))</f>
        <v/>
      </c>
      <c r="D893" s="47" t="n"/>
      <c r="E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  <c r="N893" s="47" t="n"/>
      <c r="O893" s="47" t="n"/>
      <c r="P893" s="47" t="n"/>
      <c r="Q893" s="47" t="n"/>
      <c r="R893" s="47" t="n"/>
      <c r="S893" s="47" t="n"/>
      <c r="T893" s="47" t="n"/>
      <c r="U893" s="53" t="n"/>
      <c r="V893" s="53" t="n"/>
      <c r="W893" s="47" t="n"/>
      <c r="X893" s="47" t="n"/>
      <c r="Y893" s="47" t="n"/>
      <c r="Z893" s="47" t="n"/>
      <c r="AA893" s="47" t="n"/>
      <c r="AB893" s="47" t="n"/>
      <c r="AC893" s="47" t="n"/>
      <c r="AD893" s="47" t="n"/>
      <c r="AE893" s="47" t="n"/>
      <c r="AF893" s="20">
        <f>IF(A893="","",YEAR(EDATE(A893,-3)))</f>
        <v/>
      </c>
      <c r="AG893" s="20">
        <f>IF(OR(B893="",'経歴簿'!$C$4=""),"",IF(B893&amp;""='経歴簿'!$C$4&amp;"",MAX($AG$4:AG892)+1,""))</f>
        <v/>
      </c>
      <c r="AH893" s="20">
        <f>IF(A893="",0,IF(AND(OR('CSV抽出'!$C$4="",A893&gt;='CSV抽出'!$C$4),OR('CSV抽出'!$C$5="",A893&lt;='CSV抽出'!$C$5),OR('CSV抽出'!$C$6="すべて",'CSV抽出'!$C$6="",D893='CSV抽出'!$C$6),OR('CSV抽出'!$C$7="",B893&amp;""='CSV抽出'!$C$7&amp;"")),1,0))</f>
        <v/>
      </c>
      <c r="AI893" s="20">
        <f>IF(AH893=1,SUM($AH$5:AH893),"")</f>
        <v/>
      </c>
      <c r="AJ893" s="20">
        <f>IF(OR(S893="",'報告書'!$C$4=""),"",IF(S893&amp;""='報告書'!$C$4&amp;"",COUNTIF($S$5:S893,'報告書'!$C$4),""))</f>
        <v/>
      </c>
      <c r="AK893" s="20" t="n"/>
      <c r="AL893" s="47" t="n"/>
      <c r="AM893" s="47" t="n"/>
      <c r="AN893" s="53" t="n"/>
      <c r="AO893" s="47" t="n"/>
      <c r="AP893" s="47" t="n"/>
      <c r="AQ893" s="47" t="n"/>
      <c r="AR893" s="47" t="n"/>
      <c r="AS893" s="47" t="n"/>
      <c r="AT893" s="47" t="n"/>
      <c r="AU893" s="47" t="n"/>
      <c r="AV893" s="47" t="n"/>
      <c r="AW893" s="52" t="n"/>
    </row>
    <row r="894">
      <c r="A894" s="48" t="n"/>
      <c r="B894" s="52" t="n"/>
      <c r="C894" s="47">
        <f>IF(B894="","",IFERROR(INDEX('隊員マスタ'!$B$5:$B$204,MATCH(B894&amp;"",'隊員マスタ'!$F$5:$F$204,0)),IF(AK894="","番号なし",AK894)))</f>
        <v/>
      </c>
      <c r="D894" s="47" t="n"/>
      <c r="E894" s="47" t="n"/>
      <c r="F894" s="47" t="n"/>
      <c r="G894" s="47" t="n"/>
      <c r="H894" s="47" t="n"/>
      <c r="I894" s="47" t="n"/>
      <c r="J894" s="47" t="n"/>
      <c r="K894" s="47" t="n"/>
      <c r="L894" s="47" t="n"/>
      <c r="M894" s="47" t="n"/>
      <c r="N894" s="47" t="n"/>
      <c r="O894" s="47" t="n"/>
      <c r="P894" s="47" t="n"/>
      <c r="Q894" s="47" t="n"/>
      <c r="R894" s="47" t="n"/>
      <c r="S894" s="47" t="n"/>
      <c r="T894" s="47" t="n"/>
      <c r="U894" s="53" t="n"/>
      <c r="V894" s="53" t="n"/>
      <c r="W894" s="47" t="n"/>
      <c r="X894" s="47" t="n"/>
      <c r="Y894" s="47" t="n"/>
      <c r="Z894" s="47" t="n"/>
      <c r="AA894" s="47" t="n"/>
      <c r="AB894" s="47" t="n"/>
      <c r="AC894" s="47" t="n"/>
      <c r="AD894" s="47" t="n"/>
      <c r="AE894" s="47" t="n"/>
      <c r="AF894" s="20">
        <f>IF(A894="","",YEAR(EDATE(A894,-3)))</f>
        <v/>
      </c>
      <c r="AG894" s="20">
        <f>IF(OR(B894="",'経歴簿'!$C$4=""),"",IF(B894&amp;""='経歴簿'!$C$4&amp;"",MAX($AG$4:AG893)+1,""))</f>
        <v/>
      </c>
      <c r="AH894" s="20">
        <f>IF(A894="",0,IF(AND(OR('CSV抽出'!$C$4="",A894&gt;='CSV抽出'!$C$4),OR('CSV抽出'!$C$5="",A894&lt;='CSV抽出'!$C$5),OR('CSV抽出'!$C$6="すべて",'CSV抽出'!$C$6="",D894='CSV抽出'!$C$6),OR('CSV抽出'!$C$7="",B894&amp;""='CSV抽出'!$C$7&amp;"")),1,0))</f>
        <v/>
      </c>
      <c r="AI894" s="20">
        <f>IF(AH894=1,SUM($AH$5:AH894),"")</f>
        <v/>
      </c>
      <c r="AJ894" s="20">
        <f>IF(OR(S894="",'報告書'!$C$4=""),"",IF(S894&amp;""='報告書'!$C$4&amp;"",COUNTIF($S$5:S894,'報告書'!$C$4),""))</f>
        <v/>
      </c>
      <c r="AK894" s="20" t="n"/>
      <c r="AL894" s="47" t="n"/>
      <c r="AM894" s="47" t="n"/>
      <c r="AN894" s="53" t="n"/>
      <c r="AO894" s="47" t="n"/>
      <c r="AP894" s="47" t="n"/>
      <c r="AQ894" s="47" t="n"/>
      <c r="AR894" s="47" t="n"/>
      <c r="AS894" s="47" t="n"/>
      <c r="AT894" s="47" t="n"/>
      <c r="AU894" s="47" t="n"/>
      <c r="AV894" s="47" t="n"/>
      <c r="AW894" s="52" t="n"/>
    </row>
    <row r="895">
      <c r="A895" s="48" t="n"/>
      <c r="B895" s="52" t="n"/>
      <c r="C895" s="47">
        <f>IF(B895="","",IFERROR(INDEX('隊員マスタ'!$B$5:$B$204,MATCH(B895&amp;"",'隊員マスタ'!$F$5:$F$204,0)),IF(AK895="","番号なし",AK895)))</f>
        <v/>
      </c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  <c r="N895" s="47" t="n"/>
      <c r="O895" s="47" t="n"/>
      <c r="P895" s="47" t="n"/>
      <c r="Q895" s="47" t="n"/>
      <c r="R895" s="47" t="n"/>
      <c r="S895" s="47" t="n"/>
      <c r="T895" s="47" t="n"/>
      <c r="U895" s="53" t="n"/>
      <c r="V895" s="53" t="n"/>
      <c r="W895" s="47" t="n"/>
      <c r="X895" s="47" t="n"/>
      <c r="Y895" s="47" t="n"/>
      <c r="Z895" s="47" t="n"/>
      <c r="AA895" s="47" t="n"/>
      <c r="AB895" s="47" t="n"/>
      <c r="AC895" s="47" t="n"/>
      <c r="AD895" s="47" t="n"/>
      <c r="AE895" s="47" t="n"/>
      <c r="AF895" s="20">
        <f>IF(A895="","",YEAR(EDATE(A895,-3)))</f>
        <v/>
      </c>
      <c r="AG895" s="20">
        <f>IF(OR(B895="",'経歴簿'!$C$4=""),"",IF(B895&amp;""='経歴簿'!$C$4&amp;"",MAX($AG$4:AG894)+1,""))</f>
        <v/>
      </c>
      <c r="AH895" s="20">
        <f>IF(A895="",0,IF(AND(OR('CSV抽出'!$C$4="",A895&gt;='CSV抽出'!$C$4),OR('CSV抽出'!$C$5="",A895&lt;='CSV抽出'!$C$5),OR('CSV抽出'!$C$6="すべて",'CSV抽出'!$C$6="",D895='CSV抽出'!$C$6),OR('CSV抽出'!$C$7="",B895&amp;""='CSV抽出'!$C$7&amp;"")),1,0))</f>
        <v/>
      </c>
      <c r="AI895" s="20">
        <f>IF(AH895=1,SUM($AH$5:AH895),"")</f>
        <v/>
      </c>
      <c r="AJ895" s="20">
        <f>IF(OR(S895="",'報告書'!$C$4=""),"",IF(S895&amp;""='報告書'!$C$4&amp;"",COUNTIF($S$5:S895,'報告書'!$C$4),""))</f>
        <v/>
      </c>
      <c r="AK895" s="20" t="n"/>
      <c r="AL895" s="47" t="n"/>
      <c r="AM895" s="47" t="n"/>
      <c r="AN895" s="53" t="n"/>
      <c r="AO895" s="47" t="n"/>
      <c r="AP895" s="47" t="n"/>
      <c r="AQ895" s="47" t="n"/>
      <c r="AR895" s="47" t="n"/>
      <c r="AS895" s="47" t="n"/>
      <c r="AT895" s="47" t="n"/>
      <c r="AU895" s="47" t="n"/>
      <c r="AV895" s="47" t="n"/>
      <c r="AW895" s="52" t="n"/>
    </row>
    <row r="896">
      <c r="A896" s="48" t="n"/>
      <c r="B896" s="52" t="n"/>
      <c r="C896" s="47">
        <f>IF(B896="","",IFERROR(INDEX('隊員マスタ'!$B$5:$B$204,MATCH(B896&amp;"",'隊員マスタ'!$F$5:$F$204,0)),IF(AK896="","番号なし",AK896)))</f>
        <v/>
      </c>
      <c r="D896" s="47" t="n"/>
      <c r="E896" s="47" t="n"/>
      <c r="F896" s="47" t="n"/>
      <c r="G896" s="47" t="n"/>
      <c r="H896" s="47" t="n"/>
      <c r="I896" s="47" t="n"/>
      <c r="J896" s="47" t="n"/>
      <c r="K896" s="47" t="n"/>
      <c r="L896" s="47" t="n"/>
      <c r="M896" s="47" t="n"/>
      <c r="N896" s="47" t="n"/>
      <c r="O896" s="47" t="n"/>
      <c r="P896" s="47" t="n"/>
      <c r="Q896" s="47" t="n"/>
      <c r="R896" s="47" t="n"/>
      <c r="S896" s="47" t="n"/>
      <c r="T896" s="47" t="n"/>
      <c r="U896" s="53" t="n"/>
      <c r="V896" s="53" t="n"/>
      <c r="W896" s="47" t="n"/>
      <c r="X896" s="47" t="n"/>
      <c r="Y896" s="47" t="n"/>
      <c r="Z896" s="47" t="n"/>
      <c r="AA896" s="47" t="n"/>
      <c r="AB896" s="47" t="n"/>
      <c r="AC896" s="47" t="n"/>
      <c r="AD896" s="47" t="n"/>
      <c r="AE896" s="47" t="n"/>
      <c r="AF896" s="20">
        <f>IF(A896="","",YEAR(EDATE(A896,-3)))</f>
        <v/>
      </c>
      <c r="AG896" s="20">
        <f>IF(OR(B896="",'経歴簿'!$C$4=""),"",IF(B896&amp;""='経歴簿'!$C$4&amp;"",MAX($AG$4:AG895)+1,""))</f>
        <v/>
      </c>
      <c r="AH896" s="20">
        <f>IF(A896="",0,IF(AND(OR('CSV抽出'!$C$4="",A896&gt;='CSV抽出'!$C$4),OR('CSV抽出'!$C$5="",A896&lt;='CSV抽出'!$C$5),OR('CSV抽出'!$C$6="すべて",'CSV抽出'!$C$6="",D896='CSV抽出'!$C$6),OR('CSV抽出'!$C$7="",B896&amp;""='CSV抽出'!$C$7&amp;"")),1,0))</f>
        <v/>
      </c>
      <c r="AI896" s="20">
        <f>IF(AH896=1,SUM($AH$5:AH896),"")</f>
        <v/>
      </c>
      <c r="AJ896" s="20">
        <f>IF(OR(S896="",'報告書'!$C$4=""),"",IF(S896&amp;""='報告書'!$C$4&amp;"",COUNTIF($S$5:S896,'報告書'!$C$4),""))</f>
        <v/>
      </c>
      <c r="AK896" s="20" t="n"/>
      <c r="AL896" s="47" t="n"/>
      <c r="AM896" s="47" t="n"/>
      <c r="AN896" s="53" t="n"/>
      <c r="AO896" s="47" t="n"/>
      <c r="AP896" s="47" t="n"/>
      <c r="AQ896" s="47" t="n"/>
      <c r="AR896" s="47" t="n"/>
      <c r="AS896" s="47" t="n"/>
      <c r="AT896" s="47" t="n"/>
      <c r="AU896" s="47" t="n"/>
      <c r="AV896" s="47" t="n"/>
      <c r="AW896" s="52" t="n"/>
    </row>
    <row r="897">
      <c r="A897" s="48" t="n"/>
      <c r="B897" s="52" t="n"/>
      <c r="C897" s="47">
        <f>IF(B897="","",IFERROR(INDEX('隊員マスタ'!$B$5:$B$204,MATCH(B897&amp;"",'隊員マスタ'!$F$5:$F$204,0)),IF(AK897="","番号なし",AK897)))</f>
        <v/>
      </c>
      <c r="D897" s="47" t="n"/>
      <c r="E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  <c r="N897" s="47" t="n"/>
      <c r="O897" s="47" t="n"/>
      <c r="P897" s="47" t="n"/>
      <c r="Q897" s="47" t="n"/>
      <c r="R897" s="47" t="n"/>
      <c r="S897" s="47" t="n"/>
      <c r="T897" s="47" t="n"/>
      <c r="U897" s="53" t="n"/>
      <c r="V897" s="53" t="n"/>
      <c r="W897" s="47" t="n"/>
      <c r="X897" s="47" t="n"/>
      <c r="Y897" s="47" t="n"/>
      <c r="Z897" s="47" t="n"/>
      <c r="AA897" s="47" t="n"/>
      <c r="AB897" s="47" t="n"/>
      <c r="AC897" s="47" t="n"/>
      <c r="AD897" s="47" t="n"/>
      <c r="AE897" s="47" t="n"/>
      <c r="AF897" s="20">
        <f>IF(A897="","",YEAR(EDATE(A897,-3)))</f>
        <v/>
      </c>
      <c r="AG897" s="20">
        <f>IF(OR(B897="",'経歴簿'!$C$4=""),"",IF(B897&amp;""='経歴簿'!$C$4&amp;"",MAX($AG$4:AG896)+1,""))</f>
        <v/>
      </c>
      <c r="AH897" s="20">
        <f>IF(A897="",0,IF(AND(OR('CSV抽出'!$C$4="",A897&gt;='CSV抽出'!$C$4),OR('CSV抽出'!$C$5="",A897&lt;='CSV抽出'!$C$5),OR('CSV抽出'!$C$6="すべて",'CSV抽出'!$C$6="",D897='CSV抽出'!$C$6),OR('CSV抽出'!$C$7="",B897&amp;""='CSV抽出'!$C$7&amp;"")),1,0))</f>
        <v/>
      </c>
      <c r="AI897" s="20">
        <f>IF(AH897=1,SUM($AH$5:AH897),"")</f>
        <v/>
      </c>
      <c r="AJ897" s="20">
        <f>IF(OR(S897="",'報告書'!$C$4=""),"",IF(S897&amp;""='報告書'!$C$4&amp;"",COUNTIF($S$5:S897,'報告書'!$C$4),""))</f>
        <v/>
      </c>
      <c r="AK897" s="20" t="n"/>
      <c r="AL897" s="47" t="n"/>
      <c r="AM897" s="47" t="n"/>
      <c r="AN897" s="53" t="n"/>
      <c r="AO897" s="47" t="n"/>
      <c r="AP897" s="47" t="n"/>
      <c r="AQ897" s="47" t="n"/>
      <c r="AR897" s="47" t="n"/>
      <c r="AS897" s="47" t="n"/>
      <c r="AT897" s="47" t="n"/>
      <c r="AU897" s="47" t="n"/>
      <c r="AV897" s="47" t="n"/>
      <c r="AW897" s="52" t="n"/>
    </row>
    <row r="898">
      <c r="A898" s="48" t="n"/>
      <c r="B898" s="52" t="n"/>
      <c r="C898" s="47">
        <f>IF(B898="","",IFERROR(INDEX('隊員マスタ'!$B$5:$B$204,MATCH(B898&amp;"",'隊員マスタ'!$F$5:$F$204,0)),IF(AK898="","番号なし",AK898)))</f>
        <v/>
      </c>
      <c r="D898" s="47" t="n"/>
      <c r="E898" s="47" t="n"/>
      <c r="F898" s="47" t="n"/>
      <c r="G898" s="47" t="n"/>
      <c r="H898" s="47" t="n"/>
      <c r="I898" s="47" t="n"/>
      <c r="J898" s="47" t="n"/>
      <c r="K898" s="47" t="n"/>
      <c r="L898" s="47" t="n"/>
      <c r="M898" s="47" t="n"/>
      <c r="N898" s="47" t="n"/>
      <c r="O898" s="47" t="n"/>
      <c r="P898" s="47" t="n"/>
      <c r="Q898" s="47" t="n"/>
      <c r="R898" s="47" t="n"/>
      <c r="S898" s="47" t="n"/>
      <c r="T898" s="47" t="n"/>
      <c r="U898" s="53" t="n"/>
      <c r="V898" s="53" t="n"/>
      <c r="W898" s="47" t="n"/>
      <c r="X898" s="47" t="n"/>
      <c r="Y898" s="47" t="n"/>
      <c r="Z898" s="47" t="n"/>
      <c r="AA898" s="47" t="n"/>
      <c r="AB898" s="47" t="n"/>
      <c r="AC898" s="47" t="n"/>
      <c r="AD898" s="47" t="n"/>
      <c r="AE898" s="47" t="n"/>
      <c r="AF898" s="20">
        <f>IF(A898="","",YEAR(EDATE(A898,-3)))</f>
        <v/>
      </c>
      <c r="AG898" s="20">
        <f>IF(OR(B898="",'経歴簿'!$C$4=""),"",IF(B898&amp;""='経歴簿'!$C$4&amp;"",MAX($AG$4:AG897)+1,""))</f>
        <v/>
      </c>
      <c r="AH898" s="20">
        <f>IF(A898="",0,IF(AND(OR('CSV抽出'!$C$4="",A898&gt;='CSV抽出'!$C$4),OR('CSV抽出'!$C$5="",A898&lt;='CSV抽出'!$C$5),OR('CSV抽出'!$C$6="すべて",'CSV抽出'!$C$6="",D898='CSV抽出'!$C$6),OR('CSV抽出'!$C$7="",B898&amp;""='CSV抽出'!$C$7&amp;"")),1,0))</f>
        <v/>
      </c>
      <c r="AI898" s="20">
        <f>IF(AH898=1,SUM($AH$5:AH898),"")</f>
        <v/>
      </c>
      <c r="AJ898" s="20">
        <f>IF(OR(S898="",'報告書'!$C$4=""),"",IF(S898&amp;""='報告書'!$C$4&amp;"",COUNTIF($S$5:S898,'報告書'!$C$4),""))</f>
        <v/>
      </c>
      <c r="AK898" s="20" t="n"/>
      <c r="AL898" s="47" t="n"/>
      <c r="AM898" s="47" t="n"/>
      <c r="AN898" s="53" t="n"/>
      <c r="AO898" s="47" t="n"/>
      <c r="AP898" s="47" t="n"/>
      <c r="AQ898" s="47" t="n"/>
      <c r="AR898" s="47" t="n"/>
      <c r="AS898" s="47" t="n"/>
      <c r="AT898" s="47" t="n"/>
      <c r="AU898" s="47" t="n"/>
      <c r="AV898" s="47" t="n"/>
      <c r="AW898" s="52" t="n"/>
    </row>
    <row r="899">
      <c r="A899" s="48" t="n"/>
      <c r="B899" s="52" t="n"/>
      <c r="C899" s="47">
        <f>IF(B899="","",IFERROR(INDEX('隊員マスタ'!$B$5:$B$204,MATCH(B899&amp;"",'隊員マスタ'!$F$5:$F$204,0)),IF(AK899="","番号なし",AK899)))</f>
        <v/>
      </c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  <c r="N899" s="47" t="n"/>
      <c r="O899" s="47" t="n"/>
      <c r="P899" s="47" t="n"/>
      <c r="Q899" s="47" t="n"/>
      <c r="R899" s="47" t="n"/>
      <c r="S899" s="47" t="n"/>
      <c r="T899" s="47" t="n"/>
      <c r="U899" s="53" t="n"/>
      <c r="V899" s="53" t="n"/>
      <c r="W899" s="47" t="n"/>
      <c r="X899" s="47" t="n"/>
      <c r="Y899" s="47" t="n"/>
      <c r="Z899" s="47" t="n"/>
      <c r="AA899" s="47" t="n"/>
      <c r="AB899" s="47" t="n"/>
      <c r="AC899" s="47" t="n"/>
      <c r="AD899" s="47" t="n"/>
      <c r="AE899" s="47" t="n"/>
      <c r="AF899" s="20">
        <f>IF(A899="","",YEAR(EDATE(A899,-3)))</f>
        <v/>
      </c>
      <c r="AG899" s="20">
        <f>IF(OR(B899="",'経歴簿'!$C$4=""),"",IF(B899&amp;""='経歴簿'!$C$4&amp;"",MAX($AG$4:AG898)+1,""))</f>
        <v/>
      </c>
      <c r="AH899" s="20">
        <f>IF(A899="",0,IF(AND(OR('CSV抽出'!$C$4="",A899&gt;='CSV抽出'!$C$4),OR('CSV抽出'!$C$5="",A899&lt;='CSV抽出'!$C$5),OR('CSV抽出'!$C$6="すべて",'CSV抽出'!$C$6="",D899='CSV抽出'!$C$6),OR('CSV抽出'!$C$7="",B899&amp;""='CSV抽出'!$C$7&amp;"")),1,0))</f>
        <v/>
      </c>
      <c r="AI899" s="20">
        <f>IF(AH899=1,SUM($AH$5:AH899),"")</f>
        <v/>
      </c>
      <c r="AJ899" s="20">
        <f>IF(OR(S899="",'報告書'!$C$4=""),"",IF(S899&amp;""='報告書'!$C$4&amp;"",COUNTIF($S$5:S899,'報告書'!$C$4),""))</f>
        <v/>
      </c>
      <c r="AK899" s="20" t="n"/>
      <c r="AL899" s="47" t="n"/>
      <c r="AM899" s="47" t="n"/>
      <c r="AN899" s="53" t="n"/>
      <c r="AO899" s="47" t="n"/>
      <c r="AP899" s="47" t="n"/>
      <c r="AQ899" s="47" t="n"/>
      <c r="AR899" s="47" t="n"/>
      <c r="AS899" s="47" t="n"/>
      <c r="AT899" s="47" t="n"/>
      <c r="AU899" s="47" t="n"/>
      <c r="AV899" s="47" t="n"/>
      <c r="AW899" s="52" t="n"/>
    </row>
    <row r="900">
      <c r="A900" s="48" t="n"/>
      <c r="B900" s="52" t="n"/>
      <c r="C900" s="47">
        <f>IF(B900="","",IFERROR(INDEX('隊員マスタ'!$B$5:$B$204,MATCH(B900&amp;"",'隊員マスタ'!$F$5:$F$204,0)),IF(AK900="","番号なし",AK900)))</f>
        <v/>
      </c>
      <c r="D900" s="47" t="n"/>
      <c r="E900" s="47" t="n"/>
      <c r="F900" s="47" t="n"/>
      <c r="G900" s="47" t="n"/>
      <c r="H900" s="47" t="n"/>
      <c r="I900" s="47" t="n"/>
      <c r="J900" s="47" t="n"/>
      <c r="K900" s="47" t="n"/>
      <c r="L900" s="47" t="n"/>
      <c r="M900" s="47" t="n"/>
      <c r="N900" s="47" t="n"/>
      <c r="O900" s="47" t="n"/>
      <c r="P900" s="47" t="n"/>
      <c r="Q900" s="47" t="n"/>
      <c r="R900" s="47" t="n"/>
      <c r="S900" s="47" t="n"/>
      <c r="T900" s="47" t="n"/>
      <c r="U900" s="53" t="n"/>
      <c r="V900" s="53" t="n"/>
      <c r="W900" s="47" t="n"/>
      <c r="X900" s="47" t="n"/>
      <c r="Y900" s="47" t="n"/>
      <c r="Z900" s="47" t="n"/>
      <c r="AA900" s="47" t="n"/>
      <c r="AB900" s="47" t="n"/>
      <c r="AC900" s="47" t="n"/>
      <c r="AD900" s="47" t="n"/>
      <c r="AE900" s="47" t="n"/>
      <c r="AF900" s="20">
        <f>IF(A900="","",YEAR(EDATE(A900,-3)))</f>
        <v/>
      </c>
      <c r="AG900" s="20">
        <f>IF(OR(B900="",'経歴簿'!$C$4=""),"",IF(B900&amp;""='経歴簿'!$C$4&amp;"",MAX($AG$4:AG899)+1,""))</f>
        <v/>
      </c>
      <c r="AH900" s="20">
        <f>IF(A900="",0,IF(AND(OR('CSV抽出'!$C$4="",A900&gt;='CSV抽出'!$C$4),OR('CSV抽出'!$C$5="",A900&lt;='CSV抽出'!$C$5),OR('CSV抽出'!$C$6="すべて",'CSV抽出'!$C$6="",D900='CSV抽出'!$C$6),OR('CSV抽出'!$C$7="",B900&amp;""='CSV抽出'!$C$7&amp;"")),1,0))</f>
        <v/>
      </c>
      <c r="AI900" s="20">
        <f>IF(AH900=1,SUM($AH$5:AH900),"")</f>
        <v/>
      </c>
      <c r="AJ900" s="20">
        <f>IF(OR(S900="",'報告書'!$C$4=""),"",IF(S900&amp;""='報告書'!$C$4&amp;"",COUNTIF($S$5:S900,'報告書'!$C$4),""))</f>
        <v/>
      </c>
      <c r="AK900" s="20" t="n"/>
      <c r="AL900" s="47" t="n"/>
      <c r="AM900" s="47" t="n"/>
      <c r="AN900" s="53" t="n"/>
      <c r="AO900" s="47" t="n"/>
      <c r="AP900" s="47" t="n"/>
      <c r="AQ900" s="47" t="n"/>
      <c r="AR900" s="47" t="n"/>
      <c r="AS900" s="47" t="n"/>
      <c r="AT900" s="47" t="n"/>
      <c r="AU900" s="47" t="n"/>
      <c r="AV900" s="47" t="n"/>
      <c r="AW900" s="52" t="n"/>
    </row>
    <row r="901">
      <c r="A901" s="48" t="n"/>
      <c r="B901" s="52" t="n"/>
      <c r="C901" s="47">
        <f>IF(B901="","",IFERROR(INDEX('隊員マスタ'!$B$5:$B$204,MATCH(B901&amp;"",'隊員マスタ'!$F$5:$F$204,0)),IF(AK901="","番号なし",AK901)))</f>
        <v/>
      </c>
      <c r="D901" s="47" t="n"/>
      <c r="E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  <c r="N901" s="47" t="n"/>
      <c r="O901" s="47" t="n"/>
      <c r="P901" s="47" t="n"/>
      <c r="Q901" s="47" t="n"/>
      <c r="R901" s="47" t="n"/>
      <c r="S901" s="47" t="n"/>
      <c r="T901" s="47" t="n"/>
      <c r="U901" s="53" t="n"/>
      <c r="V901" s="53" t="n"/>
      <c r="W901" s="47" t="n"/>
      <c r="X901" s="47" t="n"/>
      <c r="Y901" s="47" t="n"/>
      <c r="Z901" s="47" t="n"/>
      <c r="AA901" s="47" t="n"/>
      <c r="AB901" s="47" t="n"/>
      <c r="AC901" s="47" t="n"/>
      <c r="AD901" s="47" t="n"/>
      <c r="AE901" s="47" t="n"/>
      <c r="AF901" s="20">
        <f>IF(A901="","",YEAR(EDATE(A901,-3)))</f>
        <v/>
      </c>
      <c r="AG901" s="20">
        <f>IF(OR(B901="",'経歴簿'!$C$4=""),"",IF(B901&amp;""='経歴簿'!$C$4&amp;"",MAX($AG$4:AG900)+1,""))</f>
        <v/>
      </c>
      <c r="AH901" s="20">
        <f>IF(A901="",0,IF(AND(OR('CSV抽出'!$C$4="",A901&gt;='CSV抽出'!$C$4),OR('CSV抽出'!$C$5="",A901&lt;='CSV抽出'!$C$5),OR('CSV抽出'!$C$6="すべて",'CSV抽出'!$C$6="",D901='CSV抽出'!$C$6),OR('CSV抽出'!$C$7="",B901&amp;""='CSV抽出'!$C$7&amp;"")),1,0))</f>
        <v/>
      </c>
      <c r="AI901" s="20">
        <f>IF(AH901=1,SUM($AH$5:AH901),"")</f>
        <v/>
      </c>
      <c r="AJ901" s="20">
        <f>IF(OR(S901="",'報告書'!$C$4=""),"",IF(S901&amp;""='報告書'!$C$4&amp;"",COUNTIF($S$5:S901,'報告書'!$C$4),""))</f>
        <v/>
      </c>
      <c r="AK901" s="20" t="n"/>
      <c r="AL901" s="47" t="n"/>
      <c r="AM901" s="47" t="n"/>
      <c r="AN901" s="53" t="n"/>
      <c r="AO901" s="47" t="n"/>
      <c r="AP901" s="47" t="n"/>
      <c r="AQ901" s="47" t="n"/>
      <c r="AR901" s="47" t="n"/>
      <c r="AS901" s="47" t="n"/>
      <c r="AT901" s="47" t="n"/>
      <c r="AU901" s="47" t="n"/>
      <c r="AV901" s="47" t="n"/>
      <c r="AW901" s="52" t="n"/>
    </row>
    <row r="902">
      <c r="A902" s="48" t="n"/>
      <c r="B902" s="52" t="n"/>
      <c r="C902" s="47">
        <f>IF(B902="","",IFERROR(INDEX('隊員マスタ'!$B$5:$B$204,MATCH(B902&amp;"",'隊員マスタ'!$F$5:$F$204,0)),IF(AK902="","番号なし",AK902)))</f>
        <v/>
      </c>
      <c r="D902" s="47" t="n"/>
      <c r="E902" s="47" t="n"/>
      <c r="F902" s="47" t="n"/>
      <c r="G902" s="47" t="n"/>
      <c r="H902" s="47" t="n"/>
      <c r="I902" s="47" t="n"/>
      <c r="J902" s="47" t="n"/>
      <c r="K902" s="47" t="n"/>
      <c r="L902" s="47" t="n"/>
      <c r="M902" s="47" t="n"/>
      <c r="N902" s="47" t="n"/>
      <c r="O902" s="47" t="n"/>
      <c r="P902" s="47" t="n"/>
      <c r="Q902" s="47" t="n"/>
      <c r="R902" s="47" t="n"/>
      <c r="S902" s="47" t="n"/>
      <c r="T902" s="47" t="n"/>
      <c r="U902" s="53" t="n"/>
      <c r="V902" s="53" t="n"/>
      <c r="W902" s="47" t="n"/>
      <c r="X902" s="47" t="n"/>
      <c r="Y902" s="47" t="n"/>
      <c r="Z902" s="47" t="n"/>
      <c r="AA902" s="47" t="n"/>
      <c r="AB902" s="47" t="n"/>
      <c r="AC902" s="47" t="n"/>
      <c r="AD902" s="47" t="n"/>
      <c r="AE902" s="47" t="n"/>
      <c r="AF902" s="20">
        <f>IF(A902="","",YEAR(EDATE(A902,-3)))</f>
        <v/>
      </c>
      <c r="AG902" s="20">
        <f>IF(OR(B902="",'経歴簿'!$C$4=""),"",IF(B902&amp;""='経歴簿'!$C$4&amp;"",MAX($AG$4:AG901)+1,""))</f>
        <v/>
      </c>
      <c r="AH902" s="20">
        <f>IF(A902="",0,IF(AND(OR('CSV抽出'!$C$4="",A902&gt;='CSV抽出'!$C$4),OR('CSV抽出'!$C$5="",A902&lt;='CSV抽出'!$C$5),OR('CSV抽出'!$C$6="すべて",'CSV抽出'!$C$6="",D902='CSV抽出'!$C$6),OR('CSV抽出'!$C$7="",B902&amp;""='CSV抽出'!$C$7&amp;"")),1,0))</f>
        <v/>
      </c>
      <c r="AI902" s="20">
        <f>IF(AH902=1,SUM($AH$5:AH902),"")</f>
        <v/>
      </c>
      <c r="AJ902" s="20">
        <f>IF(OR(S902="",'報告書'!$C$4=""),"",IF(S902&amp;""='報告書'!$C$4&amp;"",COUNTIF($S$5:S902,'報告書'!$C$4),""))</f>
        <v/>
      </c>
      <c r="AK902" s="20" t="n"/>
      <c r="AL902" s="47" t="n"/>
      <c r="AM902" s="47" t="n"/>
      <c r="AN902" s="53" t="n"/>
      <c r="AO902" s="47" t="n"/>
      <c r="AP902" s="47" t="n"/>
      <c r="AQ902" s="47" t="n"/>
      <c r="AR902" s="47" t="n"/>
      <c r="AS902" s="47" t="n"/>
      <c r="AT902" s="47" t="n"/>
      <c r="AU902" s="47" t="n"/>
      <c r="AV902" s="47" t="n"/>
      <c r="AW902" s="52" t="n"/>
    </row>
    <row r="903">
      <c r="A903" s="48" t="n"/>
      <c r="B903" s="52" t="n"/>
      <c r="C903" s="47">
        <f>IF(B903="","",IFERROR(INDEX('隊員マスタ'!$B$5:$B$204,MATCH(B903&amp;"",'隊員マスタ'!$F$5:$F$204,0)),IF(AK903="","番号なし",AK903)))</f>
        <v/>
      </c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  <c r="N903" s="47" t="n"/>
      <c r="O903" s="47" t="n"/>
      <c r="P903" s="47" t="n"/>
      <c r="Q903" s="47" t="n"/>
      <c r="R903" s="47" t="n"/>
      <c r="S903" s="47" t="n"/>
      <c r="T903" s="47" t="n"/>
      <c r="U903" s="53" t="n"/>
      <c r="V903" s="53" t="n"/>
      <c r="W903" s="47" t="n"/>
      <c r="X903" s="47" t="n"/>
      <c r="Y903" s="47" t="n"/>
      <c r="Z903" s="47" t="n"/>
      <c r="AA903" s="47" t="n"/>
      <c r="AB903" s="47" t="n"/>
      <c r="AC903" s="47" t="n"/>
      <c r="AD903" s="47" t="n"/>
      <c r="AE903" s="47" t="n"/>
      <c r="AF903" s="20">
        <f>IF(A903="","",YEAR(EDATE(A903,-3)))</f>
        <v/>
      </c>
      <c r="AG903" s="20">
        <f>IF(OR(B903="",'経歴簿'!$C$4=""),"",IF(B903&amp;""='経歴簿'!$C$4&amp;"",MAX($AG$4:AG902)+1,""))</f>
        <v/>
      </c>
      <c r="AH903" s="20">
        <f>IF(A903="",0,IF(AND(OR('CSV抽出'!$C$4="",A903&gt;='CSV抽出'!$C$4),OR('CSV抽出'!$C$5="",A903&lt;='CSV抽出'!$C$5),OR('CSV抽出'!$C$6="すべて",'CSV抽出'!$C$6="",D903='CSV抽出'!$C$6),OR('CSV抽出'!$C$7="",B903&amp;""='CSV抽出'!$C$7&amp;"")),1,0))</f>
        <v/>
      </c>
      <c r="AI903" s="20">
        <f>IF(AH903=1,SUM($AH$5:AH903),"")</f>
        <v/>
      </c>
      <c r="AJ903" s="20">
        <f>IF(OR(S903="",'報告書'!$C$4=""),"",IF(S903&amp;""='報告書'!$C$4&amp;"",COUNTIF($S$5:S903,'報告書'!$C$4),""))</f>
        <v/>
      </c>
      <c r="AK903" s="20" t="n"/>
      <c r="AL903" s="47" t="n"/>
      <c r="AM903" s="47" t="n"/>
      <c r="AN903" s="53" t="n"/>
      <c r="AO903" s="47" t="n"/>
      <c r="AP903" s="47" t="n"/>
      <c r="AQ903" s="47" t="n"/>
      <c r="AR903" s="47" t="n"/>
      <c r="AS903" s="47" t="n"/>
      <c r="AT903" s="47" t="n"/>
      <c r="AU903" s="47" t="n"/>
      <c r="AV903" s="47" t="n"/>
      <c r="AW903" s="52" t="n"/>
    </row>
    <row r="904">
      <c r="A904" s="48" t="n"/>
      <c r="B904" s="52" t="n"/>
      <c r="C904" s="47">
        <f>IF(B904="","",IFERROR(INDEX('隊員マスタ'!$B$5:$B$204,MATCH(B904&amp;"",'隊員マスタ'!$F$5:$F$204,0)),IF(AK904="","番号なし",AK904)))</f>
        <v/>
      </c>
      <c r="D904" s="47" t="n"/>
      <c r="E904" s="47" t="n"/>
      <c r="F904" s="47" t="n"/>
      <c r="G904" s="47" t="n"/>
      <c r="H904" s="47" t="n"/>
      <c r="I904" s="47" t="n"/>
      <c r="J904" s="47" t="n"/>
      <c r="K904" s="47" t="n"/>
      <c r="L904" s="47" t="n"/>
      <c r="M904" s="47" t="n"/>
      <c r="N904" s="47" t="n"/>
      <c r="O904" s="47" t="n"/>
      <c r="P904" s="47" t="n"/>
      <c r="Q904" s="47" t="n"/>
      <c r="R904" s="47" t="n"/>
      <c r="S904" s="47" t="n"/>
      <c r="T904" s="47" t="n"/>
      <c r="U904" s="53" t="n"/>
      <c r="V904" s="53" t="n"/>
      <c r="W904" s="47" t="n"/>
      <c r="X904" s="47" t="n"/>
      <c r="Y904" s="47" t="n"/>
      <c r="Z904" s="47" t="n"/>
      <c r="AA904" s="47" t="n"/>
      <c r="AB904" s="47" t="n"/>
      <c r="AC904" s="47" t="n"/>
      <c r="AD904" s="47" t="n"/>
      <c r="AE904" s="47" t="n"/>
      <c r="AF904" s="20">
        <f>IF(A904="","",YEAR(EDATE(A904,-3)))</f>
        <v/>
      </c>
      <c r="AG904" s="20">
        <f>IF(OR(B904="",'経歴簿'!$C$4=""),"",IF(B904&amp;""='経歴簿'!$C$4&amp;"",MAX($AG$4:AG903)+1,""))</f>
        <v/>
      </c>
      <c r="AH904" s="20">
        <f>IF(A904="",0,IF(AND(OR('CSV抽出'!$C$4="",A904&gt;='CSV抽出'!$C$4),OR('CSV抽出'!$C$5="",A904&lt;='CSV抽出'!$C$5),OR('CSV抽出'!$C$6="すべて",'CSV抽出'!$C$6="",D904='CSV抽出'!$C$6),OR('CSV抽出'!$C$7="",B904&amp;""='CSV抽出'!$C$7&amp;"")),1,0))</f>
        <v/>
      </c>
      <c r="AI904" s="20">
        <f>IF(AH904=1,SUM($AH$5:AH904),"")</f>
        <v/>
      </c>
      <c r="AJ904" s="20">
        <f>IF(OR(S904="",'報告書'!$C$4=""),"",IF(S904&amp;""='報告書'!$C$4&amp;"",COUNTIF($S$5:S904,'報告書'!$C$4),""))</f>
        <v/>
      </c>
      <c r="AK904" s="20" t="n"/>
      <c r="AL904" s="47" t="n"/>
      <c r="AM904" s="47" t="n"/>
      <c r="AN904" s="53" t="n"/>
      <c r="AO904" s="47" t="n"/>
      <c r="AP904" s="47" t="n"/>
      <c r="AQ904" s="47" t="n"/>
      <c r="AR904" s="47" t="n"/>
      <c r="AS904" s="47" t="n"/>
      <c r="AT904" s="47" t="n"/>
      <c r="AU904" s="47" t="n"/>
      <c r="AV904" s="47" t="n"/>
      <c r="AW904" s="52" t="n"/>
    </row>
    <row r="905">
      <c r="A905" s="48" t="n"/>
      <c r="B905" s="52" t="n"/>
      <c r="C905" s="47">
        <f>IF(B905="","",IFERROR(INDEX('隊員マスタ'!$B$5:$B$204,MATCH(B905&amp;"",'隊員マスタ'!$F$5:$F$204,0)),IF(AK905="","番号なし",AK905)))</f>
        <v/>
      </c>
      <c r="D905" s="47" t="n"/>
      <c r="E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  <c r="N905" s="47" t="n"/>
      <c r="O905" s="47" t="n"/>
      <c r="P905" s="47" t="n"/>
      <c r="Q905" s="47" t="n"/>
      <c r="R905" s="47" t="n"/>
      <c r="S905" s="47" t="n"/>
      <c r="T905" s="47" t="n"/>
      <c r="U905" s="53" t="n"/>
      <c r="V905" s="53" t="n"/>
      <c r="W905" s="47" t="n"/>
      <c r="X905" s="47" t="n"/>
      <c r="Y905" s="47" t="n"/>
      <c r="Z905" s="47" t="n"/>
      <c r="AA905" s="47" t="n"/>
      <c r="AB905" s="47" t="n"/>
      <c r="AC905" s="47" t="n"/>
      <c r="AD905" s="47" t="n"/>
      <c r="AE905" s="47" t="n"/>
      <c r="AF905" s="20">
        <f>IF(A905="","",YEAR(EDATE(A905,-3)))</f>
        <v/>
      </c>
      <c r="AG905" s="20">
        <f>IF(OR(B905="",'経歴簿'!$C$4=""),"",IF(B905&amp;""='経歴簿'!$C$4&amp;"",MAX($AG$4:AG904)+1,""))</f>
        <v/>
      </c>
      <c r="AH905" s="20">
        <f>IF(A905="",0,IF(AND(OR('CSV抽出'!$C$4="",A905&gt;='CSV抽出'!$C$4),OR('CSV抽出'!$C$5="",A905&lt;='CSV抽出'!$C$5),OR('CSV抽出'!$C$6="すべて",'CSV抽出'!$C$6="",D905='CSV抽出'!$C$6),OR('CSV抽出'!$C$7="",B905&amp;""='CSV抽出'!$C$7&amp;"")),1,0))</f>
        <v/>
      </c>
      <c r="AI905" s="20">
        <f>IF(AH905=1,SUM($AH$5:AH905),"")</f>
        <v/>
      </c>
      <c r="AJ905" s="20">
        <f>IF(OR(S905="",'報告書'!$C$4=""),"",IF(S905&amp;""='報告書'!$C$4&amp;"",COUNTIF($S$5:S905,'報告書'!$C$4),""))</f>
        <v/>
      </c>
      <c r="AK905" s="20" t="n"/>
      <c r="AL905" s="47" t="n"/>
      <c r="AM905" s="47" t="n"/>
      <c r="AN905" s="53" t="n"/>
      <c r="AO905" s="47" t="n"/>
      <c r="AP905" s="47" t="n"/>
      <c r="AQ905" s="47" t="n"/>
      <c r="AR905" s="47" t="n"/>
      <c r="AS905" s="47" t="n"/>
      <c r="AT905" s="47" t="n"/>
      <c r="AU905" s="47" t="n"/>
      <c r="AV905" s="47" t="n"/>
      <c r="AW905" s="52" t="n"/>
    </row>
    <row r="906">
      <c r="A906" s="48" t="n"/>
      <c r="B906" s="52" t="n"/>
      <c r="C906" s="47">
        <f>IF(B906="","",IFERROR(INDEX('隊員マスタ'!$B$5:$B$204,MATCH(B906&amp;"",'隊員マスタ'!$F$5:$F$204,0)),IF(AK906="","番号なし",AK906)))</f>
        <v/>
      </c>
      <c r="D906" s="47" t="n"/>
      <c r="E906" s="47" t="n"/>
      <c r="F906" s="47" t="n"/>
      <c r="G906" s="47" t="n"/>
      <c r="H906" s="47" t="n"/>
      <c r="I906" s="47" t="n"/>
      <c r="J906" s="47" t="n"/>
      <c r="K906" s="47" t="n"/>
      <c r="L906" s="47" t="n"/>
      <c r="M906" s="47" t="n"/>
      <c r="N906" s="47" t="n"/>
      <c r="O906" s="47" t="n"/>
      <c r="P906" s="47" t="n"/>
      <c r="Q906" s="47" t="n"/>
      <c r="R906" s="47" t="n"/>
      <c r="S906" s="47" t="n"/>
      <c r="T906" s="47" t="n"/>
      <c r="U906" s="53" t="n"/>
      <c r="V906" s="53" t="n"/>
      <c r="W906" s="47" t="n"/>
      <c r="X906" s="47" t="n"/>
      <c r="Y906" s="47" t="n"/>
      <c r="Z906" s="47" t="n"/>
      <c r="AA906" s="47" t="n"/>
      <c r="AB906" s="47" t="n"/>
      <c r="AC906" s="47" t="n"/>
      <c r="AD906" s="47" t="n"/>
      <c r="AE906" s="47" t="n"/>
      <c r="AF906" s="20">
        <f>IF(A906="","",YEAR(EDATE(A906,-3)))</f>
        <v/>
      </c>
      <c r="AG906" s="20">
        <f>IF(OR(B906="",'経歴簿'!$C$4=""),"",IF(B906&amp;""='経歴簿'!$C$4&amp;"",MAX($AG$4:AG905)+1,""))</f>
        <v/>
      </c>
      <c r="AH906" s="20">
        <f>IF(A906="",0,IF(AND(OR('CSV抽出'!$C$4="",A906&gt;='CSV抽出'!$C$4),OR('CSV抽出'!$C$5="",A906&lt;='CSV抽出'!$C$5),OR('CSV抽出'!$C$6="すべて",'CSV抽出'!$C$6="",D906='CSV抽出'!$C$6),OR('CSV抽出'!$C$7="",B906&amp;""='CSV抽出'!$C$7&amp;"")),1,0))</f>
        <v/>
      </c>
      <c r="AI906" s="20">
        <f>IF(AH906=1,SUM($AH$5:AH906),"")</f>
        <v/>
      </c>
      <c r="AJ906" s="20">
        <f>IF(OR(S906="",'報告書'!$C$4=""),"",IF(S906&amp;""='報告書'!$C$4&amp;"",COUNTIF($S$5:S906,'報告書'!$C$4),""))</f>
        <v/>
      </c>
      <c r="AK906" s="20" t="n"/>
      <c r="AL906" s="47" t="n"/>
      <c r="AM906" s="47" t="n"/>
      <c r="AN906" s="53" t="n"/>
      <c r="AO906" s="47" t="n"/>
      <c r="AP906" s="47" t="n"/>
      <c r="AQ906" s="47" t="n"/>
      <c r="AR906" s="47" t="n"/>
      <c r="AS906" s="47" t="n"/>
      <c r="AT906" s="47" t="n"/>
      <c r="AU906" s="47" t="n"/>
      <c r="AV906" s="47" t="n"/>
      <c r="AW906" s="52" t="n"/>
    </row>
    <row r="907">
      <c r="A907" s="48" t="n"/>
      <c r="B907" s="52" t="n"/>
      <c r="C907" s="47">
        <f>IF(B907="","",IFERROR(INDEX('隊員マスタ'!$B$5:$B$204,MATCH(B907&amp;"",'隊員マスタ'!$F$5:$F$204,0)),IF(AK907="","番号なし",AK907)))</f>
        <v/>
      </c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  <c r="N907" s="47" t="n"/>
      <c r="O907" s="47" t="n"/>
      <c r="P907" s="47" t="n"/>
      <c r="Q907" s="47" t="n"/>
      <c r="R907" s="47" t="n"/>
      <c r="S907" s="47" t="n"/>
      <c r="T907" s="47" t="n"/>
      <c r="U907" s="53" t="n"/>
      <c r="V907" s="53" t="n"/>
      <c r="W907" s="47" t="n"/>
      <c r="X907" s="47" t="n"/>
      <c r="Y907" s="47" t="n"/>
      <c r="Z907" s="47" t="n"/>
      <c r="AA907" s="47" t="n"/>
      <c r="AB907" s="47" t="n"/>
      <c r="AC907" s="47" t="n"/>
      <c r="AD907" s="47" t="n"/>
      <c r="AE907" s="47" t="n"/>
      <c r="AF907" s="20">
        <f>IF(A907="","",YEAR(EDATE(A907,-3)))</f>
        <v/>
      </c>
      <c r="AG907" s="20">
        <f>IF(OR(B907="",'経歴簿'!$C$4=""),"",IF(B907&amp;""='経歴簿'!$C$4&amp;"",MAX($AG$4:AG906)+1,""))</f>
        <v/>
      </c>
      <c r="AH907" s="20">
        <f>IF(A907="",0,IF(AND(OR('CSV抽出'!$C$4="",A907&gt;='CSV抽出'!$C$4),OR('CSV抽出'!$C$5="",A907&lt;='CSV抽出'!$C$5),OR('CSV抽出'!$C$6="すべて",'CSV抽出'!$C$6="",D907='CSV抽出'!$C$6),OR('CSV抽出'!$C$7="",B907&amp;""='CSV抽出'!$C$7&amp;"")),1,0))</f>
        <v/>
      </c>
      <c r="AI907" s="20">
        <f>IF(AH907=1,SUM($AH$5:AH907),"")</f>
        <v/>
      </c>
      <c r="AJ907" s="20">
        <f>IF(OR(S907="",'報告書'!$C$4=""),"",IF(S907&amp;""='報告書'!$C$4&amp;"",COUNTIF($S$5:S907,'報告書'!$C$4),""))</f>
        <v/>
      </c>
      <c r="AK907" s="20" t="n"/>
      <c r="AL907" s="47" t="n"/>
      <c r="AM907" s="47" t="n"/>
      <c r="AN907" s="53" t="n"/>
      <c r="AO907" s="47" t="n"/>
      <c r="AP907" s="47" t="n"/>
      <c r="AQ907" s="47" t="n"/>
      <c r="AR907" s="47" t="n"/>
      <c r="AS907" s="47" t="n"/>
      <c r="AT907" s="47" t="n"/>
      <c r="AU907" s="47" t="n"/>
      <c r="AV907" s="47" t="n"/>
      <c r="AW907" s="52" t="n"/>
    </row>
    <row r="908">
      <c r="A908" s="48" t="n"/>
      <c r="B908" s="52" t="n"/>
      <c r="C908" s="47">
        <f>IF(B908="","",IFERROR(INDEX('隊員マスタ'!$B$5:$B$204,MATCH(B908&amp;"",'隊員マスタ'!$F$5:$F$204,0)),IF(AK908="","番号なし",AK908)))</f>
        <v/>
      </c>
      <c r="D908" s="47" t="n"/>
      <c r="E908" s="47" t="n"/>
      <c r="F908" s="47" t="n"/>
      <c r="G908" s="47" t="n"/>
      <c r="H908" s="47" t="n"/>
      <c r="I908" s="47" t="n"/>
      <c r="J908" s="47" t="n"/>
      <c r="K908" s="47" t="n"/>
      <c r="L908" s="47" t="n"/>
      <c r="M908" s="47" t="n"/>
      <c r="N908" s="47" t="n"/>
      <c r="O908" s="47" t="n"/>
      <c r="P908" s="47" t="n"/>
      <c r="Q908" s="47" t="n"/>
      <c r="R908" s="47" t="n"/>
      <c r="S908" s="47" t="n"/>
      <c r="T908" s="47" t="n"/>
      <c r="U908" s="53" t="n"/>
      <c r="V908" s="53" t="n"/>
      <c r="W908" s="47" t="n"/>
      <c r="X908" s="47" t="n"/>
      <c r="Y908" s="47" t="n"/>
      <c r="Z908" s="47" t="n"/>
      <c r="AA908" s="47" t="n"/>
      <c r="AB908" s="47" t="n"/>
      <c r="AC908" s="47" t="n"/>
      <c r="AD908" s="47" t="n"/>
      <c r="AE908" s="47" t="n"/>
      <c r="AF908" s="20">
        <f>IF(A908="","",YEAR(EDATE(A908,-3)))</f>
        <v/>
      </c>
      <c r="AG908" s="20">
        <f>IF(OR(B908="",'経歴簿'!$C$4=""),"",IF(B908&amp;""='経歴簿'!$C$4&amp;"",MAX($AG$4:AG907)+1,""))</f>
        <v/>
      </c>
      <c r="AH908" s="20">
        <f>IF(A908="",0,IF(AND(OR('CSV抽出'!$C$4="",A908&gt;='CSV抽出'!$C$4),OR('CSV抽出'!$C$5="",A908&lt;='CSV抽出'!$C$5),OR('CSV抽出'!$C$6="すべて",'CSV抽出'!$C$6="",D908='CSV抽出'!$C$6),OR('CSV抽出'!$C$7="",B908&amp;""='CSV抽出'!$C$7&amp;"")),1,0))</f>
        <v/>
      </c>
      <c r="AI908" s="20">
        <f>IF(AH908=1,SUM($AH$5:AH908),"")</f>
        <v/>
      </c>
      <c r="AJ908" s="20">
        <f>IF(OR(S908="",'報告書'!$C$4=""),"",IF(S908&amp;""='報告書'!$C$4&amp;"",COUNTIF($S$5:S908,'報告書'!$C$4),""))</f>
        <v/>
      </c>
      <c r="AK908" s="20" t="n"/>
      <c r="AL908" s="47" t="n"/>
      <c r="AM908" s="47" t="n"/>
      <c r="AN908" s="53" t="n"/>
      <c r="AO908" s="47" t="n"/>
      <c r="AP908" s="47" t="n"/>
      <c r="AQ908" s="47" t="n"/>
      <c r="AR908" s="47" t="n"/>
      <c r="AS908" s="47" t="n"/>
      <c r="AT908" s="47" t="n"/>
      <c r="AU908" s="47" t="n"/>
      <c r="AV908" s="47" t="n"/>
      <c r="AW908" s="52" t="n"/>
    </row>
    <row r="909">
      <c r="A909" s="48" t="n"/>
      <c r="B909" s="52" t="n"/>
      <c r="C909" s="47">
        <f>IF(B909="","",IFERROR(INDEX('隊員マスタ'!$B$5:$B$204,MATCH(B909&amp;"",'隊員マスタ'!$F$5:$F$204,0)),IF(AK909="","番号なし",AK909)))</f>
        <v/>
      </c>
      <c r="D909" s="47" t="n"/>
      <c r="E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  <c r="N909" s="47" t="n"/>
      <c r="O909" s="47" t="n"/>
      <c r="P909" s="47" t="n"/>
      <c r="Q909" s="47" t="n"/>
      <c r="R909" s="47" t="n"/>
      <c r="S909" s="47" t="n"/>
      <c r="T909" s="47" t="n"/>
      <c r="U909" s="53" t="n"/>
      <c r="V909" s="53" t="n"/>
      <c r="W909" s="47" t="n"/>
      <c r="X909" s="47" t="n"/>
      <c r="Y909" s="47" t="n"/>
      <c r="Z909" s="47" t="n"/>
      <c r="AA909" s="47" t="n"/>
      <c r="AB909" s="47" t="n"/>
      <c r="AC909" s="47" t="n"/>
      <c r="AD909" s="47" t="n"/>
      <c r="AE909" s="47" t="n"/>
      <c r="AF909" s="20">
        <f>IF(A909="","",YEAR(EDATE(A909,-3)))</f>
        <v/>
      </c>
      <c r="AG909" s="20">
        <f>IF(OR(B909="",'経歴簿'!$C$4=""),"",IF(B909&amp;""='経歴簿'!$C$4&amp;"",MAX($AG$4:AG908)+1,""))</f>
        <v/>
      </c>
      <c r="AH909" s="20">
        <f>IF(A909="",0,IF(AND(OR('CSV抽出'!$C$4="",A909&gt;='CSV抽出'!$C$4),OR('CSV抽出'!$C$5="",A909&lt;='CSV抽出'!$C$5),OR('CSV抽出'!$C$6="すべて",'CSV抽出'!$C$6="",D909='CSV抽出'!$C$6),OR('CSV抽出'!$C$7="",B909&amp;""='CSV抽出'!$C$7&amp;"")),1,0))</f>
        <v/>
      </c>
      <c r="AI909" s="20">
        <f>IF(AH909=1,SUM($AH$5:AH909),"")</f>
        <v/>
      </c>
      <c r="AJ909" s="20">
        <f>IF(OR(S909="",'報告書'!$C$4=""),"",IF(S909&amp;""='報告書'!$C$4&amp;"",COUNTIF($S$5:S909,'報告書'!$C$4),""))</f>
        <v/>
      </c>
      <c r="AK909" s="20" t="n"/>
      <c r="AL909" s="47" t="n"/>
      <c r="AM909" s="47" t="n"/>
      <c r="AN909" s="53" t="n"/>
      <c r="AO909" s="47" t="n"/>
      <c r="AP909" s="47" t="n"/>
      <c r="AQ909" s="47" t="n"/>
      <c r="AR909" s="47" t="n"/>
      <c r="AS909" s="47" t="n"/>
      <c r="AT909" s="47" t="n"/>
      <c r="AU909" s="47" t="n"/>
      <c r="AV909" s="47" t="n"/>
      <c r="AW909" s="52" t="n"/>
    </row>
    <row r="910">
      <c r="A910" s="48" t="n"/>
      <c r="B910" s="52" t="n"/>
      <c r="C910" s="47">
        <f>IF(B910="","",IFERROR(INDEX('隊員マスタ'!$B$5:$B$204,MATCH(B910&amp;"",'隊員マスタ'!$F$5:$F$204,0)),IF(AK910="","番号なし",AK910)))</f>
        <v/>
      </c>
      <c r="D910" s="47" t="n"/>
      <c r="E910" s="47" t="n"/>
      <c r="F910" s="47" t="n"/>
      <c r="G910" s="47" t="n"/>
      <c r="H910" s="47" t="n"/>
      <c r="I910" s="47" t="n"/>
      <c r="J910" s="47" t="n"/>
      <c r="K910" s="47" t="n"/>
      <c r="L910" s="47" t="n"/>
      <c r="M910" s="47" t="n"/>
      <c r="N910" s="47" t="n"/>
      <c r="O910" s="47" t="n"/>
      <c r="P910" s="47" t="n"/>
      <c r="Q910" s="47" t="n"/>
      <c r="R910" s="47" t="n"/>
      <c r="S910" s="47" t="n"/>
      <c r="T910" s="47" t="n"/>
      <c r="U910" s="53" t="n"/>
      <c r="V910" s="53" t="n"/>
      <c r="W910" s="47" t="n"/>
      <c r="X910" s="47" t="n"/>
      <c r="Y910" s="47" t="n"/>
      <c r="Z910" s="47" t="n"/>
      <c r="AA910" s="47" t="n"/>
      <c r="AB910" s="47" t="n"/>
      <c r="AC910" s="47" t="n"/>
      <c r="AD910" s="47" t="n"/>
      <c r="AE910" s="47" t="n"/>
      <c r="AF910" s="20">
        <f>IF(A910="","",YEAR(EDATE(A910,-3)))</f>
        <v/>
      </c>
      <c r="AG910" s="20">
        <f>IF(OR(B910="",'経歴簿'!$C$4=""),"",IF(B910&amp;""='経歴簿'!$C$4&amp;"",MAX($AG$4:AG909)+1,""))</f>
        <v/>
      </c>
      <c r="AH910" s="20">
        <f>IF(A910="",0,IF(AND(OR('CSV抽出'!$C$4="",A910&gt;='CSV抽出'!$C$4),OR('CSV抽出'!$C$5="",A910&lt;='CSV抽出'!$C$5),OR('CSV抽出'!$C$6="すべて",'CSV抽出'!$C$6="",D910='CSV抽出'!$C$6),OR('CSV抽出'!$C$7="",B910&amp;""='CSV抽出'!$C$7&amp;"")),1,0))</f>
        <v/>
      </c>
      <c r="AI910" s="20">
        <f>IF(AH910=1,SUM($AH$5:AH910),"")</f>
        <v/>
      </c>
      <c r="AJ910" s="20">
        <f>IF(OR(S910="",'報告書'!$C$4=""),"",IF(S910&amp;""='報告書'!$C$4&amp;"",COUNTIF($S$5:S910,'報告書'!$C$4),""))</f>
        <v/>
      </c>
      <c r="AK910" s="20" t="n"/>
      <c r="AL910" s="47" t="n"/>
      <c r="AM910" s="47" t="n"/>
      <c r="AN910" s="53" t="n"/>
      <c r="AO910" s="47" t="n"/>
      <c r="AP910" s="47" t="n"/>
      <c r="AQ910" s="47" t="n"/>
      <c r="AR910" s="47" t="n"/>
      <c r="AS910" s="47" t="n"/>
      <c r="AT910" s="47" t="n"/>
      <c r="AU910" s="47" t="n"/>
      <c r="AV910" s="47" t="n"/>
      <c r="AW910" s="52" t="n"/>
    </row>
    <row r="911">
      <c r="A911" s="48" t="n"/>
      <c r="B911" s="52" t="n"/>
      <c r="C911" s="47">
        <f>IF(B911="","",IFERROR(INDEX('隊員マスタ'!$B$5:$B$204,MATCH(B911&amp;"",'隊員マスタ'!$F$5:$F$204,0)),IF(AK911="","番号なし",AK911)))</f>
        <v/>
      </c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  <c r="N911" s="47" t="n"/>
      <c r="O911" s="47" t="n"/>
      <c r="P911" s="47" t="n"/>
      <c r="Q911" s="47" t="n"/>
      <c r="R911" s="47" t="n"/>
      <c r="S911" s="47" t="n"/>
      <c r="T911" s="47" t="n"/>
      <c r="U911" s="53" t="n"/>
      <c r="V911" s="53" t="n"/>
      <c r="W911" s="47" t="n"/>
      <c r="X911" s="47" t="n"/>
      <c r="Y911" s="47" t="n"/>
      <c r="Z911" s="47" t="n"/>
      <c r="AA911" s="47" t="n"/>
      <c r="AB911" s="47" t="n"/>
      <c r="AC911" s="47" t="n"/>
      <c r="AD911" s="47" t="n"/>
      <c r="AE911" s="47" t="n"/>
      <c r="AF911" s="20">
        <f>IF(A911="","",YEAR(EDATE(A911,-3)))</f>
        <v/>
      </c>
      <c r="AG911" s="20">
        <f>IF(OR(B911="",'経歴簿'!$C$4=""),"",IF(B911&amp;""='経歴簿'!$C$4&amp;"",MAX($AG$4:AG910)+1,""))</f>
        <v/>
      </c>
      <c r="AH911" s="20">
        <f>IF(A911="",0,IF(AND(OR('CSV抽出'!$C$4="",A911&gt;='CSV抽出'!$C$4),OR('CSV抽出'!$C$5="",A911&lt;='CSV抽出'!$C$5),OR('CSV抽出'!$C$6="すべて",'CSV抽出'!$C$6="",D911='CSV抽出'!$C$6),OR('CSV抽出'!$C$7="",B911&amp;""='CSV抽出'!$C$7&amp;"")),1,0))</f>
        <v/>
      </c>
      <c r="AI911" s="20">
        <f>IF(AH911=1,SUM($AH$5:AH911),"")</f>
        <v/>
      </c>
      <c r="AJ911" s="20">
        <f>IF(OR(S911="",'報告書'!$C$4=""),"",IF(S911&amp;""='報告書'!$C$4&amp;"",COUNTIF($S$5:S911,'報告書'!$C$4),""))</f>
        <v/>
      </c>
      <c r="AK911" s="20" t="n"/>
      <c r="AL911" s="47" t="n"/>
      <c r="AM911" s="47" t="n"/>
      <c r="AN911" s="53" t="n"/>
      <c r="AO911" s="47" t="n"/>
      <c r="AP911" s="47" t="n"/>
      <c r="AQ911" s="47" t="n"/>
      <c r="AR911" s="47" t="n"/>
      <c r="AS911" s="47" t="n"/>
      <c r="AT911" s="47" t="n"/>
      <c r="AU911" s="47" t="n"/>
      <c r="AV911" s="47" t="n"/>
      <c r="AW911" s="52" t="n"/>
    </row>
    <row r="912">
      <c r="A912" s="48" t="n"/>
      <c r="B912" s="52" t="n"/>
      <c r="C912" s="47">
        <f>IF(B912="","",IFERROR(INDEX('隊員マスタ'!$B$5:$B$204,MATCH(B912&amp;"",'隊員マスタ'!$F$5:$F$204,0)),IF(AK912="","番号なし",AK912)))</f>
        <v/>
      </c>
      <c r="D912" s="47" t="n"/>
      <c r="E912" s="47" t="n"/>
      <c r="F912" s="47" t="n"/>
      <c r="G912" s="47" t="n"/>
      <c r="H912" s="47" t="n"/>
      <c r="I912" s="47" t="n"/>
      <c r="J912" s="47" t="n"/>
      <c r="K912" s="47" t="n"/>
      <c r="L912" s="47" t="n"/>
      <c r="M912" s="47" t="n"/>
      <c r="N912" s="47" t="n"/>
      <c r="O912" s="47" t="n"/>
      <c r="P912" s="47" t="n"/>
      <c r="Q912" s="47" t="n"/>
      <c r="R912" s="47" t="n"/>
      <c r="S912" s="47" t="n"/>
      <c r="T912" s="47" t="n"/>
      <c r="U912" s="53" t="n"/>
      <c r="V912" s="53" t="n"/>
      <c r="W912" s="47" t="n"/>
      <c r="X912" s="47" t="n"/>
      <c r="Y912" s="47" t="n"/>
      <c r="Z912" s="47" t="n"/>
      <c r="AA912" s="47" t="n"/>
      <c r="AB912" s="47" t="n"/>
      <c r="AC912" s="47" t="n"/>
      <c r="AD912" s="47" t="n"/>
      <c r="AE912" s="47" t="n"/>
      <c r="AF912" s="20">
        <f>IF(A912="","",YEAR(EDATE(A912,-3)))</f>
        <v/>
      </c>
      <c r="AG912" s="20">
        <f>IF(OR(B912="",'経歴簿'!$C$4=""),"",IF(B912&amp;""='経歴簿'!$C$4&amp;"",MAX($AG$4:AG911)+1,""))</f>
        <v/>
      </c>
      <c r="AH912" s="20">
        <f>IF(A912="",0,IF(AND(OR('CSV抽出'!$C$4="",A912&gt;='CSV抽出'!$C$4),OR('CSV抽出'!$C$5="",A912&lt;='CSV抽出'!$C$5),OR('CSV抽出'!$C$6="すべて",'CSV抽出'!$C$6="",D912='CSV抽出'!$C$6),OR('CSV抽出'!$C$7="",B912&amp;""='CSV抽出'!$C$7&amp;"")),1,0))</f>
        <v/>
      </c>
      <c r="AI912" s="20">
        <f>IF(AH912=1,SUM($AH$5:AH912),"")</f>
        <v/>
      </c>
      <c r="AJ912" s="20">
        <f>IF(OR(S912="",'報告書'!$C$4=""),"",IF(S912&amp;""='報告書'!$C$4&amp;"",COUNTIF($S$5:S912,'報告書'!$C$4),""))</f>
        <v/>
      </c>
      <c r="AK912" s="20" t="n"/>
      <c r="AL912" s="47" t="n"/>
      <c r="AM912" s="47" t="n"/>
      <c r="AN912" s="53" t="n"/>
      <c r="AO912" s="47" t="n"/>
      <c r="AP912" s="47" t="n"/>
      <c r="AQ912" s="47" t="n"/>
      <c r="AR912" s="47" t="n"/>
      <c r="AS912" s="47" t="n"/>
      <c r="AT912" s="47" t="n"/>
      <c r="AU912" s="47" t="n"/>
      <c r="AV912" s="47" t="n"/>
      <c r="AW912" s="52" t="n"/>
    </row>
    <row r="913">
      <c r="A913" s="48" t="n"/>
      <c r="B913" s="52" t="n"/>
      <c r="C913" s="47">
        <f>IF(B913="","",IFERROR(INDEX('隊員マスタ'!$B$5:$B$204,MATCH(B913&amp;"",'隊員マスタ'!$F$5:$F$204,0)),IF(AK913="","番号なし",AK913)))</f>
        <v/>
      </c>
      <c r="D913" s="47" t="n"/>
      <c r="E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  <c r="N913" s="47" t="n"/>
      <c r="O913" s="47" t="n"/>
      <c r="P913" s="47" t="n"/>
      <c r="Q913" s="47" t="n"/>
      <c r="R913" s="47" t="n"/>
      <c r="S913" s="47" t="n"/>
      <c r="T913" s="47" t="n"/>
      <c r="U913" s="53" t="n"/>
      <c r="V913" s="53" t="n"/>
      <c r="W913" s="47" t="n"/>
      <c r="X913" s="47" t="n"/>
      <c r="Y913" s="47" t="n"/>
      <c r="Z913" s="47" t="n"/>
      <c r="AA913" s="47" t="n"/>
      <c r="AB913" s="47" t="n"/>
      <c r="AC913" s="47" t="n"/>
      <c r="AD913" s="47" t="n"/>
      <c r="AE913" s="47" t="n"/>
      <c r="AF913" s="20">
        <f>IF(A913="","",YEAR(EDATE(A913,-3)))</f>
        <v/>
      </c>
      <c r="AG913" s="20">
        <f>IF(OR(B913="",'経歴簿'!$C$4=""),"",IF(B913&amp;""='経歴簿'!$C$4&amp;"",MAX($AG$4:AG912)+1,""))</f>
        <v/>
      </c>
      <c r="AH913" s="20">
        <f>IF(A913="",0,IF(AND(OR('CSV抽出'!$C$4="",A913&gt;='CSV抽出'!$C$4),OR('CSV抽出'!$C$5="",A913&lt;='CSV抽出'!$C$5),OR('CSV抽出'!$C$6="すべて",'CSV抽出'!$C$6="",D913='CSV抽出'!$C$6),OR('CSV抽出'!$C$7="",B913&amp;""='CSV抽出'!$C$7&amp;"")),1,0))</f>
        <v/>
      </c>
      <c r="AI913" s="20">
        <f>IF(AH913=1,SUM($AH$5:AH913),"")</f>
        <v/>
      </c>
      <c r="AJ913" s="20">
        <f>IF(OR(S913="",'報告書'!$C$4=""),"",IF(S913&amp;""='報告書'!$C$4&amp;"",COUNTIF($S$5:S913,'報告書'!$C$4),""))</f>
        <v/>
      </c>
      <c r="AK913" s="20" t="n"/>
      <c r="AL913" s="47" t="n"/>
      <c r="AM913" s="47" t="n"/>
      <c r="AN913" s="53" t="n"/>
      <c r="AO913" s="47" t="n"/>
      <c r="AP913" s="47" t="n"/>
      <c r="AQ913" s="47" t="n"/>
      <c r="AR913" s="47" t="n"/>
      <c r="AS913" s="47" t="n"/>
      <c r="AT913" s="47" t="n"/>
      <c r="AU913" s="47" t="n"/>
      <c r="AV913" s="47" t="n"/>
      <c r="AW913" s="52" t="n"/>
    </row>
    <row r="914">
      <c r="A914" s="48" t="n"/>
      <c r="B914" s="52" t="n"/>
      <c r="C914" s="47">
        <f>IF(B914="","",IFERROR(INDEX('隊員マスタ'!$B$5:$B$204,MATCH(B914&amp;"",'隊員マスタ'!$F$5:$F$204,0)),IF(AK914="","番号なし",AK914)))</f>
        <v/>
      </c>
      <c r="D914" s="47" t="n"/>
      <c r="E914" s="47" t="n"/>
      <c r="F914" s="47" t="n"/>
      <c r="G914" s="47" t="n"/>
      <c r="H914" s="47" t="n"/>
      <c r="I914" s="47" t="n"/>
      <c r="J914" s="47" t="n"/>
      <c r="K914" s="47" t="n"/>
      <c r="L914" s="47" t="n"/>
      <c r="M914" s="47" t="n"/>
      <c r="N914" s="47" t="n"/>
      <c r="O914" s="47" t="n"/>
      <c r="P914" s="47" t="n"/>
      <c r="Q914" s="47" t="n"/>
      <c r="R914" s="47" t="n"/>
      <c r="S914" s="47" t="n"/>
      <c r="T914" s="47" t="n"/>
      <c r="U914" s="53" t="n"/>
      <c r="V914" s="53" t="n"/>
      <c r="W914" s="47" t="n"/>
      <c r="X914" s="47" t="n"/>
      <c r="Y914" s="47" t="n"/>
      <c r="Z914" s="47" t="n"/>
      <c r="AA914" s="47" t="n"/>
      <c r="AB914" s="47" t="n"/>
      <c r="AC914" s="47" t="n"/>
      <c r="AD914" s="47" t="n"/>
      <c r="AE914" s="47" t="n"/>
      <c r="AF914" s="20">
        <f>IF(A914="","",YEAR(EDATE(A914,-3)))</f>
        <v/>
      </c>
      <c r="AG914" s="20">
        <f>IF(OR(B914="",'経歴簿'!$C$4=""),"",IF(B914&amp;""='経歴簿'!$C$4&amp;"",MAX($AG$4:AG913)+1,""))</f>
        <v/>
      </c>
      <c r="AH914" s="20">
        <f>IF(A914="",0,IF(AND(OR('CSV抽出'!$C$4="",A914&gt;='CSV抽出'!$C$4),OR('CSV抽出'!$C$5="",A914&lt;='CSV抽出'!$C$5),OR('CSV抽出'!$C$6="すべて",'CSV抽出'!$C$6="",D914='CSV抽出'!$C$6),OR('CSV抽出'!$C$7="",B914&amp;""='CSV抽出'!$C$7&amp;"")),1,0))</f>
        <v/>
      </c>
      <c r="AI914" s="20">
        <f>IF(AH914=1,SUM($AH$5:AH914),"")</f>
        <v/>
      </c>
      <c r="AJ914" s="20">
        <f>IF(OR(S914="",'報告書'!$C$4=""),"",IF(S914&amp;""='報告書'!$C$4&amp;"",COUNTIF($S$5:S914,'報告書'!$C$4),""))</f>
        <v/>
      </c>
      <c r="AK914" s="20" t="n"/>
      <c r="AL914" s="47" t="n"/>
      <c r="AM914" s="47" t="n"/>
      <c r="AN914" s="53" t="n"/>
      <c r="AO914" s="47" t="n"/>
      <c r="AP914" s="47" t="n"/>
      <c r="AQ914" s="47" t="n"/>
      <c r="AR914" s="47" t="n"/>
      <c r="AS914" s="47" t="n"/>
      <c r="AT914" s="47" t="n"/>
      <c r="AU914" s="47" t="n"/>
      <c r="AV914" s="47" t="n"/>
      <c r="AW914" s="52" t="n"/>
    </row>
    <row r="915">
      <c r="A915" s="48" t="n"/>
      <c r="B915" s="52" t="n"/>
      <c r="C915" s="47">
        <f>IF(B915="","",IFERROR(INDEX('隊員マスタ'!$B$5:$B$204,MATCH(B915&amp;"",'隊員マスタ'!$F$5:$F$204,0)),IF(AK915="","番号なし",AK915)))</f>
        <v/>
      </c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  <c r="N915" s="47" t="n"/>
      <c r="O915" s="47" t="n"/>
      <c r="P915" s="47" t="n"/>
      <c r="Q915" s="47" t="n"/>
      <c r="R915" s="47" t="n"/>
      <c r="S915" s="47" t="n"/>
      <c r="T915" s="47" t="n"/>
      <c r="U915" s="53" t="n"/>
      <c r="V915" s="53" t="n"/>
      <c r="W915" s="47" t="n"/>
      <c r="X915" s="47" t="n"/>
      <c r="Y915" s="47" t="n"/>
      <c r="Z915" s="47" t="n"/>
      <c r="AA915" s="47" t="n"/>
      <c r="AB915" s="47" t="n"/>
      <c r="AC915" s="47" t="n"/>
      <c r="AD915" s="47" t="n"/>
      <c r="AE915" s="47" t="n"/>
      <c r="AF915" s="20">
        <f>IF(A915="","",YEAR(EDATE(A915,-3)))</f>
        <v/>
      </c>
      <c r="AG915" s="20">
        <f>IF(OR(B915="",'経歴簿'!$C$4=""),"",IF(B915&amp;""='経歴簿'!$C$4&amp;"",MAX($AG$4:AG914)+1,""))</f>
        <v/>
      </c>
      <c r="AH915" s="20">
        <f>IF(A915="",0,IF(AND(OR('CSV抽出'!$C$4="",A915&gt;='CSV抽出'!$C$4),OR('CSV抽出'!$C$5="",A915&lt;='CSV抽出'!$C$5),OR('CSV抽出'!$C$6="すべて",'CSV抽出'!$C$6="",D915='CSV抽出'!$C$6),OR('CSV抽出'!$C$7="",B915&amp;""='CSV抽出'!$C$7&amp;"")),1,0))</f>
        <v/>
      </c>
      <c r="AI915" s="20">
        <f>IF(AH915=1,SUM($AH$5:AH915),"")</f>
        <v/>
      </c>
      <c r="AJ915" s="20">
        <f>IF(OR(S915="",'報告書'!$C$4=""),"",IF(S915&amp;""='報告書'!$C$4&amp;"",COUNTIF($S$5:S915,'報告書'!$C$4),""))</f>
        <v/>
      </c>
      <c r="AK915" s="20" t="n"/>
      <c r="AL915" s="47" t="n"/>
      <c r="AM915" s="47" t="n"/>
      <c r="AN915" s="53" t="n"/>
      <c r="AO915" s="47" t="n"/>
      <c r="AP915" s="47" t="n"/>
      <c r="AQ915" s="47" t="n"/>
      <c r="AR915" s="47" t="n"/>
      <c r="AS915" s="47" t="n"/>
      <c r="AT915" s="47" t="n"/>
      <c r="AU915" s="47" t="n"/>
      <c r="AV915" s="47" t="n"/>
      <c r="AW915" s="52" t="n"/>
    </row>
    <row r="916">
      <c r="A916" s="48" t="n"/>
      <c r="B916" s="52" t="n"/>
      <c r="C916" s="47">
        <f>IF(B916="","",IFERROR(INDEX('隊員マスタ'!$B$5:$B$204,MATCH(B916&amp;"",'隊員マスタ'!$F$5:$F$204,0)),IF(AK916="","番号なし",AK916)))</f>
        <v/>
      </c>
      <c r="D916" s="47" t="n"/>
      <c r="E916" s="47" t="n"/>
      <c r="F916" s="47" t="n"/>
      <c r="G916" s="47" t="n"/>
      <c r="H916" s="47" t="n"/>
      <c r="I916" s="47" t="n"/>
      <c r="J916" s="47" t="n"/>
      <c r="K916" s="47" t="n"/>
      <c r="L916" s="47" t="n"/>
      <c r="M916" s="47" t="n"/>
      <c r="N916" s="47" t="n"/>
      <c r="O916" s="47" t="n"/>
      <c r="P916" s="47" t="n"/>
      <c r="Q916" s="47" t="n"/>
      <c r="R916" s="47" t="n"/>
      <c r="S916" s="47" t="n"/>
      <c r="T916" s="47" t="n"/>
      <c r="U916" s="53" t="n"/>
      <c r="V916" s="53" t="n"/>
      <c r="W916" s="47" t="n"/>
      <c r="X916" s="47" t="n"/>
      <c r="Y916" s="47" t="n"/>
      <c r="Z916" s="47" t="n"/>
      <c r="AA916" s="47" t="n"/>
      <c r="AB916" s="47" t="n"/>
      <c r="AC916" s="47" t="n"/>
      <c r="AD916" s="47" t="n"/>
      <c r="AE916" s="47" t="n"/>
      <c r="AF916" s="20">
        <f>IF(A916="","",YEAR(EDATE(A916,-3)))</f>
        <v/>
      </c>
      <c r="AG916" s="20">
        <f>IF(OR(B916="",'経歴簿'!$C$4=""),"",IF(B916&amp;""='経歴簿'!$C$4&amp;"",MAX($AG$4:AG915)+1,""))</f>
        <v/>
      </c>
      <c r="AH916" s="20">
        <f>IF(A916="",0,IF(AND(OR('CSV抽出'!$C$4="",A916&gt;='CSV抽出'!$C$4),OR('CSV抽出'!$C$5="",A916&lt;='CSV抽出'!$C$5),OR('CSV抽出'!$C$6="すべて",'CSV抽出'!$C$6="",D916='CSV抽出'!$C$6),OR('CSV抽出'!$C$7="",B916&amp;""='CSV抽出'!$C$7&amp;"")),1,0))</f>
        <v/>
      </c>
      <c r="AI916" s="20">
        <f>IF(AH916=1,SUM($AH$5:AH916),"")</f>
        <v/>
      </c>
      <c r="AJ916" s="20">
        <f>IF(OR(S916="",'報告書'!$C$4=""),"",IF(S916&amp;""='報告書'!$C$4&amp;"",COUNTIF($S$5:S916,'報告書'!$C$4),""))</f>
        <v/>
      </c>
      <c r="AK916" s="20" t="n"/>
      <c r="AL916" s="47" t="n"/>
      <c r="AM916" s="47" t="n"/>
      <c r="AN916" s="53" t="n"/>
      <c r="AO916" s="47" t="n"/>
      <c r="AP916" s="47" t="n"/>
      <c r="AQ916" s="47" t="n"/>
      <c r="AR916" s="47" t="n"/>
      <c r="AS916" s="47" t="n"/>
      <c r="AT916" s="47" t="n"/>
      <c r="AU916" s="47" t="n"/>
      <c r="AV916" s="47" t="n"/>
      <c r="AW916" s="52" t="n"/>
    </row>
    <row r="917">
      <c r="A917" s="48" t="n"/>
      <c r="B917" s="52" t="n"/>
      <c r="C917" s="47">
        <f>IF(B917="","",IFERROR(INDEX('隊員マスタ'!$B$5:$B$204,MATCH(B917&amp;"",'隊員マスタ'!$F$5:$F$204,0)),IF(AK917="","番号なし",AK917)))</f>
        <v/>
      </c>
      <c r="D917" s="47" t="n"/>
      <c r="E917" s="47" t="n"/>
      <c r="F917" s="47" t="n"/>
      <c r="G917" s="47" t="n"/>
      <c r="H917" s="47" t="n"/>
      <c r="I917" s="47" t="n"/>
      <c r="J917" s="47" t="n"/>
      <c r="K917" s="47" t="n"/>
      <c r="L917" s="47" t="n"/>
      <c r="M917" s="47" t="n"/>
      <c r="N917" s="47" t="n"/>
      <c r="O917" s="47" t="n"/>
      <c r="P917" s="47" t="n"/>
      <c r="Q917" s="47" t="n"/>
      <c r="R917" s="47" t="n"/>
      <c r="S917" s="47" t="n"/>
      <c r="T917" s="47" t="n"/>
      <c r="U917" s="53" t="n"/>
      <c r="V917" s="53" t="n"/>
      <c r="W917" s="47" t="n"/>
      <c r="X917" s="47" t="n"/>
      <c r="Y917" s="47" t="n"/>
      <c r="Z917" s="47" t="n"/>
      <c r="AA917" s="47" t="n"/>
      <c r="AB917" s="47" t="n"/>
      <c r="AC917" s="47" t="n"/>
      <c r="AD917" s="47" t="n"/>
      <c r="AE917" s="47" t="n"/>
      <c r="AF917" s="20">
        <f>IF(A917="","",YEAR(EDATE(A917,-3)))</f>
        <v/>
      </c>
      <c r="AG917" s="20">
        <f>IF(OR(B917="",'経歴簿'!$C$4=""),"",IF(B917&amp;""='経歴簿'!$C$4&amp;"",MAX($AG$4:AG916)+1,""))</f>
        <v/>
      </c>
      <c r="AH917" s="20">
        <f>IF(A917="",0,IF(AND(OR('CSV抽出'!$C$4="",A917&gt;='CSV抽出'!$C$4),OR('CSV抽出'!$C$5="",A917&lt;='CSV抽出'!$C$5),OR('CSV抽出'!$C$6="すべて",'CSV抽出'!$C$6="",D917='CSV抽出'!$C$6),OR('CSV抽出'!$C$7="",B917&amp;""='CSV抽出'!$C$7&amp;"")),1,0))</f>
        <v/>
      </c>
      <c r="AI917" s="20">
        <f>IF(AH917=1,SUM($AH$5:AH917),"")</f>
        <v/>
      </c>
      <c r="AJ917" s="20">
        <f>IF(OR(S917="",'報告書'!$C$4=""),"",IF(S917&amp;""='報告書'!$C$4&amp;"",COUNTIF($S$5:S917,'報告書'!$C$4),""))</f>
        <v/>
      </c>
      <c r="AK917" s="20" t="n"/>
      <c r="AL917" s="47" t="n"/>
      <c r="AM917" s="47" t="n"/>
      <c r="AN917" s="53" t="n"/>
      <c r="AO917" s="47" t="n"/>
      <c r="AP917" s="47" t="n"/>
      <c r="AQ917" s="47" t="n"/>
      <c r="AR917" s="47" t="n"/>
      <c r="AS917" s="47" t="n"/>
      <c r="AT917" s="47" t="n"/>
      <c r="AU917" s="47" t="n"/>
      <c r="AV917" s="47" t="n"/>
      <c r="AW917" s="52" t="n"/>
    </row>
    <row r="918">
      <c r="A918" s="48" t="n"/>
      <c r="B918" s="52" t="n"/>
      <c r="C918" s="47">
        <f>IF(B918="","",IFERROR(INDEX('隊員マスタ'!$B$5:$B$204,MATCH(B918&amp;"",'隊員マスタ'!$F$5:$F$204,0)),IF(AK918="","番号なし",AK918)))</f>
        <v/>
      </c>
      <c r="D918" s="47" t="n"/>
      <c r="E918" s="47" t="n"/>
      <c r="F918" s="47" t="n"/>
      <c r="G918" s="47" t="n"/>
      <c r="H918" s="47" t="n"/>
      <c r="I918" s="47" t="n"/>
      <c r="J918" s="47" t="n"/>
      <c r="K918" s="47" t="n"/>
      <c r="L918" s="47" t="n"/>
      <c r="M918" s="47" t="n"/>
      <c r="N918" s="47" t="n"/>
      <c r="O918" s="47" t="n"/>
      <c r="P918" s="47" t="n"/>
      <c r="Q918" s="47" t="n"/>
      <c r="R918" s="47" t="n"/>
      <c r="S918" s="47" t="n"/>
      <c r="T918" s="47" t="n"/>
      <c r="U918" s="53" t="n"/>
      <c r="V918" s="53" t="n"/>
      <c r="W918" s="47" t="n"/>
      <c r="X918" s="47" t="n"/>
      <c r="Y918" s="47" t="n"/>
      <c r="Z918" s="47" t="n"/>
      <c r="AA918" s="47" t="n"/>
      <c r="AB918" s="47" t="n"/>
      <c r="AC918" s="47" t="n"/>
      <c r="AD918" s="47" t="n"/>
      <c r="AE918" s="47" t="n"/>
      <c r="AF918" s="20">
        <f>IF(A918="","",YEAR(EDATE(A918,-3)))</f>
        <v/>
      </c>
      <c r="AG918" s="20">
        <f>IF(OR(B918="",'経歴簿'!$C$4=""),"",IF(B918&amp;""='経歴簿'!$C$4&amp;"",MAX($AG$4:AG917)+1,""))</f>
        <v/>
      </c>
      <c r="AH918" s="20">
        <f>IF(A918="",0,IF(AND(OR('CSV抽出'!$C$4="",A918&gt;='CSV抽出'!$C$4),OR('CSV抽出'!$C$5="",A918&lt;='CSV抽出'!$C$5),OR('CSV抽出'!$C$6="すべて",'CSV抽出'!$C$6="",D918='CSV抽出'!$C$6),OR('CSV抽出'!$C$7="",B918&amp;""='CSV抽出'!$C$7&amp;"")),1,0))</f>
        <v/>
      </c>
      <c r="AI918" s="20">
        <f>IF(AH918=1,SUM($AH$5:AH918),"")</f>
        <v/>
      </c>
      <c r="AJ918" s="20">
        <f>IF(OR(S918="",'報告書'!$C$4=""),"",IF(S918&amp;""='報告書'!$C$4&amp;"",COUNTIF($S$5:S918,'報告書'!$C$4),""))</f>
        <v/>
      </c>
      <c r="AK918" s="20" t="n"/>
      <c r="AL918" s="47" t="n"/>
      <c r="AM918" s="47" t="n"/>
      <c r="AN918" s="53" t="n"/>
      <c r="AO918" s="47" t="n"/>
      <c r="AP918" s="47" t="n"/>
      <c r="AQ918" s="47" t="n"/>
      <c r="AR918" s="47" t="n"/>
      <c r="AS918" s="47" t="n"/>
      <c r="AT918" s="47" t="n"/>
      <c r="AU918" s="47" t="n"/>
      <c r="AV918" s="47" t="n"/>
      <c r="AW918" s="52" t="n"/>
    </row>
    <row r="919">
      <c r="A919" s="48" t="n"/>
      <c r="B919" s="52" t="n"/>
      <c r="C919" s="47">
        <f>IF(B919="","",IFERROR(INDEX('隊員マスタ'!$B$5:$B$204,MATCH(B919&amp;"",'隊員マスタ'!$F$5:$F$204,0)),IF(AK919="","番号なし",AK919)))</f>
        <v/>
      </c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  <c r="N919" s="47" t="n"/>
      <c r="O919" s="47" t="n"/>
      <c r="P919" s="47" t="n"/>
      <c r="Q919" s="47" t="n"/>
      <c r="R919" s="47" t="n"/>
      <c r="S919" s="47" t="n"/>
      <c r="T919" s="47" t="n"/>
      <c r="U919" s="53" t="n"/>
      <c r="V919" s="53" t="n"/>
      <c r="W919" s="47" t="n"/>
      <c r="X919" s="47" t="n"/>
      <c r="Y919" s="47" t="n"/>
      <c r="Z919" s="47" t="n"/>
      <c r="AA919" s="47" t="n"/>
      <c r="AB919" s="47" t="n"/>
      <c r="AC919" s="47" t="n"/>
      <c r="AD919" s="47" t="n"/>
      <c r="AE919" s="47" t="n"/>
      <c r="AF919" s="20">
        <f>IF(A919="","",YEAR(EDATE(A919,-3)))</f>
        <v/>
      </c>
      <c r="AG919" s="20">
        <f>IF(OR(B919="",'経歴簿'!$C$4=""),"",IF(B919&amp;""='経歴簿'!$C$4&amp;"",MAX($AG$4:AG918)+1,""))</f>
        <v/>
      </c>
      <c r="AH919" s="20">
        <f>IF(A919="",0,IF(AND(OR('CSV抽出'!$C$4="",A919&gt;='CSV抽出'!$C$4),OR('CSV抽出'!$C$5="",A919&lt;='CSV抽出'!$C$5),OR('CSV抽出'!$C$6="すべて",'CSV抽出'!$C$6="",D919='CSV抽出'!$C$6),OR('CSV抽出'!$C$7="",B919&amp;""='CSV抽出'!$C$7&amp;"")),1,0))</f>
        <v/>
      </c>
      <c r="AI919" s="20">
        <f>IF(AH919=1,SUM($AH$5:AH919),"")</f>
        <v/>
      </c>
      <c r="AJ919" s="20">
        <f>IF(OR(S919="",'報告書'!$C$4=""),"",IF(S919&amp;""='報告書'!$C$4&amp;"",COUNTIF($S$5:S919,'報告書'!$C$4),""))</f>
        <v/>
      </c>
      <c r="AK919" s="20" t="n"/>
      <c r="AL919" s="47" t="n"/>
      <c r="AM919" s="47" t="n"/>
      <c r="AN919" s="53" t="n"/>
      <c r="AO919" s="47" t="n"/>
      <c r="AP919" s="47" t="n"/>
      <c r="AQ919" s="47" t="n"/>
      <c r="AR919" s="47" t="n"/>
      <c r="AS919" s="47" t="n"/>
      <c r="AT919" s="47" t="n"/>
      <c r="AU919" s="47" t="n"/>
      <c r="AV919" s="47" t="n"/>
      <c r="AW919" s="52" t="n"/>
    </row>
    <row r="920">
      <c r="A920" s="48" t="n"/>
      <c r="B920" s="52" t="n"/>
      <c r="C920" s="47">
        <f>IF(B920="","",IFERROR(INDEX('隊員マスタ'!$B$5:$B$204,MATCH(B920&amp;"",'隊員マスタ'!$F$5:$F$204,0)),IF(AK920="","番号なし",AK920)))</f>
        <v/>
      </c>
      <c r="D920" s="47" t="n"/>
      <c r="E920" s="47" t="n"/>
      <c r="F920" s="47" t="n"/>
      <c r="G920" s="47" t="n"/>
      <c r="H920" s="47" t="n"/>
      <c r="I920" s="47" t="n"/>
      <c r="J920" s="47" t="n"/>
      <c r="K920" s="47" t="n"/>
      <c r="L920" s="47" t="n"/>
      <c r="M920" s="47" t="n"/>
      <c r="N920" s="47" t="n"/>
      <c r="O920" s="47" t="n"/>
      <c r="P920" s="47" t="n"/>
      <c r="Q920" s="47" t="n"/>
      <c r="R920" s="47" t="n"/>
      <c r="S920" s="47" t="n"/>
      <c r="T920" s="47" t="n"/>
      <c r="U920" s="53" t="n"/>
      <c r="V920" s="53" t="n"/>
      <c r="W920" s="47" t="n"/>
      <c r="X920" s="47" t="n"/>
      <c r="Y920" s="47" t="n"/>
      <c r="Z920" s="47" t="n"/>
      <c r="AA920" s="47" t="n"/>
      <c r="AB920" s="47" t="n"/>
      <c r="AC920" s="47" t="n"/>
      <c r="AD920" s="47" t="n"/>
      <c r="AE920" s="47" t="n"/>
      <c r="AF920" s="20">
        <f>IF(A920="","",YEAR(EDATE(A920,-3)))</f>
        <v/>
      </c>
      <c r="AG920" s="20">
        <f>IF(OR(B920="",'経歴簿'!$C$4=""),"",IF(B920&amp;""='経歴簿'!$C$4&amp;"",MAX($AG$4:AG919)+1,""))</f>
        <v/>
      </c>
      <c r="AH920" s="20">
        <f>IF(A920="",0,IF(AND(OR('CSV抽出'!$C$4="",A920&gt;='CSV抽出'!$C$4),OR('CSV抽出'!$C$5="",A920&lt;='CSV抽出'!$C$5),OR('CSV抽出'!$C$6="すべて",'CSV抽出'!$C$6="",D920='CSV抽出'!$C$6),OR('CSV抽出'!$C$7="",B920&amp;""='CSV抽出'!$C$7&amp;"")),1,0))</f>
        <v/>
      </c>
      <c r="AI920" s="20">
        <f>IF(AH920=1,SUM($AH$5:AH920),"")</f>
        <v/>
      </c>
      <c r="AJ920" s="20">
        <f>IF(OR(S920="",'報告書'!$C$4=""),"",IF(S920&amp;""='報告書'!$C$4&amp;"",COUNTIF($S$5:S920,'報告書'!$C$4),""))</f>
        <v/>
      </c>
      <c r="AK920" s="20" t="n"/>
      <c r="AL920" s="47" t="n"/>
      <c r="AM920" s="47" t="n"/>
      <c r="AN920" s="53" t="n"/>
      <c r="AO920" s="47" t="n"/>
      <c r="AP920" s="47" t="n"/>
      <c r="AQ920" s="47" t="n"/>
      <c r="AR920" s="47" t="n"/>
      <c r="AS920" s="47" t="n"/>
      <c r="AT920" s="47" t="n"/>
      <c r="AU920" s="47" t="n"/>
      <c r="AV920" s="47" t="n"/>
      <c r="AW920" s="52" t="n"/>
    </row>
    <row r="921">
      <c r="A921" s="48" t="n"/>
      <c r="B921" s="52" t="n"/>
      <c r="C921" s="47">
        <f>IF(B921="","",IFERROR(INDEX('隊員マスタ'!$B$5:$B$204,MATCH(B921&amp;"",'隊員マスタ'!$F$5:$F$204,0)),IF(AK921="","番号なし",AK921)))</f>
        <v/>
      </c>
      <c r="D921" s="47" t="n"/>
      <c r="E921" s="47" t="n"/>
      <c r="F921" s="47" t="n"/>
      <c r="G921" s="47" t="n"/>
      <c r="H921" s="47" t="n"/>
      <c r="I921" s="47" t="n"/>
      <c r="J921" s="47" t="n"/>
      <c r="K921" s="47" t="n"/>
      <c r="L921" s="47" t="n"/>
      <c r="M921" s="47" t="n"/>
      <c r="N921" s="47" t="n"/>
      <c r="O921" s="47" t="n"/>
      <c r="P921" s="47" t="n"/>
      <c r="Q921" s="47" t="n"/>
      <c r="R921" s="47" t="n"/>
      <c r="S921" s="47" t="n"/>
      <c r="T921" s="47" t="n"/>
      <c r="U921" s="53" t="n"/>
      <c r="V921" s="53" t="n"/>
      <c r="W921" s="47" t="n"/>
      <c r="X921" s="47" t="n"/>
      <c r="Y921" s="47" t="n"/>
      <c r="Z921" s="47" t="n"/>
      <c r="AA921" s="47" t="n"/>
      <c r="AB921" s="47" t="n"/>
      <c r="AC921" s="47" t="n"/>
      <c r="AD921" s="47" t="n"/>
      <c r="AE921" s="47" t="n"/>
      <c r="AF921" s="20">
        <f>IF(A921="","",YEAR(EDATE(A921,-3)))</f>
        <v/>
      </c>
      <c r="AG921" s="20">
        <f>IF(OR(B921="",'経歴簿'!$C$4=""),"",IF(B921&amp;""='経歴簿'!$C$4&amp;"",MAX($AG$4:AG920)+1,""))</f>
        <v/>
      </c>
      <c r="AH921" s="20">
        <f>IF(A921="",0,IF(AND(OR('CSV抽出'!$C$4="",A921&gt;='CSV抽出'!$C$4),OR('CSV抽出'!$C$5="",A921&lt;='CSV抽出'!$C$5),OR('CSV抽出'!$C$6="すべて",'CSV抽出'!$C$6="",D921='CSV抽出'!$C$6),OR('CSV抽出'!$C$7="",B921&amp;""='CSV抽出'!$C$7&amp;"")),1,0))</f>
        <v/>
      </c>
      <c r="AI921" s="20">
        <f>IF(AH921=1,SUM($AH$5:AH921),"")</f>
        <v/>
      </c>
      <c r="AJ921" s="20">
        <f>IF(OR(S921="",'報告書'!$C$4=""),"",IF(S921&amp;""='報告書'!$C$4&amp;"",COUNTIF($S$5:S921,'報告書'!$C$4),""))</f>
        <v/>
      </c>
      <c r="AK921" s="20" t="n"/>
      <c r="AL921" s="47" t="n"/>
      <c r="AM921" s="47" t="n"/>
      <c r="AN921" s="53" t="n"/>
      <c r="AO921" s="47" t="n"/>
      <c r="AP921" s="47" t="n"/>
      <c r="AQ921" s="47" t="n"/>
      <c r="AR921" s="47" t="n"/>
      <c r="AS921" s="47" t="n"/>
      <c r="AT921" s="47" t="n"/>
      <c r="AU921" s="47" t="n"/>
      <c r="AV921" s="47" t="n"/>
      <c r="AW921" s="52" t="n"/>
    </row>
    <row r="922">
      <c r="A922" s="48" t="n"/>
      <c r="B922" s="52" t="n"/>
      <c r="C922" s="47">
        <f>IF(B922="","",IFERROR(INDEX('隊員マスタ'!$B$5:$B$204,MATCH(B922&amp;"",'隊員マスタ'!$F$5:$F$204,0)),IF(AK922="","番号なし",AK922)))</f>
        <v/>
      </c>
      <c r="D922" s="47" t="n"/>
      <c r="E922" s="47" t="n"/>
      <c r="F922" s="47" t="n"/>
      <c r="G922" s="47" t="n"/>
      <c r="H922" s="47" t="n"/>
      <c r="I922" s="47" t="n"/>
      <c r="J922" s="47" t="n"/>
      <c r="K922" s="47" t="n"/>
      <c r="L922" s="47" t="n"/>
      <c r="M922" s="47" t="n"/>
      <c r="N922" s="47" t="n"/>
      <c r="O922" s="47" t="n"/>
      <c r="P922" s="47" t="n"/>
      <c r="Q922" s="47" t="n"/>
      <c r="R922" s="47" t="n"/>
      <c r="S922" s="47" t="n"/>
      <c r="T922" s="47" t="n"/>
      <c r="U922" s="53" t="n"/>
      <c r="V922" s="53" t="n"/>
      <c r="W922" s="47" t="n"/>
      <c r="X922" s="47" t="n"/>
      <c r="Y922" s="47" t="n"/>
      <c r="Z922" s="47" t="n"/>
      <c r="AA922" s="47" t="n"/>
      <c r="AB922" s="47" t="n"/>
      <c r="AC922" s="47" t="n"/>
      <c r="AD922" s="47" t="n"/>
      <c r="AE922" s="47" t="n"/>
      <c r="AF922" s="20">
        <f>IF(A922="","",YEAR(EDATE(A922,-3)))</f>
        <v/>
      </c>
      <c r="AG922" s="20">
        <f>IF(OR(B922="",'経歴簿'!$C$4=""),"",IF(B922&amp;""='経歴簿'!$C$4&amp;"",MAX($AG$4:AG921)+1,""))</f>
        <v/>
      </c>
      <c r="AH922" s="20">
        <f>IF(A922="",0,IF(AND(OR('CSV抽出'!$C$4="",A922&gt;='CSV抽出'!$C$4),OR('CSV抽出'!$C$5="",A922&lt;='CSV抽出'!$C$5),OR('CSV抽出'!$C$6="すべて",'CSV抽出'!$C$6="",D922='CSV抽出'!$C$6),OR('CSV抽出'!$C$7="",B922&amp;""='CSV抽出'!$C$7&amp;"")),1,0))</f>
        <v/>
      </c>
      <c r="AI922" s="20">
        <f>IF(AH922=1,SUM($AH$5:AH922),"")</f>
        <v/>
      </c>
      <c r="AJ922" s="20">
        <f>IF(OR(S922="",'報告書'!$C$4=""),"",IF(S922&amp;""='報告書'!$C$4&amp;"",COUNTIF($S$5:S922,'報告書'!$C$4),""))</f>
        <v/>
      </c>
      <c r="AK922" s="20" t="n"/>
      <c r="AL922" s="47" t="n"/>
      <c r="AM922" s="47" t="n"/>
      <c r="AN922" s="53" t="n"/>
      <c r="AO922" s="47" t="n"/>
      <c r="AP922" s="47" t="n"/>
      <c r="AQ922" s="47" t="n"/>
      <c r="AR922" s="47" t="n"/>
      <c r="AS922" s="47" t="n"/>
      <c r="AT922" s="47" t="n"/>
      <c r="AU922" s="47" t="n"/>
      <c r="AV922" s="47" t="n"/>
      <c r="AW922" s="52" t="n"/>
    </row>
    <row r="923">
      <c r="A923" s="48" t="n"/>
      <c r="B923" s="52" t="n"/>
      <c r="C923" s="47">
        <f>IF(B923="","",IFERROR(INDEX('隊員マスタ'!$B$5:$B$204,MATCH(B923&amp;"",'隊員マスタ'!$F$5:$F$204,0)),IF(AK923="","番号なし",AK923)))</f>
        <v/>
      </c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  <c r="N923" s="47" t="n"/>
      <c r="O923" s="47" t="n"/>
      <c r="P923" s="47" t="n"/>
      <c r="Q923" s="47" t="n"/>
      <c r="R923" s="47" t="n"/>
      <c r="S923" s="47" t="n"/>
      <c r="T923" s="47" t="n"/>
      <c r="U923" s="53" t="n"/>
      <c r="V923" s="53" t="n"/>
      <c r="W923" s="47" t="n"/>
      <c r="X923" s="47" t="n"/>
      <c r="Y923" s="47" t="n"/>
      <c r="Z923" s="47" t="n"/>
      <c r="AA923" s="47" t="n"/>
      <c r="AB923" s="47" t="n"/>
      <c r="AC923" s="47" t="n"/>
      <c r="AD923" s="47" t="n"/>
      <c r="AE923" s="47" t="n"/>
      <c r="AF923" s="20">
        <f>IF(A923="","",YEAR(EDATE(A923,-3)))</f>
        <v/>
      </c>
      <c r="AG923" s="20">
        <f>IF(OR(B923="",'経歴簿'!$C$4=""),"",IF(B923&amp;""='経歴簿'!$C$4&amp;"",MAX($AG$4:AG922)+1,""))</f>
        <v/>
      </c>
      <c r="AH923" s="20">
        <f>IF(A923="",0,IF(AND(OR('CSV抽出'!$C$4="",A923&gt;='CSV抽出'!$C$4),OR('CSV抽出'!$C$5="",A923&lt;='CSV抽出'!$C$5),OR('CSV抽出'!$C$6="すべて",'CSV抽出'!$C$6="",D923='CSV抽出'!$C$6),OR('CSV抽出'!$C$7="",B923&amp;""='CSV抽出'!$C$7&amp;"")),1,0))</f>
        <v/>
      </c>
      <c r="AI923" s="20">
        <f>IF(AH923=1,SUM($AH$5:AH923),"")</f>
        <v/>
      </c>
      <c r="AJ923" s="20">
        <f>IF(OR(S923="",'報告書'!$C$4=""),"",IF(S923&amp;""='報告書'!$C$4&amp;"",COUNTIF($S$5:S923,'報告書'!$C$4),""))</f>
        <v/>
      </c>
      <c r="AK923" s="20" t="n"/>
      <c r="AL923" s="47" t="n"/>
      <c r="AM923" s="47" t="n"/>
      <c r="AN923" s="53" t="n"/>
      <c r="AO923" s="47" t="n"/>
      <c r="AP923" s="47" t="n"/>
      <c r="AQ923" s="47" t="n"/>
      <c r="AR923" s="47" t="n"/>
      <c r="AS923" s="47" t="n"/>
      <c r="AT923" s="47" t="n"/>
      <c r="AU923" s="47" t="n"/>
      <c r="AV923" s="47" t="n"/>
      <c r="AW923" s="52" t="n"/>
    </row>
    <row r="924">
      <c r="A924" s="48" t="n"/>
      <c r="B924" s="52" t="n"/>
      <c r="C924" s="47">
        <f>IF(B924="","",IFERROR(INDEX('隊員マスタ'!$B$5:$B$204,MATCH(B924&amp;"",'隊員マスタ'!$F$5:$F$204,0)),IF(AK924="","番号なし",AK924)))</f>
        <v/>
      </c>
      <c r="D924" s="47" t="n"/>
      <c r="E924" s="47" t="n"/>
      <c r="F924" s="47" t="n"/>
      <c r="G924" s="47" t="n"/>
      <c r="H924" s="47" t="n"/>
      <c r="I924" s="47" t="n"/>
      <c r="J924" s="47" t="n"/>
      <c r="K924" s="47" t="n"/>
      <c r="L924" s="47" t="n"/>
      <c r="M924" s="47" t="n"/>
      <c r="N924" s="47" t="n"/>
      <c r="O924" s="47" t="n"/>
      <c r="P924" s="47" t="n"/>
      <c r="Q924" s="47" t="n"/>
      <c r="R924" s="47" t="n"/>
      <c r="S924" s="47" t="n"/>
      <c r="T924" s="47" t="n"/>
      <c r="U924" s="53" t="n"/>
      <c r="V924" s="53" t="n"/>
      <c r="W924" s="47" t="n"/>
      <c r="X924" s="47" t="n"/>
      <c r="Y924" s="47" t="n"/>
      <c r="Z924" s="47" t="n"/>
      <c r="AA924" s="47" t="n"/>
      <c r="AB924" s="47" t="n"/>
      <c r="AC924" s="47" t="n"/>
      <c r="AD924" s="47" t="n"/>
      <c r="AE924" s="47" t="n"/>
      <c r="AF924" s="20">
        <f>IF(A924="","",YEAR(EDATE(A924,-3)))</f>
        <v/>
      </c>
      <c r="AG924" s="20">
        <f>IF(OR(B924="",'経歴簿'!$C$4=""),"",IF(B924&amp;""='経歴簿'!$C$4&amp;"",MAX($AG$4:AG923)+1,""))</f>
        <v/>
      </c>
      <c r="AH924" s="20">
        <f>IF(A924="",0,IF(AND(OR('CSV抽出'!$C$4="",A924&gt;='CSV抽出'!$C$4),OR('CSV抽出'!$C$5="",A924&lt;='CSV抽出'!$C$5),OR('CSV抽出'!$C$6="すべて",'CSV抽出'!$C$6="",D924='CSV抽出'!$C$6),OR('CSV抽出'!$C$7="",B924&amp;""='CSV抽出'!$C$7&amp;"")),1,0))</f>
        <v/>
      </c>
      <c r="AI924" s="20">
        <f>IF(AH924=1,SUM($AH$5:AH924),"")</f>
        <v/>
      </c>
      <c r="AJ924" s="20">
        <f>IF(OR(S924="",'報告書'!$C$4=""),"",IF(S924&amp;""='報告書'!$C$4&amp;"",COUNTIF($S$5:S924,'報告書'!$C$4),""))</f>
        <v/>
      </c>
      <c r="AK924" s="20" t="n"/>
      <c r="AL924" s="47" t="n"/>
      <c r="AM924" s="47" t="n"/>
      <c r="AN924" s="53" t="n"/>
      <c r="AO924" s="47" t="n"/>
      <c r="AP924" s="47" t="n"/>
      <c r="AQ924" s="47" t="n"/>
      <c r="AR924" s="47" t="n"/>
      <c r="AS924" s="47" t="n"/>
      <c r="AT924" s="47" t="n"/>
      <c r="AU924" s="47" t="n"/>
      <c r="AV924" s="47" t="n"/>
      <c r="AW924" s="52" t="n"/>
    </row>
    <row r="925">
      <c r="A925" s="48" t="n"/>
      <c r="B925" s="52" t="n"/>
      <c r="C925" s="47">
        <f>IF(B925="","",IFERROR(INDEX('隊員マスタ'!$B$5:$B$204,MATCH(B925&amp;"",'隊員マスタ'!$F$5:$F$204,0)),IF(AK925="","番号なし",AK925)))</f>
        <v/>
      </c>
      <c r="D925" s="47" t="n"/>
      <c r="E925" s="47" t="n"/>
      <c r="F925" s="47" t="n"/>
      <c r="G925" s="47" t="n"/>
      <c r="H925" s="47" t="n"/>
      <c r="I925" s="47" t="n"/>
      <c r="J925" s="47" t="n"/>
      <c r="K925" s="47" t="n"/>
      <c r="L925" s="47" t="n"/>
      <c r="M925" s="47" t="n"/>
      <c r="N925" s="47" t="n"/>
      <c r="O925" s="47" t="n"/>
      <c r="P925" s="47" t="n"/>
      <c r="Q925" s="47" t="n"/>
      <c r="R925" s="47" t="n"/>
      <c r="S925" s="47" t="n"/>
      <c r="T925" s="47" t="n"/>
      <c r="U925" s="53" t="n"/>
      <c r="V925" s="53" t="n"/>
      <c r="W925" s="47" t="n"/>
      <c r="X925" s="47" t="n"/>
      <c r="Y925" s="47" t="n"/>
      <c r="Z925" s="47" t="n"/>
      <c r="AA925" s="47" t="n"/>
      <c r="AB925" s="47" t="n"/>
      <c r="AC925" s="47" t="n"/>
      <c r="AD925" s="47" t="n"/>
      <c r="AE925" s="47" t="n"/>
      <c r="AF925" s="20">
        <f>IF(A925="","",YEAR(EDATE(A925,-3)))</f>
        <v/>
      </c>
      <c r="AG925" s="20">
        <f>IF(OR(B925="",'経歴簿'!$C$4=""),"",IF(B925&amp;""='経歴簿'!$C$4&amp;"",MAX($AG$4:AG924)+1,""))</f>
        <v/>
      </c>
      <c r="AH925" s="20">
        <f>IF(A925="",0,IF(AND(OR('CSV抽出'!$C$4="",A925&gt;='CSV抽出'!$C$4),OR('CSV抽出'!$C$5="",A925&lt;='CSV抽出'!$C$5),OR('CSV抽出'!$C$6="すべて",'CSV抽出'!$C$6="",D925='CSV抽出'!$C$6),OR('CSV抽出'!$C$7="",B925&amp;""='CSV抽出'!$C$7&amp;"")),1,0))</f>
        <v/>
      </c>
      <c r="AI925" s="20">
        <f>IF(AH925=1,SUM($AH$5:AH925),"")</f>
        <v/>
      </c>
      <c r="AJ925" s="20">
        <f>IF(OR(S925="",'報告書'!$C$4=""),"",IF(S925&amp;""='報告書'!$C$4&amp;"",COUNTIF($S$5:S925,'報告書'!$C$4),""))</f>
        <v/>
      </c>
      <c r="AK925" s="20" t="n"/>
      <c r="AL925" s="47" t="n"/>
      <c r="AM925" s="47" t="n"/>
      <c r="AN925" s="53" t="n"/>
      <c r="AO925" s="47" t="n"/>
      <c r="AP925" s="47" t="n"/>
      <c r="AQ925" s="47" t="n"/>
      <c r="AR925" s="47" t="n"/>
      <c r="AS925" s="47" t="n"/>
      <c r="AT925" s="47" t="n"/>
      <c r="AU925" s="47" t="n"/>
      <c r="AV925" s="47" t="n"/>
      <c r="AW925" s="52" t="n"/>
    </row>
    <row r="926">
      <c r="A926" s="48" t="n"/>
      <c r="B926" s="52" t="n"/>
      <c r="C926" s="47">
        <f>IF(B926="","",IFERROR(INDEX('隊員マスタ'!$B$5:$B$204,MATCH(B926&amp;"",'隊員マスタ'!$F$5:$F$204,0)),IF(AK926="","番号なし",AK926)))</f>
        <v/>
      </c>
      <c r="D926" s="47" t="n"/>
      <c r="E926" s="47" t="n"/>
      <c r="F926" s="47" t="n"/>
      <c r="G926" s="47" t="n"/>
      <c r="H926" s="47" t="n"/>
      <c r="I926" s="47" t="n"/>
      <c r="J926" s="47" t="n"/>
      <c r="K926" s="47" t="n"/>
      <c r="L926" s="47" t="n"/>
      <c r="M926" s="47" t="n"/>
      <c r="N926" s="47" t="n"/>
      <c r="O926" s="47" t="n"/>
      <c r="P926" s="47" t="n"/>
      <c r="Q926" s="47" t="n"/>
      <c r="R926" s="47" t="n"/>
      <c r="S926" s="47" t="n"/>
      <c r="T926" s="47" t="n"/>
      <c r="U926" s="53" t="n"/>
      <c r="V926" s="53" t="n"/>
      <c r="W926" s="47" t="n"/>
      <c r="X926" s="47" t="n"/>
      <c r="Y926" s="47" t="n"/>
      <c r="Z926" s="47" t="n"/>
      <c r="AA926" s="47" t="n"/>
      <c r="AB926" s="47" t="n"/>
      <c r="AC926" s="47" t="n"/>
      <c r="AD926" s="47" t="n"/>
      <c r="AE926" s="47" t="n"/>
      <c r="AF926" s="20">
        <f>IF(A926="","",YEAR(EDATE(A926,-3)))</f>
        <v/>
      </c>
      <c r="AG926" s="20">
        <f>IF(OR(B926="",'経歴簿'!$C$4=""),"",IF(B926&amp;""='経歴簿'!$C$4&amp;"",MAX($AG$4:AG925)+1,""))</f>
        <v/>
      </c>
      <c r="AH926" s="20">
        <f>IF(A926="",0,IF(AND(OR('CSV抽出'!$C$4="",A926&gt;='CSV抽出'!$C$4),OR('CSV抽出'!$C$5="",A926&lt;='CSV抽出'!$C$5),OR('CSV抽出'!$C$6="すべて",'CSV抽出'!$C$6="",D926='CSV抽出'!$C$6),OR('CSV抽出'!$C$7="",B926&amp;""='CSV抽出'!$C$7&amp;"")),1,0))</f>
        <v/>
      </c>
      <c r="AI926" s="20">
        <f>IF(AH926=1,SUM($AH$5:AH926),"")</f>
        <v/>
      </c>
      <c r="AJ926" s="20">
        <f>IF(OR(S926="",'報告書'!$C$4=""),"",IF(S926&amp;""='報告書'!$C$4&amp;"",COUNTIF($S$5:S926,'報告書'!$C$4),""))</f>
        <v/>
      </c>
      <c r="AK926" s="20" t="n"/>
      <c r="AL926" s="47" t="n"/>
      <c r="AM926" s="47" t="n"/>
      <c r="AN926" s="53" t="n"/>
      <c r="AO926" s="47" t="n"/>
      <c r="AP926" s="47" t="n"/>
      <c r="AQ926" s="47" t="n"/>
      <c r="AR926" s="47" t="n"/>
      <c r="AS926" s="47" t="n"/>
      <c r="AT926" s="47" t="n"/>
      <c r="AU926" s="47" t="n"/>
      <c r="AV926" s="47" t="n"/>
      <c r="AW926" s="52" t="n"/>
    </row>
    <row r="927">
      <c r="A927" s="48" t="n"/>
      <c r="B927" s="52" t="n"/>
      <c r="C927" s="47">
        <f>IF(B927="","",IFERROR(INDEX('隊員マスタ'!$B$5:$B$204,MATCH(B927&amp;"",'隊員マスタ'!$F$5:$F$204,0)),IF(AK927="","番号なし",AK927)))</f>
        <v/>
      </c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  <c r="N927" s="47" t="n"/>
      <c r="O927" s="47" t="n"/>
      <c r="P927" s="47" t="n"/>
      <c r="Q927" s="47" t="n"/>
      <c r="R927" s="47" t="n"/>
      <c r="S927" s="47" t="n"/>
      <c r="T927" s="47" t="n"/>
      <c r="U927" s="53" t="n"/>
      <c r="V927" s="53" t="n"/>
      <c r="W927" s="47" t="n"/>
      <c r="X927" s="47" t="n"/>
      <c r="Y927" s="47" t="n"/>
      <c r="Z927" s="47" t="n"/>
      <c r="AA927" s="47" t="n"/>
      <c r="AB927" s="47" t="n"/>
      <c r="AC927" s="47" t="n"/>
      <c r="AD927" s="47" t="n"/>
      <c r="AE927" s="47" t="n"/>
      <c r="AF927" s="20">
        <f>IF(A927="","",YEAR(EDATE(A927,-3)))</f>
        <v/>
      </c>
      <c r="AG927" s="20">
        <f>IF(OR(B927="",'経歴簿'!$C$4=""),"",IF(B927&amp;""='経歴簿'!$C$4&amp;"",MAX($AG$4:AG926)+1,""))</f>
        <v/>
      </c>
      <c r="AH927" s="20">
        <f>IF(A927="",0,IF(AND(OR('CSV抽出'!$C$4="",A927&gt;='CSV抽出'!$C$4),OR('CSV抽出'!$C$5="",A927&lt;='CSV抽出'!$C$5),OR('CSV抽出'!$C$6="すべて",'CSV抽出'!$C$6="",D927='CSV抽出'!$C$6),OR('CSV抽出'!$C$7="",B927&amp;""='CSV抽出'!$C$7&amp;"")),1,0))</f>
        <v/>
      </c>
      <c r="AI927" s="20">
        <f>IF(AH927=1,SUM($AH$5:AH927),"")</f>
        <v/>
      </c>
      <c r="AJ927" s="20">
        <f>IF(OR(S927="",'報告書'!$C$4=""),"",IF(S927&amp;""='報告書'!$C$4&amp;"",COUNTIF($S$5:S927,'報告書'!$C$4),""))</f>
        <v/>
      </c>
      <c r="AK927" s="20" t="n"/>
      <c r="AL927" s="47" t="n"/>
      <c r="AM927" s="47" t="n"/>
      <c r="AN927" s="53" t="n"/>
      <c r="AO927" s="47" t="n"/>
      <c r="AP927" s="47" t="n"/>
      <c r="AQ927" s="47" t="n"/>
      <c r="AR927" s="47" t="n"/>
      <c r="AS927" s="47" t="n"/>
      <c r="AT927" s="47" t="n"/>
      <c r="AU927" s="47" t="n"/>
      <c r="AV927" s="47" t="n"/>
      <c r="AW927" s="52" t="n"/>
    </row>
    <row r="928">
      <c r="A928" s="48" t="n"/>
      <c r="B928" s="52" t="n"/>
      <c r="C928" s="47">
        <f>IF(B928="","",IFERROR(INDEX('隊員マスタ'!$B$5:$B$204,MATCH(B928&amp;"",'隊員マスタ'!$F$5:$F$204,0)),IF(AK928="","番号なし",AK928)))</f>
        <v/>
      </c>
      <c r="D928" s="47" t="n"/>
      <c r="E928" s="47" t="n"/>
      <c r="F928" s="47" t="n"/>
      <c r="G928" s="47" t="n"/>
      <c r="H928" s="47" t="n"/>
      <c r="I928" s="47" t="n"/>
      <c r="J928" s="47" t="n"/>
      <c r="K928" s="47" t="n"/>
      <c r="L928" s="47" t="n"/>
      <c r="M928" s="47" t="n"/>
      <c r="N928" s="47" t="n"/>
      <c r="O928" s="47" t="n"/>
      <c r="P928" s="47" t="n"/>
      <c r="Q928" s="47" t="n"/>
      <c r="R928" s="47" t="n"/>
      <c r="S928" s="47" t="n"/>
      <c r="T928" s="47" t="n"/>
      <c r="U928" s="53" t="n"/>
      <c r="V928" s="53" t="n"/>
      <c r="W928" s="47" t="n"/>
      <c r="X928" s="47" t="n"/>
      <c r="Y928" s="47" t="n"/>
      <c r="Z928" s="47" t="n"/>
      <c r="AA928" s="47" t="n"/>
      <c r="AB928" s="47" t="n"/>
      <c r="AC928" s="47" t="n"/>
      <c r="AD928" s="47" t="n"/>
      <c r="AE928" s="47" t="n"/>
      <c r="AF928" s="20">
        <f>IF(A928="","",YEAR(EDATE(A928,-3)))</f>
        <v/>
      </c>
      <c r="AG928" s="20">
        <f>IF(OR(B928="",'経歴簿'!$C$4=""),"",IF(B928&amp;""='経歴簿'!$C$4&amp;"",MAX($AG$4:AG927)+1,""))</f>
        <v/>
      </c>
      <c r="AH928" s="20">
        <f>IF(A928="",0,IF(AND(OR('CSV抽出'!$C$4="",A928&gt;='CSV抽出'!$C$4),OR('CSV抽出'!$C$5="",A928&lt;='CSV抽出'!$C$5),OR('CSV抽出'!$C$6="すべて",'CSV抽出'!$C$6="",D928='CSV抽出'!$C$6),OR('CSV抽出'!$C$7="",B928&amp;""='CSV抽出'!$C$7&amp;"")),1,0))</f>
        <v/>
      </c>
      <c r="AI928" s="20">
        <f>IF(AH928=1,SUM($AH$5:AH928),"")</f>
        <v/>
      </c>
      <c r="AJ928" s="20">
        <f>IF(OR(S928="",'報告書'!$C$4=""),"",IF(S928&amp;""='報告書'!$C$4&amp;"",COUNTIF($S$5:S928,'報告書'!$C$4),""))</f>
        <v/>
      </c>
      <c r="AK928" s="20" t="n"/>
      <c r="AL928" s="47" t="n"/>
      <c r="AM928" s="47" t="n"/>
      <c r="AN928" s="53" t="n"/>
      <c r="AO928" s="47" t="n"/>
      <c r="AP928" s="47" t="n"/>
      <c r="AQ928" s="47" t="n"/>
      <c r="AR928" s="47" t="n"/>
      <c r="AS928" s="47" t="n"/>
      <c r="AT928" s="47" t="n"/>
      <c r="AU928" s="47" t="n"/>
      <c r="AV928" s="47" t="n"/>
      <c r="AW928" s="52" t="n"/>
    </row>
    <row r="929">
      <c r="A929" s="48" t="n"/>
      <c r="B929" s="52" t="n"/>
      <c r="C929" s="47">
        <f>IF(B929="","",IFERROR(INDEX('隊員マスタ'!$B$5:$B$204,MATCH(B929&amp;"",'隊員マスタ'!$F$5:$F$204,0)),IF(AK929="","番号なし",AK929)))</f>
        <v/>
      </c>
      <c r="D929" s="47" t="n"/>
      <c r="E929" s="47" t="n"/>
      <c r="F929" s="47" t="n"/>
      <c r="G929" s="47" t="n"/>
      <c r="H929" s="47" t="n"/>
      <c r="I929" s="47" t="n"/>
      <c r="J929" s="47" t="n"/>
      <c r="K929" s="47" t="n"/>
      <c r="L929" s="47" t="n"/>
      <c r="M929" s="47" t="n"/>
      <c r="N929" s="47" t="n"/>
      <c r="O929" s="47" t="n"/>
      <c r="P929" s="47" t="n"/>
      <c r="Q929" s="47" t="n"/>
      <c r="R929" s="47" t="n"/>
      <c r="S929" s="47" t="n"/>
      <c r="T929" s="47" t="n"/>
      <c r="U929" s="53" t="n"/>
      <c r="V929" s="53" t="n"/>
      <c r="W929" s="47" t="n"/>
      <c r="X929" s="47" t="n"/>
      <c r="Y929" s="47" t="n"/>
      <c r="Z929" s="47" t="n"/>
      <c r="AA929" s="47" t="n"/>
      <c r="AB929" s="47" t="n"/>
      <c r="AC929" s="47" t="n"/>
      <c r="AD929" s="47" t="n"/>
      <c r="AE929" s="47" t="n"/>
      <c r="AF929" s="20">
        <f>IF(A929="","",YEAR(EDATE(A929,-3)))</f>
        <v/>
      </c>
      <c r="AG929" s="20">
        <f>IF(OR(B929="",'経歴簿'!$C$4=""),"",IF(B929&amp;""='経歴簿'!$C$4&amp;"",MAX($AG$4:AG928)+1,""))</f>
        <v/>
      </c>
      <c r="AH929" s="20">
        <f>IF(A929="",0,IF(AND(OR('CSV抽出'!$C$4="",A929&gt;='CSV抽出'!$C$4),OR('CSV抽出'!$C$5="",A929&lt;='CSV抽出'!$C$5),OR('CSV抽出'!$C$6="すべて",'CSV抽出'!$C$6="",D929='CSV抽出'!$C$6),OR('CSV抽出'!$C$7="",B929&amp;""='CSV抽出'!$C$7&amp;"")),1,0))</f>
        <v/>
      </c>
      <c r="AI929" s="20">
        <f>IF(AH929=1,SUM($AH$5:AH929),"")</f>
        <v/>
      </c>
      <c r="AJ929" s="20">
        <f>IF(OR(S929="",'報告書'!$C$4=""),"",IF(S929&amp;""='報告書'!$C$4&amp;"",COUNTIF($S$5:S929,'報告書'!$C$4),""))</f>
        <v/>
      </c>
      <c r="AK929" s="20" t="n"/>
      <c r="AL929" s="47" t="n"/>
      <c r="AM929" s="47" t="n"/>
      <c r="AN929" s="53" t="n"/>
      <c r="AO929" s="47" t="n"/>
      <c r="AP929" s="47" t="n"/>
      <c r="AQ929" s="47" t="n"/>
      <c r="AR929" s="47" t="n"/>
      <c r="AS929" s="47" t="n"/>
      <c r="AT929" s="47" t="n"/>
      <c r="AU929" s="47" t="n"/>
      <c r="AV929" s="47" t="n"/>
      <c r="AW929" s="52" t="n"/>
    </row>
    <row r="930">
      <c r="A930" s="48" t="n"/>
      <c r="B930" s="52" t="n"/>
      <c r="C930" s="47">
        <f>IF(B930="","",IFERROR(INDEX('隊員マスタ'!$B$5:$B$204,MATCH(B930&amp;"",'隊員マスタ'!$F$5:$F$204,0)),IF(AK930="","番号なし",AK930)))</f>
        <v/>
      </c>
      <c r="D930" s="47" t="n"/>
      <c r="E930" s="47" t="n"/>
      <c r="F930" s="47" t="n"/>
      <c r="G930" s="47" t="n"/>
      <c r="H930" s="47" t="n"/>
      <c r="I930" s="47" t="n"/>
      <c r="J930" s="47" t="n"/>
      <c r="K930" s="47" t="n"/>
      <c r="L930" s="47" t="n"/>
      <c r="M930" s="47" t="n"/>
      <c r="N930" s="47" t="n"/>
      <c r="O930" s="47" t="n"/>
      <c r="P930" s="47" t="n"/>
      <c r="Q930" s="47" t="n"/>
      <c r="R930" s="47" t="n"/>
      <c r="S930" s="47" t="n"/>
      <c r="T930" s="47" t="n"/>
      <c r="U930" s="53" t="n"/>
      <c r="V930" s="53" t="n"/>
      <c r="W930" s="47" t="n"/>
      <c r="X930" s="47" t="n"/>
      <c r="Y930" s="47" t="n"/>
      <c r="Z930" s="47" t="n"/>
      <c r="AA930" s="47" t="n"/>
      <c r="AB930" s="47" t="n"/>
      <c r="AC930" s="47" t="n"/>
      <c r="AD930" s="47" t="n"/>
      <c r="AE930" s="47" t="n"/>
      <c r="AF930" s="20">
        <f>IF(A930="","",YEAR(EDATE(A930,-3)))</f>
        <v/>
      </c>
      <c r="AG930" s="20">
        <f>IF(OR(B930="",'経歴簿'!$C$4=""),"",IF(B930&amp;""='経歴簿'!$C$4&amp;"",MAX($AG$4:AG929)+1,""))</f>
        <v/>
      </c>
      <c r="AH930" s="20">
        <f>IF(A930="",0,IF(AND(OR('CSV抽出'!$C$4="",A930&gt;='CSV抽出'!$C$4),OR('CSV抽出'!$C$5="",A930&lt;='CSV抽出'!$C$5),OR('CSV抽出'!$C$6="すべて",'CSV抽出'!$C$6="",D930='CSV抽出'!$C$6),OR('CSV抽出'!$C$7="",B930&amp;""='CSV抽出'!$C$7&amp;"")),1,0))</f>
        <v/>
      </c>
      <c r="AI930" s="20">
        <f>IF(AH930=1,SUM($AH$5:AH930),"")</f>
        <v/>
      </c>
      <c r="AJ930" s="20">
        <f>IF(OR(S930="",'報告書'!$C$4=""),"",IF(S930&amp;""='報告書'!$C$4&amp;"",COUNTIF($S$5:S930,'報告書'!$C$4),""))</f>
        <v/>
      </c>
      <c r="AK930" s="20" t="n"/>
      <c r="AL930" s="47" t="n"/>
      <c r="AM930" s="47" t="n"/>
      <c r="AN930" s="53" t="n"/>
      <c r="AO930" s="47" t="n"/>
      <c r="AP930" s="47" t="n"/>
      <c r="AQ930" s="47" t="n"/>
      <c r="AR930" s="47" t="n"/>
      <c r="AS930" s="47" t="n"/>
      <c r="AT930" s="47" t="n"/>
      <c r="AU930" s="47" t="n"/>
      <c r="AV930" s="47" t="n"/>
      <c r="AW930" s="52" t="n"/>
    </row>
    <row r="931">
      <c r="A931" s="48" t="n"/>
      <c r="B931" s="52" t="n"/>
      <c r="C931" s="47">
        <f>IF(B931="","",IFERROR(INDEX('隊員マスタ'!$B$5:$B$204,MATCH(B931&amp;"",'隊員マスタ'!$F$5:$F$204,0)),IF(AK931="","番号なし",AK931)))</f>
        <v/>
      </c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  <c r="N931" s="47" t="n"/>
      <c r="O931" s="47" t="n"/>
      <c r="P931" s="47" t="n"/>
      <c r="Q931" s="47" t="n"/>
      <c r="R931" s="47" t="n"/>
      <c r="S931" s="47" t="n"/>
      <c r="T931" s="47" t="n"/>
      <c r="U931" s="53" t="n"/>
      <c r="V931" s="53" t="n"/>
      <c r="W931" s="47" t="n"/>
      <c r="X931" s="47" t="n"/>
      <c r="Y931" s="47" t="n"/>
      <c r="Z931" s="47" t="n"/>
      <c r="AA931" s="47" t="n"/>
      <c r="AB931" s="47" t="n"/>
      <c r="AC931" s="47" t="n"/>
      <c r="AD931" s="47" t="n"/>
      <c r="AE931" s="47" t="n"/>
      <c r="AF931" s="20">
        <f>IF(A931="","",YEAR(EDATE(A931,-3)))</f>
        <v/>
      </c>
      <c r="AG931" s="20">
        <f>IF(OR(B931="",'経歴簿'!$C$4=""),"",IF(B931&amp;""='経歴簿'!$C$4&amp;"",MAX($AG$4:AG930)+1,""))</f>
        <v/>
      </c>
      <c r="AH931" s="20">
        <f>IF(A931="",0,IF(AND(OR('CSV抽出'!$C$4="",A931&gt;='CSV抽出'!$C$4),OR('CSV抽出'!$C$5="",A931&lt;='CSV抽出'!$C$5),OR('CSV抽出'!$C$6="すべて",'CSV抽出'!$C$6="",D931='CSV抽出'!$C$6),OR('CSV抽出'!$C$7="",B931&amp;""='CSV抽出'!$C$7&amp;"")),1,0))</f>
        <v/>
      </c>
      <c r="AI931" s="20">
        <f>IF(AH931=1,SUM($AH$5:AH931),"")</f>
        <v/>
      </c>
      <c r="AJ931" s="20">
        <f>IF(OR(S931="",'報告書'!$C$4=""),"",IF(S931&amp;""='報告書'!$C$4&amp;"",COUNTIF($S$5:S931,'報告書'!$C$4),""))</f>
        <v/>
      </c>
      <c r="AK931" s="20" t="n"/>
      <c r="AL931" s="47" t="n"/>
      <c r="AM931" s="47" t="n"/>
      <c r="AN931" s="53" t="n"/>
      <c r="AO931" s="47" t="n"/>
      <c r="AP931" s="47" t="n"/>
      <c r="AQ931" s="47" t="n"/>
      <c r="AR931" s="47" t="n"/>
      <c r="AS931" s="47" t="n"/>
      <c r="AT931" s="47" t="n"/>
      <c r="AU931" s="47" t="n"/>
      <c r="AV931" s="47" t="n"/>
      <c r="AW931" s="52" t="n"/>
    </row>
    <row r="932">
      <c r="A932" s="48" t="n"/>
      <c r="B932" s="52" t="n"/>
      <c r="C932" s="47">
        <f>IF(B932="","",IFERROR(INDEX('隊員マスタ'!$B$5:$B$204,MATCH(B932&amp;"",'隊員マスタ'!$F$5:$F$204,0)),IF(AK932="","番号なし",AK932)))</f>
        <v/>
      </c>
      <c r="D932" s="47" t="n"/>
      <c r="E932" s="47" t="n"/>
      <c r="F932" s="47" t="n"/>
      <c r="G932" s="47" t="n"/>
      <c r="H932" s="47" t="n"/>
      <c r="I932" s="47" t="n"/>
      <c r="J932" s="47" t="n"/>
      <c r="K932" s="47" t="n"/>
      <c r="L932" s="47" t="n"/>
      <c r="M932" s="47" t="n"/>
      <c r="N932" s="47" t="n"/>
      <c r="O932" s="47" t="n"/>
      <c r="P932" s="47" t="n"/>
      <c r="Q932" s="47" t="n"/>
      <c r="R932" s="47" t="n"/>
      <c r="S932" s="47" t="n"/>
      <c r="T932" s="47" t="n"/>
      <c r="U932" s="53" t="n"/>
      <c r="V932" s="53" t="n"/>
      <c r="W932" s="47" t="n"/>
      <c r="X932" s="47" t="n"/>
      <c r="Y932" s="47" t="n"/>
      <c r="Z932" s="47" t="n"/>
      <c r="AA932" s="47" t="n"/>
      <c r="AB932" s="47" t="n"/>
      <c r="AC932" s="47" t="n"/>
      <c r="AD932" s="47" t="n"/>
      <c r="AE932" s="47" t="n"/>
      <c r="AF932" s="20">
        <f>IF(A932="","",YEAR(EDATE(A932,-3)))</f>
        <v/>
      </c>
      <c r="AG932" s="20">
        <f>IF(OR(B932="",'経歴簿'!$C$4=""),"",IF(B932&amp;""='経歴簿'!$C$4&amp;"",MAX($AG$4:AG931)+1,""))</f>
        <v/>
      </c>
      <c r="AH932" s="20">
        <f>IF(A932="",0,IF(AND(OR('CSV抽出'!$C$4="",A932&gt;='CSV抽出'!$C$4),OR('CSV抽出'!$C$5="",A932&lt;='CSV抽出'!$C$5),OR('CSV抽出'!$C$6="すべて",'CSV抽出'!$C$6="",D932='CSV抽出'!$C$6),OR('CSV抽出'!$C$7="",B932&amp;""='CSV抽出'!$C$7&amp;"")),1,0))</f>
        <v/>
      </c>
      <c r="AI932" s="20">
        <f>IF(AH932=1,SUM($AH$5:AH932),"")</f>
        <v/>
      </c>
      <c r="AJ932" s="20">
        <f>IF(OR(S932="",'報告書'!$C$4=""),"",IF(S932&amp;""='報告書'!$C$4&amp;"",COUNTIF($S$5:S932,'報告書'!$C$4),""))</f>
        <v/>
      </c>
      <c r="AK932" s="20" t="n"/>
      <c r="AL932" s="47" t="n"/>
      <c r="AM932" s="47" t="n"/>
      <c r="AN932" s="53" t="n"/>
      <c r="AO932" s="47" t="n"/>
      <c r="AP932" s="47" t="n"/>
      <c r="AQ932" s="47" t="n"/>
      <c r="AR932" s="47" t="n"/>
      <c r="AS932" s="47" t="n"/>
      <c r="AT932" s="47" t="n"/>
      <c r="AU932" s="47" t="n"/>
      <c r="AV932" s="47" t="n"/>
      <c r="AW932" s="52" t="n"/>
    </row>
    <row r="933">
      <c r="A933" s="48" t="n"/>
      <c r="B933" s="52" t="n"/>
      <c r="C933" s="47">
        <f>IF(B933="","",IFERROR(INDEX('隊員マスタ'!$B$5:$B$204,MATCH(B933&amp;"",'隊員マスタ'!$F$5:$F$204,0)),IF(AK933="","番号なし",AK933)))</f>
        <v/>
      </c>
      <c r="D933" s="47" t="n"/>
      <c r="E933" s="47" t="n"/>
      <c r="F933" s="47" t="n"/>
      <c r="G933" s="47" t="n"/>
      <c r="H933" s="47" t="n"/>
      <c r="I933" s="47" t="n"/>
      <c r="J933" s="47" t="n"/>
      <c r="K933" s="47" t="n"/>
      <c r="L933" s="47" t="n"/>
      <c r="M933" s="47" t="n"/>
      <c r="N933" s="47" t="n"/>
      <c r="O933" s="47" t="n"/>
      <c r="P933" s="47" t="n"/>
      <c r="Q933" s="47" t="n"/>
      <c r="R933" s="47" t="n"/>
      <c r="S933" s="47" t="n"/>
      <c r="T933" s="47" t="n"/>
      <c r="U933" s="53" t="n"/>
      <c r="V933" s="53" t="n"/>
      <c r="W933" s="47" t="n"/>
      <c r="X933" s="47" t="n"/>
      <c r="Y933" s="47" t="n"/>
      <c r="Z933" s="47" t="n"/>
      <c r="AA933" s="47" t="n"/>
      <c r="AB933" s="47" t="n"/>
      <c r="AC933" s="47" t="n"/>
      <c r="AD933" s="47" t="n"/>
      <c r="AE933" s="47" t="n"/>
      <c r="AF933" s="20">
        <f>IF(A933="","",YEAR(EDATE(A933,-3)))</f>
        <v/>
      </c>
      <c r="AG933" s="20">
        <f>IF(OR(B933="",'経歴簿'!$C$4=""),"",IF(B933&amp;""='経歴簿'!$C$4&amp;"",MAX($AG$4:AG932)+1,""))</f>
        <v/>
      </c>
      <c r="AH933" s="20">
        <f>IF(A933="",0,IF(AND(OR('CSV抽出'!$C$4="",A933&gt;='CSV抽出'!$C$4),OR('CSV抽出'!$C$5="",A933&lt;='CSV抽出'!$C$5),OR('CSV抽出'!$C$6="すべて",'CSV抽出'!$C$6="",D933='CSV抽出'!$C$6),OR('CSV抽出'!$C$7="",B933&amp;""='CSV抽出'!$C$7&amp;"")),1,0))</f>
        <v/>
      </c>
      <c r="AI933" s="20">
        <f>IF(AH933=1,SUM($AH$5:AH933),"")</f>
        <v/>
      </c>
      <c r="AJ933" s="20">
        <f>IF(OR(S933="",'報告書'!$C$4=""),"",IF(S933&amp;""='報告書'!$C$4&amp;"",COUNTIF($S$5:S933,'報告書'!$C$4),""))</f>
        <v/>
      </c>
      <c r="AK933" s="20" t="n"/>
      <c r="AL933" s="47" t="n"/>
      <c r="AM933" s="47" t="n"/>
      <c r="AN933" s="53" t="n"/>
      <c r="AO933" s="47" t="n"/>
      <c r="AP933" s="47" t="n"/>
      <c r="AQ933" s="47" t="n"/>
      <c r="AR933" s="47" t="n"/>
      <c r="AS933" s="47" t="n"/>
      <c r="AT933" s="47" t="n"/>
      <c r="AU933" s="47" t="n"/>
      <c r="AV933" s="47" t="n"/>
      <c r="AW933" s="52" t="n"/>
    </row>
    <row r="934">
      <c r="A934" s="48" t="n"/>
      <c r="B934" s="52" t="n"/>
      <c r="C934" s="47">
        <f>IF(B934="","",IFERROR(INDEX('隊員マスタ'!$B$5:$B$204,MATCH(B934&amp;"",'隊員マスタ'!$F$5:$F$204,0)),IF(AK934="","番号なし",AK934)))</f>
        <v/>
      </c>
      <c r="D934" s="47" t="n"/>
      <c r="E934" s="47" t="n"/>
      <c r="F934" s="47" t="n"/>
      <c r="G934" s="47" t="n"/>
      <c r="H934" s="47" t="n"/>
      <c r="I934" s="47" t="n"/>
      <c r="J934" s="47" t="n"/>
      <c r="K934" s="47" t="n"/>
      <c r="L934" s="47" t="n"/>
      <c r="M934" s="47" t="n"/>
      <c r="N934" s="47" t="n"/>
      <c r="O934" s="47" t="n"/>
      <c r="P934" s="47" t="n"/>
      <c r="Q934" s="47" t="n"/>
      <c r="R934" s="47" t="n"/>
      <c r="S934" s="47" t="n"/>
      <c r="T934" s="47" t="n"/>
      <c r="U934" s="53" t="n"/>
      <c r="V934" s="53" t="n"/>
      <c r="W934" s="47" t="n"/>
      <c r="X934" s="47" t="n"/>
      <c r="Y934" s="47" t="n"/>
      <c r="Z934" s="47" t="n"/>
      <c r="AA934" s="47" t="n"/>
      <c r="AB934" s="47" t="n"/>
      <c r="AC934" s="47" t="n"/>
      <c r="AD934" s="47" t="n"/>
      <c r="AE934" s="47" t="n"/>
      <c r="AF934" s="20">
        <f>IF(A934="","",YEAR(EDATE(A934,-3)))</f>
        <v/>
      </c>
      <c r="AG934" s="20">
        <f>IF(OR(B934="",'経歴簿'!$C$4=""),"",IF(B934&amp;""='経歴簿'!$C$4&amp;"",MAX($AG$4:AG933)+1,""))</f>
        <v/>
      </c>
      <c r="AH934" s="20">
        <f>IF(A934="",0,IF(AND(OR('CSV抽出'!$C$4="",A934&gt;='CSV抽出'!$C$4),OR('CSV抽出'!$C$5="",A934&lt;='CSV抽出'!$C$5),OR('CSV抽出'!$C$6="すべて",'CSV抽出'!$C$6="",D934='CSV抽出'!$C$6),OR('CSV抽出'!$C$7="",B934&amp;""='CSV抽出'!$C$7&amp;"")),1,0))</f>
        <v/>
      </c>
      <c r="AI934" s="20">
        <f>IF(AH934=1,SUM($AH$5:AH934),"")</f>
        <v/>
      </c>
      <c r="AJ934" s="20">
        <f>IF(OR(S934="",'報告書'!$C$4=""),"",IF(S934&amp;""='報告書'!$C$4&amp;"",COUNTIF($S$5:S934,'報告書'!$C$4),""))</f>
        <v/>
      </c>
      <c r="AK934" s="20" t="n"/>
      <c r="AL934" s="47" t="n"/>
      <c r="AM934" s="47" t="n"/>
      <c r="AN934" s="53" t="n"/>
      <c r="AO934" s="47" t="n"/>
      <c r="AP934" s="47" t="n"/>
      <c r="AQ934" s="47" t="n"/>
      <c r="AR934" s="47" t="n"/>
      <c r="AS934" s="47" t="n"/>
      <c r="AT934" s="47" t="n"/>
      <c r="AU934" s="47" t="n"/>
      <c r="AV934" s="47" t="n"/>
      <c r="AW934" s="52" t="n"/>
    </row>
    <row r="935">
      <c r="A935" s="48" t="n"/>
      <c r="B935" s="52" t="n"/>
      <c r="C935" s="47">
        <f>IF(B935="","",IFERROR(INDEX('隊員マスタ'!$B$5:$B$204,MATCH(B935&amp;"",'隊員マスタ'!$F$5:$F$204,0)),IF(AK935="","番号なし",AK935)))</f>
        <v/>
      </c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  <c r="N935" s="47" t="n"/>
      <c r="O935" s="47" t="n"/>
      <c r="P935" s="47" t="n"/>
      <c r="Q935" s="47" t="n"/>
      <c r="R935" s="47" t="n"/>
      <c r="S935" s="47" t="n"/>
      <c r="T935" s="47" t="n"/>
      <c r="U935" s="53" t="n"/>
      <c r="V935" s="53" t="n"/>
      <c r="W935" s="47" t="n"/>
      <c r="X935" s="47" t="n"/>
      <c r="Y935" s="47" t="n"/>
      <c r="Z935" s="47" t="n"/>
      <c r="AA935" s="47" t="n"/>
      <c r="AB935" s="47" t="n"/>
      <c r="AC935" s="47" t="n"/>
      <c r="AD935" s="47" t="n"/>
      <c r="AE935" s="47" t="n"/>
      <c r="AF935" s="20">
        <f>IF(A935="","",YEAR(EDATE(A935,-3)))</f>
        <v/>
      </c>
      <c r="AG935" s="20">
        <f>IF(OR(B935="",'経歴簿'!$C$4=""),"",IF(B935&amp;""='経歴簿'!$C$4&amp;"",MAX($AG$4:AG934)+1,""))</f>
        <v/>
      </c>
      <c r="AH935" s="20">
        <f>IF(A935="",0,IF(AND(OR('CSV抽出'!$C$4="",A935&gt;='CSV抽出'!$C$4),OR('CSV抽出'!$C$5="",A935&lt;='CSV抽出'!$C$5),OR('CSV抽出'!$C$6="すべて",'CSV抽出'!$C$6="",D935='CSV抽出'!$C$6),OR('CSV抽出'!$C$7="",B935&amp;""='CSV抽出'!$C$7&amp;"")),1,0))</f>
        <v/>
      </c>
      <c r="AI935" s="20">
        <f>IF(AH935=1,SUM($AH$5:AH935),"")</f>
        <v/>
      </c>
      <c r="AJ935" s="20">
        <f>IF(OR(S935="",'報告書'!$C$4=""),"",IF(S935&amp;""='報告書'!$C$4&amp;"",COUNTIF($S$5:S935,'報告書'!$C$4),""))</f>
        <v/>
      </c>
      <c r="AK935" s="20" t="n"/>
      <c r="AL935" s="47" t="n"/>
      <c r="AM935" s="47" t="n"/>
      <c r="AN935" s="53" t="n"/>
      <c r="AO935" s="47" t="n"/>
      <c r="AP935" s="47" t="n"/>
      <c r="AQ935" s="47" t="n"/>
      <c r="AR935" s="47" t="n"/>
      <c r="AS935" s="47" t="n"/>
      <c r="AT935" s="47" t="n"/>
      <c r="AU935" s="47" t="n"/>
      <c r="AV935" s="47" t="n"/>
      <c r="AW935" s="52" t="n"/>
    </row>
    <row r="936">
      <c r="A936" s="48" t="n"/>
      <c r="B936" s="52" t="n"/>
      <c r="C936" s="47">
        <f>IF(B936="","",IFERROR(INDEX('隊員マスタ'!$B$5:$B$204,MATCH(B936&amp;"",'隊員マスタ'!$F$5:$F$204,0)),IF(AK936="","番号なし",AK936)))</f>
        <v/>
      </c>
      <c r="D936" s="47" t="n"/>
      <c r="E936" s="47" t="n"/>
      <c r="F936" s="47" t="n"/>
      <c r="G936" s="47" t="n"/>
      <c r="H936" s="47" t="n"/>
      <c r="I936" s="47" t="n"/>
      <c r="J936" s="47" t="n"/>
      <c r="K936" s="47" t="n"/>
      <c r="L936" s="47" t="n"/>
      <c r="M936" s="47" t="n"/>
      <c r="N936" s="47" t="n"/>
      <c r="O936" s="47" t="n"/>
      <c r="P936" s="47" t="n"/>
      <c r="Q936" s="47" t="n"/>
      <c r="R936" s="47" t="n"/>
      <c r="S936" s="47" t="n"/>
      <c r="T936" s="47" t="n"/>
      <c r="U936" s="53" t="n"/>
      <c r="V936" s="53" t="n"/>
      <c r="W936" s="47" t="n"/>
      <c r="X936" s="47" t="n"/>
      <c r="Y936" s="47" t="n"/>
      <c r="Z936" s="47" t="n"/>
      <c r="AA936" s="47" t="n"/>
      <c r="AB936" s="47" t="n"/>
      <c r="AC936" s="47" t="n"/>
      <c r="AD936" s="47" t="n"/>
      <c r="AE936" s="47" t="n"/>
      <c r="AF936" s="20">
        <f>IF(A936="","",YEAR(EDATE(A936,-3)))</f>
        <v/>
      </c>
      <c r="AG936" s="20">
        <f>IF(OR(B936="",'経歴簿'!$C$4=""),"",IF(B936&amp;""='経歴簿'!$C$4&amp;"",MAX($AG$4:AG935)+1,""))</f>
        <v/>
      </c>
      <c r="AH936" s="20">
        <f>IF(A936="",0,IF(AND(OR('CSV抽出'!$C$4="",A936&gt;='CSV抽出'!$C$4),OR('CSV抽出'!$C$5="",A936&lt;='CSV抽出'!$C$5),OR('CSV抽出'!$C$6="すべて",'CSV抽出'!$C$6="",D936='CSV抽出'!$C$6),OR('CSV抽出'!$C$7="",B936&amp;""='CSV抽出'!$C$7&amp;"")),1,0))</f>
        <v/>
      </c>
      <c r="AI936" s="20">
        <f>IF(AH936=1,SUM($AH$5:AH936),"")</f>
        <v/>
      </c>
      <c r="AJ936" s="20">
        <f>IF(OR(S936="",'報告書'!$C$4=""),"",IF(S936&amp;""='報告書'!$C$4&amp;"",COUNTIF($S$5:S936,'報告書'!$C$4),""))</f>
        <v/>
      </c>
      <c r="AK936" s="20" t="n"/>
      <c r="AL936" s="47" t="n"/>
      <c r="AM936" s="47" t="n"/>
      <c r="AN936" s="53" t="n"/>
      <c r="AO936" s="47" t="n"/>
      <c r="AP936" s="47" t="n"/>
      <c r="AQ936" s="47" t="n"/>
      <c r="AR936" s="47" t="n"/>
      <c r="AS936" s="47" t="n"/>
      <c r="AT936" s="47" t="n"/>
      <c r="AU936" s="47" t="n"/>
      <c r="AV936" s="47" t="n"/>
      <c r="AW936" s="52" t="n"/>
    </row>
    <row r="937">
      <c r="A937" s="48" t="n"/>
      <c r="B937" s="52" t="n"/>
      <c r="C937" s="47">
        <f>IF(B937="","",IFERROR(INDEX('隊員マスタ'!$B$5:$B$204,MATCH(B937&amp;"",'隊員マスタ'!$F$5:$F$204,0)),IF(AK937="","番号なし",AK937)))</f>
        <v/>
      </c>
      <c r="D937" s="47" t="n"/>
      <c r="E937" s="47" t="n"/>
      <c r="F937" s="47" t="n"/>
      <c r="G937" s="47" t="n"/>
      <c r="H937" s="47" t="n"/>
      <c r="I937" s="47" t="n"/>
      <c r="J937" s="47" t="n"/>
      <c r="K937" s="47" t="n"/>
      <c r="L937" s="47" t="n"/>
      <c r="M937" s="47" t="n"/>
      <c r="N937" s="47" t="n"/>
      <c r="O937" s="47" t="n"/>
      <c r="P937" s="47" t="n"/>
      <c r="Q937" s="47" t="n"/>
      <c r="R937" s="47" t="n"/>
      <c r="S937" s="47" t="n"/>
      <c r="T937" s="47" t="n"/>
      <c r="U937" s="53" t="n"/>
      <c r="V937" s="53" t="n"/>
      <c r="W937" s="47" t="n"/>
      <c r="X937" s="47" t="n"/>
      <c r="Y937" s="47" t="n"/>
      <c r="Z937" s="47" t="n"/>
      <c r="AA937" s="47" t="n"/>
      <c r="AB937" s="47" t="n"/>
      <c r="AC937" s="47" t="n"/>
      <c r="AD937" s="47" t="n"/>
      <c r="AE937" s="47" t="n"/>
      <c r="AF937" s="20">
        <f>IF(A937="","",YEAR(EDATE(A937,-3)))</f>
        <v/>
      </c>
      <c r="AG937" s="20">
        <f>IF(OR(B937="",'経歴簿'!$C$4=""),"",IF(B937&amp;""='経歴簿'!$C$4&amp;"",MAX($AG$4:AG936)+1,""))</f>
        <v/>
      </c>
      <c r="AH937" s="20">
        <f>IF(A937="",0,IF(AND(OR('CSV抽出'!$C$4="",A937&gt;='CSV抽出'!$C$4),OR('CSV抽出'!$C$5="",A937&lt;='CSV抽出'!$C$5),OR('CSV抽出'!$C$6="すべて",'CSV抽出'!$C$6="",D937='CSV抽出'!$C$6),OR('CSV抽出'!$C$7="",B937&amp;""='CSV抽出'!$C$7&amp;"")),1,0))</f>
        <v/>
      </c>
      <c r="AI937" s="20">
        <f>IF(AH937=1,SUM($AH$5:AH937),"")</f>
        <v/>
      </c>
      <c r="AJ937" s="20">
        <f>IF(OR(S937="",'報告書'!$C$4=""),"",IF(S937&amp;""='報告書'!$C$4&amp;"",COUNTIF($S$5:S937,'報告書'!$C$4),""))</f>
        <v/>
      </c>
      <c r="AK937" s="20" t="n"/>
      <c r="AL937" s="47" t="n"/>
      <c r="AM937" s="47" t="n"/>
      <c r="AN937" s="53" t="n"/>
      <c r="AO937" s="47" t="n"/>
      <c r="AP937" s="47" t="n"/>
      <c r="AQ937" s="47" t="n"/>
      <c r="AR937" s="47" t="n"/>
      <c r="AS937" s="47" t="n"/>
      <c r="AT937" s="47" t="n"/>
      <c r="AU937" s="47" t="n"/>
      <c r="AV937" s="47" t="n"/>
      <c r="AW937" s="52" t="n"/>
    </row>
    <row r="938">
      <c r="A938" s="48" t="n"/>
      <c r="B938" s="52" t="n"/>
      <c r="C938" s="47">
        <f>IF(B938="","",IFERROR(INDEX('隊員マスタ'!$B$5:$B$204,MATCH(B938&amp;"",'隊員マスタ'!$F$5:$F$204,0)),IF(AK938="","番号なし",AK938)))</f>
        <v/>
      </c>
      <c r="D938" s="47" t="n"/>
      <c r="E938" s="47" t="n"/>
      <c r="F938" s="47" t="n"/>
      <c r="G938" s="47" t="n"/>
      <c r="H938" s="47" t="n"/>
      <c r="I938" s="47" t="n"/>
      <c r="J938" s="47" t="n"/>
      <c r="K938" s="47" t="n"/>
      <c r="L938" s="47" t="n"/>
      <c r="M938" s="47" t="n"/>
      <c r="N938" s="47" t="n"/>
      <c r="O938" s="47" t="n"/>
      <c r="P938" s="47" t="n"/>
      <c r="Q938" s="47" t="n"/>
      <c r="R938" s="47" t="n"/>
      <c r="S938" s="47" t="n"/>
      <c r="T938" s="47" t="n"/>
      <c r="U938" s="53" t="n"/>
      <c r="V938" s="53" t="n"/>
      <c r="W938" s="47" t="n"/>
      <c r="X938" s="47" t="n"/>
      <c r="Y938" s="47" t="n"/>
      <c r="Z938" s="47" t="n"/>
      <c r="AA938" s="47" t="n"/>
      <c r="AB938" s="47" t="n"/>
      <c r="AC938" s="47" t="n"/>
      <c r="AD938" s="47" t="n"/>
      <c r="AE938" s="47" t="n"/>
      <c r="AF938" s="20">
        <f>IF(A938="","",YEAR(EDATE(A938,-3)))</f>
        <v/>
      </c>
      <c r="AG938" s="20">
        <f>IF(OR(B938="",'経歴簿'!$C$4=""),"",IF(B938&amp;""='経歴簿'!$C$4&amp;"",MAX($AG$4:AG937)+1,""))</f>
        <v/>
      </c>
      <c r="AH938" s="20">
        <f>IF(A938="",0,IF(AND(OR('CSV抽出'!$C$4="",A938&gt;='CSV抽出'!$C$4),OR('CSV抽出'!$C$5="",A938&lt;='CSV抽出'!$C$5),OR('CSV抽出'!$C$6="すべて",'CSV抽出'!$C$6="",D938='CSV抽出'!$C$6),OR('CSV抽出'!$C$7="",B938&amp;""='CSV抽出'!$C$7&amp;"")),1,0))</f>
        <v/>
      </c>
      <c r="AI938" s="20">
        <f>IF(AH938=1,SUM($AH$5:AH938),"")</f>
        <v/>
      </c>
      <c r="AJ938" s="20">
        <f>IF(OR(S938="",'報告書'!$C$4=""),"",IF(S938&amp;""='報告書'!$C$4&amp;"",COUNTIF($S$5:S938,'報告書'!$C$4),""))</f>
        <v/>
      </c>
      <c r="AK938" s="20" t="n"/>
      <c r="AL938" s="47" t="n"/>
      <c r="AM938" s="47" t="n"/>
      <c r="AN938" s="53" t="n"/>
      <c r="AO938" s="47" t="n"/>
      <c r="AP938" s="47" t="n"/>
      <c r="AQ938" s="47" t="n"/>
      <c r="AR938" s="47" t="n"/>
      <c r="AS938" s="47" t="n"/>
      <c r="AT938" s="47" t="n"/>
      <c r="AU938" s="47" t="n"/>
      <c r="AV938" s="47" t="n"/>
      <c r="AW938" s="52" t="n"/>
    </row>
    <row r="939">
      <c r="A939" s="48" t="n"/>
      <c r="B939" s="52" t="n"/>
      <c r="C939" s="47">
        <f>IF(B939="","",IFERROR(INDEX('隊員マスタ'!$B$5:$B$204,MATCH(B939&amp;"",'隊員マスタ'!$F$5:$F$204,0)),IF(AK939="","番号なし",AK939)))</f>
        <v/>
      </c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  <c r="N939" s="47" t="n"/>
      <c r="O939" s="47" t="n"/>
      <c r="P939" s="47" t="n"/>
      <c r="Q939" s="47" t="n"/>
      <c r="R939" s="47" t="n"/>
      <c r="S939" s="47" t="n"/>
      <c r="T939" s="47" t="n"/>
      <c r="U939" s="53" t="n"/>
      <c r="V939" s="53" t="n"/>
      <c r="W939" s="47" t="n"/>
      <c r="X939" s="47" t="n"/>
      <c r="Y939" s="47" t="n"/>
      <c r="Z939" s="47" t="n"/>
      <c r="AA939" s="47" t="n"/>
      <c r="AB939" s="47" t="n"/>
      <c r="AC939" s="47" t="n"/>
      <c r="AD939" s="47" t="n"/>
      <c r="AE939" s="47" t="n"/>
      <c r="AF939" s="20">
        <f>IF(A939="","",YEAR(EDATE(A939,-3)))</f>
        <v/>
      </c>
      <c r="AG939" s="20">
        <f>IF(OR(B939="",'経歴簿'!$C$4=""),"",IF(B939&amp;""='経歴簿'!$C$4&amp;"",MAX($AG$4:AG938)+1,""))</f>
        <v/>
      </c>
      <c r="AH939" s="20">
        <f>IF(A939="",0,IF(AND(OR('CSV抽出'!$C$4="",A939&gt;='CSV抽出'!$C$4),OR('CSV抽出'!$C$5="",A939&lt;='CSV抽出'!$C$5),OR('CSV抽出'!$C$6="すべて",'CSV抽出'!$C$6="",D939='CSV抽出'!$C$6),OR('CSV抽出'!$C$7="",B939&amp;""='CSV抽出'!$C$7&amp;"")),1,0))</f>
        <v/>
      </c>
      <c r="AI939" s="20">
        <f>IF(AH939=1,SUM($AH$5:AH939),"")</f>
        <v/>
      </c>
      <c r="AJ939" s="20">
        <f>IF(OR(S939="",'報告書'!$C$4=""),"",IF(S939&amp;""='報告書'!$C$4&amp;"",COUNTIF($S$5:S939,'報告書'!$C$4),""))</f>
        <v/>
      </c>
      <c r="AK939" s="20" t="n"/>
      <c r="AL939" s="47" t="n"/>
      <c r="AM939" s="47" t="n"/>
      <c r="AN939" s="53" t="n"/>
      <c r="AO939" s="47" t="n"/>
      <c r="AP939" s="47" t="n"/>
      <c r="AQ939" s="47" t="n"/>
      <c r="AR939" s="47" t="n"/>
      <c r="AS939" s="47" t="n"/>
      <c r="AT939" s="47" t="n"/>
      <c r="AU939" s="47" t="n"/>
      <c r="AV939" s="47" t="n"/>
      <c r="AW939" s="52" t="n"/>
    </row>
    <row r="940">
      <c r="A940" s="48" t="n"/>
      <c r="B940" s="52" t="n"/>
      <c r="C940" s="47">
        <f>IF(B940="","",IFERROR(INDEX('隊員マスタ'!$B$5:$B$204,MATCH(B940&amp;"",'隊員マスタ'!$F$5:$F$204,0)),IF(AK940="","番号なし",AK940)))</f>
        <v/>
      </c>
      <c r="D940" s="47" t="n"/>
      <c r="E940" s="47" t="n"/>
      <c r="F940" s="47" t="n"/>
      <c r="G940" s="47" t="n"/>
      <c r="H940" s="47" t="n"/>
      <c r="I940" s="47" t="n"/>
      <c r="J940" s="47" t="n"/>
      <c r="K940" s="47" t="n"/>
      <c r="L940" s="47" t="n"/>
      <c r="M940" s="47" t="n"/>
      <c r="N940" s="47" t="n"/>
      <c r="O940" s="47" t="n"/>
      <c r="P940" s="47" t="n"/>
      <c r="Q940" s="47" t="n"/>
      <c r="R940" s="47" t="n"/>
      <c r="S940" s="47" t="n"/>
      <c r="T940" s="47" t="n"/>
      <c r="U940" s="53" t="n"/>
      <c r="V940" s="53" t="n"/>
      <c r="W940" s="47" t="n"/>
      <c r="X940" s="47" t="n"/>
      <c r="Y940" s="47" t="n"/>
      <c r="Z940" s="47" t="n"/>
      <c r="AA940" s="47" t="n"/>
      <c r="AB940" s="47" t="n"/>
      <c r="AC940" s="47" t="n"/>
      <c r="AD940" s="47" t="n"/>
      <c r="AE940" s="47" t="n"/>
      <c r="AF940" s="20">
        <f>IF(A940="","",YEAR(EDATE(A940,-3)))</f>
        <v/>
      </c>
      <c r="AG940" s="20">
        <f>IF(OR(B940="",'経歴簿'!$C$4=""),"",IF(B940&amp;""='経歴簿'!$C$4&amp;"",MAX($AG$4:AG939)+1,""))</f>
        <v/>
      </c>
      <c r="AH940" s="20">
        <f>IF(A940="",0,IF(AND(OR('CSV抽出'!$C$4="",A940&gt;='CSV抽出'!$C$4),OR('CSV抽出'!$C$5="",A940&lt;='CSV抽出'!$C$5),OR('CSV抽出'!$C$6="すべて",'CSV抽出'!$C$6="",D940='CSV抽出'!$C$6),OR('CSV抽出'!$C$7="",B940&amp;""='CSV抽出'!$C$7&amp;"")),1,0))</f>
        <v/>
      </c>
      <c r="AI940" s="20">
        <f>IF(AH940=1,SUM($AH$5:AH940),"")</f>
        <v/>
      </c>
      <c r="AJ940" s="20">
        <f>IF(OR(S940="",'報告書'!$C$4=""),"",IF(S940&amp;""='報告書'!$C$4&amp;"",COUNTIF($S$5:S940,'報告書'!$C$4),""))</f>
        <v/>
      </c>
      <c r="AK940" s="20" t="n"/>
      <c r="AL940" s="47" t="n"/>
      <c r="AM940" s="47" t="n"/>
      <c r="AN940" s="53" t="n"/>
      <c r="AO940" s="47" t="n"/>
      <c r="AP940" s="47" t="n"/>
      <c r="AQ940" s="47" t="n"/>
      <c r="AR940" s="47" t="n"/>
      <c r="AS940" s="47" t="n"/>
      <c r="AT940" s="47" t="n"/>
      <c r="AU940" s="47" t="n"/>
      <c r="AV940" s="47" t="n"/>
      <c r="AW940" s="52" t="n"/>
    </row>
    <row r="941">
      <c r="A941" s="48" t="n"/>
      <c r="B941" s="52" t="n"/>
      <c r="C941" s="47">
        <f>IF(B941="","",IFERROR(INDEX('隊員マスタ'!$B$5:$B$204,MATCH(B941&amp;"",'隊員マスタ'!$F$5:$F$204,0)),IF(AK941="","番号なし",AK941)))</f>
        <v/>
      </c>
      <c r="D941" s="47" t="n"/>
      <c r="E941" s="47" t="n"/>
      <c r="F941" s="47" t="n"/>
      <c r="G941" s="47" t="n"/>
      <c r="H941" s="47" t="n"/>
      <c r="I941" s="47" t="n"/>
      <c r="J941" s="47" t="n"/>
      <c r="K941" s="47" t="n"/>
      <c r="L941" s="47" t="n"/>
      <c r="M941" s="47" t="n"/>
      <c r="N941" s="47" t="n"/>
      <c r="O941" s="47" t="n"/>
      <c r="P941" s="47" t="n"/>
      <c r="Q941" s="47" t="n"/>
      <c r="R941" s="47" t="n"/>
      <c r="S941" s="47" t="n"/>
      <c r="T941" s="47" t="n"/>
      <c r="U941" s="53" t="n"/>
      <c r="V941" s="53" t="n"/>
      <c r="W941" s="47" t="n"/>
      <c r="X941" s="47" t="n"/>
      <c r="Y941" s="47" t="n"/>
      <c r="Z941" s="47" t="n"/>
      <c r="AA941" s="47" t="n"/>
      <c r="AB941" s="47" t="n"/>
      <c r="AC941" s="47" t="n"/>
      <c r="AD941" s="47" t="n"/>
      <c r="AE941" s="47" t="n"/>
      <c r="AF941" s="20">
        <f>IF(A941="","",YEAR(EDATE(A941,-3)))</f>
        <v/>
      </c>
      <c r="AG941" s="20">
        <f>IF(OR(B941="",'経歴簿'!$C$4=""),"",IF(B941&amp;""='経歴簿'!$C$4&amp;"",MAX($AG$4:AG940)+1,""))</f>
        <v/>
      </c>
      <c r="AH941" s="20">
        <f>IF(A941="",0,IF(AND(OR('CSV抽出'!$C$4="",A941&gt;='CSV抽出'!$C$4),OR('CSV抽出'!$C$5="",A941&lt;='CSV抽出'!$C$5),OR('CSV抽出'!$C$6="すべて",'CSV抽出'!$C$6="",D941='CSV抽出'!$C$6),OR('CSV抽出'!$C$7="",B941&amp;""='CSV抽出'!$C$7&amp;"")),1,0))</f>
        <v/>
      </c>
      <c r="AI941" s="20">
        <f>IF(AH941=1,SUM($AH$5:AH941),"")</f>
        <v/>
      </c>
      <c r="AJ941" s="20">
        <f>IF(OR(S941="",'報告書'!$C$4=""),"",IF(S941&amp;""='報告書'!$C$4&amp;"",COUNTIF($S$5:S941,'報告書'!$C$4),""))</f>
        <v/>
      </c>
      <c r="AK941" s="20" t="n"/>
      <c r="AL941" s="47" t="n"/>
      <c r="AM941" s="47" t="n"/>
      <c r="AN941" s="53" t="n"/>
      <c r="AO941" s="47" t="n"/>
      <c r="AP941" s="47" t="n"/>
      <c r="AQ941" s="47" t="n"/>
      <c r="AR941" s="47" t="n"/>
      <c r="AS941" s="47" t="n"/>
      <c r="AT941" s="47" t="n"/>
      <c r="AU941" s="47" t="n"/>
      <c r="AV941" s="47" t="n"/>
      <c r="AW941" s="52" t="n"/>
    </row>
    <row r="942">
      <c r="A942" s="48" t="n"/>
      <c r="B942" s="52" t="n"/>
      <c r="C942" s="47">
        <f>IF(B942="","",IFERROR(INDEX('隊員マスタ'!$B$5:$B$204,MATCH(B942&amp;"",'隊員マスタ'!$F$5:$F$204,0)),IF(AK942="","番号なし",AK942)))</f>
        <v/>
      </c>
      <c r="D942" s="47" t="n"/>
      <c r="E942" s="47" t="n"/>
      <c r="F942" s="47" t="n"/>
      <c r="G942" s="47" t="n"/>
      <c r="H942" s="47" t="n"/>
      <c r="I942" s="47" t="n"/>
      <c r="J942" s="47" t="n"/>
      <c r="K942" s="47" t="n"/>
      <c r="L942" s="47" t="n"/>
      <c r="M942" s="47" t="n"/>
      <c r="N942" s="47" t="n"/>
      <c r="O942" s="47" t="n"/>
      <c r="P942" s="47" t="n"/>
      <c r="Q942" s="47" t="n"/>
      <c r="R942" s="47" t="n"/>
      <c r="S942" s="47" t="n"/>
      <c r="T942" s="47" t="n"/>
      <c r="U942" s="53" t="n"/>
      <c r="V942" s="53" t="n"/>
      <c r="W942" s="47" t="n"/>
      <c r="X942" s="47" t="n"/>
      <c r="Y942" s="47" t="n"/>
      <c r="Z942" s="47" t="n"/>
      <c r="AA942" s="47" t="n"/>
      <c r="AB942" s="47" t="n"/>
      <c r="AC942" s="47" t="n"/>
      <c r="AD942" s="47" t="n"/>
      <c r="AE942" s="47" t="n"/>
      <c r="AF942" s="20">
        <f>IF(A942="","",YEAR(EDATE(A942,-3)))</f>
        <v/>
      </c>
      <c r="AG942" s="20">
        <f>IF(OR(B942="",'経歴簿'!$C$4=""),"",IF(B942&amp;""='経歴簿'!$C$4&amp;"",MAX($AG$4:AG941)+1,""))</f>
        <v/>
      </c>
      <c r="AH942" s="20">
        <f>IF(A942="",0,IF(AND(OR('CSV抽出'!$C$4="",A942&gt;='CSV抽出'!$C$4),OR('CSV抽出'!$C$5="",A942&lt;='CSV抽出'!$C$5),OR('CSV抽出'!$C$6="すべて",'CSV抽出'!$C$6="",D942='CSV抽出'!$C$6),OR('CSV抽出'!$C$7="",B942&amp;""='CSV抽出'!$C$7&amp;"")),1,0))</f>
        <v/>
      </c>
      <c r="AI942" s="20">
        <f>IF(AH942=1,SUM($AH$5:AH942),"")</f>
        <v/>
      </c>
      <c r="AJ942" s="20">
        <f>IF(OR(S942="",'報告書'!$C$4=""),"",IF(S942&amp;""='報告書'!$C$4&amp;"",COUNTIF($S$5:S942,'報告書'!$C$4),""))</f>
        <v/>
      </c>
      <c r="AK942" s="20" t="n"/>
      <c r="AL942" s="47" t="n"/>
      <c r="AM942" s="47" t="n"/>
      <c r="AN942" s="53" t="n"/>
      <c r="AO942" s="47" t="n"/>
      <c r="AP942" s="47" t="n"/>
      <c r="AQ942" s="47" t="n"/>
      <c r="AR942" s="47" t="n"/>
      <c r="AS942" s="47" t="n"/>
      <c r="AT942" s="47" t="n"/>
      <c r="AU942" s="47" t="n"/>
      <c r="AV942" s="47" t="n"/>
      <c r="AW942" s="52" t="n"/>
    </row>
    <row r="943">
      <c r="A943" s="48" t="n"/>
      <c r="B943" s="52" t="n"/>
      <c r="C943" s="47">
        <f>IF(B943="","",IFERROR(INDEX('隊員マスタ'!$B$5:$B$204,MATCH(B943&amp;"",'隊員マスタ'!$F$5:$F$204,0)),IF(AK943="","番号なし",AK943)))</f>
        <v/>
      </c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  <c r="N943" s="47" t="n"/>
      <c r="O943" s="47" t="n"/>
      <c r="P943" s="47" t="n"/>
      <c r="Q943" s="47" t="n"/>
      <c r="R943" s="47" t="n"/>
      <c r="S943" s="47" t="n"/>
      <c r="T943" s="47" t="n"/>
      <c r="U943" s="53" t="n"/>
      <c r="V943" s="53" t="n"/>
      <c r="W943" s="47" t="n"/>
      <c r="X943" s="47" t="n"/>
      <c r="Y943" s="47" t="n"/>
      <c r="Z943" s="47" t="n"/>
      <c r="AA943" s="47" t="n"/>
      <c r="AB943" s="47" t="n"/>
      <c r="AC943" s="47" t="n"/>
      <c r="AD943" s="47" t="n"/>
      <c r="AE943" s="47" t="n"/>
      <c r="AF943" s="20">
        <f>IF(A943="","",YEAR(EDATE(A943,-3)))</f>
        <v/>
      </c>
      <c r="AG943" s="20">
        <f>IF(OR(B943="",'経歴簿'!$C$4=""),"",IF(B943&amp;""='経歴簿'!$C$4&amp;"",MAX($AG$4:AG942)+1,""))</f>
        <v/>
      </c>
      <c r="AH943" s="20">
        <f>IF(A943="",0,IF(AND(OR('CSV抽出'!$C$4="",A943&gt;='CSV抽出'!$C$4),OR('CSV抽出'!$C$5="",A943&lt;='CSV抽出'!$C$5),OR('CSV抽出'!$C$6="すべて",'CSV抽出'!$C$6="",D943='CSV抽出'!$C$6),OR('CSV抽出'!$C$7="",B943&amp;""='CSV抽出'!$C$7&amp;"")),1,0))</f>
        <v/>
      </c>
      <c r="AI943" s="20">
        <f>IF(AH943=1,SUM($AH$5:AH943),"")</f>
        <v/>
      </c>
      <c r="AJ943" s="20">
        <f>IF(OR(S943="",'報告書'!$C$4=""),"",IF(S943&amp;""='報告書'!$C$4&amp;"",COUNTIF($S$5:S943,'報告書'!$C$4),""))</f>
        <v/>
      </c>
      <c r="AK943" s="20" t="n"/>
      <c r="AL943" s="47" t="n"/>
      <c r="AM943" s="47" t="n"/>
      <c r="AN943" s="53" t="n"/>
      <c r="AO943" s="47" t="n"/>
      <c r="AP943" s="47" t="n"/>
      <c r="AQ943" s="47" t="n"/>
      <c r="AR943" s="47" t="n"/>
      <c r="AS943" s="47" t="n"/>
      <c r="AT943" s="47" t="n"/>
      <c r="AU943" s="47" t="n"/>
      <c r="AV943" s="47" t="n"/>
      <c r="AW943" s="52" t="n"/>
    </row>
    <row r="944">
      <c r="A944" s="48" t="n"/>
      <c r="B944" s="52" t="n"/>
      <c r="C944" s="47">
        <f>IF(B944="","",IFERROR(INDEX('隊員マスタ'!$B$5:$B$204,MATCH(B944&amp;"",'隊員マスタ'!$F$5:$F$204,0)),IF(AK944="","番号なし",AK944)))</f>
        <v/>
      </c>
      <c r="D944" s="47" t="n"/>
      <c r="E944" s="47" t="n"/>
      <c r="F944" s="47" t="n"/>
      <c r="G944" s="47" t="n"/>
      <c r="H944" s="47" t="n"/>
      <c r="I944" s="47" t="n"/>
      <c r="J944" s="47" t="n"/>
      <c r="K944" s="47" t="n"/>
      <c r="L944" s="47" t="n"/>
      <c r="M944" s="47" t="n"/>
      <c r="N944" s="47" t="n"/>
      <c r="O944" s="47" t="n"/>
      <c r="P944" s="47" t="n"/>
      <c r="Q944" s="47" t="n"/>
      <c r="R944" s="47" t="n"/>
      <c r="S944" s="47" t="n"/>
      <c r="T944" s="47" t="n"/>
      <c r="U944" s="53" t="n"/>
      <c r="V944" s="53" t="n"/>
      <c r="W944" s="47" t="n"/>
      <c r="X944" s="47" t="n"/>
      <c r="Y944" s="47" t="n"/>
      <c r="Z944" s="47" t="n"/>
      <c r="AA944" s="47" t="n"/>
      <c r="AB944" s="47" t="n"/>
      <c r="AC944" s="47" t="n"/>
      <c r="AD944" s="47" t="n"/>
      <c r="AE944" s="47" t="n"/>
      <c r="AF944" s="20">
        <f>IF(A944="","",YEAR(EDATE(A944,-3)))</f>
        <v/>
      </c>
      <c r="AG944" s="20">
        <f>IF(OR(B944="",'経歴簿'!$C$4=""),"",IF(B944&amp;""='経歴簿'!$C$4&amp;"",MAX($AG$4:AG943)+1,""))</f>
        <v/>
      </c>
      <c r="AH944" s="20">
        <f>IF(A944="",0,IF(AND(OR('CSV抽出'!$C$4="",A944&gt;='CSV抽出'!$C$4),OR('CSV抽出'!$C$5="",A944&lt;='CSV抽出'!$C$5),OR('CSV抽出'!$C$6="すべて",'CSV抽出'!$C$6="",D944='CSV抽出'!$C$6),OR('CSV抽出'!$C$7="",B944&amp;""='CSV抽出'!$C$7&amp;"")),1,0))</f>
        <v/>
      </c>
      <c r="AI944" s="20">
        <f>IF(AH944=1,SUM($AH$5:AH944),"")</f>
        <v/>
      </c>
      <c r="AJ944" s="20">
        <f>IF(OR(S944="",'報告書'!$C$4=""),"",IF(S944&amp;""='報告書'!$C$4&amp;"",COUNTIF($S$5:S944,'報告書'!$C$4),""))</f>
        <v/>
      </c>
      <c r="AK944" s="20" t="n"/>
      <c r="AL944" s="47" t="n"/>
      <c r="AM944" s="47" t="n"/>
      <c r="AN944" s="53" t="n"/>
      <c r="AO944" s="47" t="n"/>
      <c r="AP944" s="47" t="n"/>
      <c r="AQ944" s="47" t="n"/>
      <c r="AR944" s="47" t="n"/>
      <c r="AS944" s="47" t="n"/>
      <c r="AT944" s="47" t="n"/>
      <c r="AU944" s="47" t="n"/>
      <c r="AV944" s="47" t="n"/>
      <c r="AW944" s="52" t="n"/>
    </row>
    <row r="945">
      <c r="A945" s="48" t="n"/>
      <c r="B945" s="52" t="n"/>
      <c r="C945" s="47">
        <f>IF(B945="","",IFERROR(INDEX('隊員マスタ'!$B$5:$B$204,MATCH(B945&amp;"",'隊員マスタ'!$F$5:$F$204,0)),IF(AK945="","番号なし",AK945)))</f>
        <v/>
      </c>
      <c r="D945" s="47" t="n"/>
      <c r="E945" s="47" t="n"/>
      <c r="F945" s="47" t="n"/>
      <c r="G945" s="47" t="n"/>
      <c r="H945" s="47" t="n"/>
      <c r="I945" s="47" t="n"/>
      <c r="J945" s="47" t="n"/>
      <c r="K945" s="47" t="n"/>
      <c r="L945" s="47" t="n"/>
      <c r="M945" s="47" t="n"/>
      <c r="N945" s="47" t="n"/>
      <c r="O945" s="47" t="n"/>
      <c r="P945" s="47" t="n"/>
      <c r="Q945" s="47" t="n"/>
      <c r="R945" s="47" t="n"/>
      <c r="S945" s="47" t="n"/>
      <c r="T945" s="47" t="n"/>
      <c r="U945" s="53" t="n"/>
      <c r="V945" s="53" t="n"/>
      <c r="W945" s="47" t="n"/>
      <c r="X945" s="47" t="n"/>
      <c r="Y945" s="47" t="n"/>
      <c r="Z945" s="47" t="n"/>
      <c r="AA945" s="47" t="n"/>
      <c r="AB945" s="47" t="n"/>
      <c r="AC945" s="47" t="n"/>
      <c r="AD945" s="47" t="n"/>
      <c r="AE945" s="47" t="n"/>
      <c r="AF945" s="20">
        <f>IF(A945="","",YEAR(EDATE(A945,-3)))</f>
        <v/>
      </c>
      <c r="AG945" s="20">
        <f>IF(OR(B945="",'経歴簿'!$C$4=""),"",IF(B945&amp;""='経歴簿'!$C$4&amp;"",MAX($AG$4:AG944)+1,""))</f>
        <v/>
      </c>
      <c r="AH945" s="20">
        <f>IF(A945="",0,IF(AND(OR('CSV抽出'!$C$4="",A945&gt;='CSV抽出'!$C$4),OR('CSV抽出'!$C$5="",A945&lt;='CSV抽出'!$C$5),OR('CSV抽出'!$C$6="すべて",'CSV抽出'!$C$6="",D945='CSV抽出'!$C$6),OR('CSV抽出'!$C$7="",B945&amp;""='CSV抽出'!$C$7&amp;"")),1,0))</f>
        <v/>
      </c>
      <c r="AI945" s="20">
        <f>IF(AH945=1,SUM($AH$5:AH945),"")</f>
        <v/>
      </c>
      <c r="AJ945" s="20">
        <f>IF(OR(S945="",'報告書'!$C$4=""),"",IF(S945&amp;""='報告書'!$C$4&amp;"",COUNTIF($S$5:S945,'報告書'!$C$4),""))</f>
        <v/>
      </c>
      <c r="AK945" s="20" t="n"/>
      <c r="AL945" s="47" t="n"/>
      <c r="AM945" s="47" t="n"/>
      <c r="AN945" s="53" t="n"/>
      <c r="AO945" s="47" t="n"/>
      <c r="AP945" s="47" t="n"/>
      <c r="AQ945" s="47" t="n"/>
      <c r="AR945" s="47" t="n"/>
      <c r="AS945" s="47" t="n"/>
      <c r="AT945" s="47" t="n"/>
      <c r="AU945" s="47" t="n"/>
      <c r="AV945" s="47" t="n"/>
      <c r="AW945" s="52" t="n"/>
    </row>
    <row r="946">
      <c r="A946" s="48" t="n"/>
      <c r="B946" s="52" t="n"/>
      <c r="C946" s="47">
        <f>IF(B946="","",IFERROR(INDEX('隊員マスタ'!$B$5:$B$204,MATCH(B946&amp;"",'隊員マスタ'!$F$5:$F$204,0)),IF(AK946="","番号なし",AK946)))</f>
        <v/>
      </c>
      <c r="D946" s="47" t="n"/>
      <c r="E946" s="47" t="n"/>
      <c r="F946" s="47" t="n"/>
      <c r="G946" s="47" t="n"/>
      <c r="H946" s="47" t="n"/>
      <c r="I946" s="47" t="n"/>
      <c r="J946" s="47" t="n"/>
      <c r="K946" s="47" t="n"/>
      <c r="L946" s="47" t="n"/>
      <c r="M946" s="47" t="n"/>
      <c r="N946" s="47" t="n"/>
      <c r="O946" s="47" t="n"/>
      <c r="P946" s="47" t="n"/>
      <c r="Q946" s="47" t="n"/>
      <c r="R946" s="47" t="n"/>
      <c r="S946" s="47" t="n"/>
      <c r="T946" s="47" t="n"/>
      <c r="U946" s="53" t="n"/>
      <c r="V946" s="53" t="n"/>
      <c r="W946" s="47" t="n"/>
      <c r="X946" s="47" t="n"/>
      <c r="Y946" s="47" t="n"/>
      <c r="Z946" s="47" t="n"/>
      <c r="AA946" s="47" t="n"/>
      <c r="AB946" s="47" t="n"/>
      <c r="AC946" s="47" t="n"/>
      <c r="AD946" s="47" t="n"/>
      <c r="AE946" s="47" t="n"/>
      <c r="AF946" s="20">
        <f>IF(A946="","",YEAR(EDATE(A946,-3)))</f>
        <v/>
      </c>
      <c r="AG946" s="20">
        <f>IF(OR(B946="",'経歴簿'!$C$4=""),"",IF(B946&amp;""='経歴簿'!$C$4&amp;"",MAX($AG$4:AG945)+1,""))</f>
        <v/>
      </c>
      <c r="AH946" s="20">
        <f>IF(A946="",0,IF(AND(OR('CSV抽出'!$C$4="",A946&gt;='CSV抽出'!$C$4),OR('CSV抽出'!$C$5="",A946&lt;='CSV抽出'!$C$5),OR('CSV抽出'!$C$6="すべて",'CSV抽出'!$C$6="",D946='CSV抽出'!$C$6),OR('CSV抽出'!$C$7="",B946&amp;""='CSV抽出'!$C$7&amp;"")),1,0))</f>
        <v/>
      </c>
      <c r="AI946" s="20">
        <f>IF(AH946=1,SUM($AH$5:AH946),"")</f>
        <v/>
      </c>
      <c r="AJ946" s="20">
        <f>IF(OR(S946="",'報告書'!$C$4=""),"",IF(S946&amp;""='報告書'!$C$4&amp;"",COUNTIF($S$5:S946,'報告書'!$C$4),""))</f>
        <v/>
      </c>
      <c r="AK946" s="20" t="n"/>
      <c r="AL946" s="47" t="n"/>
      <c r="AM946" s="47" t="n"/>
      <c r="AN946" s="53" t="n"/>
      <c r="AO946" s="47" t="n"/>
      <c r="AP946" s="47" t="n"/>
      <c r="AQ946" s="47" t="n"/>
      <c r="AR946" s="47" t="n"/>
      <c r="AS946" s="47" t="n"/>
      <c r="AT946" s="47" t="n"/>
      <c r="AU946" s="47" t="n"/>
      <c r="AV946" s="47" t="n"/>
      <c r="AW946" s="52" t="n"/>
    </row>
    <row r="947">
      <c r="A947" s="48" t="n"/>
      <c r="B947" s="52" t="n"/>
      <c r="C947" s="47">
        <f>IF(B947="","",IFERROR(INDEX('隊員マスタ'!$B$5:$B$204,MATCH(B947&amp;"",'隊員マスタ'!$F$5:$F$204,0)),IF(AK947="","番号なし",AK947)))</f>
        <v/>
      </c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  <c r="N947" s="47" t="n"/>
      <c r="O947" s="47" t="n"/>
      <c r="P947" s="47" t="n"/>
      <c r="Q947" s="47" t="n"/>
      <c r="R947" s="47" t="n"/>
      <c r="S947" s="47" t="n"/>
      <c r="T947" s="47" t="n"/>
      <c r="U947" s="53" t="n"/>
      <c r="V947" s="53" t="n"/>
      <c r="W947" s="47" t="n"/>
      <c r="X947" s="47" t="n"/>
      <c r="Y947" s="47" t="n"/>
      <c r="Z947" s="47" t="n"/>
      <c r="AA947" s="47" t="n"/>
      <c r="AB947" s="47" t="n"/>
      <c r="AC947" s="47" t="n"/>
      <c r="AD947" s="47" t="n"/>
      <c r="AE947" s="47" t="n"/>
      <c r="AF947" s="20">
        <f>IF(A947="","",YEAR(EDATE(A947,-3)))</f>
        <v/>
      </c>
      <c r="AG947" s="20">
        <f>IF(OR(B947="",'経歴簿'!$C$4=""),"",IF(B947&amp;""='経歴簿'!$C$4&amp;"",MAX($AG$4:AG946)+1,""))</f>
        <v/>
      </c>
      <c r="AH947" s="20">
        <f>IF(A947="",0,IF(AND(OR('CSV抽出'!$C$4="",A947&gt;='CSV抽出'!$C$4),OR('CSV抽出'!$C$5="",A947&lt;='CSV抽出'!$C$5),OR('CSV抽出'!$C$6="すべて",'CSV抽出'!$C$6="",D947='CSV抽出'!$C$6),OR('CSV抽出'!$C$7="",B947&amp;""='CSV抽出'!$C$7&amp;"")),1,0))</f>
        <v/>
      </c>
      <c r="AI947" s="20">
        <f>IF(AH947=1,SUM($AH$5:AH947),"")</f>
        <v/>
      </c>
      <c r="AJ947" s="20">
        <f>IF(OR(S947="",'報告書'!$C$4=""),"",IF(S947&amp;""='報告書'!$C$4&amp;"",COUNTIF($S$5:S947,'報告書'!$C$4),""))</f>
        <v/>
      </c>
      <c r="AK947" s="20" t="n"/>
      <c r="AL947" s="47" t="n"/>
      <c r="AM947" s="47" t="n"/>
      <c r="AN947" s="53" t="n"/>
      <c r="AO947" s="47" t="n"/>
      <c r="AP947" s="47" t="n"/>
      <c r="AQ947" s="47" t="n"/>
      <c r="AR947" s="47" t="n"/>
      <c r="AS947" s="47" t="n"/>
      <c r="AT947" s="47" t="n"/>
      <c r="AU947" s="47" t="n"/>
      <c r="AV947" s="47" t="n"/>
      <c r="AW947" s="52" t="n"/>
    </row>
    <row r="948">
      <c r="A948" s="48" t="n"/>
      <c r="B948" s="52" t="n"/>
      <c r="C948" s="47">
        <f>IF(B948="","",IFERROR(INDEX('隊員マスタ'!$B$5:$B$204,MATCH(B948&amp;"",'隊員マスタ'!$F$5:$F$204,0)),IF(AK948="","番号なし",AK948)))</f>
        <v/>
      </c>
      <c r="D948" s="47" t="n"/>
      <c r="E948" s="47" t="n"/>
      <c r="F948" s="47" t="n"/>
      <c r="G948" s="47" t="n"/>
      <c r="H948" s="47" t="n"/>
      <c r="I948" s="47" t="n"/>
      <c r="J948" s="47" t="n"/>
      <c r="K948" s="47" t="n"/>
      <c r="L948" s="47" t="n"/>
      <c r="M948" s="47" t="n"/>
      <c r="N948" s="47" t="n"/>
      <c r="O948" s="47" t="n"/>
      <c r="P948" s="47" t="n"/>
      <c r="Q948" s="47" t="n"/>
      <c r="R948" s="47" t="n"/>
      <c r="S948" s="47" t="n"/>
      <c r="T948" s="47" t="n"/>
      <c r="U948" s="53" t="n"/>
      <c r="V948" s="53" t="n"/>
      <c r="W948" s="47" t="n"/>
      <c r="X948" s="47" t="n"/>
      <c r="Y948" s="47" t="n"/>
      <c r="Z948" s="47" t="n"/>
      <c r="AA948" s="47" t="n"/>
      <c r="AB948" s="47" t="n"/>
      <c r="AC948" s="47" t="n"/>
      <c r="AD948" s="47" t="n"/>
      <c r="AE948" s="47" t="n"/>
      <c r="AF948" s="20">
        <f>IF(A948="","",YEAR(EDATE(A948,-3)))</f>
        <v/>
      </c>
      <c r="AG948" s="20">
        <f>IF(OR(B948="",'経歴簿'!$C$4=""),"",IF(B948&amp;""='経歴簿'!$C$4&amp;"",MAX($AG$4:AG947)+1,""))</f>
        <v/>
      </c>
      <c r="AH948" s="20">
        <f>IF(A948="",0,IF(AND(OR('CSV抽出'!$C$4="",A948&gt;='CSV抽出'!$C$4),OR('CSV抽出'!$C$5="",A948&lt;='CSV抽出'!$C$5),OR('CSV抽出'!$C$6="すべて",'CSV抽出'!$C$6="",D948='CSV抽出'!$C$6),OR('CSV抽出'!$C$7="",B948&amp;""='CSV抽出'!$C$7&amp;"")),1,0))</f>
        <v/>
      </c>
      <c r="AI948" s="20">
        <f>IF(AH948=1,SUM($AH$5:AH948),"")</f>
        <v/>
      </c>
      <c r="AJ948" s="20">
        <f>IF(OR(S948="",'報告書'!$C$4=""),"",IF(S948&amp;""='報告書'!$C$4&amp;"",COUNTIF($S$5:S948,'報告書'!$C$4),""))</f>
        <v/>
      </c>
      <c r="AK948" s="20" t="n"/>
      <c r="AL948" s="47" t="n"/>
      <c r="AM948" s="47" t="n"/>
      <c r="AN948" s="53" t="n"/>
      <c r="AO948" s="47" t="n"/>
      <c r="AP948" s="47" t="n"/>
      <c r="AQ948" s="47" t="n"/>
      <c r="AR948" s="47" t="n"/>
      <c r="AS948" s="47" t="n"/>
      <c r="AT948" s="47" t="n"/>
      <c r="AU948" s="47" t="n"/>
      <c r="AV948" s="47" t="n"/>
      <c r="AW948" s="52" t="n"/>
    </row>
    <row r="949">
      <c r="A949" s="48" t="n"/>
      <c r="B949" s="52" t="n"/>
      <c r="C949" s="47">
        <f>IF(B949="","",IFERROR(INDEX('隊員マスタ'!$B$5:$B$204,MATCH(B949&amp;"",'隊員マスタ'!$F$5:$F$204,0)),IF(AK949="","番号なし",AK949)))</f>
        <v/>
      </c>
      <c r="D949" s="47" t="n"/>
      <c r="E949" s="47" t="n"/>
      <c r="F949" s="47" t="n"/>
      <c r="G949" s="47" t="n"/>
      <c r="H949" s="47" t="n"/>
      <c r="I949" s="47" t="n"/>
      <c r="J949" s="47" t="n"/>
      <c r="K949" s="47" t="n"/>
      <c r="L949" s="47" t="n"/>
      <c r="M949" s="47" t="n"/>
      <c r="N949" s="47" t="n"/>
      <c r="O949" s="47" t="n"/>
      <c r="P949" s="47" t="n"/>
      <c r="Q949" s="47" t="n"/>
      <c r="R949" s="47" t="n"/>
      <c r="S949" s="47" t="n"/>
      <c r="T949" s="47" t="n"/>
      <c r="U949" s="53" t="n"/>
      <c r="V949" s="53" t="n"/>
      <c r="W949" s="47" t="n"/>
      <c r="X949" s="47" t="n"/>
      <c r="Y949" s="47" t="n"/>
      <c r="Z949" s="47" t="n"/>
      <c r="AA949" s="47" t="n"/>
      <c r="AB949" s="47" t="n"/>
      <c r="AC949" s="47" t="n"/>
      <c r="AD949" s="47" t="n"/>
      <c r="AE949" s="47" t="n"/>
      <c r="AF949" s="20">
        <f>IF(A949="","",YEAR(EDATE(A949,-3)))</f>
        <v/>
      </c>
      <c r="AG949" s="20">
        <f>IF(OR(B949="",'経歴簿'!$C$4=""),"",IF(B949&amp;""='経歴簿'!$C$4&amp;"",MAX($AG$4:AG948)+1,""))</f>
        <v/>
      </c>
      <c r="AH949" s="20">
        <f>IF(A949="",0,IF(AND(OR('CSV抽出'!$C$4="",A949&gt;='CSV抽出'!$C$4),OR('CSV抽出'!$C$5="",A949&lt;='CSV抽出'!$C$5),OR('CSV抽出'!$C$6="すべて",'CSV抽出'!$C$6="",D949='CSV抽出'!$C$6),OR('CSV抽出'!$C$7="",B949&amp;""='CSV抽出'!$C$7&amp;"")),1,0))</f>
        <v/>
      </c>
      <c r="AI949" s="20">
        <f>IF(AH949=1,SUM($AH$5:AH949),"")</f>
        <v/>
      </c>
      <c r="AJ949" s="20">
        <f>IF(OR(S949="",'報告書'!$C$4=""),"",IF(S949&amp;""='報告書'!$C$4&amp;"",COUNTIF($S$5:S949,'報告書'!$C$4),""))</f>
        <v/>
      </c>
      <c r="AK949" s="20" t="n"/>
      <c r="AL949" s="47" t="n"/>
      <c r="AM949" s="47" t="n"/>
      <c r="AN949" s="53" t="n"/>
      <c r="AO949" s="47" t="n"/>
      <c r="AP949" s="47" t="n"/>
      <c r="AQ949" s="47" t="n"/>
      <c r="AR949" s="47" t="n"/>
      <c r="AS949" s="47" t="n"/>
      <c r="AT949" s="47" t="n"/>
      <c r="AU949" s="47" t="n"/>
      <c r="AV949" s="47" t="n"/>
      <c r="AW949" s="52" t="n"/>
    </row>
    <row r="950">
      <c r="A950" s="48" t="n"/>
      <c r="B950" s="52" t="n"/>
      <c r="C950" s="47">
        <f>IF(B950="","",IFERROR(INDEX('隊員マスタ'!$B$5:$B$204,MATCH(B950&amp;"",'隊員マスタ'!$F$5:$F$204,0)),IF(AK950="","番号なし",AK950)))</f>
        <v/>
      </c>
      <c r="D950" s="47" t="n"/>
      <c r="E950" s="47" t="n"/>
      <c r="F950" s="47" t="n"/>
      <c r="G950" s="47" t="n"/>
      <c r="H950" s="47" t="n"/>
      <c r="I950" s="47" t="n"/>
      <c r="J950" s="47" t="n"/>
      <c r="K950" s="47" t="n"/>
      <c r="L950" s="47" t="n"/>
      <c r="M950" s="47" t="n"/>
      <c r="N950" s="47" t="n"/>
      <c r="O950" s="47" t="n"/>
      <c r="P950" s="47" t="n"/>
      <c r="Q950" s="47" t="n"/>
      <c r="R950" s="47" t="n"/>
      <c r="S950" s="47" t="n"/>
      <c r="T950" s="47" t="n"/>
      <c r="U950" s="53" t="n"/>
      <c r="V950" s="53" t="n"/>
      <c r="W950" s="47" t="n"/>
      <c r="X950" s="47" t="n"/>
      <c r="Y950" s="47" t="n"/>
      <c r="Z950" s="47" t="n"/>
      <c r="AA950" s="47" t="n"/>
      <c r="AB950" s="47" t="n"/>
      <c r="AC950" s="47" t="n"/>
      <c r="AD950" s="47" t="n"/>
      <c r="AE950" s="47" t="n"/>
      <c r="AF950" s="20">
        <f>IF(A950="","",YEAR(EDATE(A950,-3)))</f>
        <v/>
      </c>
      <c r="AG950" s="20">
        <f>IF(OR(B950="",'経歴簿'!$C$4=""),"",IF(B950&amp;""='経歴簿'!$C$4&amp;"",MAX($AG$4:AG949)+1,""))</f>
        <v/>
      </c>
      <c r="AH950" s="20">
        <f>IF(A950="",0,IF(AND(OR('CSV抽出'!$C$4="",A950&gt;='CSV抽出'!$C$4),OR('CSV抽出'!$C$5="",A950&lt;='CSV抽出'!$C$5),OR('CSV抽出'!$C$6="すべて",'CSV抽出'!$C$6="",D950='CSV抽出'!$C$6),OR('CSV抽出'!$C$7="",B950&amp;""='CSV抽出'!$C$7&amp;"")),1,0))</f>
        <v/>
      </c>
      <c r="AI950" s="20">
        <f>IF(AH950=1,SUM($AH$5:AH950),"")</f>
        <v/>
      </c>
      <c r="AJ950" s="20">
        <f>IF(OR(S950="",'報告書'!$C$4=""),"",IF(S950&amp;""='報告書'!$C$4&amp;"",COUNTIF($S$5:S950,'報告書'!$C$4),""))</f>
        <v/>
      </c>
      <c r="AK950" s="20" t="n"/>
      <c r="AL950" s="47" t="n"/>
      <c r="AM950" s="47" t="n"/>
      <c r="AN950" s="53" t="n"/>
      <c r="AO950" s="47" t="n"/>
      <c r="AP950" s="47" t="n"/>
      <c r="AQ950" s="47" t="n"/>
      <c r="AR950" s="47" t="n"/>
      <c r="AS950" s="47" t="n"/>
      <c r="AT950" s="47" t="n"/>
      <c r="AU950" s="47" t="n"/>
      <c r="AV950" s="47" t="n"/>
      <c r="AW950" s="52" t="n"/>
    </row>
    <row r="951">
      <c r="A951" s="48" t="n"/>
      <c r="B951" s="52" t="n"/>
      <c r="C951" s="47">
        <f>IF(B951="","",IFERROR(INDEX('隊員マスタ'!$B$5:$B$204,MATCH(B951&amp;"",'隊員マスタ'!$F$5:$F$204,0)),IF(AK951="","番号なし",AK951)))</f>
        <v/>
      </c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  <c r="N951" s="47" t="n"/>
      <c r="O951" s="47" t="n"/>
      <c r="P951" s="47" t="n"/>
      <c r="Q951" s="47" t="n"/>
      <c r="R951" s="47" t="n"/>
      <c r="S951" s="47" t="n"/>
      <c r="T951" s="47" t="n"/>
      <c r="U951" s="53" t="n"/>
      <c r="V951" s="53" t="n"/>
      <c r="W951" s="47" t="n"/>
      <c r="X951" s="47" t="n"/>
      <c r="Y951" s="47" t="n"/>
      <c r="Z951" s="47" t="n"/>
      <c r="AA951" s="47" t="n"/>
      <c r="AB951" s="47" t="n"/>
      <c r="AC951" s="47" t="n"/>
      <c r="AD951" s="47" t="n"/>
      <c r="AE951" s="47" t="n"/>
      <c r="AF951" s="20">
        <f>IF(A951="","",YEAR(EDATE(A951,-3)))</f>
        <v/>
      </c>
      <c r="AG951" s="20">
        <f>IF(OR(B951="",'経歴簿'!$C$4=""),"",IF(B951&amp;""='経歴簿'!$C$4&amp;"",MAX($AG$4:AG950)+1,""))</f>
        <v/>
      </c>
      <c r="AH951" s="20">
        <f>IF(A951="",0,IF(AND(OR('CSV抽出'!$C$4="",A951&gt;='CSV抽出'!$C$4),OR('CSV抽出'!$C$5="",A951&lt;='CSV抽出'!$C$5),OR('CSV抽出'!$C$6="すべて",'CSV抽出'!$C$6="",D951='CSV抽出'!$C$6),OR('CSV抽出'!$C$7="",B951&amp;""='CSV抽出'!$C$7&amp;"")),1,0))</f>
        <v/>
      </c>
      <c r="AI951" s="20">
        <f>IF(AH951=1,SUM($AH$5:AH951),"")</f>
        <v/>
      </c>
      <c r="AJ951" s="20">
        <f>IF(OR(S951="",'報告書'!$C$4=""),"",IF(S951&amp;""='報告書'!$C$4&amp;"",COUNTIF($S$5:S951,'報告書'!$C$4),""))</f>
        <v/>
      </c>
      <c r="AK951" s="20" t="n"/>
      <c r="AL951" s="47" t="n"/>
      <c r="AM951" s="47" t="n"/>
      <c r="AN951" s="53" t="n"/>
      <c r="AO951" s="47" t="n"/>
      <c r="AP951" s="47" t="n"/>
      <c r="AQ951" s="47" t="n"/>
      <c r="AR951" s="47" t="n"/>
      <c r="AS951" s="47" t="n"/>
      <c r="AT951" s="47" t="n"/>
      <c r="AU951" s="47" t="n"/>
      <c r="AV951" s="47" t="n"/>
      <c r="AW951" s="52" t="n"/>
    </row>
    <row r="952">
      <c r="A952" s="48" t="n"/>
      <c r="B952" s="52" t="n"/>
      <c r="C952" s="47">
        <f>IF(B952="","",IFERROR(INDEX('隊員マスタ'!$B$5:$B$204,MATCH(B952&amp;"",'隊員マスタ'!$F$5:$F$204,0)),IF(AK952="","番号なし",AK952)))</f>
        <v/>
      </c>
      <c r="D952" s="47" t="n"/>
      <c r="E952" s="47" t="n"/>
      <c r="F952" s="47" t="n"/>
      <c r="G952" s="47" t="n"/>
      <c r="H952" s="47" t="n"/>
      <c r="I952" s="47" t="n"/>
      <c r="J952" s="47" t="n"/>
      <c r="K952" s="47" t="n"/>
      <c r="L952" s="47" t="n"/>
      <c r="M952" s="47" t="n"/>
      <c r="N952" s="47" t="n"/>
      <c r="O952" s="47" t="n"/>
      <c r="P952" s="47" t="n"/>
      <c r="Q952" s="47" t="n"/>
      <c r="R952" s="47" t="n"/>
      <c r="S952" s="47" t="n"/>
      <c r="T952" s="47" t="n"/>
      <c r="U952" s="53" t="n"/>
      <c r="V952" s="53" t="n"/>
      <c r="W952" s="47" t="n"/>
      <c r="X952" s="47" t="n"/>
      <c r="Y952" s="47" t="n"/>
      <c r="Z952" s="47" t="n"/>
      <c r="AA952" s="47" t="n"/>
      <c r="AB952" s="47" t="n"/>
      <c r="AC952" s="47" t="n"/>
      <c r="AD952" s="47" t="n"/>
      <c r="AE952" s="47" t="n"/>
      <c r="AF952" s="20">
        <f>IF(A952="","",YEAR(EDATE(A952,-3)))</f>
        <v/>
      </c>
      <c r="AG952" s="20">
        <f>IF(OR(B952="",'経歴簿'!$C$4=""),"",IF(B952&amp;""='経歴簿'!$C$4&amp;"",MAX($AG$4:AG951)+1,""))</f>
        <v/>
      </c>
      <c r="AH952" s="20">
        <f>IF(A952="",0,IF(AND(OR('CSV抽出'!$C$4="",A952&gt;='CSV抽出'!$C$4),OR('CSV抽出'!$C$5="",A952&lt;='CSV抽出'!$C$5),OR('CSV抽出'!$C$6="すべて",'CSV抽出'!$C$6="",D952='CSV抽出'!$C$6),OR('CSV抽出'!$C$7="",B952&amp;""='CSV抽出'!$C$7&amp;"")),1,0))</f>
        <v/>
      </c>
      <c r="AI952" s="20">
        <f>IF(AH952=1,SUM($AH$5:AH952),"")</f>
        <v/>
      </c>
      <c r="AJ952" s="20">
        <f>IF(OR(S952="",'報告書'!$C$4=""),"",IF(S952&amp;""='報告書'!$C$4&amp;"",COUNTIF($S$5:S952,'報告書'!$C$4),""))</f>
        <v/>
      </c>
      <c r="AK952" s="20" t="n"/>
      <c r="AL952" s="47" t="n"/>
      <c r="AM952" s="47" t="n"/>
      <c r="AN952" s="53" t="n"/>
      <c r="AO952" s="47" t="n"/>
      <c r="AP952" s="47" t="n"/>
      <c r="AQ952" s="47" t="n"/>
      <c r="AR952" s="47" t="n"/>
      <c r="AS952" s="47" t="n"/>
      <c r="AT952" s="47" t="n"/>
      <c r="AU952" s="47" t="n"/>
      <c r="AV952" s="47" t="n"/>
      <c r="AW952" s="52" t="n"/>
    </row>
    <row r="953">
      <c r="A953" s="48" t="n"/>
      <c r="B953" s="52" t="n"/>
      <c r="C953" s="47">
        <f>IF(B953="","",IFERROR(INDEX('隊員マスタ'!$B$5:$B$204,MATCH(B953&amp;"",'隊員マスタ'!$F$5:$F$204,0)),IF(AK953="","番号なし",AK953)))</f>
        <v/>
      </c>
      <c r="D953" s="47" t="n"/>
      <c r="E953" s="47" t="n"/>
      <c r="F953" s="47" t="n"/>
      <c r="G953" s="47" t="n"/>
      <c r="H953" s="47" t="n"/>
      <c r="I953" s="47" t="n"/>
      <c r="J953" s="47" t="n"/>
      <c r="K953" s="47" t="n"/>
      <c r="L953" s="47" t="n"/>
      <c r="M953" s="47" t="n"/>
      <c r="N953" s="47" t="n"/>
      <c r="O953" s="47" t="n"/>
      <c r="P953" s="47" t="n"/>
      <c r="Q953" s="47" t="n"/>
      <c r="R953" s="47" t="n"/>
      <c r="S953" s="47" t="n"/>
      <c r="T953" s="47" t="n"/>
      <c r="U953" s="53" t="n"/>
      <c r="V953" s="53" t="n"/>
      <c r="W953" s="47" t="n"/>
      <c r="X953" s="47" t="n"/>
      <c r="Y953" s="47" t="n"/>
      <c r="Z953" s="47" t="n"/>
      <c r="AA953" s="47" t="n"/>
      <c r="AB953" s="47" t="n"/>
      <c r="AC953" s="47" t="n"/>
      <c r="AD953" s="47" t="n"/>
      <c r="AE953" s="47" t="n"/>
      <c r="AF953" s="20">
        <f>IF(A953="","",YEAR(EDATE(A953,-3)))</f>
        <v/>
      </c>
      <c r="AG953" s="20">
        <f>IF(OR(B953="",'経歴簿'!$C$4=""),"",IF(B953&amp;""='経歴簿'!$C$4&amp;"",MAX($AG$4:AG952)+1,""))</f>
        <v/>
      </c>
      <c r="AH953" s="20">
        <f>IF(A953="",0,IF(AND(OR('CSV抽出'!$C$4="",A953&gt;='CSV抽出'!$C$4),OR('CSV抽出'!$C$5="",A953&lt;='CSV抽出'!$C$5),OR('CSV抽出'!$C$6="すべて",'CSV抽出'!$C$6="",D953='CSV抽出'!$C$6),OR('CSV抽出'!$C$7="",B953&amp;""='CSV抽出'!$C$7&amp;"")),1,0))</f>
        <v/>
      </c>
      <c r="AI953" s="20">
        <f>IF(AH953=1,SUM($AH$5:AH953),"")</f>
        <v/>
      </c>
      <c r="AJ953" s="20">
        <f>IF(OR(S953="",'報告書'!$C$4=""),"",IF(S953&amp;""='報告書'!$C$4&amp;"",COUNTIF($S$5:S953,'報告書'!$C$4),""))</f>
        <v/>
      </c>
      <c r="AK953" s="20" t="n"/>
      <c r="AL953" s="47" t="n"/>
      <c r="AM953" s="47" t="n"/>
      <c r="AN953" s="53" t="n"/>
      <c r="AO953" s="47" t="n"/>
      <c r="AP953" s="47" t="n"/>
      <c r="AQ953" s="47" t="n"/>
      <c r="AR953" s="47" t="n"/>
      <c r="AS953" s="47" t="n"/>
      <c r="AT953" s="47" t="n"/>
      <c r="AU953" s="47" t="n"/>
      <c r="AV953" s="47" t="n"/>
      <c r="AW953" s="52" t="n"/>
    </row>
    <row r="954">
      <c r="A954" s="48" t="n"/>
      <c r="B954" s="52" t="n"/>
      <c r="C954" s="47">
        <f>IF(B954="","",IFERROR(INDEX('隊員マスタ'!$B$5:$B$204,MATCH(B954&amp;"",'隊員マスタ'!$F$5:$F$204,0)),IF(AK954="","番号なし",AK954)))</f>
        <v/>
      </c>
      <c r="D954" s="47" t="n"/>
      <c r="E954" s="47" t="n"/>
      <c r="F954" s="47" t="n"/>
      <c r="G954" s="47" t="n"/>
      <c r="H954" s="47" t="n"/>
      <c r="I954" s="47" t="n"/>
      <c r="J954" s="47" t="n"/>
      <c r="K954" s="47" t="n"/>
      <c r="L954" s="47" t="n"/>
      <c r="M954" s="47" t="n"/>
      <c r="N954" s="47" t="n"/>
      <c r="O954" s="47" t="n"/>
      <c r="P954" s="47" t="n"/>
      <c r="Q954" s="47" t="n"/>
      <c r="R954" s="47" t="n"/>
      <c r="S954" s="47" t="n"/>
      <c r="T954" s="47" t="n"/>
      <c r="U954" s="53" t="n"/>
      <c r="V954" s="53" t="n"/>
      <c r="W954" s="47" t="n"/>
      <c r="X954" s="47" t="n"/>
      <c r="Y954" s="47" t="n"/>
      <c r="Z954" s="47" t="n"/>
      <c r="AA954" s="47" t="n"/>
      <c r="AB954" s="47" t="n"/>
      <c r="AC954" s="47" t="n"/>
      <c r="AD954" s="47" t="n"/>
      <c r="AE954" s="47" t="n"/>
      <c r="AF954" s="20">
        <f>IF(A954="","",YEAR(EDATE(A954,-3)))</f>
        <v/>
      </c>
      <c r="AG954" s="20">
        <f>IF(OR(B954="",'経歴簿'!$C$4=""),"",IF(B954&amp;""='経歴簿'!$C$4&amp;"",MAX($AG$4:AG953)+1,""))</f>
        <v/>
      </c>
      <c r="AH954" s="20">
        <f>IF(A954="",0,IF(AND(OR('CSV抽出'!$C$4="",A954&gt;='CSV抽出'!$C$4),OR('CSV抽出'!$C$5="",A954&lt;='CSV抽出'!$C$5),OR('CSV抽出'!$C$6="すべて",'CSV抽出'!$C$6="",D954='CSV抽出'!$C$6),OR('CSV抽出'!$C$7="",B954&amp;""='CSV抽出'!$C$7&amp;"")),1,0))</f>
        <v/>
      </c>
      <c r="AI954" s="20">
        <f>IF(AH954=1,SUM($AH$5:AH954),"")</f>
        <v/>
      </c>
      <c r="AJ954" s="20">
        <f>IF(OR(S954="",'報告書'!$C$4=""),"",IF(S954&amp;""='報告書'!$C$4&amp;"",COUNTIF($S$5:S954,'報告書'!$C$4),""))</f>
        <v/>
      </c>
      <c r="AK954" s="20" t="n"/>
      <c r="AL954" s="47" t="n"/>
      <c r="AM954" s="47" t="n"/>
      <c r="AN954" s="53" t="n"/>
      <c r="AO954" s="47" t="n"/>
      <c r="AP954" s="47" t="n"/>
      <c r="AQ954" s="47" t="n"/>
      <c r="AR954" s="47" t="n"/>
      <c r="AS954" s="47" t="n"/>
      <c r="AT954" s="47" t="n"/>
      <c r="AU954" s="47" t="n"/>
      <c r="AV954" s="47" t="n"/>
      <c r="AW954" s="52" t="n"/>
    </row>
    <row r="955">
      <c r="A955" s="48" t="n"/>
      <c r="B955" s="52" t="n"/>
      <c r="C955" s="47">
        <f>IF(B955="","",IFERROR(INDEX('隊員マスタ'!$B$5:$B$204,MATCH(B955&amp;"",'隊員マスタ'!$F$5:$F$204,0)),IF(AK955="","番号なし",AK955)))</f>
        <v/>
      </c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  <c r="N955" s="47" t="n"/>
      <c r="O955" s="47" t="n"/>
      <c r="P955" s="47" t="n"/>
      <c r="Q955" s="47" t="n"/>
      <c r="R955" s="47" t="n"/>
      <c r="S955" s="47" t="n"/>
      <c r="T955" s="47" t="n"/>
      <c r="U955" s="53" t="n"/>
      <c r="V955" s="53" t="n"/>
      <c r="W955" s="47" t="n"/>
      <c r="X955" s="47" t="n"/>
      <c r="Y955" s="47" t="n"/>
      <c r="Z955" s="47" t="n"/>
      <c r="AA955" s="47" t="n"/>
      <c r="AB955" s="47" t="n"/>
      <c r="AC955" s="47" t="n"/>
      <c r="AD955" s="47" t="n"/>
      <c r="AE955" s="47" t="n"/>
      <c r="AF955" s="20">
        <f>IF(A955="","",YEAR(EDATE(A955,-3)))</f>
        <v/>
      </c>
      <c r="AG955" s="20">
        <f>IF(OR(B955="",'経歴簿'!$C$4=""),"",IF(B955&amp;""='経歴簿'!$C$4&amp;"",MAX($AG$4:AG954)+1,""))</f>
        <v/>
      </c>
      <c r="AH955" s="20">
        <f>IF(A955="",0,IF(AND(OR('CSV抽出'!$C$4="",A955&gt;='CSV抽出'!$C$4),OR('CSV抽出'!$C$5="",A955&lt;='CSV抽出'!$C$5),OR('CSV抽出'!$C$6="すべて",'CSV抽出'!$C$6="",D955='CSV抽出'!$C$6),OR('CSV抽出'!$C$7="",B955&amp;""='CSV抽出'!$C$7&amp;"")),1,0))</f>
        <v/>
      </c>
      <c r="AI955" s="20">
        <f>IF(AH955=1,SUM($AH$5:AH955),"")</f>
        <v/>
      </c>
      <c r="AJ955" s="20">
        <f>IF(OR(S955="",'報告書'!$C$4=""),"",IF(S955&amp;""='報告書'!$C$4&amp;"",COUNTIF($S$5:S955,'報告書'!$C$4),""))</f>
        <v/>
      </c>
      <c r="AK955" s="20" t="n"/>
      <c r="AL955" s="47" t="n"/>
      <c r="AM955" s="47" t="n"/>
      <c r="AN955" s="53" t="n"/>
      <c r="AO955" s="47" t="n"/>
      <c r="AP955" s="47" t="n"/>
      <c r="AQ955" s="47" t="n"/>
      <c r="AR955" s="47" t="n"/>
      <c r="AS955" s="47" t="n"/>
      <c r="AT955" s="47" t="n"/>
      <c r="AU955" s="47" t="n"/>
      <c r="AV955" s="47" t="n"/>
      <c r="AW955" s="52" t="n"/>
    </row>
    <row r="956">
      <c r="A956" s="48" t="n"/>
      <c r="B956" s="52" t="n"/>
      <c r="C956" s="47">
        <f>IF(B956="","",IFERROR(INDEX('隊員マスタ'!$B$5:$B$204,MATCH(B956&amp;"",'隊員マスタ'!$F$5:$F$204,0)),IF(AK956="","番号なし",AK956)))</f>
        <v/>
      </c>
      <c r="D956" s="47" t="n"/>
      <c r="E956" s="47" t="n"/>
      <c r="F956" s="47" t="n"/>
      <c r="G956" s="47" t="n"/>
      <c r="H956" s="47" t="n"/>
      <c r="I956" s="47" t="n"/>
      <c r="J956" s="47" t="n"/>
      <c r="K956" s="47" t="n"/>
      <c r="L956" s="47" t="n"/>
      <c r="M956" s="47" t="n"/>
      <c r="N956" s="47" t="n"/>
      <c r="O956" s="47" t="n"/>
      <c r="P956" s="47" t="n"/>
      <c r="Q956" s="47" t="n"/>
      <c r="R956" s="47" t="n"/>
      <c r="S956" s="47" t="n"/>
      <c r="T956" s="47" t="n"/>
      <c r="U956" s="53" t="n"/>
      <c r="V956" s="53" t="n"/>
      <c r="W956" s="47" t="n"/>
      <c r="X956" s="47" t="n"/>
      <c r="Y956" s="47" t="n"/>
      <c r="Z956" s="47" t="n"/>
      <c r="AA956" s="47" t="n"/>
      <c r="AB956" s="47" t="n"/>
      <c r="AC956" s="47" t="n"/>
      <c r="AD956" s="47" t="n"/>
      <c r="AE956" s="47" t="n"/>
      <c r="AF956" s="20">
        <f>IF(A956="","",YEAR(EDATE(A956,-3)))</f>
        <v/>
      </c>
      <c r="AG956" s="20">
        <f>IF(OR(B956="",'経歴簿'!$C$4=""),"",IF(B956&amp;""='経歴簿'!$C$4&amp;"",MAX($AG$4:AG955)+1,""))</f>
        <v/>
      </c>
      <c r="AH956" s="20">
        <f>IF(A956="",0,IF(AND(OR('CSV抽出'!$C$4="",A956&gt;='CSV抽出'!$C$4),OR('CSV抽出'!$C$5="",A956&lt;='CSV抽出'!$C$5),OR('CSV抽出'!$C$6="すべて",'CSV抽出'!$C$6="",D956='CSV抽出'!$C$6),OR('CSV抽出'!$C$7="",B956&amp;""='CSV抽出'!$C$7&amp;"")),1,0))</f>
        <v/>
      </c>
      <c r="AI956" s="20">
        <f>IF(AH956=1,SUM($AH$5:AH956),"")</f>
        <v/>
      </c>
      <c r="AJ956" s="20">
        <f>IF(OR(S956="",'報告書'!$C$4=""),"",IF(S956&amp;""='報告書'!$C$4&amp;"",COUNTIF($S$5:S956,'報告書'!$C$4),""))</f>
        <v/>
      </c>
      <c r="AK956" s="20" t="n"/>
      <c r="AL956" s="47" t="n"/>
      <c r="AM956" s="47" t="n"/>
      <c r="AN956" s="53" t="n"/>
      <c r="AO956" s="47" t="n"/>
      <c r="AP956" s="47" t="n"/>
      <c r="AQ956" s="47" t="n"/>
      <c r="AR956" s="47" t="n"/>
      <c r="AS956" s="47" t="n"/>
      <c r="AT956" s="47" t="n"/>
      <c r="AU956" s="47" t="n"/>
      <c r="AV956" s="47" t="n"/>
      <c r="AW956" s="52" t="n"/>
    </row>
    <row r="957">
      <c r="A957" s="48" t="n"/>
      <c r="B957" s="52" t="n"/>
      <c r="C957" s="47">
        <f>IF(B957="","",IFERROR(INDEX('隊員マスタ'!$B$5:$B$204,MATCH(B957&amp;"",'隊員マスタ'!$F$5:$F$204,0)),IF(AK957="","番号なし",AK957)))</f>
        <v/>
      </c>
      <c r="D957" s="47" t="n"/>
      <c r="E957" s="47" t="n"/>
      <c r="F957" s="47" t="n"/>
      <c r="G957" s="47" t="n"/>
      <c r="H957" s="47" t="n"/>
      <c r="I957" s="47" t="n"/>
      <c r="J957" s="47" t="n"/>
      <c r="K957" s="47" t="n"/>
      <c r="L957" s="47" t="n"/>
      <c r="M957" s="47" t="n"/>
      <c r="N957" s="47" t="n"/>
      <c r="O957" s="47" t="n"/>
      <c r="P957" s="47" t="n"/>
      <c r="Q957" s="47" t="n"/>
      <c r="R957" s="47" t="n"/>
      <c r="S957" s="47" t="n"/>
      <c r="T957" s="47" t="n"/>
      <c r="U957" s="53" t="n"/>
      <c r="V957" s="53" t="n"/>
      <c r="W957" s="47" t="n"/>
      <c r="X957" s="47" t="n"/>
      <c r="Y957" s="47" t="n"/>
      <c r="Z957" s="47" t="n"/>
      <c r="AA957" s="47" t="n"/>
      <c r="AB957" s="47" t="n"/>
      <c r="AC957" s="47" t="n"/>
      <c r="AD957" s="47" t="n"/>
      <c r="AE957" s="47" t="n"/>
      <c r="AF957" s="20">
        <f>IF(A957="","",YEAR(EDATE(A957,-3)))</f>
        <v/>
      </c>
      <c r="AG957" s="20">
        <f>IF(OR(B957="",'経歴簿'!$C$4=""),"",IF(B957&amp;""='経歴簿'!$C$4&amp;"",MAX($AG$4:AG956)+1,""))</f>
        <v/>
      </c>
      <c r="AH957" s="20">
        <f>IF(A957="",0,IF(AND(OR('CSV抽出'!$C$4="",A957&gt;='CSV抽出'!$C$4),OR('CSV抽出'!$C$5="",A957&lt;='CSV抽出'!$C$5),OR('CSV抽出'!$C$6="すべて",'CSV抽出'!$C$6="",D957='CSV抽出'!$C$6),OR('CSV抽出'!$C$7="",B957&amp;""='CSV抽出'!$C$7&amp;"")),1,0))</f>
        <v/>
      </c>
      <c r="AI957" s="20">
        <f>IF(AH957=1,SUM($AH$5:AH957),"")</f>
        <v/>
      </c>
      <c r="AJ957" s="20">
        <f>IF(OR(S957="",'報告書'!$C$4=""),"",IF(S957&amp;""='報告書'!$C$4&amp;"",COUNTIF($S$5:S957,'報告書'!$C$4),""))</f>
        <v/>
      </c>
      <c r="AK957" s="20" t="n"/>
      <c r="AL957" s="47" t="n"/>
      <c r="AM957" s="47" t="n"/>
      <c r="AN957" s="53" t="n"/>
      <c r="AO957" s="47" t="n"/>
      <c r="AP957" s="47" t="n"/>
      <c r="AQ957" s="47" t="n"/>
      <c r="AR957" s="47" t="n"/>
      <c r="AS957" s="47" t="n"/>
      <c r="AT957" s="47" t="n"/>
      <c r="AU957" s="47" t="n"/>
      <c r="AV957" s="47" t="n"/>
      <c r="AW957" s="52" t="n"/>
    </row>
    <row r="958">
      <c r="A958" s="48" t="n"/>
      <c r="B958" s="52" t="n"/>
      <c r="C958" s="47">
        <f>IF(B958="","",IFERROR(INDEX('隊員マスタ'!$B$5:$B$204,MATCH(B958&amp;"",'隊員マスタ'!$F$5:$F$204,0)),IF(AK958="","番号なし",AK958)))</f>
        <v/>
      </c>
      <c r="D958" s="47" t="n"/>
      <c r="E958" s="47" t="n"/>
      <c r="F958" s="47" t="n"/>
      <c r="G958" s="47" t="n"/>
      <c r="H958" s="47" t="n"/>
      <c r="I958" s="47" t="n"/>
      <c r="J958" s="47" t="n"/>
      <c r="K958" s="47" t="n"/>
      <c r="L958" s="47" t="n"/>
      <c r="M958" s="47" t="n"/>
      <c r="N958" s="47" t="n"/>
      <c r="O958" s="47" t="n"/>
      <c r="P958" s="47" t="n"/>
      <c r="Q958" s="47" t="n"/>
      <c r="R958" s="47" t="n"/>
      <c r="S958" s="47" t="n"/>
      <c r="T958" s="47" t="n"/>
      <c r="U958" s="53" t="n"/>
      <c r="V958" s="53" t="n"/>
      <c r="W958" s="47" t="n"/>
      <c r="X958" s="47" t="n"/>
      <c r="Y958" s="47" t="n"/>
      <c r="Z958" s="47" t="n"/>
      <c r="AA958" s="47" t="n"/>
      <c r="AB958" s="47" t="n"/>
      <c r="AC958" s="47" t="n"/>
      <c r="AD958" s="47" t="n"/>
      <c r="AE958" s="47" t="n"/>
      <c r="AF958" s="20">
        <f>IF(A958="","",YEAR(EDATE(A958,-3)))</f>
        <v/>
      </c>
      <c r="AG958" s="20">
        <f>IF(OR(B958="",'経歴簿'!$C$4=""),"",IF(B958&amp;""='経歴簿'!$C$4&amp;"",MAX($AG$4:AG957)+1,""))</f>
        <v/>
      </c>
      <c r="AH958" s="20">
        <f>IF(A958="",0,IF(AND(OR('CSV抽出'!$C$4="",A958&gt;='CSV抽出'!$C$4),OR('CSV抽出'!$C$5="",A958&lt;='CSV抽出'!$C$5),OR('CSV抽出'!$C$6="すべて",'CSV抽出'!$C$6="",D958='CSV抽出'!$C$6),OR('CSV抽出'!$C$7="",B958&amp;""='CSV抽出'!$C$7&amp;"")),1,0))</f>
        <v/>
      </c>
      <c r="AI958" s="20">
        <f>IF(AH958=1,SUM($AH$5:AH958),"")</f>
        <v/>
      </c>
      <c r="AJ958" s="20">
        <f>IF(OR(S958="",'報告書'!$C$4=""),"",IF(S958&amp;""='報告書'!$C$4&amp;"",COUNTIF($S$5:S958,'報告書'!$C$4),""))</f>
        <v/>
      </c>
      <c r="AK958" s="20" t="n"/>
      <c r="AL958" s="47" t="n"/>
      <c r="AM958" s="47" t="n"/>
      <c r="AN958" s="53" t="n"/>
      <c r="AO958" s="47" t="n"/>
      <c r="AP958" s="47" t="n"/>
      <c r="AQ958" s="47" t="n"/>
      <c r="AR958" s="47" t="n"/>
      <c r="AS958" s="47" t="n"/>
      <c r="AT958" s="47" t="n"/>
      <c r="AU958" s="47" t="n"/>
      <c r="AV958" s="47" t="n"/>
      <c r="AW958" s="52" t="n"/>
    </row>
    <row r="959">
      <c r="A959" s="48" t="n"/>
      <c r="B959" s="52" t="n"/>
      <c r="C959" s="47">
        <f>IF(B959="","",IFERROR(INDEX('隊員マスタ'!$B$5:$B$204,MATCH(B959&amp;"",'隊員マスタ'!$F$5:$F$204,0)),IF(AK959="","番号なし",AK959)))</f>
        <v/>
      </c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  <c r="N959" s="47" t="n"/>
      <c r="O959" s="47" t="n"/>
      <c r="P959" s="47" t="n"/>
      <c r="Q959" s="47" t="n"/>
      <c r="R959" s="47" t="n"/>
      <c r="S959" s="47" t="n"/>
      <c r="T959" s="47" t="n"/>
      <c r="U959" s="53" t="n"/>
      <c r="V959" s="53" t="n"/>
      <c r="W959" s="47" t="n"/>
      <c r="X959" s="47" t="n"/>
      <c r="Y959" s="47" t="n"/>
      <c r="Z959" s="47" t="n"/>
      <c r="AA959" s="47" t="n"/>
      <c r="AB959" s="47" t="n"/>
      <c r="AC959" s="47" t="n"/>
      <c r="AD959" s="47" t="n"/>
      <c r="AE959" s="47" t="n"/>
      <c r="AF959" s="20">
        <f>IF(A959="","",YEAR(EDATE(A959,-3)))</f>
        <v/>
      </c>
      <c r="AG959" s="20">
        <f>IF(OR(B959="",'経歴簿'!$C$4=""),"",IF(B959&amp;""='経歴簿'!$C$4&amp;"",MAX($AG$4:AG958)+1,""))</f>
        <v/>
      </c>
      <c r="AH959" s="20">
        <f>IF(A959="",0,IF(AND(OR('CSV抽出'!$C$4="",A959&gt;='CSV抽出'!$C$4),OR('CSV抽出'!$C$5="",A959&lt;='CSV抽出'!$C$5),OR('CSV抽出'!$C$6="すべて",'CSV抽出'!$C$6="",D959='CSV抽出'!$C$6),OR('CSV抽出'!$C$7="",B959&amp;""='CSV抽出'!$C$7&amp;"")),1,0))</f>
        <v/>
      </c>
      <c r="AI959" s="20">
        <f>IF(AH959=1,SUM($AH$5:AH959),"")</f>
        <v/>
      </c>
      <c r="AJ959" s="20">
        <f>IF(OR(S959="",'報告書'!$C$4=""),"",IF(S959&amp;""='報告書'!$C$4&amp;"",COUNTIF($S$5:S959,'報告書'!$C$4),""))</f>
        <v/>
      </c>
      <c r="AK959" s="20" t="n"/>
      <c r="AL959" s="47" t="n"/>
      <c r="AM959" s="47" t="n"/>
      <c r="AN959" s="53" t="n"/>
      <c r="AO959" s="47" t="n"/>
      <c r="AP959" s="47" t="n"/>
      <c r="AQ959" s="47" t="n"/>
      <c r="AR959" s="47" t="n"/>
      <c r="AS959" s="47" t="n"/>
      <c r="AT959" s="47" t="n"/>
      <c r="AU959" s="47" t="n"/>
      <c r="AV959" s="47" t="n"/>
      <c r="AW959" s="52" t="n"/>
    </row>
    <row r="960">
      <c r="A960" s="48" t="n"/>
      <c r="B960" s="52" t="n"/>
      <c r="C960" s="47">
        <f>IF(B960="","",IFERROR(INDEX('隊員マスタ'!$B$5:$B$204,MATCH(B960&amp;"",'隊員マスタ'!$F$5:$F$204,0)),IF(AK960="","番号なし",AK960)))</f>
        <v/>
      </c>
      <c r="D960" s="47" t="n"/>
      <c r="E960" s="47" t="n"/>
      <c r="F960" s="47" t="n"/>
      <c r="G960" s="47" t="n"/>
      <c r="H960" s="47" t="n"/>
      <c r="I960" s="47" t="n"/>
      <c r="J960" s="47" t="n"/>
      <c r="K960" s="47" t="n"/>
      <c r="L960" s="47" t="n"/>
      <c r="M960" s="47" t="n"/>
      <c r="N960" s="47" t="n"/>
      <c r="O960" s="47" t="n"/>
      <c r="P960" s="47" t="n"/>
      <c r="Q960" s="47" t="n"/>
      <c r="R960" s="47" t="n"/>
      <c r="S960" s="47" t="n"/>
      <c r="T960" s="47" t="n"/>
      <c r="U960" s="53" t="n"/>
      <c r="V960" s="53" t="n"/>
      <c r="W960" s="47" t="n"/>
      <c r="X960" s="47" t="n"/>
      <c r="Y960" s="47" t="n"/>
      <c r="Z960" s="47" t="n"/>
      <c r="AA960" s="47" t="n"/>
      <c r="AB960" s="47" t="n"/>
      <c r="AC960" s="47" t="n"/>
      <c r="AD960" s="47" t="n"/>
      <c r="AE960" s="47" t="n"/>
      <c r="AF960" s="20">
        <f>IF(A960="","",YEAR(EDATE(A960,-3)))</f>
        <v/>
      </c>
      <c r="AG960" s="20">
        <f>IF(OR(B960="",'経歴簿'!$C$4=""),"",IF(B960&amp;""='経歴簿'!$C$4&amp;"",MAX($AG$4:AG959)+1,""))</f>
        <v/>
      </c>
      <c r="AH960" s="20">
        <f>IF(A960="",0,IF(AND(OR('CSV抽出'!$C$4="",A960&gt;='CSV抽出'!$C$4),OR('CSV抽出'!$C$5="",A960&lt;='CSV抽出'!$C$5),OR('CSV抽出'!$C$6="すべて",'CSV抽出'!$C$6="",D960='CSV抽出'!$C$6),OR('CSV抽出'!$C$7="",B960&amp;""='CSV抽出'!$C$7&amp;"")),1,0))</f>
        <v/>
      </c>
      <c r="AI960" s="20">
        <f>IF(AH960=1,SUM($AH$5:AH960),"")</f>
        <v/>
      </c>
      <c r="AJ960" s="20">
        <f>IF(OR(S960="",'報告書'!$C$4=""),"",IF(S960&amp;""='報告書'!$C$4&amp;"",COUNTIF($S$5:S960,'報告書'!$C$4),""))</f>
        <v/>
      </c>
      <c r="AK960" s="20" t="n"/>
      <c r="AL960" s="47" t="n"/>
      <c r="AM960" s="47" t="n"/>
      <c r="AN960" s="53" t="n"/>
      <c r="AO960" s="47" t="n"/>
      <c r="AP960" s="47" t="n"/>
      <c r="AQ960" s="47" t="n"/>
      <c r="AR960" s="47" t="n"/>
      <c r="AS960" s="47" t="n"/>
      <c r="AT960" s="47" t="n"/>
      <c r="AU960" s="47" t="n"/>
      <c r="AV960" s="47" t="n"/>
      <c r="AW960" s="52" t="n"/>
    </row>
    <row r="961">
      <c r="A961" s="48" t="n"/>
      <c r="B961" s="52" t="n"/>
      <c r="C961" s="47">
        <f>IF(B961="","",IFERROR(INDEX('隊員マスタ'!$B$5:$B$204,MATCH(B961&amp;"",'隊員マスタ'!$F$5:$F$204,0)),IF(AK961="","番号なし",AK961)))</f>
        <v/>
      </c>
      <c r="D961" s="47" t="n"/>
      <c r="E961" s="47" t="n"/>
      <c r="F961" s="47" t="n"/>
      <c r="G961" s="47" t="n"/>
      <c r="H961" s="47" t="n"/>
      <c r="I961" s="47" t="n"/>
      <c r="J961" s="47" t="n"/>
      <c r="K961" s="47" t="n"/>
      <c r="L961" s="47" t="n"/>
      <c r="M961" s="47" t="n"/>
      <c r="N961" s="47" t="n"/>
      <c r="O961" s="47" t="n"/>
      <c r="P961" s="47" t="n"/>
      <c r="Q961" s="47" t="n"/>
      <c r="R961" s="47" t="n"/>
      <c r="S961" s="47" t="n"/>
      <c r="T961" s="47" t="n"/>
      <c r="U961" s="53" t="n"/>
      <c r="V961" s="53" t="n"/>
      <c r="W961" s="47" t="n"/>
      <c r="X961" s="47" t="n"/>
      <c r="Y961" s="47" t="n"/>
      <c r="Z961" s="47" t="n"/>
      <c r="AA961" s="47" t="n"/>
      <c r="AB961" s="47" t="n"/>
      <c r="AC961" s="47" t="n"/>
      <c r="AD961" s="47" t="n"/>
      <c r="AE961" s="47" t="n"/>
      <c r="AF961" s="20">
        <f>IF(A961="","",YEAR(EDATE(A961,-3)))</f>
        <v/>
      </c>
      <c r="AG961" s="20">
        <f>IF(OR(B961="",'経歴簿'!$C$4=""),"",IF(B961&amp;""='経歴簿'!$C$4&amp;"",MAX($AG$4:AG960)+1,""))</f>
        <v/>
      </c>
      <c r="AH961" s="20">
        <f>IF(A961="",0,IF(AND(OR('CSV抽出'!$C$4="",A961&gt;='CSV抽出'!$C$4),OR('CSV抽出'!$C$5="",A961&lt;='CSV抽出'!$C$5),OR('CSV抽出'!$C$6="すべて",'CSV抽出'!$C$6="",D961='CSV抽出'!$C$6),OR('CSV抽出'!$C$7="",B961&amp;""='CSV抽出'!$C$7&amp;"")),1,0))</f>
        <v/>
      </c>
      <c r="AI961" s="20">
        <f>IF(AH961=1,SUM($AH$5:AH961),"")</f>
        <v/>
      </c>
      <c r="AJ961" s="20">
        <f>IF(OR(S961="",'報告書'!$C$4=""),"",IF(S961&amp;""='報告書'!$C$4&amp;"",COUNTIF($S$5:S961,'報告書'!$C$4),""))</f>
        <v/>
      </c>
      <c r="AK961" s="20" t="n"/>
      <c r="AL961" s="47" t="n"/>
      <c r="AM961" s="47" t="n"/>
      <c r="AN961" s="53" t="n"/>
      <c r="AO961" s="47" t="n"/>
      <c r="AP961" s="47" t="n"/>
      <c r="AQ961" s="47" t="n"/>
      <c r="AR961" s="47" t="n"/>
      <c r="AS961" s="47" t="n"/>
      <c r="AT961" s="47" t="n"/>
      <c r="AU961" s="47" t="n"/>
      <c r="AV961" s="47" t="n"/>
      <c r="AW961" s="52" t="n"/>
    </row>
    <row r="962">
      <c r="A962" s="48" t="n"/>
      <c r="B962" s="52" t="n"/>
      <c r="C962" s="47">
        <f>IF(B962="","",IFERROR(INDEX('隊員マスタ'!$B$5:$B$204,MATCH(B962&amp;"",'隊員マスタ'!$F$5:$F$204,0)),IF(AK962="","番号なし",AK962)))</f>
        <v/>
      </c>
      <c r="D962" s="47" t="n"/>
      <c r="E962" s="47" t="n"/>
      <c r="F962" s="47" t="n"/>
      <c r="G962" s="47" t="n"/>
      <c r="H962" s="47" t="n"/>
      <c r="I962" s="47" t="n"/>
      <c r="J962" s="47" t="n"/>
      <c r="K962" s="47" t="n"/>
      <c r="L962" s="47" t="n"/>
      <c r="M962" s="47" t="n"/>
      <c r="N962" s="47" t="n"/>
      <c r="O962" s="47" t="n"/>
      <c r="P962" s="47" t="n"/>
      <c r="Q962" s="47" t="n"/>
      <c r="R962" s="47" t="n"/>
      <c r="S962" s="47" t="n"/>
      <c r="T962" s="47" t="n"/>
      <c r="U962" s="53" t="n"/>
      <c r="V962" s="53" t="n"/>
      <c r="W962" s="47" t="n"/>
      <c r="X962" s="47" t="n"/>
      <c r="Y962" s="47" t="n"/>
      <c r="Z962" s="47" t="n"/>
      <c r="AA962" s="47" t="n"/>
      <c r="AB962" s="47" t="n"/>
      <c r="AC962" s="47" t="n"/>
      <c r="AD962" s="47" t="n"/>
      <c r="AE962" s="47" t="n"/>
      <c r="AF962" s="20">
        <f>IF(A962="","",YEAR(EDATE(A962,-3)))</f>
        <v/>
      </c>
      <c r="AG962" s="20">
        <f>IF(OR(B962="",'経歴簿'!$C$4=""),"",IF(B962&amp;""='経歴簿'!$C$4&amp;"",MAX($AG$4:AG961)+1,""))</f>
        <v/>
      </c>
      <c r="AH962" s="20">
        <f>IF(A962="",0,IF(AND(OR('CSV抽出'!$C$4="",A962&gt;='CSV抽出'!$C$4),OR('CSV抽出'!$C$5="",A962&lt;='CSV抽出'!$C$5),OR('CSV抽出'!$C$6="すべて",'CSV抽出'!$C$6="",D962='CSV抽出'!$C$6),OR('CSV抽出'!$C$7="",B962&amp;""='CSV抽出'!$C$7&amp;"")),1,0))</f>
        <v/>
      </c>
      <c r="AI962" s="20">
        <f>IF(AH962=1,SUM($AH$5:AH962),"")</f>
        <v/>
      </c>
      <c r="AJ962" s="20">
        <f>IF(OR(S962="",'報告書'!$C$4=""),"",IF(S962&amp;""='報告書'!$C$4&amp;"",COUNTIF($S$5:S962,'報告書'!$C$4),""))</f>
        <v/>
      </c>
      <c r="AK962" s="20" t="n"/>
      <c r="AL962" s="47" t="n"/>
      <c r="AM962" s="47" t="n"/>
      <c r="AN962" s="53" t="n"/>
      <c r="AO962" s="47" t="n"/>
      <c r="AP962" s="47" t="n"/>
      <c r="AQ962" s="47" t="n"/>
      <c r="AR962" s="47" t="n"/>
      <c r="AS962" s="47" t="n"/>
      <c r="AT962" s="47" t="n"/>
      <c r="AU962" s="47" t="n"/>
      <c r="AV962" s="47" t="n"/>
      <c r="AW962" s="52" t="n"/>
    </row>
    <row r="963">
      <c r="A963" s="48" t="n"/>
      <c r="B963" s="52" t="n"/>
      <c r="C963" s="47">
        <f>IF(B963="","",IFERROR(INDEX('隊員マスタ'!$B$5:$B$204,MATCH(B963&amp;"",'隊員マスタ'!$F$5:$F$204,0)),IF(AK963="","番号なし",AK963)))</f>
        <v/>
      </c>
      <c r="D963" s="47" t="n"/>
      <c r="E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  <c r="N963" s="47" t="n"/>
      <c r="O963" s="47" t="n"/>
      <c r="P963" s="47" t="n"/>
      <c r="Q963" s="47" t="n"/>
      <c r="R963" s="47" t="n"/>
      <c r="S963" s="47" t="n"/>
      <c r="T963" s="47" t="n"/>
      <c r="U963" s="53" t="n"/>
      <c r="V963" s="53" t="n"/>
      <c r="W963" s="47" t="n"/>
      <c r="X963" s="47" t="n"/>
      <c r="Y963" s="47" t="n"/>
      <c r="Z963" s="47" t="n"/>
      <c r="AA963" s="47" t="n"/>
      <c r="AB963" s="47" t="n"/>
      <c r="AC963" s="47" t="n"/>
      <c r="AD963" s="47" t="n"/>
      <c r="AE963" s="47" t="n"/>
      <c r="AF963" s="20">
        <f>IF(A963="","",YEAR(EDATE(A963,-3)))</f>
        <v/>
      </c>
      <c r="AG963" s="20">
        <f>IF(OR(B963="",'経歴簿'!$C$4=""),"",IF(B963&amp;""='経歴簿'!$C$4&amp;"",MAX($AG$4:AG962)+1,""))</f>
        <v/>
      </c>
      <c r="AH963" s="20">
        <f>IF(A963="",0,IF(AND(OR('CSV抽出'!$C$4="",A963&gt;='CSV抽出'!$C$4),OR('CSV抽出'!$C$5="",A963&lt;='CSV抽出'!$C$5),OR('CSV抽出'!$C$6="すべて",'CSV抽出'!$C$6="",D963='CSV抽出'!$C$6),OR('CSV抽出'!$C$7="",B963&amp;""='CSV抽出'!$C$7&amp;"")),1,0))</f>
        <v/>
      </c>
      <c r="AI963" s="20">
        <f>IF(AH963=1,SUM($AH$5:AH963),"")</f>
        <v/>
      </c>
      <c r="AJ963" s="20">
        <f>IF(OR(S963="",'報告書'!$C$4=""),"",IF(S963&amp;""='報告書'!$C$4&amp;"",COUNTIF($S$5:S963,'報告書'!$C$4),""))</f>
        <v/>
      </c>
      <c r="AK963" s="20" t="n"/>
      <c r="AL963" s="47" t="n"/>
      <c r="AM963" s="47" t="n"/>
      <c r="AN963" s="53" t="n"/>
      <c r="AO963" s="47" t="n"/>
      <c r="AP963" s="47" t="n"/>
      <c r="AQ963" s="47" t="n"/>
      <c r="AR963" s="47" t="n"/>
      <c r="AS963" s="47" t="n"/>
      <c r="AT963" s="47" t="n"/>
      <c r="AU963" s="47" t="n"/>
      <c r="AV963" s="47" t="n"/>
      <c r="AW963" s="52" t="n"/>
    </row>
    <row r="964">
      <c r="A964" s="48" t="n"/>
      <c r="B964" s="52" t="n"/>
      <c r="C964" s="47">
        <f>IF(B964="","",IFERROR(INDEX('隊員マスタ'!$B$5:$B$204,MATCH(B964&amp;"",'隊員マスタ'!$F$5:$F$204,0)),IF(AK964="","番号なし",AK964)))</f>
        <v/>
      </c>
      <c r="D964" s="47" t="n"/>
      <c r="E964" s="47" t="n"/>
      <c r="F964" s="47" t="n"/>
      <c r="G964" s="47" t="n"/>
      <c r="H964" s="47" t="n"/>
      <c r="I964" s="47" t="n"/>
      <c r="J964" s="47" t="n"/>
      <c r="K964" s="47" t="n"/>
      <c r="L964" s="47" t="n"/>
      <c r="M964" s="47" t="n"/>
      <c r="N964" s="47" t="n"/>
      <c r="O964" s="47" t="n"/>
      <c r="P964" s="47" t="n"/>
      <c r="Q964" s="47" t="n"/>
      <c r="R964" s="47" t="n"/>
      <c r="S964" s="47" t="n"/>
      <c r="T964" s="47" t="n"/>
      <c r="U964" s="53" t="n"/>
      <c r="V964" s="53" t="n"/>
      <c r="W964" s="47" t="n"/>
      <c r="X964" s="47" t="n"/>
      <c r="Y964" s="47" t="n"/>
      <c r="Z964" s="47" t="n"/>
      <c r="AA964" s="47" t="n"/>
      <c r="AB964" s="47" t="n"/>
      <c r="AC964" s="47" t="n"/>
      <c r="AD964" s="47" t="n"/>
      <c r="AE964" s="47" t="n"/>
      <c r="AF964" s="20">
        <f>IF(A964="","",YEAR(EDATE(A964,-3)))</f>
        <v/>
      </c>
      <c r="AG964" s="20">
        <f>IF(OR(B964="",'経歴簿'!$C$4=""),"",IF(B964&amp;""='経歴簿'!$C$4&amp;"",MAX($AG$4:AG963)+1,""))</f>
        <v/>
      </c>
      <c r="AH964" s="20">
        <f>IF(A964="",0,IF(AND(OR('CSV抽出'!$C$4="",A964&gt;='CSV抽出'!$C$4),OR('CSV抽出'!$C$5="",A964&lt;='CSV抽出'!$C$5),OR('CSV抽出'!$C$6="すべて",'CSV抽出'!$C$6="",D964='CSV抽出'!$C$6),OR('CSV抽出'!$C$7="",B964&amp;""='CSV抽出'!$C$7&amp;"")),1,0))</f>
        <v/>
      </c>
      <c r="AI964" s="20">
        <f>IF(AH964=1,SUM($AH$5:AH964),"")</f>
        <v/>
      </c>
      <c r="AJ964" s="20">
        <f>IF(OR(S964="",'報告書'!$C$4=""),"",IF(S964&amp;""='報告書'!$C$4&amp;"",COUNTIF($S$5:S964,'報告書'!$C$4),""))</f>
        <v/>
      </c>
      <c r="AK964" s="20" t="n"/>
      <c r="AL964" s="47" t="n"/>
      <c r="AM964" s="47" t="n"/>
      <c r="AN964" s="53" t="n"/>
      <c r="AO964" s="47" t="n"/>
      <c r="AP964" s="47" t="n"/>
      <c r="AQ964" s="47" t="n"/>
      <c r="AR964" s="47" t="n"/>
      <c r="AS964" s="47" t="n"/>
      <c r="AT964" s="47" t="n"/>
      <c r="AU964" s="47" t="n"/>
      <c r="AV964" s="47" t="n"/>
      <c r="AW964" s="52" t="n"/>
    </row>
    <row r="965">
      <c r="A965" s="48" t="n"/>
      <c r="B965" s="52" t="n"/>
      <c r="C965" s="47">
        <f>IF(B965="","",IFERROR(INDEX('隊員マスタ'!$B$5:$B$204,MATCH(B965&amp;"",'隊員マスタ'!$F$5:$F$204,0)),IF(AK965="","番号なし",AK965)))</f>
        <v/>
      </c>
      <c r="D965" s="47" t="n"/>
      <c r="E965" s="47" t="n"/>
      <c r="F965" s="47" t="n"/>
      <c r="G965" s="47" t="n"/>
      <c r="H965" s="47" t="n"/>
      <c r="I965" s="47" t="n"/>
      <c r="J965" s="47" t="n"/>
      <c r="K965" s="47" t="n"/>
      <c r="L965" s="47" t="n"/>
      <c r="M965" s="47" t="n"/>
      <c r="N965" s="47" t="n"/>
      <c r="O965" s="47" t="n"/>
      <c r="P965" s="47" t="n"/>
      <c r="Q965" s="47" t="n"/>
      <c r="R965" s="47" t="n"/>
      <c r="S965" s="47" t="n"/>
      <c r="T965" s="47" t="n"/>
      <c r="U965" s="53" t="n"/>
      <c r="V965" s="53" t="n"/>
      <c r="W965" s="47" t="n"/>
      <c r="X965" s="47" t="n"/>
      <c r="Y965" s="47" t="n"/>
      <c r="Z965" s="47" t="n"/>
      <c r="AA965" s="47" t="n"/>
      <c r="AB965" s="47" t="n"/>
      <c r="AC965" s="47" t="n"/>
      <c r="AD965" s="47" t="n"/>
      <c r="AE965" s="47" t="n"/>
      <c r="AF965" s="20">
        <f>IF(A965="","",YEAR(EDATE(A965,-3)))</f>
        <v/>
      </c>
      <c r="AG965" s="20">
        <f>IF(OR(B965="",'経歴簿'!$C$4=""),"",IF(B965&amp;""='経歴簿'!$C$4&amp;"",MAX($AG$4:AG964)+1,""))</f>
        <v/>
      </c>
      <c r="AH965" s="20">
        <f>IF(A965="",0,IF(AND(OR('CSV抽出'!$C$4="",A965&gt;='CSV抽出'!$C$4),OR('CSV抽出'!$C$5="",A965&lt;='CSV抽出'!$C$5),OR('CSV抽出'!$C$6="すべて",'CSV抽出'!$C$6="",D965='CSV抽出'!$C$6),OR('CSV抽出'!$C$7="",B965&amp;""='CSV抽出'!$C$7&amp;"")),1,0))</f>
        <v/>
      </c>
      <c r="AI965" s="20">
        <f>IF(AH965=1,SUM($AH$5:AH965),"")</f>
        <v/>
      </c>
      <c r="AJ965" s="20">
        <f>IF(OR(S965="",'報告書'!$C$4=""),"",IF(S965&amp;""='報告書'!$C$4&amp;"",COUNTIF($S$5:S965,'報告書'!$C$4),""))</f>
        <v/>
      </c>
      <c r="AK965" s="20" t="n"/>
      <c r="AL965" s="47" t="n"/>
      <c r="AM965" s="47" t="n"/>
      <c r="AN965" s="53" t="n"/>
      <c r="AO965" s="47" t="n"/>
      <c r="AP965" s="47" t="n"/>
      <c r="AQ965" s="47" t="n"/>
      <c r="AR965" s="47" t="n"/>
      <c r="AS965" s="47" t="n"/>
      <c r="AT965" s="47" t="n"/>
      <c r="AU965" s="47" t="n"/>
      <c r="AV965" s="47" t="n"/>
      <c r="AW965" s="52" t="n"/>
    </row>
    <row r="966">
      <c r="A966" s="48" t="n"/>
      <c r="B966" s="52" t="n"/>
      <c r="C966" s="47">
        <f>IF(B966="","",IFERROR(INDEX('隊員マスタ'!$B$5:$B$204,MATCH(B966&amp;"",'隊員マスタ'!$F$5:$F$204,0)),IF(AK966="","番号なし",AK966)))</f>
        <v/>
      </c>
      <c r="D966" s="47" t="n"/>
      <c r="E966" s="47" t="n"/>
      <c r="F966" s="47" t="n"/>
      <c r="G966" s="47" t="n"/>
      <c r="H966" s="47" t="n"/>
      <c r="I966" s="47" t="n"/>
      <c r="J966" s="47" t="n"/>
      <c r="K966" s="47" t="n"/>
      <c r="L966" s="47" t="n"/>
      <c r="M966" s="47" t="n"/>
      <c r="N966" s="47" t="n"/>
      <c r="O966" s="47" t="n"/>
      <c r="P966" s="47" t="n"/>
      <c r="Q966" s="47" t="n"/>
      <c r="R966" s="47" t="n"/>
      <c r="S966" s="47" t="n"/>
      <c r="T966" s="47" t="n"/>
      <c r="U966" s="53" t="n"/>
      <c r="V966" s="53" t="n"/>
      <c r="W966" s="47" t="n"/>
      <c r="X966" s="47" t="n"/>
      <c r="Y966" s="47" t="n"/>
      <c r="Z966" s="47" t="n"/>
      <c r="AA966" s="47" t="n"/>
      <c r="AB966" s="47" t="n"/>
      <c r="AC966" s="47" t="n"/>
      <c r="AD966" s="47" t="n"/>
      <c r="AE966" s="47" t="n"/>
      <c r="AF966" s="20">
        <f>IF(A966="","",YEAR(EDATE(A966,-3)))</f>
        <v/>
      </c>
      <c r="AG966" s="20">
        <f>IF(OR(B966="",'経歴簿'!$C$4=""),"",IF(B966&amp;""='経歴簿'!$C$4&amp;"",MAX($AG$4:AG965)+1,""))</f>
        <v/>
      </c>
      <c r="AH966" s="20">
        <f>IF(A966="",0,IF(AND(OR('CSV抽出'!$C$4="",A966&gt;='CSV抽出'!$C$4),OR('CSV抽出'!$C$5="",A966&lt;='CSV抽出'!$C$5),OR('CSV抽出'!$C$6="すべて",'CSV抽出'!$C$6="",D966='CSV抽出'!$C$6),OR('CSV抽出'!$C$7="",B966&amp;""='CSV抽出'!$C$7&amp;"")),1,0))</f>
        <v/>
      </c>
      <c r="AI966" s="20">
        <f>IF(AH966=1,SUM($AH$5:AH966),"")</f>
        <v/>
      </c>
      <c r="AJ966" s="20">
        <f>IF(OR(S966="",'報告書'!$C$4=""),"",IF(S966&amp;""='報告書'!$C$4&amp;"",COUNTIF($S$5:S966,'報告書'!$C$4),""))</f>
        <v/>
      </c>
      <c r="AK966" s="20" t="n"/>
      <c r="AL966" s="47" t="n"/>
      <c r="AM966" s="47" t="n"/>
      <c r="AN966" s="53" t="n"/>
      <c r="AO966" s="47" t="n"/>
      <c r="AP966" s="47" t="n"/>
      <c r="AQ966" s="47" t="n"/>
      <c r="AR966" s="47" t="n"/>
      <c r="AS966" s="47" t="n"/>
      <c r="AT966" s="47" t="n"/>
      <c r="AU966" s="47" t="n"/>
      <c r="AV966" s="47" t="n"/>
      <c r="AW966" s="52" t="n"/>
    </row>
    <row r="967">
      <c r="A967" s="48" t="n"/>
      <c r="B967" s="52" t="n"/>
      <c r="C967" s="47">
        <f>IF(B967="","",IFERROR(INDEX('隊員マスタ'!$B$5:$B$204,MATCH(B967&amp;"",'隊員マスタ'!$F$5:$F$204,0)),IF(AK967="","番号なし",AK967)))</f>
        <v/>
      </c>
      <c r="D967" s="47" t="n"/>
      <c r="E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  <c r="N967" s="47" t="n"/>
      <c r="O967" s="47" t="n"/>
      <c r="P967" s="47" t="n"/>
      <c r="Q967" s="47" t="n"/>
      <c r="R967" s="47" t="n"/>
      <c r="S967" s="47" t="n"/>
      <c r="T967" s="47" t="n"/>
      <c r="U967" s="53" t="n"/>
      <c r="V967" s="53" t="n"/>
      <c r="W967" s="47" t="n"/>
      <c r="X967" s="47" t="n"/>
      <c r="Y967" s="47" t="n"/>
      <c r="Z967" s="47" t="n"/>
      <c r="AA967" s="47" t="n"/>
      <c r="AB967" s="47" t="n"/>
      <c r="AC967" s="47" t="n"/>
      <c r="AD967" s="47" t="n"/>
      <c r="AE967" s="47" t="n"/>
      <c r="AF967" s="20">
        <f>IF(A967="","",YEAR(EDATE(A967,-3)))</f>
        <v/>
      </c>
      <c r="AG967" s="20">
        <f>IF(OR(B967="",'経歴簿'!$C$4=""),"",IF(B967&amp;""='経歴簿'!$C$4&amp;"",MAX($AG$4:AG966)+1,""))</f>
        <v/>
      </c>
      <c r="AH967" s="20">
        <f>IF(A967="",0,IF(AND(OR('CSV抽出'!$C$4="",A967&gt;='CSV抽出'!$C$4),OR('CSV抽出'!$C$5="",A967&lt;='CSV抽出'!$C$5),OR('CSV抽出'!$C$6="すべて",'CSV抽出'!$C$6="",D967='CSV抽出'!$C$6),OR('CSV抽出'!$C$7="",B967&amp;""='CSV抽出'!$C$7&amp;"")),1,0))</f>
        <v/>
      </c>
      <c r="AI967" s="20">
        <f>IF(AH967=1,SUM($AH$5:AH967),"")</f>
        <v/>
      </c>
      <c r="AJ967" s="20">
        <f>IF(OR(S967="",'報告書'!$C$4=""),"",IF(S967&amp;""='報告書'!$C$4&amp;"",COUNTIF($S$5:S967,'報告書'!$C$4),""))</f>
        <v/>
      </c>
      <c r="AK967" s="20" t="n"/>
      <c r="AL967" s="47" t="n"/>
      <c r="AM967" s="47" t="n"/>
      <c r="AN967" s="53" t="n"/>
      <c r="AO967" s="47" t="n"/>
      <c r="AP967" s="47" t="n"/>
      <c r="AQ967" s="47" t="n"/>
      <c r="AR967" s="47" t="n"/>
      <c r="AS967" s="47" t="n"/>
      <c r="AT967" s="47" t="n"/>
      <c r="AU967" s="47" t="n"/>
      <c r="AV967" s="47" t="n"/>
      <c r="AW967" s="52" t="n"/>
    </row>
    <row r="968">
      <c r="A968" s="48" t="n"/>
      <c r="B968" s="52" t="n"/>
      <c r="C968" s="47">
        <f>IF(B968="","",IFERROR(INDEX('隊員マスタ'!$B$5:$B$204,MATCH(B968&amp;"",'隊員マスタ'!$F$5:$F$204,0)),IF(AK968="","番号なし",AK968)))</f>
        <v/>
      </c>
      <c r="D968" s="47" t="n"/>
      <c r="E968" s="47" t="n"/>
      <c r="F968" s="47" t="n"/>
      <c r="G968" s="47" t="n"/>
      <c r="H968" s="47" t="n"/>
      <c r="I968" s="47" t="n"/>
      <c r="J968" s="47" t="n"/>
      <c r="K968" s="47" t="n"/>
      <c r="L968" s="47" t="n"/>
      <c r="M968" s="47" t="n"/>
      <c r="N968" s="47" t="n"/>
      <c r="O968" s="47" t="n"/>
      <c r="P968" s="47" t="n"/>
      <c r="Q968" s="47" t="n"/>
      <c r="R968" s="47" t="n"/>
      <c r="S968" s="47" t="n"/>
      <c r="T968" s="47" t="n"/>
      <c r="U968" s="53" t="n"/>
      <c r="V968" s="53" t="n"/>
      <c r="W968" s="47" t="n"/>
      <c r="X968" s="47" t="n"/>
      <c r="Y968" s="47" t="n"/>
      <c r="Z968" s="47" t="n"/>
      <c r="AA968" s="47" t="n"/>
      <c r="AB968" s="47" t="n"/>
      <c r="AC968" s="47" t="n"/>
      <c r="AD968" s="47" t="n"/>
      <c r="AE968" s="47" t="n"/>
      <c r="AF968" s="20">
        <f>IF(A968="","",YEAR(EDATE(A968,-3)))</f>
        <v/>
      </c>
      <c r="AG968" s="20">
        <f>IF(OR(B968="",'経歴簿'!$C$4=""),"",IF(B968&amp;""='経歴簿'!$C$4&amp;"",MAX($AG$4:AG967)+1,""))</f>
        <v/>
      </c>
      <c r="AH968" s="20">
        <f>IF(A968="",0,IF(AND(OR('CSV抽出'!$C$4="",A968&gt;='CSV抽出'!$C$4),OR('CSV抽出'!$C$5="",A968&lt;='CSV抽出'!$C$5),OR('CSV抽出'!$C$6="すべて",'CSV抽出'!$C$6="",D968='CSV抽出'!$C$6),OR('CSV抽出'!$C$7="",B968&amp;""='CSV抽出'!$C$7&amp;"")),1,0))</f>
        <v/>
      </c>
      <c r="AI968" s="20">
        <f>IF(AH968=1,SUM($AH$5:AH968),"")</f>
        <v/>
      </c>
      <c r="AJ968" s="20">
        <f>IF(OR(S968="",'報告書'!$C$4=""),"",IF(S968&amp;""='報告書'!$C$4&amp;"",COUNTIF($S$5:S968,'報告書'!$C$4),""))</f>
        <v/>
      </c>
      <c r="AK968" s="20" t="n"/>
      <c r="AL968" s="47" t="n"/>
      <c r="AM968" s="47" t="n"/>
      <c r="AN968" s="53" t="n"/>
      <c r="AO968" s="47" t="n"/>
      <c r="AP968" s="47" t="n"/>
      <c r="AQ968" s="47" t="n"/>
      <c r="AR968" s="47" t="n"/>
      <c r="AS968" s="47" t="n"/>
      <c r="AT968" s="47" t="n"/>
      <c r="AU968" s="47" t="n"/>
      <c r="AV968" s="47" t="n"/>
      <c r="AW968" s="52" t="n"/>
    </row>
    <row r="969">
      <c r="A969" s="48" t="n"/>
      <c r="B969" s="52" t="n"/>
      <c r="C969" s="47">
        <f>IF(B969="","",IFERROR(INDEX('隊員マスタ'!$B$5:$B$204,MATCH(B969&amp;"",'隊員マスタ'!$F$5:$F$204,0)),IF(AK969="","番号なし",AK969)))</f>
        <v/>
      </c>
      <c r="D969" s="47" t="n"/>
      <c r="E969" s="47" t="n"/>
      <c r="F969" s="47" t="n"/>
      <c r="G969" s="47" t="n"/>
      <c r="H969" s="47" t="n"/>
      <c r="I969" s="47" t="n"/>
      <c r="J969" s="47" t="n"/>
      <c r="K969" s="47" t="n"/>
      <c r="L969" s="47" t="n"/>
      <c r="M969" s="47" t="n"/>
      <c r="N969" s="47" t="n"/>
      <c r="O969" s="47" t="n"/>
      <c r="P969" s="47" t="n"/>
      <c r="Q969" s="47" t="n"/>
      <c r="R969" s="47" t="n"/>
      <c r="S969" s="47" t="n"/>
      <c r="T969" s="47" t="n"/>
      <c r="U969" s="53" t="n"/>
      <c r="V969" s="53" t="n"/>
      <c r="W969" s="47" t="n"/>
      <c r="X969" s="47" t="n"/>
      <c r="Y969" s="47" t="n"/>
      <c r="Z969" s="47" t="n"/>
      <c r="AA969" s="47" t="n"/>
      <c r="AB969" s="47" t="n"/>
      <c r="AC969" s="47" t="n"/>
      <c r="AD969" s="47" t="n"/>
      <c r="AE969" s="47" t="n"/>
      <c r="AF969" s="20">
        <f>IF(A969="","",YEAR(EDATE(A969,-3)))</f>
        <v/>
      </c>
      <c r="AG969" s="20">
        <f>IF(OR(B969="",'経歴簿'!$C$4=""),"",IF(B969&amp;""='経歴簿'!$C$4&amp;"",MAX($AG$4:AG968)+1,""))</f>
        <v/>
      </c>
      <c r="AH969" s="20">
        <f>IF(A969="",0,IF(AND(OR('CSV抽出'!$C$4="",A969&gt;='CSV抽出'!$C$4),OR('CSV抽出'!$C$5="",A969&lt;='CSV抽出'!$C$5),OR('CSV抽出'!$C$6="すべて",'CSV抽出'!$C$6="",D969='CSV抽出'!$C$6),OR('CSV抽出'!$C$7="",B969&amp;""='CSV抽出'!$C$7&amp;"")),1,0))</f>
        <v/>
      </c>
      <c r="AI969" s="20">
        <f>IF(AH969=1,SUM($AH$5:AH969),"")</f>
        <v/>
      </c>
      <c r="AJ969" s="20">
        <f>IF(OR(S969="",'報告書'!$C$4=""),"",IF(S969&amp;""='報告書'!$C$4&amp;"",COUNTIF($S$5:S969,'報告書'!$C$4),""))</f>
        <v/>
      </c>
      <c r="AK969" s="20" t="n"/>
      <c r="AL969" s="47" t="n"/>
      <c r="AM969" s="47" t="n"/>
      <c r="AN969" s="53" t="n"/>
      <c r="AO969" s="47" t="n"/>
      <c r="AP969" s="47" t="n"/>
      <c r="AQ969" s="47" t="n"/>
      <c r="AR969" s="47" t="n"/>
      <c r="AS969" s="47" t="n"/>
      <c r="AT969" s="47" t="n"/>
      <c r="AU969" s="47" t="n"/>
      <c r="AV969" s="47" t="n"/>
      <c r="AW969" s="52" t="n"/>
    </row>
    <row r="970">
      <c r="A970" s="48" t="n"/>
      <c r="B970" s="52" t="n"/>
      <c r="C970" s="47">
        <f>IF(B970="","",IFERROR(INDEX('隊員マスタ'!$B$5:$B$204,MATCH(B970&amp;"",'隊員マスタ'!$F$5:$F$204,0)),IF(AK970="","番号なし",AK970)))</f>
        <v/>
      </c>
      <c r="D970" s="47" t="n"/>
      <c r="E970" s="47" t="n"/>
      <c r="F970" s="47" t="n"/>
      <c r="G970" s="47" t="n"/>
      <c r="H970" s="47" t="n"/>
      <c r="I970" s="47" t="n"/>
      <c r="J970" s="47" t="n"/>
      <c r="K970" s="47" t="n"/>
      <c r="L970" s="47" t="n"/>
      <c r="M970" s="47" t="n"/>
      <c r="N970" s="47" t="n"/>
      <c r="O970" s="47" t="n"/>
      <c r="P970" s="47" t="n"/>
      <c r="Q970" s="47" t="n"/>
      <c r="R970" s="47" t="n"/>
      <c r="S970" s="47" t="n"/>
      <c r="T970" s="47" t="n"/>
      <c r="U970" s="53" t="n"/>
      <c r="V970" s="53" t="n"/>
      <c r="W970" s="47" t="n"/>
      <c r="X970" s="47" t="n"/>
      <c r="Y970" s="47" t="n"/>
      <c r="Z970" s="47" t="n"/>
      <c r="AA970" s="47" t="n"/>
      <c r="AB970" s="47" t="n"/>
      <c r="AC970" s="47" t="n"/>
      <c r="AD970" s="47" t="n"/>
      <c r="AE970" s="47" t="n"/>
      <c r="AF970" s="20">
        <f>IF(A970="","",YEAR(EDATE(A970,-3)))</f>
        <v/>
      </c>
      <c r="AG970" s="20">
        <f>IF(OR(B970="",'経歴簿'!$C$4=""),"",IF(B970&amp;""='経歴簿'!$C$4&amp;"",MAX($AG$4:AG969)+1,""))</f>
        <v/>
      </c>
      <c r="AH970" s="20">
        <f>IF(A970="",0,IF(AND(OR('CSV抽出'!$C$4="",A970&gt;='CSV抽出'!$C$4),OR('CSV抽出'!$C$5="",A970&lt;='CSV抽出'!$C$5),OR('CSV抽出'!$C$6="すべて",'CSV抽出'!$C$6="",D970='CSV抽出'!$C$6),OR('CSV抽出'!$C$7="",B970&amp;""='CSV抽出'!$C$7&amp;"")),1,0))</f>
        <v/>
      </c>
      <c r="AI970" s="20">
        <f>IF(AH970=1,SUM($AH$5:AH970),"")</f>
        <v/>
      </c>
      <c r="AJ970" s="20">
        <f>IF(OR(S970="",'報告書'!$C$4=""),"",IF(S970&amp;""='報告書'!$C$4&amp;"",COUNTIF($S$5:S970,'報告書'!$C$4),""))</f>
        <v/>
      </c>
      <c r="AK970" s="20" t="n"/>
      <c r="AL970" s="47" t="n"/>
      <c r="AM970" s="47" t="n"/>
      <c r="AN970" s="53" t="n"/>
      <c r="AO970" s="47" t="n"/>
      <c r="AP970" s="47" t="n"/>
      <c r="AQ970" s="47" t="n"/>
      <c r="AR970" s="47" t="n"/>
      <c r="AS970" s="47" t="n"/>
      <c r="AT970" s="47" t="n"/>
      <c r="AU970" s="47" t="n"/>
      <c r="AV970" s="47" t="n"/>
      <c r="AW970" s="52" t="n"/>
    </row>
    <row r="971">
      <c r="A971" s="48" t="n"/>
      <c r="B971" s="52" t="n"/>
      <c r="C971" s="47">
        <f>IF(B971="","",IFERROR(INDEX('隊員マスタ'!$B$5:$B$204,MATCH(B971&amp;"",'隊員マスタ'!$F$5:$F$204,0)),IF(AK971="","番号なし",AK971)))</f>
        <v/>
      </c>
      <c r="D971" s="47" t="n"/>
      <c r="E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  <c r="N971" s="47" t="n"/>
      <c r="O971" s="47" t="n"/>
      <c r="P971" s="47" t="n"/>
      <c r="Q971" s="47" t="n"/>
      <c r="R971" s="47" t="n"/>
      <c r="S971" s="47" t="n"/>
      <c r="T971" s="47" t="n"/>
      <c r="U971" s="53" t="n"/>
      <c r="V971" s="53" t="n"/>
      <c r="W971" s="47" t="n"/>
      <c r="X971" s="47" t="n"/>
      <c r="Y971" s="47" t="n"/>
      <c r="Z971" s="47" t="n"/>
      <c r="AA971" s="47" t="n"/>
      <c r="AB971" s="47" t="n"/>
      <c r="AC971" s="47" t="n"/>
      <c r="AD971" s="47" t="n"/>
      <c r="AE971" s="47" t="n"/>
      <c r="AF971" s="20">
        <f>IF(A971="","",YEAR(EDATE(A971,-3)))</f>
        <v/>
      </c>
      <c r="AG971" s="20">
        <f>IF(OR(B971="",'経歴簿'!$C$4=""),"",IF(B971&amp;""='経歴簿'!$C$4&amp;"",MAX($AG$4:AG970)+1,""))</f>
        <v/>
      </c>
      <c r="AH971" s="20">
        <f>IF(A971="",0,IF(AND(OR('CSV抽出'!$C$4="",A971&gt;='CSV抽出'!$C$4),OR('CSV抽出'!$C$5="",A971&lt;='CSV抽出'!$C$5),OR('CSV抽出'!$C$6="すべて",'CSV抽出'!$C$6="",D971='CSV抽出'!$C$6),OR('CSV抽出'!$C$7="",B971&amp;""='CSV抽出'!$C$7&amp;"")),1,0))</f>
        <v/>
      </c>
      <c r="AI971" s="20">
        <f>IF(AH971=1,SUM($AH$5:AH971),"")</f>
        <v/>
      </c>
      <c r="AJ971" s="20">
        <f>IF(OR(S971="",'報告書'!$C$4=""),"",IF(S971&amp;""='報告書'!$C$4&amp;"",COUNTIF($S$5:S971,'報告書'!$C$4),""))</f>
        <v/>
      </c>
      <c r="AK971" s="20" t="n"/>
      <c r="AL971" s="47" t="n"/>
      <c r="AM971" s="47" t="n"/>
      <c r="AN971" s="53" t="n"/>
      <c r="AO971" s="47" t="n"/>
      <c r="AP971" s="47" t="n"/>
      <c r="AQ971" s="47" t="n"/>
      <c r="AR971" s="47" t="n"/>
      <c r="AS971" s="47" t="n"/>
      <c r="AT971" s="47" t="n"/>
      <c r="AU971" s="47" t="n"/>
      <c r="AV971" s="47" t="n"/>
      <c r="AW971" s="52" t="n"/>
    </row>
    <row r="972">
      <c r="A972" s="48" t="n"/>
      <c r="B972" s="52" t="n"/>
      <c r="C972" s="47">
        <f>IF(B972="","",IFERROR(INDEX('隊員マスタ'!$B$5:$B$204,MATCH(B972&amp;"",'隊員マスタ'!$F$5:$F$204,0)),IF(AK972="","番号なし",AK972)))</f>
        <v/>
      </c>
      <c r="D972" s="47" t="n"/>
      <c r="E972" s="47" t="n"/>
      <c r="F972" s="47" t="n"/>
      <c r="G972" s="47" t="n"/>
      <c r="H972" s="47" t="n"/>
      <c r="I972" s="47" t="n"/>
      <c r="J972" s="47" t="n"/>
      <c r="K972" s="47" t="n"/>
      <c r="L972" s="47" t="n"/>
      <c r="M972" s="47" t="n"/>
      <c r="N972" s="47" t="n"/>
      <c r="O972" s="47" t="n"/>
      <c r="P972" s="47" t="n"/>
      <c r="Q972" s="47" t="n"/>
      <c r="R972" s="47" t="n"/>
      <c r="S972" s="47" t="n"/>
      <c r="T972" s="47" t="n"/>
      <c r="U972" s="53" t="n"/>
      <c r="V972" s="53" t="n"/>
      <c r="W972" s="47" t="n"/>
      <c r="X972" s="47" t="n"/>
      <c r="Y972" s="47" t="n"/>
      <c r="Z972" s="47" t="n"/>
      <c r="AA972" s="47" t="n"/>
      <c r="AB972" s="47" t="n"/>
      <c r="AC972" s="47" t="n"/>
      <c r="AD972" s="47" t="n"/>
      <c r="AE972" s="47" t="n"/>
      <c r="AF972" s="20">
        <f>IF(A972="","",YEAR(EDATE(A972,-3)))</f>
        <v/>
      </c>
      <c r="AG972" s="20">
        <f>IF(OR(B972="",'経歴簿'!$C$4=""),"",IF(B972&amp;""='経歴簿'!$C$4&amp;"",MAX($AG$4:AG971)+1,""))</f>
        <v/>
      </c>
      <c r="AH972" s="20">
        <f>IF(A972="",0,IF(AND(OR('CSV抽出'!$C$4="",A972&gt;='CSV抽出'!$C$4),OR('CSV抽出'!$C$5="",A972&lt;='CSV抽出'!$C$5),OR('CSV抽出'!$C$6="すべて",'CSV抽出'!$C$6="",D972='CSV抽出'!$C$6),OR('CSV抽出'!$C$7="",B972&amp;""='CSV抽出'!$C$7&amp;"")),1,0))</f>
        <v/>
      </c>
      <c r="AI972" s="20">
        <f>IF(AH972=1,SUM($AH$5:AH972),"")</f>
        <v/>
      </c>
      <c r="AJ972" s="20">
        <f>IF(OR(S972="",'報告書'!$C$4=""),"",IF(S972&amp;""='報告書'!$C$4&amp;"",COUNTIF($S$5:S972,'報告書'!$C$4),""))</f>
        <v/>
      </c>
      <c r="AK972" s="20" t="n"/>
      <c r="AL972" s="47" t="n"/>
      <c r="AM972" s="47" t="n"/>
      <c r="AN972" s="53" t="n"/>
      <c r="AO972" s="47" t="n"/>
      <c r="AP972" s="47" t="n"/>
      <c r="AQ972" s="47" t="n"/>
      <c r="AR972" s="47" t="n"/>
      <c r="AS972" s="47" t="n"/>
      <c r="AT972" s="47" t="n"/>
      <c r="AU972" s="47" t="n"/>
      <c r="AV972" s="47" t="n"/>
      <c r="AW972" s="52" t="n"/>
    </row>
    <row r="973">
      <c r="A973" s="48" t="n"/>
      <c r="B973" s="52" t="n"/>
      <c r="C973" s="47">
        <f>IF(B973="","",IFERROR(INDEX('隊員マスタ'!$B$5:$B$204,MATCH(B973&amp;"",'隊員マスタ'!$F$5:$F$204,0)),IF(AK973="","番号なし",AK973)))</f>
        <v/>
      </c>
      <c r="D973" s="47" t="n"/>
      <c r="E973" s="47" t="n"/>
      <c r="F973" s="47" t="n"/>
      <c r="G973" s="47" t="n"/>
      <c r="H973" s="47" t="n"/>
      <c r="I973" s="47" t="n"/>
      <c r="J973" s="47" t="n"/>
      <c r="K973" s="47" t="n"/>
      <c r="L973" s="47" t="n"/>
      <c r="M973" s="47" t="n"/>
      <c r="N973" s="47" t="n"/>
      <c r="O973" s="47" t="n"/>
      <c r="P973" s="47" t="n"/>
      <c r="Q973" s="47" t="n"/>
      <c r="R973" s="47" t="n"/>
      <c r="S973" s="47" t="n"/>
      <c r="T973" s="47" t="n"/>
      <c r="U973" s="53" t="n"/>
      <c r="V973" s="53" t="n"/>
      <c r="W973" s="47" t="n"/>
      <c r="X973" s="47" t="n"/>
      <c r="Y973" s="47" t="n"/>
      <c r="Z973" s="47" t="n"/>
      <c r="AA973" s="47" t="n"/>
      <c r="AB973" s="47" t="n"/>
      <c r="AC973" s="47" t="n"/>
      <c r="AD973" s="47" t="n"/>
      <c r="AE973" s="47" t="n"/>
      <c r="AF973" s="20">
        <f>IF(A973="","",YEAR(EDATE(A973,-3)))</f>
        <v/>
      </c>
      <c r="AG973" s="20">
        <f>IF(OR(B973="",'経歴簿'!$C$4=""),"",IF(B973&amp;""='経歴簿'!$C$4&amp;"",MAX($AG$4:AG972)+1,""))</f>
        <v/>
      </c>
      <c r="AH973" s="20">
        <f>IF(A973="",0,IF(AND(OR('CSV抽出'!$C$4="",A973&gt;='CSV抽出'!$C$4),OR('CSV抽出'!$C$5="",A973&lt;='CSV抽出'!$C$5),OR('CSV抽出'!$C$6="すべて",'CSV抽出'!$C$6="",D973='CSV抽出'!$C$6),OR('CSV抽出'!$C$7="",B973&amp;""='CSV抽出'!$C$7&amp;"")),1,0))</f>
        <v/>
      </c>
      <c r="AI973" s="20">
        <f>IF(AH973=1,SUM($AH$5:AH973),"")</f>
        <v/>
      </c>
      <c r="AJ973" s="20">
        <f>IF(OR(S973="",'報告書'!$C$4=""),"",IF(S973&amp;""='報告書'!$C$4&amp;"",COUNTIF($S$5:S973,'報告書'!$C$4),""))</f>
        <v/>
      </c>
      <c r="AK973" s="20" t="n"/>
      <c r="AL973" s="47" t="n"/>
      <c r="AM973" s="47" t="n"/>
      <c r="AN973" s="53" t="n"/>
      <c r="AO973" s="47" t="n"/>
      <c r="AP973" s="47" t="n"/>
      <c r="AQ973" s="47" t="n"/>
      <c r="AR973" s="47" t="n"/>
      <c r="AS973" s="47" t="n"/>
      <c r="AT973" s="47" t="n"/>
      <c r="AU973" s="47" t="n"/>
      <c r="AV973" s="47" t="n"/>
      <c r="AW973" s="52" t="n"/>
    </row>
    <row r="974">
      <c r="A974" s="48" t="n"/>
      <c r="B974" s="52" t="n"/>
      <c r="C974" s="47">
        <f>IF(B974="","",IFERROR(INDEX('隊員マスタ'!$B$5:$B$204,MATCH(B974&amp;"",'隊員マスタ'!$F$5:$F$204,0)),IF(AK974="","番号なし",AK974)))</f>
        <v/>
      </c>
      <c r="D974" s="47" t="n"/>
      <c r="E974" s="47" t="n"/>
      <c r="F974" s="47" t="n"/>
      <c r="G974" s="47" t="n"/>
      <c r="H974" s="47" t="n"/>
      <c r="I974" s="47" t="n"/>
      <c r="J974" s="47" t="n"/>
      <c r="K974" s="47" t="n"/>
      <c r="L974" s="47" t="n"/>
      <c r="M974" s="47" t="n"/>
      <c r="N974" s="47" t="n"/>
      <c r="O974" s="47" t="n"/>
      <c r="P974" s="47" t="n"/>
      <c r="Q974" s="47" t="n"/>
      <c r="R974" s="47" t="n"/>
      <c r="S974" s="47" t="n"/>
      <c r="T974" s="47" t="n"/>
      <c r="U974" s="53" t="n"/>
      <c r="V974" s="53" t="n"/>
      <c r="W974" s="47" t="n"/>
      <c r="X974" s="47" t="n"/>
      <c r="Y974" s="47" t="n"/>
      <c r="Z974" s="47" t="n"/>
      <c r="AA974" s="47" t="n"/>
      <c r="AB974" s="47" t="n"/>
      <c r="AC974" s="47" t="n"/>
      <c r="AD974" s="47" t="n"/>
      <c r="AE974" s="47" t="n"/>
      <c r="AF974" s="20">
        <f>IF(A974="","",YEAR(EDATE(A974,-3)))</f>
        <v/>
      </c>
      <c r="AG974" s="20">
        <f>IF(OR(B974="",'経歴簿'!$C$4=""),"",IF(B974&amp;""='経歴簿'!$C$4&amp;"",MAX($AG$4:AG973)+1,""))</f>
        <v/>
      </c>
      <c r="AH974" s="20">
        <f>IF(A974="",0,IF(AND(OR('CSV抽出'!$C$4="",A974&gt;='CSV抽出'!$C$4),OR('CSV抽出'!$C$5="",A974&lt;='CSV抽出'!$C$5),OR('CSV抽出'!$C$6="すべて",'CSV抽出'!$C$6="",D974='CSV抽出'!$C$6),OR('CSV抽出'!$C$7="",B974&amp;""='CSV抽出'!$C$7&amp;"")),1,0))</f>
        <v/>
      </c>
      <c r="AI974" s="20">
        <f>IF(AH974=1,SUM($AH$5:AH974),"")</f>
        <v/>
      </c>
      <c r="AJ974" s="20">
        <f>IF(OR(S974="",'報告書'!$C$4=""),"",IF(S974&amp;""='報告書'!$C$4&amp;"",COUNTIF($S$5:S974,'報告書'!$C$4),""))</f>
        <v/>
      </c>
      <c r="AK974" s="20" t="n"/>
      <c r="AL974" s="47" t="n"/>
      <c r="AM974" s="47" t="n"/>
      <c r="AN974" s="53" t="n"/>
      <c r="AO974" s="47" t="n"/>
      <c r="AP974" s="47" t="n"/>
      <c r="AQ974" s="47" t="n"/>
      <c r="AR974" s="47" t="n"/>
      <c r="AS974" s="47" t="n"/>
      <c r="AT974" s="47" t="n"/>
      <c r="AU974" s="47" t="n"/>
      <c r="AV974" s="47" t="n"/>
      <c r="AW974" s="52" t="n"/>
    </row>
    <row r="975">
      <c r="A975" s="48" t="n"/>
      <c r="B975" s="52" t="n"/>
      <c r="C975" s="47">
        <f>IF(B975="","",IFERROR(INDEX('隊員マスタ'!$B$5:$B$204,MATCH(B975&amp;"",'隊員マスタ'!$F$5:$F$204,0)),IF(AK975="","番号なし",AK975)))</f>
        <v/>
      </c>
      <c r="D975" s="47" t="n"/>
      <c r="E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  <c r="N975" s="47" t="n"/>
      <c r="O975" s="47" t="n"/>
      <c r="P975" s="47" t="n"/>
      <c r="Q975" s="47" t="n"/>
      <c r="R975" s="47" t="n"/>
      <c r="S975" s="47" t="n"/>
      <c r="T975" s="47" t="n"/>
      <c r="U975" s="53" t="n"/>
      <c r="V975" s="53" t="n"/>
      <c r="W975" s="47" t="n"/>
      <c r="X975" s="47" t="n"/>
      <c r="Y975" s="47" t="n"/>
      <c r="Z975" s="47" t="n"/>
      <c r="AA975" s="47" t="n"/>
      <c r="AB975" s="47" t="n"/>
      <c r="AC975" s="47" t="n"/>
      <c r="AD975" s="47" t="n"/>
      <c r="AE975" s="47" t="n"/>
      <c r="AF975" s="20">
        <f>IF(A975="","",YEAR(EDATE(A975,-3)))</f>
        <v/>
      </c>
      <c r="AG975" s="20">
        <f>IF(OR(B975="",'経歴簿'!$C$4=""),"",IF(B975&amp;""='経歴簿'!$C$4&amp;"",MAX($AG$4:AG974)+1,""))</f>
        <v/>
      </c>
      <c r="AH975" s="20">
        <f>IF(A975="",0,IF(AND(OR('CSV抽出'!$C$4="",A975&gt;='CSV抽出'!$C$4),OR('CSV抽出'!$C$5="",A975&lt;='CSV抽出'!$C$5),OR('CSV抽出'!$C$6="すべて",'CSV抽出'!$C$6="",D975='CSV抽出'!$C$6),OR('CSV抽出'!$C$7="",B975&amp;""='CSV抽出'!$C$7&amp;"")),1,0))</f>
        <v/>
      </c>
      <c r="AI975" s="20">
        <f>IF(AH975=1,SUM($AH$5:AH975),"")</f>
        <v/>
      </c>
      <c r="AJ975" s="20">
        <f>IF(OR(S975="",'報告書'!$C$4=""),"",IF(S975&amp;""='報告書'!$C$4&amp;"",COUNTIF($S$5:S975,'報告書'!$C$4),""))</f>
        <v/>
      </c>
      <c r="AK975" s="20" t="n"/>
      <c r="AL975" s="47" t="n"/>
      <c r="AM975" s="47" t="n"/>
      <c r="AN975" s="53" t="n"/>
      <c r="AO975" s="47" t="n"/>
      <c r="AP975" s="47" t="n"/>
      <c r="AQ975" s="47" t="n"/>
      <c r="AR975" s="47" t="n"/>
      <c r="AS975" s="47" t="n"/>
      <c r="AT975" s="47" t="n"/>
      <c r="AU975" s="47" t="n"/>
      <c r="AV975" s="47" t="n"/>
      <c r="AW975" s="52" t="n"/>
    </row>
    <row r="976">
      <c r="A976" s="48" t="n"/>
      <c r="B976" s="52" t="n"/>
      <c r="C976" s="47">
        <f>IF(B976="","",IFERROR(INDEX('隊員マスタ'!$B$5:$B$204,MATCH(B976&amp;"",'隊員マスタ'!$F$5:$F$204,0)),IF(AK976="","番号なし",AK976)))</f>
        <v/>
      </c>
      <c r="D976" s="47" t="n"/>
      <c r="E976" s="47" t="n"/>
      <c r="F976" s="47" t="n"/>
      <c r="G976" s="47" t="n"/>
      <c r="H976" s="47" t="n"/>
      <c r="I976" s="47" t="n"/>
      <c r="J976" s="47" t="n"/>
      <c r="K976" s="47" t="n"/>
      <c r="L976" s="47" t="n"/>
      <c r="M976" s="47" t="n"/>
      <c r="N976" s="47" t="n"/>
      <c r="O976" s="47" t="n"/>
      <c r="P976" s="47" t="n"/>
      <c r="Q976" s="47" t="n"/>
      <c r="R976" s="47" t="n"/>
      <c r="S976" s="47" t="n"/>
      <c r="T976" s="47" t="n"/>
      <c r="U976" s="53" t="n"/>
      <c r="V976" s="53" t="n"/>
      <c r="W976" s="47" t="n"/>
      <c r="X976" s="47" t="n"/>
      <c r="Y976" s="47" t="n"/>
      <c r="Z976" s="47" t="n"/>
      <c r="AA976" s="47" t="n"/>
      <c r="AB976" s="47" t="n"/>
      <c r="AC976" s="47" t="n"/>
      <c r="AD976" s="47" t="n"/>
      <c r="AE976" s="47" t="n"/>
      <c r="AF976" s="20">
        <f>IF(A976="","",YEAR(EDATE(A976,-3)))</f>
        <v/>
      </c>
      <c r="AG976" s="20">
        <f>IF(OR(B976="",'経歴簿'!$C$4=""),"",IF(B976&amp;""='経歴簿'!$C$4&amp;"",MAX($AG$4:AG975)+1,""))</f>
        <v/>
      </c>
      <c r="AH976" s="20">
        <f>IF(A976="",0,IF(AND(OR('CSV抽出'!$C$4="",A976&gt;='CSV抽出'!$C$4),OR('CSV抽出'!$C$5="",A976&lt;='CSV抽出'!$C$5),OR('CSV抽出'!$C$6="すべて",'CSV抽出'!$C$6="",D976='CSV抽出'!$C$6),OR('CSV抽出'!$C$7="",B976&amp;""='CSV抽出'!$C$7&amp;"")),1,0))</f>
        <v/>
      </c>
      <c r="AI976" s="20">
        <f>IF(AH976=1,SUM($AH$5:AH976),"")</f>
        <v/>
      </c>
      <c r="AJ976" s="20">
        <f>IF(OR(S976="",'報告書'!$C$4=""),"",IF(S976&amp;""='報告書'!$C$4&amp;"",COUNTIF($S$5:S976,'報告書'!$C$4),""))</f>
        <v/>
      </c>
      <c r="AK976" s="20" t="n"/>
      <c r="AL976" s="47" t="n"/>
      <c r="AM976" s="47" t="n"/>
      <c r="AN976" s="53" t="n"/>
      <c r="AO976" s="47" t="n"/>
      <c r="AP976" s="47" t="n"/>
      <c r="AQ976" s="47" t="n"/>
      <c r="AR976" s="47" t="n"/>
      <c r="AS976" s="47" t="n"/>
      <c r="AT976" s="47" t="n"/>
      <c r="AU976" s="47" t="n"/>
      <c r="AV976" s="47" t="n"/>
      <c r="AW976" s="52" t="n"/>
    </row>
    <row r="977">
      <c r="A977" s="48" t="n"/>
      <c r="B977" s="52" t="n"/>
      <c r="C977" s="47">
        <f>IF(B977="","",IFERROR(INDEX('隊員マスタ'!$B$5:$B$204,MATCH(B977&amp;"",'隊員マスタ'!$F$5:$F$204,0)),IF(AK977="","番号なし",AK977)))</f>
        <v/>
      </c>
      <c r="D977" s="47" t="n"/>
      <c r="E977" s="47" t="n"/>
      <c r="F977" s="47" t="n"/>
      <c r="G977" s="47" t="n"/>
      <c r="H977" s="47" t="n"/>
      <c r="I977" s="47" t="n"/>
      <c r="J977" s="47" t="n"/>
      <c r="K977" s="47" t="n"/>
      <c r="L977" s="47" t="n"/>
      <c r="M977" s="47" t="n"/>
      <c r="N977" s="47" t="n"/>
      <c r="O977" s="47" t="n"/>
      <c r="P977" s="47" t="n"/>
      <c r="Q977" s="47" t="n"/>
      <c r="R977" s="47" t="n"/>
      <c r="S977" s="47" t="n"/>
      <c r="T977" s="47" t="n"/>
      <c r="U977" s="53" t="n"/>
      <c r="V977" s="53" t="n"/>
      <c r="W977" s="47" t="n"/>
      <c r="X977" s="47" t="n"/>
      <c r="Y977" s="47" t="n"/>
      <c r="Z977" s="47" t="n"/>
      <c r="AA977" s="47" t="n"/>
      <c r="AB977" s="47" t="n"/>
      <c r="AC977" s="47" t="n"/>
      <c r="AD977" s="47" t="n"/>
      <c r="AE977" s="47" t="n"/>
      <c r="AF977" s="20">
        <f>IF(A977="","",YEAR(EDATE(A977,-3)))</f>
        <v/>
      </c>
      <c r="AG977" s="20">
        <f>IF(OR(B977="",'経歴簿'!$C$4=""),"",IF(B977&amp;""='経歴簿'!$C$4&amp;"",MAX($AG$4:AG976)+1,""))</f>
        <v/>
      </c>
      <c r="AH977" s="20">
        <f>IF(A977="",0,IF(AND(OR('CSV抽出'!$C$4="",A977&gt;='CSV抽出'!$C$4),OR('CSV抽出'!$C$5="",A977&lt;='CSV抽出'!$C$5),OR('CSV抽出'!$C$6="すべて",'CSV抽出'!$C$6="",D977='CSV抽出'!$C$6),OR('CSV抽出'!$C$7="",B977&amp;""='CSV抽出'!$C$7&amp;"")),1,0))</f>
        <v/>
      </c>
      <c r="AI977" s="20">
        <f>IF(AH977=1,SUM($AH$5:AH977),"")</f>
        <v/>
      </c>
      <c r="AJ977" s="20">
        <f>IF(OR(S977="",'報告書'!$C$4=""),"",IF(S977&amp;""='報告書'!$C$4&amp;"",COUNTIF($S$5:S977,'報告書'!$C$4),""))</f>
        <v/>
      </c>
      <c r="AK977" s="20" t="n"/>
      <c r="AL977" s="47" t="n"/>
      <c r="AM977" s="47" t="n"/>
      <c r="AN977" s="53" t="n"/>
      <c r="AO977" s="47" t="n"/>
      <c r="AP977" s="47" t="n"/>
      <c r="AQ977" s="47" t="n"/>
      <c r="AR977" s="47" t="n"/>
      <c r="AS977" s="47" t="n"/>
      <c r="AT977" s="47" t="n"/>
      <c r="AU977" s="47" t="n"/>
      <c r="AV977" s="47" t="n"/>
      <c r="AW977" s="52" t="n"/>
    </row>
    <row r="978">
      <c r="A978" s="48" t="n"/>
      <c r="B978" s="52" t="n"/>
      <c r="C978" s="47">
        <f>IF(B978="","",IFERROR(INDEX('隊員マスタ'!$B$5:$B$204,MATCH(B978&amp;"",'隊員マスタ'!$F$5:$F$204,0)),IF(AK978="","番号なし",AK978)))</f>
        <v/>
      </c>
      <c r="D978" s="47" t="n"/>
      <c r="E978" s="47" t="n"/>
      <c r="F978" s="47" t="n"/>
      <c r="G978" s="47" t="n"/>
      <c r="H978" s="47" t="n"/>
      <c r="I978" s="47" t="n"/>
      <c r="J978" s="47" t="n"/>
      <c r="K978" s="47" t="n"/>
      <c r="L978" s="47" t="n"/>
      <c r="M978" s="47" t="n"/>
      <c r="N978" s="47" t="n"/>
      <c r="O978" s="47" t="n"/>
      <c r="P978" s="47" t="n"/>
      <c r="Q978" s="47" t="n"/>
      <c r="R978" s="47" t="n"/>
      <c r="S978" s="47" t="n"/>
      <c r="T978" s="47" t="n"/>
      <c r="U978" s="53" t="n"/>
      <c r="V978" s="53" t="n"/>
      <c r="W978" s="47" t="n"/>
      <c r="X978" s="47" t="n"/>
      <c r="Y978" s="47" t="n"/>
      <c r="Z978" s="47" t="n"/>
      <c r="AA978" s="47" t="n"/>
      <c r="AB978" s="47" t="n"/>
      <c r="AC978" s="47" t="n"/>
      <c r="AD978" s="47" t="n"/>
      <c r="AE978" s="47" t="n"/>
      <c r="AF978" s="20">
        <f>IF(A978="","",YEAR(EDATE(A978,-3)))</f>
        <v/>
      </c>
      <c r="AG978" s="20">
        <f>IF(OR(B978="",'経歴簿'!$C$4=""),"",IF(B978&amp;""='経歴簿'!$C$4&amp;"",MAX($AG$4:AG977)+1,""))</f>
        <v/>
      </c>
      <c r="AH978" s="20">
        <f>IF(A978="",0,IF(AND(OR('CSV抽出'!$C$4="",A978&gt;='CSV抽出'!$C$4),OR('CSV抽出'!$C$5="",A978&lt;='CSV抽出'!$C$5),OR('CSV抽出'!$C$6="すべて",'CSV抽出'!$C$6="",D978='CSV抽出'!$C$6),OR('CSV抽出'!$C$7="",B978&amp;""='CSV抽出'!$C$7&amp;"")),1,0))</f>
        <v/>
      </c>
      <c r="AI978" s="20">
        <f>IF(AH978=1,SUM($AH$5:AH978),"")</f>
        <v/>
      </c>
      <c r="AJ978" s="20">
        <f>IF(OR(S978="",'報告書'!$C$4=""),"",IF(S978&amp;""='報告書'!$C$4&amp;"",COUNTIF($S$5:S978,'報告書'!$C$4),""))</f>
        <v/>
      </c>
      <c r="AK978" s="20" t="n"/>
      <c r="AL978" s="47" t="n"/>
      <c r="AM978" s="47" t="n"/>
      <c r="AN978" s="53" t="n"/>
      <c r="AO978" s="47" t="n"/>
      <c r="AP978" s="47" t="n"/>
      <c r="AQ978" s="47" t="n"/>
      <c r="AR978" s="47" t="n"/>
      <c r="AS978" s="47" t="n"/>
      <c r="AT978" s="47" t="n"/>
      <c r="AU978" s="47" t="n"/>
      <c r="AV978" s="47" t="n"/>
      <c r="AW978" s="52" t="n"/>
    </row>
    <row r="979">
      <c r="A979" s="48" t="n"/>
      <c r="B979" s="52" t="n"/>
      <c r="C979" s="47">
        <f>IF(B979="","",IFERROR(INDEX('隊員マスタ'!$B$5:$B$204,MATCH(B979&amp;"",'隊員マスタ'!$F$5:$F$204,0)),IF(AK979="","番号なし",AK979)))</f>
        <v/>
      </c>
      <c r="D979" s="47" t="n"/>
      <c r="E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  <c r="N979" s="47" t="n"/>
      <c r="O979" s="47" t="n"/>
      <c r="P979" s="47" t="n"/>
      <c r="Q979" s="47" t="n"/>
      <c r="R979" s="47" t="n"/>
      <c r="S979" s="47" t="n"/>
      <c r="T979" s="47" t="n"/>
      <c r="U979" s="53" t="n"/>
      <c r="V979" s="53" t="n"/>
      <c r="W979" s="47" t="n"/>
      <c r="X979" s="47" t="n"/>
      <c r="Y979" s="47" t="n"/>
      <c r="Z979" s="47" t="n"/>
      <c r="AA979" s="47" t="n"/>
      <c r="AB979" s="47" t="n"/>
      <c r="AC979" s="47" t="n"/>
      <c r="AD979" s="47" t="n"/>
      <c r="AE979" s="47" t="n"/>
      <c r="AF979" s="20">
        <f>IF(A979="","",YEAR(EDATE(A979,-3)))</f>
        <v/>
      </c>
      <c r="AG979" s="20">
        <f>IF(OR(B979="",'経歴簿'!$C$4=""),"",IF(B979&amp;""='経歴簿'!$C$4&amp;"",MAX($AG$4:AG978)+1,""))</f>
        <v/>
      </c>
      <c r="AH979" s="20">
        <f>IF(A979="",0,IF(AND(OR('CSV抽出'!$C$4="",A979&gt;='CSV抽出'!$C$4),OR('CSV抽出'!$C$5="",A979&lt;='CSV抽出'!$C$5),OR('CSV抽出'!$C$6="すべて",'CSV抽出'!$C$6="",D979='CSV抽出'!$C$6),OR('CSV抽出'!$C$7="",B979&amp;""='CSV抽出'!$C$7&amp;"")),1,0))</f>
        <v/>
      </c>
      <c r="AI979" s="20">
        <f>IF(AH979=1,SUM($AH$5:AH979),"")</f>
        <v/>
      </c>
      <c r="AJ979" s="20">
        <f>IF(OR(S979="",'報告書'!$C$4=""),"",IF(S979&amp;""='報告書'!$C$4&amp;"",COUNTIF($S$5:S979,'報告書'!$C$4),""))</f>
        <v/>
      </c>
      <c r="AK979" s="20" t="n"/>
      <c r="AL979" s="47" t="n"/>
      <c r="AM979" s="47" t="n"/>
      <c r="AN979" s="53" t="n"/>
      <c r="AO979" s="47" t="n"/>
      <c r="AP979" s="47" t="n"/>
      <c r="AQ979" s="47" t="n"/>
      <c r="AR979" s="47" t="n"/>
      <c r="AS979" s="47" t="n"/>
      <c r="AT979" s="47" t="n"/>
      <c r="AU979" s="47" t="n"/>
      <c r="AV979" s="47" t="n"/>
      <c r="AW979" s="52" t="n"/>
    </row>
    <row r="980">
      <c r="A980" s="48" t="n"/>
      <c r="B980" s="52" t="n"/>
      <c r="C980" s="47">
        <f>IF(B980="","",IFERROR(INDEX('隊員マスタ'!$B$5:$B$204,MATCH(B980&amp;"",'隊員マスタ'!$F$5:$F$204,0)),IF(AK980="","番号なし",AK980)))</f>
        <v/>
      </c>
      <c r="D980" s="47" t="n"/>
      <c r="E980" s="47" t="n"/>
      <c r="F980" s="47" t="n"/>
      <c r="G980" s="47" t="n"/>
      <c r="H980" s="47" t="n"/>
      <c r="I980" s="47" t="n"/>
      <c r="J980" s="47" t="n"/>
      <c r="K980" s="47" t="n"/>
      <c r="L980" s="47" t="n"/>
      <c r="M980" s="47" t="n"/>
      <c r="N980" s="47" t="n"/>
      <c r="O980" s="47" t="n"/>
      <c r="P980" s="47" t="n"/>
      <c r="Q980" s="47" t="n"/>
      <c r="R980" s="47" t="n"/>
      <c r="S980" s="47" t="n"/>
      <c r="T980" s="47" t="n"/>
      <c r="U980" s="53" t="n"/>
      <c r="V980" s="53" t="n"/>
      <c r="W980" s="47" t="n"/>
      <c r="X980" s="47" t="n"/>
      <c r="Y980" s="47" t="n"/>
      <c r="Z980" s="47" t="n"/>
      <c r="AA980" s="47" t="n"/>
      <c r="AB980" s="47" t="n"/>
      <c r="AC980" s="47" t="n"/>
      <c r="AD980" s="47" t="n"/>
      <c r="AE980" s="47" t="n"/>
      <c r="AF980" s="20">
        <f>IF(A980="","",YEAR(EDATE(A980,-3)))</f>
        <v/>
      </c>
      <c r="AG980" s="20">
        <f>IF(OR(B980="",'経歴簿'!$C$4=""),"",IF(B980&amp;""='経歴簿'!$C$4&amp;"",MAX($AG$4:AG979)+1,""))</f>
        <v/>
      </c>
      <c r="AH980" s="20">
        <f>IF(A980="",0,IF(AND(OR('CSV抽出'!$C$4="",A980&gt;='CSV抽出'!$C$4),OR('CSV抽出'!$C$5="",A980&lt;='CSV抽出'!$C$5),OR('CSV抽出'!$C$6="すべて",'CSV抽出'!$C$6="",D980='CSV抽出'!$C$6),OR('CSV抽出'!$C$7="",B980&amp;""='CSV抽出'!$C$7&amp;"")),1,0))</f>
        <v/>
      </c>
      <c r="AI980" s="20">
        <f>IF(AH980=1,SUM($AH$5:AH980),"")</f>
        <v/>
      </c>
      <c r="AJ980" s="20">
        <f>IF(OR(S980="",'報告書'!$C$4=""),"",IF(S980&amp;""='報告書'!$C$4&amp;"",COUNTIF($S$5:S980,'報告書'!$C$4),""))</f>
        <v/>
      </c>
      <c r="AK980" s="20" t="n"/>
      <c r="AL980" s="47" t="n"/>
      <c r="AM980" s="47" t="n"/>
      <c r="AN980" s="53" t="n"/>
      <c r="AO980" s="47" t="n"/>
      <c r="AP980" s="47" t="n"/>
      <c r="AQ980" s="47" t="n"/>
      <c r="AR980" s="47" t="n"/>
      <c r="AS980" s="47" t="n"/>
      <c r="AT980" s="47" t="n"/>
      <c r="AU980" s="47" t="n"/>
      <c r="AV980" s="47" t="n"/>
      <c r="AW980" s="52" t="n"/>
    </row>
    <row r="981">
      <c r="A981" s="48" t="n"/>
      <c r="B981" s="52" t="n"/>
      <c r="C981" s="47">
        <f>IF(B981="","",IFERROR(INDEX('隊員マスタ'!$B$5:$B$204,MATCH(B981&amp;"",'隊員マスタ'!$F$5:$F$204,0)),IF(AK981="","番号なし",AK981)))</f>
        <v/>
      </c>
      <c r="D981" s="47" t="n"/>
      <c r="E981" s="47" t="n"/>
      <c r="F981" s="47" t="n"/>
      <c r="G981" s="47" t="n"/>
      <c r="H981" s="47" t="n"/>
      <c r="I981" s="47" t="n"/>
      <c r="J981" s="47" t="n"/>
      <c r="K981" s="47" t="n"/>
      <c r="L981" s="47" t="n"/>
      <c r="M981" s="47" t="n"/>
      <c r="N981" s="47" t="n"/>
      <c r="O981" s="47" t="n"/>
      <c r="P981" s="47" t="n"/>
      <c r="Q981" s="47" t="n"/>
      <c r="R981" s="47" t="n"/>
      <c r="S981" s="47" t="n"/>
      <c r="T981" s="47" t="n"/>
      <c r="U981" s="53" t="n"/>
      <c r="V981" s="53" t="n"/>
      <c r="W981" s="47" t="n"/>
      <c r="X981" s="47" t="n"/>
      <c r="Y981" s="47" t="n"/>
      <c r="Z981" s="47" t="n"/>
      <c r="AA981" s="47" t="n"/>
      <c r="AB981" s="47" t="n"/>
      <c r="AC981" s="47" t="n"/>
      <c r="AD981" s="47" t="n"/>
      <c r="AE981" s="47" t="n"/>
      <c r="AF981" s="20">
        <f>IF(A981="","",YEAR(EDATE(A981,-3)))</f>
        <v/>
      </c>
      <c r="AG981" s="20">
        <f>IF(OR(B981="",'経歴簿'!$C$4=""),"",IF(B981&amp;""='経歴簿'!$C$4&amp;"",MAX($AG$4:AG980)+1,""))</f>
        <v/>
      </c>
      <c r="AH981" s="20">
        <f>IF(A981="",0,IF(AND(OR('CSV抽出'!$C$4="",A981&gt;='CSV抽出'!$C$4),OR('CSV抽出'!$C$5="",A981&lt;='CSV抽出'!$C$5),OR('CSV抽出'!$C$6="すべて",'CSV抽出'!$C$6="",D981='CSV抽出'!$C$6),OR('CSV抽出'!$C$7="",B981&amp;""='CSV抽出'!$C$7&amp;"")),1,0))</f>
        <v/>
      </c>
      <c r="AI981" s="20">
        <f>IF(AH981=1,SUM($AH$5:AH981),"")</f>
        <v/>
      </c>
      <c r="AJ981" s="20">
        <f>IF(OR(S981="",'報告書'!$C$4=""),"",IF(S981&amp;""='報告書'!$C$4&amp;"",COUNTIF($S$5:S981,'報告書'!$C$4),""))</f>
        <v/>
      </c>
      <c r="AK981" s="20" t="n"/>
      <c r="AL981" s="47" t="n"/>
      <c r="AM981" s="47" t="n"/>
      <c r="AN981" s="53" t="n"/>
      <c r="AO981" s="47" t="n"/>
      <c r="AP981" s="47" t="n"/>
      <c r="AQ981" s="47" t="n"/>
      <c r="AR981" s="47" t="n"/>
      <c r="AS981" s="47" t="n"/>
      <c r="AT981" s="47" t="n"/>
      <c r="AU981" s="47" t="n"/>
      <c r="AV981" s="47" t="n"/>
      <c r="AW981" s="52" t="n"/>
    </row>
    <row r="982">
      <c r="A982" s="48" t="n"/>
      <c r="B982" s="52" t="n"/>
      <c r="C982" s="47">
        <f>IF(B982="","",IFERROR(INDEX('隊員マスタ'!$B$5:$B$204,MATCH(B982&amp;"",'隊員マスタ'!$F$5:$F$204,0)),IF(AK982="","番号なし",AK982)))</f>
        <v/>
      </c>
      <c r="D982" s="47" t="n"/>
      <c r="E982" s="47" t="n"/>
      <c r="F982" s="47" t="n"/>
      <c r="G982" s="47" t="n"/>
      <c r="H982" s="47" t="n"/>
      <c r="I982" s="47" t="n"/>
      <c r="J982" s="47" t="n"/>
      <c r="K982" s="47" t="n"/>
      <c r="L982" s="47" t="n"/>
      <c r="M982" s="47" t="n"/>
      <c r="N982" s="47" t="n"/>
      <c r="O982" s="47" t="n"/>
      <c r="P982" s="47" t="n"/>
      <c r="Q982" s="47" t="n"/>
      <c r="R982" s="47" t="n"/>
      <c r="S982" s="47" t="n"/>
      <c r="T982" s="47" t="n"/>
      <c r="U982" s="53" t="n"/>
      <c r="V982" s="53" t="n"/>
      <c r="W982" s="47" t="n"/>
      <c r="X982" s="47" t="n"/>
      <c r="Y982" s="47" t="n"/>
      <c r="Z982" s="47" t="n"/>
      <c r="AA982" s="47" t="n"/>
      <c r="AB982" s="47" t="n"/>
      <c r="AC982" s="47" t="n"/>
      <c r="AD982" s="47" t="n"/>
      <c r="AE982" s="47" t="n"/>
      <c r="AF982" s="20">
        <f>IF(A982="","",YEAR(EDATE(A982,-3)))</f>
        <v/>
      </c>
      <c r="AG982" s="20">
        <f>IF(OR(B982="",'経歴簿'!$C$4=""),"",IF(B982&amp;""='経歴簿'!$C$4&amp;"",MAX($AG$4:AG981)+1,""))</f>
        <v/>
      </c>
      <c r="AH982" s="20">
        <f>IF(A982="",0,IF(AND(OR('CSV抽出'!$C$4="",A982&gt;='CSV抽出'!$C$4),OR('CSV抽出'!$C$5="",A982&lt;='CSV抽出'!$C$5),OR('CSV抽出'!$C$6="すべて",'CSV抽出'!$C$6="",D982='CSV抽出'!$C$6),OR('CSV抽出'!$C$7="",B982&amp;""='CSV抽出'!$C$7&amp;"")),1,0))</f>
        <v/>
      </c>
      <c r="AI982" s="20">
        <f>IF(AH982=1,SUM($AH$5:AH982),"")</f>
        <v/>
      </c>
      <c r="AJ982" s="20">
        <f>IF(OR(S982="",'報告書'!$C$4=""),"",IF(S982&amp;""='報告書'!$C$4&amp;"",COUNTIF($S$5:S982,'報告書'!$C$4),""))</f>
        <v/>
      </c>
      <c r="AK982" s="20" t="n"/>
      <c r="AL982" s="47" t="n"/>
      <c r="AM982" s="47" t="n"/>
      <c r="AN982" s="53" t="n"/>
      <c r="AO982" s="47" t="n"/>
      <c r="AP982" s="47" t="n"/>
      <c r="AQ982" s="47" t="n"/>
      <c r="AR982" s="47" t="n"/>
      <c r="AS982" s="47" t="n"/>
      <c r="AT982" s="47" t="n"/>
      <c r="AU982" s="47" t="n"/>
      <c r="AV982" s="47" t="n"/>
      <c r="AW982" s="52" t="n"/>
    </row>
    <row r="983">
      <c r="A983" s="48" t="n"/>
      <c r="B983" s="52" t="n"/>
      <c r="C983" s="47">
        <f>IF(B983="","",IFERROR(INDEX('隊員マスタ'!$B$5:$B$204,MATCH(B983&amp;"",'隊員マスタ'!$F$5:$F$204,0)),IF(AK983="","番号なし",AK983)))</f>
        <v/>
      </c>
      <c r="D983" s="47" t="n"/>
      <c r="E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  <c r="N983" s="47" t="n"/>
      <c r="O983" s="47" t="n"/>
      <c r="P983" s="47" t="n"/>
      <c r="Q983" s="47" t="n"/>
      <c r="R983" s="47" t="n"/>
      <c r="S983" s="47" t="n"/>
      <c r="T983" s="47" t="n"/>
      <c r="U983" s="53" t="n"/>
      <c r="V983" s="53" t="n"/>
      <c r="W983" s="47" t="n"/>
      <c r="X983" s="47" t="n"/>
      <c r="Y983" s="47" t="n"/>
      <c r="Z983" s="47" t="n"/>
      <c r="AA983" s="47" t="n"/>
      <c r="AB983" s="47" t="n"/>
      <c r="AC983" s="47" t="n"/>
      <c r="AD983" s="47" t="n"/>
      <c r="AE983" s="47" t="n"/>
      <c r="AF983" s="20">
        <f>IF(A983="","",YEAR(EDATE(A983,-3)))</f>
        <v/>
      </c>
      <c r="AG983" s="20">
        <f>IF(OR(B983="",'経歴簿'!$C$4=""),"",IF(B983&amp;""='経歴簿'!$C$4&amp;"",MAX($AG$4:AG982)+1,""))</f>
        <v/>
      </c>
      <c r="AH983" s="20">
        <f>IF(A983="",0,IF(AND(OR('CSV抽出'!$C$4="",A983&gt;='CSV抽出'!$C$4),OR('CSV抽出'!$C$5="",A983&lt;='CSV抽出'!$C$5),OR('CSV抽出'!$C$6="すべて",'CSV抽出'!$C$6="",D983='CSV抽出'!$C$6),OR('CSV抽出'!$C$7="",B983&amp;""='CSV抽出'!$C$7&amp;"")),1,0))</f>
        <v/>
      </c>
      <c r="AI983" s="20">
        <f>IF(AH983=1,SUM($AH$5:AH983),"")</f>
        <v/>
      </c>
      <c r="AJ983" s="20">
        <f>IF(OR(S983="",'報告書'!$C$4=""),"",IF(S983&amp;""='報告書'!$C$4&amp;"",COUNTIF($S$5:S983,'報告書'!$C$4),""))</f>
        <v/>
      </c>
      <c r="AK983" s="20" t="n"/>
      <c r="AL983" s="47" t="n"/>
      <c r="AM983" s="47" t="n"/>
      <c r="AN983" s="53" t="n"/>
      <c r="AO983" s="47" t="n"/>
      <c r="AP983" s="47" t="n"/>
      <c r="AQ983" s="47" t="n"/>
      <c r="AR983" s="47" t="n"/>
      <c r="AS983" s="47" t="n"/>
      <c r="AT983" s="47" t="n"/>
      <c r="AU983" s="47" t="n"/>
      <c r="AV983" s="47" t="n"/>
      <c r="AW983" s="52" t="n"/>
    </row>
    <row r="984">
      <c r="A984" s="48" t="n"/>
      <c r="B984" s="52" t="n"/>
      <c r="C984" s="47">
        <f>IF(B984="","",IFERROR(INDEX('隊員マスタ'!$B$5:$B$204,MATCH(B984&amp;"",'隊員マスタ'!$F$5:$F$204,0)),IF(AK984="","番号なし",AK984)))</f>
        <v/>
      </c>
      <c r="D984" s="47" t="n"/>
      <c r="E984" s="47" t="n"/>
      <c r="F984" s="47" t="n"/>
      <c r="G984" s="47" t="n"/>
      <c r="H984" s="47" t="n"/>
      <c r="I984" s="47" t="n"/>
      <c r="J984" s="47" t="n"/>
      <c r="K984" s="47" t="n"/>
      <c r="L984" s="47" t="n"/>
      <c r="M984" s="47" t="n"/>
      <c r="N984" s="47" t="n"/>
      <c r="O984" s="47" t="n"/>
      <c r="P984" s="47" t="n"/>
      <c r="Q984" s="47" t="n"/>
      <c r="R984" s="47" t="n"/>
      <c r="S984" s="47" t="n"/>
      <c r="T984" s="47" t="n"/>
      <c r="U984" s="53" t="n"/>
      <c r="V984" s="53" t="n"/>
      <c r="W984" s="47" t="n"/>
      <c r="X984" s="47" t="n"/>
      <c r="Y984" s="47" t="n"/>
      <c r="Z984" s="47" t="n"/>
      <c r="AA984" s="47" t="n"/>
      <c r="AB984" s="47" t="n"/>
      <c r="AC984" s="47" t="n"/>
      <c r="AD984" s="47" t="n"/>
      <c r="AE984" s="47" t="n"/>
      <c r="AF984" s="20">
        <f>IF(A984="","",YEAR(EDATE(A984,-3)))</f>
        <v/>
      </c>
      <c r="AG984" s="20">
        <f>IF(OR(B984="",'経歴簿'!$C$4=""),"",IF(B984&amp;""='経歴簿'!$C$4&amp;"",MAX($AG$4:AG983)+1,""))</f>
        <v/>
      </c>
      <c r="AH984" s="20">
        <f>IF(A984="",0,IF(AND(OR('CSV抽出'!$C$4="",A984&gt;='CSV抽出'!$C$4),OR('CSV抽出'!$C$5="",A984&lt;='CSV抽出'!$C$5),OR('CSV抽出'!$C$6="すべて",'CSV抽出'!$C$6="",D984='CSV抽出'!$C$6),OR('CSV抽出'!$C$7="",B984&amp;""='CSV抽出'!$C$7&amp;"")),1,0))</f>
        <v/>
      </c>
      <c r="AI984" s="20">
        <f>IF(AH984=1,SUM($AH$5:AH984),"")</f>
        <v/>
      </c>
      <c r="AJ984" s="20">
        <f>IF(OR(S984="",'報告書'!$C$4=""),"",IF(S984&amp;""='報告書'!$C$4&amp;"",COUNTIF($S$5:S984,'報告書'!$C$4),""))</f>
        <v/>
      </c>
      <c r="AK984" s="20" t="n"/>
      <c r="AL984" s="47" t="n"/>
      <c r="AM984" s="47" t="n"/>
      <c r="AN984" s="53" t="n"/>
      <c r="AO984" s="47" t="n"/>
      <c r="AP984" s="47" t="n"/>
      <c r="AQ984" s="47" t="n"/>
      <c r="AR984" s="47" t="n"/>
      <c r="AS984" s="47" t="n"/>
      <c r="AT984" s="47" t="n"/>
      <c r="AU984" s="47" t="n"/>
      <c r="AV984" s="47" t="n"/>
      <c r="AW984" s="52" t="n"/>
    </row>
    <row r="985">
      <c r="A985" s="48" t="n"/>
      <c r="B985" s="52" t="n"/>
      <c r="C985" s="47">
        <f>IF(B985="","",IFERROR(INDEX('隊員マスタ'!$B$5:$B$204,MATCH(B985&amp;"",'隊員マスタ'!$F$5:$F$204,0)),IF(AK985="","番号なし",AK985)))</f>
        <v/>
      </c>
      <c r="D985" s="47" t="n"/>
      <c r="E985" s="47" t="n"/>
      <c r="F985" s="47" t="n"/>
      <c r="G985" s="47" t="n"/>
      <c r="H985" s="47" t="n"/>
      <c r="I985" s="47" t="n"/>
      <c r="J985" s="47" t="n"/>
      <c r="K985" s="47" t="n"/>
      <c r="L985" s="47" t="n"/>
      <c r="M985" s="47" t="n"/>
      <c r="N985" s="47" t="n"/>
      <c r="O985" s="47" t="n"/>
      <c r="P985" s="47" t="n"/>
      <c r="Q985" s="47" t="n"/>
      <c r="R985" s="47" t="n"/>
      <c r="S985" s="47" t="n"/>
      <c r="T985" s="47" t="n"/>
      <c r="U985" s="53" t="n"/>
      <c r="V985" s="53" t="n"/>
      <c r="W985" s="47" t="n"/>
      <c r="X985" s="47" t="n"/>
      <c r="Y985" s="47" t="n"/>
      <c r="Z985" s="47" t="n"/>
      <c r="AA985" s="47" t="n"/>
      <c r="AB985" s="47" t="n"/>
      <c r="AC985" s="47" t="n"/>
      <c r="AD985" s="47" t="n"/>
      <c r="AE985" s="47" t="n"/>
      <c r="AF985" s="20">
        <f>IF(A985="","",YEAR(EDATE(A985,-3)))</f>
        <v/>
      </c>
      <c r="AG985" s="20">
        <f>IF(OR(B985="",'経歴簿'!$C$4=""),"",IF(B985&amp;""='経歴簿'!$C$4&amp;"",MAX($AG$4:AG984)+1,""))</f>
        <v/>
      </c>
      <c r="AH985" s="20">
        <f>IF(A985="",0,IF(AND(OR('CSV抽出'!$C$4="",A985&gt;='CSV抽出'!$C$4),OR('CSV抽出'!$C$5="",A985&lt;='CSV抽出'!$C$5),OR('CSV抽出'!$C$6="すべて",'CSV抽出'!$C$6="",D985='CSV抽出'!$C$6),OR('CSV抽出'!$C$7="",B985&amp;""='CSV抽出'!$C$7&amp;"")),1,0))</f>
        <v/>
      </c>
      <c r="AI985" s="20">
        <f>IF(AH985=1,SUM($AH$5:AH985),"")</f>
        <v/>
      </c>
      <c r="AJ985" s="20">
        <f>IF(OR(S985="",'報告書'!$C$4=""),"",IF(S985&amp;""='報告書'!$C$4&amp;"",COUNTIF($S$5:S985,'報告書'!$C$4),""))</f>
        <v/>
      </c>
      <c r="AK985" s="20" t="n"/>
      <c r="AL985" s="47" t="n"/>
      <c r="AM985" s="47" t="n"/>
      <c r="AN985" s="53" t="n"/>
      <c r="AO985" s="47" t="n"/>
      <c r="AP985" s="47" t="n"/>
      <c r="AQ985" s="47" t="n"/>
      <c r="AR985" s="47" t="n"/>
      <c r="AS985" s="47" t="n"/>
      <c r="AT985" s="47" t="n"/>
      <c r="AU985" s="47" t="n"/>
      <c r="AV985" s="47" t="n"/>
      <c r="AW985" s="52" t="n"/>
    </row>
    <row r="986">
      <c r="A986" s="48" t="n"/>
      <c r="B986" s="52" t="n"/>
      <c r="C986" s="47">
        <f>IF(B986="","",IFERROR(INDEX('隊員マスタ'!$B$5:$B$204,MATCH(B986&amp;"",'隊員マスタ'!$F$5:$F$204,0)),IF(AK986="","番号なし",AK986)))</f>
        <v/>
      </c>
      <c r="D986" s="47" t="n"/>
      <c r="E986" s="47" t="n"/>
      <c r="F986" s="47" t="n"/>
      <c r="G986" s="47" t="n"/>
      <c r="H986" s="47" t="n"/>
      <c r="I986" s="47" t="n"/>
      <c r="J986" s="47" t="n"/>
      <c r="K986" s="47" t="n"/>
      <c r="L986" s="47" t="n"/>
      <c r="M986" s="47" t="n"/>
      <c r="N986" s="47" t="n"/>
      <c r="O986" s="47" t="n"/>
      <c r="P986" s="47" t="n"/>
      <c r="Q986" s="47" t="n"/>
      <c r="R986" s="47" t="n"/>
      <c r="S986" s="47" t="n"/>
      <c r="T986" s="47" t="n"/>
      <c r="U986" s="53" t="n"/>
      <c r="V986" s="53" t="n"/>
      <c r="W986" s="47" t="n"/>
      <c r="X986" s="47" t="n"/>
      <c r="Y986" s="47" t="n"/>
      <c r="Z986" s="47" t="n"/>
      <c r="AA986" s="47" t="n"/>
      <c r="AB986" s="47" t="n"/>
      <c r="AC986" s="47" t="n"/>
      <c r="AD986" s="47" t="n"/>
      <c r="AE986" s="47" t="n"/>
      <c r="AF986" s="20">
        <f>IF(A986="","",YEAR(EDATE(A986,-3)))</f>
        <v/>
      </c>
      <c r="AG986" s="20">
        <f>IF(OR(B986="",'経歴簿'!$C$4=""),"",IF(B986&amp;""='経歴簿'!$C$4&amp;"",MAX($AG$4:AG985)+1,""))</f>
        <v/>
      </c>
      <c r="AH986" s="20">
        <f>IF(A986="",0,IF(AND(OR('CSV抽出'!$C$4="",A986&gt;='CSV抽出'!$C$4),OR('CSV抽出'!$C$5="",A986&lt;='CSV抽出'!$C$5),OR('CSV抽出'!$C$6="すべて",'CSV抽出'!$C$6="",D986='CSV抽出'!$C$6),OR('CSV抽出'!$C$7="",B986&amp;""='CSV抽出'!$C$7&amp;"")),1,0))</f>
        <v/>
      </c>
      <c r="AI986" s="20">
        <f>IF(AH986=1,SUM($AH$5:AH986),"")</f>
        <v/>
      </c>
      <c r="AJ986" s="20">
        <f>IF(OR(S986="",'報告書'!$C$4=""),"",IF(S986&amp;""='報告書'!$C$4&amp;"",COUNTIF($S$5:S986,'報告書'!$C$4),""))</f>
        <v/>
      </c>
      <c r="AK986" s="20" t="n"/>
      <c r="AL986" s="47" t="n"/>
      <c r="AM986" s="47" t="n"/>
      <c r="AN986" s="53" t="n"/>
      <c r="AO986" s="47" t="n"/>
      <c r="AP986" s="47" t="n"/>
      <c r="AQ986" s="47" t="n"/>
      <c r="AR986" s="47" t="n"/>
      <c r="AS986" s="47" t="n"/>
      <c r="AT986" s="47" t="n"/>
      <c r="AU986" s="47" t="n"/>
      <c r="AV986" s="47" t="n"/>
      <c r="AW986" s="52" t="n"/>
    </row>
    <row r="987">
      <c r="A987" s="48" t="n"/>
      <c r="B987" s="52" t="n"/>
      <c r="C987" s="47">
        <f>IF(B987="","",IFERROR(INDEX('隊員マスタ'!$B$5:$B$204,MATCH(B987&amp;"",'隊員マスタ'!$F$5:$F$204,0)),IF(AK987="","番号なし",AK987)))</f>
        <v/>
      </c>
      <c r="D987" s="47" t="n"/>
      <c r="E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  <c r="N987" s="47" t="n"/>
      <c r="O987" s="47" t="n"/>
      <c r="P987" s="47" t="n"/>
      <c r="Q987" s="47" t="n"/>
      <c r="R987" s="47" t="n"/>
      <c r="S987" s="47" t="n"/>
      <c r="T987" s="47" t="n"/>
      <c r="U987" s="53" t="n"/>
      <c r="V987" s="53" t="n"/>
      <c r="W987" s="47" t="n"/>
      <c r="X987" s="47" t="n"/>
      <c r="Y987" s="47" t="n"/>
      <c r="Z987" s="47" t="n"/>
      <c r="AA987" s="47" t="n"/>
      <c r="AB987" s="47" t="n"/>
      <c r="AC987" s="47" t="n"/>
      <c r="AD987" s="47" t="n"/>
      <c r="AE987" s="47" t="n"/>
      <c r="AF987" s="20">
        <f>IF(A987="","",YEAR(EDATE(A987,-3)))</f>
        <v/>
      </c>
      <c r="AG987" s="20">
        <f>IF(OR(B987="",'経歴簿'!$C$4=""),"",IF(B987&amp;""='経歴簿'!$C$4&amp;"",MAX($AG$4:AG986)+1,""))</f>
        <v/>
      </c>
      <c r="AH987" s="20">
        <f>IF(A987="",0,IF(AND(OR('CSV抽出'!$C$4="",A987&gt;='CSV抽出'!$C$4),OR('CSV抽出'!$C$5="",A987&lt;='CSV抽出'!$C$5),OR('CSV抽出'!$C$6="すべて",'CSV抽出'!$C$6="",D987='CSV抽出'!$C$6),OR('CSV抽出'!$C$7="",B987&amp;""='CSV抽出'!$C$7&amp;"")),1,0))</f>
        <v/>
      </c>
      <c r="AI987" s="20">
        <f>IF(AH987=1,SUM($AH$5:AH987),"")</f>
        <v/>
      </c>
      <c r="AJ987" s="20">
        <f>IF(OR(S987="",'報告書'!$C$4=""),"",IF(S987&amp;""='報告書'!$C$4&amp;"",COUNTIF($S$5:S987,'報告書'!$C$4),""))</f>
        <v/>
      </c>
      <c r="AK987" s="20" t="n"/>
      <c r="AL987" s="47" t="n"/>
      <c r="AM987" s="47" t="n"/>
      <c r="AN987" s="53" t="n"/>
      <c r="AO987" s="47" t="n"/>
      <c r="AP987" s="47" t="n"/>
      <c r="AQ987" s="47" t="n"/>
      <c r="AR987" s="47" t="n"/>
      <c r="AS987" s="47" t="n"/>
      <c r="AT987" s="47" t="n"/>
      <c r="AU987" s="47" t="n"/>
      <c r="AV987" s="47" t="n"/>
      <c r="AW987" s="52" t="n"/>
    </row>
    <row r="988">
      <c r="A988" s="48" t="n"/>
      <c r="B988" s="52" t="n"/>
      <c r="C988" s="47">
        <f>IF(B988="","",IFERROR(INDEX('隊員マスタ'!$B$5:$B$204,MATCH(B988&amp;"",'隊員マスタ'!$F$5:$F$204,0)),IF(AK988="","番号なし",AK988)))</f>
        <v/>
      </c>
      <c r="D988" s="47" t="n"/>
      <c r="E988" s="47" t="n"/>
      <c r="F988" s="47" t="n"/>
      <c r="G988" s="47" t="n"/>
      <c r="H988" s="47" t="n"/>
      <c r="I988" s="47" t="n"/>
      <c r="J988" s="47" t="n"/>
      <c r="K988" s="47" t="n"/>
      <c r="L988" s="47" t="n"/>
      <c r="M988" s="47" t="n"/>
      <c r="N988" s="47" t="n"/>
      <c r="O988" s="47" t="n"/>
      <c r="P988" s="47" t="n"/>
      <c r="Q988" s="47" t="n"/>
      <c r="R988" s="47" t="n"/>
      <c r="S988" s="47" t="n"/>
      <c r="T988" s="47" t="n"/>
      <c r="U988" s="53" t="n"/>
      <c r="V988" s="53" t="n"/>
      <c r="W988" s="47" t="n"/>
      <c r="X988" s="47" t="n"/>
      <c r="Y988" s="47" t="n"/>
      <c r="Z988" s="47" t="n"/>
      <c r="AA988" s="47" t="n"/>
      <c r="AB988" s="47" t="n"/>
      <c r="AC988" s="47" t="n"/>
      <c r="AD988" s="47" t="n"/>
      <c r="AE988" s="47" t="n"/>
      <c r="AF988" s="20">
        <f>IF(A988="","",YEAR(EDATE(A988,-3)))</f>
        <v/>
      </c>
      <c r="AG988" s="20">
        <f>IF(OR(B988="",'経歴簿'!$C$4=""),"",IF(B988&amp;""='経歴簿'!$C$4&amp;"",MAX($AG$4:AG987)+1,""))</f>
        <v/>
      </c>
      <c r="AH988" s="20">
        <f>IF(A988="",0,IF(AND(OR('CSV抽出'!$C$4="",A988&gt;='CSV抽出'!$C$4),OR('CSV抽出'!$C$5="",A988&lt;='CSV抽出'!$C$5),OR('CSV抽出'!$C$6="すべて",'CSV抽出'!$C$6="",D988='CSV抽出'!$C$6),OR('CSV抽出'!$C$7="",B988&amp;""='CSV抽出'!$C$7&amp;"")),1,0))</f>
        <v/>
      </c>
      <c r="AI988" s="20">
        <f>IF(AH988=1,SUM($AH$5:AH988),"")</f>
        <v/>
      </c>
      <c r="AJ988" s="20">
        <f>IF(OR(S988="",'報告書'!$C$4=""),"",IF(S988&amp;""='報告書'!$C$4&amp;"",COUNTIF($S$5:S988,'報告書'!$C$4),""))</f>
        <v/>
      </c>
      <c r="AK988" s="20" t="n"/>
      <c r="AL988" s="47" t="n"/>
      <c r="AM988" s="47" t="n"/>
      <c r="AN988" s="53" t="n"/>
      <c r="AO988" s="47" t="n"/>
      <c r="AP988" s="47" t="n"/>
      <c r="AQ988" s="47" t="n"/>
      <c r="AR988" s="47" t="n"/>
      <c r="AS988" s="47" t="n"/>
      <c r="AT988" s="47" t="n"/>
      <c r="AU988" s="47" t="n"/>
      <c r="AV988" s="47" t="n"/>
      <c r="AW988" s="52" t="n"/>
    </row>
    <row r="989">
      <c r="A989" s="48" t="n"/>
      <c r="B989" s="52" t="n"/>
      <c r="C989" s="47">
        <f>IF(B989="","",IFERROR(INDEX('隊員マスタ'!$B$5:$B$204,MATCH(B989&amp;"",'隊員マスタ'!$F$5:$F$204,0)),IF(AK989="","番号なし",AK989)))</f>
        <v/>
      </c>
      <c r="D989" s="47" t="n"/>
      <c r="E989" s="47" t="n"/>
      <c r="F989" s="47" t="n"/>
      <c r="G989" s="47" t="n"/>
      <c r="H989" s="47" t="n"/>
      <c r="I989" s="47" t="n"/>
      <c r="J989" s="47" t="n"/>
      <c r="K989" s="47" t="n"/>
      <c r="L989" s="47" t="n"/>
      <c r="M989" s="47" t="n"/>
      <c r="N989" s="47" t="n"/>
      <c r="O989" s="47" t="n"/>
      <c r="P989" s="47" t="n"/>
      <c r="Q989" s="47" t="n"/>
      <c r="R989" s="47" t="n"/>
      <c r="S989" s="47" t="n"/>
      <c r="T989" s="47" t="n"/>
      <c r="U989" s="53" t="n"/>
      <c r="V989" s="53" t="n"/>
      <c r="W989" s="47" t="n"/>
      <c r="X989" s="47" t="n"/>
      <c r="Y989" s="47" t="n"/>
      <c r="Z989" s="47" t="n"/>
      <c r="AA989" s="47" t="n"/>
      <c r="AB989" s="47" t="n"/>
      <c r="AC989" s="47" t="n"/>
      <c r="AD989" s="47" t="n"/>
      <c r="AE989" s="47" t="n"/>
      <c r="AF989" s="20">
        <f>IF(A989="","",YEAR(EDATE(A989,-3)))</f>
        <v/>
      </c>
      <c r="AG989" s="20">
        <f>IF(OR(B989="",'経歴簿'!$C$4=""),"",IF(B989&amp;""='経歴簿'!$C$4&amp;"",MAX($AG$4:AG988)+1,""))</f>
        <v/>
      </c>
      <c r="AH989" s="20">
        <f>IF(A989="",0,IF(AND(OR('CSV抽出'!$C$4="",A989&gt;='CSV抽出'!$C$4),OR('CSV抽出'!$C$5="",A989&lt;='CSV抽出'!$C$5),OR('CSV抽出'!$C$6="すべて",'CSV抽出'!$C$6="",D989='CSV抽出'!$C$6),OR('CSV抽出'!$C$7="",B989&amp;""='CSV抽出'!$C$7&amp;"")),1,0))</f>
        <v/>
      </c>
      <c r="AI989" s="20">
        <f>IF(AH989=1,SUM($AH$5:AH989),"")</f>
        <v/>
      </c>
      <c r="AJ989" s="20">
        <f>IF(OR(S989="",'報告書'!$C$4=""),"",IF(S989&amp;""='報告書'!$C$4&amp;"",COUNTIF($S$5:S989,'報告書'!$C$4),""))</f>
        <v/>
      </c>
      <c r="AK989" s="20" t="n"/>
      <c r="AL989" s="47" t="n"/>
      <c r="AM989" s="47" t="n"/>
      <c r="AN989" s="53" t="n"/>
      <c r="AO989" s="47" t="n"/>
      <c r="AP989" s="47" t="n"/>
      <c r="AQ989" s="47" t="n"/>
      <c r="AR989" s="47" t="n"/>
      <c r="AS989" s="47" t="n"/>
      <c r="AT989" s="47" t="n"/>
      <c r="AU989" s="47" t="n"/>
      <c r="AV989" s="47" t="n"/>
      <c r="AW989" s="52" t="n"/>
    </row>
    <row r="990">
      <c r="A990" s="48" t="n"/>
      <c r="B990" s="52" t="n"/>
      <c r="C990" s="47">
        <f>IF(B990="","",IFERROR(INDEX('隊員マスタ'!$B$5:$B$204,MATCH(B990&amp;"",'隊員マスタ'!$F$5:$F$204,0)),IF(AK990="","番号なし",AK990)))</f>
        <v/>
      </c>
      <c r="D990" s="47" t="n"/>
      <c r="E990" s="47" t="n"/>
      <c r="F990" s="47" t="n"/>
      <c r="G990" s="47" t="n"/>
      <c r="H990" s="47" t="n"/>
      <c r="I990" s="47" t="n"/>
      <c r="J990" s="47" t="n"/>
      <c r="K990" s="47" t="n"/>
      <c r="L990" s="47" t="n"/>
      <c r="M990" s="47" t="n"/>
      <c r="N990" s="47" t="n"/>
      <c r="O990" s="47" t="n"/>
      <c r="P990" s="47" t="n"/>
      <c r="Q990" s="47" t="n"/>
      <c r="R990" s="47" t="n"/>
      <c r="S990" s="47" t="n"/>
      <c r="T990" s="47" t="n"/>
      <c r="U990" s="53" t="n"/>
      <c r="V990" s="53" t="n"/>
      <c r="W990" s="47" t="n"/>
      <c r="X990" s="47" t="n"/>
      <c r="Y990" s="47" t="n"/>
      <c r="Z990" s="47" t="n"/>
      <c r="AA990" s="47" t="n"/>
      <c r="AB990" s="47" t="n"/>
      <c r="AC990" s="47" t="n"/>
      <c r="AD990" s="47" t="n"/>
      <c r="AE990" s="47" t="n"/>
      <c r="AF990" s="20">
        <f>IF(A990="","",YEAR(EDATE(A990,-3)))</f>
        <v/>
      </c>
      <c r="AG990" s="20">
        <f>IF(OR(B990="",'経歴簿'!$C$4=""),"",IF(B990&amp;""='経歴簿'!$C$4&amp;"",MAX($AG$4:AG989)+1,""))</f>
        <v/>
      </c>
      <c r="AH990" s="20">
        <f>IF(A990="",0,IF(AND(OR('CSV抽出'!$C$4="",A990&gt;='CSV抽出'!$C$4),OR('CSV抽出'!$C$5="",A990&lt;='CSV抽出'!$C$5),OR('CSV抽出'!$C$6="すべて",'CSV抽出'!$C$6="",D990='CSV抽出'!$C$6),OR('CSV抽出'!$C$7="",B990&amp;""='CSV抽出'!$C$7&amp;"")),1,0))</f>
        <v/>
      </c>
      <c r="AI990" s="20">
        <f>IF(AH990=1,SUM($AH$5:AH990),"")</f>
        <v/>
      </c>
      <c r="AJ990" s="20">
        <f>IF(OR(S990="",'報告書'!$C$4=""),"",IF(S990&amp;""='報告書'!$C$4&amp;"",COUNTIF($S$5:S990,'報告書'!$C$4),""))</f>
        <v/>
      </c>
      <c r="AK990" s="20" t="n"/>
      <c r="AL990" s="47" t="n"/>
      <c r="AM990" s="47" t="n"/>
      <c r="AN990" s="53" t="n"/>
      <c r="AO990" s="47" t="n"/>
      <c r="AP990" s="47" t="n"/>
      <c r="AQ990" s="47" t="n"/>
      <c r="AR990" s="47" t="n"/>
      <c r="AS990" s="47" t="n"/>
      <c r="AT990" s="47" t="n"/>
      <c r="AU990" s="47" t="n"/>
      <c r="AV990" s="47" t="n"/>
      <c r="AW990" s="52" t="n"/>
    </row>
    <row r="991">
      <c r="A991" s="48" t="n"/>
      <c r="B991" s="52" t="n"/>
      <c r="C991" s="47">
        <f>IF(B991="","",IFERROR(INDEX('隊員マスタ'!$B$5:$B$204,MATCH(B991&amp;"",'隊員マスタ'!$F$5:$F$204,0)),IF(AK991="","番号なし",AK991)))</f>
        <v/>
      </c>
      <c r="D991" s="47" t="n"/>
      <c r="E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  <c r="N991" s="47" t="n"/>
      <c r="O991" s="47" t="n"/>
      <c r="P991" s="47" t="n"/>
      <c r="Q991" s="47" t="n"/>
      <c r="R991" s="47" t="n"/>
      <c r="S991" s="47" t="n"/>
      <c r="T991" s="47" t="n"/>
      <c r="U991" s="53" t="n"/>
      <c r="V991" s="53" t="n"/>
      <c r="W991" s="47" t="n"/>
      <c r="X991" s="47" t="n"/>
      <c r="Y991" s="47" t="n"/>
      <c r="Z991" s="47" t="n"/>
      <c r="AA991" s="47" t="n"/>
      <c r="AB991" s="47" t="n"/>
      <c r="AC991" s="47" t="n"/>
      <c r="AD991" s="47" t="n"/>
      <c r="AE991" s="47" t="n"/>
      <c r="AF991" s="20">
        <f>IF(A991="","",YEAR(EDATE(A991,-3)))</f>
        <v/>
      </c>
      <c r="AG991" s="20">
        <f>IF(OR(B991="",'経歴簿'!$C$4=""),"",IF(B991&amp;""='経歴簿'!$C$4&amp;"",MAX($AG$4:AG990)+1,""))</f>
        <v/>
      </c>
      <c r="AH991" s="20">
        <f>IF(A991="",0,IF(AND(OR('CSV抽出'!$C$4="",A991&gt;='CSV抽出'!$C$4),OR('CSV抽出'!$C$5="",A991&lt;='CSV抽出'!$C$5),OR('CSV抽出'!$C$6="すべて",'CSV抽出'!$C$6="",D991='CSV抽出'!$C$6),OR('CSV抽出'!$C$7="",B991&amp;""='CSV抽出'!$C$7&amp;"")),1,0))</f>
        <v/>
      </c>
      <c r="AI991" s="20">
        <f>IF(AH991=1,SUM($AH$5:AH991),"")</f>
        <v/>
      </c>
      <c r="AJ991" s="20">
        <f>IF(OR(S991="",'報告書'!$C$4=""),"",IF(S991&amp;""='報告書'!$C$4&amp;"",COUNTIF($S$5:S991,'報告書'!$C$4),""))</f>
        <v/>
      </c>
      <c r="AK991" s="20" t="n"/>
      <c r="AL991" s="47" t="n"/>
      <c r="AM991" s="47" t="n"/>
      <c r="AN991" s="53" t="n"/>
      <c r="AO991" s="47" t="n"/>
      <c r="AP991" s="47" t="n"/>
      <c r="AQ991" s="47" t="n"/>
      <c r="AR991" s="47" t="n"/>
      <c r="AS991" s="47" t="n"/>
      <c r="AT991" s="47" t="n"/>
      <c r="AU991" s="47" t="n"/>
      <c r="AV991" s="47" t="n"/>
      <c r="AW991" s="52" t="n"/>
    </row>
    <row r="992">
      <c r="A992" s="48" t="n"/>
      <c r="B992" s="52" t="n"/>
      <c r="C992" s="47">
        <f>IF(B992="","",IFERROR(INDEX('隊員マスタ'!$B$5:$B$204,MATCH(B992&amp;"",'隊員マスタ'!$F$5:$F$204,0)),IF(AK992="","番号なし",AK992)))</f>
        <v/>
      </c>
      <c r="D992" s="47" t="n"/>
      <c r="E992" s="47" t="n"/>
      <c r="F992" s="47" t="n"/>
      <c r="G992" s="47" t="n"/>
      <c r="H992" s="47" t="n"/>
      <c r="I992" s="47" t="n"/>
      <c r="J992" s="47" t="n"/>
      <c r="K992" s="47" t="n"/>
      <c r="L992" s="47" t="n"/>
      <c r="M992" s="47" t="n"/>
      <c r="N992" s="47" t="n"/>
      <c r="O992" s="47" t="n"/>
      <c r="P992" s="47" t="n"/>
      <c r="Q992" s="47" t="n"/>
      <c r="R992" s="47" t="n"/>
      <c r="S992" s="47" t="n"/>
      <c r="T992" s="47" t="n"/>
      <c r="U992" s="53" t="n"/>
      <c r="V992" s="53" t="n"/>
      <c r="W992" s="47" t="n"/>
      <c r="X992" s="47" t="n"/>
      <c r="Y992" s="47" t="n"/>
      <c r="Z992" s="47" t="n"/>
      <c r="AA992" s="47" t="n"/>
      <c r="AB992" s="47" t="n"/>
      <c r="AC992" s="47" t="n"/>
      <c r="AD992" s="47" t="n"/>
      <c r="AE992" s="47" t="n"/>
      <c r="AF992" s="20">
        <f>IF(A992="","",YEAR(EDATE(A992,-3)))</f>
        <v/>
      </c>
      <c r="AG992" s="20">
        <f>IF(OR(B992="",'経歴簿'!$C$4=""),"",IF(B992&amp;""='経歴簿'!$C$4&amp;"",MAX($AG$4:AG991)+1,""))</f>
        <v/>
      </c>
      <c r="AH992" s="20">
        <f>IF(A992="",0,IF(AND(OR('CSV抽出'!$C$4="",A992&gt;='CSV抽出'!$C$4),OR('CSV抽出'!$C$5="",A992&lt;='CSV抽出'!$C$5),OR('CSV抽出'!$C$6="すべて",'CSV抽出'!$C$6="",D992='CSV抽出'!$C$6),OR('CSV抽出'!$C$7="",B992&amp;""='CSV抽出'!$C$7&amp;"")),1,0))</f>
        <v/>
      </c>
      <c r="AI992" s="20">
        <f>IF(AH992=1,SUM($AH$5:AH992),"")</f>
        <v/>
      </c>
      <c r="AJ992" s="20">
        <f>IF(OR(S992="",'報告書'!$C$4=""),"",IF(S992&amp;""='報告書'!$C$4&amp;"",COUNTIF($S$5:S992,'報告書'!$C$4),""))</f>
        <v/>
      </c>
      <c r="AK992" s="20" t="n"/>
      <c r="AL992" s="47" t="n"/>
      <c r="AM992" s="47" t="n"/>
      <c r="AN992" s="53" t="n"/>
      <c r="AO992" s="47" t="n"/>
      <c r="AP992" s="47" t="n"/>
      <c r="AQ992" s="47" t="n"/>
      <c r="AR992" s="47" t="n"/>
      <c r="AS992" s="47" t="n"/>
      <c r="AT992" s="47" t="n"/>
      <c r="AU992" s="47" t="n"/>
      <c r="AV992" s="47" t="n"/>
      <c r="AW992" s="52" t="n"/>
    </row>
    <row r="993">
      <c r="A993" s="48" t="n"/>
      <c r="B993" s="52" t="n"/>
      <c r="C993" s="47">
        <f>IF(B993="","",IFERROR(INDEX('隊員マスタ'!$B$5:$B$204,MATCH(B993&amp;"",'隊員マスタ'!$F$5:$F$204,0)),IF(AK993="","番号なし",AK993)))</f>
        <v/>
      </c>
      <c r="D993" s="47" t="n"/>
      <c r="E993" s="47" t="n"/>
      <c r="F993" s="47" t="n"/>
      <c r="G993" s="47" t="n"/>
      <c r="H993" s="47" t="n"/>
      <c r="I993" s="47" t="n"/>
      <c r="J993" s="47" t="n"/>
      <c r="K993" s="47" t="n"/>
      <c r="L993" s="47" t="n"/>
      <c r="M993" s="47" t="n"/>
      <c r="N993" s="47" t="n"/>
      <c r="O993" s="47" t="n"/>
      <c r="P993" s="47" t="n"/>
      <c r="Q993" s="47" t="n"/>
      <c r="R993" s="47" t="n"/>
      <c r="S993" s="47" t="n"/>
      <c r="T993" s="47" t="n"/>
      <c r="U993" s="53" t="n"/>
      <c r="V993" s="53" t="n"/>
      <c r="W993" s="47" t="n"/>
      <c r="X993" s="47" t="n"/>
      <c r="Y993" s="47" t="n"/>
      <c r="Z993" s="47" t="n"/>
      <c r="AA993" s="47" t="n"/>
      <c r="AB993" s="47" t="n"/>
      <c r="AC993" s="47" t="n"/>
      <c r="AD993" s="47" t="n"/>
      <c r="AE993" s="47" t="n"/>
      <c r="AF993" s="20">
        <f>IF(A993="","",YEAR(EDATE(A993,-3)))</f>
        <v/>
      </c>
      <c r="AG993" s="20">
        <f>IF(OR(B993="",'経歴簿'!$C$4=""),"",IF(B993&amp;""='経歴簿'!$C$4&amp;"",MAX($AG$4:AG992)+1,""))</f>
        <v/>
      </c>
      <c r="AH993" s="20">
        <f>IF(A993="",0,IF(AND(OR('CSV抽出'!$C$4="",A993&gt;='CSV抽出'!$C$4),OR('CSV抽出'!$C$5="",A993&lt;='CSV抽出'!$C$5),OR('CSV抽出'!$C$6="すべて",'CSV抽出'!$C$6="",D993='CSV抽出'!$C$6),OR('CSV抽出'!$C$7="",B993&amp;""='CSV抽出'!$C$7&amp;"")),1,0))</f>
        <v/>
      </c>
      <c r="AI993" s="20">
        <f>IF(AH993=1,SUM($AH$5:AH993),"")</f>
        <v/>
      </c>
      <c r="AJ993" s="20">
        <f>IF(OR(S993="",'報告書'!$C$4=""),"",IF(S993&amp;""='報告書'!$C$4&amp;"",COUNTIF($S$5:S993,'報告書'!$C$4),""))</f>
        <v/>
      </c>
      <c r="AK993" s="20" t="n"/>
      <c r="AL993" s="47" t="n"/>
      <c r="AM993" s="47" t="n"/>
      <c r="AN993" s="53" t="n"/>
      <c r="AO993" s="47" t="n"/>
      <c r="AP993" s="47" t="n"/>
      <c r="AQ993" s="47" t="n"/>
      <c r="AR993" s="47" t="n"/>
      <c r="AS993" s="47" t="n"/>
      <c r="AT993" s="47" t="n"/>
      <c r="AU993" s="47" t="n"/>
      <c r="AV993" s="47" t="n"/>
      <c r="AW993" s="52" t="n"/>
    </row>
    <row r="994">
      <c r="A994" s="48" t="n"/>
      <c r="B994" s="52" t="n"/>
      <c r="C994" s="47">
        <f>IF(B994="","",IFERROR(INDEX('隊員マスタ'!$B$5:$B$204,MATCH(B994&amp;"",'隊員マスタ'!$F$5:$F$204,0)),IF(AK994="","番号なし",AK994)))</f>
        <v/>
      </c>
      <c r="D994" s="47" t="n"/>
      <c r="E994" s="47" t="n"/>
      <c r="F994" s="47" t="n"/>
      <c r="G994" s="47" t="n"/>
      <c r="H994" s="47" t="n"/>
      <c r="I994" s="47" t="n"/>
      <c r="J994" s="47" t="n"/>
      <c r="K994" s="47" t="n"/>
      <c r="L994" s="47" t="n"/>
      <c r="M994" s="47" t="n"/>
      <c r="N994" s="47" t="n"/>
      <c r="O994" s="47" t="n"/>
      <c r="P994" s="47" t="n"/>
      <c r="Q994" s="47" t="n"/>
      <c r="R994" s="47" t="n"/>
      <c r="S994" s="47" t="n"/>
      <c r="T994" s="47" t="n"/>
      <c r="U994" s="53" t="n"/>
      <c r="V994" s="53" t="n"/>
      <c r="W994" s="47" t="n"/>
      <c r="X994" s="47" t="n"/>
      <c r="Y994" s="47" t="n"/>
      <c r="Z994" s="47" t="n"/>
      <c r="AA994" s="47" t="n"/>
      <c r="AB994" s="47" t="n"/>
      <c r="AC994" s="47" t="n"/>
      <c r="AD994" s="47" t="n"/>
      <c r="AE994" s="47" t="n"/>
      <c r="AF994" s="20">
        <f>IF(A994="","",YEAR(EDATE(A994,-3)))</f>
        <v/>
      </c>
      <c r="AG994" s="20">
        <f>IF(OR(B994="",'経歴簿'!$C$4=""),"",IF(B994&amp;""='経歴簿'!$C$4&amp;"",MAX($AG$4:AG993)+1,""))</f>
        <v/>
      </c>
      <c r="AH994" s="20">
        <f>IF(A994="",0,IF(AND(OR('CSV抽出'!$C$4="",A994&gt;='CSV抽出'!$C$4),OR('CSV抽出'!$C$5="",A994&lt;='CSV抽出'!$C$5),OR('CSV抽出'!$C$6="すべて",'CSV抽出'!$C$6="",D994='CSV抽出'!$C$6),OR('CSV抽出'!$C$7="",B994&amp;""='CSV抽出'!$C$7&amp;"")),1,0))</f>
        <v/>
      </c>
      <c r="AI994" s="20">
        <f>IF(AH994=1,SUM($AH$5:AH994),"")</f>
        <v/>
      </c>
      <c r="AJ994" s="20">
        <f>IF(OR(S994="",'報告書'!$C$4=""),"",IF(S994&amp;""='報告書'!$C$4&amp;"",COUNTIF($S$5:S994,'報告書'!$C$4),""))</f>
        <v/>
      </c>
      <c r="AK994" s="20" t="n"/>
      <c r="AL994" s="47" t="n"/>
      <c r="AM994" s="47" t="n"/>
      <c r="AN994" s="53" t="n"/>
      <c r="AO994" s="47" t="n"/>
      <c r="AP994" s="47" t="n"/>
      <c r="AQ994" s="47" t="n"/>
      <c r="AR994" s="47" t="n"/>
      <c r="AS994" s="47" t="n"/>
      <c r="AT994" s="47" t="n"/>
      <c r="AU994" s="47" t="n"/>
      <c r="AV994" s="47" t="n"/>
      <c r="AW994" s="52" t="n"/>
    </row>
    <row r="995">
      <c r="A995" s="48" t="n"/>
      <c r="B995" s="52" t="n"/>
      <c r="C995" s="47">
        <f>IF(B995="","",IFERROR(INDEX('隊員マスタ'!$B$5:$B$204,MATCH(B995&amp;"",'隊員マスタ'!$F$5:$F$204,0)),IF(AK995="","番号なし",AK995)))</f>
        <v/>
      </c>
      <c r="D995" s="47" t="n"/>
      <c r="E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  <c r="N995" s="47" t="n"/>
      <c r="O995" s="47" t="n"/>
      <c r="P995" s="47" t="n"/>
      <c r="Q995" s="47" t="n"/>
      <c r="R995" s="47" t="n"/>
      <c r="S995" s="47" t="n"/>
      <c r="T995" s="47" t="n"/>
      <c r="U995" s="53" t="n"/>
      <c r="V995" s="53" t="n"/>
      <c r="W995" s="47" t="n"/>
      <c r="X995" s="47" t="n"/>
      <c r="Y995" s="47" t="n"/>
      <c r="Z995" s="47" t="n"/>
      <c r="AA995" s="47" t="n"/>
      <c r="AB995" s="47" t="n"/>
      <c r="AC995" s="47" t="n"/>
      <c r="AD995" s="47" t="n"/>
      <c r="AE995" s="47" t="n"/>
      <c r="AF995" s="20">
        <f>IF(A995="","",YEAR(EDATE(A995,-3)))</f>
        <v/>
      </c>
      <c r="AG995" s="20">
        <f>IF(OR(B995="",'経歴簿'!$C$4=""),"",IF(B995&amp;""='経歴簿'!$C$4&amp;"",MAX($AG$4:AG994)+1,""))</f>
        <v/>
      </c>
      <c r="AH995" s="20">
        <f>IF(A995="",0,IF(AND(OR('CSV抽出'!$C$4="",A995&gt;='CSV抽出'!$C$4),OR('CSV抽出'!$C$5="",A995&lt;='CSV抽出'!$C$5),OR('CSV抽出'!$C$6="すべて",'CSV抽出'!$C$6="",D995='CSV抽出'!$C$6),OR('CSV抽出'!$C$7="",B995&amp;""='CSV抽出'!$C$7&amp;"")),1,0))</f>
        <v/>
      </c>
      <c r="AI995" s="20">
        <f>IF(AH995=1,SUM($AH$5:AH995),"")</f>
        <v/>
      </c>
      <c r="AJ995" s="20">
        <f>IF(OR(S995="",'報告書'!$C$4=""),"",IF(S995&amp;""='報告書'!$C$4&amp;"",COUNTIF($S$5:S995,'報告書'!$C$4),""))</f>
        <v/>
      </c>
      <c r="AK995" s="20" t="n"/>
      <c r="AL995" s="47" t="n"/>
      <c r="AM995" s="47" t="n"/>
      <c r="AN995" s="53" t="n"/>
      <c r="AO995" s="47" t="n"/>
      <c r="AP995" s="47" t="n"/>
      <c r="AQ995" s="47" t="n"/>
      <c r="AR995" s="47" t="n"/>
      <c r="AS995" s="47" t="n"/>
      <c r="AT995" s="47" t="n"/>
      <c r="AU995" s="47" t="n"/>
      <c r="AV995" s="47" t="n"/>
      <c r="AW995" s="52" t="n"/>
    </row>
    <row r="996">
      <c r="A996" s="48" t="n"/>
      <c r="B996" s="52" t="n"/>
      <c r="C996" s="47">
        <f>IF(B996="","",IFERROR(INDEX('隊員マスタ'!$B$5:$B$204,MATCH(B996&amp;"",'隊員マスタ'!$F$5:$F$204,0)),IF(AK996="","番号なし",AK996)))</f>
        <v/>
      </c>
      <c r="D996" s="47" t="n"/>
      <c r="E996" s="47" t="n"/>
      <c r="F996" s="47" t="n"/>
      <c r="G996" s="47" t="n"/>
      <c r="H996" s="47" t="n"/>
      <c r="I996" s="47" t="n"/>
      <c r="J996" s="47" t="n"/>
      <c r="K996" s="47" t="n"/>
      <c r="L996" s="47" t="n"/>
      <c r="M996" s="47" t="n"/>
      <c r="N996" s="47" t="n"/>
      <c r="O996" s="47" t="n"/>
      <c r="P996" s="47" t="n"/>
      <c r="Q996" s="47" t="n"/>
      <c r="R996" s="47" t="n"/>
      <c r="S996" s="47" t="n"/>
      <c r="T996" s="47" t="n"/>
      <c r="U996" s="53" t="n"/>
      <c r="V996" s="53" t="n"/>
      <c r="W996" s="47" t="n"/>
      <c r="X996" s="47" t="n"/>
      <c r="Y996" s="47" t="n"/>
      <c r="Z996" s="47" t="n"/>
      <c r="AA996" s="47" t="n"/>
      <c r="AB996" s="47" t="n"/>
      <c r="AC996" s="47" t="n"/>
      <c r="AD996" s="47" t="n"/>
      <c r="AE996" s="47" t="n"/>
      <c r="AF996" s="20">
        <f>IF(A996="","",YEAR(EDATE(A996,-3)))</f>
        <v/>
      </c>
      <c r="AG996" s="20">
        <f>IF(OR(B996="",'経歴簿'!$C$4=""),"",IF(B996&amp;""='経歴簿'!$C$4&amp;"",MAX($AG$4:AG995)+1,""))</f>
        <v/>
      </c>
      <c r="AH996" s="20">
        <f>IF(A996="",0,IF(AND(OR('CSV抽出'!$C$4="",A996&gt;='CSV抽出'!$C$4),OR('CSV抽出'!$C$5="",A996&lt;='CSV抽出'!$C$5),OR('CSV抽出'!$C$6="すべて",'CSV抽出'!$C$6="",D996='CSV抽出'!$C$6),OR('CSV抽出'!$C$7="",B996&amp;""='CSV抽出'!$C$7&amp;"")),1,0))</f>
        <v/>
      </c>
      <c r="AI996" s="20">
        <f>IF(AH996=1,SUM($AH$5:AH996),"")</f>
        <v/>
      </c>
      <c r="AJ996" s="20">
        <f>IF(OR(S996="",'報告書'!$C$4=""),"",IF(S996&amp;""='報告書'!$C$4&amp;"",COUNTIF($S$5:S996,'報告書'!$C$4),""))</f>
        <v/>
      </c>
      <c r="AK996" s="20" t="n"/>
      <c r="AL996" s="47" t="n"/>
      <c r="AM996" s="47" t="n"/>
      <c r="AN996" s="53" t="n"/>
      <c r="AO996" s="47" t="n"/>
      <c r="AP996" s="47" t="n"/>
      <c r="AQ996" s="47" t="n"/>
      <c r="AR996" s="47" t="n"/>
      <c r="AS996" s="47" t="n"/>
      <c r="AT996" s="47" t="n"/>
      <c r="AU996" s="47" t="n"/>
      <c r="AV996" s="47" t="n"/>
      <c r="AW996" s="52" t="n"/>
    </row>
    <row r="997">
      <c r="A997" s="48" t="n"/>
      <c r="B997" s="52" t="n"/>
      <c r="C997" s="47">
        <f>IF(B997="","",IFERROR(INDEX('隊員マスタ'!$B$5:$B$204,MATCH(B997&amp;"",'隊員マスタ'!$F$5:$F$204,0)),IF(AK997="","番号なし",AK997)))</f>
        <v/>
      </c>
      <c r="D997" s="47" t="n"/>
      <c r="E997" s="47" t="n"/>
      <c r="F997" s="47" t="n"/>
      <c r="G997" s="47" t="n"/>
      <c r="H997" s="47" t="n"/>
      <c r="I997" s="47" t="n"/>
      <c r="J997" s="47" t="n"/>
      <c r="K997" s="47" t="n"/>
      <c r="L997" s="47" t="n"/>
      <c r="M997" s="47" t="n"/>
      <c r="N997" s="47" t="n"/>
      <c r="O997" s="47" t="n"/>
      <c r="P997" s="47" t="n"/>
      <c r="Q997" s="47" t="n"/>
      <c r="R997" s="47" t="n"/>
      <c r="S997" s="47" t="n"/>
      <c r="T997" s="47" t="n"/>
      <c r="U997" s="53" t="n"/>
      <c r="V997" s="53" t="n"/>
      <c r="W997" s="47" t="n"/>
      <c r="X997" s="47" t="n"/>
      <c r="Y997" s="47" t="n"/>
      <c r="Z997" s="47" t="n"/>
      <c r="AA997" s="47" t="n"/>
      <c r="AB997" s="47" t="n"/>
      <c r="AC997" s="47" t="n"/>
      <c r="AD997" s="47" t="n"/>
      <c r="AE997" s="47" t="n"/>
      <c r="AF997" s="20">
        <f>IF(A997="","",YEAR(EDATE(A997,-3)))</f>
        <v/>
      </c>
      <c r="AG997" s="20">
        <f>IF(OR(B997="",'経歴簿'!$C$4=""),"",IF(B997&amp;""='経歴簿'!$C$4&amp;"",MAX($AG$4:AG996)+1,""))</f>
        <v/>
      </c>
      <c r="AH997" s="20">
        <f>IF(A997="",0,IF(AND(OR('CSV抽出'!$C$4="",A997&gt;='CSV抽出'!$C$4),OR('CSV抽出'!$C$5="",A997&lt;='CSV抽出'!$C$5),OR('CSV抽出'!$C$6="すべて",'CSV抽出'!$C$6="",D997='CSV抽出'!$C$6),OR('CSV抽出'!$C$7="",B997&amp;""='CSV抽出'!$C$7&amp;"")),1,0))</f>
        <v/>
      </c>
      <c r="AI997" s="20">
        <f>IF(AH997=1,SUM($AH$5:AH997),"")</f>
        <v/>
      </c>
      <c r="AJ997" s="20">
        <f>IF(OR(S997="",'報告書'!$C$4=""),"",IF(S997&amp;""='報告書'!$C$4&amp;"",COUNTIF($S$5:S997,'報告書'!$C$4),""))</f>
        <v/>
      </c>
      <c r="AK997" s="20" t="n"/>
      <c r="AL997" s="47" t="n"/>
      <c r="AM997" s="47" t="n"/>
      <c r="AN997" s="53" t="n"/>
      <c r="AO997" s="47" t="n"/>
      <c r="AP997" s="47" t="n"/>
      <c r="AQ997" s="47" t="n"/>
      <c r="AR997" s="47" t="n"/>
      <c r="AS997" s="47" t="n"/>
      <c r="AT997" s="47" t="n"/>
      <c r="AU997" s="47" t="n"/>
      <c r="AV997" s="47" t="n"/>
      <c r="AW997" s="52" t="n"/>
    </row>
    <row r="998">
      <c r="A998" s="48" t="n"/>
      <c r="B998" s="52" t="n"/>
      <c r="C998" s="47">
        <f>IF(B998="","",IFERROR(INDEX('隊員マスタ'!$B$5:$B$204,MATCH(B998&amp;"",'隊員マスタ'!$F$5:$F$204,0)),IF(AK998="","番号なし",AK998)))</f>
        <v/>
      </c>
      <c r="D998" s="47" t="n"/>
      <c r="E998" s="47" t="n"/>
      <c r="F998" s="47" t="n"/>
      <c r="G998" s="47" t="n"/>
      <c r="H998" s="47" t="n"/>
      <c r="I998" s="47" t="n"/>
      <c r="J998" s="47" t="n"/>
      <c r="K998" s="47" t="n"/>
      <c r="L998" s="47" t="n"/>
      <c r="M998" s="47" t="n"/>
      <c r="N998" s="47" t="n"/>
      <c r="O998" s="47" t="n"/>
      <c r="P998" s="47" t="n"/>
      <c r="Q998" s="47" t="n"/>
      <c r="R998" s="47" t="n"/>
      <c r="S998" s="47" t="n"/>
      <c r="T998" s="47" t="n"/>
      <c r="U998" s="53" t="n"/>
      <c r="V998" s="53" t="n"/>
      <c r="W998" s="47" t="n"/>
      <c r="X998" s="47" t="n"/>
      <c r="Y998" s="47" t="n"/>
      <c r="Z998" s="47" t="n"/>
      <c r="AA998" s="47" t="n"/>
      <c r="AB998" s="47" t="n"/>
      <c r="AC998" s="47" t="n"/>
      <c r="AD998" s="47" t="n"/>
      <c r="AE998" s="47" t="n"/>
      <c r="AF998" s="20">
        <f>IF(A998="","",YEAR(EDATE(A998,-3)))</f>
        <v/>
      </c>
      <c r="AG998" s="20">
        <f>IF(OR(B998="",'経歴簿'!$C$4=""),"",IF(B998&amp;""='経歴簿'!$C$4&amp;"",MAX($AG$4:AG997)+1,""))</f>
        <v/>
      </c>
      <c r="AH998" s="20">
        <f>IF(A998="",0,IF(AND(OR('CSV抽出'!$C$4="",A998&gt;='CSV抽出'!$C$4),OR('CSV抽出'!$C$5="",A998&lt;='CSV抽出'!$C$5),OR('CSV抽出'!$C$6="すべて",'CSV抽出'!$C$6="",D998='CSV抽出'!$C$6),OR('CSV抽出'!$C$7="",B998&amp;""='CSV抽出'!$C$7&amp;"")),1,0))</f>
        <v/>
      </c>
      <c r="AI998" s="20">
        <f>IF(AH998=1,SUM($AH$5:AH998),"")</f>
        <v/>
      </c>
      <c r="AJ998" s="20">
        <f>IF(OR(S998="",'報告書'!$C$4=""),"",IF(S998&amp;""='報告書'!$C$4&amp;"",COUNTIF($S$5:S998,'報告書'!$C$4),""))</f>
        <v/>
      </c>
      <c r="AK998" s="20" t="n"/>
      <c r="AL998" s="47" t="n"/>
      <c r="AM998" s="47" t="n"/>
      <c r="AN998" s="53" t="n"/>
      <c r="AO998" s="47" t="n"/>
      <c r="AP998" s="47" t="n"/>
      <c r="AQ998" s="47" t="n"/>
      <c r="AR998" s="47" t="n"/>
      <c r="AS998" s="47" t="n"/>
      <c r="AT998" s="47" t="n"/>
      <c r="AU998" s="47" t="n"/>
      <c r="AV998" s="47" t="n"/>
      <c r="AW998" s="52" t="n"/>
    </row>
    <row r="999">
      <c r="A999" s="48" t="n"/>
      <c r="B999" s="52" t="n"/>
      <c r="C999" s="47">
        <f>IF(B999="","",IFERROR(INDEX('隊員マスタ'!$B$5:$B$204,MATCH(B999&amp;"",'隊員マスタ'!$F$5:$F$204,0)),IF(AK999="","番号なし",AK999)))</f>
        <v/>
      </c>
      <c r="D999" s="47" t="n"/>
      <c r="E999" s="47" t="n"/>
      <c r="F999" s="47" t="n"/>
      <c r="G999" s="47" t="n"/>
      <c r="H999" s="47" t="n"/>
      <c r="I999" s="47" t="n"/>
      <c r="J999" s="47" t="n"/>
      <c r="K999" s="47" t="n"/>
      <c r="L999" s="47" t="n"/>
      <c r="M999" s="47" t="n"/>
      <c r="N999" s="47" t="n"/>
      <c r="O999" s="47" t="n"/>
      <c r="P999" s="47" t="n"/>
      <c r="Q999" s="47" t="n"/>
      <c r="R999" s="47" t="n"/>
      <c r="S999" s="47" t="n"/>
      <c r="T999" s="47" t="n"/>
      <c r="U999" s="53" t="n"/>
      <c r="V999" s="53" t="n"/>
      <c r="W999" s="47" t="n"/>
      <c r="X999" s="47" t="n"/>
      <c r="Y999" s="47" t="n"/>
      <c r="Z999" s="47" t="n"/>
      <c r="AA999" s="47" t="n"/>
      <c r="AB999" s="47" t="n"/>
      <c r="AC999" s="47" t="n"/>
      <c r="AD999" s="47" t="n"/>
      <c r="AE999" s="47" t="n"/>
      <c r="AF999" s="20">
        <f>IF(A999="","",YEAR(EDATE(A999,-3)))</f>
        <v/>
      </c>
      <c r="AG999" s="20">
        <f>IF(OR(B999="",'経歴簿'!$C$4=""),"",IF(B999&amp;""='経歴簿'!$C$4&amp;"",MAX($AG$4:AG998)+1,""))</f>
        <v/>
      </c>
      <c r="AH999" s="20">
        <f>IF(A999="",0,IF(AND(OR('CSV抽出'!$C$4="",A999&gt;='CSV抽出'!$C$4),OR('CSV抽出'!$C$5="",A999&lt;='CSV抽出'!$C$5),OR('CSV抽出'!$C$6="すべて",'CSV抽出'!$C$6="",D999='CSV抽出'!$C$6),OR('CSV抽出'!$C$7="",B999&amp;""='CSV抽出'!$C$7&amp;"")),1,0))</f>
        <v/>
      </c>
      <c r="AI999" s="20">
        <f>IF(AH999=1,SUM($AH$5:AH999),"")</f>
        <v/>
      </c>
      <c r="AJ999" s="20">
        <f>IF(OR(S999="",'報告書'!$C$4=""),"",IF(S999&amp;""='報告書'!$C$4&amp;"",COUNTIF($S$5:S999,'報告書'!$C$4),""))</f>
        <v/>
      </c>
      <c r="AK999" s="20" t="n"/>
      <c r="AL999" s="47" t="n"/>
      <c r="AM999" s="47" t="n"/>
      <c r="AN999" s="53" t="n"/>
      <c r="AO999" s="47" t="n"/>
      <c r="AP999" s="47" t="n"/>
      <c r="AQ999" s="47" t="n"/>
      <c r="AR999" s="47" t="n"/>
      <c r="AS999" s="47" t="n"/>
      <c r="AT999" s="47" t="n"/>
      <c r="AU999" s="47" t="n"/>
      <c r="AV999" s="47" t="n"/>
      <c r="AW999" s="52" t="n"/>
    </row>
    <row r="1000">
      <c r="A1000" s="48" t="n"/>
      <c r="B1000" s="52" t="n"/>
      <c r="C1000" s="47">
        <f>IF(B1000="","",IFERROR(INDEX('隊員マスタ'!$B$5:$B$204,MATCH(B1000&amp;"",'隊員マスタ'!$F$5:$F$204,0)),IF(AK1000="","番号なし",AK1000)))</f>
        <v/>
      </c>
      <c r="D1000" s="47" t="n"/>
      <c r="E1000" s="47" t="n"/>
      <c r="F1000" s="47" t="n"/>
      <c r="G1000" s="47" t="n"/>
      <c r="H1000" s="47" t="n"/>
      <c r="I1000" s="47" t="n"/>
      <c r="J1000" s="47" t="n"/>
      <c r="K1000" s="47" t="n"/>
      <c r="L1000" s="47" t="n"/>
      <c r="M1000" s="47" t="n"/>
      <c r="N1000" s="47" t="n"/>
      <c r="O1000" s="47" t="n"/>
      <c r="P1000" s="47" t="n"/>
      <c r="Q1000" s="47" t="n"/>
      <c r="R1000" s="47" t="n"/>
      <c r="S1000" s="47" t="n"/>
      <c r="T1000" s="47" t="n"/>
      <c r="U1000" s="53" t="n"/>
      <c r="V1000" s="53" t="n"/>
      <c r="W1000" s="47" t="n"/>
      <c r="X1000" s="47" t="n"/>
      <c r="Y1000" s="47" t="n"/>
      <c r="Z1000" s="47" t="n"/>
      <c r="AA1000" s="47" t="n"/>
      <c r="AB1000" s="47" t="n"/>
      <c r="AC1000" s="47" t="n"/>
      <c r="AD1000" s="47" t="n"/>
      <c r="AE1000" s="47" t="n"/>
      <c r="AF1000" s="20">
        <f>IF(A1000="","",YEAR(EDATE(A1000,-3)))</f>
        <v/>
      </c>
      <c r="AG1000" s="20">
        <f>IF(OR(B1000="",'経歴簿'!$C$4=""),"",IF(B1000&amp;""='経歴簿'!$C$4&amp;"",MAX($AG$4:AG999)+1,""))</f>
        <v/>
      </c>
      <c r="AH1000" s="20">
        <f>IF(A1000="",0,IF(AND(OR('CSV抽出'!$C$4="",A1000&gt;='CSV抽出'!$C$4),OR('CSV抽出'!$C$5="",A1000&lt;='CSV抽出'!$C$5),OR('CSV抽出'!$C$6="すべて",'CSV抽出'!$C$6="",D1000='CSV抽出'!$C$6),OR('CSV抽出'!$C$7="",B1000&amp;""='CSV抽出'!$C$7&amp;"")),1,0))</f>
        <v/>
      </c>
      <c r="AI1000" s="20">
        <f>IF(AH1000=1,SUM($AH$5:AH1000),"")</f>
        <v/>
      </c>
      <c r="AJ1000" s="20">
        <f>IF(OR(S1000="",'報告書'!$C$4=""),"",IF(S1000&amp;""='報告書'!$C$4&amp;"",COUNTIF($S$5:S1000,'報告書'!$C$4),""))</f>
        <v/>
      </c>
      <c r="AK1000" s="20" t="n"/>
      <c r="AL1000" s="47" t="n"/>
      <c r="AM1000" s="47" t="n"/>
      <c r="AN1000" s="53" t="n"/>
      <c r="AO1000" s="47" t="n"/>
      <c r="AP1000" s="47" t="n"/>
      <c r="AQ1000" s="47" t="n"/>
      <c r="AR1000" s="47" t="n"/>
      <c r="AS1000" s="47" t="n"/>
      <c r="AT1000" s="47" t="n"/>
      <c r="AU1000" s="47" t="n"/>
      <c r="AV1000" s="47" t="n"/>
      <c r="AW1000" s="52" t="n"/>
    </row>
    <row r="1001">
      <c r="A1001" s="48" t="n"/>
      <c r="B1001" s="52" t="n"/>
      <c r="C1001" s="47">
        <f>IF(B1001="","",IFERROR(INDEX('隊員マスタ'!$B$5:$B$204,MATCH(B1001&amp;"",'隊員マスタ'!$F$5:$F$204,0)),IF(AK1001="","番号なし",AK1001)))</f>
        <v/>
      </c>
      <c r="D1001" s="47" t="n"/>
      <c r="E1001" s="47" t="n"/>
      <c r="F1001" s="47" t="n"/>
      <c r="G1001" s="47" t="n"/>
      <c r="H1001" s="47" t="n"/>
      <c r="I1001" s="47" t="n"/>
      <c r="J1001" s="47" t="n"/>
      <c r="K1001" s="47" t="n"/>
      <c r="L1001" s="47" t="n"/>
      <c r="M1001" s="47" t="n"/>
      <c r="N1001" s="47" t="n"/>
      <c r="O1001" s="47" t="n"/>
      <c r="P1001" s="47" t="n"/>
      <c r="Q1001" s="47" t="n"/>
      <c r="R1001" s="47" t="n"/>
      <c r="S1001" s="47" t="n"/>
      <c r="T1001" s="47" t="n"/>
      <c r="U1001" s="53" t="n"/>
      <c r="V1001" s="53" t="n"/>
      <c r="W1001" s="47" t="n"/>
      <c r="X1001" s="47" t="n"/>
      <c r="Y1001" s="47" t="n"/>
      <c r="Z1001" s="47" t="n"/>
      <c r="AA1001" s="47" t="n"/>
      <c r="AB1001" s="47" t="n"/>
      <c r="AC1001" s="47" t="n"/>
      <c r="AD1001" s="47" t="n"/>
      <c r="AE1001" s="47" t="n"/>
      <c r="AF1001" s="20">
        <f>IF(A1001="","",YEAR(EDATE(A1001,-3)))</f>
        <v/>
      </c>
      <c r="AG1001" s="20">
        <f>IF(OR(B1001="",'経歴簿'!$C$4=""),"",IF(B1001&amp;""='経歴簿'!$C$4&amp;"",MAX($AG$4:AG1000)+1,""))</f>
        <v/>
      </c>
      <c r="AH1001" s="20">
        <f>IF(A1001="",0,IF(AND(OR('CSV抽出'!$C$4="",A1001&gt;='CSV抽出'!$C$4),OR('CSV抽出'!$C$5="",A1001&lt;='CSV抽出'!$C$5),OR('CSV抽出'!$C$6="すべて",'CSV抽出'!$C$6="",D1001='CSV抽出'!$C$6),OR('CSV抽出'!$C$7="",B1001&amp;""='CSV抽出'!$C$7&amp;"")),1,0))</f>
        <v/>
      </c>
      <c r="AI1001" s="20">
        <f>IF(AH1001=1,SUM($AH$5:AH1001),"")</f>
        <v/>
      </c>
      <c r="AJ1001" s="20">
        <f>IF(OR(S1001="",'報告書'!$C$4=""),"",IF(S1001&amp;""='報告書'!$C$4&amp;"",COUNTIF($S$5:S1001,'報告書'!$C$4),""))</f>
        <v/>
      </c>
      <c r="AK1001" s="20" t="n"/>
      <c r="AL1001" s="47" t="n"/>
      <c r="AM1001" s="47" t="n"/>
      <c r="AN1001" s="53" t="n"/>
      <c r="AO1001" s="47" t="n"/>
      <c r="AP1001" s="47" t="n"/>
      <c r="AQ1001" s="47" t="n"/>
      <c r="AR1001" s="47" t="n"/>
      <c r="AS1001" s="47" t="n"/>
      <c r="AT1001" s="47" t="n"/>
      <c r="AU1001" s="47" t="n"/>
      <c r="AV1001" s="47" t="n"/>
      <c r="AW1001" s="52" t="n"/>
    </row>
    <row r="1002">
      <c r="A1002" s="48" t="n"/>
      <c r="B1002" s="52" t="n"/>
      <c r="C1002" s="47">
        <f>IF(B1002="","",IFERROR(INDEX('隊員マスタ'!$B$5:$B$204,MATCH(B1002&amp;"",'隊員マスタ'!$F$5:$F$204,0)),IF(AK1002="","番号なし",AK1002)))</f>
        <v/>
      </c>
      <c r="D1002" s="47" t="n"/>
      <c r="E1002" s="47" t="n"/>
      <c r="F1002" s="47" t="n"/>
      <c r="G1002" s="47" t="n"/>
      <c r="H1002" s="47" t="n"/>
      <c r="I1002" s="47" t="n"/>
      <c r="J1002" s="47" t="n"/>
      <c r="K1002" s="47" t="n"/>
      <c r="L1002" s="47" t="n"/>
      <c r="M1002" s="47" t="n"/>
      <c r="N1002" s="47" t="n"/>
      <c r="O1002" s="47" t="n"/>
      <c r="P1002" s="47" t="n"/>
      <c r="Q1002" s="47" t="n"/>
      <c r="R1002" s="47" t="n"/>
      <c r="S1002" s="47" t="n"/>
      <c r="T1002" s="47" t="n"/>
      <c r="U1002" s="53" t="n"/>
      <c r="V1002" s="53" t="n"/>
      <c r="W1002" s="47" t="n"/>
      <c r="X1002" s="47" t="n"/>
      <c r="Y1002" s="47" t="n"/>
      <c r="Z1002" s="47" t="n"/>
      <c r="AA1002" s="47" t="n"/>
      <c r="AB1002" s="47" t="n"/>
      <c r="AC1002" s="47" t="n"/>
      <c r="AD1002" s="47" t="n"/>
      <c r="AE1002" s="47" t="n"/>
      <c r="AF1002" s="20">
        <f>IF(A1002="","",YEAR(EDATE(A1002,-3)))</f>
        <v/>
      </c>
      <c r="AG1002" s="20">
        <f>IF(OR(B1002="",'経歴簿'!$C$4=""),"",IF(B1002&amp;""='経歴簿'!$C$4&amp;"",MAX($AG$4:AG1001)+1,""))</f>
        <v/>
      </c>
      <c r="AH1002" s="20">
        <f>IF(A1002="",0,IF(AND(OR('CSV抽出'!$C$4="",A1002&gt;='CSV抽出'!$C$4),OR('CSV抽出'!$C$5="",A1002&lt;='CSV抽出'!$C$5),OR('CSV抽出'!$C$6="すべて",'CSV抽出'!$C$6="",D1002='CSV抽出'!$C$6),OR('CSV抽出'!$C$7="",B1002&amp;""='CSV抽出'!$C$7&amp;"")),1,0))</f>
        <v/>
      </c>
      <c r="AI1002" s="20">
        <f>IF(AH1002=1,SUM($AH$5:AH1002),"")</f>
        <v/>
      </c>
      <c r="AJ1002" s="20">
        <f>IF(OR(S1002="",'報告書'!$C$4=""),"",IF(S1002&amp;""='報告書'!$C$4&amp;"",COUNTIF($S$5:S1002,'報告書'!$C$4),""))</f>
        <v/>
      </c>
      <c r="AK1002" s="20" t="n"/>
      <c r="AL1002" s="47" t="n"/>
      <c r="AM1002" s="47" t="n"/>
      <c r="AN1002" s="53" t="n"/>
      <c r="AO1002" s="47" t="n"/>
      <c r="AP1002" s="47" t="n"/>
      <c r="AQ1002" s="47" t="n"/>
      <c r="AR1002" s="47" t="n"/>
      <c r="AS1002" s="47" t="n"/>
      <c r="AT1002" s="47" t="n"/>
      <c r="AU1002" s="47" t="n"/>
      <c r="AV1002" s="47" t="n"/>
      <c r="AW1002" s="52" t="n"/>
    </row>
    <row r="1003">
      <c r="A1003" s="48" t="n"/>
      <c r="B1003" s="52" t="n"/>
      <c r="C1003" s="47">
        <f>IF(B1003="","",IFERROR(INDEX('隊員マスタ'!$B$5:$B$204,MATCH(B1003&amp;"",'隊員マスタ'!$F$5:$F$204,0)),IF(AK1003="","番号なし",AK1003)))</f>
        <v/>
      </c>
      <c r="D1003" s="47" t="n"/>
      <c r="E1003" s="47" t="n"/>
      <c r="F1003" s="47" t="n"/>
      <c r="G1003" s="47" t="n"/>
      <c r="H1003" s="47" t="n"/>
      <c r="I1003" s="47" t="n"/>
      <c r="J1003" s="47" t="n"/>
      <c r="K1003" s="47" t="n"/>
      <c r="L1003" s="47" t="n"/>
      <c r="M1003" s="47" t="n"/>
      <c r="N1003" s="47" t="n"/>
      <c r="O1003" s="47" t="n"/>
      <c r="P1003" s="47" t="n"/>
      <c r="Q1003" s="47" t="n"/>
      <c r="R1003" s="47" t="n"/>
      <c r="S1003" s="47" t="n"/>
      <c r="T1003" s="47" t="n"/>
      <c r="U1003" s="53" t="n"/>
      <c r="V1003" s="53" t="n"/>
      <c r="W1003" s="47" t="n"/>
      <c r="X1003" s="47" t="n"/>
      <c r="Y1003" s="47" t="n"/>
      <c r="Z1003" s="47" t="n"/>
      <c r="AA1003" s="47" t="n"/>
      <c r="AB1003" s="47" t="n"/>
      <c r="AC1003" s="47" t="n"/>
      <c r="AD1003" s="47" t="n"/>
      <c r="AE1003" s="47" t="n"/>
      <c r="AF1003" s="20">
        <f>IF(A1003="","",YEAR(EDATE(A1003,-3)))</f>
        <v/>
      </c>
      <c r="AG1003" s="20">
        <f>IF(OR(B1003="",'経歴簿'!$C$4=""),"",IF(B1003&amp;""='経歴簿'!$C$4&amp;"",MAX($AG$4:AG1002)+1,""))</f>
        <v/>
      </c>
      <c r="AH1003" s="20">
        <f>IF(A1003="",0,IF(AND(OR('CSV抽出'!$C$4="",A1003&gt;='CSV抽出'!$C$4),OR('CSV抽出'!$C$5="",A1003&lt;='CSV抽出'!$C$5),OR('CSV抽出'!$C$6="すべて",'CSV抽出'!$C$6="",D1003='CSV抽出'!$C$6),OR('CSV抽出'!$C$7="",B1003&amp;""='CSV抽出'!$C$7&amp;"")),1,0))</f>
        <v/>
      </c>
      <c r="AI1003" s="20">
        <f>IF(AH1003=1,SUM($AH$5:AH1003),"")</f>
        <v/>
      </c>
      <c r="AJ1003" s="20">
        <f>IF(OR(S1003="",'報告書'!$C$4=""),"",IF(S1003&amp;""='報告書'!$C$4&amp;"",COUNTIF($S$5:S1003,'報告書'!$C$4),""))</f>
        <v/>
      </c>
      <c r="AK1003" s="20" t="n"/>
      <c r="AL1003" s="47" t="n"/>
      <c r="AM1003" s="47" t="n"/>
      <c r="AN1003" s="53" t="n"/>
      <c r="AO1003" s="47" t="n"/>
      <c r="AP1003" s="47" t="n"/>
      <c r="AQ1003" s="47" t="n"/>
      <c r="AR1003" s="47" t="n"/>
      <c r="AS1003" s="47" t="n"/>
      <c r="AT1003" s="47" t="n"/>
      <c r="AU1003" s="47" t="n"/>
      <c r="AV1003" s="47" t="n"/>
      <c r="AW1003" s="52" t="n"/>
    </row>
    <row r="1004">
      <c r="A1004" s="48" t="n"/>
      <c r="B1004" s="52" t="n"/>
      <c r="C1004" s="47">
        <f>IF(B1004="","",IFERROR(INDEX('隊員マスタ'!$B$5:$B$204,MATCH(B1004&amp;"",'隊員マスタ'!$F$5:$F$204,0)),IF(AK1004="","番号なし",AK1004)))</f>
        <v/>
      </c>
      <c r="D1004" s="47" t="n"/>
      <c r="E1004" s="47" t="n"/>
      <c r="F1004" s="47" t="n"/>
      <c r="G1004" s="47" t="n"/>
      <c r="H1004" s="47" t="n"/>
      <c r="I1004" s="47" t="n"/>
      <c r="J1004" s="47" t="n"/>
      <c r="K1004" s="47" t="n"/>
      <c r="L1004" s="47" t="n"/>
      <c r="M1004" s="47" t="n"/>
      <c r="N1004" s="47" t="n"/>
      <c r="O1004" s="47" t="n"/>
      <c r="P1004" s="47" t="n"/>
      <c r="Q1004" s="47" t="n"/>
      <c r="R1004" s="47" t="n"/>
      <c r="S1004" s="47" t="n"/>
      <c r="T1004" s="47" t="n"/>
      <c r="U1004" s="53" t="n"/>
      <c r="V1004" s="53" t="n"/>
      <c r="W1004" s="47" t="n"/>
      <c r="X1004" s="47" t="n"/>
      <c r="Y1004" s="47" t="n"/>
      <c r="Z1004" s="47" t="n"/>
      <c r="AA1004" s="47" t="n"/>
      <c r="AB1004" s="47" t="n"/>
      <c r="AC1004" s="47" t="n"/>
      <c r="AD1004" s="47" t="n"/>
      <c r="AE1004" s="47" t="n"/>
      <c r="AF1004" s="20">
        <f>IF(A1004="","",YEAR(EDATE(A1004,-3)))</f>
        <v/>
      </c>
      <c r="AG1004" s="20">
        <f>IF(OR(B1004="",'経歴簿'!$C$4=""),"",IF(B1004&amp;""='経歴簿'!$C$4&amp;"",MAX($AG$4:AG1003)+1,""))</f>
        <v/>
      </c>
      <c r="AH1004" s="20">
        <f>IF(A1004="",0,IF(AND(OR('CSV抽出'!$C$4="",A1004&gt;='CSV抽出'!$C$4),OR('CSV抽出'!$C$5="",A1004&lt;='CSV抽出'!$C$5),OR('CSV抽出'!$C$6="すべて",'CSV抽出'!$C$6="",D1004='CSV抽出'!$C$6),OR('CSV抽出'!$C$7="",B1004&amp;""='CSV抽出'!$C$7&amp;"")),1,0))</f>
        <v/>
      </c>
      <c r="AI1004" s="20">
        <f>IF(AH1004=1,SUM($AH$5:AH1004),"")</f>
        <v/>
      </c>
      <c r="AJ1004" s="20">
        <f>IF(OR(S1004="",'報告書'!$C$4=""),"",IF(S1004&amp;""='報告書'!$C$4&amp;"",COUNTIF($S$5:S1004,'報告書'!$C$4),""))</f>
        <v/>
      </c>
      <c r="AK1004" s="20" t="n"/>
      <c r="AL1004" s="47" t="n"/>
      <c r="AM1004" s="47" t="n"/>
      <c r="AN1004" s="53" t="n"/>
      <c r="AO1004" s="47" t="n"/>
      <c r="AP1004" s="47" t="n"/>
      <c r="AQ1004" s="47" t="n"/>
      <c r="AR1004" s="47" t="n"/>
      <c r="AS1004" s="47" t="n"/>
      <c r="AT1004" s="47" t="n"/>
      <c r="AU1004" s="47" t="n"/>
      <c r="AV1004" s="47" t="n"/>
      <c r="AW1004" s="52" t="n"/>
    </row>
    <row r="1005">
      <c r="A1005" s="48" t="n"/>
      <c r="B1005" s="52" t="n"/>
      <c r="C1005" s="47">
        <f>IF(B1005="","",IFERROR(INDEX('隊員マスタ'!$B$5:$B$204,MATCH(B1005&amp;"",'隊員マスタ'!$F$5:$F$204,0)),IF(AK1005="","番号なし",AK1005)))</f>
        <v/>
      </c>
      <c r="D1005" s="47" t="n"/>
      <c r="E1005" s="47" t="n"/>
      <c r="F1005" s="47" t="n"/>
      <c r="G1005" s="47" t="n"/>
      <c r="H1005" s="47" t="n"/>
      <c r="I1005" s="47" t="n"/>
      <c r="J1005" s="47" t="n"/>
      <c r="K1005" s="47" t="n"/>
      <c r="L1005" s="47" t="n"/>
      <c r="M1005" s="47" t="n"/>
      <c r="N1005" s="47" t="n"/>
      <c r="O1005" s="47" t="n"/>
      <c r="P1005" s="47" t="n"/>
      <c r="Q1005" s="47" t="n"/>
      <c r="R1005" s="47" t="n"/>
      <c r="S1005" s="47" t="n"/>
      <c r="T1005" s="47" t="n"/>
      <c r="U1005" s="53" t="n"/>
      <c r="V1005" s="53" t="n"/>
      <c r="W1005" s="47" t="n"/>
      <c r="X1005" s="47" t="n"/>
      <c r="Y1005" s="47" t="n"/>
      <c r="Z1005" s="47" t="n"/>
      <c r="AA1005" s="47" t="n"/>
      <c r="AB1005" s="47" t="n"/>
      <c r="AC1005" s="47" t="n"/>
      <c r="AD1005" s="47" t="n"/>
      <c r="AE1005" s="47" t="n"/>
      <c r="AF1005" s="20">
        <f>IF(A1005="","",YEAR(EDATE(A1005,-3)))</f>
        <v/>
      </c>
      <c r="AG1005" s="20">
        <f>IF(OR(B1005="",'経歴簿'!$C$4=""),"",IF(B1005&amp;""='経歴簿'!$C$4&amp;"",MAX($AG$4:AG1004)+1,""))</f>
        <v/>
      </c>
      <c r="AH1005" s="20">
        <f>IF(A1005="",0,IF(AND(OR('CSV抽出'!$C$4="",A1005&gt;='CSV抽出'!$C$4),OR('CSV抽出'!$C$5="",A1005&lt;='CSV抽出'!$C$5),OR('CSV抽出'!$C$6="すべて",'CSV抽出'!$C$6="",D1005='CSV抽出'!$C$6),OR('CSV抽出'!$C$7="",B1005&amp;""='CSV抽出'!$C$7&amp;"")),1,0))</f>
        <v/>
      </c>
      <c r="AI1005" s="20">
        <f>IF(AH1005=1,SUM($AH$5:AH1005),"")</f>
        <v/>
      </c>
      <c r="AJ1005" s="20">
        <f>IF(OR(S1005="",'報告書'!$C$4=""),"",IF(S1005&amp;""='報告書'!$C$4&amp;"",COUNTIF($S$5:S1005,'報告書'!$C$4),""))</f>
        <v/>
      </c>
      <c r="AK1005" s="20" t="n"/>
      <c r="AL1005" s="47" t="n"/>
      <c r="AM1005" s="47" t="n"/>
      <c r="AN1005" s="53" t="n"/>
      <c r="AO1005" s="47" t="n"/>
      <c r="AP1005" s="47" t="n"/>
      <c r="AQ1005" s="47" t="n"/>
      <c r="AR1005" s="47" t="n"/>
      <c r="AS1005" s="47" t="n"/>
      <c r="AT1005" s="47" t="n"/>
      <c r="AU1005" s="47" t="n"/>
      <c r="AV1005" s="47" t="n"/>
      <c r="AW1005" s="52" t="n"/>
    </row>
    <row r="1006">
      <c r="A1006" s="48" t="n"/>
      <c r="B1006" s="52" t="n"/>
      <c r="C1006" s="47">
        <f>IF(B1006="","",IFERROR(INDEX('隊員マスタ'!$B$5:$B$204,MATCH(B1006&amp;"",'隊員マスタ'!$F$5:$F$204,0)),IF(AK1006="","番号なし",AK1006)))</f>
        <v/>
      </c>
      <c r="D1006" s="47" t="n"/>
      <c r="E1006" s="47" t="n"/>
      <c r="F1006" s="47" t="n"/>
      <c r="G1006" s="47" t="n"/>
      <c r="H1006" s="47" t="n"/>
      <c r="I1006" s="47" t="n"/>
      <c r="J1006" s="47" t="n"/>
      <c r="K1006" s="47" t="n"/>
      <c r="L1006" s="47" t="n"/>
      <c r="M1006" s="47" t="n"/>
      <c r="N1006" s="47" t="n"/>
      <c r="O1006" s="47" t="n"/>
      <c r="P1006" s="47" t="n"/>
      <c r="Q1006" s="47" t="n"/>
      <c r="R1006" s="47" t="n"/>
      <c r="S1006" s="47" t="n"/>
      <c r="T1006" s="47" t="n"/>
      <c r="U1006" s="53" t="n"/>
      <c r="V1006" s="53" t="n"/>
      <c r="W1006" s="47" t="n"/>
      <c r="X1006" s="47" t="n"/>
      <c r="Y1006" s="47" t="n"/>
      <c r="Z1006" s="47" t="n"/>
      <c r="AA1006" s="47" t="n"/>
      <c r="AB1006" s="47" t="n"/>
      <c r="AC1006" s="47" t="n"/>
      <c r="AD1006" s="47" t="n"/>
      <c r="AE1006" s="47" t="n"/>
      <c r="AF1006" s="20">
        <f>IF(A1006="","",YEAR(EDATE(A1006,-3)))</f>
        <v/>
      </c>
      <c r="AG1006" s="20">
        <f>IF(OR(B1006="",'経歴簿'!$C$4=""),"",IF(B1006&amp;""='経歴簿'!$C$4&amp;"",MAX($AG$4:AG1005)+1,""))</f>
        <v/>
      </c>
      <c r="AH1006" s="20">
        <f>IF(A1006="",0,IF(AND(OR('CSV抽出'!$C$4="",A1006&gt;='CSV抽出'!$C$4),OR('CSV抽出'!$C$5="",A1006&lt;='CSV抽出'!$C$5),OR('CSV抽出'!$C$6="すべて",'CSV抽出'!$C$6="",D1006='CSV抽出'!$C$6),OR('CSV抽出'!$C$7="",B1006&amp;""='CSV抽出'!$C$7&amp;"")),1,0))</f>
        <v/>
      </c>
      <c r="AI1006" s="20">
        <f>IF(AH1006=1,SUM($AH$5:AH1006),"")</f>
        <v/>
      </c>
      <c r="AJ1006" s="20">
        <f>IF(OR(S1006="",'報告書'!$C$4=""),"",IF(S1006&amp;""='報告書'!$C$4&amp;"",COUNTIF($S$5:S1006,'報告書'!$C$4),""))</f>
        <v/>
      </c>
      <c r="AK1006" s="20" t="n"/>
      <c r="AL1006" s="47" t="n"/>
      <c r="AM1006" s="47" t="n"/>
      <c r="AN1006" s="53" t="n"/>
      <c r="AO1006" s="47" t="n"/>
      <c r="AP1006" s="47" t="n"/>
      <c r="AQ1006" s="47" t="n"/>
      <c r="AR1006" s="47" t="n"/>
      <c r="AS1006" s="47" t="n"/>
      <c r="AT1006" s="47" t="n"/>
      <c r="AU1006" s="47" t="n"/>
      <c r="AV1006" s="47" t="n"/>
      <c r="AW1006" s="52" t="n"/>
    </row>
    <row r="1007">
      <c r="A1007" s="48" t="n"/>
      <c r="B1007" s="52" t="n"/>
      <c r="C1007" s="47">
        <f>IF(B1007="","",IFERROR(INDEX('隊員マスタ'!$B$5:$B$204,MATCH(B1007&amp;"",'隊員マスタ'!$F$5:$F$204,0)),IF(AK1007="","番号なし",AK1007)))</f>
        <v/>
      </c>
      <c r="D1007" s="47" t="n"/>
      <c r="E1007" s="47" t="n"/>
      <c r="F1007" s="47" t="n"/>
      <c r="G1007" s="47" t="n"/>
      <c r="H1007" s="47" t="n"/>
      <c r="I1007" s="47" t="n"/>
      <c r="J1007" s="47" t="n"/>
      <c r="K1007" s="47" t="n"/>
      <c r="L1007" s="47" t="n"/>
      <c r="M1007" s="47" t="n"/>
      <c r="N1007" s="47" t="n"/>
      <c r="O1007" s="47" t="n"/>
      <c r="P1007" s="47" t="n"/>
      <c r="Q1007" s="47" t="n"/>
      <c r="R1007" s="47" t="n"/>
      <c r="S1007" s="47" t="n"/>
      <c r="T1007" s="47" t="n"/>
      <c r="U1007" s="53" t="n"/>
      <c r="V1007" s="53" t="n"/>
      <c r="W1007" s="47" t="n"/>
      <c r="X1007" s="47" t="n"/>
      <c r="Y1007" s="47" t="n"/>
      <c r="Z1007" s="47" t="n"/>
      <c r="AA1007" s="47" t="n"/>
      <c r="AB1007" s="47" t="n"/>
      <c r="AC1007" s="47" t="n"/>
      <c r="AD1007" s="47" t="n"/>
      <c r="AE1007" s="47" t="n"/>
      <c r="AF1007" s="20">
        <f>IF(A1007="","",YEAR(EDATE(A1007,-3)))</f>
        <v/>
      </c>
      <c r="AG1007" s="20">
        <f>IF(OR(B1007="",'経歴簿'!$C$4=""),"",IF(B1007&amp;""='経歴簿'!$C$4&amp;"",MAX($AG$4:AG1006)+1,""))</f>
        <v/>
      </c>
      <c r="AH1007" s="20">
        <f>IF(A1007="",0,IF(AND(OR('CSV抽出'!$C$4="",A1007&gt;='CSV抽出'!$C$4),OR('CSV抽出'!$C$5="",A1007&lt;='CSV抽出'!$C$5),OR('CSV抽出'!$C$6="すべて",'CSV抽出'!$C$6="",D1007='CSV抽出'!$C$6),OR('CSV抽出'!$C$7="",B1007&amp;""='CSV抽出'!$C$7&amp;"")),1,0))</f>
        <v/>
      </c>
      <c r="AI1007" s="20">
        <f>IF(AH1007=1,SUM($AH$5:AH1007),"")</f>
        <v/>
      </c>
      <c r="AJ1007" s="20">
        <f>IF(OR(S1007="",'報告書'!$C$4=""),"",IF(S1007&amp;""='報告書'!$C$4&amp;"",COUNTIF($S$5:S1007,'報告書'!$C$4),""))</f>
        <v/>
      </c>
      <c r="AK1007" s="20" t="n"/>
      <c r="AL1007" s="47" t="n"/>
      <c r="AM1007" s="47" t="n"/>
      <c r="AN1007" s="53" t="n"/>
      <c r="AO1007" s="47" t="n"/>
      <c r="AP1007" s="47" t="n"/>
      <c r="AQ1007" s="47" t="n"/>
      <c r="AR1007" s="47" t="n"/>
      <c r="AS1007" s="47" t="n"/>
      <c r="AT1007" s="47" t="n"/>
      <c r="AU1007" s="47" t="n"/>
      <c r="AV1007" s="47" t="n"/>
      <c r="AW1007" s="52" t="n"/>
    </row>
    <row r="1008">
      <c r="A1008" s="48" t="n"/>
      <c r="B1008" s="52" t="n"/>
      <c r="C1008" s="47">
        <f>IF(B1008="","",IFERROR(INDEX('隊員マスタ'!$B$5:$B$204,MATCH(B1008&amp;"",'隊員マスタ'!$F$5:$F$204,0)),IF(AK1008="","番号なし",AK1008)))</f>
        <v/>
      </c>
      <c r="D1008" s="47" t="n"/>
      <c r="E1008" s="47" t="n"/>
      <c r="F1008" s="47" t="n"/>
      <c r="G1008" s="47" t="n"/>
      <c r="H1008" s="47" t="n"/>
      <c r="I1008" s="47" t="n"/>
      <c r="J1008" s="47" t="n"/>
      <c r="K1008" s="47" t="n"/>
      <c r="L1008" s="47" t="n"/>
      <c r="M1008" s="47" t="n"/>
      <c r="N1008" s="47" t="n"/>
      <c r="O1008" s="47" t="n"/>
      <c r="P1008" s="47" t="n"/>
      <c r="Q1008" s="47" t="n"/>
      <c r="R1008" s="47" t="n"/>
      <c r="S1008" s="47" t="n"/>
      <c r="T1008" s="47" t="n"/>
      <c r="U1008" s="53" t="n"/>
      <c r="V1008" s="53" t="n"/>
      <c r="W1008" s="47" t="n"/>
      <c r="X1008" s="47" t="n"/>
      <c r="Y1008" s="47" t="n"/>
      <c r="Z1008" s="47" t="n"/>
      <c r="AA1008" s="47" t="n"/>
      <c r="AB1008" s="47" t="n"/>
      <c r="AC1008" s="47" t="n"/>
      <c r="AD1008" s="47" t="n"/>
      <c r="AE1008" s="47" t="n"/>
      <c r="AF1008" s="20">
        <f>IF(A1008="","",YEAR(EDATE(A1008,-3)))</f>
        <v/>
      </c>
      <c r="AG1008" s="20">
        <f>IF(OR(B1008="",'経歴簿'!$C$4=""),"",IF(B1008&amp;""='経歴簿'!$C$4&amp;"",MAX($AG$4:AG1007)+1,""))</f>
        <v/>
      </c>
      <c r="AH1008" s="20">
        <f>IF(A1008="",0,IF(AND(OR('CSV抽出'!$C$4="",A1008&gt;='CSV抽出'!$C$4),OR('CSV抽出'!$C$5="",A1008&lt;='CSV抽出'!$C$5),OR('CSV抽出'!$C$6="すべて",'CSV抽出'!$C$6="",D1008='CSV抽出'!$C$6),OR('CSV抽出'!$C$7="",B1008&amp;""='CSV抽出'!$C$7&amp;"")),1,0))</f>
        <v/>
      </c>
      <c r="AI1008" s="20">
        <f>IF(AH1008=1,SUM($AH$5:AH1008),"")</f>
        <v/>
      </c>
      <c r="AJ1008" s="20">
        <f>IF(OR(S1008="",'報告書'!$C$4=""),"",IF(S1008&amp;""='報告書'!$C$4&amp;"",COUNTIF($S$5:S1008,'報告書'!$C$4),""))</f>
        <v/>
      </c>
      <c r="AK1008" s="20" t="n"/>
      <c r="AL1008" s="47" t="n"/>
      <c r="AM1008" s="47" t="n"/>
      <c r="AN1008" s="53" t="n"/>
      <c r="AO1008" s="47" t="n"/>
      <c r="AP1008" s="47" t="n"/>
      <c r="AQ1008" s="47" t="n"/>
      <c r="AR1008" s="47" t="n"/>
      <c r="AS1008" s="47" t="n"/>
      <c r="AT1008" s="47" t="n"/>
      <c r="AU1008" s="47" t="n"/>
      <c r="AV1008" s="47" t="n"/>
      <c r="AW1008" s="52" t="n"/>
    </row>
    <row r="1009">
      <c r="A1009" s="48" t="n"/>
      <c r="B1009" s="52" t="n"/>
      <c r="C1009" s="47">
        <f>IF(B1009="","",IFERROR(INDEX('隊員マスタ'!$B$5:$B$204,MATCH(B1009&amp;"",'隊員マスタ'!$F$5:$F$204,0)),IF(AK1009="","番号なし",AK1009)))</f>
        <v/>
      </c>
      <c r="D1009" s="47" t="n"/>
      <c r="E1009" s="47" t="n"/>
      <c r="F1009" s="47" t="n"/>
      <c r="G1009" s="47" t="n"/>
      <c r="H1009" s="47" t="n"/>
      <c r="I1009" s="47" t="n"/>
      <c r="J1009" s="47" t="n"/>
      <c r="K1009" s="47" t="n"/>
      <c r="L1009" s="47" t="n"/>
      <c r="M1009" s="47" t="n"/>
      <c r="N1009" s="47" t="n"/>
      <c r="O1009" s="47" t="n"/>
      <c r="P1009" s="47" t="n"/>
      <c r="Q1009" s="47" t="n"/>
      <c r="R1009" s="47" t="n"/>
      <c r="S1009" s="47" t="n"/>
      <c r="T1009" s="47" t="n"/>
      <c r="U1009" s="53" t="n"/>
      <c r="V1009" s="53" t="n"/>
      <c r="W1009" s="47" t="n"/>
      <c r="X1009" s="47" t="n"/>
      <c r="Y1009" s="47" t="n"/>
      <c r="Z1009" s="47" t="n"/>
      <c r="AA1009" s="47" t="n"/>
      <c r="AB1009" s="47" t="n"/>
      <c r="AC1009" s="47" t="n"/>
      <c r="AD1009" s="47" t="n"/>
      <c r="AE1009" s="47" t="n"/>
      <c r="AF1009" s="20">
        <f>IF(A1009="","",YEAR(EDATE(A1009,-3)))</f>
        <v/>
      </c>
      <c r="AG1009" s="20">
        <f>IF(OR(B1009="",'経歴簿'!$C$4=""),"",IF(B1009&amp;""='経歴簿'!$C$4&amp;"",MAX($AG$4:AG1008)+1,""))</f>
        <v/>
      </c>
      <c r="AH1009" s="20">
        <f>IF(A1009="",0,IF(AND(OR('CSV抽出'!$C$4="",A1009&gt;='CSV抽出'!$C$4),OR('CSV抽出'!$C$5="",A1009&lt;='CSV抽出'!$C$5),OR('CSV抽出'!$C$6="すべて",'CSV抽出'!$C$6="",D1009='CSV抽出'!$C$6),OR('CSV抽出'!$C$7="",B1009&amp;""='CSV抽出'!$C$7&amp;"")),1,0))</f>
        <v/>
      </c>
      <c r="AI1009" s="20">
        <f>IF(AH1009=1,SUM($AH$5:AH1009),"")</f>
        <v/>
      </c>
      <c r="AJ1009" s="20">
        <f>IF(OR(S1009="",'報告書'!$C$4=""),"",IF(S1009&amp;""='報告書'!$C$4&amp;"",COUNTIF($S$5:S1009,'報告書'!$C$4),""))</f>
        <v/>
      </c>
      <c r="AK1009" s="20" t="n"/>
      <c r="AL1009" s="47" t="n"/>
      <c r="AM1009" s="47" t="n"/>
      <c r="AN1009" s="53" t="n"/>
      <c r="AO1009" s="47" t="n"/>
      <c r="AP1009" s="47" t="n"/>
      <c r="AQ1009" s="47" t="n"/>
      <c r="AR1009" s="47" t="n"/>
      <c r="AS1009" s="47" t="n"/>
      <c r="AT1009" s="47" t="n"/>
      <c r="AU1009" s="47" t="n"/>
      <c r="AV1009" s="47" t="n"/>
      <c r="AW1009" s="52" t="n"/>
    </row>
    <row r="1010">
      <c r="A1010" s="48" t="n"/>
      <c r="B1010" s="52" t="n"/>
      <c r="C1010" s="47">
        <f>IF(B1010="","",IFERROR(INDEX('隊員マスタ'!$B$5:$B$204,MATCH(B1010&amp;"",'隊員マスタ'!$F$5:$F$204,0)),IF(AK1010="","番号なし",AK1010)))</f>
        <v/>
      </c>
      <c r="D1010" s="47" t="n"/>
      <c r="E1010" s="47" t="n"/>
      <c r="F1010" s="47" t="n"/>
      <c r="G1010" s="47" t="n"/>
      <c r="H1010" s="47" t="n"/>
      <c r="I1010" s="47" t="n"/>
      <c r="J1010" s="47" t="n"/>
      <c r="K1010" s="47" t="n"/>
      <c r="L1010" s="47" t="n"/>
      <c r="M1010" s="47" t="n"/>
      <c r="N1010" s="47" t="n"/>
      <c r="O1010" s="47" t="n"/>
      <c r="P1010" s="47" t="n"/>
      <c r="Q1010" s="47" t="n"/>
      <c r="R1010" s="47" t="n"/>
      <c r="S1010" s="47" t="n"/>
      <c r="T1010" s="47" t="n"/>
      <c r="U1010" s="53" t="n"/>
      <c r="V1010" s="53" t="n"/>
      <c r="W1010" s="47" t="n"/>
      <c r="X1010" s="47" t="n"/>
      <c r="Y1010" s="47" t="n"/>
      <c r="Z1010" s="47" t="n"/>
      <c r="AA1010" s="47" t="n"/>
      <c r="AB1010" s="47" t="n"/>
      <c r="AC1010" s="47" t="n"/>
      <c r="AD1010" s="47" t="n"/>
      <c r="AE1010" s="47" t="n"/>
      <c r="AF1010" s="20">
        <f>IF(A1010="","",YEAR(EDATE(A1010,-3)))</f>
        <v/>
      </c>
      <c r="AG1010" s="20">
        <f>IF(OR(B1010="",'経歴簿'!$C$4=""),"",IF(B1010&amp;""='経歴簿'!$C$4&amp;"",MAX($AG$4:AG1009)+1,""))</f>
        <v/>
      </c>
      <c r="AH1010" s="20">
        <f>IF(A1010="",0,IF(AND(OR('CSV抽出'!$C$4="",A1010&gt;='CSV抽出'!$C$4),OR('CSV抽出'!$C$5="",A1010&lt;='CSV抽出'!$C$5),OR('CSV抽出'!$C$6="すべて",'CSV抽出'!$C$6="",D1010='CSV抽出'!$C$6),OR('CSV抽出'!$C$7="",B1010&amp;""='CSV抽出'!$C$7&amp;"")),1,0))</f>
        <v/>
      </c>
      <c r="AI1010" s="20">
        <f>IF(AH1010=1,SUM($AH$5:AH1010),"")</f>
        <v/>
      </c>
      <c r="AJ1010" s="20">
        <f>IF(OR(S1010="",'報告書'!$C$4=""),"",IF(S1010&amp;""='報告書'!$C$4&amp;"",COUNTIF($S$5:S1010,'報告書'!$C$4),""))</f>
        <v/>
      </c>
      <c r="AK1010" s="20" t="n"/>
      <c r="AL1010" s="47" t="n"/>
      <c r="AM1010" s="47" t="n"/>
      <c r="AN1010" s="53" t="n"/>
      <c r="AO1010" s="47" t="n"/>
      <c r="AP1010" s="47" t="n"/>
      <c r="AQ1010" s="47" t="n"/>
      <c r="AR1010" s="47" t="n"/>
      <c r="AS1010" s="47" t="n"/>
      <c r="AT1010" s="47" t="n"/>
      <c r="AU1010" s="47" t="n"/>
      <c r="AV1010" s="47" t="n"/>
      <c r="AW1010" s="52" t="n"/>
    </row>
    <row r="1011">
      <c r="A1011" s="48" t="n"/>
      <c r="B1011" s="52" t="n"/>
      <c r="C1011" s="47">
        <f>IF(B1011="","",IFERROR(INDEX('隊員マスタ'!$B$5:$B$204,MATCH(B1011&amp;"",'隊員マスタ'!$F$5:$F$204,0)),IF(AK1011="","番号なし",AK1011)))</f>
        <v/>
      </c>
      <c r="D1011" s="47" t="n"/>
      <c r="E1011" s="47" t="n"/>
      <c r="F1011" s="47" t="n"/>
      <c r="G1011" s="47" t="n"/>
      <c r="H1011" s="47" t="n"/>
      <c r="I1011" s="47" t="n"/>
      <c r="J1011" s="47" t="n"/>
      <c r="K1011" s="47" t="n"/>
      <c r="L1011" s="47" t="n"/>
      <c r="M1011" s="47" t="n"/>
      <c r="N1011" s="47" t="n"/>
      <c r="O1011" s="47" t="n"/>
      <c r="P1011" s="47" t="n"/>
      <c r="Q1011" s="47" t="n"/>
      <c r="R1011" s="47" t="n"/>
      <c r="S1011" s="47" t="n"/>
      <c r="T1011" s="47" t="n"/>
      <c r="U1011" s="53" t="n"/>
      <c r="V1011" s="53" t="n"/>
      <c r="W1011" s="47" t="n"/>
      <c r="X1011" s="47" t="n"/>
      <c r="Y1011" s="47" t="n"/>
      <c r="Z1011" s="47" t="n"/>
      <c r="AA1011" s="47" t="n"/>
      <c r="AB1011" s="47" t="n"/>
      <c r="AC1011" s="47" t="n"/>
      <c r="AD1011" s="47" t="n"/>
      <c r="AE1011" s="47" t="n"/>
      <c r="AF1011" s="20">
        <f>IF(A1011="","",YEAR(EDATE(A1011,-3)))</f>
        <v/>
      </c>
      <c r="AG1011" s="20">
        <f>IF(OR(B1011="",'経歴簿'!$C$4=""),"",IF(B1011&amp;""='経歴簿'!$C$4&amp;"",MAX($AG$4:AG1010)+1,""))</f>
        <v/>
      </c>
      <c r="AH1011" s="20">
        <f>IF(A1011="",0,IF(AND(OR('CSV抽出'!$C$4="",A1011&gt;='CSV抽出'!$C$4),OR('CSV抽出'!$C$5="",A1011&lt;='CSV抽出'!$C$5),OR('CSV抽出'!$C$6="すべて",'CSV抽出'!$C$6="",D1011='CSV抽出'!$C$6),OR('CSV抽出'!$C$7="",B1011&amp;""='CSV抽出'!$C$7&amp;"")),1,0))</f>
        <v/>
      </c>
      <c r="AI1011" s="20">
        <f>IF(AH1011=1,SUM($AH$5:AH1011),"")</f>
        <v/>
      </c>
      <c r="AJ1011" s="20">
        <f>IF(OR(S1011="",'報告書'!$C$4=""),"",IF(S1011&amp;""='報告書'!$C$4&amp;"",COUNTIF($S$5:S1011,'報告書'!$C$4),""))</f>
        <v/>
      </c>
      <c r="AK1011" s="20" t="n"/>
      <c r="AL1011" s="47" t="n"/>
      <c r="AM1011" s="47" t="n"/>
      <c r="AN1011" s="53" t="n"/>
      <c r="AO1011" s="47" t="n"/>
      <c r="AP1011" s="47" t="n"/>
      <c r="AQ1011" s="47" t="n"/>
      <c r="AR1011" s="47" t="n"/>
      <c r="AS1011" s="47" t="n"/>
      <c r="AT1011" s="47" t="n"/>
      <c r="AU1011" s="47" t="n"/>
      <c r="AV1011" s="47" t="n"/>
      <c r="AW1011" s="52" t="n"/>
    </row>
    <row r="1012">
      <c r="A1012" s="48" t="n"/>
      <c r="B1012" s="52" t="n"/>
      <c r="C1012" s="47">
        <f>IF(B1012="","",IFERROR(INDEX('隊員マスタ'!$B$5:$B$204,MATCH(B1012&amp;"",'隊員マスタ'!$F$5:$F$204,0)),IF(AK1012="","番号なし",AK1012)))</f>
        <v/>
      </c>
      <c r="D1012" s="47" t="n"/>
      <c r="E1012" s="47" t="n"/>
      <c r="F1012" s="47" t="n"/>
      <c r="G1012" s="47" t="n"/>
      <c r="H1012" s="47" t="n"/>
      <c r="I1012" s="47" t="n"/>
      <c r="J1012" s="47" t="n"/>
      <c r="K1012" s="47" t="n"/>
      <c r="L1012" s="47" t="n"/>
      <c r="M1012" s="47" t="n"/>
      <c r="N1012" s="47" t="n"/>
      <c r="O1012" s="47" t="n"/>
      <c r="P1012" s="47" t="n"/>
      <c r="Q1012" s="47" t="n"/>
      <c r="R1012" s="47" t="n"/>
      <c r="S1012" s="47" t="n"/>
      <c r="T1012" s="47" t="n"/>
      <c r="U1012" s="53" t="n"/>
      <c r="V1012" s="53" t="n"/>
      <c r="W1012" s="47" t="n"/>
      <c r="X1012" s="47" t="n"/>
      <c r="Y1012" s="47" t="n"/>
      <c r="Z1012" s="47" t="n"/>
      <c r="AA1012" s="47" t="n"/>
      <c r="AB1012" s="47" t="n"/>
      <c r="AC1012" s="47" t="n"/>
      <c r="AD1012" s="47" t="n"/>
      <c r="AE1012" s="47" t="n"/>
      <c r="AF1012" s="20">
        <f>IF(A1012="","",YEAR(EDATE(A1012,-3)))</f>
        <v/>
      </c>
      <c r="AG1012" s="20">
        <f>IF(OR(B1012="",'経歴簿'!$C$4=""),"",IF(B1012&amp;""='経歴簿'!$C$4&amp;"",MAX($AG$4:AG1011)+1,""))</f>
        <v/>
      </c>
      <c r="AH1012" s="20">
        <f>IF(A1012="",0,IF(AND(OR('CSV抽出'!$C$4="",A1012&gt;='CSV抽出'!$C$4),OR('CSV抽出'!$C$5="",A1012&lt;='CSV抽出'!$C$5),OR('CSV抽出'!$C$6="すべて",'CSV抽出'!$C$6="",D1012='CSV抽出'!$C$6),OR('CSV抽出'!$C$7="",B1012&amp;""='CSV抽出'!$C$7&amp;"")),1,0))</f>
        <v/>
      </c>
      <c r="AI1012" s="20">
        <f>IF(AH1012=1,SUM($AH$5:AH1012),"")</f>
        <v/>
      </c>
      <c r="AJ1012" s="20">
        <f>IF(OR(S1012="",'報告書'!$C$4=""),"",IF(S1012&amp;""='報告書'!$C$4&amp;"",COUNTIF($S$5:S1012,'報告書'!$C$4),""))</f>
        <v/>
      </c>
      <c r="AK1012" s="20" t="n"/>
      <c r="AL1012" s="47" t="n"/>
      <c r="AM1012" s="47" t="n"/>
      <c r="AN1012" s="53" t="n"/>
      <c r="AO1012" s="47" t="n"/>
      <c r="AP1012" s="47" t="n"/>
      <c r="AQ1012" s="47" t="n"/>
      <c r="AR1012" s="47" t="n"/>
      <c r="AS1012" s="47" t="n"/>
      <c r="AT1012" s="47" t="n"/>
      <c r="AU1012" s="47" t="n"/>
      <c r="AV1012" s="47" t="n"/>
      <c r="AW1012" s="52" t="n"/>
    </row>
    <row r="1013">
      <c r="A1013" s="48" t="n"/>
      <c r="B1013" s="52" t="n"/>
      <c r="C1013" s="47">
        <f>IF(B1013="","",IFERROR(INDEX('隊員マスタ'!$B$5:$B$204,MATCH(B1013&amp;"",'隊員マスタ'!$F$5:$F$204,0)),IF(AK1013="","番号なし",AK1013)))</f>
        <v/>
      </c>
      <c r="D1013" s="47" t="n"/>
      <c r="E1013" s="47" t="n"/>
      <c r="F1013" s="47" t="n"/>
      <c r="G1013" s="47" t="n"/>
      <c r="H1013" s="47" t="n"/>
      <c r="I1013" s="47" t="n"/>
      <c r="J1013" s="47" t="n"/>
      <c r="K1013" s="47" t="n"/>
      <c r="L1013" s="47" t="n"/>
      <c r="M1013" s="47" t="n"/>
      <c r="N1013" s="47" t="n"/>
      <c r="O1013" s="47" t="n"/>
      <c r="P1013" s="47" t="n"/>
      <c r="Q1013" s="47" t="n"/>
      <c r="R1013" s="47" t="n"/>
      <c r="S1013" s="47" t="n"/>
      <c r="T1013" s="47" t="n"/>
      <c r="U1013" s="53" t="n"/>
      <c r="V1013" s="53" t="n"/>
      <c r="W1013" s="47" t="n"/>
      <c r="X1013" s="47" t="n"/>
      <c r="Y1013" s="47" t="n"/>
      <c r="Z1013" s="47" t="n"/>
      <c r="AA1013" s="47" t="n"/>
      <c r="AB1013" s="47" t="n"/>
      <c r="AC1013" s="47" t="n"/>
      <c r="AD1013" s="47" t="n"/>
      <c r="AE1013" s="47" t="n"/>
      <c r="AF1013" s="20">
        <f>IF(A1013="","",YEAR(EDATE(A1013,-3)))</f>
        <v/>
      </c>
      <c r="AG1013" s="20">
        <f>IF(OR(B1013="",'経歴簿'!$C$4=""),"",IF(B1013&amp;""='経歴簿'!$C$4&amp;"",MAX($AG$4:AG1012)+1,""))</f>
        <v/>
      </c>
      <c r="AH1013" s="20">
        <f>IF(A1013="",0,IF(AND(OR('CSV抽出'!$C$4="",A1013&gt;='CSV抽出'!$C$4),OR('CSV抽出'!$C$5="",A1013&lt;='CSV抽出'!$C$5),OR('CSV抽出'!$C$6="すべて",'CSV抽出'!$C$6="",D1013='CSV抽出'!$C$6),OR('CSV抽出'!$C$7="",B1013&amp;""='CSV抽出'!$C$7&amp;"")),1,0))</f>
        <v/>
      </c>
      <c r="AI1013" s="20">
        <f>IF(AH1013=1,SUM($AH$5:AH1013),"")</f>
        <v/>
      </c>
      <c r="AJ1013" s="20">
        <f>IF(OR(S1013="",'報告書'!$C$4=""),"",IF(S1013&amp;""='報告書'!$C$4&amp;"",COUNTIF($S$5:S1013,'報告書'!$C$4),""))</f>
        <v/>
      </c>
      <c r="AK1013" s="20" t="n"/>
      <c r="AL1013" s="47" t="n"/>
      <c r="AM1013" s="47" t="n"/>
      <c r="AN1013" s="53" t="n"/>
      <c r="AO1013" s="47" t="n"/>
      <c r="AP1013" s="47" t="n"/>
      <c r="AQ1013" s="47" t="n"/>
      <c r="AR1013" s="47" t="n"/>
      <c r="AS1013" s="47" t="n"/>
      <c r="AT1013" s="47" t="n"/>
      <c r="AU1013" s="47" t="n"/>
      <c r="AV1013" s="47" t="n"/>
      <c r="AW1013" s="52" t="n"/>
    </row>
    <row r="1014">
      <c r="A1014" s="48" t="n"/>
      <c r="B1014" s="52" t="n"/>
      <c r="C1014" s="47">
        <f>IF(B1014="","",IFERROR(INDEX('隊員マスタ'!$B$5:$B$204,MATCH(B1014&amp;"",'隊員マスタ'!$F$5:$F$204,0)),IF(AK1014="","番号なし",AK1014)))</f>
        <v/>
      </c>
      <c r="D1014" s="47" t="n"/>
      <c r="E1014" s="47" t="n"/>
      <c r="F1014" s="47" t="n"/>
      <c r="G1014" s="47" t="n"/>
      <c r="H1014" s="47" t="n"/>
      <c r="I1014" s="47" t="n"/>
      <c r="J1014" s="47" t="n"/>
      <c r="K1014" s="47" t="n"/>
      <c r="L1014" s="47" t="n"/>
      <c r="M1014" s="47" t="n"/>
      <c r="N1014" s="47" t="n"/>
      <c r="O1014" s="47" t="n"/>
      <c r="P1014" s="47" t="n"/>
      <c r="Q1014" s="47" t="n"/>
      <c r="R1014" s="47" t="n"/>
      <c r="S1014" s="47" t="n"/>
      <c r="T1014" s="47" t="n"/>
      <c r="U1014" s="53" t="n"/>
      <c r="V1014" s="53" t="n"/>
      <c r="W1014" s="47" t="n"/>
      <c r="X1014" s="47" t="n"/>
      <c r="Y1014" s="47" t="n"/>
      <c r="Z1014" s="47" t="n"/>
      <c r="AA1014" s="47" t="n"/>
      <c r="AB1014" s="47" t="n"/>
      <c r="AC1014" s="47" t="n"/>
      <c r="AD1014" s="47" t="n"/>
      <c r="AE1014" s="47" t="n"/>
      <c r="AF1014" s="20">
        <f>IF(A1014="","",YEAR(EDATE(A1014,-3)))</f>
        <v/>
      </c>
      <c r="AG1014" s="20">
        <f>IF(OR(B1014="",'経歴簿'!$C$4=""),"",IF(B1014&amp;""='経歴簿'!$C$4&amp;"",MAX($AG$4:AG1013)+1,""))</f>
        <v/>
      </c>
      <c r="AH1014" s="20">
        <f>IF(A1014="",0,IF(AND(OR('CSV抽出'!$C$4="",A1014&gt;='CSV抽出'!$C$4),OR('CSV抽出'!$C$5="",A1014&lt;='CSV抽出'!$C$5),OR('CSV抽出'!$C$6="すべて",'CSV抽出'!$C$6="",D1014='CSV抽出'!$C$6),OR('CSV抽出'!$C$7="",B1014&amp;""='CSV抽出'!$C$7&amp;"")),1,0))</f>
        <v/>
      </c>
      <c r="AI1014" s="20">
        <f>IF(AH1014=1,SUM($AH$5:AH1014),"")</f>
        <v/>
      </c>
      <c r="AJ1014" s="20">
        <f>IF(OR(S1014="",'報告書'!$C$4=""),"",IF(S1014&amp;""='報告書'!$C$4&amp;"",COUNTIF($S$5:S1014,'報告書'!$C$4),""))</f>
        <v/>
      </c>
      <c r="AK1014" s="20" t="n"/>
      <c r="AL1014" s="47" t="n"/>
      <c r="AM1014" s="47" t="n"/>
      <c r="AN1014" s="53" t="n"/>
      <c r="AO1014" s="47" t="n"/>
      <c r="AP1014" s="47" t="n"/>
      <c r="AQ1014" s="47" t="n"/>
      <c r="AR1014" s="47" t="n"/>
      <c r="AS1014" s="47" t="n"/>
      <c r="AT1014" s="47" t="n"/>
      <c r="AU1014" s="47" t="n"/>
      <c r="AV1014" s="47" t="n"/>
      <c r="AW1014" s="52" t="n"/>
    </row>
    <row r="1015">
      <c r="A1015" s="48" t="n"/>
      <c r="B1015" s="52" t="n"/>
      <c r="C1015" s="47">
        <f>IF(B1015="","",IFERROR(INDEX('隊員マスタ'!$B$5:$B$204,MATCH(B1015&amp;"",'隊員マスタ'!$F$5:$F$204,0)),IF(AK1015="","番号なし",AK1015)))</f>
        <v/>
      </c>
      <c r="D1015" s="47" t="n"/>
      <c r="E1015" s="47" t="n"/>
      <c r="F1015" s="47" t="n"/>
      <c r="G1015" s="47" t="n"/>
      <c r="H1015" s="47" t="n"/>
      <c r="I1015" s="47" t="n"/>
      <c r="J1015" s="47" t="n"/>
      <c r="K1015" s="47" t="n"/>
      <c r="L1015" s="47" t="n"/>
      <c r="M1015" s="47" t="n"/>
      <c r="N1015" s="47" t="n"/>
      <c r="O1015" s="47" t="n"/>
      <c r="P1015" s="47" t="n"/>
      <c r="Q1015" s="47" t="n"/>
      <c r="R1015" s="47" t="n"/>
      <c r="S1015" s="47" t="n"/>
      <c r="T1015" s="47" t="n"/>
      <c r="U1015" s="53" t="n"/>
      <c r="V1015" s="53" t="n"/>
      <c r="W1015" s="47" t="n"/>
      <c r="X1015" s="47" t="n"/>
      <c r="Y1015" s="47" t="n"/>
      <c r="Z1015" s="47" t="n"/>
      <c r="AA1015" s="47" t="n"/>
      <c r="AB1015" s="47" t="n"/>
      <c r="AC1015" s="47" t="n"/>
      <c r="AD1015" s="47" t="n"/>
      <c r="AE1015" s="47" t="n"/>
      <c r="AF1015" s="20">
        <f>IF(A1015="","",YEAR(EDATE(A1015,-3)))</f>
        <v/>
      </c>
      <c r="AG1015" s="20">
        <f>IF(OR(B1015="",'経歴簿'!$C$4=""),"",IF(B1015&amp;""='経歴簿'!$C$4&amp;"",MAX($AG$4:AG1014)+1,""))</f>
        <v/>
      </c>
      <c r="AH1015" s="20">
        <f>IF(A1015="",0,IF(AND(OR('CSV抽出'!$C$4="",A1015&gt;='CSV抽出'!$C$4),OR('CSV抽出'!$C$5="",A1015&lt;='CSV抽出'!$C$5),OR('CSV抽出'!$C$6="すべて",'CSV抽出'!$C$6="",D1015='CSV抽出'!$C$6),OR('CSV抽出'!$C$7="",B1015&amp;""='CSV抽出'!$C$7&amp;"")),1,0))</f>
        <v/>
      </c>
      <c r="AI1015" s="20">
        <f>IF(AH1015=1,SUM($AH$5:AH1015),"")</f>
        <v/>
      </c>
      <c r="AJ1015" s="20">
        <f>IF(OR(S1015="",'報告書'!$C$4=""),"",IF(S1015&amp;""='報告書'!$C$4&amp;"",COUNTIF($S$5:S1015,'報告書'!$C$4),""))</f>
        <v/>
      </c>
      <c r="AK1015" s="20" t="n"/>
      <c r="AL1015" s="47" t="n"/>
      <c r="AM1015" s="47" t="n"/>
      <c r="AN1015" s="53" t="n"/>
      <c r="AO1015" s="47" t="n"/>
      <c r="AP1015" s="47" t="n"/>
      <c r="AQ1015" s="47" t="n"/>
      <c r="AR1015" s="47" t="n"/>
      <c r="AS1015" s="47" t="n"/>
      <c r="AT1015" s="47" t="n"/>
      <c r="AU1015" s="47" t="n"/>
      <c r="AV1015" s="47" t="n"/>
      <c r="AW1015" s="52" t="n"/>
    </row>
    <row r="1016">
      <c r="A1016" s="48" t="n"/>
      <c r="B1016" s="52" t="n"/>
      <c r="C1016" s="47">
        <f>IF(B1016="","",IFERROR(INDEX('隊員マスタ'!$B$5:$B$204,MATCH(B1016&amp;"",'隊員マスタ'!$F$5:$F$204,0)),IF(AK1016="","番号なし",AK1016)))</f>
        <v/>
      </c>
      <c r="D1016" s="47" t="n"/>
      <c r="E1016" s="47" t="n"/>
      <c r="F1016" s="47" t="n"/>
      <c r="G1016" s="47" t="n"/>
      <c r="H1016" s="47" t="n"/>
      <c r="I1016" s="47" t="n"/>
      <c r="J1016" s="47" t="n"/>
      <c r="K1016" s="47" t="n"/>
      <c r="L1016" s="47" t="n"/>
      <c r="M1016" s="47" t="n"/>
      <c r="N1016" s="47" t="n"/>
      <c r="O1016" s="47" t="n"/>
      <c r="P1016" s="47" t="n"/>
      <c r="Q1016" s="47" t="n"/>
      <c r="R1016" s="47" t="n"/>
      <c r="S1016" s="47" t="n"/>
      <c r="T1016" s="47" t="n"/>
      <c r="U1016" s="53" t="n"/>
      <c r="V1016" s="53" t="n"/>
      <c r="W1016" s="47" t="n"/>
      <c r="X1016" s="47" t="n"/>
      <c r="Y1016" s="47" t="n"/>
      <c r="Z1016" s="47" t="n"/>
      <c r="AA1016" s="47" t="n"/>
      <c r="AB1016" s="47" t="n"/>
      <c r="AC1016" s="47" t="n"/>
      <c r="AD1016" s="47" t="n"/>
      <c r="AE1016" s="47" t="n"/>
      <c r="AF1016" s="20">
        <f>IF(A1016="","",YEAR(EDATE(A1016,-3)))</f>
        <v/>
      </c>
      <c r="AG1016" s="20">
        <f>IF(OR(B1016="",'経歴簿'!$C$4=""),"",IF(B1016&amp;""='経歴簿'!$C$4&amp;"",MAX($AG$4:AG1015)+1,""))</f>
        <v/>
      </c>
      <c r="AH1016" s="20">
        <f>IF(A1016="",0,IF(AND(OR('CSV抽出'!$C$4="",A1016&gt;='CSV抽出'!$C$4),OR('CSV抽出'!$C$5="",A1016&lt;='CSV抽出'!$C$5),OR('CSV抽出'!$C$6="すべて",'CSV抽出'!$C$6="",D1016='CSV抽出'!$C$6),OR('CSV抽出'!$C$7="",B1016&amp;""='CSV抽出'!$C$7&amp;"")),1,0))</f>
        <v/>
      </c>
      <c r="AI1016" s="20">
        <f>IF(AH1016=1,SUM($AH$5:AH1016),"")</f>
        <v/>
      </c>
      <c r="AJ1016" s="20">
        <f>IF(OR(S1016="",'報告書'!$C$4=""),"",IF(S1016&amp;""='報告書'!$C$4&amp;"",COUNTIF($S$5:S1016,'報告書'!$C$4),""))</f>
        <v/>
      </c>
      <c r="AK1016" s="20" t="n"/>
      <c r="AL1016" s="47" t="n"/>
      <c r="AM1016" s="47" t="n"/>
      <c r="AN1016" s="53" t="n"/>
      <c r="AO1016" s="47" t="n"/>
      <c r="AP1016" s="47" t="n"/>
      <c r="AQ1016" s="47" t="n"/>
      <c r="AR1016" s="47" t="n"/>
      <c r="AS1016" s="47" t="n"/>
      <c r="AT1016" s="47" t="n"/>
      <c r="AU1016" s="47" t="n"/>
      <c r="AV1016" s="47" t="n"/>
      <c r="AW1016" s="52" t="n"/>
    </row>
    <row r="1017">
      <c r="A1017" s="48" t="n"/>
      <c r="B1017" s="52" t="n"/>
      <c r="C1017" s="47">
        <f>IF(B1017="","",IFERROR(INDEX('隊員マスタ'!$B$5:$B$204,MATCH(B1017&amp;"",'隊員マスタ'!$F$5:$F$204,0)),IF(AK1017="","番号なし",AK1017)))</f>
        <v/>
      </c>
      <c r="D1017" s="47" t="n"/>
      <c r="E1017" s="47" t="n"/>
      <c r="F1017" s="47" t="n"/>
      <c r="G1017" s="47" t="n"/>
      <c r="H1017" s="47" t="n"/>
      <c r="I1017" s="47" t="n"/>
      <c r="J1017" s="47" t="n"/>
      <c r="K1017" s="47" t="n"/>
      <c r="L1017" s="47" t="n"/>
      <c r="M1017" s="47" t="n"/>
      <c r="N1017" s="47" t="n"/>
      <c r="O1017" s="47" t="n"/>
      <c r="P1017" s="47" t="n"/>
      <c r="Q1017" s="47" t="n"/>
      <c r="R1017" s="47" t="n"/>
      <c r="S1017" s="47" t="n"/>
      <c r="T1017" s="47" t="n"/>
      <c r="U1017" s="53" t="n"/>
      <c r="V1017" s="53" t="n"/>
      <c r="W1017" s="47" t="n"/>
      <c r="X1017" s="47" t="n"/>
      <c r="Y1017" s="47" t="n"/>
      <c r="Z1017" s="47" t="n"/>
      <c r="AA1017" s="47" t="n"/>
      <c r="AB1017" s="47" t="n"/>
      <c r="AC1017" s="47" t="n"/>
      <c r="AD1017" s="47" t="n"/>
      <c r="AE1017" s="47" t="n"/>
      <c r="AF1017" s="20">
        <f>IF(A1017="","",YEAR(EDATE(A1017,-3)))</f>
        <v/>
      </c>
      <c r="AG1017" s="20">
        <f>IF(OR(B1017="",'経歴簿'!$C$4=""),"",IF(B1017&amp;""='経歴簿'!$C$4&amp;"",MAX($AG$4:AG1016)+1,""))</f>
        <v/>
      </c>
      <c r="AH1017" s="20">
        <f>IF(A1017="",0,IF(AND(OR('CSV抽出'!$C$4="",A1017&gt;='CSV抽出'!$C$4),OR('CSV抽出'!$C$5="",A1017&lt;='CSV抽出'!$C$5),OR('CSV抽出'!$C$6="すべて",'CSV抽出'!$C$6="",D1017='CSV抽出'!$C$6),OR('CSV抽出'!$C$7="",B1017&amp;""='CSV抽出'!$C$7&amp;"")),1,0))</f>
        <v/>
      </c>
      <c r="AI1017" s="20">
        <f>IF(AH1017=1,SUM($AH$5:AH1017),"")</f>
        <v/>
      </c>
      <c r="AJ1017" s="20">
        <f>IF(OR(S1017="",'報告書'!$C$4=""),"",IF(S1017&amp;""='報告書'!$C$4&amp;"",COUNTIF($S$5:S1017,'報告書'!$C$4),""))</f>
        <v/>
      </c>
      <c r="AK1017" s="20" t="n"/>
      <c r="AL1017" s="47" t="n"/>
      <c r="AM1017" s="47" t="n"/>
      <c r="AN1017" s="53" t="n"/>
      <c r="AO1017" s="47" t="n"/>
      <c r="AP1017" s="47" t="n"/>
      <c r="AQ1017" s="47" t="n"/>
      <c r="AR1017" s="47" t="n"/>
      <c r="AS1017" s="47" t="n"/>
      <c r="AT1017" s="47" t="n"/>
      <c r="AU1017" s="47" t="n"/>
      <c r="AV1017" s="47" t="n"/>
      <c r="AW1017" s="52" t="n"/>
    </row>
    <row r="1018">
      <c r="A1018" s="48" t="n"/>
      <c r="B1018" s="52" t="n"/>
      <c r="C1018" s="47">
        <f>IF(B1018="","",IFERROR(INDEX('隊員マスタ'!$B$5:$B$204,MATCH(B1018&amp;"",'隊員マスタ'!$F$5:$F$204,0)),IF(AK1018="","番号なし",AK1018)))</f>
        <v/>
      </c>
      <c r="D1018" s="47" t="n"/>
      <c r="E1018" s="47" t="n"/>
      <c r="F1018" s="47" t="n"/>
      <c r="G1018" s="47" t="n"/>
      <c r="H1018" s="47" t="n"/>
      <c r="I1018" s="47" t="n"/>
      <c r="J1018" s="47" t="n"/>
      <c r="K1018" s="47" t="n"/>
      <c r="L1018" s="47" t="n"/>
      <c r="M1018" s="47" t="n"/>
      <c r="N1018" s="47" t="n"/>
      <c r="O1018" s="47" t="n"/>
      <c r="P1018" s="47" t="n"/>
      <c r="Q1018" s="47" t="n"/>
      <c r="R1018" s="47" t="n"/>
      <c r="S1018" s="47" t="n"/>
      <c r="T1018" s="47" t="n"/>
      <c r="U1018" s="53" t="n"/>
      <c r="V1018" s="53" t="n"/>
      <c r="W1018" s="47" t="n"/>
      <c r="X1018" s="47" t="n"/>
      <c r="Y1018" s="47" t="n"/>
      <c r="Z1018" s="47" t="n"/>
      <c r="AA1018" s="47" t="n"/>
      <c r="AB1018" s="47" t="n"/>
      <c r="AC1018" s="47" t="n"/>
      <c r="AD1018" s="47" t="n"/>
      <c r="AE1018" s="47" t="n"/>
      <c r="AF1018" s="20">
        <f>IF(A1018="","",YEAR(EDATE(A1018,-3)))</f>
        <v/>
      </c>
      <c r="AG1018" s="20">
        <f>IF(OR(B1018="",'経歴簿'!$C$4=""),"",IF(B1018&amp;""='経歴簿'!$C$4&amp;"",MAX($AG$4:AG1017)+1,""))</f>
        <v/>
      </c>
      <c r="AH1018" s="20">
        <f>IF(A1018="",0,IF(AND(OR('CSV抽出'!$C$4="",A1018&gt;='CSV抽出'!$C$4),OR('CSV抽出'!$C$5="",A1018&lt;='CSV抽出'!$C$5),OR('CSV抽出'!$C$6="すべて",'CSV抽出'!$C$6="",D1018='CSV抽出'!$C$6),OR('CSV抽出'!$C$7="",B1018&amp;""='CSV抽出'!$C$7&amp;"")),1,0))</f>
        <v/>
      </c>
      <c r="AI1018" s="20">
        <f>IF(AH1018=1,SUM($AH$5:AH1018),"")</f>
        <v/>
      </c>
      <c r="AJ1018" s="20">
        <f>IF(OR(S1018="",'報告書'!$C$4=""),"",IF(S1018&amp;""='報告書'!$C$4&amp;"",COUNTIF($S$5:S1018,'報告書'!$C$4),""))</f>
        <v/>
      </c>
      <c r="AK1018" s="20" t="n"/>
      <c r="AL1018" s="47" t="n"/>
      <c r="AM1018" s="47" t="n"/>
      <c r="AN1018" s="53" t="n"/>
      <c r="AO1018" s="47" t="n"/>
      <c r="AP1018" s="47" t="n"/>
      <c r="AQ1018" s="47" t="n"/>
      <c r="AR1018" s="47" t="n"/>
      <c r="AS1018" s="47" t="n"/>
      <c r="AT1018" s="47" t="n"/>
      <c r="AU1018" s="47" t="n"/>
      <c r="AV1018" s="47" t="n"/>
      <c r="AW1018" s="52" t="n"/>
    </row>
    <row r="1019">
      <c r="A1019" s="48" t="n"/>
      <c r="B1019" s="52" t="n"/>
      <c r="C1019" s="47">
        <f>IF(B1019="","",IFERROR(INDEX('隊員マスタ'!$B$5:$B$204,MATCH(B1019&amp;"",'隊員マスタ'!$F$5:$F$204,0)),IF(AK1019="","番号なし",AK1019)))</f>
        <v/>
      </c>
      <c r="D1019" s="47" t="n"/>
      <c r="E1019" s="47" t="n"/>
      <c r="F1019" s="47" t="n"/>
      <c r="G1019" s="47" t="n"/>
      <c r="H1019" s="47" t="n"/>
      <c r="I1019" s="47" t="n"/>
      <c r="J1019" s="47" t="n"/>
      <c r="K1019" s="47" t="n"/>
      <c r="L1019" s="47" t="n"/>
      <c r="M1019" s="47" t="n"/>
      <c r="N1019" s="47" t="n"/>
      <c r="O1019" s="47" t="n"/>
      <c r="P1019" s="47" t="n"/>
      <c r="Q1019" s="47" t="n"/>
      <c r="R1019" s="47" t="n"/>
      <c r="S1019" s="47" t="n"/>
      <c r="T1019" s="47" t="n"/>
      <c r="U1019" s="53" t="n"/>
      <c r="V1019" s="53" t="n"/>
      <c r="W1019" s="47" t="n"/>
      <c r="X1019" s="47" t="n"/>
      <c r="Y1019" s="47" t="n"/>
      <c r="Z1019" s="47" t="n"/>
      <c r="AA1019" s="47" t="n"/>
      <c r="AB1019" s="47" t="n"/>
      <c r="AC1019" s="47" t="n"/>
      <c r="AD1019" s="47" t="n"/>
      <c r="AE1019" s="47" t="n"/>
      <c r="AF1019" s="20">
        <f>IF(A1019="","",YEAR(EDATE(A1019,-3)))</f>
        <v/>
      </c>
      <c r="AG1019" s="20">
        <f>IF(OR(B1019="",'経歴簿'!$C$4=""),"",IF(B1019&amp;""='経歴簿'!$C$4&amp;"",MAX($AG$4:AG1018)+1,""))</f>
        <v/>
      </c>
      <c r="AH1019" s="20">
        <f>IF(A1019="",0,IF(AND(OR('CSV抽出'!$C$4="",A1019&gt;='CSV抽出'!$C$4),OR('CSV抽出'!$C$5="",A1019&lt;='CSV抽出'!$C$5),OR('CSV抽出'!$C$6="すべて",'CSV抽出'!$C$6="",D1019='CSV抽出'!$C$6),OR('CSV抽出'!$C$7="",B1019&amp;""='CSV抽出'!$C$7&amp;"")),1,0))</f>
        <v/>
      </c>
      <c r="AI1019" s="20">
        <f>IF(AH1019=1,SUM($AH$5:AH1019),"")</f>
        <v/>
      </c>
      <c r="AJ1019" s="20">
        <f>IF(OR(S1019="",'報告書'!$C$4=""),"",IF(S1019&amp;""='報告書'!$C$4&amp;"",COUNTIF($S$5:S1019,'報告書'!$C$4),""))</f>
        <v/>
      </c>
      <c r="AK1019" s="20" t="n"/>
      <c r="AL1019" s="47" t="n"/>
      <c r="AM1019" s="47" t="n"/>
      <c r="AN1019" s="53" t="n"/>
      <c r="AO1019" s="47" t="n"/>
      <c r="AP1019" s="47" t="n"/>
      <c r="AQ1019" s="47" t="n"/>
      <c r="AR1019" s="47" t="n"/>
      <c r="AS1019" s="47" t="n"/>
      <c r="AT1019" s="47" t="n"/>
      <c r="AU1019" s="47" t="n"/>
      <c r="AV1019" s="47" t="n"/>
      <c r="AW1019" s="52" t="n"/>
    </row>
    <row r="1020">
      <c r="A1020" s="48" t="n"/>
      <c r="B1020" s="52" t="n"/>
      <c r="C1020" s="47">
        <f>IF(B1020="","",IFERROR(INDEX('隊員マスタ'!$B$5:$B$204,MATCH(B1020&amp;"",'隊員マスタ'!$F$5:$F$204,0)),IF(AK1020="","番号なし",AK1020)))</f>
        <v/>
      </c>
      <c r="D1020" s="47" t="n"/>
      <c r="E1020" s="47" t="n"/>
      <c r="F1020" s="47" t="n"/>
      <c r="G1020" s="47" t="n"/>
      <c r="H1020" s="47" t="n"/>
      <c r="I1020" s="47" t="n"/>
      <c r="J1020" s="47" t="n"/>
      <c r="K1020" s="47" t="n"/>
      <c r="L1020" s="47" t="n"/>
      <c r="M1020" s="47" t="n"/>
      <c r="N1020" s="47" t="n"/>
      <c r="O1020" s="47" t="n"/>
      <c r="P1020" s="47" t="n"/>
      <c r="Q1020" s="47" t="n"/>
      <c r="R1020" s="47" t="n"/>
      <c r="S1020" s="47" t="n"/>
      <c r="T1020" s="47" t="n"/>
      <c r="U1020" s="53" t="n"/>
      <c r="V1020" s="53" t="n"/>
      <c r="W1020" s="47" t="n"/>
      <c r="X1020" s="47" t="n"/>
      <c r="Y1020" s="47" t="n"/>
      <c r="Z1020" s="47" t="n"/>
      <c r="AA1020" s="47" t="n"/>
      <c r="AB1020" s="47" t="n"/>
      <c r="AC1020" s="47" t="n"/>
      <c r="AD1020" s="47" t="n"/>
      <c r="AE1020" s="47" t="n"/>
      <c r="AF1020" s="20">
        <f>IF(A1020="","",YEAR(EDATE(A1020,-3)))</f>
        <v/>
      </c>
      <c r="AG1020" s="20">
        <f>IF(OR(B1020="",'経歴簿'!$C$4=""),"",IF(B1020&amp;""='経歴簿'!$C$4&amp;"",MAX($AG$4:AG1019)+1,""))</f>
        <v/>
      </c>
      <c r="AH1020" s="20">
        <f>IF(A1020="",0,IF(AND(OR('CSV抽出'!$C$4="",A1020&gt;='CSV抽出'!$C$4),OR('CSV抽出'!$C$5="",A1020&lt;='CSV抽出'!$C$5),OR('CSV抽出'!$C$6="すべて",'CSV抽出'!$C$6="",D1020='CSV抽出'!$C$6),OR('CSV抽出'!$C$7="",B1020&amp;""='CSV抽出'!$C$7&amp;"")),1,0))</f>
        <v/>
      </c>
      <c r="AI1020" s="20">
        <f>IF(AH1020=1,SUM($AH$5:AH1020),"")</f>
        <v/>
      </c>
      <c r="AJ1020" s="20">
        <f>IF(OR(S1020="",'報告書'!$C$4=""),"",IF(S1020&amp;""='報告書'!$C$4&amp;"",COUNTIF($S$5:S1020,'報告書'!$C$4),""))</f>
        <v/>
      </c>
      <c r="AK1020" s="20" t="n"/>
      <c r="AL1020" s="47" t="n"/>
      <c r="AM1020" s="47" t="n"/>
      <c r="AN1020" s="53" t="n"/>
      <c r="AO1020" s="47" t="n"/>
      <c r="AP1020" s="47" t="n"/>
      <c r="AQ1020" s="47" t="n"/>
      <c r="AR1020" s="47" t="n"/>
      <c r="AS1020" s="47" t="n"/>
      <c r="AT1020" s="47" t="n"/>
      <c r="AU1020" s="47" t="n"/>
      <c r="AV1020" s="47" t="n"/>
      <c r="AW1020" s="52" t="n"/>
    </row>
    <row r="1021">
      <c r="A1021" s="48" t="n"/>
      <c r="B1021" s="52" t="n"/>
      <c r="C1021" s="47">
        <f>IF(B1021="","",IFERROR(INDEX('隊員マスタ'!$B$5:$B$204,MATCH(B1021&amp;"",'隊員マスタ'!$F$5:$F$204,0)),IF(AK1021="","番号なし",AK1021)))</f>
        <v/>
      </c>
      <c r="D1021" s="47" t="n"/>
      <c r="E1021" s="47" t="n"/>
      <c r="F1021" s="47" t="n"/>
      <c r="G1021" s="47" t="n"/>
      <c r="H1021" s="47" t="n"/>
      <c r="I1021" s="47" t="n"/>
      <c r="J1021" s="47" t="n"/>
      <c r="K1021" s="47" t="n"/>
      <c r="L1021" s="47" t="n"/>
      <c r="M1021" s="47" t="n"/>
      <c r="N1021" s="47" t="n"/>
      <c r="O1021" s="47" t="n"/>
      <c r="P1021" s="47" t="n"/>
      <c r="Q1021" s="47" t="n"/>
      <c r="R1021" s="47" t="n"/>
      <c r="S1021" s="47" t="n"/>
      <c r="T1021" s="47" t="n"/>
      <c r="U1021" s="53" t="n"/>
      <c r="V1021" s="53" t="n"/>
      <c r="W1021" s="47" t="n"/>
      <c r="X1021" s="47" t="n"/>
      <c r="Y1021" s="47" t="n"/>
      <c r="Z1021" s="47" t="n"/>
      <c r="AA1021" s="47" t="n"/>
      <c r="AB1021" s="47" t="n"/>
      <c r="AC1021" s="47" t="n"/>
      <c r="AD1021" s="47" t="n"/>
      <c r="AE1021" s="47" t="n"/>
      <c r="AF1021" s="20">
        <f>IF(A1021="","",YEAR(EDATE(A1021,-3)))</f>
        <v/>
      </c>
      <c r="AG1021" s="20">
        <f>IF(OR(B1021="",'経歴簿'!$C$4=""),"",IF(B1021&amp;""='経歴簿'!$C$4&amp;"",MAX($AG$4:AG1020)+1,""))</f>
        <v/>
      </c>
      <c r="AH1021" s="20">
        <f>IF(A1021="",0,IF(AND(OR('CSV抽出'!$C$4="",A1021&gt;='CSV抽出'!$C$4),OR('CSV抽出'!$C$5="",A1021&lt;='CSV抽出'!$C$5),OR('CSV抽出'!$C$6="すべて",'CSV抽出'!$C$6="",D1021='CSV抽出'!$C$6),OR('CSV抽出'!$C$7="",B1021&amp;""='CSV抽出'!$C$7&amp;"")),1,0))</f>
        <v/>
      </c>
      <c r="AI1021" s="20">
        <f>IF(AH1021=1,SUM($AH$5:AH1021),"")</f>
        <v/>
      </c>
      <c r="AJ1021" s="20">
        <f>IF(OR(S1021="",'報告書'!$C$4=""),"",IF(S1021&amp;""='報告書'!$C$4&amp;"",COUNTIF($S$5:S1021,'報告書'!$C$4),""))</f>
        <v/>
      </c>
      <c r="AK1021" s="20" t="n"/>
      <c r="AL1021" s="47" t="n"/>
      <c r="AM1021" s="47" t="n"/>
      <c r="AN1021" s="53" t="n"/>
      <c r="AO1021" s="47" t="n"/>
      <c r="AP1021" s="47" t="n"/>
      <c r="AQ1021" s="47" t="n"/>
      <c r="AR1021" s="47" t="n"/>
      <c r="AS1021" s="47" t="n"/>
      <c r="AT1021" s="47" t="n"/>
      <c r="AU1021" s="47" t="n"/>
      <c r="AV1021" s="47" t="n"/>
      <c r="AW1021" s="52" t="n"/>
    </row>
    <row r="1022">
      <c r="A1022" s="48" t="n"/>
      <c r="B1022" s="52" t="n"/>
      <c r="C1022" s="47">
        <f>IF(B1022="","",IFERROR(INDEX('隊員マスタ'!$B$5:$B$204,MATCH(B1022&amp;"",'隊員マスタ'!$F$5:$F$204,0)),IF(AK1022="","番号なし",AK1022)))</f>
        <v/>
      </c>
      <c r="D1022" s="47" t="n"/>
      <c r="E1022" s="47" t="n"/>
      <c r="F1022" s="47" t="n"/>
      <c r="G1022" s="47" t="n"/>
      <c r="H1022" s="47" t="n"/>
      <c r="I1022" s="47" t="n"/>
      <c r="J1022" s="47" t="n"/>
      <c r="K1022" s="47" t="n"/>
      <c r="L1022" s="47" t="n"/>
      <c r="M1022" s="47" t="n"/>
      <c r="N1022" s="47" t="n"/>
      <c r="O1022" s="47" t="n"/>
      <c r="P1022" s="47" t="n"/>
      <c r="Q1022" s="47" t="n"/>
      <c r="R1022" s="47" t="n"/>
      <c r="S1022" s="47" t="n"/>
      <c r="T1022" s="47" t="n"/>
      <c r="U1022" s="53" t="n"/>
      <c r="V1022" s="53" t="n"/>
      <c r="W1022" s="47" t="n"/>
      <c r="X1022" s="47" t="n"/>
      <c r="Y1022" s="47" t="n"/>
      <c r="Z1022" s="47" t="n"/>
      <c r="AA1022" s="47" t="n"/>
      <c r="AB1022" s="47" t="n"/>
      <c r="AC1022" s="47" t="n"/>
      <c r="AD1022" s="47" t="n"/>
      <c r="AE1022" s="47" t="n"/>
      <c r="AF1022" s="20">
        <f>IF(A1022="","",YEAR(EDATE(A1022,-3)))</f>
        <v/>
      </c>
      <c r="AG1022" s="20">
        <f>IF(OR(B1022="",'経歴簿'!$C$4=""),"",IF(B1022&amp;""='経歴簿'!$C$4&amp;"",MAX($AG$4:AG1021)+1,""))</f>
        <v/>
      </c>
      <c r="AH1022" s="20">
        <f>IF(A1022="",0,IF(AND(OR('CSV抽出'!$C$4="",A1022&gt;='CSV抽出'!$C$4),OR('CSV抽出'!$C$5="",A1022&lt;='CSV抽出'!$C$5),OR('CSV抽出'!$C$6="すべて",'CSV抽出'!$C$6="",D1022='CSV抽出'!$C$6),OR('CSV抽出'!$C$7="",B1022&amp;""='CSV抽出'!$C$7&amp;"")),1,0))</f>
        <v/>
      </c>
      <c r="AI1022" s="20">
        <f>IF(AH1022=1,SUM($AH$5:AH1022),"")</f>
        <v/>
      </c>
      <c r="AJ1022" s="20">
        <f>IF(OR(S1022="",'報告書'!$C$4=""),"",IF(S1022&amp;""='報告書'!$C$4&amp;"",COUNTIF($S$5:S1022,'報告書'!$C$4),""))</f>
        <v/>
      </c>
      <c r="AK1022" s="20" t="n"/>
      <c r="AL1022" s="47" t="n"/>
      <c r="AM1022" s="47" t="n"/>
      <c r="AN1022" s="53" t="n"/>
      <c r="AO1022" s="47" t="n"/>
      <c r="AP1022" s="47" t="n"/>
      <c r="AQ1022" s="47" t="n"/>
      <c r="AR1022" s="47" t="n"/>
      <c r="AS1022" s="47" t="n"/>
      <c r="AT1022" s="47" t="n"/>
      <c r="AU1022" s="47" t="n"/>
      <c r="AV1022" s="47" t="n"/>
      <c r="AW1022" s="52" t="n"/>
    </row>
    <row r="1023">
      <c r="A1023" s="48" t="n"/>
      <c r="B1023" s="52" t="n"/>
      <c r="C1023" s="47">
        <f>IF(B1023="","",IFERROR(INDEX('隊員マスタ'!$B$5:$B$204,MATCH(B1023&amp;"",'隊員マスタ'!$F$5:$F$204,0)),IF(AK1023="","番号なし",AK1023)))</f>
        <v/>
      </c>
      <c r="D1023" s="47" t="n"/>
      <c r="E1023" s="47" t="n"/>
      <c r="F1023" s="47" t="n"/>
      <c r="G1023" s="47" t="n"/>
      <c r="H1023" s="47" t="n"/>
      <c r="I1023" s="47" t="n"/>
      <c r="J1023" s="47" t="n"/>
      <c r="K1023" s="47" t="n"/>
      <c r="L1023" s="47" t="n"/>
      <c r="M1023" s="47" t="n"/>
      <c r="N1023" s="47" t="n"/>
      <c r="O1023" s="47" t="n"/>
      <c r="P1023" s="47" t="n"/>
      <c r="Q1023" s="47" t="n"/>
      <c r="R1023" s="47" t="n"/>
      <c r="S1023" s="47" t="n"/>
      <c r="T1023" s="47" t="n"/>
      <c r="U1023" s="53" t="n"/>
      <c r="V1023" s="53" t="n"/>
      <c r="W1023" s="47" t="n"/>
      <c r="X1023" s="47" t="n"/>
      <c r="Y1023" s="47" t="n"/>
      <c r="Z1023" s="47" t="n"/>
      <c r="AA1023" s="47" t="n"/>
      <c r="AB1023" s="47" t="n"/>
      <c r="AC1023" s="47" t="n"/>
      <c r="AD1023" s="47" t="n"/>
      <c r="AE1023" s="47" t="n"/>
      <c r="AF1023" s="20">
        <f>IF(A1023="","",YEAR(EDATE(A1023,-3)))</f>
        <v/>
      </c>
      <c r="AG1023" s="20">
        <f>IF(OR(B1023="",'経歴簿'!$C$4=""),"",IF(B1023&amp;""='経歴簿'!$C$4&amp;"",MAX($AG$4:AG1022)+1,""))</f>
        <v/>
      </c>
      <c r="AH1023" s="20">
        <f>IF(A1023="",0,IF(AND(OR('CSV抽出'!$C$4="",A1023&gt;='CSV抽出'!$C$4),OR('CSV抽出'!$C$5="",A1023&lt;='CSV抽出'!$C$5),OR('CSV抽出'!$C$6="すべて",'CSV抽出'!$C$6="",D1023='CSV抽出'!$C$6),OR('CSV抽出'!$C$7="",B1023&amp;""='CSV抽出'!$C$7&amp;"")),1,0))</f>
        <v/>
      </c>
      <c r="AI1023" s="20">
        <f>IF(AH1023=1,SUM($AH$5:AH1023),"")</f>
        <v/>
      </c>
      <c r="AJ1023" s="20">
        <f>IF(OR(S1023="",'報告書'!$C$4=""),"",IF(S1023&amp;""='報告書'!$C$4&amp;"",COUNTIF($S$5:S1023,'報告書'!$C$4),""))</f>
        <v/>
      </c>
      <c r="AK1023" s="20" t="n"/>
      <c r="AL1023" s="47" t="n"/>
      <c r="AM1023" s="47" t="n"/>
      <c r="AN1023" s="53" t="n"/>
      <c r="AO1023" s="47" t="n"/>
      <c r="AP1023" s="47" t="n"/>
      <c r="AQ1023" s="47" t="n"/>
      <c r="AR1023" s="47" t="n"/>
      <c r="AS1023" s="47" t="n"/>
      <c r="AT1023" s="47" t="n"/>
      <c r="AU1023" s="47" t="n"/>
      <c r="AV1023" s="47" t="n"/>
      <c r="AW1023" s="52" t="n"/>
    </row>
    <row r="1024">
      <c r="A1024" s="48" t="n"/>
      <c r="B1024" s="52" t="n"/>
      <c r="C1024" s="47">
        <f>IF(B1024="","",IFERROR(INDEX('隊員マスタ'!$B$5:$B$204,MATCH(B1024&amp;"",'隊員マスタ'!$F$5:$F$204,0)),IF(AK1024="","番号なし",AK1024)))</f>
        <v/>
      </c>
      <c r="D1024" s="47" t="n"/>
      <c r="E1024" s="47" t="n"/>
      <c r="F1024" s="47" t="n"/>
      <c r="G1024" s="47" t="n"/>
      <c r="H1024" s="47" t="n"/>
      <c r="I1024" s="47" t="n"/>
      <c r="J1024" s="47" t="n"/>
      <c r="K1024" s="47" t="n"/>
      <c r="L1024" s="47" t="n"/>
      <c r="M1024" s="47" t="n"/>
      <c r="N1024" s="47" t="n"/>
      <c r="O1024" s="47" t="n"/>
      <c r="P1024" s="47" t="n"/>
      <c r="Q1024" s="47" t="n"/>
      <c r="R1024" s="47" t="n"/>
      <c r="S1024" s="47" t="n"/>
      <c r="T1024" s="47" t="n"/>
      <c r="U1024" s="53" t="n"/>
      <c r="V1024" s="53" t="n"/>
      <c r="W1024" s="47" t="n"/>
      <c r="X1024" s="47" t="n"/>
      <c r="Y1024" s="47" t="n"/>
      <c r="Z1024" s="47" t="n"/>
      <c r="AA1024" s="47" t="n"/>
      <c r="AB1024" s="47" t="n"/>
      <c r="AC1024" s="47" t="n"/>
      <c r="AD1024" s="47" t="n"/>
      <c r="AE1024" s="47" t="n"/>
      <c r="AF1024" s="20">
        <f>IF(A1024="","",YEAR(EDATE(A1024,-3)))</f>
        <v/>
      </c>
      <c r="AG1024" s="20">
        <f>IF(OR(B1024="",'経歴簿'!$C$4=""),"",IF(B1024&amp;""='経歴簿'!$C$4&amp;"",MAX($AG$4:AG1023)+1,""))</f>
        <v/>
      </c>
      <c r="AH1024" s="20">
        <f>IF(A1024="",0,IF(AND(OR('CSV抽出'!$C$4="",A1024&gt;='CSV抽出'!$C$4),OR('CSV抽出'!$C$5="",A1024&lt;='CSV抽出'!$C$5),OR('CSV抽出'!$C$6="すべて",'CSV抽出'!$C$6="",D1024='CSV抽出'!$C$6),OR('CSV抽出'!$C$7="",B1024&amp;""='CSV抽出'!$C$7&amp;"")),1,0))</f>
        <v/>
      </c>
      <c r="AI1024" s="20">
        <f>IF(AH1024=1,SUM($AH$5:AH1024),"")</f>
        <v/>
      </c>
      <c r="AJ1024" s="20">
        <f>IF(OR(S1024="",'報告書'!$C$4=""),"",IF(S1024&amp;""='報告書'!$C$4&amp;"",COUNTIF($S$5:S1024,'報告書'!$C$4),""))</f>
        <v/>
      </c>
      <c r="AK1024" s="20" t="n"/>
      <c r="AL1024" s="47" t="n"/>
      <c r="AM1024" s="47" t="n"/>
      <c r="AN1024" s="53" t="n"/>
      <c r="AO1024" s="47" t="n"/>
      <c r="AP1024" s="47" t="n"/>
      <c r="AQ1024" s="47" t="n"/>
      <c r="AR1024" s="47" t="n"/>
      <c r="AS1024" s="47" t="n"/>
      <c r="AT1024" s="47" t="n"/>
      <c r="AU1024" s="47" t="n"/>
      <c r="AV1024" s="47" t="n"/>
      <c r="AW1024" s="52" t="n"/>
    </row>
    <row r="1025">
      <c r="A1025" s="48" t="n"/>
      <c r="B1025" s="52" t="n"/>
      <c r="C1025" s="47">
        <f>IF(B1025="","",IFERROR(INDEX('隊員マスタ'!$B$5:$B$204,MATCH(B1025&amp;"",'隊員マスタ'!$F$5:$F$204,0)),IF(AK1025="","番号なし",AK1025)))</f>
        <v/>
      </c>
      <c r="D1025" s="47" t="n"/>
      <c r="E1025" s="47" t="n"/>
      <c r="F1025" s="47" t="n"/>
      <c r="G1025" s="47" t="n"/>
      <c r="H1025" s="47" t="n"/>
      <c r="I1025" s="47" t="n"/>
      <c r="J1025" s="47" t="n"/>
      <c r="K1025" s="47" t="n"/>
      <c r="L1025" s="47" t="n"/>
      <c r="M1025" s="47" t="n"/>
      <c r="N1025" s="47" t="n"/>
      <c r="O1025" s="47" t="n"/>
      <c r="P1025" s="47" t="n"/>
      <c r="Q1025" s="47" t="n"/>
      <c r="R1025" s="47" t="n"/>
      <c r="S1025" s="47" t="n"/>
      <c r="T1025" s="47" t="n"/>
      <c r="U1025" s="53" t="n"/>
      <c r="V1025" s="53" t="n"/>
      <c r="W1025" s="47" t="n"/>
      <c r="X1025" s="47" t="n"/>
      <c r="Y1025" s="47" t="n"/>
      <c r="Z1025" s="47" t="n"/>
      <c r="AA1025" s="47" t="n"/>
      <c r="AB1025" s="47" t="n"/>
      <c r="AC1025" s="47" t="n"/>
      <c r="AD1025" s="47" t="n"/>
      <c r="AE1025" s="47" t="n"/>
      <c r="AF1025" s="20">
        <f>IF(A1025="","",YEAR(EDATE(A1025,-3)))</f>
        <v/>
      </c>
      <c r="AG1025" s="20">
        <f>IF(OR(B1025="",'経歴簿'!$C$4=""),"",IF(B1025&amp;""='経歴簿'!$C$4&amp;"",MAX($AG$4:AG1024)+1,""))</f>
        <v/>
      </c>
      <c r="AH1025" s="20">
        <f>IF(A1025="",0,IF(AND(OR('CSV抽出'!$C$4="",A1025&gt;='CSV抽出'!$C$4),OR('CSV抽出'!$C$5="",A1025&lt;='CSV抽出'!$C$5),OR('CSV抽出'!$C$6="すべて",'CSV抽出'!$C$6="",D1025='CSV抽出'!$C$6),OR('CSV抽出'!$C$7="",B1025&amp;""='CSV抽出'!$C$7&amp;"")),1,0))</f>
        <v/>
      </c>
      <c r="AI1025" s="20">
        <f>IF(AH1025=1,SUM($AH$5:AH1025),"")</f>
        <v/>
      </c>
      <c r="AJ1025" s="20">
        <f>IF(OR(S1025="",'報告書'!$C$4=""),"",IF(S1025&amp;""='報告書'!$C$4&amp;"",COUNTIF($S$5:S1025,'報告書'!$C$4),""))</f>
        <v/>
      </c>
      <c r="AK1025" s="20" t="n"/>
      <c r="AL1025" s="47" t="n"/>
      <c r="AM1025" s="47" t="n"/>
      <c r="AN1025" s="53" t="n"/>
      <c r="AO1025" s="47" t="n"/>
      <c r="AP1025" s="47" t="n"/>
      <c r="AQ1025" s="47" t="n"/>
      <c r="AR1025" s="47" t="n"/>
      <c r="AS1025" s="47" t="n"/>
      <c r="AT1025" s="47" t="n"/>
      <c r="AU1025" s="47" t="n"/>
      <c r="AV1025" s="47" t="n"/>
      <c r="AW1025" s="52" t="n"/>
    </row>
    <row r="1026">
      <c r="A1026" s="48" t="n"/>
      <c r="B1026" s="52" t="n"/>
      <c r="C1026" s="47">
        <f>IF(B1026="","",IFERROR(INDEX('隊員マスタ'!$B$5:$B$204,MATCH(B1026&amp;"",'隊員マスタ'!$F$5:$F$204,0)),IF(AK1026="","番号なし",AK1026)))</f>
        <v/>
      </c>
      <c r="D1026" s="47" t="n"/>
      <c r="E1026" s="47" t="n"/>
      <c r="F1026" s="47" t="n"/>
      <c r="G1026" s="47" t="n"/>
      <c r="H1026" s="47" t="n"/>
      <c r="I1026" s="47" t="n"/>
      <c r="J1026" s="47" t="n"/>
      <c r="K1026" s="47" t="n"/>
      <c r="L1026" s="47" t="n"/>
      <c r="M1026" s="47" t="n"/>
      <c r="N1026" s="47" t="n"/>
      <c r="O1026" s="47" t="n"/>
      <c r="P1026" s="47" t="n"/>
      <c r="Q1026" s="47" t="n"/>
      <c r="R1026" s="47" t="n"/>
      <c r="S1026" s="47" t="n"/>
      <c r="T1026" s="47" t="n"/>
      <c r="U1026" s="53" t="n"/>
      <c r="V1026" s="53" t="n"/>
      <c r="W1026" s="47" t="n"/>
      <c r="X1026" s="47" t="n"/>
      <c r="Y1026" s="47" t="n"/>
      <c r="Z1026" s="47" t="n"/>
      <c r="AA1026" s="47" t="n"/>
      <c r="AB1026" s="47" t="n"/>
      <c r="AC1026" s="47" t="n"/>
      <c r="AD1026" s="47" t="n"/>
      <c r="AE1026" s="47" t="n"/>
      <c r="AF1026" s="20">
        <f>IF(A1026="","",YEAR(EDATE(A1026,-3)))</f>
        <v/>
      </c>
      <c r="AG1026" s="20">
        <f>IF(OR(B1026="",'経歴簿'!$C$4=""),"",IF(B1026&amp;""='経歴簿'!$C$4&amp;"",MAX($AG$4:AG1025)+1,""))</f>
        <v/>
      </c>
      <c r="AH1026" s="20">
        <f>IF(A1026="",0,IF(AND(OR('CSV抽出'!$C$4="",A1026&gt;='CSV抽出'!$C$4),OR('CSV抽出'!$C$5="",A1026&lt;='CSV抽出'!$C$5),OR('CSV抽出'!$C$6="すべて",'CSV抽出'!$C$6="",D1026='CSV抽出'!$C$6),OR('CSV抽出'!$C$7="",B1026&amp;""='CSV抽出'!$C$7&amp;"")),1,0))</f>
        <v/>
      </c>
      <c r="AI1026" s="20">
        <f>IF(AH1026=1,SUM($AH$5:AH1026),"")</f>
        <v/>
      </c>
      <c r="AJ1026" s="20">
        <f>IF(OR(S1026="",'報告書'!$C$4=""),"",IF(S1026&amp;""='報告書'!$C$4&amp;"",COUNTIF($S$5:S1026,'報告書'!$C$4),""))</f>
        <v/>
      </c>
      <c r="AK1026" s="20" t="n"/>
      <c r="AL1026" s="47" t="n"/>
      <c r="AM1026" s="47" t="n"/>
      <c r="AN1026" s="53" t="n"/>
      <c r="AO1026" s="47" t="n"/>
      <c r="AP1026" s="47" t="n"/>
      <c r="AQ1026" s="47" t="n"/>
      <c r="AR1026" s="47" t="n"/>
      <c r="AS1026" s="47" t="n"/>
      <c r="AT1026" s="47" t="n"/>
      <c r="AU1026" s="47" t="n"/>
      <c r="AV1026" s="47" t="n"/>
      <c r="AW1026" s="52" t="n"/>
    </row>
    <row r="1027">
      <c r="A1027" s="48" t="n"/>
      <c r="B1027" s="52" t="n"/>
      <c r="C1027" s="47">
        <f>IF(B1027="","",IFERROR(INDEX('隊員マスタ'!$B$5:$B$204,MATCH(B1027&amp;"",'隊員マスタ'!$F$5:$F$204,0)),IF(AK1027="","番号なし",AK1027)))</f>
        <v/>
      </c>
      <c r="D1027" s="47" t="n"/>
      <c r="E1027" s="47" t="n"/>
      <c r="F1027" s="47" t="n"/>
      <c r="G1027" s="47" t="n"/>
      <c r="H1027" s="47" t="n"/>
      <c r="I1027" s="47" t="n"/>
      <c r="J1027" s="47" t="n"/>
      <c r="K1027" s="47" t="n"/>
      <c r="L1027" s="47" t="n"/>
      <c r="M1027" s="47" t="n"/>
      <c r="N1027" s="47" t="n"/>
      <c r="O1027" s="47" t="n"/>
      <c r="P1027" s="47" t="n"/>
      <c r="Q1027" s="47" t="n"/>
      <c r="R1027" s="47" t="n"/>
      <c r="S1027" s="47" t="n"/>
      <c r="T1027" s="47" t="n"/>
      <c r="U1027" s="53" t="n"/>
      <c r="V1027" s="53" t="n"/>
      <c r="W1027" s="47" t="n"/>
      <c r="X1027" s="47" t="n"/>
      <c r="Y1027" s="47" t="n"/>
      <c r="Z1027" s="47" t="n"/>
      <c r="AA1027" s="47" t="n"/>
      <c r="AB1027" s="47" t="n"/>
      <c r="AC1027" s="47" t="n"/>
      <c r="AD1027" s="47" t="n"/>
      <c r="AE1027" s="47" t="n"/>
      <c r="AF1027" s="20">
        <f>IF(A1027="","",YEAR(EDATE(A1027,-3)))</f>
        <v/>
      </c>
      <c r="AG1027" s="20">
        <f>IF(OR(B1027="",'経歴簿'!$C$4=""),"",IF(B1027&amp;""='経歴簿'!$C$4&amp;"",MAX($AG$4:AG1026)+1,""))</f>
        <v/>
      </c>
      <c r="AH1027" s="20">
        <f>IF(A1027="",0,IF(AND(OR('CSV抽出'!$C$4="",A1027&gt;='CSV抽出'!$C$4),OR('CSV抽出'!$C$5="",A1027&lt;='CSV抽出'!$C$5),OR('CSV抽出'!$C$6="すべて",'CSV抽出'!$C$6="",D1027='CSV抽出'!$C$6),OR('CSV抽出'!$C$7="",B1027&amp;""='CSV抽出'!$C$7&amp;"")),1,0))</f>
        <v/>
      </c>
      <c r="AI1027" s="20">
        <f>IF(AH1027=1,SUM($AH$5:AH1027),"")</f>
        <v/>
      </c>
      <c r="AJ1027" s="20">
        <f>IF(OR(S1027="",'報告書'!$C$4=""),"",IF(S1027&amp;""='報告書'!$C$4&amp;"",COUNTIF($S$5:S1027,'報告書'!$C$4),""))</f>
        <v/>
      </c>
      <c r="AK1027" s="20" t="n"/>
      <c r="AL1027" s="47" t="n"/>
      <c r="AM1027" s="47" t="n"/>
      <c r="AN1027" s="53" t="n"/>
      <c r="AO1027" s="47" t="n"/>
      <c r="AP1027" s="47" t="n"/>
      <c r="AQ1027" s="47" t="n"/>
      <c r="AR1027" s="47" t="n"/>
      <c r="AS1027" s="47" t="n"/>
      <c r="AT1027" s="47" t="n"/>
      <c r="AU1027" s="47" t="n"/>
      <c r="AV1027" s="47" t="n"/>
      <c r="AW1027" s="52" t="n"/>
    </row>
    <row r="1028">
      <c r="A1028" s="48" t="n"/>
      <c r="B1028" s="52" t="n"/>
      <c r="C1028" s="47">
        <f>IF(B1028="","",IFERROR(INDEX('隊員マスタ'!$B$5:$B$204,MATCH(B1028&amp;"",'隊員マスタ'!$F$5:$F$204,0)),IF(AK1028="","番号なし",AK1028)))</f>
        <v/>
      </c>
      <c r="D1028" s="47" t="n"/>
      <c r="E1028" s="47" t="n"/>
      <c r="F1028" s="47" t="n"/>
      <c r="G1028" s="47" t="n"/>
      <c r="H1028" s="47" t="n"/>
      <c r="I1028" s="47" t="n"/>
      <c r="J1028" s="47" t="n"/>
      <c r="K1028" s="47" t="n"/>
      <c r="L1028" s="47" t="n"/>
      <c r="M1028" s="47" t="n"/>
      <c r="N1028" s="47" t="n"/>
      <c r="O1028" s="47" t="n"/>
      <c r="P1028" s="47" t="n"/>
      <c r="Q1028" s="47" t="n"/>
      <c r="R1028" s="47" t="n"/>
      <c r="S1028" s="47" t="n"/>
      <c r="T1028" s="47" t="n"/>
      <c r="U1028" s="53" t="n"/>
      <c r="V1028" s="53" t="n"/>
      <c r="W1028" s="47" t="n"/>
      <c r="X1028" s="47" t="n"/>
      <c r="Y1028" s="47" t="n"/>
      <c r="Z1028" s="47" t="n"/>
      <c r="AA1028" s="47" t="n"/>
      <c r="AB1028" s="47" t="n"/>
      <c r="AC1028" s="47" t="n"/>
      <c r="AD1028" s="47" t="n"/>
      <c r="AE1028" s="47" t="n"/>
      <c r="AF1028" s="20">
        <f>IF(A1028="","",YEAR(EDATE(A1028,-3)))</f>
        <v/>
      </c>
      <c r="AG1028" s="20">
        <f>IF(OR(B1028="",'経歴簿'!$C$4=""),"",IF(B1028&amp;""='経歴簿'!$C$4&amp;"",MAX($AG$4:AG1027)+1,""))</f>
        <v/>
      </c>
      <c r="AH1028" s="20">
        <f>IF(A1028="",0,IF(AND(OR('CSV抽出'!$C$4="",A1028&gt;='CSV抽出'!$C$4),OR('CSV抽出'!$C$5="",A1028&lt;='CSV抽出'!$C$5),OR('CSV抽出'!$C$6="すべて",'CSV抽出'!$C$6="",D1028='CSV抽出'!$C$6),OR('CSV抽出'!$C$7="",B1028&amp;""='CSV抽出'!$C$7&amp;"")),1,0))</f>
        <v/>
      </c>
      <c r="AI1028" s="20">
        <f>IF(AH1028=1,SUM($AH$5:AH1028),"")</f>
        <v/>
      </c>
      <c r="AJ1028" s="20">
        <f>IF(OR(S1028="",'報告書'!$C$4=""),"",IF(S1028&amp;""='報告書'!$C$4&amp;"",COUNTIF($S$5:S1028,'報告書'!$C$4),""))</f>
        <v/>
      </c>
      <c r="AK1028" s="20" t="n"/>
      <c r="AL1028" s="47" t="n"/>
      <c r="AM1028" s="47" t="n"/>
      <c r="AN1028" s="53" t="n"/>
      <c r="AO1028" s="47" t="n"/>
      <c r="AP1028" s="47" t="n"/>
      <c r="AQ1028" s="47" t="n"/>
      <c r="AR1028" s="47" t="n"/>
      <c r="AS1028" s="47" t="n"/>
      <c r="AT1028" s="47" t="n"/>
      <c r="AU1028" s="47" t="n"/>
      <c r="AV1028" s="47" t="n"/>
      <c r="AW1028" s="52" t="n"/>
    </row>
    <row r="1029">
      <c r="A1029" s="48" t="n"/>
      <c r="B1029" s="52" t="n"/>
      <c r="C1029" s="47">
        <f>IF(B1029="","",IFERROR(INDEX('隊員マスタ'!$B$5:$B$204,MATCH(B1029&amp;"",'隊員マスタ'!$F$5:$F$204,0)),IF(AK1029="","番号なし",AK1029)))</f>
        <v/>
      </c>
      <c r="D1029" s="47" t="n"/>
      <c r="E1029" s="47" t="n"/>
      <c r="F1029" s="47" t="n"/>
      <c r="G1029" s="47" t="n"/>
      <c r="H1029" s="47" t="n"/>
      <c r="I1029" s="47" t="n"/>
      <c r="J1029" s="47" t="n"/>
      <c r="K1029" s="47" t="n"/>
      <c r="L1029" s="47" t="n"/>
      <c r="M1029" s="47" t="n"/>
      <c r="N1029" s="47" t="n"/>
      <c r="O1029" s="47" t="n"/>
      <c r="P1029" s="47" t="n"/>
      <c r="Q1029" s="47" t="n"/>
      <c r="R1029" s="47" t="n"/>
      <c r="S1029" s="47" t="n"/>
      <c r="T1029" s="47" t="n"/>
      <c r="U1029" s="53" t="n"/>
      <c r="V1029" s="53" t="n"/>
      <c r="W1029" s="47" t="n"/>
      <c r="X1029" s="47" t="n"/>
      <c r="Y1029" s="47" t="n"/>
      <c r="Z1029" s="47" t="n"/>
      <c r="AA1029" s="47" t="n"/>
      <c r="AB1029" s="47" t="n"/>
      <c r="AC1029" s="47" t="n"/>
      <c r="AD1029" s="47" t="n"/>
      <c r="AE1029" s="47" t="n"/>
      <c r="AF1029" s="20">
        <f>IF(A1029="","",YEAR(EDATE(A1029,-3)))</f>
        <v/>
      </c>
      <c r="AG1029" s="20">
        <f>IF(OR(B1029="",'経歴簿'!$C$4=""),"",IF(B1029&amp;""='経歴簿'!$C$4&amp;"",MAX($AG$4:AG1028)+1,""))</f>
        <v/>
      </c>
      <c r="AH1029" s="20">
        <f>IF(A1029="",0,IF(AND(OR('CSV抽出'!$C$4="",A1029&gt;='CSV抽出'!$C$4),OR('CSV抽出'!$C$5="",A1029&lt;='CSV抽出'!$C$5),OR('CSV抽出'!$C$6="すべて",'CSV抽出'!$C$6="",D1029='CSV抽出'!$C$6),OR('CSV抽出'!$C$7="",B1029&amp;""='CSV抽出'!$C$7&amp;"")),1,0))</f>
        <v/>
      </c>
      <c r="AI1029" s="20">
        <f>IF(AH1029=1,SUM($AH$5:AH1029),"")</f>
        <v/>
      </c>
      <c r="AJ1029" s="20">
        <f>IF(OR(S1029="",'報告書'!$C$4=""),"",IF(S1029&amp;""='報告書'!$C$4&amp;"",COUNTIF($S$5:S1029,'報告書'!$C$4),""))</f>
        <v/>
      </c>
      <c r="AK1029" s="20" t="n"/>
      <c r="AL1029" s="47" t="n"/>
      <c r="AM1029" s="47" t="n"/>
      <c r="AN1029" s="53" t="n"/>
      <c r="AO1029" s="47" t="n"/>
      <c r="AP1029" s="47" t="n"/>
      <c r="AQ1029" s="47" t="n"/>
      <c r="AR1029" s="47" t="n"/>
      <c r="AS1029" s="47" t="n"/>
      <c r="AT1029" s="47" t="n"/>
      <c r="AU1029" s="47" t="n"/>
      <c r="AV1029" s="47" t="n"/>
      <c r="AW1029" s="52" t="n"/>
    </row>
    <row r="1030">
      <c r="A1030" s="48" t="n"/>
      <c r="B1030" s="52" t="n"/>
      <c r="C1030" s="47">
        <f>IF(B1030="","",IFERROR(INDEX('隊員マスタ'!$B$5:$B$204,MATCH(B1030&amp;"",'隊員マスタ'!$F$5:$F$204,0)),IF(AK1030="","番号なし",AK1030)))</f>
        <v/>
      </c>
      <c r="D1030" s="47" t="n"/>
      <c r="E1030" s="47" t="n"/>
      <c r="F1030" s="47" t="n"/>
      <c r="G1030" s="47" t="n"/>
      <c r="H1030" s="47" t="n"/>
      <c r="I1030" s="47" t="n"/>
      <c r="J1030" s="47" t="n"/>
      <c r="K1030" s="47" t="n"/>
      <c r="L1030" s="47" t="n"/>
      <c r="M1030" s="47" t="n"/>
      <c r="N1030" s="47" t="n"/>
      <c r="O1030" s="47" t="n"/>
      <c r="P1030" s="47" t="n"/>
      <c r="Q1030" s="47" t="n"/>
      <c r="R1030" s="47" t="n"/>
      <c r="S1030" s="47" t="n"/>
      <c r="T1030" s="47" t="n"/>
      <c r="U1030" s="53" t="n"/>
      <c r="V1030" s="53" t="n"/>
      <c r="W1030" s="47" t="n"/>
      <c r="X1030" s="47" t="n"/>
      <c r="Y1030" s="47" t="n"/>
      <c r="Z1030" s="47" t="n"/>
      <c r="AA1030" s="47" t="n"/>
      <c r="AB1030" s="47" t="n"/>
      <c r="AC1030" s="47" t="n"/>
      <c r="AD1030" s="47" t="n"/>
      <c r="AE1030" s="47" t="n"/>
      <c r="AF1030" s="20">
        <f>IF(A1030="","",YEAR(EDATE(A1030,-3)))</f>
        <v/>
      </c>
      <c r="AG1030" s="20">
        <f>IF(OR(B1030="",'経歴簿'!$C$4=""),"",IF(B1030&amp;""='経歴簿'!$C$4&amp;"",MAX($AG$4:AG1029)+1,""))</f>
        <v/>
      </c>
      <c r="AH1030" s="20">
        <f>IF(A1030="",0,IF(AND(OR('CSV抽出'!$C$4="",A1030&gt;='CSV抽出'!$C$4),OR('CSV抽出'!$C$5="",A1030&lt;='CSV抽出'!$C$5),OR('CSV抽出'!$C$6="すべて",'CSV抽出'!$C$6="",D1030='CSV抽出'!$C$6),OR('CSV抽出'!$C$7="",B1030&amp;""='CSV抽出'!$C$7&amp;"")),1,0))</f>
        <v/>
      </c>
      <c r="AI1030" s="20">
        <f>IF(AH1030=1,SUM($AH$5:AH1030),"")</f>
        <v/>
      </c>
      <c r="AJ1030" s="20">
        <f>IF(OR(S1030="",'報告書'!$C$4=""),"",IF(S1030&amp;""='報告書'!$C$4&amp;"",COUNTIF($S$5:S1030,'報告書'!$C$4),""))</f>
        <v/>
      </c>
      <c r="AK1030" s="20" t="n"/>
      <c r="AL1030" s="47" t="n"/>
      <c r="AM1030" s="47" t="n"/>
      <c r="AN1030" s="53" t="n"/>
      <c r="AO1030" s="47" t="n"/>
      <c r="AP1030" s="47" t="n"/>
      <c r="AQ1030" s="47" t="n"/>
      <c r="AR1030" s="47" t="n"/>
      <c r="AS1030" s="47" t="n"/>
      <c r="AT1030" s="47" t="n"/>
      <c r="AU1030" s="47" t="n"/>
      <c r="AV1030" s="47" t="n"/>
      <c r="AW1030" s="52" t="n"/>
    </row>
    <row r="1031">
      <c r="A1031" s="48" t="n"/>
      <c r="B1031" s="52" t="n"/>
      <c r="C1031" s="47">
        <f>IF(B1031="","",IFERROR(INDEX('隊員マスタ'!$B$5:$B$204,MATCH(B1031&amp;"",'隊員マスタ'!$F$5:$F$204,0)),IF(AK1031="","番号なし",AK1031)))</f>
        <v/>
      </c>
      <c r="D1031" s="47" t="n"/>
      <c r="E1031" s="47" t="n"/>
      <c r="F1031" s="47" t="n"/>
      <c r="G1031" s="47" t="n"/>
      <c r="H1031" s="47" t="n"/>
      <c r="I1031" s="47" t="n"/>
      <c r="J1031" s="47" t="n"/>
      <c r="K1031" s="47" t="n"/>
      <c r="L1031" s="47" t="n"/>
      <c r="M1031" s="47" t="n"/>
      <c r="N1031" s="47" t="n"/>
      <c r="O1031" s="47" t="n"/>
      <c r="P1031" s="47" t="n"/>
      <c r="Q1031" s="47" t="n"/>
      <c r="R1031" s="47" t="n"/>
      <c r="S1031" s="47" t="n"/>
      <c r="T1031" s="47" t="n"/>
      <c r="U1031" s="53" t="n"/>
      <c r="V1031" s="53" t="n"/>
      <c r="W1031" s="47" t="n"/>
      <c r="X1031" s="47" t="n"/>
      <c r="Y1031" s="47" t="n"/>
      <c r="Z1031" s="47" t="n"/>
      <c r="AA1031" s="47" t="n"/>
      <c r="AB1031" s="47" t="n"/>
      <c r="AC1031" s="47" t="n"/>
      <c r="AD1031" s="47" t="n"/>
      <c r="AE1031" s="47" t="n"/>
      <c r="AF1031" s="20">
        <f>IF(A1031="","",YEAR(EDATE(A1031,-3)))</f>
        <v/>
      </c>
      <c r="AG1031" s="20">
        <f>IF(OR(B1031="",'経歴簿'!$C$4=""),"",IF(B1031&amp;""='経歴簿'!$C$4&amp;"",MAX($AG$4:AG1030)+1,""))</f>
        <v/>
      </c>
      <c r="AH1031" s="20">
        <f>IF(A1031="",0,IF(AND(OR('CSV抽出'!$C$4="",A1031&gt;='CSV抽出'!$C$4),OR('CSV抽出'!$C$5="",A1031&lt;='CSV抽出'!$C$5),OR('CSV抽出'!$C$6="すべて",'CSV抽出'!$C$6="",D1031='CSV抽出'!$C$6),OR('CSV抽出'!$C$7="",B1031&amp;""='CSV抽出'!$C$7&amp;"")),1,0))</f>
        <v/>
      </c>
      <c r="AI1031" s="20">
        <f>IF(AH1031=1,SUM($AH$5:AH1031),"")</f>
        <v/>
      </c>
      <c r="AJ1031" s="20">
        <f>IF(OR(S1031="",'報告書'!$C$4=""),"",IF(S1031&amp;""='報告書'!$C$4&amp;"",COUNTIF($S$5:S1031,'報告書'!$C$4),""))</f>
        <v/>
      </c>
      <c r="AK1031" s="20" t="n"/>
      <c r="AL1031" s="47" t="n"/>
      <c r="AM1031" s="47" t="n"/>
      <c r="AN1031" s="53" t="n"/>
      <c r="AO1031" s="47" t="n"/>
      <c r="AP1031" s="47" t="n"/>
      <c r="AQ1031" s="47" t="n"/>
      <c r="AR1031" s="47" t="n"/>
      <c r="AS1031" s="47" t="n"/>
      <c r="AT1031" s="47" t="n"/>
      <c r="AU1031" s="47" t="n"/>
      <c r="AV1031" s="47" t="n"/>
      <c r="AW1031" s="52" t="n"/>
    </row>
    <row r="1032">
      <c r="A1032" s="48" t="n"/>
      <c r="B1032" s="52" t="n"/>
      <c r="C1032" s="47">
        <f>IF(B1032="","",IFERROR(INDEX('隊員マスタ'!$B$5:$B$204,MATCH(B1032&amp;"",'隊員マスタ'!$F$5:$F$204,0)),IF(AK1032="","番号なし",AK1032)))</f>
        <v/>
      </c>
      <c r="D1032" s="47" t="n"/>
      <c r="E1032" s="47" t="n"/>
      <c r="F1032" s="47" t="n"/>
      <c r="G1032" s="47" t="n"/>
      <c r="H1032" s="47" t="n"/>
      <c r="I1032" s="47" t="n"/>
      <c r="J1032" s="47" t="n"/>
      <c r="K1032" s="47" t="n"/>
      <c r="L1032" s="47" t="n"/>
      <c r="M1032" s="47" t="n"/>
      <c r="N1032" s="47" t="n"/>
      <c r="O1032" s="47" t="n"/>
      <c r="P1032" s="47" t="n"/>
      <c r="Q1032" s="47" t="n"/>
      <c r="R1032" s="47" t="n"/>
      <c r="S1032" s="47" t="n"/>
      <c r="T1032" s="47" t="n"/>
      <c r="U1032" s="53" t="n"/>
      <c r="V1032" s="53" t="n"/>
      <c r="W1032" s="47" t="n"/>
      <c r="X1032" s="47" t="n"/>
      <c r="Y1032" s="47" t="n"/>
      <c r="Z1032" s="47" t="n"/>
      <c r="AA1032" s="47" t="n"/>
      <c r="AB1032" s="47" t="n"/>
      <c r="AC1032" s="47" t="n"/>
      <c r="AD1032" s="47" t="n"/>
      <c r="AE1032" s="47" t="n"/>
      <c r="AF1032" s="20">
        <f>IF(A1032="","",YEAR(EDATE(A1032,-3)))</f>
        <v/>
      </c>
      <c r="AG1032" s="20">
        <f>IF(OR(B1032="",'経歴簿'!$C$4=""),"",IF(B1032&amp;""='経歴簿'!$C$4&amp;"",MAX($AG$4:AG1031)+1,""))</f>
        <v/>
      </c>
      <c r="AH1032" s="20">
        <f>IF(A1032="",0,IF(AND(OR('CSV抽出'!$C$4="",A1032&gt;='CSV抽出'!$C$4),OR('CSV抽出'!$C$5="",A1032&lt;='CSV抽出'!$C$5),OR('CSV抽出'!$C$6="すべて",'CSV抽出'!$C$6="",D1032='CSV抽出'!$C$6),OR('CSV抽出'!$C$7="",B1032&amp;""='CSV抽出'!$C$7&amp;"")),1,0))</f>
        <v/>
      </c>
      <c r="AI1032" s="20">
        <f>IF(AH1032=1,SUM($AH$5:AH1032),"")</f>
        <v/>
      </c>
      <c r="AJ1032" s="20">
        <f>IF(OR(S1032="",'報告書'!$C$4=""),"",IF(S1032&amp;""='報告書'!$C$4&amp;"",COUNTIF($S$5:S1032,'報告書'!$C$4),""))</f>
        <v/>
      </c>
      <c r="AK1032" s="20" t="n"/>
      <c r="AL1032" s="47" t="n"/>
      <c r="AM1032" s="47" t="n"/>
      <c r="AN1032" s="53" t="n"/>
      <c r="AO1032" s="47" t="n"/>
      <c r="AP1032" s="47" t="n"/>
      <c r="AQ1032" s="47" t="n"/>
      <c r="AR1032" s="47" t="n"/>
      <c r="AS1032" s="47" t="n"/>
      <c r="AT1032" s="47" t="n"/>
      <c r="AU1032" s="47" t="n"/>
      <c r="AV1032" s="47" t="n"/>
      <c r="AW1032" s="52" t="n"/>
    </row>
    <row r="1033">
      <c r="A1033" s="48" t="n"/>
      <c r="B1033" s="52" t="n"/>
      <c r="C1033" s="47">
        <f>IF(B1033="","",IFERROR(INDEX('隊員マスタ'!$B$5:$B$204,MATCH(B1033&amp;"",'隊員マスタ'!$F$5:$F$204,0)),IF(AK1033="","番号なし",AK1033)))</f>
        <v/>
      </c>
      <c r="D1033" s="47" t="n"/>
      <c r="E1033" s="47" t="n"/>
      <c r="F1033" s="47" t="n"/>
      <c r="G1033" s="47" t="n"/>
      <c r="H1033" s="47" t="n"/>
      <c r="I1033" s="47" t="n"/>
      <c r="J1033" s="47" t="n"/>
      <c r="K1033" s="47" t="n"/>
      <c r="L1033" s="47" t="n"/>
      <c r="M1033" s="47" t="n"/>
      <c r="N1033" s="47" t="n"/>
      <c r="O1033" s="47" t="n"/>
      <c r="P1033" s="47" t="n"/>
      <c r="Q1033" s="47" t="n"/>
      <c r="R1033" s="47" t="n"/>
      <c r="S1033" s="47" t="n"/>
      <c r="T1033" s="47" t="n"/>
      <c r="U1033" s="53" t="n"/>
      <c r="V1033" s="53" t="n"/>
      <c r="W1033" s="47" t="n"/>
      <c r="X1033" s="47" t="n"/>
      <c r="Y1033" s="47" t="n"/>
      <c r="Z1033" s="47" t="n"/>
      <c r="AA1033" s="47" t="n"/>
      <c r="AB1033" s="47" t="n"/>
      <c r="AC1033" s="47" t="n"/>
      <c r="AD1033" s="47" t="n"/>
      <c r="AE1033" s="47" t="n"/>
      <c r="AF1033" s="20">
        <f>IF(A1033="","",YEAR(EDATE(A1033,-3)))</f>
        <v/>
      </c>
      <c r="AG1033" s="20">
        <f>IF(OR(B1033="",'経歴簿'!$C$4=""),"",IF(B1033&amp;""='経歴簿'!$C$4&amp;"",MAX($AG$4:AG1032)+1,""))</f>
        <v/>
      </c>
      <c r="AH1033" s="20">
        <f>IF(A1033="",0,IF(AND(OR('CSV抽出'!$C$4="",A1033&gt;='CSV抽出'!$C$4),OR('CSV抽出'!$C$5="",A1033&lt;='CSV抽出'!$C$5),OR('CSV抽出'!$C$6="すべて",'CSV抽出'!$C$6="",D1033='CSV抽出'!$C$6),OR('CSV抽出'!$C$7="",B1033&amp;""='CSV抽出'!$C$7&amp;"")),1,0))</f>
        <v/>
      </c>
      <c r="AI1033" s="20">
        <f>IF(AH1033=1,SUM($AH$5:AH1033),"")</f>
        <v/>
      </c>
      <c r="AJ1033" s="20">
        <f>IF(OR(S1033="",'報告書'!$C$4=""),"",IF(S1033&amp;""='報告書'!$C$4&amp;"",COUNTIF($S$5:S1033,'報告書'!$C$4),""))</f>
        <v/>
      </c>
      <c r="AK1033" s="20" t="n"/>
      <c r="AL1033" s="47" t="n"/>
      <c r="AM1033" s="47" t="n"/>
      <c r="AN1033" s="53" t="n"/>
      <c r="AO1033" s="47" t="n"/>
      <c r="AP1033" s="47" t="n"/>
      <c r="AQ1033" s="47" t="n"/>
      <c r="AR1033" s="47" t="n"/>
      <c r="AS1033" s="47" t="n"/>
      <c r="AT1033" s="47" t="n"/>
      <c r="AU1033" s="47" t="n"/>
      <c r="AV1033" s="47" t="n"/>
      <c r="AW1033" s="52" t="n"/>
    </row>
    <row r="1034">
      <c r="A1034" s="48" t="n"/>
      <c r="B1034" s="52" t="n"/>
      <c r="C1034" s="47">
        <f>IF(B1034="","",IFERROR(INDEX('隊員マスタ'!$B$5:$B$204,MATCH(B1034&amp;"",'隊員マスタ'!$F$5:$F$204,0)),IF(AK1034="","番号なし",AK1034)))</f>
        <v/>
      </c>
      <c r="D1034" s="47" t="n"/>
      <c r="E1034" s="47" t="n"/>
      <c r="F1034" s="47" t="n"/>
      <c r="G1034" s="47" t="n"/>
      <c r="H1034" s="47" t="n"/>
      <c r="I1034" s="47" t="n"/>
      <c r="J1034" s="47" t="n"/>
      <c r="K1034" s="47" t="n"/>
      <c r="L1034" s="47" t="n"/>
      <c r="M1034" s="47" t="n"/>
      <c r="N1034" s="47" t="n"/>
      <c r="O1034" s="47" t="n"/>
      <c r="P1034" s="47" t="n"/>
      <c r="Q1034" s="47" t="n"/>
      <c r="R1034" s="47" t="n"/>
      <c r="S1034" s="47" t="n"/>
      <c r="T1034" s="47" t="n"/>
      <c r="U1034" s="53" t="n"/>
      <c r="V1034" s="53" t="n"/>
      <c r="W1034" s="47" t="n"/>
      <c r="X1034" s="47" t="n"/>
      <c r="Y1034" s="47" t="n"/>
      <c r="Z1034" s="47" t="n"/>
      <c r="AA1034" s="47" t="n"/>
      <c r="AB1034" s="47" t="n"/>
      <c r="AC1034" s="47" t="n"/>
      <c r="AD1034" s="47" t="n"/>
      <c r="AE1034" s="47" t="n"/>
      <c r="AF1034" s="20">
        <f>IF(A1034="","",YEAR(EDATE(A1034,-3)))</f>
        <v/>
      </c>
      <c r="AG1034" s="20">
        <f>IF(OR(B1034="",'経歴簿'!$C$4=""),"",IF(B1034&amp;""='経歴簿'!$C$4&amp;"",MAX($AG$4:AG1033)+1,""))</f>
        <v/>
      </c>
      <c r="AH1034" s="20">
        <f>IF(A1034="",0,IF(AND(OR('CSV抽出'!$C$4="",A1034&gt;='CSV抽出'!$C$4),OR('CSV抽出'!$C$5="",A1034&lt;='CSV抽出'!$C$5),OR('CSV抽出'!$C$6="すべて",'CSV抽出'!$C$6="",D1034='CSV抽出'!$C$6),OR('CSV抽出'!$C$7="",B1034&amp;""='CSV抽出'!$C$7&amp;"")),1,0))</f>
        <v/>
      </c>
      <c r="AI1034" s="20">
        <f>IF(AH1034=1,SUM($AH$5:AH1034),"")</f>
        <v/>
      </c>
      <c r="AJ1034" s="20">
        <f>IF(OR(S1034="",'報告書'!$C$4=""),"",IF(S1034&amp;""='報告書'!$C$4&amp;"",COUNTIF($S$5:S1034,'報告書'!$C$4),""))</f>
        <v/>
      </c>
      <c r="AK1034" s="20" t="n"/>
      <c r="AL1034" s="47" t="n"/>
      <c r="AM1034" s="47" t="n"/>
      <c r="AN1034" s="53" t="n"/>
      <c r="AO1034" s="47" t="n"/>
      <c r="AP1034" s="47" t="n"/>
      <c r="AQ1034" s="47" t="n"/>
      <c r="AR1034" s="47" t="n"/>
      <c r="AS1034" s="47" t="n"/>
      <c r="AT1034" s="47" t="n"/>
      <c r="AU1034" s="47" t="n"/>
      <c r="AV1034" s="47" t="n"/>
      <c r="AW1034" s="52" t="n"/>
    </row>
    <row r="1035">
      <c r="A1035" s="48" t="n"/>
      <c r="B1035" s="52" t="n"/>
      <c r="C1035" s="47">
        <f>IF(B1035="","",IFERROR(INDEX('隊員マスタ'!$B$5:$B$204,MATCH(B1035&amp;"",'隊員マスタ'!$F$5:$F$204,0)),IF(AK1035="","番号なし",AK1035)))</f>
        <v/>
      </c>
      <c r="D1035" s="47" t="n"/>
      <c r="E1035" s="47" t="n"/>
      <c r="F1035" s="47" t="n"/>
      <c r="G1035" s="47" t="n"/>
      <c r="H1035" s="47" t="n"/>
      <c r="I1035" s="47" t="n"/>
      <c r="J1035" s="47" t="n"/>
      <c r="K1035" s="47" t="n"/>
      <c r="L1035" s="47" t="n"/>
      <c r="M1035" s="47" t="n"/>
      <c r="N1035" s="47" t="n"/>
      <c r="O1035" s="47" t="n"/>
      <c r="P1035" s="47" t="n"/>
      <c r="Q1035" s="47" t="n"/>
      <c r="R1035" s="47" t="n"/>
      <c r="S1035" s="47" t="n"/>
      <c r="T1035" s="47" t="n"/>
      <c r="U1035" s="53" t="n"/>
      <c r="V1035" s="53" t="n"/>
      <c r="W1035" s="47" t="n"/>
      <c r="X1035" s="47" t="n"/>
      <c r="Y1035" s="47" t="n"/>
      <c r="Z1035" s="47" t="n"/>
      <c r="AA1035" s="47" t="n"/>
      <c r="AB1035" s="47" t="n"/>
      <c r="AC1035" s="47" t="n"/>
      <c r="AD1035" s="47" t="n"/>
      <c r="AE1035" s="47" t="n"/>
      <c r="AF1035" s="20">
        <f>IF(A1035="","",YEAR(EDATE(A1035,-3)))</f>
        <v/>
      </c>
      <c r="AG1035" s="20">
        <f>IF(OR(B1035="",'経歴簿'!$C$4=""),"",IF(B1035&amp;""='経歴簿'!$C$4&amp;"",MAX($AG$4:AG1034)+1,""))</f>
        <v/>
      </c>
      <c r="AH1035" s="20">
        <f>IF(A1035="",0,IF(AND(OR('CSV抽出'!$C$4="",A1035&gt;='CSV抽出'!$C$4),OR('CSV抽出'!$C$5="",A1035&lt;='CSV抽出'!$C$5),OR('CSV抽出'!$C$6="すべて",'CSV抽出'!$C$6="",D1035='CSV抽出'!$C$6),OR('CSV抽出'!$C$7="",B1035&amp;""='CSV抽出'!$C$7&amp;"")),1,0))</f>
        <v/>
      </c>
      <c r="AI1035" s="20">
        <f>IF(AH1035=1,SUM($AH$5:AH1035),"")</f>
        <v/>
      </c>
      <c r="AJ1035" s="20">
        <f>IF(OR(S1035="",'報告書'!$C$4=""),"",IF(S1035&amp;""='報告書'!$C$4&amp;"",COUNTIF($S$5:S1035,'報告書'!$C$4),""))</f>
        <v/>
      </c>
      <c r="AK1035" s="20" t="n"/>
      <c r="AL1035" s="47" t="n"/>
      <c r="AM1035" s="47" t="n"/>
      <c r="AN1035" s="53" t="n"/>
      <c r="AO1035" s="47" t="n"/>
      <c r="AP1035" s="47" t="n"/>
      <c r="AQ1035" s="47" t="n"/>
      <c r="AR1035" s="47" t="n"/>
      <c r="AS1035" s="47" t="n"/>
      <c r="AT1035" s="47" t="n"/>
      <c r="AU1035" s="47" t="n"/>
      <c r="AV1035" s="47" t="n"/>
      <c r="AW1035" s="52" t="n"/>
    </row>
    <row r="1036">
      <c r="A1036" s="48" t="n"/>
      <c r="B1036" s="52" t="n"/>
      <c r="C1036" s="47">
        <f>IF(B1036="","",IFERROR(INDEX('隊員マスタ'!$B$5:$B$204,MATCH(B1036&amp;"",'隊員マスタ'!$F$5:$F$204,0)),IF(AK1036="","番号なし",AK1036)))</f>
        <v/>
      </c>
      <c r="D1036" s="47" t="n"/>
      <c r="E1036" s="47" t="n"/>
      <c r="F1036" s="47" t="n"/>
      <c r="G1036" s="47" t="n"/>
      <c r="H1036" s="47" t="n"/>
      <c r="I1036" s="47" t="n"/>
      <c r="J1036" s="47" t="n"/>
      <c r="K1036" s="47" t="n"/>
      <c r="L1036" s="47" t="n"/>
      <c r="M1036" s="47" t="n"/>
      <c r="N1036" s="47" t="n"/>
      <c r="O1036" s="47" t="n"/>
      <c r="P1036" s="47" t="n"/>
      <c r="Q1036" s="47" t="n"/>
      <c r="R1036" s="47" t="n"/>
      <c r="S1036" s="47" t="n"/>
      <c r="T1036" s="47" t="n"/>
      <c r="U1036" s="53" t="n"/>
      <c r="V1036" s="53" t="n"/>
      <c r="W1036" s="47" t="n"/>
      <c r="X1036" s="47" t="n"/>
      <c r="Y1036" s="47" t="n"/>
      <c r="Z1036" s="47" t="n"/>
      <c r="AA1036" s="47" t="n"/>
      <c r="AB1036" s="47" t="n"/>
      <c r="AC1036" s="47" t="n"/>
      <c r="AD1036" s="47" t="n"/>
      <c r="AE1036" s="47" t="n"/>
      <c r="AF1036" s="20">
        <f>IF(A1036="","",YEAR(EDATE(A1036,-3)))</f>
        <v/>
      </c>
      <c r="AG1036" s="20">
        <f>IF(OR(B1036="",'経歴簿'!$C$4=""),"",IF(B1036&amp;""='経歴簿'!$C$4&amp;"",MAX($AG$4:AG1035)+1,""))</f>
        <v/>
      </c>
      <c r="AH1036" s="20">
        <f>IF(A1036="",0,IF(AND(OR('CSV抽出'!$C$4="",A1036&gt;='CSV抽出'!$C$4),OR('CSV抽出'!$C$5="",A1036&lt;='CSV抽出'!$C$5),OR('CSV抽出'!$C$6="すべて",'CSV抽出'!$C$6="",D1036='CSV抽出'!$C$6),OR('CSV抽出'!$C$7="",B1036&amp;""='CSV抽出'!$C$7&amp;"")),1,0))</f>
        <v/>
      </c>
      <c r="AI1036" s="20">
        <f>IF(AH1036=1,SUM($AH$5:AH1036),"")</f>
        <v/>
      </c>
      <c r="AJ1036" s="20">
        <f>IF(OR(S1036="",'報告書'!$C$4=""),"",IF(S1036&amp;""='報告書'!$C$4&amp;"",COUNTIF($S$5:S1036,'報告書'!$C$4),""))</f>
        <v/>
      </c>
      <c r="AK1036" s="20" t="n"/>
      <c r="AL1036" s="47" t="n"/>
      <c r="AM1036" s="47" t="n"/>
      <c r="AN1036" s="53" t="n"/>
      <c r="AO1036" s="47" t="n"/>
      <c r="AP1036" s="47" t="n"/>
      <c r="AQ1036" s="47" t="n"/>
      <c r="AR1036" s="47" t="n"/>
      <c r="AS1036" s="47" t="n"/>
      <c r="AT1036" s="47" t="n"/>
      <c r="AU1036" s="47" t="n"/>
      <c r="AV1036" s="47" t="n"/>
      <c r="AW1036" s="52" t="n"/>
    </row>
    <row r="1037">
      <c r="A1037" s="48" t="n"/>
      <c r="B1037" s="52" t="n"/>
      <c r="C1037" s="47">
        <f>IF(B1037="","",IFERROR(INDEX('隊員マスタ'!$B$5:$B$204,MATCH(B1037&amp;"",'隊員マスタ'!$F$5:$F$204,0)),IF(AK1037="","番号なし",AK1037)))</f>
        <v/>
      </c>
      <c r="D1037" s="47" t="n"/>
      <c r="E1037" s="47" t="n"/>
      <c r="F1037" s="47" t="n"/>
      <c r="G1037" s="47" t="n"/>
      <c r="H1037" s="47" t="n"/>
      <c r="I1037" s="47" t="n"/>
      <c r="J1037" s="47" t="n"/>
      <c r="K1037" s="47" t="n"/>
      <c r="L1037" s="47" t="n"/>
      <c r="M1037" s="47" t="n"/>
      <c r="N1037" s="47" t="n"/>
      <c r="O1037" s="47" t="n"/>
      <c r="P1037" s="47" t="n"/>
      <c r="Q1037" s="47" t="n"/>
      <c r="R1037" s="47" t="n"/>
      <c r="S1037" s="47" t="n"/>
      <c r="T1037" s="47" t="n"/>
      <c r="U1037" s="53" t="n"/>
      <c r="V1037" s="53" t="n"/>
      <c r="W1037" s="47" t="n"/>
      <c r="X1037" s="47" t="n"/>
      <c r="Y1037" s="47" t="n"/>
      <c r="Z1037" s="47" t="n"/>
      <c r="AA1037" s="47" t="n"/>
      <c r="AB1037" s="47" t="n"/>
      <c r="AC1037" s="47" t="n"/>
      <c r="AD1037" s="47" t="n"/>
      <c r="AE1037" s="47" t="n"/>
      <c r="AF1037" s="20">
        <f>IF(A1037="","",YEAR(EDATE(A1037,-3)))</f>
        <v/>
      </c>
      <c r="AG1037" s="20">
        <f>IF(OR(B1037="",'経歴簿'!$C$4=""),"",IF(B1037&amp;""='経歴簿'!$C$4&amp;"",MAX($AG$4:AG1036)+1,""))</f>
        <v/>
      </c>
      <c r="AH1037" s="20">
        <f>IF(A1037="",0,IF(AND(OR('CSV抽出'!$C$4="",A1037&gt;='CSV抽出'!$C$4),OR('CSV抽出'!$C$5="",A1037&lt;='CSV抽出'!$C$5),OR('CSV抽出'!$C$6="すべて",'CSV抽出'!$C$6="",D1037='CSV抽出'!$C$6),OR('CSV抽出'!$C$7="",B1037&amp;""='CSV抽出'!$C$7&amp;"")),1,0))</f>
        <v/>
      </c>
      <c r="AI1037" s="20">
        <f>IF(AH1037=1,SUM($AH$5:AH1037),"")</f>
        <v/>
      </c>
      <c r="AJ1037" s="20">
        <f>IF(OR(S1037="",'報告書'!$C$4=""),"",IF(S1037&amp;""='報告書'!$C$4&amp;"",COUNTIF($S$5:S1037,'報告書'!$C$4),""))</f>
        <v/>
      </c>
      <c r="AK1037" s="20" t="n"/>
      <c r="AL1037" s="47" t="n"/>
      <c r="AM1037" s="47" t="n"/>
      <c r="AN1037" s="53" t="n"/>
      <c r="AO1037" s="47" t="n"/>
      <c r="AP1037" s="47" t="n"/>
      <c r="AQ1037" s="47" t="n"/>
      <c r="AR1037" s="47" t="n"/>
      <c r="AS1037" s="47" t="n"/>
      <c r="AT1037" s="47" t="n"/>
      <c r="AU1037" s="47" t="n"/>
      <c r="AV1037" s="47" t="n"/>
      <c r="AW1037" s="52" t="n"/>
    </row>
    <row r="1038">
      <c r="A1038" s="48" t="n"/>
      <c r="B1038" s="52" t="n"/>
      <c r="C1038" s="47">
        <f>IF(B1038="","",IFERROR(INDEX('隊員マスタ'!$B$5:$B$204,MATCH(B1038&amp;"",'隊員マスタ'!$F$5:$F$204,0)),IF(AK1038="","番号なし",AK1038)))</f>
        <v/>
      </c>
      <c r="D1038" s="47" t="n"/>
      <c r="E1038" s="47" t="n"/>
      <c r="F1038" s="47" t="n"/>
      <c r="G1038" s="47" t="n"/>
      <c r="H1038" s="47" t="n"/>
      <c r="I1038" s="47" t="n"/>
      <c r="J1038" s="47" t="n"/>
      <c r="K1038" s="47" t="n"/>
      <c r="L1038" s="47" t="n"/>
      <c r="M1038" s="47" t="n"/>
      <c r="N1038" s="47" t="n"/>
      <c r="O1038" s="47" t="n"/>
      <c r="P1038" s="47" t="n"/>
      <c r="Q1038" s="47" t="n"/>
      <c r="R1038" s="47" t="n"/>
      <c r="S1038" s="47" t="n"/>
      <c r="T1038" s="47" t="n"/>
      <c r="U1038" s="53" t="n"/>
      <c r="V1038" s="53" t="n"/>
      <c r="W1038" s="47" t="n"/>
      <c r="X1038" s="47" t="n"/>
      <c r="Y1038" s="47" t="n"/>
      <c r="Z1038" s="47" t="n"/>
      <c r="AA1038" s="47" t="n"/>
      <c r="AB1038" s="47" t="n"/>
      <c r="AC1038" s="47" t="n"/>
      <c r="AD1038" s="47" t="n"/>
      <c r="AE1038" s="47" t="n"/>
      <c r="AF1038" s="20">
        <f>IF(A1038="","",YEAR(EDATE(A1038,-3)))</f>
        <v/>
      </c>
      <c r="AG1038" s="20">
        <f>IF(OR(B1038="",'経歴簿'!$C$4=""),"",IF(B1038&amp;""='経歴簿'!$C$4&amp;"",MAX($AG$4:AG1037)+1,""))</f>
        <v/>
      </c>
      <c r="AH1038" s="20">
        <f>IF(A1038="",0,IF(AND(OR('CSV抽出'!$C$4="",A1038&gt;='CSV抽出'!$C$4),OR('CSV抽出'!$C$5="",A1038&lt;='CSV抽出'!$C$5),OR('CSV抽出'!$C$6="すべて",'CSV抽出'!$C$6="",D1038='CSV抽出'!$C$6),OR('CSV抽出'!$C$7="",B1038&amp;""='CSV抽出'!$C$7&amp;"")),1,0))</f>
        <v/>
      </c>
      <c r="AI1038" s="20">
        <f>IF(AH1038=1,SUM($AH$5:AH1038),"")</f>
        <v/>
      </c>
      <c r="AJ1038" s="20">
        <f>IF(OR(S1038="",'報告書'!$C$4=""),"",IF(S1038&amp;""='報告書'!$C$4&amp;"",COUNTIF($S$5:S1038,'報告書'!$C$4),""))</f>
        <v/>
      </c>
      <c r="AK1038" s="20" t="n"/>
      <c r="AL1038" s="47" t="n"/>
      <c r="AM1038" s="47" t="n"/>
      <c r="AN1038" s="53" t="n"/>
      <c r="AO1038" s="47" t="n"/>
      <c r="AP1038" s="47" t="n"/>
      <c r="AQ1038" s="47" t="n"/>
      <c r="AR1038" s="47" t="n"/>
      <c r="AS1038" s="47" t="n"/>
      <c r="AT1038" s="47" t="n"/>
      <c r="AU1038" s="47" t="n"/>
      <c r="AV1038" s="47" t="n"/>
      <c r="AW1038" s="52" t="n"/>
    </row>
    <row r="1039">
      <c r="A1039" s="48" t="n"/>
      <c r="B1039" s="52" t="n"/>
      <c r="C1039" s="47">
        <f>IF(B1039="","",IFERROR(INDEX('隊員マスタ'!$B$5:$B$204,MATCH(B1039&amp;"",'隊員マスタ'!$F$5:$F$204,0)),IF(AK1039="","番号なし",AK1039)))</f>
        <v/>
      </c>
      <c r="D1039" s="47" t="n"/>
      <c r="E1039" s="47" t="n"/>
      <c r="F1039" s="47" t="n"/>
      <c r="G1039" s="47" t="n"/>
      <c r="H1039" s="47" t="n"/>
      <c r="I1039" s="47" t="n"/>
      <c r="J1039" s="47" t="n"/>
      <c r="K1039" s="47" t="n"/>
      <c r="L1039" s="47" t="n"/>
      <c r="M1039" s="47" t="n"/>
      <c r="N1039" s="47" t="n"/>
      <c r="O1039" s="47" t="n"/>
      <c r="P1039" s="47" t="n"/>
      <c r="Q1039" s="47" t="n"/>
      <c r="R1039" s="47" t="n"/>
      <c r="S1039" s="47" t="n"/>
      <c r="T1039" s="47" t="n"/>
      <c r="U1039" s="53" t="n"/>
      <c r="V1039" s="53" t="n"/>
      <c r="W1039" s="47" t="n"/>
      <c r="X1039" s="47" t="n"/>
      <c r="Y1039" s="47" t="n"/>
      <c r="Z1039" s="47" t="n"/>
      <c r="AA1039" s="47" t="n"/>
      <c r="AB1039" s="47" t="n"/>
      <c r="AC1039" s="47" t="n"/>
      <c r="AD1039" s="47" t="n"/>
      <c r="AE1039" s="47" t="n"/>
      <c r="AF1039" s="20">
        <f>IF(A1039="","",YEAR(EDATE(A1039,-3)))</f>
        <v/>
      </c>
      <c r="AG1039" s="20">
        <f>IF(OR(B1039="",'経歴簿'!$C$4=""),"",IF(B1039&amp;""='経歴簿'!$C$4&amp;"",MAX($AG$4:AG1038)+1,""))</f>
        <v/>
      </c>
      <c r="AH1039" s="20">
        <f>IF(A1039="",0,IF(AND(OR('CSV抽出'!$C$4="",A1039&gt;='CSV抽出'!$C$4),OR('CSV抽出'!$C$5="",A1039&lt;='CSV抽出'!$C$5),OR('CSV抽出'!$C$6="すべて",'CSV抽出'!$C$6="",D1039='CSV抽出'!$C$6),OR('CSV抽出'!$C$7="",B1039&amp;""='CSV抽出'!$C$7&amp;"")),1,0))</f>
        <v/>
      </c>
      <c r="AI1039" s="20">
        <f>IF(AH1039=1,SUM($AH$5:AH1039),"")</f>
        <v/>
      </c>
      <c r="AJ1039" s="20">
        <f>IF(OR(S1039="",'報告書'!$C$4=""),"",IF(S1039&amp;""='報告書'!$C$4&amp;"",COUNTIF($S$5:S1039,'報告書'!$C$4),""))</f>
        <v/>
      </c>
      <c r="AK1039" s="20" t="n"/>
      <c r="AL1039" s="47" t="n"/>
      <c r="AM1039" s="47" t="n"/>
      <c r="AN1039" s="53" t="n"/>
      <c r="AO1039" s="47" t="n"/>
      <c r="AP1039" s="47" t="n"/>
      <c r="AQ1039" s="47" t="n"/>
      <c r="AR1039" s="47" t="n"/>
      <c r="AS1039" s="47" t="n"/>
      <c r="AT1039" s="47" t="n"/>
      <c r="AU1039" s="47" t="n"/>
      <c r="AV1039" s="47" t="n"/>
      <c r="AW1039" s="52" t="n"/>
    </row>
    <row r="1040">
      <c r="A1040" s="48" t="n"/>
      <c r="B1040" s="52" t="n"/>
      <c r="C1040" s="47">
        <f>IF(B1040="","",IFERROR(INDEX('隊員マスタ'!$B$5:$B$204,MATCH(B1040&amp;"",'隊員マスタ'!$F$5:$F$204,0)),IF(AK1040="","番号なし",AK1040)))</f>
        <v/>
      </c>
      <c r="D1040" s="47" t="n"/>
      <c r="E1040" s="47" t="n"/>
      <c r="F1040" s="47" t="n"/>
      <c r="G1040" s="47" t="n"/>
      <c r="H1040" s="47" t="n"/>
      <c r="I1040" s="47" t="n"/>
      <c r="J1040" s="47" t="n"/>
      <c r="K1040" s="47" t="n"/>
      <c r="L1040" s="47" t="n"/>
      <c r="M1040" s="47" t="n"/>
      <c r="N1040" s="47" t="n"/>
      <c r="O1040" s="47" t="n"/>
      <c r="P1040" s="47" t="n"/>
      <c r="Q1040" s="47" t="n"/>
      <c r="R1040" s="47" t="n"/>
      <c r="S1040" s="47" t="n"/>
      <c r="T1040" s="47" t="n"/>
      <c r="U1040" s="53" t="n"/>
      <c r="V1040" s="53" t="n"/>
      <c r="W1040" s="47" t="n"/>
      <c r="X1040" s="47" t="n"/>
      <c r="Y1040" s="47" t="n"/>
      <c r="Z1040" s="47" t="n"/>
      <c r="AA1040" s="47" t="n"/>
      <c r="AB1040" s="47" t="n"/>
      <c r="AC1040" s="47" t="n"/>
      <c r="AD1040" s="47" t="n"/>
      <c r="AE1040" s="47" t="n"/>
      <c r="AF1040" s="20">
        <f>IF(A1040="","",YEAR(EDATE(A1040,-3)))</f>
        <v/>
      </c>
      <c r="AG1040" s="20">
        <f>IF(OR(B1040="",'経歴簿'!$C$4=""),"",IF(B1040&amp;""='経歴簿'!$C$4&amp;"",MAX($AG$4:AG1039)+1,""))</f>
        <v/>
      </c>
      <c r="AH1040" s="20">
        <f>IF(A1040="",0,IF(AND(OR('CSV抽出'!$C$4="",A1040&gt;='CSV抽出'!$C$4),OR('CSV抽出'!$C$5="",A1040&lt;='CSV抽出'!$C$5),OR('CSV抽出'!$C$6="すべて",'CSV抽出'!$C$6="",D1040='CSV抽出'!$C$6),OR('CSV抽出'!$C$7="",B1040&amp;""='CSV抽出'!$C$7&amp;"")),1,0))</f>
        <v/>
      </c>
      <c r="AI1040" s="20">
        <f>IF(AH1040=1,SUM($AH$5:AH1040),"")</f>
        <v/>
      </c>
      <c r="AJ1040" s="20">
        <f>IF(OR(S1040="",'報告書'!$C$4=""),"",IF(S1040&amp;""='報告書'!$C$4&amp;"",COUNTIF($S$5:S1040,'報告書'!$C$4),""))</f>
        <v/>
      </c>
      <c r="AK1040" s="20" t="n"/>
      <c r="AL1040" s="47" t="n"/>
      <c r="AM1040" s="47" t="n"/>
      <c r="AN1040" s="53" t="n"/>
      <c r="AO1040" s="47" t="n"/>
      <c r="AP1040" s="47" t="n"/>
      <c r="AQ1040" s="47" t="n"/>
      <c r="AR1040" s="47" t="n"/>
      <c r="AS1040" s="47" t="n"/>
      <c r="AT1040" s="47" t="n"/>
      <c r="AU1040" s="47" t="n"/>
      <c r="AV1040" s="47" t="n"/>
      <c r="AW1040" s="52" t="n"/>
    </row>
    <row r="1041">
      <c r="A1041" s="48" t="n"/>
      <c r="B1041" s="52" t="n"/>
      <c r="C1041" s="47">
        <f>IF(B1041="","",IFERROR(INDEX('隊員マスタ'!$B$5:$B$204,MATCH(B1041&amp;"",'隊員マスタ'!$F$5:$F$204,0)),IF(AK1041="","番号なし",AK1041)))</f>
        <v/>
      </c>
      <c r="D1041" s="47" t="n"/>
      <c r="E1041" s="47" t="n"/>
      <c r="F1041" s="47" t="n"/>
      <c r="G1041" s="47" t="n"/>
      <c r="H1041" s="47" t="n"/>
      <c r="I1041" s="47" t="n"/>
      <c r="J1041" s="47" t="n"/>
      <c r="K1041" s="47" t="n"/>
      <c r="L1041" s="47" t="n"/>
      <c r="M1041" s="47" t="n"/>
      <c r="N1041" s="47" t="n"/>
      <c r="O1041" s="47" t="n"/>
      <c r="P1041" s="47" t="n"/>
      <c r="Q1041" s="47" t="n"/>
      <c r="R1041" s="47" t="n"/>
      <c r="S1041" s="47" t="n"/>
      <c r="T1041" s="47" t="n"/>
      <c r="U1041" s="53" t="n"/>
      <c r="V1041" s="53" t="n"/>
      <c r="W1041" s="47" t="n"/>
      <c r="X1041" s="47" t="n"/>
      <c r="Y1041" s="47" t="n"/>
      <c r="Z1041" s="47" t="n"/>
      <c r="AA1041" s="47" t="n"/>
      <c r="AB1041" s="47" t="n"/>
      <c r="AC1041" s="47" t="n"/>
      <c r="AD1041" s="47" t="n"/>
      <c r="AE1041" s="47" t="n"/>
      <c r="AF1041" s="20">
        <f>IF(A1041="","",YEAR(EDATE(A1041,-3)))</f>
        <v/>
      </c>
      <c r="AG1041" s="20">
        <f>IF(OR(B1041="",'経歴簿'!$C$4=""),"",IF(B1041&amp;""='経歴簿'!$C$4&amp;"",MAX($AG$4:AG1040)+1,""))</f>
        <v/>
      </c>
      <c r="AH1041" s="20">
        <f>IF(A1041="",0,IF(AND(OR('CSV抽出'!$C$4="",A1041&gt;='CSV抽出'!$C$4),OR('CSV抽出'!$C$5="",A1041&lt;='CSV抽出'!$C$5),OR('CSV抽出'!$C$6="すべて",'CSV抽出'!$C$6="",D1041='CSV抽出'!$C$6),OR('CSV抽出'!$C$7="",B1041&amp;""='CSV抽出'!$C$7&amp;"")),1,0))</f>
        <v/>
      </c>
      <c r="AI1041" s="20">
        <f>IF(AH1041=1,SUM($AH$5:AH1041),"")</f>
        <v/>
      </c>
      <c r="AJ1041" s="20">
        <f>IF(OR(S1041="",'報告書'!$C$4=""),"",IF(S1041&amp;""='報告書'!$C$4&amp;"",COUNTIF($S$5:S1041,'報告書'!$C$4),""))</f>
        <v/>
      </c>
      <c r="AK1041" s="20" t="n"/>
      <c r="AL1041" s="47" t="n"/>
      <c r="AM1041" s="47" t="n"/>
      <c r="AN1041" s="53" t="n"/>
      <c r="AO1041" s="47" t="n"/>
      <c r="AP1041" s="47" t="n"/>
      <c r="AQ1041" s="47" t="n"/>
      <c r="AR1041" s="47" t="n"/>
      <c r="AS1041" s="47" t="n"/>
      <c r="AT1041" s="47" t="n"/>
      <c r="AU1041" s="47" t="n"/>
      <c r="AV1041" s="47" t="n"/>
      <c r="AW1041" s="52" t="n"/>
    </row>
    <row r="1042">
      <c r="A1042" s="48" t="n"/>
      <c r="B1042" s="52" t="n"/>
      <c r="C1042" s="47">
        <f>IF(B1042="","",IFERROR(INDEX('隊員マスタ'!$B$5:$B$204,MATCH(B1042&amp;"",'隊員マスタ'!$F$5:$F$204,0)),IF(AK1042="","番号なし",AK1042)))</f>
        <v/>
      </c>
      <c r="D1042" s="47" t="n"/>
      <c r="E1042" s="47" t="n"/>
      <c r="F1042" s="47" t="n"/>
      <c r="G1042" s="47" t="n"/>
      <c r="H1042" s="47" t="n"/>
      <c r="I1042" s="47" t="n"/>
      <c r="J1042" s="47" t="n"/>
      <c r="K1042" s="47" t="n"/>
      <c r="L1042" s="47" t="n"/>
      <c r="M1042" s="47" t="n"/>
      <c r="N1042" s="47" t="n"/>
      <c r="O1042" s="47" t="n"/>
      <c r="P1042" s="47" t="n"/>
      <c r="Q1042" s="47" t="n"/>
      <c r="R1042" s="47" t="n"/>
      <c r="S1042" s="47" t="n"/>
      <c r="T1042" s="47" t="n"/>
      <c r="U1042" s="53" t="n"/>
      <c r="V1042" s="53" t="n"/>
      <c r="W1042" s="47" t="n"/>
      <c r="X1042" s="47" t="n"/>
      <c r="Y1042" s="47" t="n"/>
      <c r="Z1042" s="47" t="n"/>
      <c r="AA1042" s="47" t="n"/>
      <c r="AB1042" s="47" t="n"/>
      <c r="AC1042" s="47" t="n"/>
      <c r="AD1042" s="47" t="n"/>
      <c r="AE1042" s="47" t="n"/>
      <c r="AF1042" s="20">
        <f>IF(A1042="","",YEAR(EDATE(A1042,-3)))</f>
        <v/>
      </c>
      <c r="AG1042" s="20">
        <f>IF(OR(B1042="",'経歴簿'!$C$4=""),"",IF(B1042&amp;""='経歴簿'!$C$4&amp;"",MAX($AG$4:AG1041)+1,""))</f>
        <v/>
      </c>
      <c r="AH1042" s="20">
        <f>IF(A1042="",0,IF(AND(OR('CSV抽出'!$C$4="",A1042&gt;='CSV抽出'!$C$4),OR('CSV抽出'!$C$5="",A1042&lt;='CSV抽出'!$C$5),OR('CSV抽出'!$C$6="すべて",'CSV抽出'!$C$6="",D1042='CSV抽出'!$C$6),OR('CSV抽出'!$C$7="",B1042&amp;""='CSV抽出'!$C$7&amp;"")),1,0))</f>
        <v/>
      </c>
      <c r="AI1042" s="20">
        <f>IF(AH1042=1,SUM($AH$5:AH1042),"")</f>
        <v/>
      </c>
      <c r="AJ1042" s="20">
        <f>IF(OR(S1042="",'報告書'!$C$4=""),"",IF(S1042&amp;""='報告書'!$C$4&amp;"",COUNTIF($S$5:S1042,'報告書'!$C$4),""))</f>
        <v/>
      </c>
      <c r="AK1042" s="20" t="n"/>
      <c r="AL1042" s="47" t="n"/>
      <c r="AM1042" s="47" t="n"/>
      <c r="AN1042" s="53" t="n"/>
      <c r="AO1042" s="47" t="n"/>
      <c r="AP1042" s="47" t="n"/>
      <c r="AQ1042" s="47" t="n"/>
      <c r="AR1042" s="47" t="n"/>
      <c r="AS1042" s="47" t="n"/>
      <c r="AT1042" s="47" t="n"/>
      <c r="AU1042" s="47" t="n"/>
      <c r="AV1042" s="47" t="n"/>
      <c r="AW1042" s="52" t="n"/>
    </row>
    <row r="1043">
      <c r="A1043" s="48" t="n"/>
      <c r="B1043" s="52" t="n"/>
      <c r="C1043" s="47">
        <f>IF(B1043="","",IFERROR(INDEX('隊員マスタ'!$B$5:$B$204,MATCH(B1043&amp;"",'隊員マスタ'!$F$5:$F$204,0)),IF(AK1043="","番号なし",AK1043)))</f>
        <v/>
      </c>
      <c r="D1043" s="47" t="n"/>
      <c r="E1043" s="47" t="n"/>
      <c r="F1043" s="47" t="n"/>
      <c r="G1043" s="47" t="n"/>
      <c r="H1043" s="47" t="n"/>
      <c r="I1043" s="47" t="n"/>
      <c r="J1043" s="47" t="n"/>
      <c r="K1043" s="47" t="n"/>
      <c r="L1043" s="47" t="n"/>
      <c r="M1043" s="47" t="n"/>
      <c r="N1043" s="47" t="n"/>
      <c r="O1043" s="47" t="n"/>
      <c r="P1043" s="47" t="n"/>
      <c r="Q1043" s="47" t="n"/>
      <c r="R1043" s="47" t="n"/>
      <c r="S1043" s="47" t="n"/>
      <c r="T1043" s="47" t="n"/>
      <c r="U1043" s="53" t="n"/>
      <c r="V1043" s="53" t="n"/>
      <c r="W1043" s="47" t="n"/>
      <c r="X1043" s="47" t="n"/>
      <c r="Y1043" s="47" t="n"/>
      <c r="Z1043" s="47" t="n"/>
      <c r="AA1043" s="47" t="n"/>
      <c r="AB1043" s="47" t="n"/>
      <c r="AC1043" s="47" t="n"/>
      <c r="AD1043" s="47" t="n"/>
      <c r="AE1043" s="47" t="n"/>
      <c r="AF1043" s="20">
        <f>IF(A1043="","",YEAR(EDATE(A1043,-3)))</f>
        <v/>
      </c>
      <c r="AG1043" s="20">
        <f>IF(OR(B1043="",'経歴簿'!$C$4=""),"",IF(B1043&amp;""='経歴簿'!$C$4&amp;"",MAX($AG$4:AG1042)+1,""))</f>
        <v/>
      </c>
      <c r="AH1043" s="20">
        <f>IF(A1043="",0,IF(AND(OR('CSV抽出'!$C$4="",A1043&gt;='CSV抽出'!$C$4),OR('CSV抽出'!$C$5="",A1043&lt;='CSV抽出'!$C$5),OR('CSV抽出'!$C$6="すべて",'CSV抽出'!$C$6="",D1043='CSV抽出'!$C$6),OR('CSV抽出'!$C$7="",B1043&amp;""='CSV抽出'!$C$7&amp;"")),1,0))</f>
        <v/>
      </c>
      <c r="AI1043" s="20">
        <f>IF(AH1043=1,SUM($AH$5:AH1043),"")</f>
        <v/>
      </c>
      <c r="AJ1043" s="20">
        <f>IF(OR(S1043="",'報告書'!$C$4=""),"",IF(S1043&amp;""='報告書'!$C$4&amp;"",COUNTIF($S$5:S1043,'報告書'!$C$4),""))</f>
        <v/>
      </c>
      <c r="AK1043" s="20" t="n"/>
      <c r="AL1043" s="47" t="n"/>
      <c r="AM1043" s="47" t="n"/>
      <c r="AN1043" s="53" t="n"/>
      <c r="AO1043" s="47" t="n"/>
      <c r="AP1043" s="47" t="n"/>
      <c r="AQ1043" s="47" t="n"/>
      <c r="AR1043" s="47" t="n"/>
      <c r="AS1043" s="47" t="n"/>
      <c r="AT1043" s="47" t="n"/>
      <c r="AU1043" s="47" t="n"/>
      <c r="AV1043" s="47" t="n"/>
      <c r="AW1043" s="52" t="n"/>
    </row>
    <row r="1044">
      <c r="A1044" s="48" t="n"/>
      <c r="B1044" s="52" t="n"/>
      <c r="C1044" s="47">
        <f>IF(B1044="","",IFERROR(INDEX('隊員マスタ'!$B$5:$B$204,MATCH(B1044&amp;"",'隊員マスタ'!$F$5:$F$204,0)),IF(AK1044="","番号なし",AK1044)))</f>
        <v/>
      </c>
      <c r="D1044" s="47" t="n"/>
      <c r="E1044" s="47" t="n"/>
      <c r="F1044" s="47" t="n"/>
      <c r="G1044" s="47" t="n"/>
      <c r="H1044" s="47" t="n"/>
      <c r="I1044" s="47" t="n"/>
      <c r="J1044" s="47" t="n"/>
      <c r="K1044" s="47" t="n"/>
      <c r="L1044" s="47" t="n"/>
      <c r="M1044" s="47" t="n"/>
      <c r="N1044" s="47" t="n"/>
      <c r="O1044" s="47" t="n"/>
      <c r="P1044" s="47" t="n"/>
      <c r="Q1044" s="47" t="n"/>
      <c r="R1044" s="47" t="n"/>
      <c r="S1044" s="47" t="n"/>
      <c r="T1044" s="47" t="n"/>
      <c r="U1044" s="53" t="n"/>
      <c r="V1044" s="53" t="n"/>
      <c r="W1044" s="47" t="n"/>
      <c r="X1044" s="47" t="n"/>
      <c r="Y1044" s="47" t="n"/>
      <c r="Z1044" s="47" t="n"/>
      <c r="AA1044" s="47" t="n"/>
      <c r="AB1044" s="47" t="n"/>
      <c r="AC1044" s="47" t="n"/>
      <c r="AD1044" s="47" t="n"/>
      <c r="AE1044" s="47" t="n"/>
      <c r="AF1044" s="20">
        <f>IF(A1044="","",YEAR(EDATE(A1044,-3)))</f>
        <v/>
      </c>
      <c r="AG1044" s="20">
        <f>IF(OR(B1044="",'経歴簿'!$C$4=""),"",IF(B1044&amp;""='経歴簿'!$C$4&amp;"",MAX($AG$4:AG1043)+1,""))</f>
        <v/>
      </c>
      <c r="AH1044" s="20">
        <f>IF(A1044="",0,IF(AND(OR('CSV抽出'!$C$4="",A1044&gt;='CSV抽出'!$C$4),OR('CSV抽出'!$C$5="",A1044&lt;='CSV抽出'!$C$5),OR('CSV抽出'!$C$6="すべて",'CSV抽出'!$C$6="",D1044='CSV抽出'!$C$6),OR('CSV抽出'!$C$7="",B1044&amp;""='CSV抽出'!$C$7&amp;"")),1,0))</f>
        <v/>
      </c>
      <c r="AI1044" s="20">
        <f>IF(AH1044=1,SUM($AH$5:AH1044),"")</f>
        <v/>
      </c>
      <c r="AJ1044" s="20">
        <f>IF(OR(S1044="",'報告書'!$C$4=""),"",IF(S1044&amp;""='報告書'!$C$4&amp;"",COUNTIF($S$5:S1044,'報告書'!$C$4),""))</f>
        <v/>
      </c>
      <c r="AK1044" s="20" t="n"/>
      <c r="AL1044" s="47" t="n"/>
      <c r="AM1044" s="47" t="n"/>
      <c r="AN1044" s="53" t="n"/>
      <c r="AO1044" s="47" t="n"/>
      <c r="AP1044" s="47" t="n"/>
      <c r="AQ1044" s="47" t="n"/>
      <c r="AR1044" s="47" t="n"/>
      <c r="AS1044" s="47" t="n"/>
      <c r="AT1044" s="47" t="n"/>
      <c r="AU1044" s="47" t="n"/>
      <c r="AV1044" s="47" t="n"/>
      <c r="AW1044" s="52" t="n"/>
    </row>
    <row r="1045">
      <c r="A1045" s="48" t="n"/>
      <c r="B1045" s="52" t="n"/>
      <c r="C1045" s="47">
        <f>IF(B1045="","",IFERROR(INDEX('隊員マスタ'!$B$5:$B$204,MATCH(B1045&amp;"",'隊員マスタ'!$F$5:$F$204,0)),IF(AK1045="","番号なし",AK1045)))</f>
        <v/>
      </c>
      <c r="D1045" s="47" t="n"/>
      <c r="E1045" s="47" t="n"/>
      <c r="F1045" s="47" t="n"/>
      <c r="G1045" s="47" t="n"/>
      <c r="H1045" s="47" t="n"/>
      <c r="I1045" s="47" t="n"/>
      <c r="J1045" s="47" t="n"/>
      <c r="K1045" s="47" t="n"/>
      <c r="L1045" s="47" t="n"/>
      <c r="M1045" s="47" t="n"/>
      <c r="N1045" s="47" t="n"/>
      <c r="O1045" s="47" t="n"/>
      <c r="P1045" s="47" t="n"/>
      <c r="Q1045" s="47" t="n"/>
      <c r="R1045" s="47" t="n"/>
      <c r="S1045" s="47" t="n"/>
      <c r="T1045" s="47" t="n"/>
      <c r="U1045" s="53" t="n"/>
      <c r="V1045" s="53" t="n"/>
      <c r="W1045" s="47" t="n"/>
      <c r="X1045" s="47" t="n"/>
      <c r="Y1045" s="47" t="n"/>
      <c r="Z1045" s="47" t="n"/>
      <c r="AA1045" s="47" t="n"/>
      <c r="AB1045" s="47" t="n"/>
      <c r="AC1045" s="47" t="n"/>
      <c r="AD1045" s="47" t="n"/>
      <c r="AE1045" s="47" t="n"/>
      <c r="AF1045" s="20">
        <f>IF(A1045="","",YEAR(EDATE(A1045,-3)))</f>
        <v/>
      </c>
      <c r="AG1045" s="20">
        <f>IF(OR(B1045="",'経歴簿'!$C$4=""),"",IF(B1045&amp;""='経歴簿'!$C$4&amp;"",MAX($AG$4:AG1044)+1,""))</f>
        <v/>
      </c>
      <c r="AH1045" s="20">
        <f>IF(A1045="",0,IF(AND(OR('CSV抽出'!$C$4="",A1045&gt;='CSV抽出'!$C$4),OR('CSV抽出'!$C$5="",A1045&lt;='CSV抽出'!$C$5),OR('CSV抽出'!$C$6="すべて",'CSV抽出'!$C$6="",D1045='CSV抽出'!$C$6),OR('CSV抽出'!$C$7="",B1045&amp;""='CSV抽出'!$C$7&amp;"")),1,0))</f>
        <v/>
      </c>
      <c r="AI1045" s="20">
        <f>IF(AH1045=1,SUM($AH$5:AH1045),"")</f>
        <v/>
      </c>
      <c r="AJ1045" s="20">
        <f>IF(OR(S1045="",'報告書'!$C$4=""),"",IF(S1045&amp;""='報告書'!$C$4&amp;"",COUNTIF($S$5:S1045,'報告書'!$C$4),""))</f>
        <v/>
      </c>
      <c r="AK1045" s="20" t="n"/>
      <c r="AL1045" s="47" t="n"/>
      <c r="AM1045" s="47" t="n"/>
      <c r="AN1045" s="53" t="n"/>
      <c r="AO1045" s="47" t="n"/>
      <c r="AP1045" s="47" t="n"/>
      <c r="AQ1045" s="47" t="n"/>
      <c r="AR1045" s="47" t="n"/>
      <c r="AS1045" s="47" t="n"/>
      <c r="AT1045" s="47" t="n"/>
      <c r="AU1045" s="47" t="n"/>
      <c r="AV1045" s="47" t="n"/>
      <c r="AW1045" s="52" t="n"/>
    </row>
    <row r="1046">
      <c r="A1046" s="48" t="n"/>
      <c r="B1046" s="52" t="n"/>
      <c r="C1046" s="47">
        <f>IF(B1046="","",IFERROR(INDEX('隊員マスタ'!$B$5:$B$204,MATCH(B1046&amp;"",'隊員マスタ'!$F$5:$F$204,0)),IF(AK1046="","番号なし",AK1046)))</f>
        <v/>
      </c>
      <c r="D1046" s="47" t="n"/>
      <c r="E1046" s="47" t="n"/>
      <c r="F1046" s="47" t="n"/>
      <c r="G1046" s="47" t="n"/>
      <c r="H1046" s="47" t="n"/>
      <c r="I1046" s="47" t="n"/>
      <c r="J1046" s="47" t="n"/>
      <c r="K1046" s="47" t="n"/>
      <c r="L1046" s="47" t="n"/>
      <c r="M1046" s="47" t="n"/>
      <c r="N1046" s="47" t="n"/>
      <c r="O1046" s="47" t="n"/>
      <c r="P1046" s="47" t="n"/>
      <c r="Q1046" s="47" t="n"/>
      <c r="R1046" s="47" t="n"/>
      <c r="S1046" s="47" t="n"/>
      <c r="T1046" s="47" t="n"/>
      <c r="U1046" s="53" t="n"/>
      <c r="V1046" s="53" t="n"/>
      <c r="W1046" s="47" t="n"/>
      <c r="X1046" s="47" t="n"/>
      <c r="Y1046" s="47" t="n"/>
      <c r="Z1046" s="47" t="n"/>
      <c r="AA1046" s="47" t="n"/>
      <c r="AB1046" s="47" t="n"/>
      <c r="AC1046" s="47" t="n"/>
      <c r="AD1046" s="47" t="n"/>
      <c r="AE1046" s="47" t="n"/>
      <c r="AF1046" s="20">
        <f>IF(A1046="","",YEAR(EDATE(A1046,-3)))</f>
        <v/>
      </c>
      <c r="AG1046" s="20">
        <f>IF(OR(B1046="",'経歴簿'!$C$4=""),"",IF(B1046&amp;""='経歴簿'!$C$4&amp;"",MAX($AG$4:AG1045)+1,""))</f>
        <v/>
      </c>
      <c r="AH1046" s="20">
        <f>IF(A1046="",0,IF(AND(OR('CSV抽出'!$C$4="",A1046&gt;='CSV抽出'!$C$4),OR('CSV抽出'!$C$5="",A1046&lt;='CSV抽出'!$C$5),OR('CSV抽出'!$C$6="すべて",'CSV抽出'!$C$6="",D1046='CSV抽出'!$C$6),OR('CSV抽出'!$C$7="",B1046&amp;""='CSV抽出'!$C$7&amp;"")),1,0))</f>
        <v/>
      </c>
      <c r="AI1046" s="20">
        <f>IF(AH1046=1,SUM($AH$5:AH1046),"")</f>
        <v/>
      </c>
      <c r="AJ1046" s="20">
        <f>IF(OR(S1046="",'報告書'!$C$4=""),"",IF(S1046&amp;""='報告書'!$C$4&amp;"",COUNTIF($S$5:S1046,'報告書'!$C$4),""))</f>
        <v/>
      </c>
      <c r="AK1046" s="20" t="n"/>
      <c r="AL1046" s="47" t="n"/>
      <c r="AM1046" s="47" t="n"/>
      <c r="AN1046" s="53" t="n"/>
      <c r="AO1046" s="47" t="n"/>
      <c r="AP1046" s="47" t="n"/>
      <c r="AQ1046" s="47" t="n"/>
      <c r="AR1046" s="47" t="n"/>
      <c r="AS1046" s="47" t="n"/>
      <c r="AT1046" s="47" t="n"/>
      <c r="AU1046" s="47" t="n"/>
      <c r="AV1046" s="47" t="n"/>
      <c r="AW1046" s="52" t="n"/>
    </row>
    <row r="1047">
      <c r="A1047" s="48" t="n"/>
      <c r="B1047" s="52" t="n"/>
      <c r="C1047" s="47">
        <f>IF(B1047="","",IFERROR(INDEX('隊員マスタ'!$B$5:$B$204,MATCH(B1047&amp;"",'隊員マスタ'!$F$5:$F$204,0)),IF(AK1047="","番号なし",AK1047)))</f>
        <v/>
      </c>
      <c r="D1047" s="47" t="n"/>
      <c r="E1047" s="47" t="n"/>
      <c r="F1047" s="47" t="n"/>
      <c r="G1047" s="47" t="n"/>
      <c r="H1047" s="47" t="n"/>
      <c r="I1047" s="47" t="n"/>
      <c r="J1047" s="47" t="n"/>
      <c r="K1047" s="47" t="n"/>
      <c r="L1047" s="47" t="n"/>
      <c r="M1047" s="47" t="n"/>
      <c r="N1047" s="47" t="n"/>
      <c r="O1047" s="47" t="n"/>
      <c r="P1047" s="47" t="n"/>
      <c r="Q1047" s="47" t="n"/>
      <c r="R1047" s="47" t="n"/>
      <c r="S1047" s="47" t="n"/>
      <c r="T1047" s="47" t="n"/>
      <c r="U1047" s="53" t="n"/>
      <c r="V1047" s="53" t="n"/>
      <c r="W1047" s="47" t="n"/>
      <c r="X1047" s="47" t="n"/>
      <c r="Y1047" s="47" t="n"/>
      <c r="Z1047" s="47" t="n"/>
      <c r="AA1047" s="47" t="n"/>
      <c r="AB1047" s="47" t="n"/>
      <c r="AC1047" s="47" t="n"/>
      <c r="AD1047" s="47" t="n"/>
      <c r="AE1047" s="47" t="n"/>
      <c r="AF1047" s="20">
        <f>IF(A1047="","",YEAR(EDATE(A1047,-3)))</f>
        <v/>
      </c>
      <c r="AG1047" s="20">
        <f>IF(OR(B1047="",'経歴簿'!$C$4=""),"",IF(B1047&amp;""='経歴簿'!$C$4&amp;"",MAX($AG$4:AG1046)+1,""))</f>
        <v/>
      </c>
      <c r="AH1047" s="20">
        <f>IF(A1047="",0,IF(AND(OR('CSV抽出'!$C$4="",A1047&gt;='CSV抽出'!$C$4),OR('CSV抽出'!$C$5="",A1047&lt;='CSV抽出'!$C$5),OR('CSV抽出'!$C$6="すべて",'CSV抽出'!$C$6="",D1047='CSV抽出'!$C$6),OR('CSV抽出'!$C$7="",B1047&amp;""='CSV抽出'!$C$7&amp;"")),1,0))</f>
        <v/>
      </c>
      <c r="AI1047" s="20">
        <f>IF(AH1047=1,SUM($AH$5:AH1047),"")</f>
        <v/>
      </c>
      <c r="AJ1047" s="20">
        <f>IF(OR(S1047="",'報告書'!$C$4=""),"",IF(S1047&amp;""='報告書'!$C$4&amp;"",COUNTIF($S$5:S1047,'報告書'!$C$4),""))</f>
        <v/>
      </c>
      <c r="AK1047" s="20" t="n"/>
      <c r="AL1047" s="47" t="n"/>
      <c r="AM1047" s="47" t="n"/>
      <c r="AN1047" s="53" t="n"/>
      <c r="AO1047" s="47" t="n"/>
      <c r="AP1047" s="47" t="n"/>
      <c r="AQ1047" s="47" t="n"/>
      <c r="AR1047" s="47" t="n"/>
      <c r="AS1047" s="47" t="n"/>
      <c r="AT1047" s="47" t="n"/>
      <c r="AU1047" s="47" t="n"/>
      <c r="AV1047" s="47" t="n"/>
      <c r="AW1047" s="52" t="n"/>
    </row>
    <row r="1048">
      <c r="A1048" s="48" t="n"/>
      <c r="B1048" s="52" t="n"/>
      <c r="C1048" s="47">
        <f>IF(B1048="","",IFERROR(INDEX('隊員マスタ'!$B$5:$B$204,MATCH(B1048&amp;"",'隊員マスタ'!$F$5:$F$204,0)),IF(AK1048="","番号なし",AK1048)))</f>
        <v/>
      </c>
      <c r="D1048" s="47" t="n"/>
      <c r="E1048" s="47" t="n"/>
      <c r="F1048" s="47" t="n"/>
      <c r="G1048" s="47" t="n"/>
      <c r="H1048" s="47" t="n"/>
      <c r="I1048" s="47" t="n"/>
      <c r="J1048" s="47" t="n"/>
      <c r="K1048" s="47" t="n"/>
      <c r="L1048" s="47" t="n"/>
      <c r="M1048" s="47" t="n"/>
      <c r="N1048" s="47" t="n"/>
      <c r="O1048" s="47" t="n"/>
      <c r="P1048" s="47" t="n"/>
      <c r="Q1048" s="47" t="n"/>
      <c r="R1048" s="47" t="n"/>
      <c r="S1048" s="47" t="n"/>
      <c r="T1048" s="47" t="n"/>
      <c r="U1048" s="53" t="n"/>
      <c r="V1048" s="53" t="n"/>
      <c r="W1048" s="47" t="n"/>
      <c r="X1048" s="47" t="n"/>
      <c r="Y1048" s="47" t="n"/>
      <c r="Z1048" s="47" t="n"/>
      <c r="AA1048" s="47" t="n"/>
      <c r="AB1048" s="47" t="n"/>
      <c r="AC1048" s="47" t="n"/>
      <c r="AD1048" s="47" t="n"/>
      <c r="AE1048" s="47" t="n"/>
      <c r="AF1048" s="20">
        <f>IF(A1048="","",YEAR(EDATE(A1048,-3)))</f>
        <v/>
      </c>
      <c r="AG1048" s="20">
        <f>IF(OR(B1048="",'経歴簿'!$C$4=""),"",IF(B1048&amp;""='経歴簿'!$C$4&amp;"",MAX($AG$4:AG1047)+1,""))</f>
        <v/>
      </c>
      <c r="AH1048" s="20">
        <f>IF(A1048="",0,IF(AND(OR('CSV抽出'!$C$4="",A1048&gt;='CSV抽出'!$C$4),OR('CSV抽出'!$C$5="",A1048&lt;='CSV抽出'!$C$5),OR('CSV抽出'!$C$6="すべて",'CSV抽出'!$C$6="",D1048='CSV抽出'!$C$6),OR('CSV抽出'!$C$7="",B1048&amp;""='CSV抽出'!$C$7&amp;"")),1,0))</f>
        <v/>
      </c>
      <c r="AI1048" s="20">
        <f>IF(AH1048=1,SUM($AH$5:AH1048),"")</f>
        <v/>
      </c>
      <c r="AJ1048" s="20">
        <f>IF(OR(S1048="",'報告書'!$C$4=""),"",IF(S1048&amp;""='報告書'!$C$4&amp;"",COUNTIF($S$5:S1048,'報告書'!$C$4),""))</f>
        <v/>
      </c>
      <c r="AK1048" s="20" t="n"/>
      <c r="AL1048" s="47" t="n"/>
      <c r="AM1048" s="47" t="n"/>
      <c r="AN1048" s="53" t="n"/>
      <c r="AO1048" s="47" t="n"/>
      <c r="AP1048" s="47" t="n"/>
      <c r="AQ1048" s="47" t="n"/>
      <c r="AR1048" s="47" t="n"/>
      <c r="AS1048" s="47" t="n"/>
      <c r="AT1048" s="47" t="n"/>
      <c r="AU1048" s="47" t="n"/>
      <c r="AV1048" s="47" t="n"/>
      <c r="AW1048" s="52" t="n"/>
    </row>
    <row r="1049">
      <c r="A1049" s="48" t="n"/>
      <c r="B1049" s="52" t="n"/>
      <c r="C1049" s="47">
        <f>IF(B1049="","",IFERROR(INDEX('隊員マスタ'!$B$5:$B$204,MATCH(B1049&amp;"",'隊員マスタ'!$F$5:$F$204,0)),IF(AK1049="","番号なし",AK1049)))</f>
        <v/>
      </c>
      <c r="D1049" s="47" t="n"/>
      <c r="E1049" s="47" t="n"/>
      <c r="F1049" s="47" t="n"/>
      <c r="G1049" s="47" t="n"/>
      <c r="H1049" s="47" t="n"/>
      <c r="I1049" s="47" t="n"/>
      <c r="J1049" s="47" t="n"/>
      <c r="K1049" s="47" t="n"/>
      <c r="L1049" s="47" t="n"/>
      <c r="M1049" s="47" t="n"/>
      <c r="N1049" s="47" t="n"/>
      <c r="O1049" s="47" t="n"/>
      <c r="P1049" s="47" t="n"/>
      <c r="Q1049" s="47" t="n"/>
      <c r="R1049" s="47" t="n"/>
      <c r="S1049" s="47" t="n"/>
      <c r="T1049" s="47" t="n"/>
      <c r="U1049" s="53" t="n"/>
      <c r="V1049" s="53" t="n"/>
      <c r="W1049" s="47" t="n"/>
      <c r="X1049" s="47" t="n"/>
      <c r="Y1049" s="47" t="n"/>
      <c r="Z1049" s="47" t="n"/>
      <c r="AA1049" s="47" t="n"/>
      <c r="AB1049" s="47" t="n"/>
      <c r="AC1049" s="47" t="n"/>
      <c r="AD1049" s="47" t="n"/>
      <c r="AE1049" s="47" t="n"/>
      <c r="AF1049" s="20">
        <f>IF(A1049="","",YEAR(EDATE(A1049,-3)))</f>
        <v/>
      </c>
      <c r="AG1049" s="20">
        <f>IF(OR(B1049="",'経歴簿'!$C$4=""),"",IF(B1049&amp;""='経歴簿'!$C$4&amp;"",MAX($AG$4:AG1048)+1,""))</f>
        <v/>
      </c>
      <c r="AH1049" s="20">
        <f>IF(A1049="",0,IF(AND(OR('CSV抽出'!$C$4="",A1049&gt;='CSV抽出'!$C$4),OR('CSV抽出'!$C$5="",A1049&lt;='CSV抽出'!$C$5),OR('CSV抽出'!$C$6="すべて",'CSV抽出'!$C$6="",D1049='CSV抽出'!$C$6),OR('CSV抽出'!$C$7="",B1049&amp;""='CSV抽出'!$C$7&amp;"")),1,0))</f>
        <v/>
      </c>
      <c r="AI1049" s="20">
        <f>IF(AH1049=1,SUM($AH$5:AH1049),"")</f>
        <v/>
      </c>
      <c r="AJ1049" s="20">
        <f>IF(OR(S1049="",'報告書'!$C$4=""),"",IF(S1049&amp;""='報告書'!$C$4&amp;"",COUNTIF($S$5:S1049,'報告書'!$C$4),""))</f>
        <v/>
      </c>
      <c r="AK1049" s="20" t="n"/>
      <c r="AL1049" s="47" t="n"/>
      <c r="AM1049" s="47" t="n"/>
      <c r="AN1049" s="53" t="n"/>
      <c r="AO1049" s="47" t="n"/>
      <c r="AP1049" s="47" t="n"/>
      <c r="AQ1049" s="47" t="n"/>
      <c r="AR1049" s="47" t="n"/>
      <c r="AS1049" s="47" t="n"/>
      <c r="AT1049" s="47" t="n"/>
      <c r="AU1049" s="47" t="n"/>
      <c r="AV1049" s="47" t="n"/>
      <c r="AW1049" s="52" t="n"/>
    </row>
    <row r="1050">
      <c r="A1050" s="48" t="n"/>
      <c r="B1050" s="52" t="n"/>
      <c r="C1050" s="47">
        <f>IF(B1050="","",IFERROR(INDEX('隊員マスタ'!$B$5:$B$204,MATCH(B1050&amp;"",'隊員マスタ'!$F$5:$F$204,0)),IF(AK1050="","番号なし",AK1050)))</f>
        <v/>
      </c>
      <c r="D1050" s="47" t="n"/>
      <c r="E1050" s="47" t="n"/>
      <c r="F1050" s="47" t="n"/>
      <c r="G1050" s="47" t="n"/>
      <c r="H1050" s="47" t="n"/>
      <c r="I1050" s="47" t="n"/>
      <c r="J1050" s="47" t="n"/>
      <c r="K1050" s="47" t="n"/>
      <c r="L1050" s="47" t="n"/>
      <c r="M1050" s="47" t="n"/>
      <c r="N1050" s="47" t="n"/>
      <c r="O1050" s="47" t="n"/>
      <c r="P1050" s="47" t="n"/>
      <c r="Q1050" s="47" t="n"/>
      <c r="R1050" s="47" t="n"/>
      <c r="S1050" s="47" t="n"/>
      <c r="T1050" s="47" t="n"/>
      <c r="U1050" s="53" t="n"/>
      <c r="V1050" s="53" t="n"/>
      <c r="W1050" s="47" t="n"/>
      <c r="X1050" s="47" t="n"/>
      <c r="Y1050" s="47" t="n"/>
      <c r="Z1050" s="47" t="n"/>
      <c r="AA1050" s="47" t="n"/>
      <c r="AB1050" s="47" t="n"/>
      <c r="AC1050" s="47" t="n"/>
      <c r="AD1050" s="47" t="n"/>
      <c r="AE1050" s="47" t="n"/>
      <c r="AF1050" s="20">
        <f>IF(A1050="","",YEAR(EDATE(A1050,-3)))</f>
        <v/>
      </c>
      <c r="AG1050" s="20">
        <f>IF(OR(B1050="",'経歴簿'!$C$4=""),"",IF(B1050&amp;""='経歴簿'!$C$4&amp;"",MAX($AG$4:AG1049)+1,""))</f>
        <v/>
      </c>
      <c r="AH1050" s="20">
        <f>IF(A1050="",0,IF(AND(OR('CSV抽出'!$C$4="",A1050&gt;='CSV抽出'!$C$4),OR('CSV抽出'!$C$5="",A1050&lt;='CSV抽出'!$C$5),OR('CSV抽出'!$C$6="すべて",'CSV抽出'!$C$6="",D1050='CSV抽出'!$C$6),OR('CSV抽出'!$C$7="",B1050&amp;""='CSV抽出'!$C$7&amp;"")),1,0))</f>
        <v/>
      </c>
      <c r="AI1050" s="20">
        <f>IF(AH1050=1,SUM($AH$5:AH1050),"")</f>
        <v/>
      </c>
      <c r="AJ1050" s="20">
        <f>IF(OR(S1050="",'報告書'!$C$4=""),"",IF(S1050&amp;""='報告書'!$C$4&amp;"",COUNTIF($S$5:S1050,'報告書'!$C$4),""))</f>
        <v/>
      </c>
      <c r="AK1050" s="20" t="n"/>
      <c r="AL1050" s="47" t="n"/>
      <c r="AM1050" s="47" t="n"/>
      <c r="AN1050" s="53" t="n"/>
      <c r="AO1050" s="47" t="n"/>
      <c r="AP1050" s="47" t="n"/>
      <c r="AQ1050" s="47" t="n"/>
      <c r="AR1050" s="47" t="n"/>
      <c r="AS1050" s="47" t="n"/>
      <c r="AT1050" s="47" t="n"/>
      <c r="AU1050" s="47" t="n"/>
      <c r="AV1050" s="47" t="n"/>
      <c r="AW1050" s="52" t="n"/>
    </row>
    <row r="1051">
      <c r="A1051" s="48" t="n"/>
      <c r="B1051" s="52" t="n"/>
      <c r="C1051" s="47">
        <f>IF(B1051="","",IFERROR(INDEX('隊員マスタ'!$B$5:$B$204,MATCH(B1051&amp;"",'隊員マスタ'!$F$5:$F$204,0)),IF(AK1051="","番号なし",AK1051)))</f>
        <v/>
      </c>
      <c r="D1051" s="47" t="n"/>
      <c r="E1051" s="47" t="n"/>
      <c r="F1051" s="47" t="n"/>
      <c r="G1051" s="47" t="n"/>
      <c r="H1051" s="47" t="n"/>
      <c r="I1051" s="47" t="n"/>
      <c r="J1051" s="47" t="n"/>
      <c r="K1051" s="47" t="n"/>
      <c r="L1051" s="47" t="n"/>
      <c r="M1051" s="47" t="n"/>
      <c r="N1051" s="47" t="n"/>
      <c r="O1051" s="47" t="n"/>
      <c r="P1051" s="47" t="n"/>
      <c r="Q1051" s="47" t="n"/>
      <c r="R1051" s="47" t="n"/>
      <c r="S1051" s="47" t="n"/>
      <c r="T1051" s="47" t="n"/>
      <c r="U1051" s="53" t="n"/>
      <c r="V1051" s="53" t="n"/>
      <c r="W1051" s="47" t="n"/>
      <c r="X1051" s="47" t="n"/>
      <c r="Y1051" s="47" t="n"/>
      <c r="Z1051" s="47" t="n"/>
      <c r="AA1051" s="47" t="n"/>
      <c r="AB1051" s="47" t="n"/>
      <c r="AC1051" s="47" t="n"/>
      <c r="AD1051" s="47" t="n"/>
      <c r="AE1051" s="47" t="n"/>
      <c r="AF1051" s="20">
        <f>IF(A1051="","",YEAR(EDATE(A1051,-3)))</f>
        <v/>
      </c>
      <c r="AG1051" s="20">
        <f>IF(OR(B1051="",'経歴簿'!$C$4=""),"",IF(B1051&amp;""='経歴簿'!$C$4&amp;"",MAX($AG$4:AG1050)+1,""))</f>
        <v/>
      </c>
      <c r="AH1051" s="20">
        <f>IF(A1051="",0,IF(AND(OR('CSV抽出'!$C$4="",A1051&gt;='CSV抽出'!$C$4),OR('CSV抽出'!$C$5="",A1051&lt;='CSV抽出'!$C$5),OR('CSV抽出'!$C$6="すべて",'CSV抽出'!$C$6="",D1051='CSV抽出'!$C$6),OR('CSV抽出'!$C$7="",B1051&amp;""='CSV抽出'!$C$7&amp;"")),1,0))</f>
        <v/>
      </c>
      <c r="AI1051" s="20">
        <f>IF(AH1051=1,SUM($AH$5:AH1051),"")</f>
        <v/>
      </c>
      <c r="AJ1051" s="20">
        <f>IF(OR(S1051="",'報告書'!$C$4=""),"",IF(S1051&amp;""='報告書'!$C$4&amp;"",COUNTIF($S$5:S1051,'報告書'!$C$4),""))</f>
        <v/>
      </c>
      <c r="AK1051" s="20" t="n"/>
      <c r="AL1051" s="47" t="n"/>
      <c r="AM1051" s="47" t="n"/>
      <c r="AN1051" s="53" t="n"/>
      <c r="AO1051" s="47" t="n"/>
      <c r="AP1051" s="47" t="n"/>
      <c r="AQ1051" s="47" t="n"/>
      <c r="AR1051" s="47" t="n"/>
      <c r="AS1051" s="47" t="n"/>
      <c r="AT1051" s="47" t="n"/>
      <c r="AU1051" s="47" t="n"/>
      <c r="AV1051" s="47" t="n"/>
      <c r="AW1051" s="52" t="n"/>
    </row>
    <row r="1052">
      <c r="A1052" s="48" t="n"/>
      <c r="B1052" s="52" t="n"/>
      <c r="C1052" s="47">
        <f>IF(B1052="","",IFERROR(INDEX('隊員マスタ'!$B$5:$B$204,MATCH(B1052&amp;"",'隊員マスタ'!$F$5:$F$204,0)),IF(AK1052="","番号なし",AK1052)))</f>
        <v/>
      </c>
      <c r="D1052" s="47" t="n"/>
      <c r="E1052" s="47" t="n"/>
      <c r="F1052" s="47" t="n"/>
      <c r="G1052" s="47" t="n"/>
      <c r="H1052" s="47" t="n"/>
      <c r="I1052" s="47" t="n"/>
      <c r="J1052" s="47" t="n"/>
      <c r="K1052" s="47" t="n"/>
      <c r="L1052" s="47" t="n"/>
      <c r="M1052" s="47" t="n"/>
      <c r="N1052" s="47" t="n"/>
      <c r="O1052" s="47" t="n"/>
      <c r="P1052" s="47" t="n"/>
      <c r="Q1052" s="47" t="n"/>
      <c r="R1052" s="47" t="n"/>
      <c r="S1052" s="47" t="n"/>
      <c r="T1052" s="47" t="n"/>
      <c r="U1052" s="53" t="n"/>
      <c r="V1052" s="53" t="n"/>
      <c r="W1052" s="47" t="n"/>
      <c r="X1052" s="47" t="n"/>
      <c r="Y1052" s="47" t="n"/>
      <c r="Z1052" s="47" t="n"/>
      <c r="AA1052" s="47" t="n"/>
      <c r="AB1052" s="47" t="n"/>
      <c r="AC1052" s="47" t="n"/>
      <c r="AD1052" s="47" t="n"/>
      <c r="AE1052" s="47" t="n"/>
      <c r="AF1052" s="20">
        <f>IF(A1052="","",YEAR(EDATE(A1052,-3)))</f>
        <v/>
      </c>
      <c r="AG1052" s="20">
        <f>IF(OR(B1052="",'経歴簿'!$C$4=""),"",IF(B1052&amp;""='経歴簿'!$C$4&amp;"",MAX($AG$4:AG1051)+1,""))</f>
        <v/>
      </c>
      <c r="AH1052" s="20">
        <f>IF(A1052="",0,IF(AND(OR('CSV抽出'!$C$4="",A1052&gt;='CSV抽出'!$C$4),OR('CSV抽出'!$C$5="",A1052&lt;='CSV抽出'!$C$5),OR('CSV抽出'!$C$6="すべて",'CSV抽出'!$C$6="",D1052='CSV抽出'!$C$6),OR('CSV抽出'!$C$7="",B1052&amp;""='CSV抽出'!$C$7&amp;"")),1,0))</f>
        <v/>
      </c>
      <c r="AI1052" s="20">
        <f>IF(AH1052=1,SUM($AH$5:AH1052),"")</f>
        <v/>
      </c>
      <c r="AJ1052" s="20">
        <f>IF(OR(S1052="",'報告書'!$C$4=""),"",IF(S1052&amp;""='報告書'!$C$4&amp;"",COUNTIF($S$5:S1052,'報告書'!$C$4),""))</f>
        <v/>
      </c>
      <c r="AK1052" s="20" t="n"/>
      <c r="AL1052" s="47" t="n"/>
      <c r="AM1052" s="47" t="n"/>
      <c r="AN1052" s="53" t="n"/>
      <c r="AO1052" s="47" t="n"/>
      <c r="AP1052" s="47" t="n"/>
      <c r="AQ1052" s="47" t="n"/>
      <c r="AR1052" s="47" t="n"/>
      <c r="AS1052" s="47" t="n"/>
      <c r="AT1052" s="47" t="n"/>
      <c r="AU1052" s="47" t="n"/>
      <c r="AV1052" s="47" t="n"/>
      <c r="AW1052" s="52" t="n"/>
    </row>
    <row r="1053">
      <c r="A1053" s="48" t="n"/>
      <c r="B1053" s="52" t="n"/>
      <c r="C1053" s="47">
        <f>IF(B1053="","",IFERROR(INDEX('隊員マスタ'!$B$5:$B$204,MATCH(B1053&amp;"",'隊員マスタ'!$F$5:$F$204,0)),IF(AK1053="","番号なし",AK1053)))</f>
        <v/>
      </c>
      <c r="D1053" s="47" t="n"/>
      <c r="E1053" s="47" t="n"/>
      <c r="F1053" s="47" t="n"/>
      <c r="G1053" s="47" t="n"/>
      <c r="H1053" s="47" t="n"/>
      <c r="I1053" s="47" t="n"/>
      <c r="J1053" s="47" t="n"/>
      <c r="K1053" s="47" t="n"/>
      <c r="L1053" s="47" t="n"/>
      <c r="M1053" s="47" t="n"/>
      <c r="N1053" s="47" t="n"/>
      <c r="O1053" s="47" t="n"/>
      <c r="P1053" s="47" t="n"/>
      <c r="Q1053" s="47" t="n"/>
      <c r="R1053" s="47" t="n"/>
      <c r="S1053" s="47" t="n"/>
      <c r="T1053" s="47" t="n"/>
      <c r="U1053" s="53" t="n"/>
      <c r="V1053" s="53" t="n"/>
      <c r="W1053" s="47" t="n"/>
      <c r="X1053" s="47" t="n"/>
      <c r="Y1053" s="47" t="n"/>
      <c r="Z1053" s="47" t="n"/>
      <c r="AA1053" s="47" t="n"/>
      <c r="AB1053" s="47" t="n"/>
      <c r="AC1053" s="47" t="n"/>
      <c r="AD1053" s="47" t="n"/>
      <c r="AE1053" s="47" t="n"/>
      <c r="AF1053" s="20">
        <f>IF(A1053="","",YEAR(EDATE(A1053,-3)))</f>
        <v/>
      </c>
      <c r="AG1053" s="20">
        <f>IF(OR(B1053="",'経歴簿'!$C$4=""),"",IF(B1053&amp;""='経歴簿'!$C$4&amp;"",MAX($AG$4:AG1052)+1,""))</f>
        <v/>
      </c>
      <c r="AH1053" s="20">
        <f>IF(A1053="",0,IF(AND(OR('CSV抽出'!$C$4="",A1053&gt;='CSV抽出'!$C$4),OR('CSV抽出'!$C$5="",A1053&lt;='CSV抽出'!$C$5),OR('CSV抽出'!$C$6="すべて",'CSV抽出'!$C$6="",D1053='CSV抽出'!$C$6),OR('CSV抽出'!$C$7="",B1053&amp;""='CSV抽出'!$C$7&amp;"")),1,0))</f>
        <v/>
      </c>
      <c r="AI1053" s="20">
        <f>IF(AH1053=1,SUM($AH$5:AH1053),"")</f>
        <v/>
      </c>
      <c r="AJ1053" s="20">
        <f>IF(OR(S1053="",'報告書'!$C$4=""),"",IF(S1053&amp;""='報告書'!$C$4&amp;"",COUNTIF($S$5:S1053,'報告書'!$C$4),""))</f>
        <v/>
      </c>
      <c r="AK1053" s="20" t="n"/>
      <c r="AL1053" s="47" t="n"/>
      <c r="AM1053" s="47" t="n"/>
      <c r="AN1053" s="53" t="n"/>
      <c r="AO1053" s="47" t="n"/>
      <c r="AP1053" s="47" t="n"/>
      <c r="AQ1053" s="47" t="n"/>
      <c r="AR1053" s="47" t="n"/>
      <c r="AS1053" s="47" t="n"/>
      <c r="AT1053" s="47" t="n"/>
      <c r="AU1053" s="47" t="n"/>
      <c r="AV1053" s="47" t="n"/>
      <c r="AW1053" s="52" t="n"/>
    </row>
    <row r="1054">
      <c r="A1054" s="48" t="n"/>
      <c r="B1054" s="52" t="n"/>
      <c r="C1054" s="47">
        <f>IF(B1054="","",IFERROR(INDEX('隊員マスタ'!$B$5:$B$204,MATCH(B1054&amp;"",'隊員マスタ'!$F$5:$F$204,0)),IF(AK1054="","番号なし",AK1054)))</f>
        <v/>
      </c>
      <c r="D1054" s="47" t="n"/>
      <c r="E1054" s="47" t="n"/>
      <c r="F1054" s="47" t="n"/>
      <c r="G1054" s="47" t="n"/>
      <c r="H1054" s="47" t="n"/>
      <c r="I1054" s="47" t="n"/>
      <c r="J1054" s="47" t="n"/>
      <c r="K1054" s="47" t="n"/>
      <c r="L1054" s="47" t="n"/>
      <c r="M1054" s="47" t="n"/>
      <c r="N1054" s="47" t="n"/>
      <c r="O1054" s="47" t="n"/>
      <c r="P1054" s="47" t="n"/>
      <c r="Q1054" s="47" t="n"/>
      <c r="R1054" s="47" t="n"/>
      <c r="S1054" s="47" t="n"/>
      <c r="T1054" s="47" t="n"/>
      <c r="U1054" s="53" t="n"/>
      <c r="V1054" s="53" t="n"/>
      <c r="W1054" s="47" t="n"/>
      <c r="X1054" s="47" t="n"/>
      <c r="Y1054" s="47" t="n"/>
      <c r="Z1054" s="47" t="n"/>
      <c r="AA1054" s="47" t="n"/>
      <c r="AB1054" s="47" t="n"/>
      <c r="AC1054" s="47" t="n"/>
      <c r="AD1054" s="47" t="n"/>
      <c r="AE1054" s="47" t="n"/>
      <c r="AF1054" s="20">
        <f>IF(A1054="","",YEAR(EDATE(A1054,-3)))</f>
        <v/>
      </c>
      <c r="AG1054" s="20">
        <f>IF(OR(B1054="",'経歴簿'!$C$4=""),"",IF(B1054&amp;""='経歴簿'!$C$4&amp;"",MAX($AG$4:AG1053)+1,""))</f>
        <v/>
      </c>
      <c r="AH1054" s="20">
        <f>IF(A1054="",0,IF(AND(OR('CSV抽出'!$C$4="",A1054&gt;='CSV抽出'!$C$4),OR('CSV抽出'!$C$5="",A1054&lt;='CSV抽出'!$C$5),OR('CSV抽出'!$C$6="すべて",'CSV抽出'!$C$6="",D1054='CSV抽出'!$C$6),OR('CSV抽出'!$C$7="",B1054&amp;""='CSV抽出'!$C$7&amp;"")),1,0))</f>
        <v/>
      </c>
      <c r="AI1054" s="20">
        <f>IF(AH1054=1,SUM($AH$5:AH1054),"")</f>
        <v/>
      </c>
      <c r="AJ1054" s="20">
        <f>IF(OR(S1054="",'報告書'!$C$4=""),"",IF(S1054&amp;""='報告書'!$C$4&amp;"",COUNTIF($S$5:S1054,'報告書'!$C$4),""))</f>
        <v/>
      </c>
      <c r="AK1054" s="20" t="n"/>
      <c r="AL1054" s="47" t="n"/>
      <c r="AM1054" s="47" t="n"/>
      <c r="AN1054" s="53" t="n"/>
      <c r="AO1054" s="47" t="n"/>
      <c r="AP1054" s="47" t="n"/>
      <c r="AQ1054" s="47" t="n"/>
      <c r="AR1054" s="47" t="n"/>
      <c r="AS1054" s="47" t="n"/>
      <c r="AT1054" s="47" t="n"/>
      <c r="AU1054" s="47" t="n"/>
      <c r="AV1054" s="47" t="n"/>
      <c r="AW1054" s="52" t="n"/>
    </row>
    <row r="1055">
      <c r="A1055" s="48" t="n"/>
      <c r="B1055" s="52" t="n"/>
      <c r="C1055" s="47">
        <f>IF(B1055="","",IFERROR(INDEX('隊員マスタ'!$B$5:$B$204,MATCH(B1055&amp;"",'隊員マスタ'!$F$5:$F$204,0)),IF(AK1055="","番号なし",AK1055)))</f>
        <v/>
      </c>
      <c r="D1055" s="47" t="n"/>
      <c r="E1055" s="47" t="n"/>
      <c r="F1055" s="47" t="n"/>
      <c r="G1055" s="47" t="n"/>
      <c r="H1055" s="47" t="n"/>
      <c r="I1055" s="47" t="n"/>
      <c r="J1055" s="47" t="n"/>
      <c r="K1055" s="47" t="n"/>
      <c r="L1055" s="47" t="n"/>
      <c r="M1055" s="47" t="n"/>
      <c r="N1055" s="47" t="n"/>
      <c r="O1055" s="47" t="n"/>
      <c r="P1055" s="47" t="n"/>
      <c r="Q1055" s="47" t="n"/>
      <c r="R1055" s="47" t="n"/>
      <c r="S1055" s="47" t="n"/>
      <c r="T1055" s="47" t="n"/>
      <c r="U1055" s="53" t="n"/>
      <c r="V1055" s="53" t="n"/>
      <c r="W1055" s="47" t="n"/>
      <c r="X1055" s="47" t="n"/>
      <c r="Y1055" s="47" t="n"/>
      <c r="Z1055" s="47" t="n"/>
      <c r="AA1055" s="47" t="n"/>
      <c r="AB1055" s="47" t="n"/>
      <c r="AC1055" s="47" t="n"/>
      <c r="AD1055" s="47" t="n"/>
      <c r="AE1055" s="47" t="n"/>
      <c r="AF1055" s="20">
        <f>IF(A1055="","",YEAR(EDATE(A1055,-3)))</f>
        <v/>
      </c>
      <c r="AG1055" s="20">
        <f>IF(OR(B1055="",'経歴簿'!$C$4=""),"",IF(B1055&amp;""='経歴簿'!$C$4&amp;"",MAX($AG$4:AG1054)+1,""))</f>
        <v/>
      </c>
      <c r="AH1055" s="20">
        <f>IF(A1055="",0,IF(AND(OR('CSV抽出'!$C$4="",A1055&gt;='CSV抽出'!$C$4),OR('CSV抽出'!$C$5="",A1055&lt;='CSV抽出'!$C$5),OR('CSV抽出'!$C$6="すべて",'CSV抽出'!$C$6="",D1055='CSV抽出'!$C$6),OR('CSV抽出'!$C$7="",B1055&amp;""='CSV抽出'!$C$7&amp;"")),1,0))</f>
        <v/>
      </c>
      <c r="AI1055" s="20">
        <f>IF(AH1055=1,SUM($AH$5:AH1055),"")</f>
        <v/>
      </c>
      <c r="AJ1055" s="20">
        <f>IF(OR(S1055="",'報告書'!$C$4=""),"",IF(S1055&amp;""='報告書'!$C$4&amp;"",COUNTIF($S$5:S1055,'報告書'!$C$4),""))</f>
        <v/>
      </c>
      <c r="AK1055" s="20" t="n"/>
      <c r="AL1055" s="47" t="n"/>
      <c r="AM1055" s="47" t="n"/>
      <c r="AN1055" s="53" t="n"/>
      <c r="AO1055" s="47" t="n"/>
      <c r="AP1055" s="47" t="n"/>
      <c r="AQ1055" s="47" t="n"/>
      <c r="AR1055" s="47" t="n"/>
      <c r="AS1055" s="47" t="n"/>
      <c r="AT1055" s="47" t="n"/>
      <c r="AU1055" s="47" t="n"/>
      <c r="AV1055" s="47" t="n"/>
      <c r="AW1055" s="52" t="n"/>
    </row>
    <row r="1056">
      <c r="A1056" s="48" t="n"/>
      <c r="B1056" s="52" t="n"/>
      <c r="C1056" s="47">
        <f>IF(B1056="","",IFERROR(INDEX('隊員マスタ'!$B$5:$B$204,MATCH(B1056&amp;"",'隊員マスタ'!$F$5:$F$204,0)),IF(AK1056="","番号なし",AK1056)))</f>
        <v/>
      </c>
      <c r="D1056" s="47" t="n"/>
      <c r="E1056" s="47" t="n"/>
      <c r="F1056" s="47" t="n"/>
      <c r="G1056" s="47" t="n"/>
      <c r="H1056" s="47" t="n"/>
      <c r="I1056" s="47" t="n"/>
      <c r="J1056" s="47" t="n"/>
      <c r="K1056" s="47" t="n"/>
      <c r="L1056" s="47" t="n"/>
      <c r="M1056" s="47" t="n"/>
      <c r="N1056" s="47" t="n"/>
      <c r="O1056" s="47" t="n"/>
      <c r="P1056" s="47" t="n"/>
      <c r="Q1056" s="47" t="n"/>
      <c r="R1056" s="47" t="n"/>
      <c r="S1056" s="47" t="n"/>
      <c r="T1056" s="47" t="n"/>
      <c r="U1056" s="53" t="n"/>
      <c r="V1056" s="53" t="n"/>
      <c r="W1056" s="47" t="n"/>
      <c r="X1056" s="47" t="n"/>
      <c r="Y1056" s="47" t="n"/>
      <c r="Z1056" s="47" t="n"/>
      <c r="AA1056" s="47" t="n"/>
      <c r="AB1056" s="47" t="n"/>
      <c r="AC1056" s="47" t="n"/>
      <c r="AD1056" s="47" t="n"/>
      <c r="AE1056" s="47" t="n"/>
      <c r="AF1056" s="20">
        <f>IF(A1056="","",YEAR(EDATE(A1056,-3)))</f>
        <v/>
      </c>
      <c r="AG1056" s="20">
        <f>IF(OR(B1056="",'経歴簿'!$C$4=""),"",IF(B1056&amp;""='経歴簿'!$C$4&amp;"",MAX($AG$4:AG1055)+1,""))</f>
        <v/>
      </c>
      <c r="AH1056" s="20">
        <f>IF(A1056="",0,IF(AND(OR('CSV抽出'!$C$4="",A1056&gt;='CSV抽出'!$C$4),OR('CSV抽出'!$C$5="",A1056&lt;='CSV抽出'!$C$5),OR('CSV抽出'!$C$6="すべて",'CSV抽出'!$C$6="",D1056='CSV抽出'!$C$6),OR('CSV抽出'!$C$7="",B1056&amp;""='CSV抽出'!$C$7&amp;"")),1,0))</f>
        <v/>
      </c>
      <c r="AI1056" s="20">
        <f>IF(AH1056=1,SUM($AH$5:AH1056),"")</f>
        <v/>
      </c>
      <c r="AJ1056" s="20">
        <f>IF(OR(S1056="",'報告書'!$C$4=""),"",IF(S1056&amp;""='報告書'!$C$4&amp;"",COUNTIF($S$5:S1056,'報告書'!$C$4),""))</f>
        <v/>
      </c>
      <c r="AK1056" s="20" t="n"/>
      <c r="AL1056" s="47" t="n"/>
      <c r="AM1056" s="47" t="n"/>
      <c r="AN1056" s="53" t="n"/>
      <c r="AO1056" s="47" t="n"/>
      <c r="AP1056" s="47" t="n"/>
      <c r="AQ1056" s="47" t="n"/>
      <c r="AR1056" s="47" t="n"/>
      <c r="AS1056" s="47" t="n"/>
      <c r="AT1056" s="47" t="n"/>
      <c r="AU1056" s="47" t="n"/>
      <c r="AV1056" s="47" t="n"/>
      <c r="AW1056" s="52" t="n"/>
    </row>
    <row r="1057">
      <c r="A1057" s="48" t="n"/>
      <c r="B1057" s="52" t="n"/>
      <c r="C1057" s="47">
        <f>IF(B1057="","",IFERROR(INDEX('隊員マスタ'!$B$5:$B$204,MATCH(B1057&amp;"",'隊員マスタ'!$F$5:$F$204,0)),IF(AK1057="","番号なし",AK1057)))</f>
        <v/>
      </c>
      <c r="D1057" s="47" t="n"/>
      <c r="E1057" s="47" t="n"/>
      <c r="F1057" s="47" t="n"/>
      <c r="G1057" s="47" t="n"/>
      <c r="H1057" s="47" t="n"/>
      <c r="I1057" s="47" t="n"/>
      <c r="J1057" s="47" t="n"/>
      <c r="K1057" s="47" t="n"/>
      <c r="L1057" s="47" t="n"/>
      <c r="M1057" s="47" t="n"/>
      <c r="N1057" s="47" t="n"/>
      <c r="O1057" s="47" t="n"/>
      <c r="P1057" s="47" t="n"/>
      <c r="Q1057" s="47" t="n"/>
      <c r="R1057" s="47" t="n"/>
      <c r="S1057" s="47" t="n"/>
      <c r="T1057" s="47" t="n"/>
      <c r="U1057" s="53" t="n"/>
      <c r="V1057" s="53" t="n"/>
      <c r="W1057" s="47" t="n"/>
      <c r="X1057" s="47" t="n"/>
      <c r="Y1057" s="47" t="n"/>
      <c r="Z1057" s="47" t="n"/>
      <c r="AA1057" s="47" t="n"/>
      <c r="AB1057" s="47" t="n"/>
      <c r="AC1057" s="47" t="n"/>
      <c r="AD1057" s="47" t="n"/>
      <c r="AE1057" s="47" t="n"/>
      <c r="AF1057" s="20">
        <f>IF(A1057="","",YEAR(EDATE(A1057,-3)))</f>
        <v/>
      </c>
      <c r="AG1057" s="20">
        <f>IF(OR(B1057="",'経歴簿'!$C$4=""),"",IF(B1057&amp;""='経歴簿'!$C$4&amp;"",MAX($AG$4:AG1056)+1,""))</f>
        <v/>
      </c>
      <c r="AH1057" s="20">
        <f>IF(A1057="",0,IF(AND(OR('CSV抽出'!$C$4="",A1057&gt;='CSV抽出'!$C$4),OR('CSV抽出'!$C$5="",A1057&lt;='CSV抽出'!$C$5),OR('CSV抽出'!$C$6="すべて",'CSV抽出'!$C$6="",D1057='CSV抽出'!$C$6),OR('CSV抽出'!$C$7="",B1057&amp;""='CSV抽出'!$C$7&amp;"")),1,0))</f>
        <v/>
      </c>
      <c r="AI1057" s="20">
        <f>IF(AH1057=1,SUM($AH$5:AH1057),"")</f>
        <v/>
      </c>
      <c r="AJ1057" s="20">
        <f>IF(OR(S1057="",'報告書'!$C$4=""),"",IF(S1057&amp;""='報告書'!$C$4&amp;"",COUNTIF($S$5:S1057,'報告書'!$C$4),""))</f>
        <v/>
      </c>
      <c r="AK1057" s="20" t="n"/>
      <c r="AL1057" s="47" t="n"/>
      <c r="AM1057" s="47" t="n"/>
      <c r="AN1057" s="53" t="n"/>
      <c r="AO1057" s="47" t="n"/>
      <c r="AP1057" s="47" t="n"/>
      <c r="AQ1057" s="47" t="n"/>
      <c r="AR1057" s="47" t="n"/>
      <c r="AS1057" s="47" t="n"/>
      <c r="AT1057" s="47" t="n"/>
      <c r="AU1057" s="47" t="n"/>
      <c r="AV1057" s="47" t="n"/>
      <c r="AW1057" s="52" t="n"/>
    </row>
    <row r="1058">
      <c r="A1058" s="48" t="n"/>
      <c r="B1058" s="52" t="n"/>
      <c r="C1058" s="47">
        <f>IF(B1058="","",IFERROR(INDEX('隊員マスタ'!$B$5:$B$204,MATCH(B1058&amp;"",'隊員マスタ'!$F$5:$F$204,0)),IF(AK1058="","番号なし",AK1058)))</f>
        <v/>
      </c>
      <c r="D1058" s="47" t="n"/>
      <c r="E1058" s="47" t="n"/>
      <c r="F1058" s="47" t="n"/>
      <c r="G1058" s="47" t="n"/>
      <c r="H1058" s="47" t="n"/>
      <c r="I1058" s="47" t="n"/>
      <c r="J1058" s="47" t="n"/>
      <c r="K1058" s="47" t="n"/>
      <c r="L1058" s="47" t="n"/>
      <c r="M1058" s="47" t="n"/>
      <c r="N1058" s="47" t="n"/>
      <c r="O1058" s="47" t="n"/>
      <c r="P1058" s="47" t="n"/>
      <c r="Q1058" s="47" t="n"/>
      <c r="R1058" s="47" t="n"/>
      <c r="S1058" s="47" t="n"/>
      <c r="T1058" s="47" t="n"/>
      <c r="U1058" s="53" t="n"/>
      <c r="V1058" s="53" t="n"/>
      <c r="W1058" s="47" t="n"/>
      <c r="X1058" s="47" t="n"/>
      <c r="Y1058" s="47" t="n"/>
      <c r="Z1058" s="47" t="n"/>
      <c r="AA1058" s="47" t="n"/>
      <c r="AB1058" s="47" t="n"/>
      <c r="AC1058" s="47" t="n"/>
      <c r="AD1058" s="47" t="n"/>
      <c r="AE1058" s="47" t="n"/>
      <c r="AF1058" s="20">
        <f>IF(A1058="","",YEAR(EDATE(A1058,-3)))</f>
        <v/>
      </c>
      <c r="AG1058" s="20">
        <f>IF(OR(B1058="",'経歴簿'!$C$4=""),"",IF(B1058&amp;""='経歴簿'!$C$4&amp;"",MAX($AG$4:AG1057)+1,""))</f>
        <v/>
      </c>
      <c r="AH1058" s="20">
        <f>IF(A1058="",0,IF(AND(OR('CSV抽出'!$C$4="",A1058&gt;='CSV抽出'!$C$4),OR('CSV抽出'!$C$5="",A1058&lt;='CSV抽出'!$C$5),OR('CSV抽出'!$C$6="すべて",'CSV抽出'!$C$6="",D1058='CSV抽出'!$C$6),OR('CSV抽出'!$C$7="",B1058&amp;""='CSV抽出'!$C$7&amp;"")),1,0))</f>
        <v/>
      </c>
      <c r="AI1058" s="20">
        <f>IF(AH1058=1,SUM($AH$5:AH1058),"")</f>
        <v/>
      </c>
      <c r="AJ1058" s="20">
        <f>IF(OR(S1058="",'報告書'!$C$4=""),"",IF(S1058&amp;""='報告書'!$C$4&amp;"",COUNTIF($S$5:S1058,'報告書'!$C$4),""))</f>
        <v/>
      </c>
      <c r="AK1058" s="20" t="n"/>
      <c r="AL1058" s="47" t="n"/>
      <c r="AM1058" s="47" t="n"/>
      <c r="AN1058" s="53" t="n"/>
      <c r="AO1058" s="47" t="n"/>
      <c r="AP1058" s="47" t="n"/>
      <c r="AQ1058" s="47" t="n"/>
      <c r="AR1058" s="47" t="n"/>
      <c r="AS1058" s="47" t="n"/>
      <c r="AT1058" s="47" t="n"/>
      <c r="AU1058" s="47" t="n"/>
      <c r="AV1058" s="47" t="n"/>
      <c r="AW1058" s="52" t="n"/>
    </row>
    <row r="1059">
      <c r="A1059" s="48" t="n"/>
      <c r="B1059" s="52" t="n"/>
      <c r="C1059" s="47">
        <f>IF(B1059="","",IFERROR(INDEX('隊員マスタ'!$B$5:$B$204,MATCH(B1059&amp;"",'隊員マスタ'!$F$5:$F$204,0)),IF(AK1059="","番号なし",AK1059)))</f>
        <v/>
      </c>
      <c r="D1059" s="47" t="n"/>
      <c r="E1059" s="47" t="n"/>
      <c r="F1059" s="47" t="n"/>
      <c r="G1059" s="47" t="n"/>
      <c r="H1059" s="47" t="n"/>
      <c r="I1059" s="47" t="n"/>
      <c r="J1059" s="47" t="n"/>
      <c r="K1059" s="47" t="n"/>
      <c r="L1059" s="47" t="n"/>
      <c r="M1059" s="47" t="n"/>
      <c r="N1059" s="47" t="n"/>
      <c r="O1059" s="47" t="n"/>
      <c r="P1059" s="47" t="n"/>
      <c r="Q1059" s="47" t="n"/>
      <c r="R1059" s="47" t="n"/>
      <c r="S1059" s="47" t="n"/>
      <c r="T1059" s="47" t="n"/>
      <c r="U1059" s="53" t="n"/>
      <c r="V1059" s="53" t="n"/>
      <c r="W1059" s="47" t="n"/>
      <c r="X1059" s="47" t="n"/>
      <c r="Y1059" s="47" t="n"/>
      <c r="Z1059" s="47" t="n"/>
      <c r="AA1059" s="47" t="n"/>
      <c r="AB1059" s="47" t="n"/>
      <c r="AC1059" s="47" t="n"/>
      <c r="AD1059" s="47" t="n"/>
      <c r="AE1059" s="47" t="n"/>
      <c r="AF1059" s="20">
        <f>IF(A1059="","",YEAR(EDATE(A1059,-3)))</f>
        <v/>
      </c>
      <c r="AG1059" s="20">
        <f>IF(OR(B1059="",'経歴簿'!$C$4=""),"",IF(B1059&amp;""='経歴簿'!$C$4&amp;"",MAX($AG$4:AG1058)+1,""))</f>
        <v/>
      </c>
      <c r="AH1059" s="20">
        <f>IF(A1059="",0,IF(AND(OR('CSV抽出'!$C$4="",A1059&gt;='CSV抽出'!$C$4),OR('CSV抽出'!$C$5="",A1059&lt;='CSV抽出'!$C$5),OR('CSV抽出'!$C$6="すべて",'CSV抽出'!$C$6="",D1059='CSV抽出'!$C$6),OR('CSV抽出'!$C$7="",B1059&amp;""='CSV抽出'!$C$7&amp;"")),1,0))</f>
        <v/>
      </c>
      <c r="AI1059" s="20">
        <f>IF(AH1059=1,SUM($AH$5:AH1059),"")</f>
        <v/>
      </c>
      <c r="AJ1059" s="20">
        <f>IF(OR(S1059="",'報告書'!$C$4=""),"",IF(S1059&amp;""='報告書'!$C$4&amp;"",COUNTIF($S$5:S1059,'報告書'!$C$4),""))</f>
        <v/>
      </c>
      <c r="AK1059" s="20" t="n"/>
      <c r="AL1059" s="47" t="n"/>
      <c r="AM1059" s="47" t="n"/>
      <c r="AN1059" s="53" t="n"/>
      <c r="AO1059" s="47" t="n"/>
      <c r="AP1059" s="47" t="n"/>
      <c r="AQ1059" s="47" t="n"/>
      <c r="AR1059" s="47" t="n"/>
      <c r="AS1059" s="47" t="n"/>
      <c r="AT1059" s="47" t="n"/>
      <c r="AU1059" s="47" t="n"/>
      <c r="AV1059" s="47" t="n"/>
      <c r="AW1059" s="52" t="n"/>
    </row>
    <row r="1060">
      <c r="A1060" s="48" t="n"/>
      <c r="B1060" s="52" t="n"/>
      <c r="C1060" s="47">
        <f>IF(B1060="","",IFERROR(INDEX('隊員マスタ'!$B$5:$B$204,MATCH(B1060&amp;"",'隊員マスタ'!$F$5:$F$204,0)),IF(AK1060="","番号なし",AK1060)))</f>
        <v/>
      </c>
      <c r="D1060" s="47" t="n"/>
      <c r="E1060" s="47" t="n"/>
      <c r="F1060" s="47" t="n"/>
      <c r="G1060" s="47" t="n"/>
      <c r="H1060" s="47" t="n"/>
      <c r="I1060" s="47" t="n"/>
      <c r="J1060" s="47" t="n"/>
      <c r="K1060" s="47" t="n"/>
      <c r="L1060" s="47" t="n"/>
      <c r="M1060" s="47" t="n"/>
      <c r="N1060" s="47" t="n"/>
      <c r="O1060" s="47" t="n"/>
      <c r="P1060" s="47" t="n"/>
      <c r="Q1060" s="47" t="n"/>
      <c r="R1060" s="47" t="n"/>
      <c r="S1060" s="47" t="n"/>
      <c r="T1060" s="47" t="n"/>
      <c r="U1060" s="53" t="n"/>
      <c r="V1060" s="53" t="n"/>
      <c r="W1060" s="47" t="n"/>
      <c r="X1060" s="47" t="n"/>
      <c r="Y1060" s="47" t="n"/>
      <c r="Z1060" s="47" t="n"/>
      <c r="AA1060" s="47" t="n"/>
      <c r="AB1060" s="47" t="n"/>
      <c r="AC1060" s="47" t="n"/>
      <c r="AD1060" s="47" t="n"/>
      <c r="AE1060" s="47" t="n"/>
      <c r="AF1060" s="20">
        <f>IF(A1060="","",YEAR(EDATE(A1060,-3)))</f>
        <v/>
      </c>
      <c r="AG1060" s="20">
        <f>IF(OR(B1060="",'経歴簿'!$C$4=""),"",IF(B1060&amp;""='経歴簿'!$C$4&amp;"",MAX($AG$4:AG1059)+1,""))</f>
        <v/>
      </c>
      <c r="AH1060" s="20">
        <f>IF(A1060="",0,IF(AND(OR('CSV抽出'!$C$4="",A1060&gt;='CSV抽出'!$C$4),OR('CSV抽出'!$C$5="",A1060&lt;='CSV抽出'!$C$5),OR('CSV抽出'!$C$6="すべて",'CSV抽出'!$C$6="",D1060='CSV抽出'!$C$6),OR('CSV抽出'!$C$7="",B1060&amp;""='CSV抽出'!$C$7&amp;"")),1,0))</f>
        <v/>
      </c>
      <c r="AI1060" s="20">
        <f>IF(AH1060=1,SUM($AH$5:AH1060),"")</f>
        <v/>
      </c>
      <c r="AJ1060" s="20">
        <f>IF(OR(S1060="",'報告書'!$C$4=""),"",IF(S1060&amp;""='報告書'!$C$4&amp;"",COUNTIF($S$5:S1060,'報告書'!$C$4),""))</f>
        <v/>
      </c>
      <c r="AK1060" s="20" t="n"/>
      <c r="AL1060" s="47" t="n"/>
      <c r="AM1060" s="47" t="n"/>
      <c r="AN1060" s="53" t="n"/>
      <c r="AO1060" s="47" t="n"/>
      <c r="AP1060" s="47" t="n"/>
      <c r="AQ1060" s="47" t="n"/>
      <c r="AR1060" s="47" t="n"/>
      <c r="AS1060" s="47" t="n"/>
      <c r="AT1060" s="47" t="n"/>
      <c r="AU1060" s="47" t="n"/>
      <c r="AV1060" s="47" t="n"/>
      <c r="AW1060" s="52" t="n"/>
    </row>
    <row r="1061">
      <c r="A1061" s="48" t="n"/>
      <c r="B1061" s="52" t="n"/>
      <c r="C1061" s="47">
        <f>IF(B1061="","",IFERROR(INDEX('隊員マスタ'!$B$5:$B$204,MATCH(B1061&amp;"",'隊員マスタ'!$F$5:$F$204,0)),IF(AK1061="","番号なし",AK1061)))</f>
        <v/>
      </c>
      <c r="D1061" s="47" t="n"/>
      <c r="E1061" s="47" t="n"/>
      <c r="F1061" s="47" t="n"/>
      <c r="G1061" s="47" t="n"/>
      <c r="H1061" s="47" t="n"/>
      <c r="I1061" s="47" t="n"/>
      <c r="J1061" s="47" t="n"/>
      <c r="K1061" s="47" t="n"/>
      <c r="L1061" s="47" t="n"/>
      <c r="M1061" s="47" t="n"/>
      <c r="N1061" s="47" t="n"/>
      <c r="O1061" s="47" t="n"/>
      <c r="P1061" s="47" t="n"/>
      <c r="Q1061" s="47" t="n"/>
      <c r="R1061" s="47" t="n"/>
      <c r="S1061" s="47" t="n"/>
      <c r="T1061" s="47" t="n"/>
      <c r="U1061" s="53" t="n"/>
      <c r="V1061" s="53" t="n"/>
      <c r="W1061" s="47" t="n"/>
      <c r="X1061" s="47" t="n"/>
      <c r="Y1061" s="47" t="n"/>
      <c r="Z1061" s="47" t="n"/>
      <c r="AA1061" s="47" t="n"/>
      <c r="AB1061" s="47" t="n"/>
      <c r="AC1061" s="47" t="n"/>
      <c r="AD1061" s="47" t="n"/>
      <c r="AE1061" s="47" t="n"/>
      <c r="AF1061" s="20">
        <f>IF(A1061="","",YEAR(EDATE(A1061,-3)))</f>
        <v/>
      </c>
      <c r="AG1061" s="20">
        <f>IF(OR(B1061="",'経歴簿'!$C$4=""),"",IF(B1061&amp;""='経歴簿'!$C$4&amp;"",MAX($AG$4:AG1060)+1,""))</f>
        <v/>
      </c>
      <c r="AH1061" s="20">
        <f>IF(A1061="",0,IF(AND(OR('CSV抽出'!$C$4="",A1061&gt;='CSV抽出'!$C$4),OR('CSV抽出'!$C$5="",A1061&lt;='CSV抽出'!$C$5),OR('CSV抽出'!$C$6="すべて",'CSV抽出'!$C$6="",D1061='CSV抽出'!$C$6),OR('CSV抽出'!$C$7="",B1061&amp;""='CSV抽出'!$C$7&amp;"")),1,0))</f>
        <v/>
      </c>
      <c r="AI1061" s="20">
        <f>IF(AH1061=1,SUM($AH$5:AH1061),"")</f>
        <v/>
      </c>
      <c r="AJ1061" s="20">
        <f>IF(OR(S1061="",'報告書'!$C$4=""),"",IF(S1061&amp;""='報告書'!$C$4&amp;"",COUNTIF($S$5:S1061,'報告書'!$C$4),""))</f>
        <v/>
      </c>
      <c r="AK1061" s="20" t="n"/>
      <c r="AL1061" s="47" t="n"/>
      <c r="AM1061" s="47" t="n"/>
      <c r="AN1061" s="53" t="n"/>
      <c r="AO1061" s="47" t="n"/>
      <c r="AP1061" s="47" t="n"/>
      <c r="AQ1061" s="47" t="n"/>
      <c r="AR1061" s="47" t="n"/>
      <c r="AS1061" s="47" t="n"/>
      <c r="AT1061" s="47" t="n"/>
      <c r="AU1061" s="47" t="n"/>
      <c r="AV1061" s="47" t="n"/>
      <c r="AW1061" s="52" t="n"/>
    </row>
    <row r="1062">
      <c r="A1062" s="48" t="n"/>
      <c r="B1062" s="52" t="n"/>
      <c r="C1062" s="47">
        <f>IF(B1062="","",IFERROR(INDEX('隊員マスタ'!$B$5:$B$204,MATCH(B1062&amp;"",'隊員マスタ'!$F$5:$F$204,0)),IF(AK1062="","番号なし",AK1062)))</f>
        <v/>
      </c>
      <c r="D1062" s="47" t="n"/>
      <c r="E1062" s="47" t="n"/>
      <c r="F1062" s="47" t="n"/>
      <c r="G1062" s="47" t="n"/>
      <c r="H1062" s="47" t="n"/>
      <c r="I1062" s="47" t="n"/>
      <c r="J1062" s="47" t="n"/>
      <c r="K1062" s="47" t="n"/>
      <c r="L1062" s="47" t="n"/>
      <c r="M1062" s="47" t="n"/>
      <c r="N1062" s="47" t="n"/>
      <c r="O1062" s="47" t="n"/>
      <c r="P1062" s="47" t="n"/>
      <c r="Q1062" s="47" t="n"/>
      <c r="R1062" s="47" t="n"/>
      <c r="S1062" s="47" t="n"/>
      <c r="T1062" s="47" t="n"/>
      <c r="U1062" s="53" t="n"/>
      <c r="V1062" s="53" t="n"/>
      <c r="W1062" s="47" t="n"/>
      <c r="X1062" s="47" t="n"/>
      <c r="Y1062" s="47" t="n"/>
      <c r="Z1062" s="47" t="n"/>
      <c r="AA1062" s="47" t="n"/>
      <c r="AB1062" s="47" t="n"/>
      <c r="AC1062" s="47" t="n"/>
      <c r="AD1062" s="47" t="n"/>
      <c r="AE1062" s="47" t="n"/>
      <c r="AF1062" s="20">
        <f>IF(A1062="","",YEAR(EDATE(A1062,-3)))</f>
        <v/>
      </c>
      <c r="AG1062" s="20">
        <f>IF(OR(B1062="",'経歴簿'!$C$4=""),"",IF(B1062&amp;""='経歴簿'!$C$4&amp;"",MAX($AG$4:AG1061)+1,""))</f>
        <v/>
      </c>
      <c r="AH1062" s="20">
        <f>IF(A1062="",0,IF(AND(OR('CSV抽出'!$C$4="",A1062&gt;='CSV抽出'!$C$4),OR('CSV抽出'!$C$5="",A1062&lt;='CSV抽出'!$C$5),OR('CSV抽出'!$C$6="すべて",'CSV抽出'!$C$6="",D1062='CSV抽出'!$C$6),OR('CSV抽出'!$C$7="",B1062&amp;""='CSV抽出'!$C$7&amp;"")),1,0))</f>
        <v/>
      </c>
      <c r="AI1062" s="20">
        <f>IF(AH1062=1,SUM($AH$5:AH1062),"")</f>
        <v/>
      </c>
      <c r="AJ1062" s="20">
        <f>IF(OR(S1062="",'報告書'!$C$4=""),"",IF(S1062&amp;""='報告書'!$C$4&amp;"",COUNTIF($S$5:S1062,'報告書'!$C$4),""))</f>
        <v/>
      </c>
      <c r="AK1062" s="20" t="n"/>
      <c r="AL1062" s="47" t="n"/>
      <c r="AM1062" s="47" t="n"/>
      <c r="AN1062" s="53" t="n"/>
      <c r="AO1062" s="47" t="n"/>
      <c r="AP1062" s="47" t="n"/>
      <c r="AQ1062" s="47" t="n"/>
      <c r="AR1062" s="47" t="n"/>
      <c r="AS1062" s="47" t="n"/>
      <c r="AT1062" s="47" t="n"/>
      <c r="AU1062" s="47" t="n"/>
      <c r="AV1062" s="47" t="n"/>
      <c r="AW1062" s="52" t="n"/>
    </row>
    <row r="1063">
      <c r="A1063" s="48" t="n"/>
      <c r="B1063" s="52" t="n"/>
      <c r="C1063" s="47">
        <f>IF(B1063="","",IFERROR(INDEX('隊員マスタ'!$B$5:$B$204,MATCH(B1063&amp;"",'隊員マスタ'!$F$5:$F$204,0)),IF(AK1063="","番号なし",AK1063)))</f>
        <v/>
      </c>
      <c r="D1063" s="47" t="n"/>
      <c r="E1063" s="47" t="n"/>
      <c r="F1063" s="47" t="n"/>
      <c r="G1063" s="47" t="n"/>
      <c r="H1063" s="47" t="n"/>
      <c r="I1063" s="47" t="n"/>
      <c r="J1063" s="47" t="n"/>
      <c r="K1063" s="47" t="n"/>
      <c r="L1063" s="47" t="n"/>
      <c r="M1063" s="47" t="n"/>
      <c r="N1063" s="47" t="n"/>
      <c r="O1063" s="47" t="n"/>
      <c r="P1063" s="47" t="n"/>
      <c r="Q1063" s="47" t="n"/>
      <c r="R1063" s="47" t="n"/>
      <c r="S1063" s="47" t="n"/>
      <c r="T1063" s="47" t="n"/>
      <c r="U1063" s="53" t="n"/>
      <c r="V1063" s="53" t="n"/>
      <c r="W1063" s="47" t="n"/>
      <c r="X1063" s="47" t="n"/>
      <c r="Y1063" s="47" t="n"/>
      <c r="Z1063" s="47" t="n"/>
      <c r="AA1063" s="47" t="n"/>
      <c r="AB1063" s="47" t="n"/>
      <c r="AC1063" s="47" t="n"/>
      <c r="AD1063" s="47" t="n"/>
      <c r="AE1063" s="47" t="n"/>
      <c r="AF1063" s="20">
        <f>IF(A1063="","",YEAR(EDATE(A1063,-3)))</f>
        <v/>
      </c>
      <c r="AG1063" s="20">
        <f>IF(OR(B1063="",'経歴簿'!$C$4=""),"",IF(B1063&amp;""='経歴簿'!$C$4&amp;"",MAX($AG$4:AG1062)+1,""))</f>
        <v/>
      </c>
      <c r="AH1063" s="20">
        <f>IF(A1063="",0,IF(AND(OR('CSV抽出'!$C$4="",A1063&gt;='CSV抽出'!$C$4),OR('CSV抽出'!$C$5="",A1063&lt;='CSV抽出'!$C$5),OR('CSV抽出'!$C$6="すべて",'CSV抽出'!$C$6="",D1063='CSV抽出'!$C$6),OR('CSV抽出'!$C$7="",B1063&amp;""='CSV抽出'!$C$7&amp;"")),1,0))</f>
        <v/>
      </c>
      <c r="AI1063" s="20">
        <f>IF(AH1063=1,SUM($AH$5:AH1063),"")</f>
        <v/>
      </c>
      <c r="AJ1063" s="20">
        <f>IF(OR(S1063="",'報告書'!$C$4=""),"",IF(S1063&amp;""='報告書'!$C$4&amp;"",COUNTIF($S$5:S1063,'報告書'!$C$4),""))</f>
        <v/>
      </c>
      <c r="AK1063" s="20" t="n"/>
      <c r="AL1063" s="47" t="n"/>
      <c r="AM1063" s="47" t="n"/>
      <c r="AN1063" s="53" t="n"/>
      <c r="AO1063" s="47" t="n"/>
      <c r="AP1063" s="47" t="n"/>
      <c r="AQ1063" s="47" t="n"/>
      <c r="AR1063" s="47" t="n"/>
      <c r="AS1063" s="47" t="n"/>
      <c r="AT1063" s="47" t="n"/>
      <c r="AU1063" s="47" t="n"/>
      <c r="AV1063" s="47" t="n"/>
      <c r="AW1063" s="52" t="n"/>
    </row>
    <row r="1064">
      <c r="A1064" s="48" t="n"/>
      <c r="B1064" s="52" t="n"/>
      <c r="C1064" s="47">
        <f>IF(B1064="","",IFERROR(INDEX('隊員マスタ'!$B$5:$B$204,MATCH(B1064&amp;"",'隊員マスタ'!$F$5:$F$204,0)),IF(AK1064="","番号なし",AK1064)))</f>
        <v/>
      </c>
      <c r="D1064" s="47" t="n"/>
      <c r="E1064" s="47" t="n"/>
      <c r="F1064" s="47" t="n"/>
      <c r="G1064" s="47" t="n"/>
      <c r="H1064" s="47" t="n"/>
      <c r="I1064" s="47" t="n"/>
      <c r="J1064" s="47" t="n"/>
      <c r="K1064" s="47" t="n"/>
      <c r="L1064" s="47" t="n"/>
      <c r="M1064" s="47" t="n"/>
      <c r="N1064" s="47" t="n"/>
      <c r="O1064" s="47" t="n"/>
      <c r="P1064" s="47" t="n"/>
      <c r="Q1064" s="47" t="n"/>
      <c r="R1064" s="47" t="n"/>
      <c r="S1064" s="47" t="n"/>
      <c r="T1064" s="47" t="n"/>
      <c r="U1064" s="53" t="n"/>
      <c r="V1064" s="53" t="n"/>
      <c r="W1064" s="47" t="n"/>
      <c r="X1064" s="47" t="n"/>
      <c r="Y1064" s="47" t="n"/>
      <c r="Z1064" s="47" t="n"/>
      <c r="AA1064" s="47" t="n"/>
      <c r="AB1064" s="47" t="n"/>
      <c r="AC1064" s="47" t="n"/>
      <c r="AD1064" s="47" t="n"/>
      <c r="AE1064" s="47" t="n"/>
      <c r="AF1064" s="20">
        <f>IF(A1064="","",YEAR(EDATE(A1064,-3)))</f>
        <v/>
      </c>
      <c r="AG1064" s="20">
        <f>IF(OR(B1064="",'経歴簿'!$C$4=""),"",IF(B1064&amp;""='経歴簿'!$C$4&amp;"",MAX($AG$4:AG1063)+1,""))</f>
        <v/>
      </c>
      <c r="AH1064" s="20">
        <f>IF(A1064="",0,IF(AND(OR('CSV抽出'!$C$4="",A1064&gt;='CSV抽出'!$C$4),OR('CSV抽出'!$C$5="",A1064&lt;='CSV抽出'!$C$5),OR('CSV抽出'!$C$6="すべて",'CSV抽出'!$C$6="",D1064='CSV抽出'!$C$6),OR('CSV抽出'!$C$7="",B1064&amp;""='CSV抽出'!$C$7&amp;"")),1,0))</f>
        <v/>
      </c>
      <c r="AI1064" s="20">
        <f>IF(AH1064=1,SUM($AH$5:AH1064),"")</f>
        <v/>
      </c>
      <c r="AJ1064" s="20">
        <f>IF(OR(S1064="",'報告書'!$C$4=""),"",IF(S1064&amp;""='報告書'!$C$4&amp;"",COUNTIF($S$5:S1064,'報告書'!$C$4),""))</f>
        <v/>
      </c>
      <c r="AK1064" s="20" t="n"/>
      <c r="AL1064" s="47" t="n"/>
      <c r="AM1064" s="47" t="n"/>
      <c r="AN1064" s="53" t="n"/>
      <c r="AO1064" s="47" t="n"/>
      <c r="AP1064" s="47" t="n"/>
      <c r="AQ1064" s="47" t="n"/>
      <c r="AR1064" s="47" t="n"/>
      <c r="AS1064" s="47" t="n"/>
      <c r="AT1064" s="47" t="n"/>
      <c r="AU1064" s="47" t="n"/>
      <c r="AV1064" s="47" t="n"/>
      <c r="AW1064" s="52" t="n"/>
    </row>
    <row r="1065">
      <c r="A1065" s="48" t="n"/>
      <c r="B1065" s="52" t="n"/>
      <c r="C1065" s="47">
        <f>IF(B1065="","",IFERROR(INDEX('隊員マスタ'!$B$5:$B$204,MATCH(B1065&amp;"",'隊員マスタ'!$F$5:$F$204,0)),IF(AK1065="","番号なし",AK1065)))</f>
        <v/>
      </c>
      <c r="D1065" s="47" t="n"/>
      <c r="E1065" s="47" t="n"/>
      <c r="F1065" s="47" t="n"/>
      <c r="G1065" s="47" t="n"/>
      <c r="H1065" s="47" t="n"/>
      <c r="I1065" s="47" t="n"/>
      <c r="J1065" s="47" t="n"/>
      <c r="K1065" s="47" t="n"/>
      <c r="L1065" s="47" t="n"/>
      <c r="M1065" s="47" t="n"/>
      <c r="N1065" s="47" t="n"/>
      <c r="O1065" s="47" t="n"/>
      <c r="P1065" s="47" t="n"/>
      <c r="Q1065" s="47" t="n"/>
      <c r="R1065" s="47" t="n"/>
      <c r="S1065" s="47" t="n"/>
      <c r="T1065" s="47" t="n"/>
      <c r="U1065" s="53" t="n"/>
      <c r="V1065" s="53" t="n"/>
      <c r="W1065" s="47" t="n"/>
      <c r="X1065" s="47" t="n"/>
      <c r="Y1065" s="47" t="n"/>
      <c r="Z1065" s="47" t="n"/>
      <c r="AA1065" s="47" t="n"/>
      <c r="AB1065" s="47" t="n"/>
      <c r="AC1065" s="47" t="n"/>
      <c r="AD1065" s="47" t="n"/>
      <c r="AE1065" s="47" t="n"/>
      <c r="AF1065" s="20">
        <f>IF(A1065="","",YEAR(EDATE(A1065,-3)))</f>
        <v/>
      </c>
      <c r="AG1065" s="20">
        <f>IF(OR(B1065="",'経歴簿'!$C$4=""),"",IF(B1065&amp;""='経歴簿'!$C$4&amp;"",MAX($AG$4:AG1064)+1,""))</f>
        <v/>
      </c>
      <c r="AH1065" s="20">
        <f>IF(A1065="",0,IF(AND(OR('CSV抽出'!$C$4="",A1065&gt;='CSV抽出'!$C$4),OR('CSV抽出'!$C$5="",A1065&lt;='CSV抽出'!$C$5),OR('CSV抽出'!$C$6="すべて",'CSV抽出'!$C$6="",D1065='CSV抽出'!$C$6),OR('CSV抽出'!$C$7="",B1065&amp;""='CSV抽出'!$C$7&amp;"")),1,0))</f>
        <v/>
      </c>
      <c r="AI1065" s="20">
        <f>IF(AH1065=1,SUM($AH$5:AH1065),"")</f>
        <v/>
      </c>
      <c r="AJ1065" s="20">
        <f>IF(OR(S1065="",'報告書'!$C$4=""),"",IF(S1065&amp;""='報告書'!$C$4&amp;"",COUNTIF($S$5:S1065,'報告書'!$C$4),""))</f>
        <v/>
      </c>
      <c r="AK1065" s="20" t="n"/>
      <c r="AL1065" s="47" t="n"/>
      <c r="AM1065" s="47" t="n"/>
      <c r="AN1065" s="53" t="n"/>
      <c r="AO1065" s="47" t="n"/>
      <c r="AP1065" s="47" t="n"/>
      <c r="AQ1065" s="47" t="n"/>
      <c r="AR1065" s="47" t="n"/>
      <c r="AS1065" s="47" t="n"/>
      <c r="AT1065" s="47" t="n"/>
      <c r="AU1065" s="47" t="n"/>
      <c r="AV1065" s="47" t="n"/>
      <c r="AW1065" s="52" t="n"/>
    </row>
    <row r="1066">
      <c r="A1066" s="48" t="n"/>
      <c r="B1066" s="52" t="n"/>
      <c r="C1066" s="47">
        <f>IF(B1066="","",IFERROR(INDEX('隊員マスタ'!$B$5:$B$204,MATCH(B1066&amp;"",'隊員マスタ'!$F$5:$F$204,0)),IF(AK1066="","番号なし",AK1066)))</f>
        <v/>
      </c>
      <c r="D1066" s="47" t="n"/>
      <c r="E1066" s="47" t="n"/>
      <c r="F1066" s="47" t="n"/>
      <c r="G1066" s="47" t="n"/>
      <c r="H1066" s="47" t="n"/>
      <c r="I1066" s="47" t="n"/>
      <c r="J1066" s="47" t="n"/>
      <c r="K1066" s="47" t="n"/>
      <c r="L1066" s="47" t="n"/>
      <c r="M1066" s="47" t="n"/>
      <c r="N1066" s="47" t="n"/>
      <c r="O1066" s="47" t="n"/>
      <c r="P1066" s="47" t="n"/>
      <c r="Q1066" s="47" t="n"/>
      <c r="R1066" s="47" t="n"/>
      <c r="S1066" s="47" t="n"/>
      <c r="T1066" s="47" t="n"/>
      <c r="U1066" s="53" t="n"/>
      <c r="V1066" s="53" t="n"/>
      <c r="W1066" s="47" t="n"/>
      <c r="X1066" s="47" t="n"/>
      <c r="Y1066" s="47" t="n"/>
      <c r="Z1066" s="47" t="n"/>
      <c r="AA1066" s="47" t="n"/>
      <c r="AB1066" s="47" t="n"/>
      <c r="AC1066" s="47" t="n"/>
      <c r="AD1066" s="47" t="n"/>
      <c r="AE1066" s="47" t="n"/>
      <c r="AF1066" s="20">
        <f>IF(A1066="","",YEAR(EDATE(A1066,-3)))</f>
        <v/>
      </c>
      <c r="AG1066" s="20">
        <f>IF(OR(B1066="",'経歴簿'!$C$4=""),"",IF(B1066&amp;""='経歴簿'!$C$4&amp;"",MAX($AG$4:AG1065)+1,""))</f>
        <v/>
      </c>
      <c r="AH1066" s="20">
        <f>IF(A1066="",0,IF(AND(OR('CSV抽出'!$C$4="",A1066&gt;='CSV抽出'!$C$4),OR('CSV抽出'!$C$5="",A1066&lt;='CSV抽出'!$C$5),OR('CSV抽出'!$C$6="すべて",'CSV抽出'!$C$6="",D1066='CSV抽出'!$C$6),OR('CSV抽出'!$C$7="",B1066&amp;""='CSV抽出'!$C$7&amp;"")),1,0))</f>
        <v/>
      </c>
      <c r="AI1066" s="20">
        <f>IF(AH1066=1,SUM($AH$5:AH1066),"")</f>
        <v/>
      </c>
      <c r="AJ1066" s="20">
        <f>IF(OR(S1066="",'報告書'!$C$4=""),"",IF(S1066&amp;""='報告書'!$C$4&amp;"",COUNTIF($S$5:S1066,'報告書'!$C$4),""))</f>
        <v/>
      </c>
      <c r="AK1066" s="20" t="n"/>
      <c r="AL1066" s="47" t="n"/>
      <c r="AM1066" s="47" t="n"/>
      <c r="AN1066" s="53" t="n"/>
      <c r="AO1066" s="47" t="n"/>
      <c r="AP1066" s="47" t="n"/>
      <c r="AQ1066" s="47" t="n"/>
      <c r="AR1066" s="47" t="n"/>
      <c r="AS1066" s="47" t="n"/>
      <c r="AT1066" s="47" t="n"/>
      <c r="AU1066" s="47" t="n"/>
      <c r="AV1066" s="47" t="n"/>
      <c r="AW1066" s="52" t="n"/>
    </row>
    <row r="1067">
      <c r="A1067" s="48" t="n"/>
      <c r="B1067" s="52" t="n"/>
      <c r="C1067" s="47">
        <f>IF(B1067="","",IFERROR(INDEX('隊員マスタ'!$B$5:$B$204,MATCH(B1067&amp;"",'隊員マスタ'!$F$5:$F$204,0)),IF(AK1067="","番号なし",AK1067)))</f>
        <v/>
      </c>
      <c r="D1067" s="47" t="n"/>
      <c r="E1067" s="47" t="n"/>
      <c r="F1067" s="47" t="n"/>
      <c r="G1067" s="47" t="n"/>
      <c r="H1067" s="47" t="n"/>
      <c r="I1067" s="47" t="n"/>
      <c r="J1067" s="47" t="n"/>
      <c r="K1067" s="47" t="n"/>
      <c r="L1067" s="47" t="n"/>
      <c r="M1067" s="47" t="n"/>
      <c r="N1067" s="47" t="n"/>
      <c r="O1067" s="47" t="n"/>
      <c r="P1067" s="47" t="n"/>
      <c r="Q1067" s="47" t="n"/>
      <c r="R1067" s="47" t="n"/>
      <c r="S1067" s="47" t="n"/>
      <c r="T1067" s="47" t="n"/>
      <c r="U1067" s="53" t="n"/>
      <c r="V1067" s="53" t="n"/>
      <c r="W1067" s="47" t="n"/>
      <c r="X1067" s="47" t="n"/>
      <c r="Y1067" s="47" t="n"/>
      <c r="Z1067" s="47" t="n"/>
      <c r="AA1067" s="47" t="n"/>
      <c r="AB1067" s="47" t="n"/>
      <c r="AC1067" s="47" t="n"/>
      <c r="AD1067" s="47" t="n"/>
      <c r="AE1067" s="47" t="n"/>
      <c r="AF1067" s="20">
        <f>IF(A1067="","",YEAR(EDATE(A1067,-3)))</f>
        <v/>
      </c>
      <c r="AG1067" s="20">
        <f>IF(OR(B1067="",'経歴簿'!$C$4=""),"",IF(B1067&amp;""='経歴簿'!$C$4&amp;"",MAX($AG$4:AG1066)+1,""))</f>
        <v/>
      </c>
      <c r="AH1067" s="20">
        <f>IF(A1067="",0,IF(AND(OR('CSV抽出'!$C$4="",A1067&gt;='CSV抽出'!$C$4),OR('CSV抽出'!$C$5="",A1067&lt;='CSV抽出'!$C$5),OR('CSV抽出'!$C$6="すべて",'CSV抽出'!$C$6="",D1067='CSV抽出'!$C$6),OR('CSV抽出'!$C$7="",B1067&amp;""='CSV抽出'!$C$7&amp;"")),1,0))</f>
        <v/>
      </c>
      <c r="AI1067" s="20">
        <f>IF(AH1067=1,SUM($AH$5:AH1067),"")</f>
        <v/>
      </c>
      <c r="AJ1067" s="20">
        <f>IF(OR(S1067="",'報告書'!$C$4=""),"",IF(S1067&amp;""='報告書'!$C$4&amp;"",COUNTIF($S$5:S1067,'報告書'!$C$4),""))</f>
        <v/>
      </c>
      <c r="AK1067" s="20" t="n"/>
      <c r="AL1067" s="47" t="n"/>
      <c r="AM1067" s="47" t="n"/>
      <c r="AN1067" s="53" t="n"/>
      <c r="AO1067" s="47" t="n"/>
      <c r="AP1067" s="47" t="n"/>
      <c r="AQ1067" s="47" t="n"/>
      <c r="AR1067" s="47" t="n"/>
      <c r="AS1067" s="47" t="n"/>
      <c r="AT1067" s="47" t="n"/>
      <c r="AU1067" s="47" t="n"/>
      <c r="AV1067" s="47" t="n"/>
      <c r="AW1067" s="52" t="n"/>
    </row>
    <row r="1068">
      <c r="A1068" s="48" t="n"/>
      <c r="B1068" s="52" t="n"/>
      <c r="C1068" s="47">
        <f>IF(B1068="","",IFERROR(INDEX('隊員マスタ'!$B$5:$B$204,MATCH(B1068&amp;"",'隊員マスタ'!$F$5:$F$204,0)),IF(AK1068="","番号なし",AK1068)))</f>
        <v/>
      </c>
      <c r="D1068" s="47" t="n"/>
      <c r="E1068" s="47" t="n"/>
      <c r="F1068" s="47" t="n"/>
      <c r="G1068" s="47" t="n"/>
      <c r="H1068" s="47" t="n"/>
      <c r="I1068" s="47" t="n"/>
      <c r="J1068" s="47" t="n"/>
      <c r="K1068" s="47" t="n"/>
      <c r="L1068" s="47" t="n"/>
      <c r="M1068" s="47" t="n"/>
      <c r="N1068" s="47" t="n"/>
      <c r="O1068" s="47" t="n"/>
      <c r="P1068" s="47" t="n"/>
      <c r="Q1068" s="47" t="n"/>
      <c r="R1068" s="47" t="n"/>
      <c r="S1068" s="47" t="n"/>
      <c r="T1068" s="47" t="n"/>
      <c r="U1068" s="53" t="n"/>
      <c r="V1068" s="53" t="n"/>
      <c r="W1068" s="47" t="n"/>
      <c r="X1068" s="47" t="n"/>
      <c r="Y1068" s="47" t="n"/>
      <c r="Z1068" s="47" t="n"/>
      <c r="AA1068" s="47" t="n"/>
      <c r="AB1068" s="47" t="n"/>
      <c r="AC1068" s="47" t="n"/>
      <c r="AD1068" s="47" t="n"/>
      <c r="AE1068" s="47" t="n"/>
      <c r="AF1068" s="20">
        <f>IF(A1068="","",YEAR(EDATE(A1068,-3)))</f>
        <v/>
      </c>
      <c r="AG1068" s="20">
        <f>IF(OR(B1068="",'経歴簿'!$C$4=""),"",IF(B1068&amp;""='経歴簿'!$C$4&amp;"",MAX($AG$4:AG1067)+1,""))</f>
        <v/>
      </c>
      <c r="AH1068" s="20">
        <f>IF(A1068="",0,IF(AND(OR('CSV抽出'!$C$4="",A1068&gt;='CSV抽出'!$C$4),OR('CSV抽出'!$C$5="",A1068&lt;='CSV抽出'!$C$5),OR('CSV抽出'!$C$6="すべて",'CSV抽出'!$C$6="",D1068='CSV抽出'!$C$6),OR('CSV抽出'!$C$7="",B1068&amp;""='CSV抽出'!$C$7&amp;"")),1,0))</f>
        <v/>
      </c>
      <c r="AI1068" s="20">
        <f>IF(AH1068=1,SUM($AH$5:AH1068),"")</f>
        <v/>
      </c>
      <c r="AJ1068" s="20">
        <f>IF(OR(S1068="",'報告書'!$C$4=""),"",IF(S1068&amp;""='報告書'!$C$4&amp;"",COUNTIF($S$5:S1068,'報告書'!$C$4),""))</f>
        <v/>
      </c>
      <c r="AK1068" s="20" t="n"/>
      <c r="AL1068" s="47" t="n"/>
      <c r="AM1068" s="47" t="n"/>
      <c r="AN1068" s="53" t="n"/>
      <c r="AO1068" s="47" t="n"/>
      <c r="AP1068" s="47" t="n"/>
      <c r="AQ1068" s="47" t="n"/>
      <c r="AR1068" s="47" t="n"/>
      <c r="AS1068" s="47" t="n"/>
      <c r="AT1068" s="47" t="n"/>
      <c r="AU1068" s="47" t="n"/>
      <c r="AV1068" s="47" t="n"/>
      <c r="AW1068" s="52" t="n"/>
    </row>
    <row r="1069">
      <c r="A1069" s="48" t="n"/>
      <c r="B1069" s="52" t="n"/>
      <c r="C1069" s="47">
        <f>IF(B1069="","",IFERROR(INDEX('隊員マスタ'!$B$5:$B$204,MATCH(B1069&amp;"",'隊員マスタ'!$F$5:$F$204,0)),IF(AK1069="","番号なし",AK1069)))</f>
        <v/>
      </c>
      <c r="D1069" s="47" t="n"/>
      <c r="E1069" s="47" t="n"/>
      <c r="F1069" s="47" t="n"/>
      <c r="G1069" s="47" t="n"/>
      <c r="H1069" s="47" t="n"/>
      <c r="I1069" s="47" t="n"/>
      <c r="J1069" s="47" t="n"/>
      <c r="K1069" s="47" t="n"/>
      <c r="L1069" s="47" t="n"/>
      <c r="M1069" s="47" t="n"/>
      <c r="N1069" s="47" t="n"/>
      <c r="O1069" s="47" t="n"/>
      <c r="P1069" s="47" t="n"/>
      <c r="Q1069" s="47" t="n"/>
      <c r="R1069" s="47" t="n"/>
      <c r="S1069" s="47" t="n"/>
      <c r="T1069" s="47" t="n"/>
      <c r="U1069" s="53" t="n"/>
      <c r="V1069" s="53" t="n"/>
      <c r="W1069" s="47" t="n"/>
      <c r="X1069" s="47" t="n"/>
      <c r="Y1069" s="47" t="n"/>
      <c r="Z1069" s="47" t="n"/>
      <c r="AA1069" s="47" t="n"/>
      <c r="AB1069" s="47" t="n"/>
      <c r="AC1069" s="47" t="n"/>
      <c r="AD1069" s="47" t="n"/>
      <c r="AE1069" s="47" t="n"/>
      <c r="AF1069" s="20">
        <f>IF(A1069="","",YEAR(EDATE(A1069,-3)))</f>
        <v/>
      </c>
      <c r="AG1069" s="20">
        <f>IF(OR(B1069="",'経歴簿'!$C$4=""),"",IF(B1069&amp;""='経歴簿'!$C$4&amp;"",MAX($AG$4:AG1068)+1,""))</f>
        <v/>
      </c>
      <c r="AH1069" s="20">
        <f>IF(A1069="",0,IF(AND(OR('CSV抽出'!$C$4="",A1069&gt;='CSV抽出'!$C$4),OR('CSV抽出'!$C$5="",A1069&lt;='CSV抽出'!$C$5),OR('CSV抽出'!$C$6="すべて",'CSV抽出'!$C$6="",D1069='CSV抽出'!$C$6),OR('CSV抽出'!$C$7="",B1069&amp;""='CSV抽出'!$C$7&amp;"")),1,0))</f>
        <v/>
      </c>
      <c r="AI1069" s="20">
        <f>IF(AH1069=1,SUM($AH$5:AH1069),"")</f>
        <v/>
      </c>
      <c r="AJ1069" s="20">
        <f>IF(OR(S1069="",'報告書'!$C$4=""),"",IF(S1069&amp;""='報告書'!$C$4&amp;"",COUNTIF($S$5:S1069,'報告書'!$C$4),""))</f>
        <v/>
      </c>
      <c r="AK1069" s="20" t="n"/>
      <c r="AL1069" s="47" t="n"/>
      <c r="AM1069" s="47" t="n"/>
      <c r="AN1069" s="53" t="n"/>
      <c r="AO1069" s="47" t="n"/>
      <c r="AP1069" s="47" t="n"/>
      <c r="AQ1069" s="47" t="n"/>
      <c r="AR1069" s="47" t="n"/>
      <c r="AS1069" s="47" t="n"/>
      <c r="AT1069" s="47" t="n"/>
      <c r="AU1069" s="47" t="n"/>
      <c r="AV1069" s="47" t="n"/>
      <c r="AW1069" s="52" t="n"/>
    </row>
    <row r="1070">
      <c r="A1070" s="48" t="n"/>
      <c r="B1070" s="52" t="n"/>
      <c r="C1070" s="47">
        <f>IF(B1070="","",IFERROR(INDEX('隊員マスタ'!$B$5:$B$204,MATCH(B1070&amp;"",'隊員マスタ'!$F$5:$F$204,0)),IF(AK1070="","番号なし",AK1070)))</f>
        <v/>
      </c>
      <c r="D1070" s="47" t="n"/>
      <c r="E1070" s="47" t="n"/>
      <c r="F1070" s="47" t="n"/>
      <c r="G1070" s="47" t="n"/>
      <c r="H1070" s="47" t="n"/>
      <c r="I1070" s="47" t="n"/>
      <c r="J1070" s="47" t="n"/>
      <c r="K1070" s="47" t="n"/>
      <c r="L1070" s="47" t="n"/>
      <c r="M1070" s="47" t="n"/>
      <c r="N1070" s="47" t="n"/>
      <c r="O1070" s="47" t="n"/>
      <c r="P1070" s="47" t="n"/>
      <c r="Q1070" s="47" t="n"/>
      <c r="R1070" s="47" t="n"/>
      <c r="S1070" s="47" t="n"/>
      <c r="T1070" s="47" t="n"/>
      <c r="U1070" s="53" t="n"/>
      <c r="V1070" s="53" t="n"/>
      <c r="W1070" s="47" t="n"/>
      <c r="X1070" s="47" t="n"/>
      <c r="Y1070" s="47" t="n"/>
      <c r="Z1070" s="47" t="n"/>
      <c r="AA1070" s="47" t="n"/>
      <c r="AB1070" s="47" t="n"/>
      <c r="AC1070" s="47" t="n"/>
      <c r="AD1070" s="47" t="n"/>
      <c r="AE1070" s="47" t="n"/>
      <c r="AF1070" s="20">
        <f>IF(A1070="","",YEAR(EDATE(A1070,-3)))</f>
        <v/>
      </c>
      <c r="AG1070" s="20">
        <f>IF(OR(B1070="",'経歴簿'!$C$4=""),"",IF(B1070&amp;""='経歴簿'!$C$4&amp;"",MAX($AG$4:AG1069)+1,""))</f>
        <v/>
      </c>
      <c r="AH1070" s="20">
        <f>IF(A1070="",0,IF(AND(OR('CSV抽出'!$C$4="",A1070&gt;='CSV抽出'!$C$4),OR('CSV抽出'!$C$5="",A1070&lt;='CSV抽出'!$C$5),OR('CSV抽出'!$C$6="すべて",'CSV抽出'!$C$6="",D1070='CSV抽出'!$C$6),OR('CSV抽出'!$C$7="",B1070&amp;""='CSV抽出'!$C$7&amp;"")),1,0))</f>
        <v/>
      </c>
      <c r="AI1070" s="20">
        <f>IF(AH1070=1,SUM($AH$5:AH1070),"")</f>
        <v/>
      </c>
      <c r="AJ1070" s="20">
        <f>IF(OR(S1070="",'報告書'!$C$4=""),"",IF(S1070&amp;""='報告書'!$C$4&amp;"",COUNTIF($S$5:S1070,'報告書'!$C$4),""))</f>
        <v/>
      </c>
      <c r="AK1070" s="20" t="n"/>
      <c r="AL1070" s="47" t="n"/>
      <c r="AM1070" s="47" t="n"/>
      <c r="AN1070" s="53" t="n"/>
      <c r="AO1070" s="47" t="n"/>
      <c r="AP1070" s="47" t="n"/>
      <c r="AQ1070" s="47" t="n"/>
      <c r="AR1070" s="47" t="n"/>
      <c r="AS1070" s="47" t="n"/>
      <c r="AT1070" s="47" t="n"/>
      <c r="AU1070" s="47" t="n"/>
      <c r="AV1070" s="47" t="n"/>
      <c r="AW1070" s="52" t="n"/>
    </row>
    <row r="1071">
      <c r="A1071" s="48" t="n"/>
      <c r="B1071" s="52" t="n"/>
      <c r="C1071" s="47">
        <f>IF(B1071="","",IFERROR(INDEX('隊員マスタ'!$B$5:$B$204,MATCH(B1071&amp;"",'隊員マスタ'!$F$5:$F$204,0)),IF(AK1071="","番号なし",AK1071)))</f>
        <v/>
      </c>
      <c r="D1071" s="47" t="n"/>
      <c r="E1071" s="47" t="n"/>
      <c r="F1071" s="47" t="n"/>
      <c r="G1071" s="47" t="n"/>
      <c r="H1071" s="47" t="n"/>
      <c r="I1071" s="47" t="n"/>
      <c r="J1071" s="47" t="n"/>
      <c r="K1071" s="47" t="n"/>
      <c r="L1071" s="47" t="n"/>
      <c r="M1071" s="47" t="n"/>
      <c r="N1071" s="47" t="n"/>
      <c r="O1071" s="47" t="n"/>
      <c r="P1071" s="47" t="n"/>
      <c r="Q1071" s="47" t="n"/>
      <c r="R1071" s="47" t="n"/>
      <c r="S1071" s="47" t="n"/>
      <c r="T1071" s="47" t="n"/>
      <c r="U1071" s="53" t="n"/>
      <c r="V1071" s="53" t="n"/>
      <c r="W1071" s="47" t="n"/>
      <c r="X1071" s="47" t="n"/>
      <c r="Y1071" s="47" t="n"/>
      <c r="Z1071" s="47" t="n"/>
      <c r="AA1071" s="47" t="n"/>
      <c r="AB1071" s="47" t="n"/>
      <c r="AC1071" s="47" t="n"/>
      <c r="AD1071" s="47" t="n"/>
      <c r="AE1071" s="47" t="n"/>
      <c r="AF1071" s="20">
        <f>IF(A1071="","",YEAR(EDATE(A1071,-3)))</f>
        <v/>
      </c>
      <c r="AG1071" s="20">
        <f>IF(OR(B1071="",'経歴簿'!$C$4=""),"",IF(B1071&amp;""='経歴簿'!$C$4&amp;"",MAX($AG$4:AG1070)+1,""))</f>
        <v/>
      </c>
      <c r="AH1071" s="20">
        <f>IF(A1071="",0,IF(AND(OR('CSV抽出'!$C$4="",A1071&gt;='CSV抽出'!$C$4),OR('CSV抽出'!$C$5="",A1071&lt;='CSV抽出'!$C$5),OR('CSV抽出'!$C$6="すべて",'CSV抽出'!$C$6="",D1071='CSV抽出'!$C$6),OR('CSV抽出'!$C$7="",B1071&amp;""='CSV抽出'!$C$7&amp;"")),1,0))</f>
        <v/>
      </c>
      <c r="AI1071" s="20">
        <f>IF(AH1071=1,SUM($AH$5:AH1071),"")</f>
        <v/>
      </c>
      <c r="AJ1071" s="20">
        <f>IF(OR(S1071="",'報告書'!$C$4=""),"",IF(S1071&amp;""='報告書'!$C$4&amp;"",COUNTIF($S$5:S1071,'報告書'!$C$4),""))</f>
        <v/>
      </c>
      <c r="AK1071" s="20" t="n"/>
      <c r="AL1071" s="47" t="n"/>
      <c r="AM1071" s="47" t="n"/>
      <c r="AN1071" s="53" t="n"/>
      <c r="AO1071" s="47" t="n"/>
      <c r="AP1071" s="47" t="n"/>
      <c r="AQ1071" s="47" t="n"/>
      <c r="AR1071" s="47" t="n"/>
      <c r="AS1071" s="47" t="n"/>
      <c r="AT1071" s="47" t="n"/>
      <c r="AU1071" s="47" t="n"/>
      <c r="AV1071" s="47" t="n"/>
      <c r="AW1071" s="52" t="n"/>
    </row>
    <row r="1072">
      <c r="A1072" s="48" t="n"/>
      <c r="B1072" s="52" t="n"/>
      <c r="C1072" s="47">
        <f>IF(B1072="","",IFERROR(INDEX('隊員マスタ'!$B$5:$B$204,MATCH(B1072&amp;"",'隊員マスタ'!$F$5:$F$204,0)),IF(AK1072="","番号なし",AK1072)))</f>
        <v/>
      </c>
      <c r="D1072" s="47" t="n"/>
      <c r="E1072" s="47" t="n"/>
      <c r="F1072" s="47" t="n"/>
      <c r="G1072" s="47" t="n"/>
      <c r="H1072" s="47" t="n"/>
      <c r="I1072" s="47" t="n"/>
      <c r="J1072" s="47" t="n"/>
      <c r="K1072" s="47" t="n"/>
      <c r="L1072" s="47" t="n"/>
      <c r="M1072" s="47" t="n"/>
      <c r="N1072" s="47" t="n"/>
      <c r="O1072" s="47" t="n"/>
      <c r="P1072" s="47" t="n"/>
      <c r="Q1072" s="47" t="n"/>
      <c r="R1072" s="47" t="n"/>
      <c r="S1072" s="47" t="n"/>
      <c r="T1072" s="47" t="n"/>
      <c r="U1072" s="53" t="n"/>
      <c r="V1072" s="53" t="n"/>
      <c r="W1072" s="47" t="n"/>
      <c r="X1072" s="47" t="n"/>
      <c r="Y1072" s="47" t="n"/>
      <c r="Z1072" s="47" t="n"/>
      <c r="AA1072" s="47" t="n"/>
      <c r="AB1072" s="47" t="n"/>
      <c r="AC1072" s="47" t="n"/>
      <c r="AD1072" s="47" t="n"/>
      <c r="AE1072" s="47" t="n"/>
      <c r="AF1072" s="20">
        <f>IF(A1072="","",YEAR(EDATE(A1072,-3)))</f>
        <v/>
      </c>
      <c r="AG1072" s="20">
        <f>IF(OR(B1072="",'経歴簿'!$C$4=""),"",IF(B1072&amp;""='経歴簿'!$C$4&amp;"",MAX($AG$4:AG1071)+1,""))</f>
        <v/>
      </c>
      <c r="AH1072" s="20">
        <f>IF(A1072="",0,IF(AND(OR('CSV抽出'!$C$4="",A1072&gt;='CSV抽出'!$C$4),OR('CSV抽出'!$C$5="",A1072&lt;='CSV抽出'!$C$5),OR('CSV抽出'!$C$6="すべて",'CSV抽出'!$C$6="",D1072='CSV抽出'!$C$6),OR('CSV抽出'!$C$7="",B1072&amp;""='CSV抽出'!$C$7&amp;"")),1,0))</f>
        <v/>
      </c>
      <c r="AI1072" s="20">
        <f>IF(AH1072=1,SUM($AH$5:AH1072),"")</f>
        <v/>
      </c>
      <c r="AJ1072" s="20">
        <f>IF(OR(S1072="",'報告書'!$C$4=""),"",IF(S1072&amp;""='報告書'!$C$4&amp;"",COUNTIF($S$5:S1072,'報告書'!$C$4),""))</f>
        <v/>
      </c>
      <c r="AK1072" s="20" t="n"/>
      <c r="AL1072" s="47" t="n"/>
      <c r="AM1072" s="47" t="n"/>
      <c r="AN1072" s="53" t="n"/>
      <c r="AO1072" s="47" t="n"/>
      <c r="AP1072" s="47" t="n"/>
      <c r="AQ1072" s="47" t="n"/>
      <c r="AR1072" s="47" t="n"/>
      <c r="AS1072" s="47" t="n"/>
      <c r="AT1072" s="47" t="n"/>
      <c r="AU1072" s="47" t="n"/>
      <c r="AV1072" s="47" t="n"/>
      <c r="AW1072" s="52" t="n"/>
    </row>
    <row r="1073">
      <c r="A1073" s="48" t="n"/>
      <c r="B1073" s="52" t="n"/>
      <c r="C1073" s="47">
        <f>IF(B1073="","",IFERROR(INDEX('隊員マスタ'!$B$5:$B$204,MATCH(B1073&amp;"",'隊員マスタ'!$F$5:$F$204,0)),IF(AK1073="","番号なし",AK1073)))</f>
        <v/>
      </c>
      <c r="D1073" s="47" t="n"/>
      <c r="E1073" s="47" t="n"/>
      <c r="F1073" s="47" t="n"/>
      <c r="G1073" s="47" t="n"/>
      <c r="H1073" s="47" t="n"/>
      <c r="I1073" s="47" t="n"/>
      <c r="J1073" s="47" t="n"/>
      <c r="K1073" s="47" t="n"/>
      <c r="L1073" s="47" t="n"/>
      <c r="M1073" s="47" t="n"/>
      <c r="N1073" s="47" t="n"/>
      <c r="O1073" s="47" t="n"/>
      <c r="P1073" s="47" t="n"/>
      <c r="Q1073" s="47" t="n"/>
      <c r="R1073" s="47" t="n"/>
      <c r="S1073" s="47" t="n"/>
      <c r="T1073" s="47" t="n"/>
      <c r="U1073" s="53" t="n"/>
      <c r="V1073" s="53" t="n"/>
      <c r="W1073" s="47" t="n"/>
      <c r="X1073" s="47" t="n"/>
      <c r="Y1073" s="47" t="n"/>
      <c r="Z1073" s="47" t="n"/>
      <c r="AA1073" s="47" t="n"/>
      <c r="AB1073" s="47" t="n"/>
      <c r="AC1073" s="47" t="n"/>
      <c r="AD1073" s="47" t="n"/>
      <c r="AE1073" s="47" t="n"/>
      <c r="AF1073" s="20">
        <f>IF(A1073="","",YEAR(EDATE(A1073,-3)))</f>
        <v/>
      </c>
      <c r="AG1073" s="20">
        <f>IF(OR(B1073="",'経歴簿'!$C$4=""),"",IF(B1073&amp;""='経歴簿'!$C$4&amp;"",MAX($AG$4:AG1072)+1,""))</f>
        <v/>
      </c>
      <c r="AH1073" s="20">
        <f>IF(A1073="",0,IF(AND(OR('CSV抽出'!$C$4="",A1073&gt;='CSV抽出'!$C$4),OR('CSV抽出'!$C$5="",A1073&lt;='CSV抽出'!$C$5),OR('CSV抽出'!$C$6="すべて",'CSV抽出'!$C$6="",D1073='CSV抽出'!$C$6),OR('CSV抽出'!$C$7="",B1073&amp;""='CSV抽出'!$C$7&amp;"")),1,0))</f>
        <v/>
      </c>
      <c r="AI1073" s="20">
        <f>IF(AH1073=1,SUM($AH$5:AH1073),"")</f>
        <v/>
      </c>
      <c r="AJ1073" s="20">
        <f>IF(OR(S1073="",'報告書'!$C$4=""),"",IF(S1073&amp;""='報告書'!$C$4&amp;"",COUNTIF($S$5:S1073,'報告書'!$C$4),""))</f>
        <v/>
      </c>
      <c r="AK1073" s="20" t="n"/>
      <c r="AL1073" s="47" t="n"/>
      <c r="AM1073" s="47" t="n"/>
      <c r="AN1073" s="53" t="n"/>
      <c r="AO1073" s="47" t="n"/>
      <c r="AP1073" s="47" t="n"/>
      <c r="AQ1073" s="47" t="n"/>
      <c r="AR1073" s="47" t="n"/>
      <c r="AS1073" s="47" t="n"/>
      <c r="AT1073" s="47" t="n"/>
      <c r="AU1073" s="47" t="n"/>
      <c r="AV1073" s="47" t="n"/>
      <c r="AW1073" s="52" t="n"/>
    </row>
    <row r="1074">
      <c r="A1074" s="48" t="n"/>
      <c r="B1074" s="52" t="n"/>
      <c r="C1074" s="47">
        <f>IF(B1074="","",IFERROR(INDEX('隊員マスタ'!$B$5:$B$204,MATCH(B1074&amp;"",'隊員マスタ'!$F$5:$F$204,0)),IF(AK1074="","番号なし",AK1074)))</f>
        <v/>
      </c>
      <c r="D1074" s="47" t="n"/>
      <c r="E1074" s="47" t="n"/>
      <c r="F1074" s="47" t="n"/>
      <c r="G1074" s="47" t="n"/>
      <c r="H1074" s="47" t="n"/>
      <c r="I1074" s="47" t="n"/>
      <c r="J1074" s="47" t="n"/>
      <c r="K1074" s="47" t="n"/>
      <c r="L1074" s="47" t="n"/>
      <c r="M1074" s="47" t="n"/>
      <c r="N1074" s="47" t="n"/>
      <c r="O1074" s="47" t="n"/>
      <c r="P1074" s="47" t="n"/>
      <c r="Q1074" s="47" t="n"/>
      <c r="R1074" s="47" t="n"/>
      <c r="S1074" s="47" t="n"/>
      <c r="T1074" s="47" t="n"/>
      <c r="U1074" s="53" t="n"/>
      <c r="V1074" s="53" t="n"/>
      <c r="W1074" s="47" t="n"/>
      <c r="X1074" s="47" t="n"/>
      <c r="Y1074" s="47" t="n"/>
      <c r="Z1074" s="47" t="n"/>
      <c r="AA1074" s="47" t="n"/>
      <c r="AB1074" s="47" t="n"/>
      <c r="AC1074" s="47" t="n"/>
      <c r="AD1074" s="47" t="n"/>
      <c r="AE1074" s="47" t="n"/>
      <c r="AF1074" s="20">
        <f>IF(A1074="","",YEAR(EDATE(A1074,-3)))</f>
        <v/>
      </c>
      <c r="AG1074" s="20">
        <f>IF(OR(B1074="",'経歴簿'!$C$4=""),"",IF(B1074&amp;""='経歴簿'!$C$4&amp;"",MAX($AG$4:AG1073)+1,""))</f>
        <v/>
      </c>
      <c r="AH1074" s="20">
        <f>IF(A1074="",0,IF(AND(OR('CSV抽出'!$C$4="",A1074&gt;='CSV抽出'!$C$4),OR('CSV抽出'!$C$5="",A1074&lt;='CSV抽出'!$C$5),OR('CSV抽出'!$C$6="すべて",'CSV抽出'!$C$6="",D1074='CSV抽出'!$C$6),OR('CSV抽出'!$C$7="",B1074&amp;""='CSV抽出'!$C$7&amp;"")),1,0))</f>
        <v/>
      </c>
      <c r="AI1074" s="20">
        <f>IF(AH1074=1,SUM($AH$5:AH1074),"")</f>
        <v/>
      </c>
      <c r="AJ1074" s="20">
        <f>IF(OR(S1074="",'報告書'!$C$4=""),"",IF(S1074&amp;""='報告書'!$C$4&amp;"",COUNTIF($S$5:S1074,'報告書'!$C$4),""))</f>
        <v/>
      </c>
      <c r="AK1074" s="20" t="n"/>
      <c r="AL1074" s="47" t="n"/>
      <c r="AM1074" s="47" t="n"/>
      <c r="AN1074" s="53" t="n"/>
      <c r="AO1074" s="47" t="n"/>
      <c r="AP1074" s="47" t="n"/>
      <c r="AQ1074" s="47" t="n"/>
      <c r="AR1074" s="47" t="n"/>
      <c r="AS1074" s="47" t="n"/>
      <c r="AT1074" s="47" t="n"/>
      <c r="AU1074" s="47" t="n"/>
      <c r="AV1074" s="47" t="n"/>
      <c r="AW1074" s="52" t="n"/>
    </row>
    <row r="1075">
      <c r="A1075" s="48" t="n"/>
      <c r="B1075" s="52" t="n"/>
      <c r="C1075" s="47">
        <f>IF(B1075="","",IFERROR(INDEX('隊員マスタ'!$B$5:$B$204,MATCH(B1075&amp;"",'隊員マスタ'!$F$5:$F$204,0)),IF(AK1075="","番号なし",AK1075)))</f>
        <v/>
      </c>
      <c r="D1075" s="47" t="n"/>
      <c r="E1075" s="47" t="n"/>
      <c r="F1075" s="47" t="n"/>
      <c r="G1075" s="47" t="n"/>
      <c r="H1075" s="47" t="n"/>
      <c r="I1075" s="47" t="n"/>
      <c r="J1075" s="47" t="n"/>
      <c r="K1075" s="47" t="n"/>
      <c r="L1075" s="47" t="n"/>
      <c r="M1075" s="47" t="n"/>
      <c r="N1075" s="47" t="n"/>
      <c r="O1075" s="47" t="n"/>
      <c r="P1075" s="47" t="n"/>
      <c r="Q1075" s="47" t="n"/>
      <c r="R1075" s="47" t="n"/>
      <c r="S1075" s="47" t="n"/>
      <c r="T1075" s="47" t="n"/>
      <c r="U1075" s="53" t="n"/>
      <c r="V1075" s="53" t="n"/>
      <c r="W1075" s="47" t="n"/>
      <c r="X1075" s="47" t="n"/>
      <c r="Y1075" s="47" t="n"/>
      <c r="Z1075" s="47" t="n"/>
      <c r="AA1075" s="47" t="n"/>
      <c r="AB1075" s="47" t="n"/>
      <c r="AC1075" s="47" t="n"/>
      <c r="AD1075" s="47" t="n"/>
      <c r="AE1075" s="47" t="n"/>
      <c r="AF1075" s="20">
        <f>IF(A1075="","",YEAR(EDATE(A1075,-3)))</f>
        <v/>
      </c>
      <c r="AG1075" s="20">
        <f>IF(OR(B1075="",'経歴簿'!$C$4=""),"",IF(B1075&amp;""='経歴簿'!$C$4&amp;"",MAX($AG$4:AG1074)+1,""))</f>
        <v/>
      </c>
      <c r="AH1075" s="20">
        <f>IF(A1075="",0,IF(AND(OR('CSV抽出'!$C$4="",A1075&gt;='CSV抽出'!$C$4),OR('CSV抽出'!$C$5="",A1075&lt;='CSV抽出'!$C$5),OR('CSV抽出'!$C$6="すべて",'CSV抽出'!$C$6="",D1075='CSV抽出'!$C$6),OR('CSV抽出'!$C$7="",B1075&amp;""='CSV抽出'!$C$7&amp;"")),1,0))</f>
        <v/>
      </c>
      <c r="AI1075" s="20">
        <f>IF(AH1075=1,SUM($AH$5:AH1075),"")</f>
        <v/>
      </c>
      <c r="AJ1075" s="20">
        <f>IF(OR(S1075="",'報告書'!$C$4=""),"",IF(S1075&amp;""='報告書'!$C$4&amp;"",COUNTIF($S$5:S1075,'報告書'!$C$4),""))</f>
        <v/>
      </c>
      <c r="AK1075" s="20" t="n"/>
      <c r="AL1075" s="47" t="n"/>
      <c r="AM1075" s="47" t="n"/>
      <c r="AN1075" s="53" t="n"/>
      <c r="AO1075" s="47" t="n"/>
      <c r="AP1075" s="47" t="n"/>
      <c r="AQ1075" s="47" t="n"/>
      <c r="AR1075" s="47" t="n"/>
      <c r="AS1075" s="47" t="n"/>
      <c r="AT1075" s="47" t="n"/>
      <c r="AU1075" s="47" t="n"/>
      <c r="AV1075" s="47" t="n"/>
      <c r="AW1075" s="52" t="n"/>
    </row>
    <row r="1076">
      <c r="A1076" s="48" t="n"/>
      <c r="B1076" s="52" t="n"/>
      <c r="C1076" s="47">
        <f>IF(B1076="","",IFERROR(INDEX('隊員マスタ'!$B$5:$B$204,MATCH(B1076&amp;"",'隊員マスタ'!$F$5:$F$204,0)),IF(AK1076="","番号なし",AK1076)))</f>
        <v/>
      </c>
      <c r="D1076" s="47" t="n"/>
      <c r="E1076" s="47" t="n"/>
      <c r="F1076" s="47" t="n"/>
      <c r="G1076" s="47" t="n"/>
      <c r="H1076" s="47" t="n"/>
      <c r="I1076" s="47" t="n"/>
      <c r="J1076" s="47" t="n"/>
      <c r="K1076" s="47" t="n"/>
      <c r="L1076" s="47" t="n"/>
      <c r="M1076" s="47" t="n"/>
      <c r="N1076" s="47" t="n"/>
      <c r="O1076" s="47" t="n"/>
      <c r="P1076" s="47" t="n"/>
      <c r="Q1076" s="47" t="n"/>
      <c r="R1076" s="47" t="n"/>
      <c r="S1076" s="47" t="n"/>
      <c r="T1076" s="47" t="n"/>
      <c r="U1076" s="53" t="n"/>
      <c r="V1076" s="53" t="n"/>
      <c r="W1076" s="47" t="n"/>
      <c r="X1076" s="47" t="n"/>
      <c r="Y1076" s="47" t="n"/>
      <c r="Z1076" s="47" t="n"/>
      <c r="AA1076" s="47" t="n"/>
      <c r="AB1076" s="47" t="n"/>
      <c r="AC1076" s="47" t="n"/>
      <c r="AD1076" s="47" t="n"/>
      <c r="AE1076" s="47" t="n"/>
      <c r="AF1076" s="20">
        <f>IF(A1076="","",YEAR(EDATE(A1076,-3)))</f>
        <v/>
      </c>
      <c r="AG1076" s="20">
        <f>IF(OR(B1076="",'経歴簿'!$C$4=""),"",IF(B1076&amp;""='経歴簿'!$C$4&amp;"",MAX($AG$4:AG1075)+1,""))</f>
        <v/>
      </c>
      <c r="AH1076" s="20">
        <f>IF(A1076="",0,IF(AND(OR('CSV抽出'!$C$4="",A1076&gt;='CSV抽出'!$C$4),OR('CSV抽出'!$C$5="",A1076&lt;='CSV抽出'!$C$5),OR('CSV抽出'!$C$6="すべて",'CSV抽出'!$C$6="",D1076='CSV抽出'!$C$6),OR('CSV抽出'!$C$7="",B1076&amp;""='CSV抽出'!$C$7&amp;"")),1,0))</f>
        <v/>
      </c>
      <c r="AI1076" s="20">
        <f>IF(AH1076=1,SUM($AH$5:AH1076),"")</f>
        <v/>
      </c>
      <c r="AJ1076" s="20">
        <f>IF(OR(S1076="",'報告書'!$C$4=""),"",IF(S1076&amp;""='報告書'!$C$4&amp;"",COUNTIF($S$5:S1076,'報告書'!$C$4),""))</f>
        <v/>
      </c>
      <c r="AK1076" s="20" t="n"/>
      <c r="AL1076" s="47" t="n"/>
      <c r="AM1076" s="47" t="n"/>
      <c r="AN1076" s="53" t="n"/>
      <c r="AO1076" s="47" t="n"/>
      <c r="AP1076" s="47" t="n"/>
      <c r="AQ1076" s="47" t="n"/>
      <c r="AR1076" s="47" t="n"/>
      <c r="AS1076" s="47" t="n"/>
      <c r="AT1076" s="47" t="n"/>
      <c r="AU1076" s="47" t="n"/>
      <c r="AV1076" s="47" t="n"/>
      <c r="AW1076" s="52" t="n"/>
    </row>
    <row r="1077">
      <c r="A1077" s="48" t="n"/>
      <c r="B1077" s="52" t="n"/>
      <c r="C1077" s="47">
        <f>IF(B1077="","",IFERROR(INDEX('隊員マスタ'!$B$5:$B$204,MATCH(B1077&amp;"",'隊員マスタ'!$F$5:$F$204,0)),IF(AK1077="","番号なし",AK1077)))</f>
        <v/>
      </c>
      <c r="D1077" s="47" t="n"/>
      <c r="E1077" s="47" t="n"/>
      <c r="F1077" s="47" t="n"/>
      <c r="G1077" s="47" t="n"/>
      <c r="H1077" s="47" t="n"/>
      <c r="I1077" s="47" t="n"/>
      <c r="J1077" s="47" t="n"/>
      <c r="K1077" s="47" t="n"/>
      <c r="L1077" s="47" t="n"/>
      <c r="M1077" s="47" t="n"/>
      <c r="N1077" s="47" t="n"/>
      <c r="O1077" s="47" t="n"/>
      <c r="P1077" s="47" t="n"/>
      <c r="Q1077" s="47" t="n"/>
      <c r="R1077" s="47" t="n"/>
      <c r="S1077" s="47" t="n"/>
      <c r="T1077" s="47" t="n"/>
      <c r="U1077" s="53" t="n"/>
      <c r="V1077" s="53" t="n"/>
      <c r="W1077" s="47" t="n"/>
      <c r="X1077" s="47" t="n"/>
      <c r="Y1077" s="47" t="n"/>
      <c r="Z1077" s="47" t="n"/>
      <c r="AA1077" s="47" t="n"/>
      <c r="AB1077" s="47" t="n"/>
      <c r="AC1077" s="47" t="n"/>
      <c r="AD1077" s="47" t="n"/>
      <c r="AE1077" s="47" t="n"/>
      <c r="AF1077" s="20">
        <f>IF(A1077="","",YEAR(EDATE(A1077,-3)))</f>
        <v/>
      </c>
      <c r="AG1077" s="20">
        <f>IF(OR(B1077="",'経歴簿'!$C$4=""),"",IF(B1077&amp;""='経歴簿'!$C$4&amp;"",MAX($AG$4:AG1076)+1,""))</f>
        <v/>
      </c>
      <c r="AH1077" s="20">
        <f>IF(A1077="",0,IF(AND(OR('CSV抽出'!$C$4="",A1077&gt;='CSV抽出'!$C$4),OR('CSV抽出'!$C$5="",A1077&lt;='CSV抽出'!$C$5),OR('CSV抽出'!$C$6="すべて",'CSV抽出'!$C$6="",D1077='CSV抽出'!$C$6),OR('CSV抽出'!$C$7="",B1077&amp;""='CSV抽出'!$C$7&amp;"")),1,0))</f>
        <v/>
      </c>
      <c r="AI1077" s="20">
        <f>IF(AH1077=1,SUM($AH$5:AH1077),"")</f>
        <v/>
      </c>
      <c r="AJ1077" s="20">
        <f>IF(OR(S1077="",'報告書'!$C$4=""),"",IF(S1077&amp;""='報告書'!$C$4&amp;"",COUNTIF($S$5:S1077,'報告書'!$C$4),""))</f>
        <v/>
      </c>
      <c r="AK1077" s="20" t="n"/>
      <c r="AL1077" s="47" t="n"/>
      <c r="AM1077" s="47" t="n"/>
      <c r="AN1077" s="53" t="n"/>
      <c r="AO1077" s="47" t="n"/>
      <c r="AP1077" s="47" t="n"/>
      <c r="AQ1077" s="47" t="n"/>
      <c r="AR1077" s="47" t="n"/>
      <c r="AS1077" s="47" t="n"/>
      <c r="AT1077" s="47" t="n"/>
      <c r="AU1077" s="47" t="n"/>
      <c r="AV1077" s="47" t="n"/>
      <c r="AW1077" s="52" t="n"/>
    </row>
    <row r="1078">
      <c r="A1078" s="48" t="n"/>
      <c r="B1078" s="52" t="n"/>
      <c r="C1078" s="47">
        <f>IF(B1078="","",IFERROR(INDEX('隊員マスタ'!$B$5:$B$204,MATCH(B1078&amp;"",'隊員マスタ'!$F$5:$F$204,0)),IF(AK1078="","番号なし",AK1078)))</f>
        <v/>
      </c>
      <c r="D1078" s="47" t="n"/>
      <c r="E1078" s="47" t="n"/>
      <c r="F1078" s="47" t="n"/>
      <c r="G1078" s="47" t="n"/>
      <c r="H1078" s="47" t="n"/>
      <c r="I1078" s="47" t="n"/>
      <c r="J1078" s="47" t="n"/>
      <c r="K1078" s="47" t="n"/>
      <c r="L1078" s="47" t="n"/>
      <c r="M1078" s="47" t="n"/>
      <c r="N1078" s="47" t="n"/>
      <c r="O1078" s="47" t="n"/>
      <c r="P1078" s="47" t="n"/>
      <c r="Q1078" s="47" t="n"/>
      <c r="R1078" s="47" t="n"/>
      <c r="S1078" s="47" t="n"/>
      <c r="T1078" s="47" t="n"/>
      <c r="U1078" s="53" t="n"/>
      <c r="V1078" s="53" t="n"/>
      <c r="W1078" s="47" t="n"/>
      <c r="X1078" s="47" t="n"/>
      <c r="Y1078" s="47" t="n"/>
      <c r="Z1078" s="47" t="n"/>
      <c r="AA1078" s="47" t="n"/>
      <c r="AB1078" s="47" t="n"/>
      <c r="AC1078" s="47" t="n"/>
      <c r="AD1078" s="47" t="n"/>
      <c r="AE1078" s="47" t="n"/>
      <c r="AF1078" s="20">
        <f>IF(A1078="","",YEAR(EDATE(A1078,-3)))</f>
        <v/>
      </c>
      <c r="AG1078" s="20">
        <f>IF(OR(B1078="",'経歴簿'!$C$4=""),"",IF(B1078&amp;""='経歴簿'!$C$4&amp;"",MAX($AG$4:AG1077)+1,""))</f>
        <v/>
      </c>
      <c r="AH1078" s="20">
        <f>IF(A1078="",0,IF(AND(OR('CSV抽出'!$C$4="",A1078&gt;='CSV抽出'!$C$4),OR('CSV抽出'!$C$5="",A1078&lt;='CSV抽出'!$C$5),OR('CSV抽出'!$C$6="すべて",'CSV抽出'!$C$6="",D1078='CSV抽出'!$C$6),OR('CSV抽出'!$C$7="",B1078&amp;""='CSV抽出'!$C$7&amp;"")),1,0))</f>
        <v/>
      </c>
      <c r="AI1078" s="20">
        <f>IF(AH1078=1,SUM($AH$5:AH1078),"")</f>
        <v/>
      </c>
      <c r="AJ1078" s="20">
        <f>IF(OR(S1078="",'報告書'!$C$4=""),"",IF(S1078&amp;""='報告書'!$C$4&amp;"",COUNTIF($S$5:S1078,'報告書'!$C$4),""))</f>
        <v/>
      </c>
      <c r="AK1078" s="20" t="n"/>
      <c r="AL1078" s="47" t="n"/>
      <c r="AM1078" s="47" t="n"/>
      <c r="AN1078" s="53" t="n"/>
      <c r="AO1078" s="47" t="n"/>
      <c r="AP1078" s="47" t="n"/>
      <c r="AQ1078" s="47" t="n"/>
      <c r="AR1078" s="47" t="n"/>
      <c r="AS1078" s="47" t="n"/>
      <c r="AT1078" s="47" t="n"/>
      <c r="AU1078" s="47" t="n"/>
      <c r="AV1078" s="47" t="n"/>
      <c r="AW1078" s="52" t="n"/>
    </row>
    <row r="1079">
      <c r="A1079" s="48" t="n"/>
      <c r="B1079" s="52" t="n"/>
      <c r="C1079" s="47">
        <f>IF(B1079="","",IFERROR(INDEX('隊員マスタ'!$B$5:$B$204,MATCH(B1079&amp;"",'隊員マスタ'!$F$5:$F$204,0)),IF(AK1079="","番号なし",AK1079)))</f>
        <v/>
      </c>
      <c r="D1079" s="47" t="n"/>
      <c r="E1079" s="47" t="n"/>
      <c r="F1079" s="47" t="n"/>
      <c r="G1079" s="47" t="n"/>
      <c r="H1079" s="47" t="n"/>
      <c r="I1079" s="47" t="n"/>
      <c r="J1079" s="47" t="n"/>
      <c r="K1079" s="47" t="n"/>
      <c r="L1079" s="47" t="n"/>
      <c r="M1079" s="47" t="n"/>
      <c r="N1079" s="47" t="n"/>
      <c r="O1079" s="47" t="n"/>
      <c r="P1079" s="47" t="n"/>
      <c r="Q1079" s="47" t="n"/>
      <c r="R1079" s="47" t="n"/>
      <c r="S1079" s="47" t="n"/>
      <c r="T1079" s="47" t="n"/>
      <c r="U1079" s="53" t="n"/>
      <c r="V1079" s="53" t="n"/>
      <c r="W1079" s="47" t="n"/>
      <c r="X1079" s="47" t="n"/>
      <c r="Y1079" s="47" t="n"/>
      <c r="Z1079" s="47" t="n"/>
      <c r="AA1079" s="47" t="n"/>
      <c r="AB1079" s="47" t="n"/>
      <c r="AC1079" s="47" t="n"/>
      <c r="AD1079" s="47" t="n"/>
      <c r="AE1079" s="47" t="n"/>
      <c r="AF1079" s="20">
        <f>IF(A1079="","",YEAR(EDATE(A1079,-3)))</f>
        <v/>
      </c>
      <c r="AG1079" s="20">
        <f>IF(OR(B1079="",'経歴簿'!$C$4=""),"",IF(B1079&amp;""='経歴簿'!$C$4&amp;"",MAX($AG$4:AG1078)+1,""))</f>
        <v/>
      </c>
      <c r="AH1079" s="20">
        <f>IF(A1079="",0,IF(AND(OR('CSV抽出'!$C$4="",A1079&gt;='CSV抽出'!$C$4),OR('CSV抽出'!$C$5="",A1079&lt;='CSV抽出'!$C$5),OR('CSV抽出'!$C$6="すべて",'CSV抽出'!$C$6="",D1079='CSV抽出'!$C$6),OR('CSV抽出'!$C$7="",B1079&amp;""='CSV抽出'!$C$7&amp;"")),1,0))</f>
        <v/>
      </c>
      <c r="AI1079" s="20">
        <f>IF(AH1079=1,SUM($AH$5:AH1079),"")</f>
        <v/>
      </c>
      <c r="AJ1079" s="20">
        <f>IF(OR(S1079="",'報告書'!$C$4=""),"",IF(S1079&amp;""='報告書'!$C$4&amp;"",COUNTIF($S$5:S1079,'報告書'!$C$4),""))</f>
        <v/>
      </c>
      <c r="AK1079" s="20" t="n"/>
      <c r="AL1079" s="47" t="n"/>
      <c r="AM1079" s="47" t="n"/>
      <c r="AN1079" s="53" t="n"/>
      <c r="AO1079" s="47" t="n"/>
      <c r="AP1079" s="47" t="n"/>
      <c r="AQ1079" s="47" t="n"/>
      <c r="AR1079" s="47" t="n"/>
      <c r="AS1079" s="47" t="n"/>
      <c r="AT1079" s="47" t="n"/>
      <c r="AU1079" s="47" t="n"/>
      <c r="AV1079" s="47" t="n"/>
      <c r="AW1079" s="52" t="n"/>
    </row>
    <row r="1080">
      <c r="A1080" s="48" t="n"/>
      <c r="B1080" s="52" t="n"/>
      <c r="C1080" s="47">
        <f>IF(B1080="","",IFERROR(INDEX('隊員マスタ'!$B$5:$B$204,MATCH(B1080&amp;"",'隊員マスタ'!$F$5:$F$204,0)),IF(AK1080="","番号なし",AK1080)))</f>
        <v/>
      </c>
      <c r="D1080" s="47" t="n"/>
      <c r="E1080" s="47" t="n"/>
      <c r="F1080" s="47" t="n"/>
      <c r="G1080" s="47" t="n"/>
      <c r="H1080" s="47" t="n"/>
      <c r="I1080" s="47" t="n"/>
      <c r="J1080" s="47" t="n"/>
      <c r="K1080" s="47" t="n"/>
      <c r="L1080" s="47" t="n"/>
      <c r="M1080" s="47" t="n"/>
      <c r="N1080" s="47" t="n"/>
      <c r="O1080" s="47" t="n"/>
      <c r="P1080" s="47" t="n"/>
      <c r="Q1080" s="47" t="n"/>
      <c r="R1080" s="47" t="n"/>
      <c r="S1080" s="47" t="n"/>
      <c r="T1080" s="47" t="n"/>
      <c r="U1080" s="53" t="n"/>
      <c r="V1080" s="53" t="n"/>
      <c r="W1080" s="47" t="n"/>
      <c r="X1080" s="47" t="n"/>
      <c r="Y1080" s="47" t="n"/>
      <c r="Z1080" s="47" t="n"/>
      <c r="AA1080" s="47" t="n"/>
      <c r="AB1080" s="47" t="n"/>
      <c r="AC1080" s="47" t="n"/>
      <c r="AD1080" s="47" t="n"/>
      <c r="AE1080" s="47" t="n"/>
      <c r="AF1080" s="20">
        <f>IF(A1080="","",YEAR(EDATE(A1080,-3)))</f>
        <v/>
      </c>
      <c r="AG1080" s="20">
        <f>IF(OR(B1080="",'経歴簿'!$C$4=""),"",IF(B1080&amp;""='経歴簿'!$C$4&amp;"",MAX($AG$4:AG1079)+1,""))</f>
        <v/>
      </c>
      <c r="AH1080" s="20">
        <f>IF(A1080="",0,IF(AND(OR('CSV抽出'!$C$4="",A1080&gt;='CSV抽出'!$C$4),OR('CSV抽出'!$C$5="",A1080&lt;='CSV抽出'!$C$5),OR('CSV抽出'!$C$6="すべて",'CSV抽出'!$C$6="",D1080='CSV抽出'!$C$6),OR('CSV抽出'!$C$7="",B1080&amp;""='CSV抽出'!$C$7&amp;"")),1,0))</f>
        <v/>
      </c>
      <c r="AI1080" s="20">
        <f>IF(AH1080=1,SUM($AH$5:AH1080),"")</f>
        <v/>
      </c>
      <c r="AJ1080" s="20">
        <f>IF(OR(S1080="",'報告書'!$C$4=""),"",IF(S1080&amp;""='報告書'!$C$4&amp;"",COUNTIF($S$5:S1080,'報告書'!$C$4),""))</f>
        <v/>
      </c>
      <c r="AK1080" s="20" t="n"/>
      <c r="AL1080" s="47" t="n"/>
      <c r="AM1080" s="47" t="n"/>
      <c r="AN1080" s="53" t="n"/>
      <c r="AO1080" s="47" t="n"/>
      <c r="AP1080" s="47" t="n"/>
      <c r="AQ1080" s="47" t="n"/>
      <c r="AR1080" s="47" t="n"/>
      <c r="AS1080" s="47" t="n"/>
      <c r="AT1080" s="47" t="n"/>
      <c r="AU1080" s="47" t="n"/>
      <c r="AV1080" s="47" t="n"/>
      <c r="AW1080" s="52" t="n"/>
    </row>
    <row r="1081">
      <c r="A1081" s="48" t="n"/>
      <c r="B1081" s="52" t="n"/>
      <c r="C1081" s="47">
        <f>IF(B1081="","",IFERROR(INDEX('隊員マスタ'!$B$5:$B$204,MATCH(B1081&amp;"",'隊員マスタ'!$F$5:$F$204,0)),IF(AK1081="","番号なし",AK1081)))</f>
        <v/>
      </c>
      <c r="D1081" s="47" t="n"/>
      <c r="E1081" s="47" t="n"/>
      <c r="F1081" s="47" t="n"/>
      <c r="G1081" s="47" t="n"/>
      <c r="H1081" s="47" t="n"/>
      <c r="I1081" s="47" t="n"/>
      <c r="J1081" s="47" t="n"/>
      <c r="K1081" s="47" t="n"/>
      <c r="L1081" s="47" t="n"/>
      <c r="M1081" s="47" t="n"/>
      <c r="N1081" s="47" t="n"/>
      <c r="O1081" s="47" t="n"/>
      <c r="P1081" s="47" t="n"/>
      <c r="Q1081" s="47" t="n"/>
      <c r="R1081" s="47" t="n"/>
      <c r="S1081" s="47" t="n"/>
      <c r="T1081" s="47" t="n"/>
      <c r="U1081" s="53" t="n"/>
      <c r="V1081" s="53" t="n"/>
      <c r="W1081" s="47" t="n"/>
      <c r="X1081" s="47" t="n"/>
      <c r="Y1081" s="47" t="n"/>
      <c r="Z1081" s="47" t="n"/>
      <c r="AA1081" s="47" t="n"/>
      <c r="AB1081" s="47" t="n"/>
      <c r="AC1081" s="47" t="n"/>
      <c r="AD1081" s="47" t="n"/>
      <c r="AE1081" s="47" t="n"/>
      <c r="AF1081" s="20">
        <f>IF(A1081="","",YEAR(EDATE(A1081,-3)))</f>
        <v/>
      </c>
      <c r="AG1081" s="20">
        <f>IF(OR(B1081="",'経歴簿'!$C$4=""),"",IF(B1081&amp;""='経歴簿'!$C$4&amp;"",MAX($AG$4:AG1080)+1,""))</f>
        <v/>
      </c>
      <c r="AH1081" s="20">
        <f>IF(A1081="",0,IF(AND(OR('CSV抽出'!$C$4="",A1081&gt;='CSV抽出'!$C$4),OR('CSV抽出'!$C$5="",A1081&lt;='CSV抽出'!$C$5),OR('CSV抽出'!$C$6="すべて",'CSV抽出'!$C$6="",D1081='CSV抽出'!$C$6),OR('CSV抽出'!$C$7="",B1081&amp;""='CSV抽出'!$C$7&amp;"")),1,0))</f>
        <v/>
      </c>
      <c r="AI1081" s="20">
        <f>IF(AH1081=1,SUM($AH$5:AH1081),"")</f>
        <v/>
      </c>
      <c r="AJ1081" s="20">
        <f>IF(OR(S1081="",'報告書'!$C$4=""),"",IF(S1081&amp;""='報告書'!$C$4&amp;"",COUNTIF($S$5:S1081,'報告書'!$C$4),""))</f>
        <v/>
      </c>
      <c r="AK1081" s="20" t="n"/>
      <c r="AL1081" s="47" t="n"/>
      <c r="AM1081" s="47" t="n"/>
      <c r="AN1081" s="53" t="n"/>
      <c r="AO1081" s="47" t="n"/>
      <c r="AP1081" s="47" t="n"/>
      <c r="AQ1081" s="47" t="n"/>
      <c r="AR1081" s="47" t="n"/>
      <c r="AS1081" s="47" t="n"/>
      <c r="AT1081" s="47" t="n"/>
      <c r="AU1081" s="47" t="n"/>
      <c r="AV1081" s="47" t="n"/>
      <c r="AW1081" s="52" t="n"/>
    </row>
    <row r="1082">
      <c r="A1082" s="48" t="n"/>
      <c r="B1082" s="52" t="n"/>
      <c r="C1082" s="47">
        <f>IF(B1082="","",IFERROR(INDEX('隊員マスタ'!$B$5:$B$204,MATCH(B1082&amp;"",'隊員マスタ'!$F$5:$F$204,0)),IF(AK1082="","番号なし",AK1082)))</f>
        <v/>
      </c>
      <c r="D1082" s="47" t="n"/>
      <c r="E1082" s="47" t="n"/>
      <c r="F1082" s="47" t="n"/>
      <c r="G1082" s="47" t="n"/>
      <c r="H1082" s="47" t="n"/>
      <c r="I1082" s="47" t="n"/>
      <c r="J1082" s="47" t="n"/>
      <c r="K1082" s="47" t="n"/>
      <c r="L1082" s="47" t="n"/>
      <c r="M1082" s="47" t="n"/>
      <c r="N1082" s="47" t="n"/>
      <c r="O1082" s="47" t="n"/>
      <c r="P1082" s="47" t="n"/>
      <c r="Q1082" s="47" t="n"/>
      <c r="R1082" s="47" t="n"/>
      <c r="S1082" s="47" t="n"/>
      <c r="T1082" s="47" t="n"/>
      <c r="U1082" s="53" t="n"/>
      <c r="V1082" s="53" t="n"/>
      <c r="W1082" s="47" t="n"/>
      <c r="X1082" s="47" t="n"/>
      <c r="Y1082" s="47" t="n"/>
      <c r="Z1082" s="47" t="n"/>
      <c r="AA1082" s="47" t="n"/>
      <c r="AB1082" s="47" t="n"/>
      <c r="AC1082" s="47" t="n"/>
      <c r="AD1082" s="47" t="n"/>
      <c r="AE1082" s="47" t="n"/>
      <c r="AF1082" s="20">
        <f>IF(A1082="","",YEAR(EDATE(A1082,-3)))</f>
        <v/>
      </c>
      <c r="AG1082" s="20">
        <f>IF(OR(B1082="",'経歴簿'!$C$4=""),"",IF(B1082&amp;""='経歴簿'!$C$4&amp;"",MAX($AG$4:AG1081)+1,""))</f>
        <v/>
      </c>
      <c r="AH1082" s="20">
        <f>IF(A1082="",0,IF(AND(OR('CSV抽出'!$C$4="",A1082&gt;='CSV抽出'!$C$4),OR('CSV抽出'!$C$5="",A1082&lt;='CSV抽出'!$C$5),OR('CSV抽出'!$C$6="すべて",'CSV抽出'!$C$6="",D1082='CSV抽出'!$C$6),OR('CSV抽出'!$C$7="",B1082&amp;""='CSV抽出'!$C$7&amp;"")),1,0))</f>
        <v/>
      </c>
      <c r="AI1082" s="20">
        <f>IF(AH1082=1,SUM($AH$5:AH1082),"")</f>
        <v/>
      </c>
      <c r="AJ1082" s="20">
        <f>IF(OR(S1082="",'報告書'!$C$4=""),"",IF(S1082&amp;""='報告書'!$C$4&amp;"",COUNTIF($S$5:S1082,'報告書'!$C$4),""))</f>
        <v/>
      </c>
      <c r="AK1082" s="20" t="n"/>
      <c r="AL1082" s="47" t="n"/>
      <c r="AM1082" s="47" t="n"/>
      <c r="AN1082" s="53" t="n"/>
      <c r="AO1082" s="47" t="n"/>
      <c r="AP1082" s="47" t="n"/>
      <c r="AQ1082" s="47" t="n"/>
      <c r="AR1082" s="47" t="n"/>
      <c r="AS1082" s="47" t="n"/>
      <c r="AT1082" s="47" t="n"/>
      <c r="AU1082" s="47" t="n"/>
      <c r="AV1082" s="47" t="n"/>
      <c r="AW1082" s="52" t="n"/>
    </row>
    <row r="1083">
      <c r="A1083" s="48" t="n"/>
      <c r="B1083" s="52" t="n"/>
      <c r="C1083" s="47">
        <f>IF(B1083="","",IFERROR(INDEX('隊員マスタ'!$B$5:$B$204,MATCH(B1083&amp;"",'隊員マスタ'!$F$5:$F$204,0)),IF(AK1083="","番号なし",AK1083)))</f>
        <v/>
      </c>
      <c r="D1083" s="47" t="n"/>
      <c r="E1083" s="47" t="n"/>
      <c r="F1083" s="47" t="n"/>
      <c r="G1083" s="47" t="n"/>
      <c r="H1083" s="47" t="n"/>
      <c r="I1083" s="47" t="n"/>
      <c r="J1083" s="47" t="n"/>
      <c r="K1083" s="47" t="n"/>
      <c r="L1083" s="47" t="n"/>
      <c r="M1083" s="47" t="n"/>
      <c r="N1083" s="47" t="n"/>
      <c r="O1083" s="47" t="n"/>
      <c r="P1083" s="47" t="n"/>
      <c r="Q1083" s="47" t="n"/>
      <c r="R1083" s="47" t="n"/>
      <c r="S1083" s="47" t="n"/>
      <c r="T1083" s="47" t="n"/>
      <c r="U1083" s="53" t="n"/>
      <c r="V1083" s="53" t="n"/>
      <c r="W1083" s="47" t="n"/>
      <c r="X1083" s="47" t="n"/>
      <c r="Y1083" s="47" t="n"/>
      <c r="Z1083" s="47" t="n"/>
      <c r="AA1083" s="47" t="n"/>
      <c r="AB1083" s="47" t="n"/>
      <c r="AC1083" s="47" t="n"/>
      <c r="AD1083" s="47" t="n"/>
      <c r="AE1083" s="47" t="n"/>
      <c r="AF1083" s="20">
        <f>IF(A1083="","",YEAR(EDATE(A1083,-3)))</f>
        <v/>
      </c>
      <c r="AG1083" s="20">
        <f>IF(OR(B1083="",'経歴簿'!$C$4=""),"",IF(B1083&amp;""='経歴簿'!$C$4&amp;"",MAX($AG$4:AG1082)+1,""))</f>
        <v/>
      </c>
      <c r="AH1083" s="20">
        <f>IF(A1083="",0,IF(AND(OR('CSV抽出'!$C$4="",A1083&gt;='CSV抽出'!$C$4),OR('CSV抽出'!$C$5="",A1083&lt;='CSV抽出'!$C$5),OR('CSV抽出'!$C$6="すべて",'CSV抽出'!$C$6="",D1083='CSV抽出'!$C$6),OR('CSV抽出'!$C$7="",B1083&amp;""='CSV抽出'!$C$7&amp;"")),1,0))</f>
        <v/>
      </c>
      <c r="AI1083" s="20">
        <f>IF(AH1083=1,SUM($AH$5:AH1083),"")</f>
        <v/>
      </c>
      <c r="AJ1083" s="20">
        <f>IF(OR(S1083="",'報告書'!$C$4=""),"",IF(S1083&amp;""='報告書'!$C$4&amp;"",COUNTIF($S$5:S1083,'報告書'!$C$4),""))</f>
        <v/>
      </c>
      <c r="AK1083" s="20" t="n"/>
      <c r="AL1083" s="47" t="n"/>
      <c r="AM1083" s="47" t="n"/>
      <c r="AN1083" s="53" t="n"/>
      <c r="AO1083" s="47" t="n"/>
      <c r="AP1083" s="47" t="n"/>
      <c r="AQ1083" s="47" t="n"/>
      <c r="AR1083" s="47" t="n"/>
      <c r="AS1083" s="47" t="n"/>
      <c r="AT1083" s="47" t="n"/>
      <c r="AU1083" s="47" t="n"/>
      <c r="AV1083" s="47" t="n"/>
      <c r="AW1083" s="52" t="n"/>
    </row>
    <row r="1084">
      <c r="A1084" s="48" t="n"/>
      <c r="B1084" s="52" t="n"/>
      <c r="C1084" s="47">
        <f>IF(B1084="","",IFERROR(INDEX('隊員マスタ'!$B$5:$B$204,MATCH(B1084&amp;"",'隊員マスタ'!$F$5:$F$204,0)),IF(AK1084="","番号なし",AK1084)))</f>
        <v/>
      </c>
      <c r="D1084" s="47" t="n"/>
      <c r="E1084" s="47" t="n"/>
      <c r="F1084" s="47" t="n"/>
      <c r="G1084" s="47" t="n"/>
      <c r="H1084" s="47" t="n"/>
      <c r="I1084" s="47" t="n"/>
      <c r="J1084" s="47" t="n"/>
      <c r="K1084" s="47" t="n"/>
      <c r="L1084" s="47" t="n"/>
      <c r="M1084" s="47" t="n"/>
      <c r="N1084" s="47" t="n"/>
      <c r="O1084" s="47" t="n"/>
      <c r="P1084" s="47" t="n"/>
      <c r="Q1084" s="47" t="n"/>
      <c r="R1084" s="47" t="n"/>
      <c r="S1084" s="47" t="n"/>
      <c r="T1084" s="47" t="n"/>
      <c r="U1084" s="53" t="n"/>
      <c r="V1084" s="53" t="n"/>
      <c r="W1084" s="47" t="n"/>
      <c r="X1084" s="47" t="n"/>
      <c r="Y1084" s="47" t="n"/>
      <c r="Z1084" s="47" t="n"/>
      <c r="AA1084" s="47" t="n"/>
      <c r="AB1084" s="47" t="n"/>
      <c r="AC1084" s="47" t="n"/>
      <c r="AD1084" s="47" t="n"/>
      <c r="AE1084" s="47" t="n"/>
      <c r="AF1084" s="20">
        <f>IF(A1084="","",YEAR(EDATE(A1084,-3)))</f>
        <v/>
      </c>
      <c r="AG1084" s="20">
        <f>IF(OR(B1084="",'経歴簿'!$C$4=""),"",IF(B1084&amp;""='経歴簿'!$C$4&amp;"",MAX($AG$4:AG1083)+1,""))</f>
        <v/>
      </c>
      <c r="AH1084" s="20">
        <f>IF(A1084="",0,IF(AND(OR('CSV抽出'!$C$4="",A1084&gt;='CSV抽出'!$C$4),OR('CSV抽出'!$C$5="",A1084&lt;='CSV抽出'!$C$5),OR('CSV抽出'!$C$6="すべて",'CSV抽出'!$C$6="",D1084='CSV抽出'!$C$6),OR('CSV抽出'!$C$7="",B1084&amp;""='CSV抽出'!$C$7&amp;"")),1,0))</f>
        <v/>
      </c>
      <c r="AI1084" s="20">
        <f>IF(AH1084=1,SUM($AH$5:AH1084),"")</f>
        <v/>
      </c>
      <c r="AJ1084" s="20">
        <f>IF(OR(S1084="",'報告書'!$C$4=""),"",IF(S1084&amp;""='報告書'!$C$4&amp;"",COUNTIF($S$5:S1084,'報告書'!$C$4),""))</f>
        <v/>
      </c>
      <c r="AK1084" s="20" t="n"/>
      <c r="AL1084" s="47" t="n"/>
      <c r="AM1084" s="47" t="n"/>
      <c r="AN1084" s="53" t="n"/>
      <c r="AO1084" s="47" t="n"/>
      <c r="AP1084" s="47" t="n"/>
      <c r="AQ1084" s="47" t="n"/>
      <c r="AR1084" s="47" t="n"/>
      <c r="AS1084" s="47" t="n"/>
      <c r="AT1084" s="47" t="n"/>
      <c r="AU1084" s="47" t="n"/>
      <c r="AV1084" s="47" t="n"/>
      <c r="AW1084" s="52" t="n"/>
    </row>
    <row r="1085">
      <c r="A1085" s="48" t="n"/>
      <c r="B1085" s="52" t="n"/>
      <c r="C1085" s="47">
        <f>IF(B1085="","",IFERROR(INDEX('隊員マスタ'!$B$5:$B$204,MATCH(B1085&amp;"",'隊員マスタ'!$F$5:$F$204,0)),IF(AK1085="","番号なし",AK1085)))</f>
        <v/>
      </c>
      <c r="D1085" s="47" t="n"/>
      <c r="E1085" s="47" t="n"/>
      <c r="F1085" s="47" t="n"/>
      <c r="G1085" s="47" t="n"/>
      <c r="H1085" s="47" t="n"/>
      <c r="I1085" s="47" t="n"/>
      <c r="J1085" s="47" t="n"/>
      <c r="K1085" s="47" t="n"/>
      <c r="L1085" s="47" t="n"/>
      <c r="M1085" s="47" t="n"/>
      <c r="N1085" s="47" t="n"/>
      <c r="O1085" s="47" t="n"/>
      <c r="P1085" s="47" t="n"/>
      <c r="Q1085" s="47" t="n"/>
      <c r="R1085" s="47" t="n"/>
      <c r="S1085" s="47" t="n"/>
      <c r="T1085" s="47" t="n"/>
      <c r="U1085" s="53" t="n"/>
      <c r="V1085" s="53" t="n"/>
      <c r="W1085" s="47" t="n"/>
      <c r="X1085" s="47" t="n"/>
      <c r="Y1085" s="47" t="n"/>
      <c r="Z1085" s="47" t="n"/>
      <c r="AA1085" s="47" t="n"/>
      <c r="AB1085" s="47" t="n"/>
      <c r="AC1085" s="47" t="n"/>
      <c r="AD1085" s="47" t="n"/>
      <c r="AE1085" s="47" t="n"/>
      <c r="AF1085" s="20">
        <f>IF(A1085="","",YEAR(EDATE(A1085,-3)))</f>
        <v/>
      </c>
      <c r="AG1085" s="20">
        <f>IF(OR(B1085="",'経歴簿'!$C$4=""),"",IF(B1085&amp;""='経歴簿'!$C$4&amp;"",MAX($AG$4:AG1084)+1,""))</f>
        <v/>
      </c>
      <c r="AH1085" s="20">
        <f>IF(A1085="",0,IF(AND(OR('CSV抽出'!$C$4="",A1085&gt;='CSV抽出'!$C$4),OR('CSV抽出'!$C$5="",A1085&lt;='CSV抽出'!$C$5),OR('CSV抽出'!$C$6="すべて",'CSV抽出'!$C$6="",D1085='CSV抽出'!$C$6),OR('CSV抽出'!$C$7="",B1085&amp;""='CSV抽出'!$C$7&amp;"")),1,0))</f>
        <v/>
      </c>
      <c r="AI1085" s="20">
        <f>IF(AH1085=1,SUM($AH$5:AH1085),"")</f>
        <v/>
      </c>
      <c r="AJ1085" s="20">
        <f>IF(OR(S1085="",'報告書'!$C$4=""),"",IF(S1085&amp;""='報告書'!$C$4&amp;"",COUNTIF($S$5:S1085,'報告書'!$C$4),""))</f>
        <v/>
      </c>
      <c r="AK1085" s="20" t="n"/>
      <c r="AL1085" s="47" t="n"/>
      <c r="AM1085" s="47" t="n"/>
      <c r="AN1085" s="53" t="n"/>
      <c r="AO1085" s="47" t="n"/>
      <c r="AP1085" s="47" t="n"/>
      <c r="AQ1085" s="47" t="n"/>
      <c r="AR1085" s="47" t="n"/>
      <c r="AS1085" s="47" t="n"/>
      <c r="AT1085" s="47" t="n"/>
      <c r="AU1085" s="47" t="n"/>
      <c r="AV1085" s="47" t="n"/>
      <c r="AW1085" s="52" t="n"/>
    </row>
    <row r="1086">
      <c r="A1086" s="48" t="n"/>
      <c r="B1086" s="52" t="n"/>
      <c r="C1086" s="47">
        <f>IF(B1086="","",IFERROR(INDEX('隊員マスタ'!$B$5:$B$204,MATCH(B1086&amp;"",'隊員マスタ'!$F$5:$F$204,0)),IF(AK1086="","番号なし",AK1086)))</f>
        <v/>
      </c>
      <c r="D1086" s="47" t="n"/>
      <c r="E1086" s="47" t="n"/>
      <c r="F1086" s="47" t="n"/>
      <c r="G1086" s="47" t="n"/>
      <c r="H1086" s="47" t="n"/>
      <c r="I1086" s="47" t="n"/>
      <c r="J1086" s="47" t="n"/>
      <c r="K1086" s="47" t="n"/>
      <c r="L1086" s="47" t="n"/>
      <c r="M1086" s="47" t="n"/>
      <c r="N1086" s="47" t="n"/>
      <c r="O1086" s="47" t="n"/>
      <c r="P1086" s="47" t="n"/>
      <c r="Q1086" s="47" t="n"/>
      <c r="R1086" s="47" t="n"/>
      <c r="S1086" s="47" t="n"/>
      <c r="T1086" s="47" t="n"/>
      <c r="U1086" s="53" t="n"/>
      <c r="V1086" s="53" t="n"/>
      <c r="W1086" s="47" t="n"/>
      <c r="X1086" s="47" t="n"/>
      <c r="Y1086" s="47" t="n"/>
      <c r="Z1086" s="47" t="n"/>
      <c r="AA1086" s="47" t="n"/>
      <c r="AB1086" s="47" t="n"/>
      <c r="AC1086" s="47" t="n"/>
      <c r="AD1086" s="47" t="n"/>
      <c r="AE1086" s="47" t="n"/>
      <c r="AF1086" s="20">
        <f>IF(A1086="","",YEAR(EDATE(A1086,-3)))</f>
        <v/>
      </c>
      <c r="AG1086" s="20">
        <f>IF(OR(B1086="",'経歴簿'!$C$4=""),"",IF(B1086&amp;""='経歴簿'!$C$4&amp;"",MAX($AG$4:AG1085)+1,""))</f>
        <v/>
      </c>
      <c r="AH1086" s="20">
        <f>IF(A1086="",0,IF(AND(OR('CSV抽出'!$C$4="",A1086&gt;='CSV抽出'!$C$4),OR('CSV抽出'!$C$5="",A1086&lt;='CSV抽出'!$C$5),OR('CSV抽出'!$C$6="すべて",'CSV抽出'!$C$6="",D1086='CSV抽出'!$C$6),OR('CSV抽出'!$C$7="",B1086&amp;""='CSV抽出'!$C$7&amp;"")),1,0))</f>
        <v/>
      </c>
      <c r="AI1086" s="20">
        <f>IF(AH1086=1,SUM($AH$5:AH1086),"")</f>
        <v/>
      </c>
      <c r="AJ1086" s="20">
        <f>IF(OR(S1086="",'報告書'!$C$4=""),"",IF(S1086&amp;""='報告書'!$C$4&amp;"",COUNTIF($S$5:S1086,'報告書'!$C$4),""))</f>
        <v/>
      </c>
      <c r="AK1086" s="20" t="n"/>
      <c r="AL1086" s="47" t="n"/>
      <c r="AM1086" s="47" t="n"/>
      <c r="AN1086" s="53" t="n"/>
      <c r="AO1086" s="47" t="n"/>
      <c r="AP1086" s="47" t="n"/>
      <c r="AQ1086" s="47" t="n"/>
      <c r="AR1086" s="47" t="n"/>
      <c r="AS1086" s="47" t="n"/>
      <c r="AT1086" s="47" t="n"/>
      <c r="AU1086" s="47" t="n"/>
      <c r="AV1086" s="47" t="n"/>
      <c r="AW1086" s="52" t="n"/>
    </row>
    <row r="1087">
      <c r="A1087" s="48" t="n"/>
      <c r="B1087" s="52" t="n"/>
      <c r="C1087" s="47">
        <f>IF(B1087="","",IFERROR(INDEX('隊員マスタ'!$B$5:$B$204,MATCH(B1087&amp;"",'隊員マスタ'!$F$5:$F$204,0)),IF(AK1087="","番号なし",AK1087)))</f>
        <v/>
      </c>
      <c r="D1087" s="47" t="n"/>
      <c r="E1087" s="47" t="n"/>
      <c r="F1087" s="47" t="n"/>
      <c r="G1087" s="47" t="n"/>
      <c r="H1087" s="47" t="n"/>
      <c r="I1087" s="47" t="n"/>
      <c r="J1087" s="47" t="n"/>
      <c r="K1087" s="47" t="n"/>
      <c r="L1087" s="47" t="n"/>
      <c r="M1087" s="47" t="n"/>
      <c r="N1087" s="47" t="n"/>
      <c r="O1087" s="47" t="n"/>
      <c r="P1087" s="47" t="n"/>
      <c r="Q1087" s="47" t="n"/>
      <c r="R1087" s="47" t="n"/>
      <c r="S1087" s="47" t="n"/>
      <c r="T1087" s="47" t="n"/>
      <c r="U1087" s="53" t="n"/>
      <c r="V1087" s="53" t="n"/>
      <c r="W1087" s="47" t="n"/>
      <c r="X1087" s="47" t="n"/>
      <c r="Y1087" s="47" t="n"/>
      <c r="Z1087" s="47" t="n"/>
      <c r="AA1087" s="47" t="n"/>
      <c r="AB1087" s="47" t="n"/>
      <c r="AC1087" s="47" t="n"/>
      <c r="AD1087" s="47" t="n"/>
      <c r="AE1087" s="47" t="n"/>
      <c r="AF1087" s="20">
        <f>IF(A1087="","",YEAR(EDATE(A1087,-3)))</f>
        <v/>
      </c>
      <c r="AG1087" s="20">
        <f>IF(OR(B1087="",'経歴簿'!$C$4=""),"",IF(B1087&amp;""='経歴簿'!$C$4&amp;"",MAX($AG$4:AG1086)+1,""))</f>
        <v/>
      </c>
      <c r="AH1087" s="20">
        <f>IF(A1087="",0,IF(AND(OR('CSV抽出'!$C$4="",A1087&gt;='CSV抽出'!$C$4),OR('CSV抽出'!$C$5="",A1087&lt;='CSV抽出'!$C$5),OR('CSV抽出'!$C$6="すべて",'CSV抽出'!$C$6="",D1087='CSV抽出'!$C$6),OR('CSV抽出'!$C$7="",B1087&amp;""='CSV抽出'!$C$7&amp;"")),1,0))</f>
        <v/>
      </c>
      <c r="AI1087" s="20">
        <f>IF(AH1087=1,SUM($AH$5:AH1087),"")</f>
        <v/>
      </c>
      <c r="AJ1087" s="20">
        <f>IF(OR(S1087="",'報告書'!$C$4=""),"",IF(S1087&amp;""='報告書'!$C$4&amp;"",COUNTIF($S$5:S1087,'報告書'!$C$4),""))</f>
        <v/>
      </c>
      <c r="AK1087" s="20" t="n"/>
      <c r="AL1087" s="47" t="n"/>
      <c r="AM1087" s="47" t="n"/>
      <c r="AN1087" s="53" t="n"/>
      <c r="AO1087" s="47" t="n"/>
      <c r="AP1087" s="47" t="n"/>
      <c r="AQ1087" s="47" t="n"/>
      <c r="AR1087" s="47" t="n"/>
      <c r="AS1087" s="47" t="n"/>
      <c r="AT1087" s="47" t="n"/>
      <c r="AU1087" s="47" t="n"/>
      <c r="AV1087" s="47" t="n"/>
      <c r="AW1087" s="52" t="n"/>
    </row>
    <row r="1088">
      <c r="A1088" s="48" t="n"/>
      <c r="B1088" s="52" t="n"/>
      <c r="C1088" s="47">
        <f>IF(B1088="","",IFERROR(INDEX('隊員マスタ'!$B$5:$B$204,MATCH(B1088&amp;"",'隊員マスタ'!$F$5:$F$204,0)),IF(AK1088="","番号なし",AK1088)))</f>
        <v/>
      </c>
      <c r="D1088" s="47" t="n"/>
      <c r="E1088" s="47" t="n"/>
      <c r="F1088" s="47" t="n"/>
      <c r="G1088" s="47" t="n"/>
      <c r="H1088" s="47" t="n"/>
      <c r="I1088" s="47" t="n"/>
      <c r="J1088" s="47" t="n"/>
      <c r="K1088" s="47" t="n"/>
      <c r="L1088" s="47" t="n"/>
      <c r="M1088" s="47" t="n"/>
      <c r="N1088" s="47" t="n"/>
      <c r="O1088" s="47" t="n"/>
      <c r="P1088" s="47" t="n"/>
      <c r="Q1088" s="47" t="n"/>
      <c r="R1088" s="47" t="n"/>
      <c r="S1088" s="47" t="n"/>
      <c r="T1088" s="47" t="n"/>
      <c r="U1088" s="53" t="n"/>
      <c r="V1088" s="53" t="n"/>
      <c r="W1088" s="47" t="n"/>
      <c r="X1088" s="47" t="n"/>
      <c r="Y1088" s="47" t="n"/>
      <c r="Z1088" s="47" t="n"/>
      <c r="AA1088" s="47" t="n"/>
      <c r="AB1088" s="47" t="n"/>
      <c r="AC1088" s="47" t="n"/>
      <c r="AD1088" s="47" t="n"/>
      <c r="AE1088" s="47" t="n"/>
      <c r="AF1088" s="20">
        <f>IF(A1088="","",YEAR(EDATE(A1088,-3)))</f>
        <v/>
      </c>
      <c r="AG1088" s="20">
        <f>IF(OR(B1088="",'経歴簿'!$C$4=""),"",IF(B1088&amp;""='経歴簿'!$C$4&amp;"",MAX($AG$4:AG1087)+1,""))</f>
        <v/>
      </c>
      <c r="AH1088" s="20">
        <f>IF(A1088="",0,IF(AND(OR('CSV抽出'!$C$4="",A1088&gt;='CSV抽出'!$C$4),OR('CSV抽出'!$C$5="",A1088&lt;='CSV抽出'!$C$5),OR('CSV抽出'!$C$6="すべて",'CSV抽出'!$C$6="",D1088='CSV抽出'!$C$6),OR('CSV抽出'!$C$7="",B1088&amp;""='CSV抽出'!$C$7&amp;"")),1,0))</f>
        <v/>
      </c>
      <c r="AI1088" s="20">
        <f>IF(AH1088=1,SUM($AH$5:AH1088),"")</f>
        <v/>
      </c>
      <c r="AJ1088" s="20">
        <f>IF(OR(S1088="",'報告書'!$C$4=""),"",IF(S1088&amp;""='報告書'!$C$4&amp;"",COUNTIF($S$5:S1088,'報告書'!$C$4),""))</f>
        <v/>
      </c>
      <c r="AK1088" s="20" t="n"/>
      <c r="AL1088" s="47" t="n"/>
      <c r="AM1088" s="47" t="n"/>
      <c r="AN1088" s="53" t="n"/>
      <c r="AO1088" s="47" t="n"/>
      <c r="AP1088" s="47" t="n"/>
      <c r="AQ1088" s="47" t="n"/>
      <c r="AR1088" s="47" t="n"/>
      <c r="AS1088" s="47" t="n"/>
      <c r="AT1088" s="47" t="n"/>
      <c r="AU1088" s="47" t="n"/>
      <c r="AV1088" s="47" t="n"/>
      <c r="AW1088" s="52" t="n"/>
    </row>
    <row r="1089">
      <c r="A1089" s="48" t="n"/>
      <c r="B1089" s="52" t="n"/>
      <c r="C1089" s="47">
        <f>IF(B1089="","",IFERROR(INDEX('隊員マスタ'!$B$5:$B$204,MATCH(B1089&amp;"",'隊員マスタ'!$F$5:$F$204,0)),IF(AK1089="","番号なし",AK1089)))</f>
        <v/>
      </c>
      <c r="D1089" s="47" t="n"/>
      <c r="E1089" s="47" t="n"/>
      <c r="F1089" s="47" t="n"/>
      <c r="G1089" s="47" t="n"/>
      <c r="H1089" s="47" t="n"/>
      <c r="I1089" s="47" t="n"/>
      <c r="J1089" s="47" t="n"/>
      <c r="K1089" s="47" t="n"/>
      <c r="L1089" s="47" t="n"/>
      <c r="M1089" s="47" t="n"/>
      <c r="N1089" s="47" t="n"/>
      <c r="O1089" s="47" t="n"/>
      <c r="P1089" s="47" t="n"/>
      <c r="Q1089" s="47" t="n"/>
      <c r="R1089" s="47" t="n"/>
      <c r="S1089" s="47" t="n"/>
      <c r="T1089" s="47" t="n"/>
      <c r="U1089" s="53" t="n"/>
      <c r="V1089" s="53" t="n"/>
      <c r="W1089" s="47" t="n"/>
      <c r="X1089" s="47" t="n"/>
      <c r="Y1089" s="47" t="n"/>
      <c r="Z1089" s="47" t="n"/>
      <c r="AA1089" s="47" t="n"/>
      <c r="AB1089" s="47" t="n"/>
      <c r="AC1089" s="47" t="n"/>
      <c r="AD1089" s="47" t="n"/>
      <c r="AE1089" s="47" t="n"/>
      <c r="AF1089" s="20">
        <f>IF(A1089="","",YEAR(EDATE(A1089,-3)))</f>
        <v/>
      </c>
      <c r="AG1089" s="20">
        <f>IF(OR(B1089="",'経歴簿'!$C$4=""),"",IF(B1089&amp;""='経歴簿'!$C$4&amp;"",MAX($AG$4:AG1088)+1,""))</f>
        <v/>
      </c>
      <c r="AH1089" s="20">
        <f>IF(A1089="",0,IF(AND(OR('CSV抽出'!$C$4="",A1089&gt;='CSV抽出'!$C$4),OR('CSV抽出'!$C$5="",A1089&lt;='CSV抽出'!$C$5),OR('CSV抽出'!$C$6="すべて",'CSV抽出'!$C$6="",D1089='CSV抽出'!$C$6),OR('CSV抽出'!$C$7="",B1089&amp;""='CSV抽出'!$C$7&amp;"")),1,0))</f>
        <v/>
      </c>
      <c r="AI1089" s="20">
        <f>IF(AH1089=1,SUM($AH$5:AH1089),"")</f>
        <v/>
      </c>
      <c r="AJ1089" s="20">
        <f>IF(OR(S1089="",'報告書'!$C$4=""),"",IF(S1089&amp;""='報告書'!$C$4&amp;"",COUNTIF($S$5:S1089,'報告書'!$C$4),""))</f>
        <v/>
      </c>
      <c r="AK1089" s="20" t="n"/>
      <c r="AL1089" s="47" t="n"/>
      <c r="AM1089" s="47" t="n"/>
      <c r="AN1089" s="53" t="n"/>
      <c r="AO1089" s="47" t="n"/>
      <c r="AP1089" s="47" t="n"/>
      <c r="AQ1089" s="47" t="n"/>
      <c r="AR1089" s="47" t="n"/>
      <c r="AS1089" s="47" t="n"/>
      <c r="AT1089" s="47" t="n"/>
      <c r="AU1089" s="47" t="n"/>
      <c r="AV1089" s="47" t="n"/>
      <c r="AW1089" s="52" t="n"/>
    </row>
    <row r="1090">
      <c r="A1090" s="48" t="n"/>
      <c r="B1090" s="52" t="n"/>
      <c r="C1090" s="47">
        <f>IF(B1090="","",IFERROR(INDEX('隊員マスタ'!$B$5:$B$204,MATCH(B1090&amp;"",'隊員マスタ'!$F$5:$F$204,0)),IF(AK1090="","番号なし",AK1090)))</f>
        <v/>
      </c>
      <c r="D1090" s="47" t="n"/>
      <c r="E1090" s="47" t="n"/>
      <c r="F1090" s="47" t="n"/>
      <c r="G1090" s="47" t="n"/>
      <c r="H1090" s="47" t="n"/>
      <c r="I1090" s="47" t="n"/>
      <c r="J1090" s="47" t="n"/>
      <c r="K1090" s="47" t="n"/>
      <c r="L1090" s="47" t="n"/>
      <c r="M1090" s="47" t="n"/>
      <c r="N1090" s="47" t="n"/>
      <c r="O1090" s="47" t="n"/>
      <c r="P1090" s="47" t="n"/>
      <c r="Q1090" s="47" t="n"/>
      <c r="R1090" s="47" t="n"/>
      <c r="S1090" s="47" t="n"/>
      <c r="T1090" s="47" t="n"/>
      <c r="U1090" s="53" t="n"/>
      <c r="V1090" s="53" t="n"/>
      <c r="W1090" s="47" t="n"/>
      <c r="X1090" s="47" t="n"/>
      <c r="Y1090" s="47" t="n"/>
      <c r="Z1090" s="47" t="n"/>
      <c r="AA1090" s="47" t="n"/>
      <c r="AB1090" s="47" t="n"/>
      <c r="AC1090" s="47" t="n"/>
      <c r="AD1090" s="47" t="n"/>
      <c r="AE1090" s="47" t="n"/>
      <c r="AF1090" s="20">
        <f>IF(A1090="","",YEAR(EDATE(A1090,-3)))</f>
        <v/>
      </c>
      <c r="AG1090" s="20">
        <f>IF(OR(B1090="",'経歴簿'!$C$4=""),"",IF(B1090&amp;""='経歴簿'!$C$4&amp;"",MAX($AG$4:AG1089)+1,""))</f>
        <v/>
      </c>
      <c r="AH1090" s="20">
        <f>IF(A1090="",0,IF(AND(OR('CSV抽出'!$C$4="",A1090&gt;='CSV抽出'!$C$4),OR('CSV抽出'!$C$5="",A1090&lt;='CSV抽出'!$C$5),OR('CSV抽出'!$C$6="すべて",'CSV抽出'!$C$6="",D1090='CSV抽出'!$C$6),OR('CSV抽出'!$C$7="",B1090&amp;""='CSV抽出'!$C$7&amp;"")),1,0))</f>
        <v/>
      </c>
      <c r="AI1090" s="20">
        <f>IF(AH1090=1,SUM($AH$5:AH1090),"")</f>
        <v/>
      </c>
      <c r="AJ1090" s="20">
        <f>IF(OR(S1090="",'報告書'!$C$4=""),"",IF(S1090&amp;""='報告書'!$C$4&amp;"",COUNTIF($S$5:S1090,'報告書'!$C$4),""))</f>
        <v/>
      </c>
      <c r="AK1090" s="20" t="n"/>
      <c r="AL1090" s="47" t="n"/>
      <c r="AM1090" s="47" t="n"/>
      <c r="AN1090" s="53" t="n"/>
      <c r="AO1090" s="47" t="n"/>
      <c r="AP1090" s="47" t="n"/>
      <c r="AQ1090" s="47" t="n"/>
      <c r="AR1090" s="47" t="n"/>
      <c r="AS1090" s="47" t="n"/>
      <c r="AT1090" s="47" t="n"/>
      <c r="AU1090" s="47" t="n"/>
      <c r="AV1090" s="47" t="n"/>
      <c r="AW1090" s="52" t="n"/>
    </row>
    <row r="1091">
      <c r="A1091" s="48" t="n"/>
      <c r="B1091" s="52" t="n"/>
      <c r="C1091" s="47">
        <f>IF(B1091="","",IFERROR(INDEX('隊員マスタ'!$B$5:$B$204,MATCH(B1091&amp;"",'隊員マスタ'!$F$5:$F$204,0)),IF(AK1091="","番号なし",AK1091)))</f>
        <v/>
      </c>
      <c r="D1091" s="47" t="n"/>
      <c r="E1091" s="47" t="n"/>
      <c r="F1091" s="47" t="n"/>
      <c r="G1091" s="47" t="n"/>
      <c r="H1091" s="47" t="n"/>
      <c r="I1091" s="47" t="n"/>
      <c r="J1091" s="47" t="n"/>
      <c r="K1091" s="47" t="n"/>
      <c r="L1091" s="47" t="n"/>
      <c r="M1091" s="47" t="n"/>
      <c r="N1091" s="47" t="n"/>
      <c r="O1091" s="47" t="n"/>
      <c r="P1091" s="47" t="n"/>
      <c r="Q1091" s="47" t="n"/>
      <c r="R1091" s="47" t="n"/>
      <c r="S1091" s="47" t="n"/>
      <c r="T1091" s="47" t="n"/>
      <c r="U1091" s="53" t="n"/>
      <c r="V1091" s="53" t="n"/>
      <c r="W1091" s="47" t="n"/>
      <c r="X1091" s="47" t="n"/>
      <c r="Y1091" s="47" t="n"/>
      <c r="Z1091" s="47" t="n"/>
      <c r="AA1091" s="47" t="n"/>
      <c r="AB1091" s="47" t="n"/>
      <c r="AC1091" s="47" t="n"/>
      <c r="AD1091" s="47" t="n"/>
      <c r="AE1091" s="47" t="n"/>
      <c r="AF1091" s="20">
        <f>IF(A1091="","",YEAR(EDATE(A1091,-3)))</f>
        <v/>
      </c>
      <c r="AG1091" s="20">
        <f>IF(OR(B1091="",'経歴簿'!$C$4=""),"",IF(B1091&amp;""='経歴簿'!$C$4&amp;"",MAX($AG$4:AG1090)+1,""))</f>
        <v/>
      </c>
      <c r="AH1091" s="20">
        <f>IF(A1091="",0,IF(AND(OR('CSV抽出'!$C$4="",A1091&gt;='CSV抽出'!$C$4),OR('CSV抽出'!$C$5="",A1091&lt;='CSV抽出'!$C$5),OR('CSV抽出'!$C$6="すべて",'CSV抽出'!$C$6="",D1091='CSV抽出'!$C$6),OR('CSV抽出'!$C$7="",B1091&amp;""='CSV抽出'!$C$7&amp;"")),1,0))</f>
        <v/>
      </c>
      <c r="AI1091" s="20">
        <f>IF(AH1091=1,SUM($AH$5:AH1091),"")</f>
        <v/>
      </c>
      <c r="AJ1091" s="20">
        <f>IF(OR(S1091="",'報告書'!$C$4=""),"",IF(S1091&amp;""='報告書'!$C$4&amp;"",COUNTIF($S$5:S1091,'報告書'!$C$4),""))</f>
        <v/>
      </c>
      <c r="AK1091" s="20" t="n"/>
      <c r="AL1091" s="47" t="n"/>
      <c r="AM1091" s="47" t="n"/>
      <c r="AN1091" s="53" t="n"/>
      <c r="AO1091" s="47" t="n"/>
      <c r="AP1091" s="47" t="n"/>
      <c r="AQ1091" s="47" t="n"/>
      <c r="AR1091" s="47" t="n"/>
      <c r="AS1091" s="47" t="n"/>
      <c r="AT1091" s="47" t="n"/>
      <c r="AU1091" s="47" t="n"/>
      <c r="AV1091" s="47" t="n"/>
      <c r="AW1091" s="52" t="n"/>
    </row>
    <row r="1092">
      <c r="A1092" s="48" t="n"/>
      <c r="B1092" s="52" t="n"/>
      <c r="C1092" s="47">
        <f>IF(B1092="","",IFERROR(INDEX('隊員マスタ'!$B$5:$B$204,MATCH(B1092&amp;"",'隊員マスタ'!$F$5:$F$204,0)),IF(AK1092="","番号なし",AK1092)))</f>
        <v/>
      </c>
      <c r="D1092" s="47" t="n"/>
      <c r="E1092" s="47" t="n"/>
      <c r="F1092" s="47" t="n"/>
      <c r="G1092" s="47" t="n"/>
      <c r="H1092" s="47" t="n"/>
      <c r="I1092" s="47" t="n"/>
      <c r="J1092" s="47" t="n"/>
      <c r="K1092" s="47" t="n"/>
      <c r="L1092" s="47" t="n"/>
      <c r="M1092" s="47" t="n"/>
      <c r="N1092" s="47" t="n"/>
      <c r="O1092" s="47" t="n"/>
      <c r="P1092" s="47" t="n"/>
      <c r="Q1092" s="47" t="n"/>
      <c r="R1092" s="47" t="n"/>
      <c r="S1092" s="47" t="n"/>
      <c r="T1092" s="47" t="n"/>
      <c r="U1092" s="53" t="n"/>
      <c r="V1092" s="53" t="n"/>
      <c r="W1092" s="47" t="n"/>
      <c r="X1092" s="47" t="n"/>
      <c r="Y1092" s="47" t="n"/>
      <c r="Z1092" s="47" t="n"/>
      <c r="AA1092" s="47" t="n"/>
      <c r="AB1092" s="47" t="n"/>
      <c r="AC1092" s="47" t="n"/>
      <c r="AD1092" s="47" t="n"/>
      <c r="AE1092" s="47" t="n"/>
      <c r="AF1092" s="20">
        <f>IF(A1092="","",YEAR(EDATE(A1092,-3)))</f>
        <v/>
      </c>
      <c r="AG1092" s="20">
        <f>IF(OR(B1092="",'経歴簿'!$C$4=""),"",IF(B1092&amp;""='経歴簿'!$C$4&amp;"",MAX($AG$4:AG1091)+1,""))</f>
        <v/>
      </c>
      <c r="AH1092" s="20">
        <f>IF(A1092="",0,IF(AND(OR('CSV抽出'!$C$4="",A1092&gt;='CSV抽出'!$C$4),OR('CSV抽出'!$C$5="",A1092&lt;='CSV抽出'!$C$5),OR('CSV抽出'!$C$6="すべて",'CSV抽出'!$C$6="",D1092='CSV抽出'!$C$6),OR('CSV抽出'!$C$7="",B1092&amp;""='CSV抽出'!$C$7&amp;"")),1,0))</f>
        <v/>
      </c>
      <c r="AI1092" s="20">
        <f>IF(AH1092=1,SUM($AH$5:AH1092),"")</f>
        <v/>
      </c>
      <c r="AJ1092" s="20">
        <f>IF(OR(S1092="",'報告書'!$C$4=""),"",IF(S1092&amp;""='報告書'!$C$4&amp;"",COUNTIF($S$5:S1092,'報告書'!$C$4),""))</f>
        <v/>
      </c>
      <c r="AK1092" s="20" t="n"/>
      <c r="AL1092" s="47" t="n"/>
      <c r="AM1092" s="47" t="n"/>
      <c r="AN1092" s="53" t="n"/>
      <c r="AO1092" s="47" t="n"/>
      <c r="AP1092" s="47" t="n"/>
      <c r="AQ1092" s="47" t="n"/>
      <c r="AR1092" s="47" t="n"/>
      <c r="AS1092" s="47" t="n"/>
      <c r="AT1092" s="47" t="n"/>
      <c r="AU1092" s="47" t="n"/>
      <c r="AV1092" s="47" t="n"/>
      <c r="AW1092" s="52" t="n"/>
    </row>
    <row r="1093">
      <c r="A1093" s="48" t="n"/>
      <c r="B1093" s="52" t="n"/>
      <c r="C1093" s="47">
        <f>IF(B1093="","",IFERROR(INDEX('隊員マスタ'!$B$5:$B$204,MATCH(B1093&amp;"",'隊員マスタ'!$F$5:$F$204,0)),IF(AK1093="","番号なし",AK1093)))</f>
        <v/>
      </c>
      <c r="D1093" s="47" t="n"/>
      <c r="E1093" s="47" t="n"/>
      <c r="F1093" s="47" t="n"/>
      <c r="G1093" s="47" t="n"/>
      <c r="H1093" s="47" t="n"/>
      <c r="I1093" s="47" t="n"/>
      <c r="J1093" s="47" t="n"/>
      <c r="K1093" s="47" t="n"/>
      <c r="L1093" s="47" t="n"/>
      <c r="M1093" s="47" t="n"/>
      <c r="N1093" s="47" t="n"/>
      <c r="O1093" s="47" t="n"/>
      <c r="P1093" s="47" t="n"/>
      <c r="Q1093" s="47" t="n"/>
      <c r="R1093" s="47" t="n"/>
      <c r="S1093" s="47" t="n"/>
      <c r="T1093" s="47" t="n"/>
      <c r="U1093" s="53" t="n"/>
      <c r="V1093" s="53" t="n"/>
      <c r="W1093" s="47" t="n"/>
      <c r="X1093" s="47" t="n"/>
      <c r="Y1093" s="47" t="n"/>
      <c r="Z1093" s="47" t="n"/>
      <c r="AA1093" s="47" t="n"/>
      <c r="AB1093" s="47" t="n"/>
      <c r="AC1093" s="47" t="n"/>
      <c r="AD1093" s="47" t="n"/>
      <c r="AE1093" s="47" t="n"/>
      <c r="AF1093" s="20">
        <f>IF(A1093="","",YEAR(EDATE(A1093,-3)))</f>
        <v/>
      </c>
      <c r="AG1093" s="20">
        <f>IF(OR(B1093="",'経歴簿'!$C$4=""),"",IF(B1093&amp;""='経歴簿'!$C$4&amp;"",MAX($AG$4:AG1092)+1,""))</f>
        <v/>
      </c>
      <c r="AH1093" s="20">
        <f>IF(A1093="",0,IF(AND(OR('CSV抽出'!$C$4="",A1093&gt;='CSV抽出'!$C$4),OR('CSV抽出'!$C$5="",A1093&lt;='CSV抽出'!$C$5),OR('CSV抽出'!$C$6="すべて",'CSV抽出'!$C$6="",D1093='CSV抽出'!$C$6),OR('CSV抽出'!$C$7="",B1093&amp;""='CSV抽出'!$C$7&amp;"")),1,0))</f>
        <v/>
      </c>
      <c r="AI1093" s="20">
        <f>IF(AH1093=1,SUM($AH$5:AH1093),"")</f>
        <v/>
      </c>
      <c r="AJ1093" s="20">
        <f>IF(OR(S1093="",'報告書'!$C$4=""),"",IF(S1093&amp;""='報告書'!$C$4&amp;"",COUNTIF($S$5:S1093,'報告書'!$C$4),""))</f>
        <v/>
      </c>
      <c r="AK1093" s="20" t="n"/>
      <c r="AL1093" s="47" t="n"/>
      <c r="AM1093" s="47" t="n"/>
      <c r="AN1093" s="53" t="n"/>
      <c r="AO1093" s="47" t="n"/>
      <c r="AP1093" s="47" t="n"/>
      <c r="AQ1093" s="47" t="n"/>
      <c r="AR1093" s="47" t="n"/>
      <c r="AS1093" s="47" t="n"/>
      <c r="AT1093" s="47" t="n"/>
      <c r="AU1093" s="47" t="n"/>
      <c r="AV1093" s="47" t="n"/>
      <c r="AW1093" s="52" t="n"/>
    </row>
    <row r="1094">
      <c r="A1094" s="48" t="n"/>
      <c r="B1094" s="52" t="n"/>
      <c r="C1094" s="47">
        <f>IF(B1094="","",IFERROR(INDEX('隊員マスタ'!$B$5:$B$204,MATCH(B1094&amp;"",'隊員マスタ'!$F$5:$F$204,0)),IF(AK1094="","番号なし",AK1094)))</f>
        <v/>
      </c>
      <c r="D1094" s="47" t="n"/>
      <c r="E1094" s="47" t="n"/>
      <c r="F1094" s="47" t="n"/>
      <c r="G1094" s="47" t="n"/>
      <c r="H1094" s="47" t="n"/>
      <c r="I1094" s="47" t="n"/>
      <c r="J1094" s="47" t="n"/>
      <c r="K1094" s="47" t="n"/>
      <c r="L1094" s="47" t="n"/>
      <c r="M1094" s="47" t="n"/>
      <c r="N1094" s="47" t="n"/>
      <c r="O1094" s="47" t="n"/>
      <c r="P1094" s="47" t="n"/>
      <c r="Q1094" s="47" t="n"/>
      <c r="R1094" s="47" t="n"/>
      <c r="S1094" s="47" t="n"/>
      <c r="T1094" s="47" t="n"/>
      <c r="U1094" s="53" t="n"/>
      <c r="V1094" s="53" t="n"/>
      <c r="W1094" s="47" t="n"/>
      <c r="X1094" s="47" t="n"/>
      <c r="Y1094" s="47" t="n"/>
      <c r="Z1094" s="47" t="n"/>
      <c r="AA1094" s="47" t="n"/>
      <c r="AB1094" s="47" t="n"/>
      <c r="AC1094" s="47" t="n"/>
      <c r="AD1094" s="47" t="n"/>
      <c r="AE1094" s="47" t="n"/>
      <c r="AF1094" s="20">
        <f>IF(A1094="","",YEAR(EDATE(A1094,-3)))</f>
        <v/>
      </c>
      <c r="AG1094" s="20">
        <f>IF(OR(B1094="",'経歴簿'!$C$4=""),"",IF(B1094&amp;""='経歴簿'!$C$4&amp;"",MAX($AG$4:AG1093)+1,""))</f>
        <v/>
      </c>
      <c r="AH1094" s="20">
        <f>IF(A1094="",0,IF(AND(OR('CSV抽出'!$C$4="",A1094&gt;='CSV抽出'!$C$4),OR('CSV抽出'!$C$5="",A1094&lt;='CSV抽出'!$C$5),OR('CSV抽出'!$C$6="すべて",'CSV抽出'!$C$6="",D1094='CSV抽出'!$C$6),OR('CSV抽出'!$C$7="",B1094&amp;""='CSV抽出'!$C$7&amp;"")),1,0))</f>
        <v/>
      </c>
      <c r="AI1094" s="20">
        <f>IF(AH1094=1,SUM($AH$5:AH1094),"")</f>
        <v/>
      </c>
      <c r="AJ1094" s="20">
        <f>IF(OR(S1094="",'報告書'!$C$4=""),"",IF(S1094&amp;""='報告書'!$C$4&amp;"",COUNTIF($S$5:S1094,'報告書'!$C$4),""))</f>
        <v/>
      </c>
      <c r="AK1094" s="20" t="n"/>
      <c r="AL1094" s="47" t="n"/>
      <c r="AM1094" s="47" t="n"/>
      <c r="AN1094" s="53" t="n"/>
      <c r="AO1094" s="47" t="n"/>
      <c r="AP1094" s="47" t="n"/>
      <c r="AQ1094" s="47" t="n"/>
      <c r="AR1094" s="47" t="n"/>
      <c r="AS1094" s="47" t="n"/>
      <c r="AT1094" s="47" t="n"/>
      <c r="AU1094" s="47" t="n"/>
      <c r="AV1094" s="47" t="n"/>
      <c r="AW1094" s="52" t="n"/>
    </row>
    <row r="1095">
      <c r="A1095" s="48" t="n"/>
      <c r="B1095" s="52" t="n"/>
      <c r="C1095" s="47">
        <f>IF(B1095="","",IFERROR(INDEX('隊員マスタ'!$B$5:$B$204,MATCH(B1095&amp;"",'隊員マスタ'!$F$5:$F$204,0)),IF(AK1095="","番号なし",AK1095)))</f>
        <v/>
      </c>
      <c r="D1095" s="47" t="n"/>
      <c r="E1095" s="47" t="n"/>
      <c r="F1095" s="47" t="n"/>
      <c r="G1095" s="47" t="n"/>
      <c r="H1095" s="47" t="n"/>
      <c r="I1095" s="47" t="n"/>
      <c r="J1095" s="47" t="n"/>
      <c r="K1095" s="47" t="n"/>
      <c r="L1095" s="47" t="n"/>
      <c r="M1095" s="47" t="n"/>
      <c r="N1095" s="47" t="n"/>
      <c r="O1095" s="47" t="n"/>
      <c r="P1095" s="47" t="n"/>
      <c r="Q1095" s="47" t="n"/>
      <c r="R1095" s="47" t="n"/>
      <c r="S1095" s="47" t="n"/>
      <c r="T1095" s="47" t="n"/>
      <c r="U1095" s="53" t="n"/>
      <c r="V1095" s="53" t="n"/>
      <c r="W1095" s="47" t="n"/>
      <c r="X1095" s="47" t="n"/>
      <c r="Y1095" s="47" t="n"/>
      <c r="Z1095" s="47" t="n"/>
      <c r="AA1095" s="47" t="n"/>
      <c r="AB1095" s="47" t="n"/>
      <c r="AC1095" s="47" t="n"/>
      <c r="AD1095" s="47" t="n"/>
      <c r="AE1095" s="47" t="n"/>
      <c r="AF1095" s="20">
        <f>IF(A1095="","",YEAR(EDATE(A1095,-3)))</f>
        <v/>
      </c>
      <c r="AG1095" s="20">
        <f>IF(OR(B1095="",'経歴簿'!$C$4=""),"",IF(B1095&amp;""='経歴簿'!$C$4&amp;"",MAX($AG$4:AG1094)+1,""))</f>
        <v/>
      </c>
      <c r="AH1095" s="20">
        <f>IF(A1095="",0,IF(AND(OR('CSV抽出'!$C$4="",A1095&gt;='CSV抽出'!$C$4),OR('CSV抽出'!$C$5="",A1095&lt;='CSV抽出'!$C$5),OR('CSV抽出'!$C$6="すべて",'CSV抽出'!$C$6="",D1095='CSV抽出'!$C$6),OR('CSV抽出'!$C$7="",B1095&amp;""='CSV抽出'!$C$7&amp;"")),1,0))</f>
        <v/>
      </c>
      <c r="AI1095" s="20">
        <f>IF(AH1095=1,SUM($AH$5:AH1095),"")</f>
        <v/>
      </c>
      <c r="AJ1095" s="20">
        <f>IF(OR(S1095="",'報告書'!$C$4=""),"",IF(S1095&amp;""='報告書'!$C$4&amp;"",COUNTIF($S$5:S1095,'報告書'!$C$4),""))</f>
        <v/>
      </c>
      <c r="AK1095" s="20" t="n"/>
      <c r="AL1095" s="47" t="n"/>
      <c r="AM1095" s="47" t="n"/>
      <c r="AN1095" s="53" t="n"/>
      <c r="AO1095" s="47" t="n"/>
      <c r="AP1095" s="47" t="n"/>
      <c r="AQ1095" s="47" t="n"/>
      <c r="AR1095" s="47" t="n"/>
      <c r="AS1095" s="47" t="n"/>
      <c r="AT1095" s="47" t="n"/>
      <c r="AU1095" s="47" t="n"/>
      <c r="AV1095" s="47" t="n"/>
      <c r="AW1095" s="52" t="n"/>
    </row>
    <row r="1096">
      <c r="A1096" s="48" t="n"/>
      <c r="B1096" s="52" t="n"/>
      <c r="C1096" s="47">
        <f>IF(B1096="","",IFERROR(INDEX('隊員マスタ'!$B$5:$B$204,MATCH(B1096&amp;"",'隊員マスタ'!$F$5:$F$204,0)),IF(AK1096="","番号なし",AK1096)))</f>
        <v/>
      </c>
      <c r="D1096" s="47" t="n"/>
      <c r="E1096" s="47" t="n"/>
      <c r="F1096" s="47" t="n"/>
      <c r="G1096" s="47" t="n"/>
      <c r="H1096" s="47" t="n"/>
      <c r="I1096" s="47" t="n"/>
      <c r="J1096" s="47" t="n"/>
      <c r="K1096" s="47" t="n"/>
      <c r="L1096" s="47" t="n"/>
      <c r="M1096" s="47" t="n"/>
      <c r="N1096" s="47" t="n"/>
      <c r="O1096" s="47" t="n"/>
      <c r="P1096" s="47" t="n"/>
      <c r="Q1096" s="47" t="n"/>
      <c r="R1096" s="47" t="n"/>
      <c r="S1096" s="47" t="n"/>
      <c r="T1096" s="47" t="n"/>
      <c r="U1096" s="53" t="n"/>
      <c r="V1096" s="53" t="n"/>
      <c r="W1096" s="47" t="n"/>
      <c r="X1096" s="47" t="n"/>
      <c r="Y1096" s="47" t="n"/>
      <c r="Z1096" s="47" t="n"/>
      <c r="AA1096" s="47" t="n"/>
      <c r="AB1096" s="47" t="n"/>
      <c r="AC1096" s="47" t="n"/>
      <c r="AD1096" s="47" t="n"/>
      <c r="AE1096" s="47" t="n"/>
      <c r="AF1096" s="20">
        <f>IF(A1096="","",YEAR(EDATE(A1096,-3)))</f>
        <v/>
      </c>
      <c r="AG1096" s="20">
        <f>IF(OR(B1096="",'経歴簿'!$C$4=""),"",IF(B1096&amp;""='経歴簿'!$C$4&amp;"",MAX($AG$4:AG1095)+1,""))</f>
        <v/>
      </c>
      <c r="AH1096" s="20">
        <f>IF(A1096="",0,IF(AND(OR('CSV抽出'!$C$4="",A1096&gt;='CSV抽出'!$C$4),OR('CSV抽出'!$C$5="",A1096&lt;='CSV抽出'!$C$5),OR('CSV抽出'!$C$6="すべて",'CSV抽出'!$C$6="",D1096='CSV抽出'!$C$6),OR('CSV抽出'!$C$7="",B1096&amp;""='CSV抽出'!$C$7&amp;"")),1,0))</f>
        <v/>
      </c>
      <c r="AI1096" s="20">
        <f>IF(AH1096=1,SUM($AH$5:AH1096),"")</f>
        <v/>
      </c>
      <c r="AJ1096" s="20">
        <f>IF(OR(S1096="",'報告書'!$C$4=""),"",IF(S1096&amp;""='報告書'!$C$4&amp;"",COUNTIF($S$5:S1096,'報告書'!$C$4),""))</f>
        <v/>
      </c>
      <c r="AK1096" s="20" t="n"/>
      <c r="AL1096" s="47" t="n"/>
      <c r="AM1096" s="47" t="n"/>
      <c r="AN1096" s="53" t="n"/>
      <c r="AO1096" s="47" t="n"/>
      <c r="AP1096" s="47" t="n"/>
      <c r="AQ1096" s="47" t="n"/>
      <c r="AR1096" s="47" t="n"/>
      <c r="AS1096" s="47" t="n"/>
      <c r="AT1096" s="47" t="n"/>
      <c r="AU1096" s="47" t="n"/>
      <c r="AV1096" s="47" t="n"/>
      <c r="AW1096" s="52" t="n"/>
    </row>
    <row r="1097">
      <c r="A1097" s="48" t="n"/>
      <c r="B1097" s="52" t="n"/>
      <c r="C1097" s="47">
        <f>IF(B1097="","",IFERROR(INDEX('隊員マスタ'!$B$5:$B$204,MATCH(B1097&amp;"",'隊員マスタ'!$F$5:$F$204,0)),IF(AK1097="","番号なし",AK1097)))</f>
        <v/>
      </c>
      <c r="D1097" s="47" t="n"/>
      <c r="E1097" s="47" t="n"/>
      <c r="F1097" s="47" t="n"/>
      <c r="G1097" s="47" t="n"/>
      <c r="H1097" s="47" t="n"/>
      <c r="I1097" s="47" t="n"/>
      <c r="J1097" s="47" t="n"/>
      <c r="K1097" s="47" t="n"/>
      <c r="L1097" s="47" t="n"/>
      <c r="M1097" s="47" t="n"/>
      <c r="N1097" s="47" t="n"/>
      <c r="O1097" s="47" t="n"/>
      <c r="P1097" s="47" t="n"/>
      <c r="Q1097" s="47" t="n"/>
      <c r="R1097" s="47" t="n"/>
      <c r="S1097" s="47" t="n"/>
      <c r="T1097" s="47" t="n"/>
      <c r="U1097" s="53" t="n"/>
      <c r="V1097" s="53" t="n"/>
      <c r="W1097" s="47" t="n"/>
      <c r="X1097" s="47" t="n"/>
      <c r="Y1097" s="47" t="n"/>
      <c r="Z1097" s="47" t="n"/>
      <c r="AA1097" s="47" t="n"/>
      <c r="AB1097" s="47" t="n"/>
      <c r="AC1097" s="47" t="n"/>
      <c r="AD1097" s="47" t="n"/>
      <c r="AE1097" s="47" t="n"/>
      <c r="AF1097" s="20">
        <f>IF(A1097="","",YEAR(EDATE(A1097,-3)))</f>
        <v/>
      </c>
      <c r="AG1097" s="20">
        <f>IF(OR(B1097="",'経歴簿'!$C$4=""),"",IF(B1097&amp;""='経歴簿'!$C$4&amp;"",MAX($AG$4:AG1096)+1,""))</f>
        <v/>
      </c>
      <c r="AH1097" s="20">
        <f>IF(A1097="",0,IF(AND(OR('CSV抽出'!$C$4="",A1097&gt;='CSV抽出'!$C$4),OR('CSV抽出'!$C$5="",A1097&lt;='CSV抽出'!$C$5),OR('CSV抽出'!$C$6="すべて",'CSV抽出'!$C$6="",D1097='CSV抽出'!$C$6),OR('CSV抽出'!$C$7="",B1097&amp;""='CSV抽出'!$C$7&amp;"")),1,0))</f>
        <v/>
      </c>
      <c r="AI1097" s="20">
        <f>IF(AH1097=1,SUM($AH$5:AH1097),"")</f>
        <v/>
      </c>
      <c r="AJ1097" s="20">
        <f>IF(OR(S1097="",'報告書'!$C$4=""),"",IF(S1097&amp;""='報告書'!$C$4&amp;"",COUNTIF($S$5:S1097,'報告書'!$C$4),""))</f>
        <v/>
      </c>
      <c r="AK1097" s="20" t="n"/>
      <c r="AL1097" s="47" t="n"/>
      <c r="AM1097" s="47" t="n"/>
      <c r="AN1097" s="53" t="n"/>
      <c r="AO1097" s="47" t="n"/>
      <c r="AP1097" s="47" t="n"/>
      <c r="AQ1097" s="47" t="n"/>
      <c r="AR1097" s="47" t="n"/>
      <c r="AS1097" s="47" t="n"/>
      <c r="AT1097" s="47" t="n"/>
      <c r="AU1097" s="47" t="n"/>
      <c r="AV1097" s="47" t="n"/>
      <c r="AW1097" s="52" t="n"/>
    </row>
    <row r="1098">
      <c r="A1098" s="48" t="n"/>
      <c r="B1098" s="52" t="n"/>
      <c r="C1098" s="47">
        <f>IF(B1098="","",IFERROR(INDEX('隊員マスタ'!$B$5:$B$204,MATCH(B1098&amp;"",'隊員マスタ'!$F$5:$F$204,0)),IF(AK1098="","番号なし",AK1098)))</f>
        <v/>
      </c>
      <c r="D1098" s="47" t="n"/>
      <c r="E1098" s="47" t="n"/>
      <c r="F1098" s="47" t="n"/>
      <c r="G1098" s="47" t="n"/>
      <c r="H1098" s="47" t="n"/>
      <c r="I1098" s="47" t="n"/>
      <c r="J1098" s="47" t="n"/>
      <c r="K1098" s="47" t="n"/>
      <c r="L1098" s="47" t="n"/>
      <c r="M1098" s="47" t="n"/>
      <c r="N1098" s="47" t="n"/>
      <c r="O1098" s="47" t="n"/>
      <c r="P1098" s="47" t="n"/>
      <c r="Q1098" s="47" t="n"/>
      <c r="R1098" s="47" t="n"/>
      <c r="S1098" s="47" t="n"/>
      <c r="T1098" s="47" t="n"/>
      <c r="U1098" s="53" t="n"/>
      <c r="V1098" s="53" t="n"/>
      <c r="W1098" s="47" t="n"/>
      <c r="X1098" s="47" t="n"/>
      <c r="Y1098" s="47" t="n"/>
      <c r="Z1098" s="47" t="n"/>
      <c r="AA1098" s="47" t="n"/>
      <c r="AB1098" s="47" t="n"/>
      <c r="AC1098" s="47" t="n"/>
      <c r="AD1098" s="47" t="n"/>
      <c r="AE1098" s="47" t="n"/>
      <c r="AF1098" s="20">
        <f>IF(A1098="","",YEAR(EDATE(A1098,-3)))</f>
        <v/>
      </c>
      <c r="AG1098" s="20">
        <f>IF(OR(B1098="",'経歴簿'!$C$4=""),"",IF(B1098&amp;""='経歴簿'!$C$4&amp;"",MAX($AG$4:AG1097)+1,""))</f>
        <v/>
      </c>
      <c r="AH1098" s="20">
        <f>IF(A1098="",0,IF(AND(OR('CSV抽出'!$C$4="",A1098&gt;='CSV抽出'!$C$4),OR('CSV抽出'!$C$5="",A1098&lt;='CSV抽出'!$C$5),OR('CSV抽出'!$C$6="すべて",'CSV抽出'!$C$6="",D1098='CSV抽出'!$C$6),OR('CSV抽出'!$C$7="",B1098&amp;""='CSV抽出'!$C$7&amp;"")),1,0))</f>
        <v/>
      </c>
      <c r="AI1098" s="20">
        <f>IF(AH1098=1,SUM($AH$5:AH1098),"")</f>
        <v/>
      </c>
      <c r="AJ1098" s="20">
        <f>IF(OR(S1098="",'報告書'!$C$4=""),"",IF(S1098&amp;""='報告書'!$C$4&amp;"",COUNTIF($S$5:S1098,'報告書'!$C$4),""))</f>
        <v/>
      </c>
      <c r="AK1098" s="20" t="n"/>
      <c r="AL1098" s="47" t="n"/>
      <c r="AM1098" s="47" t="n"/>
      <c r="AN1098" s="53" t="n"/>
      <c r="AO1098" s="47" t="n"/>
      <c r="AP1098" s="47" t="n"/>
      <c r="AQ1098" s="47" t="n"/>
      <c r="AR1098" s="47" t="n"/>
      <c r="AS1098" s="47" t="n"/>
      <c r="AT1098" s="47" t="n"/>
      <c r="AU1098" s="47" t="n"/>
      <c r="AV1098" s="47" t="n"/>
      <c r="AW1098" s="52" t="n"/>
    </row>
    <row r="1099">
      <c r="A1099" s="48" t="n"/>
      <c r="B1099" s="52" t="n"/>
      <c r="C1099" s="47">
        <f>IF(B1099="","",IFERROR(INDEX('隊員マスタ'!$B$5:$B$204,MATCH(B1099&amp;"",'隊員マスタ'!$F$5:$F$204,0)),IF(AK1099="","番号なし",AK1099)))</f>
        <v/>
      </c>
      <c r="D1099" s="47" t="n"/>
      <c r="E1099" s="47" t="n"/>
      <c r="F1099" s="47" t="n"/>
      <c r="G1099" s="47" t="n"/>
      <c r="H1099" s="47" t="n"/>
      <c r="I1099" s="47" t="n"/>
      <c r="J1099" s="47" t="n"/>
      <c r="K1099" s="47" t="n"/>
      <c r="L1099" s="47" t="n"/>
      <c r="M1099" s="47" t="n"/>
      <c r="N1099" s="47" t="n"/>
      <c r="O1099" s="47" t="n"/>
      <c r="P1099" s="47" t="n"/>
      <c r="Q1099" s="47" t="n"/>
      <c r="R1099" s="47" t="n"/>
      <c r="S1099" s="47" t="n"/>
      <c r="T1099" s="47" t="n"/>
      <c r="U1099" s="53" t="n"/>
      <c r="V1099" s="53" t="n"/>
      <c r="W1099" s="47" t="n"/>
      <c r="X1099" s="47" t="n"/>
      <c r="Y1099" s="47" t="n"/>
      <c r="Z1099" s="47" t="n"/>
      <c r="AA1099" s="47" t="n"/>
      <c r="AB1099" s="47" t="n"/>
      <c r="AC1099" s="47" t="n"/>
      <c r="AD1099" s="47" t="n"/>
      <c r="AE1099" s="47" t="n"/>
      <c r="AF1099" s="20">
        <f>IF(A1099="","",YEAR(EDATE(A1099,-3)))</f>
        <v/>
      </c>
      <c r="AG1099" s="20">
        <f>IF(OR(B1099="",'経歴簿'!$C$4=""),"",IF(B1099&amp;""='経歴簿'!$C$4&amp;"",MAX($AG$4:AG1098)+1,""))</f>
        <v/>
      </c>
      <c r="AH1099" s="20">
        <f>IF(A1099="",0,IF(AND(OR('CSV抽出'!$C$4="",A1099&gt;='CSV抽出'!$C$4),OR('CSV抽出'!$C$5="",A1099&lt;='CSV抽出'!$C$5),OR('CSV抽出'!$C$6="すべて",'CSV抽出'!$C$6="",D1099='CSV抽出'!$C$6),OR('CSV抽出'!$C$7="",B1099&amp;""='CSV抽出'!$C$7&amp;"")),1,0))</f>
        <v/>
      </c>
      <c r="AI1099" s="20">
        <f>IF(AH1099=1,SUM($AH$5:AH1099),"")</f>
        <v/>
      </c>
      <c r="AJ1099" s="20">
        <f>IF(OR(S1099="",'報告書'!$C$4=""),"",IF(S1099&amp;""='報告書'!$C$4&amp;"",COUNTIF($S$5:S1099,'報告書'!$C$4),""))</f>
        <v/>
      </c>
      <c r="AK1099" s="20" t="n"/>
      <c r="AL1099" s="47" t="n"/>
      <c r="AM1099" s="47" t="n"/>
      <c r="AN1099" s="53" t="n"/>
      <c r="AO1099" s="47" t="n"/>
      <c r="AP1099" s="47" t="n"/>
      <c r="AQ1099" s="47" t="n"/>
      <c r="AR1099" s="47" t="n"/>
      <c r="AS1099" s="47" t="n"/>
      <c r="AT1099" s="47" t="n"/>
      <c r="AU1099" s="47" t="n"/>
      <c r="AV1099" s="47" t="n"/>
      <c r="AW1099" s="52" t="n"/>
    </row>
    <row r="1100">
      <c r="A1100" s="48" t="n"/>
      <c r="B1100" s="52" t="n"/>
      <c r="C1100" s="47">
        <f>IF(B1100="","",IFERROR(INDEX('隊員マスタ'!$B$5:$B$204,MATCH(B1100&amp;"",'隊員マスタ'!$F$5:$F$204,0)),IF(AK1100="","番号なし",AK1100)))</f>
        <v/>
      </c>
      <c r="D1100" s="47" t="n"/>
      <c r="E1100" s="47" t="n"/>
      <c r="F1100" s="47" t="n"/>
      <c r="G1100" s="47" t="n"/>
      <c r="H1100" s="47" t="n"/>
      <c r="I1100" s="47" t="n"/>
      <c r="J1100" s="47" t="n"/>
      <c r="K1100" s="47" t="n"/>
      <c r="L1100" s="47" t="n"/>
      <c r="M1100" s="47" t="n"/>
      <c r="N1100" s="47" t="n"/>
      <c r="O1100" s="47" t="n"/>
      <c r="P1100" s="47" t="n"/>
      <c r="Q1100" s="47" t="n"/>
      <c r="R1100" s="47" t="n"/>
      <c r="S1100" s="47" t="n"/>
      <c r="T1100" s="47" t="n"/>
      <c r="U1100" s="53" t="n"/>
      <c r="V1100" s="53" t="n"/>
      <c r="W1100" s="47" t="n"/>
      <c r="X1100" s="47" t="n"/>
      <c r="Y1100" s="47" t="n"/>
      <c r="Z1100" s="47" t="n"/>
      <c r="AA1100" s="47" t="n"/>
      <c r="AB1100" s="47" t="n"/>
      <c r="AC1100" s="47" t="n"/>
      <c r="AD1100" s="47" t="n"/>
      <c r="AE1100" s="47" t="n"/>
      <c r="AF1100" s="20">
        <f>IF(A1100="","",YEAR(EDATE(A1100,-3)))</f>
        <v/>
      </c>
      <c r="AG1100" s="20">
        <f>IF(OR(B1100="",'経歴簿'!$C$4=""),"",IF(B1100&amp;""='経歴簿'!$C$4&amp;"",MAX($AG$4:AG1099)+1,""))</f>
        <v/>
      </c>
      <c r="AH1100" s="20">
        <f>IF(A1100="",0,IF(AND(OR('CSV抽出'!$C$4="",A1100&gt;='CSV抽出'!$C$4),OR('CSV抽出'!$C$5="",A1100&lt;='CSV抽出'!$C$5),OR('CSV抽出'!$C$6="すべて",'CSV抽出'!$C$6="",D1100='CSV抽出'!$C$6),OR('CSV抽出'!$C$7="",B1100&amp;""='CSV抽出'!$C$7&amp;"")),1,0))</f>
        <v/>
      </c>
      <c r="AI1100" s="20">
        <f>IF(AH1100=1,SUM($AH$5:AH1100),"")</f>
        <v/>
      </c>
      <c r="AJ1100" s="20">
        <f>IF(OR(S1100="",'報告書'!$C$4=""),"",IF(S1100&amp;""='報告書'!$C$4&amp;"",COUNTIF($S$5:S1100,'報告書'!$C$4),""))</f>
        <v/>
      </c>
      <c r="AK1100" s="20" t="n"/>
      <c r="AL1100" s="47" t="n"/>
      <c r="AM1100" s="47" t="n"/>
      <c r="AN1100" s="53" t="n"/>
      <c r="AO1100" s="47" t="n"/>
      <c r="AP1100" s="47" t="n"/>
      <c r="AQ1100" s="47" t="n"/>
      <c r="AR1100" s="47" t="n"/>
      <c r="AS1100" s="47" t="n"/>
      <c r="AT1100" s="47" t="n"/>
      <c r="AU1100" s="47" t="n"/>
      <c r="AV1100" s="47" t="n"/>
      <c r="AW1100" s="52" t="n"/>
    </row>
    <row r="1101">
      <c r="A1101" s="48" t="n"/>
      <c r="B1101" s="52" t="n"/>
      <c r="C1101" s="47">
        <f>IF(B1101="","",IFERROR(INDEX('隊員マスタ'!$B$5:$B$204,MATCH(B1101&amp;"",'隊員マスタ'!$F$5:$F$204,0)),IF(AK1101="","番号なし",AK1101)))</f>
        <v/>
      </c>
      <c r="D1101" s="47" t="n"/>
      <c r="E1101" s="47" t="n"/>
      <c r="F1101" s="47" t="n"/>
      <c r="G1101" s="47" t="n"/>
      <c r="H1101" s="47" t="n"/>
      <c r="I1101" s="47" t="n"/>
      <c r="J1101" s="47" t="n"/>
      <c r="K1101" s="47" t="n"/>
      <c r="L1101" s="47" t="n"/>
      <c r="M1101" s="47" t="n"/>
      <c r="N1101" s="47" t="n"/>
      <c r="O1101" s="47" t="n"/>
      <c r="P1101" s="47" t="n"/>
      <c r="Q1101" s="47" t="n"/>
      <c r="R1101" s="47" t="n"/>
      <c r="S1101" s="47" t="n"/>
      <c r="T1101" s="47" t="n"/>
      <c r="U1101" s="53" t="n"/>
      <c r="V1101" s="53" t="n"/>
      <c r="W1101" s="47" t="n"/>
      <c r="X1101" s="47" t="n"/>
      <c r="Y1101" s="47" t="n"/>
      <c r="Z1101" s="47" t="n"/>
      <c r="AA1101" s="47" t="n"/>
      <c r="AB1101" s="47" t="n"/>
      <c r="AC1101" s="47" t="n"/>
      <c r="AD1101" s="47" t="n"/>
      <c r="AE1101" s="47" t="n"/>
      <c r="AF1101" s="20">
        <f>IF(A1101="","",YEAR(EDATE(A1101,-3)))</f>
        <v/>
      </c>
      <c r="AG1101" s="20">
        <f>IF(OR(B1101="",'経歴簿'!$C$4=""),"",IF(B1101&amp;""='経歴簿'!$C$4&amp;"",MAX($AG$4:AG1100)+1,""))</f>
        <v/>
      </c>
      <c r="AH1101" s="20">
        <f>IF(A1101="",0,IF(AND(OR('CSV抽出'!$C$4="",A1101&gt;='CSV抽出'!$C$4),OR('CSV抽出'!$C$5="",A1101&lt;='CSV抽出'!$C$5),OR('CSV抽出'!$C$6="すべて",'CSV抽出'!$C$6="",D1101='CSV抽出'!$C$6),OR('CSV抽出'!$C$7="",B1101&amp;""='CSV抽出'!$C$7&amp;"")),1,0))</f>
        <v/>
      </c>
      <c r="AI1101" s="20">
        <f>IF(AH1101=1,SUM($AH$5:AH1101),"")</f>
        <v/>
      </c>
      <c r="AJ1101" s="20">
        <f>IF(OR(S1101="",'報告書'!$C$4=""),"",IF(S1101&amp;""='報告書'!$C$4&amp;"",COUNTIF($S$5:S1101,'報告書'!$C$4),""))</f>
        <v/>
      </c>
      <c r="AK1101" s="20" t="n"/>
      <c r="AL1101" s="47" t="n"/>
      <c r="AM1101" s="47" t="n"/>
      <c r="AN1101" s="53" t="n"/>
      <c r="AO1101" s="47" t="n"/>
      <c r="AP1101" s="47" t="n"/>
      <c r="AQ1101" s="47" t="n"/>
      <c r="AR1101" s="47" t="n"/>
      <c r="AS1101" s="47" t="n"/>
      <c r="AT1101" s="47" t="n"/>
      <c r="AU1101" s="47" t="n"/>
      <c r="AV1101" s="47" t="n"/>
      <c r="AW1101" s="52" t="n"/>
    </row>
    <row r="1102">
      <c r="A1102" s="48" t="n"/>
      <c r="B1102" s="52" t="n"/>
      <c r="C1102" s="47">
        <f>IF(B1102="","",IFERROR(INDEX('隊員マスタ'!$B$5:$B$204,MATCH(B1102&amp;"",'隊員マスタ'!$F$5:$F$204,0)),IF(AK1102="","番号なし",AK1102)))</f>
        <v/>
      </c>
      <c r="D1102" s="47" t="n"/>
      <c r="E1102" s="47" t="n"/>
      <c r="F1102" s="47" t="n"/>
      <c r="G1102" s="47" t="n"/>
      <c r="H1102" s="47" t="n"/>
      <c r="I1102" s="47" t="n"/>
      <c r="J1102" s="47" t="n"/>
      <c r="K1102" s="47" t="n"/>
      <c r="L1102" s="47" t="n"/>
      <c r="M1102" s="47" t="n"/>
      <c r="N1102" s="47" t="n"/>
      <c r="O1102" s="47" t="n"/>
      <c r="P1102" s="47" t="n"/>
      <c r="Q1102" s="47" t="n"/>
      <c r="R1102" s="47" t="n"/>
      <c r="S1102" s="47" t="n"/>
      <c r="T1102" s="47" t="n"/>
      <c r="U1102" s="53" t="n"/>
      <c r="V1102" s="53" t="n"/>
      <c r="W1102" s="47" t="n"/>
      <c r="X1102" s="47" t="n"/>
      <c r="Y1102" s="47" t="n"/>
      <c r="Z1102" s="47" t="n"/>
      <c r="AA1102" s="47" t="n"/>
      <c r="AB1102" s="47" t="n"/>
      <c r="AC1102" s="47" t="n"/>
      <c r="AD1102" s="47" t="n"/>
      <c r="AE1102" s="47" t="n"/>
      <c r="AF1102" s="20">
        <f>IF(A1102="","",YEAR(EDATE(A1102,-3)))</f>
        <v/>
      </c>
      <c r="AG1102" s="20">
        <f>IF(OR(B1102="",'経歴簿'!$C$4=""),"",IF(B1102&amp;""='経歴簿'!$C$4&amp;"",MAX($AG$4:AG1101)+1,""))</f>
        <v/>
      </c>
      <c r="AH1102" s="20">
        <f>IF(A1102="",0,IF(AND(OR('CSV抽出'!$C$4="",A1102&gt;='CSV抽出'!$C$4),OR('CSV抽出'!$C$5="",A1102&lt;='CSV抽出'!$C$5),OR('CSV抽出'!$C$6="すべて",'CSV抽出'!$C$6="",D1102='CSV抽出'!$C$6),OR('CSV抽出'!$C$7="",B1102&amp;""='CSV抽出'!$C$7&amp;"")),1,0))</f>
        <v/>
      </c>
      <c r="AI1102" s="20">
        <f>IF(AH1102=1,SUM($AH$5:AH1102),"")</f>
        <v/>
      </c>
      <c r="AJ1102" s="20">
        <f>IF(OR(S1102="",'報告書'!$C$4=""),"",IF(S1102&amp;""='報告書'!$C$4&amp;"",COUNTIF($S$5:S1102,'報告書'!$C$4),""))</f>
        <v/>
      </c>
      <c r="AK1102" s="20" t="n"/>
      <c r="AL1102" s="47" t="n"/>
      <c r="AM1102" s="47" t="n"/>
      <c r="AN1102" s="53" t="n"/>
      <c r="AO1102" s="47" t="n"/>
      <c r="AP1102" s="47" t="n"/>
      <c r="AQ1102" s="47" t="n"/>
      <c r="AR1102" s="47" t="n"/>
      <c r="AS1102" s="47" t="n"/>
      <c r="AT1102" s="47" t="n"/>
      <c r="AU1102" s="47" t="n"/>
      <c r="AV1102" s="47" t="n"/>
      <c r="AW1102" s="52" t="n"/>
    </row>
    <row r="1103">
      <c r="A1103" s="48" t="n"/>
      <c r="B1103" s="52" t="n"/>
      <c r="C1103" s="47">
        <f>IF(B1103="","",IFERROR(INDEX('隊員マスタ'!$B$5:$B$204,MATCH(B1103&amp;"",'隊員マスタ'!$F$5:$F$204,0)),IF(AK1103="","番号なし",AK1103)))</f>
        <v/>
      </c>
      <c r="D1103" s="47" t="n"/>
      <c r="E1103" s="47" t="n"/>
      <c r="F1103" s="47" t="n"/>
      <c r="G1103" s="47" t="n"/>
      <c r="H1103" s="47" t="n"/>
      <c r="I1103" s="47" t="n"/>
      <c r="J1103" s="47" t="n"/>
      <c r="K1103" s="47" t="n"/>
      <c r="L1103" s="47" t="n"/>
      <c r="M1103" s="47" t="n"/>
      <c r="N1103" s="47" t="n"/>
      <c r="O1103" s="47" t="n"/>
      <c r="P1103" s="47" t="n"/>
      <c r="Q1103" s="47" t="n"/>
      <c r="R1103" s="47" t="n"/>
      <c r="S1103" s="47" t="n"/>
      <c r="T1103" s="47" t="n"/>
      <c r="U1103" s="53" t="n"/>
      <c r="V1103" s="53" t="n"/>
      <c r="W1103" s="47" t="n"/>
      <c r="X1103" s="47" t="n"/>
      <c r="Y1103" s="47" t="n"/>
      <c r="Z1103" s="47" t="n"/>
      <c r="AA1103" s="47" t="n"/>
      <c r="AB1103" s="47" t="n"/>
      <c r="AC1103" s="47" t="n"/>
      <c r="AD1103" s="47" t="n"/>
      <c r="AE1103" s="47" t="n"/>
      <c r="AF1103" s="20">
        <f>IF(A1103="","",YEAR(EDATE(A1103,-3)))</f>
        <v/>
      </c>
      <c r="AG1103" s="20">
        <f>IF(OR(B1103="",'経歴簿'!$C$4=""),"",IF(B1103&amp;""='経歴簿'!$C$4&amp;"",MAX($AG$4:AG1102)+1,""))</f>
        <v/>
      </c>
      <c r="AH1103" s="20">
        <f>IF(A1103="",0,IF(AND(OR('CSV抽出'!$C$4="",A1103&gt;='CSV抽出'!$C$4),OR('CSV抽出'!$C$5="",A1103&lt;='CSV抽出'!$C$5),OR('CSV抽出'!$C$6="すべて",'CSV抽出'!$C$6="",D1103='CSV抽出'!$C$6),OR('CSV抽出'!$C$7="",B1103&amp;""='CSV抽出'!$C$7&amp;"")),1,0))</f>
        <v/>
      </c>
      <c r="AI1103" s="20">
        <f>IF(AH1103=1,SUM($AH$5:AH1103),"")</f>
        <v/>
      </c>
      <c r="AJ1103" s="20">
        <f>IF(OR(S1103="",'報告書'!$C$4=""),"",IF(S1103&amp;""='報告書'!$C$4&amp;"",COUNTIF($S$5:S1103,'報告書'!$C$4),""))</f>
        <v/>
      </c>
      <c r="AK1103" s="20" t="n"/>
      <c r="AL1103" s="47" t="n"/>
      <c r="AM1103" s="47" t="n"/>
      <c r="AN1103" s="53" t="n"/>
      <c r="AO1103" s="47" t="n"/>
      <c r="AP1103" s="47" t="n"/>
      <c r="AQ1103" s="47" t="n"/>
      <c r="AR1103" s="47" t="n"/>
      <c r="AS1103" s="47" t="n"/>
      <c r="AT1103" s="47" t="n"/>
      <c r="AU1103" s="47" t="n"/>
      <c r="AV1103" s="47" t="n"/>
      <c r="AW1103" s="52" t="n"/>
    </row>
    <row r="1104">
      <c r="A1104" s="48" t="n"/>
      <c r="B1104" s="52" t="n"/>
      <c r="C1104" s="47">
        <f>IF(B1104="","",IFERROR(INDEX('隊員マスタ'!$B$5:$B$204,MATCH(B1104&amp;"",'隊員マスタ'!$F$5:$F$204,0)),IF(AK1104="","番号なし",AK1104)))</f>
        <v/>
      </c>
      <c r="D1104" s="47" t="n"/>
      <c r="E1104" s="47" t="n"/>
      <c r="F1104" s="47" t="n"/>
      <c r="G1104" s="47" t="n"/>
      <c r="H1104" s="47" t="n"/>
      <c r="I1104" s="47" t="n"/>
      <c r="J1104" s="47" t="n"/>
      <c r="K1104" s="47" t="n"/>
      <c r="L1104" s="47" t="n"/>
      <c r="M1104" s="47" t="n"/>
      <c r="N1104" s="47" t="n"/>
      <c r="O1104" s="47" t="n"/>
      <c r="P1104" s="47" t="n"/>
      <c r="Q1104" s="47" t="n"/>
      <c r="R1104" s="47" t="n"/>
      <c r="S1104" s="47" t="n"/>
      <c r="T1104" s="47" t="n"/>
      <c r="U1104" s="53" t="n"/>
      <c r="V1104" s="53" t="n"/>
      <c r="W1104" s="47" t="n"/>
      <c r="X1104" s="47" t="n"/>
      <c r="Y1104" s="47" t="n"/>
      <c r="Z1104" s="47" t="n"/>
      <c r="AA1104" s="47" t="n"/>
      <c r="AB1104" s="47" t="n"/>
      <c r="AC1104" s="47" t="n"/>
      <c r="AD1104" s="47" t="n"/>
      <c r="AE1104" s="47" t="n"/>
      <c r="AF1104" s="20">
        <f>IF(A1104="","",YEAR(EDATE(A1104,-3)))</f>
        <v/>
      </c>
      <c r="AG1104" s="20">
        <f>IF(OR(B1104="",'経歴簿'!$C$4=""),"",IF(B1104&amp;""='経歴簿'!$C$4&amp;"",MAX($AG$4:AG1103)+1,""))</f>
        <v/>
      </c>
      <c r="AH1104" s="20">
        <f>IF(A1104="",0,IF(AND(OR('CSV抽出'!$C$4="",A1104&gt;='CSV抽出'!$C$4),OR('CSV抽出'!$C$5="",A1104&lt;='CSV抽出'!$C$5),OR('CSV抽出'!$C$6="すべて",'CSV抽出'!$C$6="",D1104='CSV抽出'!$C$6),OR('CSV抽出'!$C$7="",B1104&amp;""='CSV抽出'!$C$7&amp;"")),1,0))</f>
        <v/>
      </c>
      <c r="AI1104" s="20">
        <f>IF(AH1104=1,SUM($AH$5:AH1104),"")</f>
        <v/>
      </c>
      <c r="AJ1104" s="20">
        <f>IF(OR(S1104="",'報告書'!$C$4=""),"",IF(S1104&amp;""='報告書'!$C$4&amp;"",COUNTIF($S$5:S1104,'報告書'!$C$4),""))</f>
        <v/>
      </c>
      <c r="AK1104" s="20" t="n"/>
      <c r="AL1104" s="47" t="n"/>
      <c r="AM1104" s="47" t="n"/>
      <c r="AN1104" s="53" t="n"/>
      <c r="AO1104" s="47" t="n"/>
      <c r="AP1104" s="47" t="n"/>
      <c r="AQ1104" s="47" t="n"/>
      <c r="AR1104" s="47" t="n"/>
      <c r="AS1104" s="47" t="n"/>
      <c r="AT1104" s="47" t="n"/>
      <c r="AU1104" s="47" t="n"/>
      <c r="AV1104" s="47" t="n"/>
      <c r="AW1104" s="52" t="n"/>
    </row>
    <row r="1105">
      <c r="A1105" s="48" t="n"/>
      <c r="B1105" s="52" t="n"/>
      <c r="C1105" s="47">
        <f>IF(B1105="","",IFERROR(INDEX('隊員マスタ'!$B$5:$B$204,MATCH(B1105&amp;"",'隊員マスタ'!$F$5:$F$204,0)),IF(AK1105="","番号なし",AK1105)))</f>
        <v/>
      </c>
      <c r="D1105" s="47" t="n"/>
      <c r="E1105" s="47" t="n"/>
      <c r="F1105" s="47" t="n"/>
      <c r="G1105" s="47" t="n"/>
      <c r="H1105" s="47" t="n"/>
      <c r="I1105" s="47" t="n"/>
      <c r="J1105" s="47" t="n"/>
      <c r="K1105" s="47" t="n"/>
      <c r="L1105" s="47" t="n"/>
      <c r="M1105" s="47" t="n"/>
      <c r="N1105" s="47" t="n"/>
      <c r="O1105" s="47" t="n"/>
      <c r="P1105" s="47" t="n"/>
      <c r="Q1105" s="47" t="n"/>
      <c r="R1105" s="47" t="n"/>
      <c r="S1105" s="47" t="n"/>
      <c r="T1105" s="47" t="n"/>
      <c r="U1105" s="53" t="n"/>
      <c r="V1105" s="53" t="n"/>
      <c r="W1105" s="47" t="n"/>
      <c r="X1105" s="47" t="n"/>
      <c r="Y1105" s="47" t="n"/>
      <c r="Z1105" s="47" t="n"/>
      <c r="AA1105" s="47" t="n"/>
      <c r="AB1105" s="47" t="n"/>
      <c r="AC1105" s="47" t="n"/>
      <c r="AD1105" s="47" t="n"/>
      <c r="AE1105" s="47" t="n"/>
      <c r="AF1105" s="20">
        <f>IF(A1105="","",YEAR(EDATE(A1105,-3)))</f>
        <v/>
      </c>
      <c r="AG1105" s="20">
        <f>IF(OR(B1105="",'経歴簿'!$C$4=""),"",IF(B1105&amp;""='経歴簿'!$C$4&amp;"",MAX($AG$4:AG1104)+1,""))</f>
        <v/>
      </c>
      <c r="AH1105" s="20">
        <f>IF(A1105="",0,IF(AND(OR('CSV抽出'!$C$4="",A1105&gt;='CSV抽出'!$C$4),OR('CSV抽出'!$C$5="",A1105&lt;='CSV抽出'!$C$5),OR('CSV抽出'!$C$6="すべて",'CSV抽出'!$C$6="",D1105='CSV抽出'!$C$6),OR('CSV抽出'!$C$7="",B1105&amp;""='CSV抽出'!$C$7&amp;"")),1,0))</f>
        <v/>
      </c>
      <c r="AI1105" s="20">
        <f>IF(AH1105=1,SUM($AH$5:AH1105),"")</f>
        <v/>
      </c>
      <c r="AJ1105" s="20">
        <f>IF(OR(S1105="",'報告書'!$C$4=""),"",IF(S1105&amp;""='報告書'!$C$4&amp;"",COUNTIF($S$5:S1105,'報告書'!$C$4),""))</f>
        <v/>
      </c>
      <c r="AK1105" s="20" t="n"/>
      <c r="AL1105" s="47" t="n"/>
      <c r="AM1105" s="47" t="n"/>
      <c r="AN1105" s="53" t="n"/>
      <c r="AO1105" s="47" t="n"/>
      <c r="AP1105" s="47" t="n"/>
      <c r="AQ1105" s="47" t="n"/>
      <c r="AR1105" s="47" t="n"/>
      <c r="AS1105" s="47" t="n"/>
      <c r="AT1105" s="47" t="n"/>
      <c r="AU1105" s="47" t="n"/>
      <c r="AV1105" s="47" t="n"/>
      <c r="AW1105" s="52" t="n"/>
    </row>
    <row r="1106">
      <c r="A1106" s="48" t="n"/>
      <c r="B1106" s="52" t="n"/>
      <c r="C1106" s="47">
        <f>IF(B1106="","",IFERROR(INDEX('隊員マスタ'!$B$5:$B$204,MATCH(B1106&amp;"",'隊員マスタ'!$F$5:$F$204,0)),IF(AK1106="","番号なし",AK1106)))</f>
        <v/>
      </c>
      <c r="D1106" s="47" t="n"/>
      <c r="E1106" s="47" t="n"/>
      <c r="F1106" s="47" t="n"/>
      <c r="G1106" s="47" t="n"/>
      <c r="H1106" s="47" t="n"/>
      <c r="I1106" s="47" t="n"/>
      <c r="J1106" s="47" t="n"/>
      <c r="K1106" s="47" t="n"/>
      <c r="L1106" s="47" t="n"/>
      <c r="M1106" s="47" t="n"/>
      <c r="N1106" s="47" t="n"/>
      <c r="O1106" s="47" t="n"/>
      <c r="P1106" s="47" t="n"/>
      <c r="Q1106" s="47" t="n"/>
      <c r="R1106" s="47" t="n"/>
      <c r="S1106" s="47" t="n"/>
      <c r="T1106" s="47" t="n"/>
      <c r="U1106" s="53" t="n"/>
      <c r="V1106" s="53" t="n"/>
      <c r="W1106" s="47" t="n"/>
      <c r="X1106" s="47" t="n"/>
      <c r="Y1106" s="47" t="n"/>
      <c r="Z1106" s="47" t="n"/>
      <c r="AA1106" s="47" t="n"/>
      <c r="AB1106" s="47" t="n"/>
      <c r="AC1106" s="47" t="n"/>
      <c r="AD1106" s="47" t="n"/>
      <c r="AE1106" s="47" t="n"/>
      <c r="AF1106" s="20">
        <f>IF(A1106="","",YEAR(EDATE(A1106,-3)))</f>
        <v/>
      </c>
      <c r="AG1106" s="20">
        <f>IF(OR(B1106="",'経歴簿'!$C$4=""),"",IF(B1106&amp;""='経歴簿'!$C$4&amp;"",MAX($AG$4:AG1105)+1,""))</f>
        <v/>
      </c>
      <c r="AH1106" s="20">
        <f>IF(A1106="",0,IF(AND(OR('CSV抽出'!$C$4="",A1106&gt;='CSV抽出'!$C$4),OR('CSV抽出'!$C$5="",A1106&lt;='CSV抽出'!$C$5),OR('CSV抽出'!$C$6="すべて",'CSV抽出'!$C$6="",D1106='CSV抽出'!$C$6),OR('CSV抽出'!$C$7="",B1106&amp;""='CSV抽出'!$C$7&amp;"")),1,0))</f>
        <v/>
      </c>
      <c r="AI1106" s="20">
        <f>IF(AH1106=1,SUM($AH$5:AH1106),"")</f>
        <v/>
      </c>
      <c r="AJ1106" s="20">
        <f>IF(OR(S1106="",'報告書'!$C$4=""),"",IF(S1106&amp;""='報告書'!$C$4&amp;"",COUNTIF($S$5:S1106,'報告書'!$C$4),""))</f>
        <v/>
      </c>
      <c r="AK1106" s="20" t="n"/>
      <c r="AL1106" s="47" t="n"/>
      <c r="AM1106" s="47" t="n"/>
      <c r="AN1106" s="53" t="n"/>
      <c r="AO1106" s="47" t="n"/>
      <c r="AP1106" s="47" t="n"/>
      <c r="AQ1106" s="47" t="n"/>
      <c r="AR1106" s="47" t="n"/>
      <c r="AS1106" s="47" t="n"/>
      <c r="AT1106" s="47" t="n"/>
      <c r="AU1106" s="47" t="n"/>
      <c r="AV1106" s="47" t="n"/>
      <c r="AW1106" s="52" t="n"/>
    </row>
    <row r="1107">
      <c r="A1107" s="48" t="n"/>
      <c r="B1107" s="52" t="n"/>
      <c r="C1107" s="47">
        <f>IF(B1107="","",IFERROR(INDEX('隊員マスタ'!$B$5:$B$204,MATCH(B1107&amp;"",'隊員マスタ'!$F$5:$F$204,0)),IF(AK1107="","番号なし",AK1107)))</f>
        <v/>
      </c>
      <c r="D1107" s="47" t="n"/>
      <c r="E1107" s="47" t="n"/>
      <c r="F1107" s="47" t="n"/>
      <c r="G1107" s="47" t="n"/>
      <c r="H1107" s="47" t="n"/>
      <c r="I1107" s="47" t="n"/>
      <c r="J1107" s="47" t="n"/>
      <c r="K1107" s="47" t="n"/>
      <c r="L1107" s="47" t="n"/>
      <c r="M1107" s="47" t="n"/>
      <c r="N1107" s="47" t="n"/>
      <c r="O1107" s="47" t="n"/>
      <c r="P1107" s="47" t="n"/>
      <c r="Q1107" s="47" t="n"/>
      <c r="R1107" s="47" t="n"/>
      <c r="S1107" s="47" t="n"/>
      <c r="T1107" s="47" t="n"/>
      <c r="U1107" s="53" t="n"/>
      <c r="V1107" s="53" t="n"/>
      <c r="W1107" s="47" t="n"/>
      <c r="X1107" s="47" t="n"/>
      <c r="Y1107" s="47" t="n"/>
      <c r="Z1107" s="47" t="n"/>
      <c r="AA1107" s="47" t="n"/>
      <c r="AB1107" s="47" t="n"/>
      <c r="AC1107" s="47" t="n"/>
      <c r="AD1107" s="47" t="n"/>
      <c r="AE1107" s="47" t="n"/>
      <c r="AF1107" s="20">
        <f>IF(A1107="","",YEAR(EDATE(A1107,-3)))</f>
        <v/>
      </c>
      <c r="AG1107" s="20">
        <f>IF(OR(B1107="",'経歴簿'!$C$4=""),"",IF(B1107&amp;""='経歴簿'!$C$4&amp;"",MAX($AG$4:AG1106)+1,""))</f>
        <v/>
      </c>
      <c r="AH1107" s="20">
        <f>IF(A1107="",0,IF(AND(OR('CSV抽出'!$C$4="",A1107&gt;='CSV抽出'!$C$4),OR('CSV抽出'!$C$5="",A1107&lt;='CSV抽出'!$C$5),OR('CSV抽出'!$C$6="すべて",'CSV抽出'!$C$6="",D1107='CSV抽出'!$C$6),OR('CSV抽出'!$C$7="",B1107&amp;""='CSV抽出'!$C$7&amp;"")),1,0))</f>
        <v/>
      </c>
      <c r="AI1107" s="20">
        <f>IF(AH1107=1,SUM($AH$5:AH1107),"")</f>
        <v/>
      </c>
      <c r="AJ1107" s="20">
        <f>IF(OR(S1107="",'報告書'!$C$4=""),"",IF(S1107&amp;""='報告書'!$C$4&amp;"",COUNTIF($S$5:S1107,'報告書'!$C$4),""))</f>
        <v/>
      </c>
      <c r="AK1107" s="20" t="n"/>
      <c r="AL1107" s="47" t="n"/>
      <c r="AM1107" s="47" t="n"/>
      <c r="AN1107" s="53" t="n"/>
      <c r="AO1107" s="47" t="n"/>
      <c r="AP1107" s="47" t="n"/>
      <c r="AQ1107" s="47" t="n"/>
      <c r="AR1107" s="47" t="n"/>
      <c r="AS1107" s="47" t="n"/>
      <c r="AT1107" s="47" t="n"/>
      <c r="AU1107" s="47" t="n"/>
      <c r="AV1107" s="47" t="n"/>
      <c r="AW1107" s="52" t="n"/>
    </row>
    <row r="1108">
      <c r="A1108" s="48" t="n"/>
      <c r="B1108" s="52" t="n"/>
      <c r="C1108" s="47">
        <f>IF(B1108="","",IFERROR(INDEX('隊員マスタ'!$B$5:$B$204,MATCH(B1108&amp;"",'隊員マスタ'!$F$5:$F$204,0)),IF(AK1108="","番号なし",AK1108)))</f>
        <v/>
      </c>
      <c r="D1108" s="47" t="n"/>
      <c r="E1108" s="47" t="n"/>
      <c r="F1108" s="47" t="n"/>
      <c r="G1108" s="47" t="n"/>
      <c r="H1108" s="47" t="n"/>
      <c r="I1108" s="47" t="n"/>
      <c r="J1108" s="47" t="n"/>
      <c r="K1108" s="47" t="n"/>
      <c r="L1108" s="47" t="n"/>
      <c r="M1108" s="47" t="n"/>
      <c r="N1108" s="47" t="n"/>
      <c r="O1108" s="47" t="n"/>
      <c r="P1108" s="47" t="n"/>
      <c r="Q1108" s="47" t="n"/>
      <c r="R1108" s="47" t="n"/>
      <c r="S1108" s="47" t="n"/>
      <c r="T1108" s="47" t="n"/>
      <c r="U1108" s="53" t="n"/>
      <c r="V1108" s="53" t="n"/>
      <c r="W1108" s="47" t="n"/>
      <c r="X1108" s="47" t="n"/>
      <c r="Y1108" s="47" t="n"/>
      <c r="Z1108" s="47" t="n"/>
      <c r="AA1108" s="47" t="n"/>
      <c r="AB1108" s="47" t="n"/>
      <c r="AC1108" s="47" t="n"/>
      <c r="AD1108" s="47" t="n"/>
      <c r="AE1108" s="47" t="n"/>
      <c r="AF1108" s="20">
        <f>IF(A1108="","",YEAR(EDATE(A1108,-3)))</f>
        <v/>
      </c>
      <c r="AG1108" s="20">
        <f>IF(OR(B1108="",'経歴簿'!$C$4=""),"",IF(B1108&amp;""='経歴簿'!$C$4&amp;"",MAX($AG$4:AG1107)+1,""))</f>
        <v/>
      </c>
      <c r="AH1108" s="20">
        <f>IF(A1108="",0,IF(AND(OR('CSV抽出'!$C$4="",A1108&gt;='CSV抽出'!$C$4),OR('CSV抽出'!$C$5="",A1108&lt;='CSV抽出'!$C$5),OR('CSV抽出'!$C$6="すべて",'CSV抽出'!$C$6="",D1108='CSV抽出'!$C$6),OR('CSV抽出'!$C$7="",B1108&amp;""='CSV抽出'!$C$7&amp;"")),1,0))</f>
        <v/>
      </c>
      <c r="AI1108" s="20">
        <f>IF(AH1108=1,SUM($AH$5:AH1108),"")</f>
        <v/>
      </c>
      <c r="AJ1108" s="20">
        <f>IF(OR(S1108="",'報告書'!$C$4=""),"",IF(S1108&amp;""='報告書'!$C$4&amp;"",COUNTIF($S$5:S1108,'報告書'!$C$4),""))</f>
        <v/>
      </c>
      <c r="AK1108" s="20" t="n"/>
      <c r="AL1108" s="47" t="n"/>
      <c r="AM1108" s="47" t="n"/>
      <c r="AN1108" s="53" t="n"/>
      <c r="AO1108" s="47" t="n"/>
      <c r="AP1108" s="47" t="n"/>
      <c r="AQ1108" s="47" t="n"/>
      <c r="AR1108" s="47" t="n"/>
      <c r="AS1108" s="47" t="n"/>
      <c r="AT1108" s="47" t="n"/>
      <c r="AU1108" s="47" t="n"/>
      <c r="AV1108" s="47" t="n"/>
      <c r="AW1108" s="52" t="n"/>
    </row>
    <row r="1109">
      <c r="A1109" s="48" t="n"/>
      <c r="B1109" s="52" t="n"/>
      <c r="C1109" s="47">
        <f>IF(B1109="","",IFERROR(INDEX('隊員マスタ'!$B$5:$B$204,MATCH(B1109&amp;"",'隊員マスタ'!$F$5:$F$204,0)),IF(AK1109="","番号なし",AK1109)))</f>
        <v/>
      </c>
      <c r="D1109" s="47" t="n"/>
      <c r="E1109" s="47" t="n"/>
      <c r="F1109" s="47" t="n"/>
      <c r="G1109" s="47" t="n"/>
      <c r="H1109" s="47" t="n"/>
      <c r="I1109" s="47" t="n"/>
      <c r="J1109" s="47" t="n"/>
      <c r="K1109" s="47" t="n"/>
      <c r="L1109" s="47" t="n"/>
      <c r="M1109" s="47" t="n"/>
      <c r="N1109" s="47" t="n"/>
      <c r="O1109" s="47" t="n"/>
      <c r="P1109" s="47" t="n"/>
      <c r="Q1109" s="47" t="n"/>
      <c r="R1109" s="47" t="n"/>
      <c r="S1109" s="47" t="n"/>
      <c r="T1109" s="47" t="n"/>
      <c r="U1109" s="53" t="n"/>
      <c r="V1109" s="53" t="n"/>
      <c r="W1109" s="47" t="n"/>
      <c r="X1109" s="47" t="n"/>
      <c r="Y1109" s="47" t="n"/>
      <c r="Z1109" s="47" t="n"/>
      <c r="AA1109" s="47" t="n"/>
      <c r="AB1109" s="47" t="n"/>
      <c r="AC1109" s="47" t="n"/>
      <c r="AD1109" s="47" t="n"/>
      <c r="AE1109" s="47" t="n"/>
      <c r="AF1109" s="20">
        <f>IF(A1109="","",YEAR(EDATE(A1109,-3)))</f>
        <v/>
      </c>
      <c r="AG1109" s="20">
        <f>IF(OR(B1109="",'経歴簿'!$C$4=""),"",IF(B1109&amp;""='経歴簿'!$C$4&amp;"",MAX($AG$4:AG1108)+1,""))</f>
        <v/>
      </c>
      <c r="AH1109" s="20">
        <f>IF(A1109="",0,IF(AND(OR('CSV抽出'!$C$4="",A1109&gt;='CSV抽出'!$C$4),OR('CSV抽出'!$C$5="",A1109&lt;='CSV抽出'!$C$5),OR('CSV抽出'!$C$6="すべて",'CSV抽出'!$C$6="",D1109='CSV抽出'!$C$6),OR('CSV抽出'!$C$7="",B1109&amp;""='CSV抽出'!$C$7&amp;"")),1,0))</f>
        <v/>
      </c>
      <c r="AI1109" s="20">
        <f>IF(AH1109=1,SUM($AH$5:AH1109),"")</f>
        <v/>
      </c>
      <c r="AJ1109" s="20">
        <f>IF(OR(S1109="",'報告書'!$C$4=""),"",IF(S1109&amp;""='報告書'!$C$4&amp;"",COUNTIF($S$5:S1109,'報告書'!$C$4),""))</f>
        <v/>
      </c>
      <c r="AK1109" s="20" t="n"/>
      <c r="AL1109" s="47" t="n"/>
      <c r="AM1109" s="47" t="n"/>
      <c r="AN1109" s="53" t="n"/>
      <c r="AO1109" s="47" t="n"/>
      <c r="AP1109" s="47" t="n"/>
      <c r="AQ1109" s="47" t="n"/>
      <c r="AR1109" s="47" t="n"/>
      <c r="AS1109" s="47" t="n"/>
      <c r="AT1109" s="47" t="n"/>
      <c r="AU1109" s="47" t="n"/>
      <c r="AV1109" s="47" t="n"/>
      <c r="AW1109" s="52" t="n"/>
    </row>
    <row r="1110">
      <c r="A1110" s="48" t="n"/>
      <c r="B1110" s="52" t="n"/>
      <c r="C1110" s="47">
        <f>IF(B1110="","",IFERROR(INDEX('隊員マスタ'!$B$5:$B$204,MATCH(B1110&amp;"",'隊員マスタ'!$F$5:$F$204,0)),IF(AK1110="","番号なし",AK1110)))</f>
        <v/>
      </c>
      <c r="D1110" s="47" t="n"/>
      <c r="E1110" s="47" t="n"/>
      <c r="F1110" s="47" t="n"/>
      <c r="G1110" s="47" t="n"/>
      <c r="H1110" s="47" t="n"/>
      <c r="I1110" s="47" t="n"/>
      <c r="J1110" s="47" t="n"/>
      <c r="K1110" s="47" t="n"/>
      <c r="L1110" s="47" t="n"/>
      <c r="M1110" s="47" t="n"/>
      <c r="N1110" s="47" t="n"/>
      <c r="O1110" s="47" t="n"/>
      <c r="P1110" s="47" t="n"/>
      <c r="Q1110" s="47" t="n"/>
      <c r="R1110" s="47" t="n"/>
      <c r="S1110" s="47" t="n"/>
      <c r="T1110" s="47" t="n"/>
      <c r="U1110" s="53" t="n"/>
      <c r="V1110" s="53" t="n"/>
      <c r="W1110" s="47" t="n"/>
      <c r="X1110" s="47" t="n"/>
      <c r="Y1110" s="47" t="n"/>
      <c r="Z1110" s="47" t="n"/>
      <c r="AA1110" s="47" t="n"/>
      <c r="AB1110" s="47" t="n"/>
      <c r="AC1110" s="47" t="n"/>
      <c r="AD1110" s="47" t="n"/>
      <c r="AE1110" s="47" t="n"/>
      <c r="AF1110" s="20">
        <f>IF(A1110="","",YEAR(EDATE(A1110,-3)))</f>
        <v/>
      </c>
      <c r="AG1110" s="20">
        <f>IF(OR(B1110="",'経歴簿'!$C$4=""),"",IF(B1110&amp;""='経歴簿'!$C$4&amp;"",MAX($AG$4:AG1109)+1,""))</f>
        <v/>
      </c>
      <c r="AH1110" s="20">
        <f>IF(A1110="",0,IF(AND(OR('CSV抽出'!$C$4="",A1110&gt;='CSV抽出'!$C$4),OR('CSV抽出'!$C$5="",A1110&lt;='CSV抽出'!$C$5),OR('CSV抽出'!$C$6="すべて",'CSV抽出'!$C$6="",D1110='CSV抽出'!$C$6),OR('CSV抽出'!$C$7="",B1110&amp;""='CSV抽出'!$C$7&amp;"")),1,0))</f>
        <v/>
      </c>
      <c r="AI1110" s="20">
        <f>IF(AH1110=1,SUM($AH$5:AH1110),"")</f>
        <v/>
      </c>
      <c r="AJ1110" s="20">
        <f>IF(OR(S1110="",'報告書'!$C$4=""),"",IF(S1110&amp;""='報告書'!$C$4&amp;"",COUNTIF($S$5:S1110,'報告書'!$C$4),""))</f>
        <v/>
      </c>
      <c r="AK1110" s="20" t="n"/>
      <c r="AL1110" s="47" t="n"/>
      <c r="AM1110" s="47" t="n"/>
      <c r="AN1110" s="53" t="n"/>
      <c r="AO1110" s="47" t="n"/>
      <c r="AP1110" s="47" t="n"/>
      <c r="AQ1110" s="47" t="n"/>
      <c r="AR1110" s="47" t="n"/>
      <c r="AS1110" s="47" t="n"/>
      <c r="AT1110" s="47" t="n"/>
      <c r="AU1110" s="47" t="n"/>
      <c r="AV1110" s="47" t="n"/>
      <c r="AW1110" s="52" t="n"/>
    </row>
    <row r="1111">
      <c r="A1111" s="48" t="n"/>
      <c r="B1111" s="52" t="n"/>
      <c r="C1111" s="47">
        <f>IF(B1111="","",IFERROR(INDEX('隊員マスタ'!$B$5:$B$204,MATCH(B1111&amp;"",'隊員マスタ'!$F$5:$F$204,0)),IF(AK1111="","番号なし",AK1111)))</f>
        <v/>
      </c>
      <c r="D1111" s="47" t="n"/>
      <c r="E1111" s="47" t="n"/>
      <c r="F1111" s="47" t="n"/>
      <c r="G1111" s="47" t="n"/>
      <c r="H1111" s="47" t="n"/>
      <c r="I1111" s="47" t="n"/>
      <c r="J1111" s="47" t="n"/>
      <c r="K1111" s="47" t="n"/>
      <c r="L1111" s="47" t="n"/>
      <c r="M1111" s="47" t="n"/>
      <c r="N1111" s="47" t="n"/>
      <c r="O1111" s="47" t="n"/>
      <c r="P1111" s="47" t="n"/>
      <c r="Q1111" s="47" t="n"/>
      <c r="R1111" s="47" t="n"/>
      <c r="S1111" s="47" t="n"/>
      <c r="T1111" s="47" t="n"/>
      <c r="U1111" s="53" t="n"/>
      <c r="V1111" s="53" t="n"/>
      <c r="W1111" s="47" t="n"/>
      <c r="X1111" s="47" t="n"/>
      <c r="Y1111" s="47" t="n"/>
      <c r="Z1111" s="47" t="n"/>
      <c r="AA1111" s="47" t="n"/>
      <c r="AB1111" s="47" t="n"/>
      <c r="AC1111" s="47" t="n"/>
      <c r="AD1111" s="47" t="n"/>
      <c r="AE1111" s="47" t="n"/>
      <c r="AF1111" s="20">
        <f>IF(A1111="","",YEAR(EDATE(A1111,-3)))</f>
        <v/>
      </c>
      <c r="AG1111" s="20">
        <f>IF(OR(B1111="",'経歴簿'!$C$4=""),"",IF(B1111&amp;""='経歴簿'!$C$4&amp;"",MAX($AG$4:AG1110)+1,""))</f>
        <v/>
      </c>
      <c r="AH1111" s="20">
        <f>IF(A1111="",0,IF(AND(OR('CSV抽出'!$C$4="",A1111&gt;='CSV抽出'!$C$4),OR('CSV抽出'!$C$5="",A1111&lt;='CSV抽出'!$C$5),OR('CSV抽出'!$C$6="すべて",'CSV抽出'!$C$6="",D1111='CSV抽出'!$C$6),OR('CSV抽出'!$C$7="",B1111&amp;""='CSV抽出'!$C$7&amp;"")),1,0))</f>
        <v/>
      </c>
      <c r="AI1111" s="20">
        <f>IF(AH1111=1,SUM($AH$5:AH1111),"")</f>
        <v/>
      </c>
      <c r="AJ1111" s="20">
        <f>IF(OR(S1111="",'報告書'!$C$4=""),"",IF(S1111&amp;""='報告書'!$C$4&amp;"",COUNTIF($S$5:S1111,'報告書'!$C$4),""))</f>
        <v/>
      </c>
      <c r="AK1111" s="20" t="n"/>
      <c r="AL1111" s="47" t="n"/>
      <c r="AM1111" s="47" t="n"/>
      <c r="AN1111" s="53" t="n"/>
      <c r="AO1111" s="47" t="n"/>
      <c r="AP1111" s="47" t="n"/>
      <c r="AQ1111" s="47" t="n"/>
      <c r="AR1111" s="47" t="n"/>
      <c r="AS1111" s="47" t="n"/>
      <c r="AT1111" s="47" t="n"/>
      <c r="AU1111" s="47" t="n"/>
      <c r="AV1111" s="47" t="n"/>
      <c r="AW1111" s="52" t="n"/>
    </row>
    <row r="1112">
      <c r="A1112" s="48" t="n"/>
      <c r="B1112" s="52" t="n"/>
      <c r="C1112" s="47">
        <f>IF(B1112="","",IFERROR(INDEX('隊員マスタ'!$B$5:$B$204,MATCH(B1112&amp;"",'隊員マスタ'!$F$5:$F$204,0)),IF(AK1112="","番号なし",AK1112)))</f>
        <v/>
      </c>
      <c r="D1112" s="47" t="n"/>
      <c r="E1112" s="47" t="n"/>
      <c r="F1112" s="47" t="n"/>
      <c r="G1112" s="47" t="n"/>
      <c r="H1112" s="47" t="n"/>
      <c r="I1112" s="47" t="n"/>
      <c r="J1112" s="47" t="n"/>
      <c r="K1112" s="47" t="n"/>
      <c r="L1112" s="47" t="n"/>
      <c r="M1112" s="47" t="n"/>
      <c r="N1112" s="47" t="n"/>
      <c r="O1112" s="47" t="n"/>
      <c r="P1112" s="47" t="n"/>
      <c r="Q1112" s="47" t="n"/>
      <c r="R1112" s="47" t="n"/>
      <c r="S1112" s="47" t="n"/>
      <c r="T1112" s="47" t="n"/>
      <c r="U1112" s="53" t="n"/>
      <c r="V1112" s="53" t="n"/>
      <c r="W1112" s="47" t="n"/>
      <c r="X1112" s="47" t="n"/>
      <c r="Y1112" s="47" t="n"/>
      <c r="Z1112" s="47" t="n"/>
      <c r="AA1112" s="47" t="n"/>
      <c r="AB1112" s="47" t="n"/>
      <c r="AC1112" s="47" t="n"/>
      <c r="AD1112" s="47" t="n"/>
      <c r="AE1112" s="47" t="n"/>
      <c r="AF1112" s="20">
        <f>IF(A1112="","",YEAR(EDATE(A1112,-3)))</f>
        <v/>
      </c>
      <c r="AG1112" s="20">
        <f>IF(OR(B1112="",'経歴簿'!$C$4=""),"",IF(B1112&amp;""='経歴簿'!$C$4&amp;"",MAX($AG$4:AG1111)+1,""))</f>
        <v/>
      </c>
      <c r="AH1112" s="20">
        <f>IF(A1112="",0,IF(AND(OR('CSV抽出'!$C$4="",A1112&gt;='CSV抽出'!$C$4),OR('CSV抽出'!$C$5="",A1112&lt;='CSV抽出'!$C$5),OR('CSV抽出'!$C$6="すべて",'CSV抽出'!$C$6="",D1112='CSV抽出'!$C$6),OR('CSV抽出'!$C$7="",B1112&amp;""='CSV抽出'!$C$7&amp;"")),1,0))</f>
        <v/>
      </c>
      <c r="AI1112" s="20">
        <f>IF(AH1112=1,SUM($AH$5:AH1112),"")</f>
        <v/>
      </c>
      <c r="AJ1112" s="20">
        <f>IF(OR(S1112="",'報告書'!$C$4=""),"",IF(S1112&amp;""='報告書'!$C$4&amp;"",COUNTIF($S$5:S1112,'報告書'!$C$4),""))</f>
        <v/>
      </c>
      <c r="AK1112" s="20" t="n"/>
      <c r="AL1112" s="47" t="n"/>
      <c r="AM1112" s="47" t="n"/>
      <c r="AN1112" s="53" t="n"/>
      <c r="AO1112" s="47" t="n"/>
      <c r="AP1112" s="47" t="n"/>
      <c r="AQ1112" s="47" t="n"/>
      <c r="AR1112" s="47" t="n"/>
      <c r="AS1112" s="47" t="n"/>
      <c r="AT1112" s="47" t="n"/>
      <c r="AU1112" s="47" t="n"/>
      <c r="AV1112" s="47" t="n"/>
      <c r="AW1112" s="52" t="n"/>
    </row>
    <row r="1113">
      <c r="A1113" s="48" t="n"/>
      <c r="B1113" s="52" t="n"/>
      <c r="C1113" s="47">
        <f>IF(B1113="","",IFERROR(INDEX('隊員マスタ'!$B$5:$B$204,MATCH(B1113&amp;"",'隊員マスタ'!$F$5:$F$204,0)),IF(AK1113="","番号なし",AK1113)))</f>
        <v/>
      </c>
      <c r="D1113" s="47" t="n"/>
      <c r="E1113" s="47" t="n"/>
      <c r="F1113" s="47" t="n"/>
      <c r="G1113" s="47" t="n"/>
      <c r="H1113" s="47" t="n"/>
      <c r="I1113" s="47" t="n"/>
      <c r="J1113" s="47" t="n"/>
      <c r="K1113" s="47" t="n"/>
      <c r="L1113" s="47" t="n"/>
      <c r="M1113" s="47" t="n"/>
      <c r="N1113" s="47" t="n"/>
      <c r="O1113" s="47" t="n"/>
      <c r="P1113" s="47" t="n"/>
      <c r="Q1113" s="47" t="n"/>
      <c r="R1113" s="47" t="n"/>
      <c r="S1113" s="47" t="n"/>
      <c r="T1113" s="47" t="n"/>
      <c r="U1113" s="53" t="n"/>
      <c r="V1113" s="53" t="n"/>
      <c r="W1113" s="47" t="n"/>
      <c r="X1113" s="47" t="n"/>
      <c r="Y1113" s="47" t="n"/>
      <c r="Z1113" s="47" t="n"/>
      <c r="AA1113" s="47" t="n"/>
      <c r="AB1113" s="47" t="n"/>
      <c r="AC1113" s="47" t="n"/>
      <c r="AD1113" s="47" t="n"/>
      <c r="AE1113" s="47" t="n"/>
      <c r="AF1113" s="20">
        <f>IF(A1113="","",YEAR(EDATE(A1113,-3)))</f>
        <v/>
      </c>
      <c r="AG1113" s="20">
        <f>IF(OR(B1113="",'経歴簿'!$C$4=""),"",IF(B1113&amp;""='経歴簿'!$C$4&amp;"",MAX($AG$4:AG1112)+1,""))</f>
        <v/>
      </c>
      <c r="AH1113" s="20">
        <f>IF(A1113="",0,IF(AND(OR('CSV抽出'!$C$4="",A1113&gt;='CSV抽出'!$C$4),OR('CSV抽出'!$C$5="",A1113&lt;='CSV抽出'!$C$5),OR('CSV抽出'!$C$6="すべて",'CSV抽出'!$C$6="",D1113='CSV抽出'!$C$6),OR('CSV抽出'!$C$7="",B1113&amp;""='CSV抽出'!$C$7&amp;"")),1,0))</f>
        <v/>
      </c>
      <c r="AI1113" s="20">
        <f>IF(AH1113=1,SUM($AH$5:AH1113),"")</f>
        <v/>
      </c>
      <c r="AJ1113" s="20">
        <f>IF(OR(S1113="",'報告書'!$C$4=""),"",IF(S1113&amp;""='報告書'!$C$4&amp;"",COUNTIF($S$5:S1113,'報告書'!$C$4),""))</f>
        <v/>
      </c>
      <c r="AK1113" s="20" t="n"/>
      <c r="AL1113" s="47" t="n"/>
      <c r="AM1113" s="47" t="n"/>
      <c r="AN1113" s="53" t="n"/>
      <c r="AO1113" s="47" t="n"/>
      <c r="AP1113" s="47" t="n"/>
      <c r="AQ1113" s="47" t="n"/>
      <c r="AR1113" s="47" t="n"/>
      <c r="AS1113" s="47" t="n"/>
      <c r="AT1113" s="47" t="n"/>
      <c r="AU1113" s="47" t="n"/>
      <c r="AV1113" s="47" t="n"/>
      <c r="AW1113" s="52" t="n"/>
    </row>
    <row r="1114">
      <c r="A1114" s="48" t="n"/>
      <c r="B1114" s="52" t="n"/>
      <c r="C1114" s="47">
        <f>IF(B1114="","",IFERROR(INDEX('隊員マスタ'!$B$5:$B$204,MATCH(B1114&amp;"",'隊員マスタ'!$F$5:$F$204,0)),IF(AK1114="","番号なし",AK1114)))</f>
        <v/>
      </c>
      <c r="D1114" s="47" t="n"/>
      <c r="E1114" s="47" t="n"/>
      <c r="F1114" s="47" t="n"/>
      <c r="G1114" s="47" t="n"/>
      <c r="H1114" s="47" t="n"/>
      <c r="I1114" s="47" t="n"/>
      <c r="J1114" s="47" t="n"/>
      <c r="K1114" s="47" t="n"/>
      <c r="L1114" s="47" t="n"/>
      <c r="M1114" s="47" t="n"/>
      <c r="N1114" s="47" t="n"/>
      <c r="O1114" s="47" t="n"/>
      <c r="P1114" s="47" t="n"/>
      <c r="Q1114" s="47" t="n"/>
      <c r="R1114" s="47" t="n"/>
      <c r="S1114" s="47" t="n"/>
      <c r="T1114" s="47" t="n"/>
      <c r="U1114" s="53" t="n"/>
      <c r="V1114" s="53" t="n"/>
      <c r="W1114" s="47" t="n"/>
      <c r="X1114" s="47" t="n"/>
      <c r="Y1114" s="47" t="n"/>
      <c r="Z1114" s="47" t="n"/>
      <c r="AA1114" s="47" t="n"/>
      <c r="AB1114" s="47" t="n"/>
      <c r="AC1114" s="47" t="n"/>
      <c r="AD1114" s="47" t="n"/>
      <c r="AE1114" s="47" t="n"/>
      <c r="AF1114" s="20">
        <f>IF(A1114="","",YEAR(EDATE(A1114,-3)))</f>
        <v/>
      </c>
      <c r="AG1114" s="20">
        <f>IF(OR(B1114="",'経歴簿'!$C$4=""),"",IF(B1114&amp;""='経歴簿'!$C$4&amp;"",MAX($AG$4:AG1113)+1,""))</f>
        <v/>
      </c>
      <c r="AH1114" s="20">
        <f>IF(A1114="",0,IF(AND(OR('CSV抽出'!$C$4="",A1114&gt;='CSV抽出'!$C$4),OR('CSV抽出'!$C$5="",A1114&lt;='CSV抽出'!$C$5),OR('CSV抽出'!$C$6="すべて",'CSV抽出'!$C$6="",D1114='CSV抽出'!$C$6),OR('CSV抽出'!$C$7="",B1114&amp;""='CSV抽出'!$C$7&amp;"")),1,0))</f>
        <v/>
      </c>
      <c r="AI1114" s="20">
        <f>IF(AH1114=1,SUM($AH$5:AH1114),"")</f>
        <v/>
      </c>
      <c r="AJ1114" s="20">
        <f>IF(OR(S1114="",'報告書'!$C$4=""),"",IF(S1114&amp;""='報告書'!$C$4&amp;"",COUNTIF($S$5:S1114,'報告書'!$C$4),""))</f>
        <v/>
      </c>
      <c r="AK1114" s="20" t="n"/>
      <c r="AL1114" s="47" t="n"/>
      <c r="AM1114" s="47" t="n"/>
      <c r="AN1114" s="53" t="n"/>
      <c r="AO1114" s="47" t="n"/>
      <c r="AP1114" s="47" t="n"/>
      <c r="AQ1114" s="47" t="n"/>
      <c r="AR1114" s="47" t="n"/>
      <c r="AS1114" s="47" t="n"/>
      <c r="AT1114" s="47" t="n"/>
      <c r="AU1114" s="47" t="n"/>
      <c r="AV1114" s="47" t="n"/>
      <c r="AW1114" s="52" t="n"/>
    </row>
    <row r="1115">
      <c r="A1115" s="48" t="n"/>
      <c r="B1115" s="52" t="n"/>
      <c r="C1115" s="47">
        <f>IF(B1115="","",IFERROR(INDEX('隊員マスタ'!$B$5:$B$204,MATCH(B1115&amp;"",'隊員マスタ'!$F$5:$F$204,0)),IF(AK1115="","番号なし",AK1115)))</f>
        <v/>
      </c>
      <c r="D1115" s="47" t="n"/>
      <c r="E1115" s="47" t="n"/>
      <c r="F1115" s="47" t="n"/>
      <c r="G1115" s="47" t="n"/>
      <c r="H1115" s="47" t="n"/>
      <c r="I1115" s="47" t="n"/>
      <c r="J1115" s="47" t="n"/>
      <c r="K1115" s="47" t="n"/>
      <c r="L1115" s="47" t="n"/>
      <c r="M1115" s="47" t="n"/>
      <c r="N1115" s="47" t="n"/>
      <c r="O1115" s="47" t="n"/>
      <c r="P1115" s="47" t="n"/>
      <c r="Q1115" s="47" t="n"/>
      <c r="R1115" s="47" t="n"/>
      <c r="S1115" s="47" t="n"/>
      <c r="T1115" s="47" t="n"/>
      <c r="U1115" s="53" t="n"/>
      <c r="V1115" s="53" t="n"/>
      <c r="W1115" s="47" t="n"/>
      <c r="X1115" s="47" t="n"/>
      <c r="Y1115" s="47" t="n"/>
      <c r="Z1115" s="47" t="n"/>
      <c r="AA1115" s="47" t="n"/>
      <c r="AB1115" s="47" t="n"/>
      <c r="AC1115" s="47" t="n"/>
      <c r="AD1115" s="47" t="n"/>
      <c r="AE1115" s="47" t="n"/>
      <c r="AF1115" s="20">
        <f>IF(A1115="","",YEAR(EDATE(A1115,-3)))</f>
        <v/>
      </c>
      <c r="AG1115" s="20">
        <f>IF(OR(B1115="",'経歴簿'!$C$4=""),"",IF(B1115&amp;""='経歴簿'!$C$4&amp;"",MAX($AG$4:AG1114)+1,""))</f>
        <v/>
      </c>
      <c r="AH1115" s="20">
        <f>IF(A1115="",0,IF(AND(OR('CSV抽出'!$C$4="",A1115&gt;='CSV抽出'!$C$4),OR('CSV抽出'!$C$5="",A1115&lt;='CSV抽出'!$C$5),OR('CSV抽出'!$C$6="すべて",'CSV抽出'!$C$6="",D1115='CSV抽出'!$C$6),OR('CSV抽出'!$C$7="",B1115&amp;""='CSV抽出'!$C$7&amp;"")),1,0))</f>
        <v/>
      </c>
      <c r="AI1115" s="20">
        <f>IF(AH1115=1,SUM($AH$5:AH1115),"")</f>
        <v/>
      </c>
      <c r="AJ1115" s="20">
        <f>IF(OR(S1115="",'報告書'!$C$4=""),"",IF(S1115&amp;""='報告書'!$C$4&amp;"",COUNTIF($S$5:S1115,'報告書'!$C$4),""))</f>
        <v/>
      </c>
      <c r="AK1115" s="20" t="n"/>
      <c r="AL1115" s="47" t="n"/>
      <c r="AM1115" s="47" t="n"/>
      <c r="AN1115" s="53" t="n"/>
      <c r="AO1115" s="47" t="n"/>
      <c r="AP1115" s="47" t="n"/>
      <c r="AQ1115" s="47" t="n"/>
      <c r="AR1115" s="47" t="n"/>
      <c r="AS1115" s="47" t="n"/>
      <c r="AT1115" s="47" t="n"/>
      <c r="AU1115" s="47" t="n"/>
      <c r="AV1115" s="47" t="n"/>
      <c r="AW1115" s="52" t="n"/>
    </row>
    <row r="1116">
      <c r="A1116" s="48" t="n"/>
      <c r="B1116" s="52" t="n"/>
      <c r="C1116" s="47">
        <f>IF(B1116="","",IFERROR(INDEX('隊員マスタ'!$B$5:$B$204,MATCH(B1116&amp;"",'隊員マスタ'!$F$5:$F$204,0)),IF(AK1116="","番号なし",AK1116)))</f>
        <v/>
      </c>
      <c r="D1116" s="47" t="n"/>
      <c r="E1116" s="47" t="n"/>
      <c r="F1116" s="47" t="n"/>
      <c r="G1116" s="47" t="n"/>
      <c r="H1116" s="47" t="n"/>
      <c r="I1116" s="47" t="n"/>
      <c r="J1116" s="47" t="n"/>
      <c r="K1116" s="47" t="n"/>
      <c r="L1116" s="47" t="n"/>
      <c r="M1116" s="47" t="n"/>
      <c r="N1116" s="47" t="n"/>
      <c r="O1116" s="47" t="n"/>
      <c r="P1116" s="47" t="n"/>
      <c r="Q1116" s="47" t="n"/>
      <c r="R1116" s="47" t="n"/>
      <c r="S1116" s="47" t="n"/>
      <c r="T1116" s="47" t="n"/>
      <c r="U1116" s="53" t="n"/>
      <c r="V1116" s="53" t="n"/>
      <c r="W1116" s="47" t="n"/>
      <c r="X1116" s="47" t="n"/>
      <c r="Y1116" s="47" t="n"/>
      <c r="Z1116" s="47" t="n"/>
      <c r="AA1116" s="47" t="n"/>
      <c r="AB1116" s="47" t="n"/>
      <c r="AC1116" s="47" t="n"/>
      <c r="AD1116" s="47" t="n"/>
      <c r="AE1116" s="47" t="n"/>
      <c r="AF1116" s="20">
        <f>IF(A1116="","",YEAR(EDATE(A1116,-3)))</f>
        <v/>
      </c>
      <c r="AG1116" s="20">
        <f>IF(OR(B1116="",'経歴簿'!$C$4=""),"",IF(B1116&amp;""='経歴簿'!$C$4&amp;"",MAX($AG$4:AG1115)+1,""))</f>
        <v/>
      </c>
      <c r="AH1116" s="20">
        <f>IF(A1116="",0,IF(AND(OR('CSV抽出'!$C$4="",A1116&gt;='CSV抽出'!$C$4),OR('CSV抽出'!$C$5="",A1116&lt;='CSV抽出'!$C$5),OR('CSV抽出'!$C$6="すべて",'CSV抽出'!$C$6="",D1116='CSV抽出'!$C$6),OR('CSV抽出'!$C$7="",B1116&amp;""='CSV抽出'!$C$7&amp;"")),1,0))</f>
        <v/>
      </c>
      <c r="AI1116" s="20">
        <f>IF(AH1116=1,SUM($AH$5:AH1116),"")</f>
        <v/>
      </c>
      <c r="AJ1116" s="20">
        <f>IF(OR(S1116="",'報告書'!$C$4=""),"",IF(S1116&amp;""='報告書'!$C$4&amp;"",COUNTIF($S$5:S1116,'報告書'!$C$4),""))</f>
        <v/>
      </c>
      <c r="AK1116" s="20" t="n"/>
      <c r="AL1116" s="47" t="n"/>
      <c r="AM1116" s="47" t="n"/>
      <c r="AN1116" s="53" t="n"/>
      <c r="AO1116" s="47" t="n"/>
      <c r="AP1116" s="47" t="n"/>
      <c r="AQ1116" s="47" t="n"/>
      <c r="AR1116" s="47" t="n"/>
      <c r="AS1116" s="47" t="n"/>
      <c r="AT1116" s="47" t="n"/>
      <c r="AU1116" s="47" t="n"/>
      <c r="AV1116" s="47" t="n"/>
      <c r="AW1116" s="52" t="n"/>
    </row>
    <row r="1117">
      <c r="A1117" s="48" t="n"/>
      <c r="B1117" s="52" t="n"/>
      <c r="C1117" s="47">
        <f>IF(B1117="","",IFERROR(INDEX('隊員マスタ'!$B$5:$B$204,MATCH(B1117&amp;"",'隊員マスタ'!$F$5:$F$204,0)),IF(AK1117="","番号なし",AK1117)))</f>
        <v/>
      </c>
      <c r="D1117" s="47" t="n"/>
      <c r="E1117" s="47" t="n"/>
      <c r="F1117" s="47" t="n"/>
      <c r="G1117" s="47" t="n"/>
      <c r="H1117" s="47" t="n"/>
      <c r="I1117" s="47" t="n"/>
      <c r="J1117" s="47" t="n"/>
      <c r="K1117" s="47" t="n"/>
      <c r="L1117" s="47" t="n"/>
      <c r="M1117" s="47" t="n"/>
      <c r="N1117" s="47" t="n"/>
      <c r="O1117" s="47" t="n"/>
      <c r="P1117" s="47" t="n"/>
      <c r="Q1117" s="47" t="n"/>
      <c r="R1117" s="47" t="n"/>
      <c r="S1117" s="47" t="n"/>
      <c r="T1117" s="47" t="n"/>
      <c r="U1117" s="53" t="n"/>
      <c r="V1117" s="53" t="n"/>
      <c r="W1117" s="47" t="n"/>
      <c r="X1117" s="47" t="n"/>
      <c r="Y1117" s="47" t="n"/>
      <c r="Z1117" s="47" t="n"/>
      <c r="AA1117" s="47" t="n"/>
      <c r="AB1117" s="47" t="n"/>
      <c r="AC1117" s="47" t="n"/>
      <c r="AD1117" s="47" t="n"/>
      <c r="AE1117" s="47" t="n"/>
      <c r="AF1117" s="20">
        <f>IF(A1117="","",YEAR(EDATE(A1117,-3)))</f>
        <v/>
      </c>
      <c r="AG1117" s="20">
        <f>IF(OR(B1117="",'経歴簿'!$C$4=""),"",IF(B1117&amp;""='経歴簿'!$C$4&amp;"",MAX($AG$4:AG1116)+1,""))</f>
        <v/>
      </c>
      <c r="AH1117" s="20">
        <f>IF(A1117="",0,IF(AND(OR('CSV抽出'!$C$4="",A1117&gt;='CSV抽出'!$C$4),OR('CSV抽出'!$C$5="",A1117&lt;='CSV抽出'!$C$5),OR('CSV抽出'!$C$6="すべて",'CSV抽出'!$C$6="",D1117='CSV抽出'!$C$6),OR('CSV抽出'!$C$7="",B1117&amp;""='CSV抽出'!$C$7&amp;"")),1,0))</f>
        <v/>
      </c>
      <c r="AI1117" s="20">
        <f>IF(AH1117=1,SUM($AH$5:AH1117),"")</f>
        <v/>
      </c>
      <c r="AJ1117" s="20">
        <f>IF(OR(S1117="",'報告書'!$C$4=""),"",IF(S1117&amp;""='報告書'!$C$4&amp;"",COUNTIF($S$5:S1117,'報告書'!$C$4),""))</f>
        <v/>
      </c>
      <c r="AK1117" s="20" t="n"/>
      <c r="AL1117" s="47" t="n"/>
      <c r="AM1117" s="47" t="n"/>
      <c r="AN1117" s="53" t="n"/>
      <c r="AO1117" s="47" t="n"/>
      <c r="AP1117" s="47" t="n"/>
      <c r="AQ1117" s="47" t="n"/>
      <c r="AR1117" s="47" t="n"/>
      <c r="AS1117" s="47" t="n"/>
      <c r="AT1117" s="47" t="n"/>
      <c r="AU1117" s="47" t="n"/>
      <c r="AV1117" s="47" t="n"/>
      <c r="AW1117" s="52" t="n"/>
    </row>
    <row r="1118">
      <c r="A1118" s="48" t="n"/>
      <c r="B1118" s="52" t="n"/>
      <c r="C1118" s="47">
        <f>IF(B1118="","",IFERROR(INDEX('隊員マスタ'!$B$5:$B$204,MATCH(B1118&amp;"",'隊員マスタ'!$F$5:$F$204,0)),IF(AK1118="","番号なし",AK1118)))</f>
        <v/>
      </c>
      <c r="D1118" s="47" t="n"/>
      <c r="E1118" s="47" t="n"/>
      <c r="F1118" s="47" t="n"/>
      <c r="G1118" s="47" t="n"/>
      <c r="H1118" s="47" t="n"/>
      <c r="I1118" s="47" t="n"/>
      <c r="J1118" s="47" t="n"/>
      <c r="K1118" s="47" t="n"/>
      <c r="L1118" s="47" t="n"/>
      <c r="M1118" s="47" t="n"/>
      <c r="N1118" s="47" t="n"/>
      <c r="O1118" s="47" t="n"/>
      <c r="P1118" s="47" t="n"/>
      <c r="Q1118" s="47" t="n"/>
      <c r="R1118" s="47" t="n"/>
      <c r="S1118" s="47" t="n"/>
      <c r="T1118" s="47" t="n"/>
      <c r="U1118" s="53" t="n"/>
      <c r="V1118" s="53" t="n"/>
      <c r="W1118" s="47" t="n"/>
      <c r="X1118" s="47" t="n"/>
      <c r="Y1118" s="47" t="n"/>
      <c r="Z1118" s="47" t="n"/>
      <c r="AA1118" s="47" t="n"/>
      <c r="AB1118" s="47" t="n"/>
      <c r="AC1118" s="47" t="n"/>
      <c r="AD1118" s="47" t="n"/>
      <c r="AE1118" s="47" t="n"/>
      <c r="AF1118" s="20">
        <f>IF(A1118="","",YEAR(EDATE(A1118,-3)))</f>
        <v/>
      </c>
      <c r="AG1118" s="20">
        <f>IF(OR(B1118="",'経歴簿'!$C$4=""),"",IF(B1118&amp;""='経歴簿'!$C$4&amp;"",MAX($AG$4:AG1117)+1,""))</f>
        <v/>
      </c>
      <c r="AH1118" s="20">
        <f>IF(A1118="",0,IF(AND(OR('CSV抽出'!$C$4="",A1118&gt;='CSV抽出'!$C$4),OR('CSV抽出'!$C$5="",A1118&lt;='CSV抽出'!$C$5),OR('CSV抽出'!$C$6="すべて",'CSV抽出'!$C$6="",D1118='CSV抽出'!$C$6),OR('CSV抽出'!$C$7="",B1118&amp;""='CSV抽出'!$C$7&amp;"")),1,0))</f>
        <v/>
      </c>
      <c r="AI1118" s="20">
        <f>IF(AH1118=1,SUM($AH$5:AH1118),"")</f>
        <v/>
      </c>
      <c r="AJ1118" s="20">
        <f>IF(OR(S1118="",'報告書'!$C$4=""),"",IF(S1118&amp;""='報告書'!$C$4&amp;"",COUNTIF($S$5:S1118,'報告書'!$C$4),""))</f>
        <v/>
      </c>
      <c r="AK1118" s="20" t="n"/>
      <c r="AL1118" s="47" t="n"/>
      <c r="AM1118" s="47" t="n"/>
      <c r="AN1118" s="53" t="n"/>
      <c r="AO1118" s="47" t="n"/>
      <c r="AP1118" s="47" t="n"/>
      <c r="AQ1118" s="47" t="n"/>
      <c r="AR1118" s="47" t="n"/>
      <c r="AS1118" s="47" t="n"/>
      <c r="AT1118" s="47" t="n"/>
      <c r="AU1118" s="47" t="n"/>
      <c r="AV1118" s="47" t="n"/>
      <c r="AW1118" s="52" t="n"/>
    </row>
    <row r="1119">
      <c r="A1119" s="48" t="n"/>
      <c r="B1119" s="52" t="n"/>
      <c r="C1119" s="47">
        <f>IF(B1119="","",IFERROR(INDEX('隊員マスタ'!$B$5:$B$204,MATCH(B1119&amp;"",'隊員マスタ'!$F$5:$F$204,0)),IF(AK1119="","番号なし",AK1119)))</f>
        <v/>
      </c>
      <c r="D1119" s="47" t="n"/>
      <c r="E1119" s="47" t="n"/>
      <c r="F1119" s="47" t="n"/>
      <c r="G1119" s="47" t="n"/>
      <c r="H1119" s="47" t="n"/>
      <c r="I1119" s="47" t="n"/>
      <c r="J1119" s="47" t="n"/>
      <c r="K1119" s="47" t="n"/>
      <c r="L1119" s="47" t="n"/>
      <c r="M1119" s="47" t="n"/>
      <c r="N1119" s="47" t="n"/>
      <c r="O1119" s="47" t="n"/>
      <c r="P1119" s="47" t="n"/>
      <c r="Q1119" s="47" t="n"/>
      <c r="R1119" s="47" t="n"/>
      <c r="S1119" s="47" t="n"/>
      <c r="T1119" s="47" t="n"/>
      <c r="U1119" s="53" t="n"/>
      <c r="V1119" s="53" t="n"/>
      <c r="W1119" s="47" t="n"/>
      <c r="X1119" s="47" t="n"/>
      <c r="Y1119" s="47" t="n"/>
      <c r="Z1119" s="47" t="n"/>
      <c r="AA1119" s="47" t="n"/>
      <c r="AB1119" s="47" t="n"/>
      <c r="AC1119" s="47" t="n"/>
      <c r="AD1119" s="47" t="n"/>
      <c r="AE1119" s="47" t="n"/>
      <c r="AF1119" s="20">
        <f>IF(A1119="","",YEAR(EDATE(A1119,-3)))</f>
        <v/>
      </c>
      <c r="AG1119" s="20">
        <f>IF(OR(B1119="",'経歴簿'!$C$4=""),"",IF(B1119&amp;""='経歴簿'!$C$4&amp;"",MAX($AG$4:AG1118)+1,""))</f>
        <v/>
      </c>
      <c r="AH1119" s="20">
        <f>IF(A1119="",0,IF(AND(OR('CSV抽出'!$C$4="",A1119&gt;='CSV抽出'!$C$4),OR('CSV抽出'!$C$5="",A1119&lt;='CSV抽出'!$C$5),OR('CSV抽出'!$C$6="すべて",'CSV抽出'!$C$6="",D1119='CSV抽出'!$C$6),OR('CSV抽出'!$C$7="",B1119&amp;""='CSV抽出'!$C$7&amp;"")),1,0))</f>
        <v/>
      </c>
      <c r="AI1119" s="20">
        <f>IF(AH1119=1,SUM($AH$5:AH1119),"")</f>
        <v/>
      </c>
      <c r="AJ1119" s="20">
        <f>IF(OR(S1119="",'報告書'!$C$4=""),"",IF(S1119&amp;""='報告書'!$C$4&amp;"",COUNTIF($S$5:S1119,'報告書'!$C$4),""))</f>
        <v/>
      </c>
      <c r="AK1119" s="20" t="n"/>
      <c r="AL1119" s="47" t="n"/>
      <c r="AM1119" s="47" t="n"/>
      <c r="AN1119" s="53" t="n"/>
      <c r="AO1119" s="47" t="n"/>
      <c r="AP1119" s="47" t="n"/>
      <c r="AQ1119" s="47" t="n"/>
      <c r="AR1119" s="47" t="n"/>
      <c r="AS1119" s="47" t="n"/>
      <c r="AT1119" s="47" t="n"/>
      <c r="AU1119" s="47" t="n"/>
      <c r="AV1119" s="47" t="n"/>
      <c r="AW1119" s="52" t="n"/>
    </row>
    <row r="1120">
      <c r="A1120" s="48" t="n"/>
      <c r="B1120" s="52" t="n"/>
      <c r="C1120" s="47">
        <f>IF(B1120="","",IFERROR(INDEX('隊員マスタ'!$B$5:$B$204,MATCH(B1120&amp;"",'隊員マスタ'!$F$5:$F$204,0)),IF(AK1120="","番号なし",AK1120)))</f>
        <v/>
      </c>
      <c r="D1120" s="47" t="n"/>
      <c r="E1120" s="47" t="n"/>
      <c r="F1120" s="47" t="n"/>
      <c r="G1120" s="47" t="n"/>
      <c r="H1120" s="47" t="n"/>
      <c r="I1120" s="47" t="n"/>
      <c r="J1120" s="47" t="n"/>
      <c r="K1120" s="47" t="n"/>
      <c r="L1120" s="47" t="n"/>
      <c r="M1120" s="47" t="n"/>
      <c r="N1120" s="47" t="n"/>
      <c r="O1120" s="47" t="n"/>
      <c r="P1120" s="47" t="n"/>
      <c r="Q1120" s="47" t="n"/>
      <c r="R1120" s="47" t="n"/>
      <c r="S1120" s="47" t="n"/>
      <c r="T1120" s="47" t="n"/>
      <c r="U1120" s="53" t="n"/>
      <c r="V1120" s="53" t="n"/>
      <c r="W1120" s="47" t="n"/>
      <c r="X1120" s="47" t="n"/>
      <c r="Y1120" s="47" t="n"/>
      <c r="Z1120" s="47" t="n"/>
      <c r="AA1120" s="47" t="n"/>
      <c r="AB1120" s="47" t="n"/>
      <c r="AC1120" s="47" t="n"/>
      <c r="AD1120" s="47" t="n"/>
      <c r="AE1120" s="47" t="n"/>
      <c r="AF1120" s="20">
        <f>IF(A1120="","",YEAR(EDATE(A1120,-3)))</f>
        <v/>
      </c>
      <c r="AG1120" s="20">
        <f>IF(OR(B1120="",'経歴簿'!$C$4=""),"",IF(B1120&amp;""='経歴簿'!$C$4&amp;"",MAX($AG$4:AG1119)+1,""))</f>
        <v/>
      </c>
      <c r="AH1120" s="20">
        <f>IF(A1120="",0,IF(AND(OR('CSV抽出'!$C$4="",A1120&gt;='CSV抽出'!$C$4),OR('CSV抽出'!$C$5="",A1120&lt;='CSV抽出'!$C$5),OR('CSV抽出'!$C$6="すべて",'CSV抽出'!$C$6="",D1120='CSV抽出'!$C$6),OR('CSV抽出'!$C$7="",B1120&amp;""='CSV抽出'!$C$7&amp;"")),1,0))</f>
        <v/>
      </c>
      <c r="AI1120" s="20">
        <f>IF(AH1120=1,SUM($AH$5:AH1120),"")</f>
        <v/>
      </c>
      <c r="AJ1120" s="20">
        <f>IF(OR(S1120="",'報告書'!$C$4=""),"",IF(S1120&amp;""='報告書'!$C$4&amp;"",COUNTIF($S$5:S1120,'報告書'!$C$4),""))</f>
        <v/>
      </c>
      <c r="AK1120" s="20" t="n"/>
      <c r="AL1120" s="47" t="n"/>
      <c r="AM1120" s="47" t="n"/>
      <c r="AN1120" s="53" t="n"/>
      <c r="AO1120" s="47" t="n"/>
      <c r="AP1120" s="47" t="n"/>
      <c r="AQ1120" s="47" t="n"/>
      <c r="AR1120" s="47" t="n"/>
      <c r="AS1120" s="47" t="n"/>
      <c r="AT1120" s="47" t="n"/>
      <c r="AU1120" s="47" t="n"/>
      <c r="AV1120" s="47" t="n"/>
      <c r="AW1120" s="52" t="n"/>
    </row>
    <row r="1121">
      <c r="A1121" s="48" t="n"/>
      <c r="B1121" s="52" t="n"/>
      <c r="C1121" s="47">
        <f>IF(B1121="","",IFERROR(INDEX('隊員マスタ'!$B$5:$B$204,MATCH(B1121&amp;"",'隊員マスタ'!$F$5:$F$204,0)),IF(AK1121="","番号なし",AK1121)))</f>
        <v/>
      </c>
      <c r="D1121" s="47" t="n"/>
      <c r="E1121" s="47" t="n"/>
      <c r="F1121" s="47" t="n"/>
      <c r="G1121" s="47" t="n"/>
      <c r="H1121" s="47" t="n"/>
      <c r="I1121" s="47" t="n"/>
      <c r="J1121" s="47" t="n"/>
      <c r="K1121" s="47" t="n"/>
      <c r="L1121" s="47" t="n"/>
      <c r="M1121" s="47" t="n"/>
      <c r="N1121" s="47" t="n"/>
      <c r="O1121" s="47" t="n"/>
      <c r="P1121" s="47" t="n"/>
      <c r="Q1121" s="47" t="n"/>
      <c r="R1121" s="47" t="n"/>
      <c r="S1121" s="47" t="n"/>
      <c r="T1121" s="47" t="n"/>
      <c r="U1121" s="53" t="n"/>
      <c r="V1121" s="53" t="n"/>
      <c r="W1121" s="47" t="n"/>
      <c r="X1121" s="47" t="n"/>
      <c r="Y1121" s="47" t="n"/>
      <c r="Z1121" s="47" t="n"/>
      <c r="AA1121" s="47" t="n"/>
      <c r="AB1121" s="47" t="n"/>
      <c r="AC1121" s="47" t="n"/>
      <c r="AD1121" s="47" t="n"/>
      <c r="AE1121" s="47" t="n"/>
      <c r="AF1121" s="20">
        <f>IF(A1121="","",YEAR(EDATE(A1121,-3)))</f>
        <v/>
      </c>
      <c r="AG1121" s="20">
        <f>IF(OR(B1121="",'経歴簿'!$C$4=""),"",IF(B1121&amp;""='経歴簿'!$C$4&amp;"",MAX($AG$4:AG1120)+1,""))</f>
        <v/>
      </c>
      <c r="AH1121" s="20">
        <f>IF(A1121="",0,IF(AND(OR('CSV抽出'!$C$4="",A1121&gt;='CSV抽出'!$C$4),OR('CSV抽出'!$C$5="",A1121&lt;='CSV抽出'!$C$5),OR('CSV抽出'!$C$6="すべて",'CSV抽出'!$C$6="",D1121='CSV抽出'!$C$6),OR('CSV抽出'!$C$7="",B1121&amp;""='CSV抽出'!$C$7&amp;"")),1,0))</f>
        <v/>
      </c>
      <c r="AI1121" s="20">
        <f>IF(AH1121=1,SUM($AH$5:AH1121),"")</f>
        <v/>
      </c>
      <c r="AJ1121" s="20">
        <f>IF(OR(S1121="",'報告書'!$C$4=""),"",IF(S1121&amp;""='報告書'!$C$4&amp;"",COUNTIF($S$5:S1121,'報告書'!$C$4),""))</f>
        <v/>
      </c>
      <c r="AK1121" s="20" t="n"/>
      <c r="AL1121" s="47" t="n"/>
      <c r="AM1121" s="47" t="n"/>
      <c r="AN1121" s="53" t="n"/>
      <c r="AO1121" s="47" t="n"/>
      <c r="AP1121" s="47" t="n"/>
      <c r="AQ1121" s="47" t="n"/>
      <c r="AR1121" s="47" t="n"/>
      <c r="AS1121" s="47" t="n"/>
      <c r="AT1121" s="47" t="n"/>
      <c r="AU1121" s="47" t="n"/>
      <c r="AV1121" s="47" t="n"/>
      <c r="AW1121" s="52" t="n"/>
    </row>
    <row r="1122">
      <c r="A1122" s="48" t="n"/>
      <c r="B1122" s="52" t="n"/>
      <c r="C1122" s="47">
        <f>IF(B1122="","",IFERROR(INDEX('隊員マスタ'!$B$5:$B$204,MATCH(B1122&amp;"",'隊員マスタ'!$F$5:$F$204,0)),IF(AK1122="","番号なし",AK1122)))</f>
        <v/>
      </c>
      <c r="D1122" s="47" t="n"/>
      <c r="E1122" s="47" t="n"/>
      <c r="F1122" s="47" t="n"/>
      <c r="G1122" s="47" t="n"/>
      <c r="H1122" s="47" t="n"/>
      <c r="I1122" s="47" t="n"/>
      <c r="J1122" s="47" t="n"/>
      <c r="K1122" s="47" t="n"/>
      <c r="L1122" s="47" t="n"/>
      <c r="M1122" s="47" t="n"/>
      <c r="N1122" s="47" t="n"/>
      <c r="O1122" s="47" t="n"/>
      <c r="P1122" s="47" t="n"/>
      <c r="Q1122" s="47" t="n"/>
      <c r="R1122" s="47" t="n"/>
      <c r="S1122" s="47" t="n"/>
      <c r="T1122" s="47" t="n"/>
      <c r="U1122" s="53" t="n"/>
      <c r="V1122" s="53" t="n"/>
      <c r="W1122" s="47" t="n"/>
      <c r="X1122" s="47" t="n"/>
      <c r="Y1122" s="47" t="n"/>
      <c r="Z1122" s="47" t="n"/>
      <c r="AA1122" s="47" t="n"/>
      <c r="AB1122" s="47" t="n"/>
      <c r="AC1122" s="47" t="n"/>
      <c r="AD1122" s="47" t="n"/>
      <c r="AE1122" s="47" t="n"/>
      <c r="AF1122" s="20">
        <f>IF(A1122="","",YEAR(EDATE(A1122,-3)))</f>
        <v/>
      </c>
      <c r="AG1122" s="20">
        <f>IF(OR(B1122="",'経歴簿'!$C$4=""),"",IF(B1122&amp;""='経歴簿'!$C$4&amp;"",MAX($AG$4:AG1121)+1,""))</f>
        <v/>
      </c>
      <c r="AH1122" s="20">
        <f>IF(A1122="",0,IF(AND(OR('CSV抽出'!$C$4="",A1122&gt;='CSV抽出'!$C$4),OR('CSV抽出'!$C$5="",A1122&lt;='CSV抽出'!$C$5),OR('CSV抽出'!$C$6="すべて",'CSV抽出'!$C$6="",D1122='CSV抽出'!$C$6),OR('CSV抽出'!$C$7="",B1122&amp;""='CSV抽出'!$C$7&amp;"")),1,0))</f>
        <v/>
      </c>
      <c r="AI1122" s="20">
        <f>IF(AH1122=1,SUM($AH$5:AH1122),"")</f>
        <v/>
      </c>
      <c r="AJ1122" s="20">
        <f>IF(OR(S1122="",'報告書'!$C$4=""),"",IF(S1122&amp;""='報告書'!$C$4&amp;"",COUNTIF($S$5:S1122,'報告書'!$C$4),""))</f>
        <v/>
      </c>
      <c r="AK1122" s="20" t="n"/>
      <c r="AL1122" s="47" t="n"/>
      <c r="AM1122" s="47" t="n"/>
      <c r="AN1122" s="53" t="n"/>
      <c r="AO1122" s="47" t="n"/>
      <c r="AP1122" s="47" t="n"/>
      <c r="AQ1122" s="47" t="n"/>
      <c r="AR1122" s="47" t="n"/>
      <c r="AS1122" s="47" t="n"/>
      <c r="AT1122" s="47" t="n"/>
      <c r="AU1122" s="47" t="n"/>
      <c r="AV1122" s="47" t="n"/>
      <c r="AW1122" s="52" t="n"/>
    </row>
    <row r="1123">
      <c r="A1123" s="48" t="n"/>
      <c r="B1123" s="52" t="n"/>
      <c r="C1123" s="47">
        <f>IF(B1123="","",IFERROR(INDEX('隊員マスタ'!$B$5:$B$204,MATCH(B1123&amp;"",'隊員マスタ'!$F$5:$F$204,0)),IF(AK1123="","番号なし",AK1123)))</f>
        <v/>
      </c>
      <c r="D1123" s="47" t="n"/>
      <c r="E1123" s="47" t="n"/>
      <c r="F1123" s="47" t="n"/>
      <c r="G1123" s="47" t="n"/>
      <c r="H1123" s="47" t="n"/>
      <c r="I1123" s="47" t="n"/>
      <c r="J1123" s="47" t="n"/>
      <c r="K1123" s="47" t="n"/>
      <c r="L1123" s="47" t="n"/>
      <c r="M1123" s="47" t="n"/>
      <c r="N1123" s="47" t="n"/>
      <c r="O1123" s="47" t="n"/>
      <c r="P1123" s="47" t="n"/>
      <c r="Q1123" s="47" t="n"/>
      <c r="R1123" s="47" t="n"/>
      <c r="S1123" s="47" t="n"/>
      <c r="T1123" s="47" t="n"/>
      <c r="U1123" s="53" t="n"/>
      <c r="V1123" s="53" t="n"/>
      <c r="W1123" s="47" t="n"/>
      <c r="X1123" s="47" t="n"/>
      <c r="Y1123" s="47" t="n"/>
      <c r="Z1123" s="47" t="n"/>
      <c r="AA1123" s="47" t="n"/>
      <c r="AB1123" s="47" t="n"/>
      <c r="AC1123" s="47" t="n"/>
      <c r="AD1123" s="47" t="n"/>
      <c r="AE1123" s="47" t="n"/>
      <c r="AF1123" s="20">
        <f>IF(A1123="","",YEAR(EDATE(A1123,-3)))</f>
        <v/>
      </c>
      <c r="AG1123" s="20">
        <f>IF(OR(B1123="",'経歴簿'!$C$4=""),"",IF(B1123&amp;""='経歴簿'!$C$4&amp;"",MAX($AG$4:AG1122)+1,""))</f>
        <v/>
      </c>
      <c r="AH1123" s="20">
        <f>IF(A1123="",0,IF(AND(OR('CSV抽出'!$C$4="",A1123&gt;='CSV抽出'!$C$4),OR('CSV抽出'!$C$5="",A1123&lt;='CSV抽出'!$C$5),OR('CSV抽出'!$C$6="すべて",'CSV抽出'!$C$6="",D1123='CSV抽出'!$C$6),OR('CSV抽出'!$C$7="",B1123&amp;""='CSV抽出'!$C$7&amp;"")),1,0))</f>
        <v/>
      </c>
      <c r="AI1123" s="20">
        <f>IF(AH1123=1,SUM($AH$5:AH1123),"")</f>
        <v/>
      </c>
      <c r="AJ1123" s="20">
        <f>IF(OR(S1123="",'報告書'!$C$4=""),"",IF(S1123&amp;""='報告書'!$C$4&amp;"",COUNTIF($S$5:S1123,'報告書'!$C$4),""))</f>
        <v/>
      </c>
      <c r="AK1123" s="20" t="n"/>
      <c r="AL1123" s="47" t="n"/>
      <c r="AM1123" s="47" t="n"/>
      <c r="AN1123" s="53" t="n"/>
      <c r="AO1123" s="47" t="n"/>
      <c r="AP1123" s="47" t="n"/>
      <c r="AQ1123" s="47" t="n"/>
      <c r="AR1123" s="47" t="n"/>
      <c r="AS1123" s="47" t="n"/>
      <c r="AT1123" s="47" t="n"/>
      <c r="AU1123" s="47" t="n"/>
      <c r="AV1123" s="47" t="n"/>
      <c r="AW1123" s="52" t="n"/>
    </row>
    <row r="1124">
      <c r="A1124" s="48" t="n"/>
      <c r="B1124" s="52" t="n"/>
      <c r="C1124" s="47">
        <f>IF(B1124="","",IFERROR(INDEX('隊員マスタ'!$B$5:$B$204,MATCH(B1124&amp;"",'隊員マスタ'!$F$5:$F$204,0)),IF(AK1124="","番号なし",AK1124)))</f>
        <v/>
      </c>
      <c r="D1124" s="47" t="n"/>
      <c r="E1124" s="47" t="n"/>
      <c r="F1124" s="47" t="n"/>
      <c r="G1124" s="47" t="n"/>
      <c r="H1124" s="47" t="n"/>
      <c r="I1124" s="47" t="n"/>
      <c r="J1124" s="47" t="n"/>
      <c r="K1124" s="47" t="n"/>
      <c r="L1124" s="47" t="n"/>
      <c r="M1124" s="47" t="n"/>
      <c r="N1124" s="47" t="n"/>
      <c r="O1124" s="47" t="n"/>
      <c r="P1124" s="47" t="n"/>
      <c r="Q1124" s="47" t="n"/>
      <c r="R1124" s="47" t="n"/>
      <c r="S1124" s="47" t="n"/>
      <c r="T1124" s="47" t="n"/>
      <c r="U1124" s="53" t="n"/>
      <c r="V1124" s="53" t="n"/>
      <c r="W1124" s="47" t="n"/>
      <c r="X1124" s="47" t="n"/>
      <c r="Y1124" s="47" t="n"/>
      <c r="Z1124" s="47" t="n"/>
      <c r="AA1124" s="47" t="n"/>
      <c r="AB1124" s="47" t="n"/>
      <c r="AC1124" s="47" t="n"/>
      <c r="AD1124" s="47" t="n"/>
      <c r="AE1124" s="47" t="n"/>
      <c r="AF1124" s="20">
        <f>IF(A1124="","",YEAR(EDATE(A1124,-3)))</f>
        <v/>
      </c>
      <c r="AG1124" s="20">
        <f>IF(OR(B1124="",'経歴簿'!$C$4=""),"",IF(B1124&amp;""='経歴簿'!$C$4&amp;"",MAX($AG$4:AG1123)+1,""))</f>
        <v/>
      </c>
      <c r="AH1124" s="20">
        <f>IF(A1124="",0,IF(AND(OR('CSV抽出'!$C$4="",A1124&gt;='CSV抽出'!$C$4),OR('CSV抽出'!$C$5="",A1124&lt;='CSV抽出'!$C$5),OR('CSV抽出'!$C$6="すべて",'CSV抽出'!$C$6="",D1124='CSV抽出'!$C$6),OR('CSV抽出'!$C$7="",B1124&amp;""='CSV抽出'!$C$7&amp;"")),1,0))</f>
        <v/>
      </c>
      <c r="AI1124" s="20">
        <f>IF(AH1124=1,SUM($AH$5:AH1124),"")</f>
        <v/>
      </c>
      <c r="AJ1124" s="20">
        <f>IF(OR(S1124="",'報告書'!$C$4=""),"",IF(S1124&amp;""='報告書'!$C$4&amp;"",COUNTIF($S$5:S1124,'報告書'!$C$4),""))</f>
        <v/>
      </c>
      <c r="AK1124" s="20" t="n"/>
      <c r="AL1124" s="47" t="n"/>
      <c r="AM1124" s="47" t="n"/>
      <c r="AN1124" s="53" t="n"/>
      <c r="AO1124" s="47" t="n"/>
      <c r="AP1124" s="47" t="n"/>
      <c r="AQ1124" s="47" t="n"/>
      <c r="AR1124" s="47" t="n"/>
      <c r="AS1124" s="47" t="n"/>
      <c r="AT1124" s="47" t="n"/>
      <c r="AU1124" s="47" t="n"/>
      <c r="AV1124" s="47" t="n"/>
      <c r="AW1124" s="52" t="n"/>
    </row>
    <row r="1125">
      <c r="A1125" s="48" t="n"/>
      <c r="B1125" s="52" t="n"/>
      <c r="C1125" s="47">
        <f>IF(B1125="","",IFERROR(INDEX('隊員マスタ'!$B$5:$B$204,MATCH(B1125&amp;"",'隊員マスタ'!$F$5:$F$204,0)),IF(AK1125="","番号なし",AK1125)))</f>
        <v/>
      </c>
      <c r="D1125" s="47" t="n"/>
      <c r="E1125" s="47" t="n"/>
      <c r="F1125" s="47" t="n"/>
      <c r="G1125" s="47" t="n"/>
      <c r="H1125" s="47" t="n"/>
      <c r="I1125" s="47" t="n"/>
      <c r="J1125" s="47" t="n"/>
      <c r="K1125" s="47" t="n"/>
      <c r="L1125" s="47" t="n"/>
      <c r="M1125" s="47" t="n"/>
      <c r="N1125" s="47" t="n"/>
      <c r="O1125" s="47" t="n"/>
      <c r="P1125" s="47" t="n"/>
      <c r="Q1125" s="47" t="n"/>
      <c r="R1125" s="47" t="n"/>
      <c r="S1125" s="47" t="n"/>
      <c r="T1125" s="47" t="n"/>
      <c r="U1125" s="53" t="n"/>
      <c r="V1125" s="53" t="n"/>
      <c r="W1125" s="47" t="n"/>
      <c r="X1125" s="47" t="n"/>
      <c r="Y1125" s="47" t="n"/>
      <c r="Z1125" s="47" t="n"/>
      <c r="AA1125" s="47" t="n"/>
      <c r="AB1125" s="47" t="n"/>
      <c r="AC1125" s="47" t="n"/>
      <c r="AD1125" s="47" t="n"/>
      <c r="AE1125" s="47" t="n"/>
      <c r="AF1125" s="20">
        <f>IF(A1125="","",YEAR(EDATE(A1125,-3)))</f>
        <v/>
      </c>
      <c r="AG1125" s="20">
        <f>IF(OR(B1125="",'経歴簿'!$C$4=""),"",IF(B1125&amp;""='経歴簿'!$C$4&amp;"",MAX($AG$4:AG1124)+1,""))</f>
        <v/>
      </c>
      <c r="AH1125" s="20">
        <f>IF(A1125="",0,IF(AND(OR('CSV抽出'!$C$4="",A1125&gt;='CSV抽出'!$C$4),OR('CSV抽出'!$C$5="",A1125&lt;='CSV抽出'!$C$5),OR('CSV抽出'!$C$6="すべて",'CSV抽出'!$C$6="",D1125='CSV抽出'!$C$6),OR('CSV抽出'!$C$7="",B1125&amp;""='CSV抽出'!$C$7&amp;"")),1,0))</f>
        <v/>
      </c>
      <c r="AI1125" s="20">
        <f>IF(AH1125=1,SUM($AH$5:AH1125),"")</f>
        <v/>
      </c>
      <c r="AJ1125" s="20">
        <f>IF(OR(S1125="",'報告書'!$C$4=""),"",IF(S1125&amp;""='報告書'!$C$4&amp;"",COUNTIF($S$5:S1125,'報告書'!$C$4),""))</f>
        <v/>
      </c>
      <c r="AK1125" s="20" t="n"/>
      <c r="AL1125" s="47" t="n"/>
      <c r="AM1125" s="47" t="n"/>
      <c r="AN1125" s="53" t="n"/>
      <c r="AO1125" s="47" t="n"/>
      <c r="AP1125" s="47" t="n"/>
      <c r="AQ1125" s="47" t="n"/>
      <c r="AR1125" s="47" t="n"/>
      <c r="AS1125" s="47" t="n"/>
      <c r="AT1125" s="47" t="n"/>
      <c r="AU1125" s="47" t="n"/>
      <c r="AV1125" s="47" t="n"/>
      <c r="AW1125" s="52" t="n"/>
    </row>
    <row r="1126">
      <c r="A1126" s="48" t="n"/>
      <c r="B1126" s="52" t="n"/>
      <c r="C1126" s="47">
        <f>IF(B1126="","",IFERROR(INDEX('隊員マスタ'!$B$5:$B$204,MATCH(B1126&amp;"",'隊員マスタ'!$F$5:$F$204,0)),IF(AK1126="","番号なし",AK1126)))</f>
        <v/>
      </c>
      <c r="D1126" s="47" t="n"/>
      <c r="E1126" s="47" t="n"/>
      <c r="F1126" s="47" t="n"/>
      <c r="G1126" s="47" t="n"/>
      <c r="H1126" s="47" t="n"/>
      <c r="I1126" s="47" t="n"/>
      <c r="J1126" s="47" t="n"/>
      <c r="K1126" s="47" t="n"/>
      <c r="L1126" s="47" t="n"/>
      <c r="M1126" s="47" t="n"/>
      <c r="N1126" s="47" t="n"/>
      <c r="O1126" s="47" t="n"/>
      <c r="P1126" s="47" t="n"/>
      <c r="Q1126" s="47" t="n"/>
      <c r="R1126" s="47" t="n"/>
      <c r="S1126" s="47" t="n"/>
      <c r="T1126" s="47" t="n"/>
      <c r="U1126" s="53" t="n"/>
      <c r="V1126" s="53" t="n"/>
      <c r="W1126" s="47" t="n"/>
      <c r="X1126" s="47" t="n"/>
      <c r="Y1126" s="47" t="n"/>
      <c r="Z1126" s="47" t="n"/>
      <c r="AA1126" s="47" t="n"/>
      <c r="AB1126" s="47" t="n"/>
      <c r="AC1126" s="47" t="n"/>
      <c r="AD1126" s="47" t="n"/>
      <c r="AE1126" s="47" t="n"/>
      <c r="AF1126" s="20">
        <f>IF(A1126="","",YEAR(EDATE(A1126,-3)))</f>
        <v/>
      </c>
      <c r="AG1126" s="20">
        <f>IF(OR(B1126="",'経歴簿'!$C$4=""),"",IF(B1126&amp;""='経歴簿'!$C$4&amp;"",MAX($AG$4:AG1125)+1,""))</f>
        <v/>
      </c>
      <c r="AH1126" s="20">
        <f>IF(A1126="",0,IF(AND(OR('CSV抽出'!$C$4="",A1126&gt;='CSV抽出'!$C$4),OR('CSV抽出'!$C$5="",A1126&lt;='CSV抽出'!$C$5),OR('CSV抽出'!$C$6="すべて",'CSV抽出'!$C$6="",D1126='CSV抽出'!$C$6),OR('CSV抽出'!$C$7="",B1126&amp;""='CSV抽出'!$C$7&amp;"")),1,0))</f>
        <v/>
      </c>
      <c r="AI1126" s="20">
        <f>IF(AH1126=1,SUM($AH$5:AH1126),"")</f>
        <v/>
      </c>
      <c r="AJ1126" s="20">
        <f>IF(OR(S1126="",'報告書'!$C$4=""),"",IF(S1126&amp;""='報告書'!$C$4&amp;"",COUNTIF($S$5:S1126,'報告書'!$C$4),""))</f>
        <v/>
      </c>
      <c r="AK1126" s="20" t="n"/>
      <c r="AL1126" s="47" t="n"/>
      <c r="AM1126" s="47" t="n"/>
      <c r="AN1126" s="53" t="n"/>
      <c r="AO1126" s="47" t="n"/>
      <c r="AP1126" s="47" t="n"/>
      <c r="AQ1126" s="47" t="n"/>
      <c r="AR1126" s="47" t="n"/>
      <c r="AS1126" s="47" t="n"/>
      <c r="AT1126" s="47" t="n"/>
      <c r="AU1126" s="47" t="n"/>
      <c r="AV1126" s="47" t="n"/>
      <c r="AW1126" s="52" t="n"/>
    </row>
    <row r="1127">
      <c r="A1127" s="48" t="n"/>
      <c r="B1127" s="52" t="n"/>
      <c r="C1127" s="47">
        <f>IF(B1127="","",IFERROR(INDEX('隊員マスタ'!$B$5:$B$204,MATCH(B1127&amp;"",'隊員マスタ'!$F$5:$F$204,0)),IF(AK1127="","番号なし",AK1127)))</f>
        <v/>
      </c>
      <c r="D1127" s="47" t="n"/>
      <c r="E1127" s="47" t="n"/>
      <c r="F1127" s="47" t="n"/>
      <c r="G1127" s="47" t="n"/>
      <c r="H1127" s="47" t="n"/>
      <c r="I1127" s="47" t="n"/>
      <c r="J1127" s="47" t="n"/>
      <c r="K1127" s="47" t="n"/>
      <c r="L1127" s="47" t="n"/>
      <c r="M1127" s="47" t="n"/>
      <c r="N1127" s="47" t="n"/>
      <c r="O1127" s="47" t="n"/>
      <c r="P1127" s="47" t="n"/>
      <c r="Q1127" s="47" t="n"/>
      <c r="R1127" s="47" t="n"/>
      <c r="S1127" s="47" t="n"/>
      <c r="T1127" s="47" t="n"/>
      <c r="U1127" s="53" t="n"/>
      <c r="V1127" s="53" t="n"/>
      <c r="W1127" s="47" t="n"/>
      <c r="X1127" s="47" t="n"/>
      <c r="Y1127" s="47" t="n"/>
      <c r="Z1127" s="47" t="n"/>
      <c r="AA1127" s="47" t="n"/>
      <c r="AB1127" s="47" t="n"/>
      <c r="AC1127" s="47" t="n"/>
      <c r="AD1127" s="47" t="n"/>
      <c r="AE1127" s="47" t="n"/>
      <c r="AF1127" s="20">
        <f>IF(A1127="","",YEAR(EDATE(A1127,-3)))</f>
        <v/>
      </c>
      <c r="AG1127" s="20">
        <f>IF(OR(B1127="",'経歴簿'!$C$4=""),"",IF(B1127&amp;""='経歴簿'!$C$4&amp;"",MAX($AG$4:AG1126)+1,""))</f>
        <v/>
      </c>
      <c r="AH1127" s="20">
        <f>IF(A1127="",0,IF(AND(OR('CSV抽出'!$C$4="",A1127&gt;='CSV抽出'!$C$4),OR('CSV抽出'!$C$5="",A1127&lt;='CSV抽出'!$C$5),OR('CSV抽出'!$C$6="すべて",'CSV抽出'!$C$6="",D1127='CSV抽出'!$C$6),OR('CSV抽出'!$C$7="",B1127&amp;""='CSV抽出'!$C$7&amp;"")),1,0))</f>
        <v/>
      </c>
      <c r="AI1127" s="20">
        <f>IF(AH1127=1,SUM($AH$5:AH1127),"")</f>
        <v/>
      </c>
      <c r="AJ1127" s="20">
        <f>IF(OR(S1127="",'報告書'!$C$4=""),"",IF(S1127&amp;""='報告書'!$C$4&amp;"",COUNTIF($S$5:S1127,'報告書'!$C$4),""))</f>
        <v/>
      </c>
      <c r="AK1127" s="20" t="n"/>
      <c r="AL1127" s="47" t="n"/>
      <c r="AM1127" s="47" t="n"/>
      <c r="AN1127" s="53" t="n"/>
      <c r="AO1127" s="47" t="n"/>
      <c r="AP1127" s="47" t="n"/>
      <c r="AQ1127" s="47" t="n"/>
      <c r="AR1127" s="47" t="n"/>
      <c r="AS1127" s="47" t="n"/>
      <c r="AT1127" s="47" t="n"/>
      <c r="AU1127" s="47" t="n"/>
      <c r="AV1127" s="47" t="n"/>
      <c r="AW1127" s="52" t="n"/>
    </row>
    <row r="1128">
      <c r="A1128" s="48" t="n"/>
      <c r="B1128" s="52" t="n"/>
      <c r="C1128" s="47">
        <f>IF(B1128="","",IFERROR(INDEX('隊員マスタ'!$B$5:$B$204,MATCH(B1128&amp;"",'隊員マスタ'!$F$5:$F$204,0)),IF(AK1128="","番号なし",AK1128)))</f>
        <v/>
      </c>
      <c r="D1128" s="47" t="n"/>
      <c r="E1128" s="47" t="n"/>
      <c r="F1128" s="47" t="n"/>
      <c r="G1128" s="47" t="n"/>
      <c r="H1128" s="47" t="n"/>
      <c r="I1128" s="47" t="n"/>
      <c r="J1128" s="47" t="n"/>
      <c r="K1128" s="47" t="n"/>
      <c r="L1128" s="47" t="n"/>
      <c r="M1128" s="47" t="n"/>
      <c r="N1128" s="47" t="n"/>
      <c r="O1128" s="47" t="n"/>
      <c r="P1128" s="47" t="n"/>
      <c r="Q1128" s="47" t="n"/>
      <c r="R1128" s="47" t="n"/>
      <c r="S1128" s="47" t="n"/>
      <c r="T1128" s="47" t="n"/>
      <c r="U1128" s="53" t="n"/>
      <c r="V1128" s="53" t="n"/>
      <c r="W1128" s="47" t="n"/>
      <c r="X1128" s="47" t="n"/>
      <c r="Y1128" s="47" t="n"/>
      <c r="Z1128" s="47" t="n"/>
      <c r="AA1128" s="47" t="n"/>
      <c r="AB1128" s="47" t="n"/>
      <c r="AC1128" s="47" t="n"/>
      <c r="AD1128" s="47" t="n"/>
      <c r="AE1128" s="47" t="n"/>
      <c r="AF1128" s="20">
        <f>IF(A1128="","",YEAR(EDATE(A1128,-3)))</f>
        <v/>
      </c>
      <c r="AG1128" s="20">
        <f>IF(OR(B1128="",'経歴簿'!$C$4=""),"",IF(B1128&amp;""='経歴簿'!$C$4&amp;"",MAX($AG$4:AG1127)+1,""))</f>
        <v/>
      </c>
      <c r="AH1128" s="20">
        <f>IF(A1128="",0,IF(AND(OR('CSV抽出'!$C$4="",A1128&gt;='CSV抽出'!$C$4),OR('CSV抽出'!$C$5="",A1128&lt;='CSV抽出'!$C$5),OR('CSV抽出'!$C$6="すべて",'CSV抽出'!$C$6="",D1128='CSV抽出'!$C$6),OR('CSV抽出'!$C$7="",B1128&amp;""='CSV抽出'!$C$7&amp;"")),1,0))</f>
        <v/>
      </c>
      <c r="AI1128" s="20">
        <f>IF(AH1128=1,SUM($AH$5:AH1128),"")</f>
        <v/>
      </c>
      <c r="AJ1128" s="20">
        <f>IF(OR(S1128="",'報告書'!$C$4=""),"",IF(S1128&amp;""='報告書'!$C$4&amp;"",COUNTIF($S$5:S1128,'報告書'!$C$4),""))</f>
        <v/>
      </c>
      <c r="AK1128" s="20" t="n"/>
      <c r="AL1128" s="47" t="n"/>
      <c r="AM1128" s="47" t="n"/>
      <c r="AN1128" s="53" t="n"/>
      <c r="AO1128" s="47" t="n"/>
      <c r="AP1128" s="47" t="n"/>
      <c r="AQ1128" s="47" t="n"/>
      <c r="AR1128" s="47" t="n"/>
      <c r="AS1128" s="47" t="n"/>
      <c r="AT1128" s="47" t="n"/>
      <c r="AU1128" s="47" t="n"/>
      <c r="AV1128" s="47" t="n"/>
      <c r="AW1128" s="52" t="n"/>
    </row>
    <row r="1129">
      <c r="A1129" s="48" t="n"/>
      <c r="B1129" s="52" t="n"/>
      <c r="C1129" s="47">
        <f>IF(B1129="","",IFERROR(INDEX('隊員マスタ'!$B$5:$B$204,MATCH(B1129&amp;"",'隊員マスタ'!$F$5:$F$204,0)),IF(AK1129="","番号なし",AK1129)))</f>
        <v/>
      </c>
      <c r="D1129" s="47" t="n"/>
      <c r="E1129" s="47" t="n"/>
      <c r="F1129" s="47" t="n"/>
      <c r="G1129" s="47" t="n"/>
      <c r="H1129" s="47" t="n"/>
      <c r="I1129" s="47" t="n"/>
      <c r="J1129" s="47" t="n"/>
      <c r="K1129" s="47" t="n"/>
      <c r="L1129" s="47" t="n"/>
      <c r="M1129" s="47" t="n"/>
      <c r="N1129" s="47" t="n"/>
      <c r="O1129" s="47" t="n"/>
      <c r="P1129" s="47" t="n"/>
      <c r="Q1129" s="47" t="n"/>
      <c r="R1129" s="47" t="n"/>
      <c r="S1129" s="47" t="n"/>
      <c r="T1129" s="47" t="n"/>
      <c r="U1129" s="53" t="n"/>
      <c r="V1129" s="53" t="n"/>
      <c r="W1129" s="47" t="n"/>
      <c r="X1129" s="47" t="n"/>
      <c r="Y1129" s="47" t="n"/>
      <c r="Z1129" s="47" t="n"/>
      <c r="AA1129" s="47" t="n"/>
      <c r="AB1129" s="47" t="n"/>
      <c r="AC1129" s="47" t="n"/>
      <c r="AD1129" s="47" t="n"/>
      <c r="AE1129" s="47" t="n"/>
      <c r="AF1129" s="20">
        <f>IF(A1129="","",YEAR(EDATE(A1129,-3)))</f>
        <v/>
      </c>
      <c r="AG1129" s="20">
        <f>IF(OR(B1129="",'経歴簿'!$C$4=""),"",IF(B1129&amp;""='経歴簿'!$C$4&amp;"",MAX($AG$4:AG1128)+1,""))</f>
        <v/>
      </c>
      <c r="AH1129" s="20">
        <f>IF(A1129="",0,IF(AND(OR('CSV抽出'!$C$4="",A1129&gt;='CSV抽出'!$C$4),OR('CSV抽出'!$C$5="",A1129&lt;='CSV抽出'!$C$5),OR('CSV抽出'!$C$6="すべて",'CSV抽出'!$C$6="",D1129='CSV抽出'!$C$6),OR('CSV抽出'!$C$7="",B1129&amp;""='CSV抽出'!$C$7&amp;"")),1,0))</f>
        <v/>
      </c>
      <c r="AI1129" s="20">
        <f>IF(AH1129=1,SUM($AH$5:AH1129),"")</f>
        <v/>
      </c>
      <c r="AJ1129" s="20">
        <f>IF(OR(S1129="",'報告書'!$C$4=""),"",IF(S1129&amp;""='報告書'!$C$4&amp;"",COUNTIF($S$5:S1129,'報告書'!$C$4),""))</f>
        <v/>
      </c>
      <c r="AK1129" s="20" t="n"/>
      <c r="AL1129" s="47" t="n"/>
      <c r="AM1129" s="47" t="n"/>
      <c r="AN1129" s="53" t="n"/>
      <c r="AO1129" s="47" t="n"/>
      <c r="AP1129" s="47" t="n"/>
      <c r="AQ1129" s="47" t="n"/>
      <c r="AR1129" s="47" t="n"/>
      <c r="AS1129" s="47" t="n"/>
      <c r="AT1129" s="47" t="n"/>
      <c r="AU1129" s="47" t="n"/>
      <c r="AV1129" s="47" t="n"/>
      <c r="AW1129" s="52" t="n"/>
    </row>
    <row r="1130">
      <c r="A1130" s="48" t="n"/>
      <c r="B1130" s="52" t="n"/>
      <c r="C1130" s="47">
        <f>IF(B1130="","",IFERROR(INDEX('隊員マスタ'!$B$5:$B$204,MATCH(B1130&amp;"",'隊員マスタ'!$F$5:$F$204,0)),IF(AK1130="","番号なし",AK1130)))</f>
        <v/>
      </c>
      <c r="D1130" s="47" t="n"/>
      <c r="E1130" s="47" t="n"/>
      <c r="F1130" s="47" t="n"/>
      <c r="G1130" s="47" t="n"/>
      <c r="H1130" s="47" t="n"/>
      <c r="I1130" s="47" t="n"/>
      <c r="J1130" s="47" t="n"/>
      <c r="K1130" s="47" t="n"/>
      <c r="L1130" s="47" t="n"/>
      <c r="M1130" s="47" t="n"/>
      <c r="N1130" s="47" t="n"/>
      <c r="O1130" s="47" t="n"/>
      <c r="P1130" s="47" t="n"/>
      <c r="Q1130" s="47" t="n"/>
      <c r="R1130" s="47" t="n"/>
      <c r="S1130" s="47" t="n"/>
      <c r="T1130" s="47" t="n"/>
      <c r="U1130" s="53" t="n"/>
      <c r="V1130" s="53" t="n"/>
      <c r="W1130" s="47" t="n"/>
      <c r="X1130" s="47" t="n"/>
      <c r="Y1130" s="47" t="n"/>
      <c r="Z1130" s="47" t="n"/>
      <c r="AA1130" s="47" t="n"/>
      <c r="AB1130" s="47" t="n"/>
      <c r="AC1130" s="47" t="n"/>
      <c r="AD1130" s="47" t="n"/>
      <c r="AE1130" s="47" t="n"/>
      <c r="AF1130" s="20">
        <f>IF(A1130="","",YEAR(EDATE(A1130,-3)))</f>
        <v/>
      </c>
      <c r="AG1130" s="20">
        <f>IF(OR(B1130="",'経歴簿'!$C$4=""),"",IF(B1130&amp;""='経歴簿'!$C$4&amp;"",MAX($AG$4:AG1129)+1,""))</f>
        <v/>
      </c>
      <c r="AH1130" s="20">
        <f>IF(A1130="",0,IF(AND(OR('CSV抽出'!$C$4="",A1130&gt;='CSV抽出'!$C$4),OR('CSV抽出'!$C$5="",A1130&lt;='CSV抽出'!$C$5),OR('CSV抽出'!$C$6="すべて",'CSV抽出'!$C$6="",D1130='CSV抽出'!$C$6),OR('CSV抽出'!$C$7="",B1130&amp;""='CSV抽出'!$C$7&amp;"")),1,0))</f>
        <v/>
      </c>
      <c r="AI1130" s="20">
        <f>IF(AH1130=1,SUM($AH$5:AH1130),"")</f>
        <v/>
      </c>
      <c r="AJ1130" s="20">
        <f>IF(OR(S1130="",'報告書'!$C$4=""),"",IF(S1130&amp;""='報告書'!$C$4&amp;"",COUNTIF($S$5:S1130,'報告書'!$C$4),""))</f>
        <v/>
      </c>
      <c r="AK1130" s="20" t="n"/>
      <c r="AL1130" s="47" t="n"/>
      <c r="AM1130" s="47" t="n"/>
      <c r="AN1130" s="53" t="n"/>
      <c r="AO1130" s="47" t="n"/>
      <c r="AP1130" s="47" t="n"/>
      <c r="AQ1130" s="47" t="n"/>
      <c r="AR1130" s="47" t="n"/>
      <c r="AS1130" s="47" t="n"/>
      <c r="AT1130" s="47" t="n"/>
      <c r="AU1130" s="47" t="n"/>
      <c r="AV1130" s="47" t="n"/>
      <c r="AW1130" s="52" t="n"/>
    </row>
    <row r="1131">
      <c r="A1131" s="48" t="n"/>
      <c r="B1131" s="52" t="n"/>
      <c r="C1131" s="47">
        <f>IF(B1131="","",IFERROR(INDEX('隊員マスタ'!$B$5:$B$204,MATCH(B1131&amp;"",'隊員マスタ'!$F$5:$F$204,0)),IF(AK1131="","番号なし",AK1131)))</f>
        <v/>
      </c>
      <c r="D1131" s="47" t="n"/>
      <c r="E1131" s="47" t="n"/>
      <c r="F1131" s="47" t="n"/>
      <c r="G1131" s="47" t="n"/>
      <c r="H1131" s="47" t="n"/>
      <c r="I1131" s="47" t="n"/>
      <c r="J1131" s="47" t="n"/>
      <c r="K1131" s="47" t="n"/>
      <c r="L1131" s="47" t="n"/>
      <c r="M1131" s="47" t="n"/>
      <c r="N1131" s="47" t="n"/>
      <c r="O1131" s="47" t="n"/>
      <c r="P1131" s="47" t="n"/>
      <c r="Q1131" s="47" t="n"/>
      <c r="R1131" s="47" t="n"/>
      <c r="S1131" s="47" t="n"/>
      <c r="T1131" s="47" t="n"/>
      <c r="U1131" s="53" t="n"/>
      <c r="V1131" s="53" t="n"/>
      <c r="W1131" s="47" t="n"/>
      <c r="X1131" s="47" t="n"/>
      <c r="Y1131" s="47" t="n"/>
      <c r="Z1131" s="47" t="n"/>
      <c r="AA1131" s="47" t="n"/>
      <c r="AB1131" s="47" t="n"/>
      <c r="AC1131" s="47" t="n"/>
      <c r="AD1131" s="47" t="n"/>
      <c r="AE1131" s="47" t="n"/>
      <c r="AF1131" s="20">
        <f>IF(A1131="","",YEAR(EDATE(A1131,-3)))</f>
        <v/>
      </c>
      <c r="AG1131" s="20">
        <f>IF(OR(B1131="",'経歴簿'!$C$4=""),"",IF(B1131&amp;""='経歴簿'!$C$4&amp;"",MAX($AG$4:AG1130)+1,""))</f>
        <v/>
      </c>
      <c r="AH1131" s="20">
        <f>IF(A1131="",0,IF(AND(OR('CSV抽出'!$C$4="",A1131&gt;='CSV抽出'!$C$4),OR('CSV抽出'!$C$5="",A1131&lt;='CSV抽出'!$C$5),OR('CSV抽出'!$C$6="すべて",'CSV抽出'!$C$6="",D1131='CSV抽出'!$C$6),OR('CSV抽出'!$C$7="",B1131&amp;""='CSV抽出'!$C$7&amp;"")),1,0))</f>
        <v/>
      </c>
      <c r="AI1131" s="20">
        <f>IF(AH1131=1,SUM($AH$5:AH1131),"")</f>
        <v/>
      </c>
      <c r="AJ1131" s="20">
        <f>IF(OR(S1131="",'報告書'!$C$4=""),"",IF(S1131&amp;""='報告書'!$C$4&amp;"",COUNTIF($S$5:S1131,'報告書'!$C$4),""))</f>
        <v/>
      </c>
      <c r="AK1131" s="20" t="n"/>
      <c r="AL1131" s="47" t="n"/>
      <c r="AM1131" s="47" t="n"/>
      <c r="AN1131" s="53" t="n"/>
      <c r="AO1131" s="47" t="n"/>
      <c r="AP1131" s="47" t="n"/>
      <c r="AQ1131" s="47" t="n"/>
      <c r="AR1131" s="47" t="n"/>
      <c r="AS1131" s="47" t="n"/>
      <c r="AT1131" s="47" t="n"/>
      <c r="AU1131" s="47" t="n"/>
      <c r="AV1131" s="47" t="n"/>
      <c r="AW1131" s="52" t="n"/>
    </row>
    <row r="1132">
      <c r="A1132" s="48" t="n"/>
      <c r="B1132" s="52" t="n"/>
      <c r="C1132" s="47">
        <f>IF(B1132="","",IFERROR(INDEX('隊員マスタ'!$B$5:$B$204,MATCH(B1132&amp;"",'隊員マスタ'!$F$5:$F$204,0)),IF(AK1132="","番号なし",AK1132)))</f>
        <v/>
      </c>
      <c r="D1132" s="47" t="n"/>
      <c r="E1132" s="47" t="n"/>
      <c r="F1132" s="47" t="n"/>
      <c r="G1132" s="47" t="n"/>
      <c r="H1132" s="47" t="n"/>
      <c r="I1132" s="47" t="n"/>
      <c r="J1132" s="47" t="n"/>
      <c r="K1132" s="47" t="n"/>
      <c r="L1132" s="47" t="n"/>
      <c r="M1132" s="47" t="n"/>
      <c r="N1132" s="47" t="n"/>
      <c r="O1132" s="47" t="n"/>
      <c r="P1132" s="47" t="n"/>
      <c r="Q1132" s="47" t="n"/>
      <c r="R1132" s="47" t="n"/>
      <c r="S1132" s="47" t="n"/>
      <c r="T1132" s="47" t="n"/>
      <c r="U1132" s="53" t="n"/>
      <c r="V1132" s="53" t="n"/>
      <c r="W1132" s="47" t="n"/>
      <c r="X1132" s="47" t="n"/>
      <c r="Y1132" s="47" t="n"/>
      <c r="Z1132" s="47" t="n"/>
      <c r="AA1132" s="47" t="n"/>
      <c r="AB1132" s="47" t="n"/>
      <c r="AC1132" s="47" t="n"/>
      <c r="AD1132" s="47" t="n"/>
      <c r="AE1132" s="47" t="n"/>
      <c r="AF1132" s="20">
        <f>IF(A1132="","",YEAR(EDATE(A1132,-3)))</f>
        <v/>
      </c>
      <c r="AG1132" s="20">
        <f>IF(OR(B1132="",'経歴簿'!$C$4=""),"",IF(B1132&amp;""='経歴簿'!$C$4&amp;"",MAX($AG$4:AG1131)+1,""))</f>
        <v/>
      </c>
      <c r="AH1132" s="20">
        <f>IF(A1132="",0,IF(AND(OR('CSV抽出'!$C$4="",A1132&gt;='CSV抽出'!$C$4),OR('CSV抽出'!$C$5="",A1132&lt;='CSV抽出'!$C$5),OR('CSV抽出'!$C$6="すべて",'CSV抽出'!$C$6="",D1132='CSV抽出'!$C$6),OR('CSV抽出'!$C$7="",B1132&amp;""='CSV抽出'!$C$7&amp;"")),1,0))</f>
        <v/>
      </c>
      <c r="AI1132" s="20">
        <f>IF(AH1132=1,SUM($AH$5:AH1132),"")</f>
        <v/>
      </c>
      <c r="AJ1132" s="20">
        <f>IF(OR(S1132="",'報告書'!$C$4=""),"",IF(S1132&amp;""='報告書'!$C$4&amp;"",COUNTIF($S$5:S1132,'報告書'!$C$4),""))</f>
        <v/>
      </c>
      <c r="AK1132" s="20" t="n"/>
      <c r="AL1132" s="47" t="n"/>
      <c r="AM1132" s="47" t="n"/>
      <c r="AN1132" s="53" t="n"/>
      <c r="AO1132" s="47" t="n"/>
      <c r="AP1132" s="47" t="n"/>
      <c r="AQ1132" s="47" t="n"/>
      <c r="AR1132" s="47" t="n"/>
      <c r="AS1132" s="47" t="n"/>
      <c r="AT1132" s="47" t="n"/>
      <c r="AU1132" s="47" t="n"/>
      <c r="AV1132" s="47" t="n"/>
      <c r="AW1132" s="52" t="n"/>
    </row>
    <row r="1133">
      <c r="A1133" s="48" t="n"/>
      <c r="B1133" s="52" t="n"/>
      <c r="C1133" s="47">
        <f>IF(B1133="","",IFERROR(INDEX('隊員マスタ'!$B$5:$B$204,MATCH(B1133&amp;"",'隊員マスタ'!$F$5:$F$204,0)),IF(AK1133="","番号なし",AK1133)))</f>
        <v/>
      </c>
      <c r="D1133" s="47" t="n"/>
      <c r="E1133" s="47" t="n"/>
      <c r="F1133" s="47" t="n"/>
      <c r="G1133" s="47" t="n"/>
      <c r="H1133" s="47" t="n"/>
      <c r="I1133" s="47" t="n"/>
      <c r="J1133" s="47" t="n"/>
      <c r="K1133" s="47" t="n"/>
      <c r="L1133" s="47" t="n"/>
      <c r="M1133" s="47" t="n"/>
      <c r="N1133" s="47" t="n"/>
      <c r="O1133" s="47" t="n"/>
      <c r="P1133" s="47" t="n"/>
      <c r="Q1133" s="47" t="n"/>
      <c r="R1133" s="47" t="n"/>
      <c r="S1133" s="47" t="n"/>
      <c r="T1133" s="47" t="n"/>
      <c r="U1133" s="53" t="n"/>
      <c r="V1133" s="53" t="n"/>
      <c r="W1133" s="47" t="n"/>
      <c r="X1133" s="47" t="n"/>
      <c r="Y1133" s="47" t="n"/>
      <c r="Z1133" s="47" t="n"/>
      <c r="AA1133" s="47" t="n"/>
      <c r="AB1133" s="47" t="n"/>
      <c r="AC1133" s="47" t="n"/>
      <c r="AD1133" s="47" t="n"/>
      <c r="AE1133" s="47" t="n"/>
      <c r="AF1133" s="20">
        <f>IF(A1133="","",YEAR(EDATE(A1133,-3)))</f>
        <v/>
      </c>
      <c r="AG1133" s="20">
        <f>IF(OR(B1133="",'経歴簿'!$C$4=""),"",IF(B1133&amp;""='経歴簿'!$C$4&amp;"",MAX($AG$4:AG1132)+1,""))</f>
        <v/>
      </c>
      <c r="AH1133" s="20">
        <f>IF(A1133="",0,IF(AND(OR('CSV抽出'!$C$4="",A1133&gt;='CSV抽出'!$C$4),OR('CSV抽出'!$C$5="",A1133&lt;='CSV抽出'!$C$5),OR('CSV抽出'!$C$6="すべて",'CSV抽出'!$C$6="",D1133='CSV抽出'!$C$6),OR('CSV抽出'!$C$7="",B1133&amp;""='CSV抽出'!$C$7&amp;"")),1,0))</f>
        <v/>
      </c>
      <c r="AI1133" s="20">
        <f>IF(AH1133=1,SUM($AH$5:AH1133),"")</f>
        <v/>
      </c>
      <c r="AJ1133" s="20">
        <f>IF(OR(S1133="",'報告書'!$C$4=""),"",IF(S1133&amp;""='報告書'!$C$4&amp;"",COUNTIF($S$5:S1133,'報告書'!$C$4),""))</f>
        <v/>
      </c>
      <c r="AK1133" s="20" t="n"/>
      <c r="AL1133" s="47" t="n"/>
      <c r="AM1133" s="47" t="n"/>
      <c r="AN1133" s="53" t="n"/>
      <c r="AO1133" s="47" t="n"/>
      <c r="AP1133" s="47" t="n"/>
      <c r="AQ1133" s="47" t="n"/>
      <c r="AR1133" s="47" t="n"/>
      <c r="AS1133" s="47" t="n"/>
      <c r="AT1133" s="47" t="n"/>
      <c r="AU1133" s="47" t="n"/>
      <c r="AV1133" s="47" t="n"/>
      <c r="AW1133" s="52" t="n"/>
    </row>
    <row r="1134">
      <c r="A1134" s="48" t="n"/>
      <c r="B1134" s="52" t="n"/>
      <c r="C1134" s="47">
        <f>IF(B1134="","",IFERROR(INDEX('隊員マスタ'!$B$5:$B$204,MATCH(B1134&amp;"",'隊員マスタ'!$F$5:$F$204,0)),IF(AK1134="","番号なし",AK1134)))</f>
        <v/>
      </c>
      <c r="D1134" s="47" t="n"/>
      <c r="E1134" s="47" t="n"/>
      <c r="F1134" s="47" t="n"/>
      <c r="G1134" s="47" t="n"/>
      <c r="H1134" s="47" t="n"/>
      <c r="I1134" s="47" t="n"/>
      <c r="J1134" s="47" t="n"/>
      <c r="K1134" s="47" t="n"/>
      <c r="L1134" s="47" t="n"/>
      <c r="M1134" s="47" t="n"/>
      <c r="N1134" s="47" t="n"/>
      <c r="O1134" s="47" t="n"/>
      <c r="P1134" s="47" t="n"/>
      <c r="Q1134" s="47" t="n"/>
      <c r="R1134" s="47" t="n"/>
      <c r="S1134" s="47" t="n"/>
      <c r="T1134" s="47" t="n"/>
      <c r="U1134" s="53" t="n"/>
      <c r="V1134" s="53" t="n"/>
      <c r="W1134" s="47" t="n"/>
      <c r="X1134" s="47" t="n"/>
      <c r="Y1134" s="47" t="n"/>
      <c r="Z1134" s="47" t="n"/>
      <c r="AA1134" s="47" t="n"/>
      <c r="AB1134" s="47" t="n"/>
      <c r="AC1134" s="47" t="n"/>
      <c r="AD1134" s="47" t="n"/>
      <c r="AE1134" s="47" t="n"/>
      <c r="AF1134" s="20">
        <f>IF(A1134="","",YEAR(EDATE(A1134,-3)))</f>
        <v/>
      </c>
      <c r="AG1134" s="20">
        <f>IF(OR(B1134="",'経歴簿'!$C$4=""),"",IF(B1134&amp;""='経歴簿'!$C$4&amp;"",MAX($AG$4:AG1133)+1,""))</f>
        <v/>
      </c>
      <c r="AH1134" s="20">
        <f>IF(A1134="",0,IF(AND(OR('CSV抽出'!$C$4="",A1134&gt;='CSV抽出'!$C$4),OR('CSV抽出'!$C$5="",A1134&lt;='CSV抽出'!$C$5),OR('CSV抽出'!$C$6="すべて",'CSV抽出'!$C$6="",D1134='CSV抽出'!$C$6),OR('CSV抽出'!$C$7="",B1134&amp;""='CSV抽出'!$C$7&amp;"")),1,0))</f>
        <v/>
      </c>
      <c r="AI1134" s="20">
        <f>IF(AH1134=1,SUM($AH$5:AH1134),"")</f>
        <v/>
      </c>
      <c r="AJ1134" s="20">
        <f>IF(OR(S1134="",'報告書'!$C$4=""),"",IF(S1134&amp;""='報告書'!$C$4&amp;"",COUNTIF($S$5:S1134,'報告書'!$C$4),""))</f>
        <v/>
      </c>
      <c r="AK1134" s="20" t="n"/>
      <c r="AL1134" s="47" t="n"/>
      <c r="AM1134" s="47" t="n"/>
      <c r="AN1134" s="53" t="n"/>
      <c r="AO1134" s="47" t="n"/>
      <c r="AP1134" s="47" t="n"/>
      <c r="AQ1134" s="47" t="n"/>
      <c r="AR1134" s="47" t="n"/>
      <c r="AS1134" s="47" t="n"/>
      <c r="AT1134" s="47" t="n"/>
      <c r="AU1134" s="47" t="n"/>
      <c r="AV1134" s="47" t="n"/>
      <c r="AW1134" s="52" t="n"/>
    </row>
    <row r="1135">
      <c r="A1135" s="48" t="n"/>
      <c r="B1135" s="52" t="n"/>
      <c r="C1135" s="47">
        <f>IF(B1135="","",IFERROR(INDEX('隊員マスタ'!$B$5:$B$204,MATCH(B1135&amp;"",'隊員マスタ'!$F$5:$F$204,0)),IF(AK1135="","番号なし",AK1135)))</f>
        <v/>
      </c>
      <c r="D1135" s="47" t="n"/>
      <c r="E1135" s="47" t="n"/>
      <c r="F1135" s="47" t="n"/>
      <c r="G1135" s="47" t="n"/>
      <c r="H1135" s="47" t="n"/>
      <c r="I1135" s="47" t="n"/>
      <c r="J1135" s="47" t="n"/>
      <c r="K1135" s="47" t="n"/>
      <c r="L1135" s="47" t="n"/>
      <c r="M1135" s="47" t="n"/>
      <c r="N1135" s="47" t="n"/>
      <c r="O1135" s="47" t="n"/>
      <c r="P1135" s="47" t="n"/>
      <c r="Q1135" s="47" t="n"/>
      <c r="R1135" s="47" t="n"/>
      <c r="S1135" s="47" t="n"/>
      <c r="T1135" s="47" t="n"/>
      <c r="U1135" s="53" t="n"/>
      <c r="V1135" s="53" t="n"/>
      <c r="W1135" s="47" t="n"/>
      <c r="X1135" s="47" t="n"/>
      <c r="Y1135" s="47" t="n"/>
      <c r="Z1135" s="47" t="n"/>
      <c r="AA1135" s="47" t="n"/>
      <c r="AB1135" s="47" t="n"/>
      <c r="AC1135" s="47" t="n"/>
      <c r="AD1135" s="47" t="n"/>
      <c r="AE1135" s="47" t="n"/>
      <c r="AF1135" s="20">
        <f>IF(A1135="","",YEAR(EDATE(A1135,-3)))</f>
        <v/>
      </c>
      <c r="AG1135" s="20">
        <f>IF(OR(B1135="",'経歴簿'!$C$4=""),"",IF(B1135&amp;""='経歴簿'!$C$4&amp;"",MAX($AG$4:AG1134)+1,""))</f>
        <v/>
      </c>
      <c r="AH1135" s="20">
        <f>IF(A1135="",0,IF(AND(OR('CSV抽出'!$C$4="",A1135&gt;='CSV抽出'!$C$4),OR('CSV抽出'!$C$5="",A1135&lt;='CSV抽出'!$C$5),OR('CSV抽出'!$C$6="すべて",'CSV抽出'!$C$6="",D1135='CSV抽出'!$C$6),OR('CSV抽出'!$C$7="",B1135&amp;""='CSV抽出'!$C$7&amp;"")),1,0))</f>
        <v/>
      </c>
      <c r="AI1135" s="20">
        <f>IF(AH1135=1,SUM($AH$5:AH1135),"")</f>
        <v/>
      </c>
      <c r="AJ1135" s="20">
        <f>IF(OR(S1135="",'報告書'!$C$4=""),"",IF(S1135&amp;""='報告書'!$C$4&amp;"",COUNTIF($S$5:S1135,'報告書'!$C$4),""))</f>
        <v/>
      </c>
      <c r="AK1135" s="20" t="n"/>
      <c r="AL1135" s="47" t="n"/>
      <c r="AM1135" s="47" t="n"/>
      <c r="AN1135" s="53" t="n"/>
      <c r="AO1135" s="47" t="n"/>
      <c r="AP1135" s="47" t="n"/>
      <c r="AQ1135" s="47" t="n"/>
      <c r="AR1135" s="47" t="n"/>
      <c r="AS1135" s="47" t="n"/>
      <c r="AT1135" s="47" t="n"/>
      <c r="AU1135" s="47" t="n"/>
      <c r="AV1135" s="47" t="n"/>
      <c r="AW1135" s="52" t="n"/>
    </row>
    <row r="1136">
      <c r="A1136" s="48" t="n"/>
      <c r="B1136" s="52" t="n"/>
      <c r="C1136" s="47">
        <f>IF(B1136="","",IFERROR(INDEX('隊員マスタ'!$B$5:$B$204,MATCH(B1136&amp;"",'隊員マスタ'!$F$5:$F$204,0)),IF(AK1136="","番号なし",AK1136)))</f>
        <v/>
      </c>
      <c r="D1136" s="47" t="n"/>
      <c r="E1136" s="47" t="n"/>
      <c r="F1136" s="47" t="n"/>
      <c r="G1136" s="47" t="n"/>
      <c r="H1136" s="47" t="n"/>
      <c r="I1136" s="47" t="n"/>
      <c r="J1136" s="47" t="n"/>
      <c r="K1136" s="47" t="n"/>
      <c r="L1136" s="47" t="n"/>
      <c r="M1136" s="47" t="n"/>
      <c r="N1136" s="47" t="n"/>
      <c r="O1136" s="47" t="n"/>
      <c r="P1136" s="47" t="n"/>
      <c r="Q1136" s="47" t="n"/>
      <c r="R1136" s="47" t="n"/>
      <c r="S1136" s="47" t="n"/>
      <c r="T1136" s="47" t="n"/>
      <c r="U1136" s="53" t="n"/>
      <c r="V1136" s="53" t="n"/>
      <c r="W1136" s="47" t="n"/>
      <c r="X1136" s="47" t="n"/>
      <c r="Y1136" s="47" t="n"/>
      <c r="Z1136" s="47" t="n"/>
      <c r="AA1136" s="47" t="n"/>
      <c r="AB1136" s="47" t="n"/>
      <c r="AC1136" s="47" t="n"/>
      <c r="AD1136" s="47" t="n"/>
      <c r="AE1136" s="47" t="n"/>
      <c r="AF1136" s="20">
        <f>IF(A1136="","",YEAR(EDATE(A1136,-3)))</f>
        <v/>
      </c>
      <c r="AG1136" s="20">
        <f>IF(OR(B1136="",'経歴簿'!$C$4=""),"",IF(B1136&amp;""='経歴簿'!$C$4&amp;"",MAX($AG$4:AG1135)+1,""))</f>
        <v/>
      </c>
      <c r="AH1136" s="20">
        <f>IF(A1136="",0,IF(AND(OR('CSV抽出'!$C$4="",A1136&gt;='CSV抽出'!$C$4),OR('CSV抽出'!$C$5="",A1136&lt;='CSV抽出'!$C$5),OR('CSV抽出'!$C$6="すべて",'CSV抽出'!$C$6="",D1136='CSV抽出'!$C$6),OR('CSV抽出'!$C$7="",B1136&amp;""='CSV抽出'!$C$7&amp;"")),1,0))</f>
        <v/>
      </c>
      <c r="AI1136" s="20">
        <f>IF(AH1136=1,SUM($AH$5:AH1136),"")</f>
        <v/>
      </c>
      <c r="AJ1136" s="20">
        <f>IF(OR(S1136="",'報告書'!$C$4=""),"",IF(S1136&amp;""='報告書'!$C$4&amp;"",COUNTIF($S$5:S1136,'報告書'!$C$4),""))</f>
        <v/>
      </c>
      <c r="AK1136" s="20" t="n"/>
      <c r="AL1136" s="47" t="n"/>
      <c r="AM1136" s="47" t="n"/>
      <c r="AN1136" s="53" t="n"/>
      <c r="AO1136" s="47" t="n"/>
      <c r="AP1136" s="47" t="n"/>
      <c r="AQ1136" s="47" t="n"/>
      <c r="AR1136" s="47" t="n"/>
      <c r="AS1136" s="47" t="n"/>
      <c r="AT1136" s="47" t="n"/>
      <c r="AU1136" s="47" t="n"/>
      <c r="AV1136" s="47" t="n"/>
      <c r="AW1136" s="52" t="n"/>
    </row>
    <row r="1137">
      <c r="A1137" s="48" t="n"/>
      <c r="B1137" s="52" t="n"/>
      <c r="C1137" s="47">
        <f>IF(B1137="","",IFERROR(INDEX('隊員マスタ'!$B$5:$B$204,MATCH(B1137&amp;"",'隊員マスタ'!$F$5:$F$204,0)),IF(AK1137="","番号なし",AK1137)))</f>
        <v/>
      </c>
      <c r="D1137" s="47" t="n"/>
      <c r="E1137" s="47" t="n"/>
      <c r="F1137" s="47" t="n"/>
      <c r="G1137" s="47" t="n"/>
      <c r="H1137" s="47" t="n"/>
      <c r="I1137" s="47" t="n"/>
      <c r="J1137" s="47" t="n"/>
      <c r="K1137" s="47" t="n"/>
      <c r="L1137" s="47" t="n"/>
      <c r="M1137" s="47" t="n"/>
      <c r="N1137" s="47" t="n"/>
      <c r="O1137" s="47" t="n"/>
      <c r="P1137" s="47" t="n"/>
      <c r="Q1137" s="47" t="n"/>
      <c r="R1137" s="47" t="n"/>
      <c r="S1137" s="47" t="n"/>
      <c r="T1137" s="47" t="n"/>
      <c r="U1137" s="53" t="n"/>
      <c r="V1137" s="53" t="n"/>
      <c r="W1137" s="47" t="n"/>
      <c r="X1137" s="47" t="n"/>
      <c r="Y1137" s="47" t="n"/>
      <c r="Z1137" s="47" t="n"/>
      <c r="AA1137" s="47" t="n"/>
      <c r="AB1137" s="47" t="n"/>
      <c r="AC1137" s="47" t="n"/>
      <c r="AD1137" s="47" t="n"/>
      <c r="AE1137" s="47" t="n"/>
      <c r="AF1137" s="20">
        <f>IF(A1137="","",YEAR(EDATE(A1137,-3)))</f>
        <v/>
      </c>
      <c r="AG1137" s="20">
        <f>IF(OR(B1137="",'経歴簿'!$C$4=""),"",IF(B1137&amp;""='経歴簿'!$C$4&amp;"",MAX($AG$4:AG1136)+1,""))</f>
        <v/>
      </c>
      <c r="AH1137" s="20">
        <f>IF(A1137="",0,IF(AND(OR('CSV抽出'!$C$4="",A1137&gt;='CSV抽出'!$C$4),OR('CSV抽出'!$C$5="",A1137&lt;='CSV抽出'!$C$5),OR('CSV抽出'!$C$6="すべて",'CSV抽出'!$C$6="",D1137='CSV抽出'!$C$6),OR('CSV抽出'!$C$7="",B1137&amp;""='CSV抽出'!$C$7&amp;"")),1,0))</f>
        <v/>
      </c>
      <c r="AI1137" s="20">
        <f>IF(AH1137=1,SUM($AH$5:AH1137),"")</f>
        <v/>
      </c>
      <c r="AJ1137" s="20">
        <f>IF(OR(S1137="",'報告書'!$C$4=""),"",IF(S1137&amp;""='報告書'!$C$4&amp;"",COUNTIF($S$5:S1137,'報告書'!$C$4),""))</f>
        <v/>
      </c>
      <c r="AK1137" s="20" t="n"/>
      <c r="AL1137" s="47" t="n"/>
      <c r="AM1137" s="47" t="n"/>
      <c r="AN1137" s="53" t="n"/>
      <c r="AO1137" s="47" t="n"/>
      <c r="AP1137" s="47" t="n"/>
      <c r="AQ1137" s="47" t="n"/>
      <c r="AR1137" s="47" t="n"/>
      <c r="AS1137" s="47" t="n"/>
      <c r="AT1137" s="47" t="n"/>
      <c r="AU1137" s="47" t="n"/>
      <c r="AV1137" s="47" t="n"/>
      <c r="AW1137" s="52" t="n"/>
    </row>
    <row r="1138">
      <c r="A1138" s="48" t="n"/>
      <c r="B1138" s="52" t="n"/>
      <c r="C1138" s="47">
        <f>IF(B1138="","",IFERROR(INDEX('隊員マスタ'!$B$5:$B$204,MATCH(B1138&amp;"",'隊員マスタ'!$F$5:$F$204,0)),IF(AK1138="","番号なし",AK1138)))</f>
        <v/>
      </c>
      <c r="D1138" s="47" t="n"/>
      <c r="E1138" s="47" t="n"/>
      <c r="F1138" s="47" t="n"/>
      <c r="G1138" s="47" t="n"/>
      <c r="H1138" s="47" t="n"/>
      <c r="I1138" s="47" t="n"/>
      <c r="J1138" s="47" t="n"/>
      <c r="K1138" s="47" t="n"/>
      <c r="L1138" s="47" t="n"/>
      <c r="M1138" s="47" t="n"/>
      <c r="N1138" s="47" t="n"/>
      <c r="O1138" s="47" t="n"/>
      <c r="P1138" s="47" t="n"/>
      <c r="Q1138" s="47" t="n"/>
      <c r="R1138" s="47" t="n"/>
      <c r="S1138" s="47" t="n"/>
      <c r="T1138" s="47" t="n"/>
      <c r="U1138" s="53" t="n"/>
      <c r="V1138" s="53" t="n"/>
      <c r="W1138" s="47" t="n"/>
      <c r="X1138" s="47" t="n"/>
      <c r="Y1138" s="47" t="n"/>
      <c r="Z1138" s="47" t="n"/>
      <c r="AA1138" s="47" t="n"/>
      <c r="AB1138" s="47" t="n"/>
      <c r="AC1138" s="47" t="n"/>
      <c r="AD1138" s="47" t="n"/>
      <c r="AE1138" s="47" t="n"/>
      <c r="AF1138" s="20">
        <f>IF(A1138="","",YEAR(EDATE(A1138,-3)))</f>
        <v/>
      </c>
      <c r="AG1138" s="20">
        <f>IF(OR(B1138="",'経歴簿'!$C$4=""),"",IF(B1138&amp;""='経歴簿'!$C$4&amp;"",MAX($AG$4:AG1137)+1,""))</f>
        <v/>
      </c>
      <c r="AH1138" s="20">
        <f>IF(A1138="",0,IF(AND(OR('CSV抽出'!$C$4="",A1138&gt;='CSV抽出'!$C$4),OR('CSV抽出'!$C$5="",A1138&lt;='CSV抽出'!$C$5),OR('CSV抽出'!$C$6="すべて",'CSV抽出'!$C$6="",D1138='CSV抽出'!$C$6),OR('CSV抽出'!$C$7="",B1138&amp;""='CSV抽出'!$C$7&amp;"")),1,0))</f>
        <v/>
      </c>
      <c r="AI1138" s="20">
        <f>IF(AH1138=1,SUM($AH$5:AH1138),"")</f>
        <v/>
      </c>
      <c r="AJ1138" s="20">
        <f>IF(OR(S1138="",'報告書'!$C$4=""),"",IF(S1138&amp;""='報告書'!$C$4&amp;"",COUNTIF($S$5:S1138,'報告書'!$C$4),""))</f>
        <v/>
      </c>
      <c r="AK1138" s="20" t="n"/>
      <c r="AL1138" s="47" t="n"/>
      <c r="AM1138" s="47" t="n"/>
      <c r="AN1138" s="53" t="n"/>
      <c r="AO1138" s="47" t="n"/>
      <c r="AP1138" s="47" t="n"/>
      <c r="AQ1138" s="47" t="n"/>
      <c r="AR1138" s="47" t="n"/>
      <c r="AS1138" s="47" t="n"/>
      <c r="AT1138" s="47" t="n"/>
      <c r="AU1138" s="47" t="n"/>
      <c r="AV1138" s="47" t="n"/>
      <c r="AW1138" s="52" t="n"/>
    </row>
    <row r="1139">
      <c r="A1139" s="48" t="n"/>
      <c r="B1139" s="52" t="n"/>
      <c r="C1139" s="47">
        <f>IF(B1139="","",IFERROR(INDEX('隊員マスタ'!$B$5:$B$204,MATCH(B1139&amp;"",'隊員マスタ'!$F$5:$F$204,0)),IF(AK1139="","番号なし",AK1139)))</f>
        <v/>
      </c>
      <c r="D1139" s="47" t="n"/>
      <c r="E1139" s="47" t="n"/>
      <c r="F1139" s="47" t="n"/>
      <c r="G1139" s="47" t="n"/>
      <c r="H1139" s="47" t="n"/>
      <c r="I1139" s="47" t="n"/>
      <c r="J1139" s="47" t="n"/>
      <c r="K1139" s="47" t="n"/>
      <c r="L1139" s="47" t="n"/>
      <c r="M1139" s="47" t="n"/>
      <c r="N1139" s="47" t="n"/>
      <c r="O1139" s="47" t="n"/>
      <c r="P1139" s="47" t="n"/>
      <c r="Q1139" s="47" t="n"/>
      <c r="R1139" s="47" t="n"/>
      <c r="S1139" s="47" t="n"/>
      <c r="T1139" s="47" t="n"/>
      <c r="U1139" s="53" t="n"/>
      <c r="V1139" s="53" t="n"/>
      <c r="W1139" s="47" t="n"/>
      <c r="X1139" s="47" t="n"/>
      <c r="Y1139" s="47" t="n"/>
      <c r="Z1139" s="47" t="n"/>
      <c r="AA1139" s="47" t="n"/>
      <c r="AB1139" s="47" t="n"/>
      <c r="AC1139" s="47" t="n"/>
      <c r="AD1139" s="47" t="n"/>
      <c r="AE1139" s="47" t="n"/>
      <c r="AF1139" s="20">
        <f>IF(A1139="","",YEAR(EDATE(A1139,-3)))</f>
        <v/>
      </c>
      <c r="AG1139" s="20">
        <f>IF(OR(B1139="",'経歴簿'!$C$4=""),"",IF(B1139&amp;""='経歴簿'!$C$4&amp;"",MAX($AG$4:AG1138)+1,""))</f>
        <v/>
      </c>
      <c r="AH1139" s="20">
        <f>IF(A1139="",0,IF(AND(OR('CSV抽出'!$C$4="",A1139&gt;='CSV抽出'!$C$4),OR('CSV抽出'!$C$5="",A1139&lt;='CSV抽出'!$C$5),OR('CSV抽出'!$C$6="すべて",'CSV抽出'!$C$6="",D1139='CSV抽出'!$C$6),OR('CSV抽出'!$C$7="",B1139&amp;""='CSV抽出'!$C$7&amp;"")),1,0))</f>
        <v/>
      </c>
      <c r="AI1139" s="20">
        <f>IF(AH1139=1,SUM($AH$5:AH1139),"")</f>
        <v/>
      </c>
      <c r="AJ1139" s="20">
        <f>IF(OR(S1139="",'報告書'!$C$4=""),"",IF(S1139&amp;""='報告書'!$C$4&amp;"",COUNTIF($S$5:S1139,'報告書'!$C$4),""))</f>
        <v/>
      </c>
      <c r="AK1139" s="20" t="n"/>
      <c r="AL1139" s="47" t="n"/>
      <c r="AM1139" s="47" t="n"/>
      <c r="AN1139" s="53" t="n"/>
      <c r="AO1139" s="47" t="n"/>
      <c r="AP1139" s="47" t="n"/>
      <c r="AQ1139" s="47" t="n"/>
      <c r="AR1139" s="47" t="n"/>
      <c r="AS1139" s="47" t="n"/>
      <c r="AT1139" s="47" t="n"/>
      <c r="AU1139" s="47" t="n"/>
      <c r="AV1139" s="47" t="n"/>
      <c r="AW1139" s="52" t="n"/>
    </row>
    <row r="1140">
      <c r="A1140" s="48" t="n"/>
      <c r="B1140" s="52" t="n"/>
      <c r="C1140" s="47">
        <f>IF(B1140="","",IFERROR(INDEX('隊員マスタ'!$B$5:$B$204,MATCH(B1140&amp;"",'隊員マスタ'!$F$5:$F$204,0)),IF(AK1140="","番号なし",AK1140)))</f>
        <v/>
      </c>
      <c r="D1140" s="47" t="n"/>
      <c r="E1140" s="47" t="n"/>
      <c r="F1140" s="47" t="n"/>
      <c r="G1140" s="47" t="n"/>
      <c r="H1140" s="47" t="n"/>
      <c r="I1140" s="47" t="n"/>
      <c r="J1140" s="47" t="n"/>
      <c r="K1140" s="47" t="n"/>
      <c r="L1140" s="47" t="n"/>
      <c r="M1140" s="47" t="n"/>
      <c r="N1140" s="47" t="n"/>
      <c r="O1140" s="47" t="n"/>
      <c r="P1140" s="47" t="n"/>
      <c r="Q1140" s="47" t="n"/>
      <c r="R1140" s="47" t="n"/>
      <c r="S1140" s="47" t="n"/>
      <c r="T1140" s="47" t="n"/>
      <c r="U1140" s="53" t="n"/>
      <c r="V1140" s="53" t="n"/>
      <c r="W1140" s="47" t="n"/>
      <c r="X1140" s="47" t="n"/>
      <c r="Y1140" s="47" t="n"/>
      <c r="Z1140" s="47" t="n"/>
      <c r="AA1140" s="47" t="n"/>
      <c r="AB1140" s="47" t="n"/>
      <c r="AC1140" s="47" t="n"/>
      <c r="AD1140" s="47" t="n"/>
      <c r="AE1140" s="47" t="n"/>
      <c r="AF1140" s="20">
        <f>IF(A1140="","",YEAR(EDATE(A1140,-3)))</f>
        <v/>
      </c>
      <c r="AG1140" s="20">
        <f>IF(OR(B1140="",'経歴簿'!$C$4=""),"",IF(B1140&amp;""='経歴簿'!$C$4&amp;"",MAX($AG$4:AG1139)+1,""))</f>
        <v/>
      </c>
      <c r="AH1140" s="20">
        <f>IF(A1140="",0,IF(AND(OR('CSV抽出'!$C$4="",A1140&gt;='CSV抽出'!$C$4),OR('CSV抽出'!$C$5="",A1140&lt;='CSV抽出'!$C$5),OR('CSV抽出'!$C$6="すべて",'CSV抽出'!$C$6="",D1140='CSV抽出'!$C$6),OR('CSV抽出'!$C$7="",B1140&amp;""='CSV抽出'!$C$7&amp;"")),1,0))</f>
        <v/>
      </c>
      <c r="AI1140" s="20">
        <f>IF(AH1140=1,SUM($AH$5:AH1140),"")</f>
        <v/>
      </c>
      <c r="AJ1140" s="20">
        <f>IF(OR(S1140="",'報告書'!$C$4=""),"",IF(S1140&amp;""='報告書'!$C$4&amp;"",COUNTIF($S$5:S1140,'報告書'!$C$4),""))</f>
        <v/>
      </c>
      <c r="AK1140" s="20" t="n"/>
      <c r="AL1140" s="47" t="n"/>
      <c r="AM1140" s="47" t="n"/>
      <c r="AN1140" s="53" t="n"/>
      <c r="AO1140" s="47" t="n"/>
      <c r="AP1140" s="47" t="n"/>
      <c r="AQ1140" s="47" t="n"/>
      <c r="AR1140" s="47" t="n"/>
      <c r="AS1140" s="47" t="n"/>
      <c r="AT1140" s="47" t="n"/>
      <c r="AU1140" s="47" t="n"/>
      <c r="AV1140" s="47" t="n"/>
      <c r="AW1140" s="52" t="n"/>
    </row>
    <row r="1141">
      <c r="A1141" s="48" t="n"/>
      <c r="B1141" s="52" t="n"/>
      <c r="C1141" s="47">
        <f>IF(B1141="","",IFERROR(INDEX('隊員マスタ'!$B$5:$B$204,MATCH(B1141&amp;"",'隊員マスタ'!$F$5:$F$204,0)),IF(AK1141="","番号なし",AK1141)))</f>
        <v/>
      </c>
      <c r="D1141" s="47" t="n"/>
      <c r="E1141" s="47" t="n"/>
      <c r="F1141" s="47" t="n"/>
      <c r="G1141" s="47" t="n"/>
      <c r="H1141" s="47" t="n"/>
      <c r="I1141" s="47" t="n"/>
      <c r="J1141" s="47" t="n"/>
      <c r="K1141" s="47" t="n"/>
      <c r="L1141" s="47" t="n"/>
      <c r="M1141" s="47" t="n"/>
      <c r="N1141" s="47" t="n"/>
      <c r="O1141" s="47" t="n"/>
      <c r="P1141" s="47" t="n"/>
      <c r="Q1141" s="47" t="n"/>
      <c r="R1141" s="47" t="n"/>
      <c r="S1141" s="47" t="n"/>
      <c r="T1141" s="47" t="n"/>
      <c r="U1141" s="53" t="n"/>
      <c r="V1141" s="53" t="n"/>
      <c r="W1141" s="47" t="n"/>
      <c r="X1141" s="47" t="n"/>
      <c r="Y1141" s="47" t="n"/>
      <c r="Z1141" s="47" t="n"/>
      <c r="AA1141" s="47" t="n"/>
      <c r="AB1141" s="47" t="n"/>
      <c r="AC1141" s="47" t="n"/>
      <c r="AD1141" s="47" t="n"/>
      <c r="AE1141" s="47" t="n"/>
      <c r="AF1141" s="20">
        <f>IF(A1141="","",YEAR(EDATE(A1141,-3)))</f>
        <v/>
      </c>
      <c r="AG1141" s="20">
        <f>IF(OR(B1141="",'経歴簿'!$C$4=""),"",IF(B1141&amp;""='経歴簿'!$C$4&amp;"",MAX($AG$4:AG1140)+1,""))</f>
        <v/>
      </c>
      <c r="AH1141" s="20">
        <f>IF(A1141="",0,IF(AND(OR('CSV抽出'!$C$4="",A1141&gt;='CSV抽出'!$C$4),OR('CSV抽出'!$C$5="",A1141&lt;='CSV抽出'!$C$5),OR('CSV抽出'!$C$6="すべて",'CSV抽出'!$C$6="",D1141='CSV抽出'!$C$6),OR('CSV抽出'!$C$7="",B1141&amp;""='CSV抽出'!$C$7&amp;"")),1,0))</f>
        <v/>
      </c>
      <c r="AI1141" s="20">
        <f>IF(AH1141=1,SUM($AH$5:AH1141),"")</f>
        <v/>
      </c>
      <c r="AJ1141" s="20">
        <f>IF(OR(S1141="",'報告書'!$C$4=""),"",IF(S1141&amp;""='報告書'!$C$4&amp;"",COUNTIF($S$5:S1141,'報告書'!$C$4),""))</f>
        <v/>
      </c>
      <c r="AK1141" s="20" t="n"/>
      <c r="AL1141" s="47" t="n"/>
      <c r="AM1141" s="47" t="n"/>
      <c r="AN1141" s="53" t="n"/>
      <c r="AO1141" s="47" t="n"/>
      <c r="AP1141" s="47" t="n"/>
      <c r="AQ1141" s="47" t="n"/>
      <c r="AR1141" s="47" t="n"/>
      <c r="AS1141" s="47" t="n"/>
      <c r="AT1141" s="47" t="n"/>
      <c r="AU1141" s="47" t="n"/>
      <c r="AV1141" s="47" t="n"/>
      <c r="AW1141" s="52" t="n"/>
    </row>
    <row r="1142">
      <c r="A1142" s="48" t="n"/>
      <c r="B1142" s="52" t="n"/>
      <c r="C1142" s="47">
        <f>IF(B1142="","",IFERROR(INDEX('隊員マスタ'!$B$5:$B$204,MATCH(B1142&amp;"",'隊員マスタ'!$F$5:$F$204,0)),IF(AK1142="","番号なし",AK1142)))</f>
        <v/>
      </c>
      <c r="D1142" s="47" t="n"/>
      <c r="E1142" s="47" t="n"/>
      <c r="F1142" s="47" t="n"/>
      <c r="G1142" s="47" t="n"/>
      <c r="H1142" s="47" t="n"/>
      <c r="I1142" s="47" t="n"/>
      <c r="J1142" s="47" t="n"/>
      <c r="K1142" s="47" t="n"/>
      <c r="L1142" s="47" t="n"/>
      <c r="M1142" s="47" t="n"/>
      <c r="N1142" s="47" t="n"/>
      <c r="O1142" s="47" t="n"/>
      <c r="P1142" s="47" t="n"/>
      <c r="Q1142" s="47" t="n"/>
      <c r="R1142" s="47" t="n"/>
      <c r="S1142" s="47" t="n"/>
      <c r="T1142" s="47" t="n"/>
      <c r="U1142" s="53" t="n"/>
      <c r="V1142" s="53" t="n"/>
      <c r="W1142" s="47" t="n"/>
      <c r="X1142" s="47" t="n"/>
      <c r="Y1142" s="47" t="n"/>
      <c r="Z1142" s="47" t="n"/>
      <c r="AA1142" s="47" t="n"/>
      <c r="AB1142" s="47" t="n"/>
      <c r="AC1142" s="47" t="n"/>
      <c r="AD1142" s="47" t="n"/>
      <c r="AE1142" s="47" t="n"/>
      <c r="AF1142" s="20">
        <f>IF(A1142="","",YEAR(EDATE(A1142,-3)))</f>
        <v/>
      </c>
      <c r="AG1142" s="20">
        <f>IF(OR(B1142="",'経歴簿'!$C$4=""),"",IF(B1142&amp;""='経歴簿'!$C$4&amp;"",MAX($AG$4:AG1141)+1,""))</f>
        <v/>
      </c>
      <c r="AH1142" s="20">
        <f>IF(A1142="",0,IF(AND(OR('CSV抽出'!$C$4="",A1142&gt;='CSV抽出'!$C$4),OR('CSV抽出'!$C$5="",A1142&lt;='CSV抽出'!$C$5),OR('CSV抽出'!$C$6="すべて",'CSV抽出'!$C$6="",D1142='CSV抽出'!$C$6),OR('CSV抽出'!$C$7="",B1142&amp;""='CSV抽出'!$C$7&amp;"")),1,0))</f>
        <v/>
      </c>
      <c r="AI1142" s="20">
        <f>IF(AH1142=1,SUM($AH$5:AH1142),"")</f>
        <v/>
      </c>
      <c r="AJ1142" s="20">
        <f>IF(OR(S1142="",'報告書'!$C$4=""),"",IF(S1142&amp;""='報告書'!$C$4&amp;"",COUNTIF($S$5:S1142,'報告書'!$C$4),""))</f>
        <v/>
      </c>
      <c r="AK1142" s="20" t="n"/>
      <c r="AL1142" s="47" t="n"/>
      <c r="AM1142" s="47" t="n"/>
      <c r="AN1142" s="53" t="n"/>
      <c r="AO1142" s="47" t="n"/>
      <c r="AP1142" s="47" t="n"/>
      <c r="AQ1142" s="47" t="n"/>
      <c r="AR1142" s="47" t="n"/>
      <c r="AS1142" s="47" t="n"/>
      <c r="AT1142" s="47" t="n"/>
      <c r="AU1142" s="47" t="n"/>
      <c r="AV1142" s="47" t="n"/>
      <c r="AW1142" s="52" t="n"/>
    </row>
    <row r="1143">
      <c r="A1143" s="48" t="n"/>
      <c r="B1143" s="52" t="n"/>
      <c r="C1143" s="47">
        <f>IF(B1143="","",IFERROR(INDEX('隊員マスタ'!$B$5:$B$204,MATCH(B1143&amp;"",'隊員マスタ'!$F$5:$F$204,0)),IF(AK1143="","番号なし",AK1143)))</f>
        <v/>
      </c>
      <c r="D1143" s="47" t="n"/>
      <c r="E1143" s="47" t="n"/>
      <c r="F1143" s="47" t="n"/>
      <c r="G1143" s="47" t="n"/>
      <c r="H1143" s="47" t="n"/>
      <c r="I1143" s="47" t="n"/>
      <c r="J1143" s="47" t="n"/>
      <c r="K1143" s="47" t="n"/>
      <c r="L1143" s="47" t="n"/>
      <c r="M1143" s="47" t="n"/>
      <c r="N1143" s="47" t="n"/>
      <c r="O1143" s="47" t="n"/>
      <c r="P1143" s="47" t="n"/>
      <c r="Q1143" s="47" t="n"/>
      <c r="R1143" s="47" t="n"/>
      <c r="S1143" s="47" t="n"/>
      <c r="T1143" s="47" t="n"/>
      <c r="U1143" s="53" t="n"/>
      <c r="V1143" s="53" t="n"/>
      <c r="W1143" s="47" t="n"/>
      <c r="X1143" s="47" t="n"/>
      <c r="Y1143" s="47" t="n"/>
      <c r="Z1143" s="47" t="n"/>
      <c r="AA1143" s="47" t="n"/>
      <c r="AB1143" s="47" t="n"/>
      <c r="AC1143" s="47" t="n"/>
      <c r="AD1143" s="47" t="n"/>
      <c r="AE1143" s="47" t="n"/>
      <c r="AF1143" s="20">
        <f>IF(A1143="","",YEAR(EDATE(A1143,-3)))</f>
        <v/>
      </c>
      <c r="AG1143" s="20">
        <f>IF(OR(B1143="",'経歴簿'!$C$4=""),"",IF(B1143&amp;""='経歴簿'!$C$4&amp;"",MAX($AG$4:AG1142)+1,""))</f>
        <v/>
      </c>
      <c r="AH1143" s="20">
        <f>IF(A1143="",0,IF(AND(OR('CSV抽出'!$C$4="",A1143&gt;='CSV抽出'!$C$4),OR('CSV抽出'!$C$5="",A1143&lt;='CSV抽出'!$C$5),OR('CSV抽出'!$C$6="すべて",'CSV抽出'!$C$6="",D1143='CSV抽出'!$C$6),OR('CSV抽出'!$C$7="",B1143&amp;""='CSV抽出'!$C$7&amp;"")),1,0))</f>
        <v/>
      </c>
      <c r="AI1143" s="20">
        <f>IF(AH1143=1,SUM($AH$5:AH1143),"")</f>
        <v/>
      </c>
      <c r="AJ1143" s="20">
        <f>IF(OR(S1143="",'報告書'!$C$4=""),"",IF(S1143&amp;""='報告書'!$C$4&amp;"",COUNTIF($S$5:S1143,'報告書'!$C$4),""))</f>
        <v/>
      </c>
      <c r="AK1143" s="20" t="n"/>
      <c r="AL1143" s="47" t="n"/>
      <c r="AM1143" s="47" t="n"/>
      <c r="AN1143" s="53" t="n"/>
      <c r="AO1143" s="47" t="n"/>
      <c r="AP1143" s="47" t="n"/>
      <c r="AQ1143" s="47" t="n"/>
      <c r="AR1143" s="47" t="n"/>
      <c r="AS1143" s="47" t="n"/>
      <c r="AT1143" s="47" t="n"/>
      <c r="AU1143" s="47" t="n"/>
      <c r="AV1143" s="47" t="n"/>
      <c r="AW1143" s="52" t="n"/>
    </row>
    <row r="1144">
      <c r="A1144" s="48" t="n"/>
      <c r="B1144" s="52" t="n"/>
      <c r="C1144" s="47">
        <f>IF(B1144="","",IFERROR(INDEX('隊員マスタ'!$B$5:$B$204,MATCH(B1144&amp;"",'隊員マスタ'!$F$5:$F$204,0)),IF(AK1144="","番号なし",AK1144)))</f>
        <v/>
      </c>
      <c r="D1144" s="47" t="n"/>
      <c r="E1144" s="47" t="n"/>
      <c r="F1144" s="47" t="n"/>
      <c r="G1144" s="47" t="n"/>
      <c r="H1144" s="47" t="n"/>
      <c r="I1144" s="47" t="n"/>
      <c r="J1144" s="47" t="n"/>
      <c r="K1144" s="47" t="n"/>
      <c r="L1144" s="47" t="n"/>
      <c r="M1144" s="47" t="n"/>
      <c r="N1144" s="47" t="n"/>
      <c r="O1144" s="47" t="n"/>
      <c r="P1144" s="47" t="n"/>
      <c r="Q1144" s="47" t="n"/>
      <c r="R1144" s="47" t="n"/>
      <c r="S1144" s="47" t="n"/>
      <c r="T1144" s="47" t="n"/>
      <c r="U1144" s="53" t="n"/>
      <c r="V1144" s="53" t="n"/>
      <c r="W1144" s="47" t="n"/>
      <c r="X1144" s="47" t="n"/>
      <c r="Y1144" s="47" t="n"/>
      <c r="Z1144" s="47" t="n"/>
      <c r="AA1144" s="47" t="n"/>
      <c r="AB1144" s="47" t="n"/>
      <c r="AC1144" s="47" t="n"/>
      <c r="AD1144" s="47" t="n"/>
      <c r="AE1144" s="47" t="n"/>
      <c r="AF1144" s="20">
        <f>IF(A1144="","",YEAR(EDATE(A1144,-3)))</f>
        <v/>
      </c>
      <c r="AG1144" s="20">
        <f>IF(OR(B1144="",'経歴簿'!$C$4=""),"",IF(B1144&amp;""='経歴簿'!$C$4&amp;"",MAX($AG$4:AG1143)+1,""))</f>
        <v/>
      </c>
      <c r="AH1144" s="20">
        <f>IF(A1144="",0,IF(AND(OR('CSV抽出'!$C$4="",A1144&gt;='CSV抽出'!$C$4),OR('CSV抽出'!$C$5="",A1144&lt;='CSV抽出'!$C$5),OR('CSV抽出'!$C$6="すべて",'CSV抽出'!$C$6="",D1144='CSV抽出'!$C$6),OR('CSV抽出'!$C$7="",B1144&amp;""='CSV抽出'!$C$7&amp;"")),1,0))</f>
        <v/>
      </c>
      <c r="AI1144" s="20">
        <f>IF(AH1144=1,SUM($AH$5:AH1144),"")</f>
        <v/>
      </c>
      <c r="AJ1144" s="20">
        <f>IF(OR(S1144="",'報告書'!$C$4=""),"",IF(S1144&amp;""='報告書'!$C$4&amp;"",COUNTIF($S$5:S1144,'報告書'!$C$4),""))</f>
        <v/>
      </c>
      <c r="AK1144" s="20" t="n"/>
      <c r="AL1144" s="47" t="n"/>
      <c r="AM1144" s="47" t="n"/>
      <c r="AN1144" s="53" t="n"/>
      <c r="AO1144" s="47" t="n"/>
      <c r="AP1144" s="47" t="n"/>
      <c r="AQ1144" s="47" t="n"/>
      <c r="AR1144" s="47" t="n"/>
      <c r="AS1144" s="47" t="n"/>
      <c r="AT1144" s="47" t="n"/>
      <c r="AU1144" s="47" t="n"/>
      <c r="AV1144" s="47" t="n"/>
      <c r="AW1144" s="52" t="n"/>
    </row>
    <row r="1145">
      <c r="A1145" s="48" t="n"/>
      <c r="B1145" s="52" t="n"/>
      <c r="C1145" s="47">
        <f>IF(B1145="","",IFERROR(INDEX('隊員マスタ'!$B$5:$B$204,MATCH(B1145&amp;"",'隊員マスタ'!$F$5:$F$204,0)),IF(AK1145="","番号なし",AK1145)))</f>
        <v/>
      </c>
      <c r="D1145" s="47" t="n"/>
      <c r="E1145" s="47" t="n"/>
      <c r="F1145" s="47" t="n"/>
      <c r="G1145" s="47" t="n"/>
      <c r="H1145" s="47" t="n"/>
      <c r="I1145" s="47" t="n"/>
      <c r="J1145" s="47" t="n"/>
      <c r="K1145" s="47" t="n"/>
      <c r="L1145" s="47" t="n"/>
      <c r="M1145" s="47" t="n"/>
      <c r="N1145" s="47" t="n"/>
      <c r="O1145" s="47" t="n"/>
      <c r="P1145" s="47" t="n"/>
      <c r="Q1145" s="47" t="n"/>
      <c r="R1145" s="47" t="n"/>
      <c r="S1145" s="47" t="n"/>
      <c r="T1145" s="47" t="n"/>
      <c r="U1145" s="53" t="n"/>
      <c r="V1145" s="53" t="n"/>
      <c r="W1145" s="47" t="n"/>
      <c r="X1145" s="47" t="n"/>
      <c r="Y1145" s="47" t="n"/>
      <c r="Z1145" s="47" t="n"/>
      <c r="AA1145" s="47" t="n"/>
      <c r="AB1145" s="47" t="n"/>
      <c r="AC1145" s="47" t="n"/>
      <c r="AD1145" s="47" t="n"/>
      <c r="AE1145" s="47" t="n"/>
      <c r="AF1145" s="20">
        <f>IF(A1145="","",YEAR(EDATE(A1145,-3)))</f>
        <v/>
      </c>
      <c r="AG1145" s="20">
        <f>IF(OR(B1145="",'経歴簿'!$C$4=""),"",IF(B1145&amp;""='経歴簿'!$C$4&amp;"",MAX($AG$4:AG1144)+1,""))</f>
        <v/>
      </c>
      <c r="AH1145" s="20">
        <f>IF(A1145="",0,IF(AND(OR('CSV抽出'!$C$4="",A1145&gt;='CSV抽出'!$C$4),OR('CSV抽出'!$C$5="",A1145&lt;='CSV抽出'!$C$5),OR('CSV抽出'!$C$6="すべて",'CSV抽出'!$C$6="",D1145='CSV抽出'!$C$6),OR('CSV抽出'!$C$7="",B1145&amp;""='CSV抽出'!$C$7&amp;"")),1,0))</f>
        <v/>
      </c>
      <c r="AI1145" s="20">
        <f>IF(AH1145=1,SUM($AH$5:AH1145),"")</f>
        <v/>
      </c>
      <c r="AJ1145" s="20">
        <f>IF(OR(S1145="",'報告書'!$C$4=""),"",IF(S1145&amp;""='報告書'!$C$4&amp;"",COUNTIF($S$5:S1145,'報告書'!$C$4),""))</f>
        <v/>
      </c>
      <c r="AK1145" s="20" t="n"/>
      <c r="AL1145" s="47" t="n"/>
      <c r="AM1145" s="47" t="n"/>
      <c r="AN1145" s="53" t="n"/>
      <c r="AO1145" s="47" t="n"/>
      <c r="AP1145" s="47" t="n"/>
      <c r="AQ1145" s="47" t="n"/>
      <c r="AR1145" s="47" t="n"/>
      <c r="AS1145" s="47" t="n"/>
      <c r="AT1145" s="47" t="n"/>
      <c r="AU1145" s="47" t="n"/>
      <c r="AV1145" s="47" t="n"/>
      <c r="AW1145" s="52" t="n"/>
    </row>
    <row r="1146">
      <c r="A1146" s="48" t="n"/>
      <c r="B1146" s="52" t="n"/>
      <c r="C1146" s="47">
        <f>IF(B1146="","",IFERROR(INDEX('隊員マスタ'!$B$5:$B$204,MATCH(B1146&amp;"",'隊員マスタ'!$F$5:$F$204,0)),IF(AK1146="","番号なし",AK1146)))</f>
        <v/>
      </c>
      <c r="D1146" s="47" t="n"/>
      <c r="E1146" s="47" t="n"/>
      <c r="F1146" s="47" t="n"/>
      <c r="G1146" s="47" t="n"/>
      <c r="H1146" s="47" t="n"/>
      <c r="I1146" s="47" t="n"/>
      <c r="J1146" s="47" t="n"/>
      <c r="K1146" s="47" t="n"/>
      <c r="L1146" s="47" t="n"/>
      <c r="M1146" s="47" t="n"/>
      <c r="N1146" s="47" t="n"/>
      <c r="O1146" s="47" t="n"/>
      <c r="P1146" s="47" t="n"/>
      <c r="Q1146" s="47" t="n"/>
      <c r="R1146" s="47" t="n"/>
      <c r="S1146" s="47" t="n"/>
      <c r="T1146" s="47" t="n"/>
      <c r="U1146" s="53" t="n"/>
      <c r="V1146" s="53" t="n"/>
      <c r="W1146" s="47" t="n"/>
      <c r="X1146" s="47" t="n"/>
      <c r="Y1146" s="47" t="n"/>
      <c r="Z1146" s="47" t="n"/>
      <c r="AA1146" s="47" t="n"/>
      <c r="AB1146" s="47" t="n"/>
      <c r="AC1146" s="47" t="n"/>
      <c r="AD1146" s="47" t="n"/>
      <c r="AE1146" s="47" t="n"/>
      <c r="AF1146" s="20">
        <f>IF(A1146="","",YEAR(EDATE(A1146,-3)))</f>
        <v/>
      </c>
      <c r="AG1146" s="20">
        <f>IF(OR(B1146="",'経歴簿'!$C$4=""),"",IF(B1146&amp;""='経歴簿'!$C$4&amp;"",MAX($AG$4:AG1145)+1,""))</f>
        <v/>
      </c>
      <c r="AH1146" s="20">
        <f>IF(A1146="",0,IF(AND(OR('CSV抽出'!$C$4="",A1146&gt;='CSV抽出'!$C$4),OR('CSV抽出'!$C$5="",A1146&lt;='CSV抽出'!$C$5),OR('CSV抽出'!$C$6="すべて",'CSV抽出'!$C$6="",D1146='CSV抽出'!$C$6),OR('CSV抽出'!$C$7="",B1146&amp;""='CSV抽出'!$C$7&amp;"")),1,0))</f>
        <v/>
      </c>
      <c r="AI1146" s="20">
        <f>IF(AH1146=1,SUM($AH$5:AH1146),"")</f>
        <v/>
      </c>
      <c r="AJ1146" s="20">
        <f>IF(OR(S1146="",'報告書'!$C$4=""),"",IF(S1146&amp;""='報告書'!$C$4&amp;"",COUNTIF($S$5:S1146,'報告書'!$C$4),""))</f>
        <v/>
      </c>
      <c r="AK1146" s="20" t="n"/>
      <c r="AL1146" s="47" t="n"/>
      <c r="AM1146" s="47" t="n"/>
      <c r="AN1146" s="53" t="n"/>
      <c r="AO1146" s="47" t="n"/>
      <c r="AP1146" s="47" t="n"/>
      <c r="AQ1146" s="47" t="n"/>
      <c r="AR1146" s="47" t="n"/>
      <c r="AS1146" s="47" t="n"/>
      <c r="AT1146" s="47" t="n"/>
      <c r="AU1146" s="47" t="n"/>
      <c r="AV1146" s="47" t="n"/>
      <c r="AW1146" s="52" t="n"/>
    </row>
    <row r="1147">
      <c r="A1147" s="48" t="n"/>
      <c r="B1147" s="52" t="n"/>
      <c r="C1147" s="47">
        <f>IF(B1147="","",IFERROR(INDEX('隊員マスタ'!$B$5:$B$204,MATCH(B1147&amp;"",'隊員マスタ'!$F$5:$F$204,0)),IF(AK1147="","番号なし",AK1147)))</f>
        <v/>
      </c>
      <c r="D1147" s="47" t="n"/>
      <c r="E1147" s="47" t="n"/>
      <c r="F1147" s="47" t="n"/>
      <c r="G1147" s="47" t="n"/>
      <c r="H1147" s="47" t="n"/>
      <c r="I1147" s="47" t="n"/>
      <c r="J1147" s="47" t="n"/>
      <c r="K1147" s="47" t="n"/>
      <c r="L1147" s="47" t="n"/>
      <c r="M1147" s="47" t="n"/>
      <c r="N1147" s="47" t="n"/>
      <c r="O1147" s="47" t="n"/>
      <c r="P1147" s="47" t="n"/>
      <c r="Q1147" s="47" t="n"/>
      <c r="R1147" s="47" t="n"/>
      <c r="S1147" s="47" t="n"/>
      <c r="T1147" s="47" t="n"/>
      <c r="U1147" s="53" t="n"/>
      <c r="V1147" s="53" t="n"/>
      <c r="W1147" s="47" t="n"/>
      <c r="X1147" s="47" t="n"/>
      <c r="Y1147" s="47" t="n"/>
      <c r="Z1147" s="47" t="n"/>
      <c r="AA1147" s="47" t="n"/>
      <c r="AB1147" s="47" t="n"/>
      <c r="AC1147" s="47" t="n"/>
      <c r="AD1147" s="47" t="n"/>
      <c r="AE1147" s="47" t="n"/>
      <c r="AF1147" s="20">
        <f>IF(A1147="","",YEAR(EDATE(A1147,-3)))</f>
        <v/>
      </c>
      <c r="AG1147" s="20">
        <f>IF(OR(B1147="",'経歴簿'!$C$4=""),"",IF(B1147&amp;""='経歴簿'!$C$4&amp;"",MAX($AG$4:AG1146)+1,""))</f>
        <v/>
      </c>
      <c r="AH1147" s="20">
        <f>IF(A1147="",0,IF(AND(OR('CSV抽出'!$C$4="",A1147&gt;='CSV抽出'!$C$4),OR('CSV抽出'!$C$5="",A1147&lt;='CSV抽出'!$C$5),OR('CSV抽出'!$C$6="すべて",'CSV抽出'!$C$6="",D1147='CSV抽出'!$C$6),OR('CSV抽出'!$C$7="",B1147&amp;""='CSV抽出'!$C$7&amp;"")),1,0))</f>
        <v/>
      </c>
      <c r="AI1147" s="20">
        <f>IF(AH1147=1,SUM($AH$5:AH1147),"")</f>
        <v/>
      </c>
      <c r="AJ1147" s="20">
        <f>IF(OR(S1147="",'報告書'!$C$4=""),"",IF(S1147&amp;""='報告書'!$C$4&amp;"",COUNTIF($S$5:S1147,'報告書'!$C$4),""))</f>
        <v/>
      </c>
      <c r="AK1147" s="20" t="n"/>
      <c r="AL1147" s="47" t="n"/>
      <c r="AM1147" s="47" t="n"/>
      <c r="AN1147" s="53" t="n"/>
      <c r="AO1147" s="47" t="n"/>
      <c r="AP1147" s="47" t="n"/>
      <c r="AQ1147" s="47" t="n"/>
      <c r="AR1147" s="47" t="n"/>
      <c r="AS1147" s="47" t="n"/>
      <c r="AT1147" s="47" t="n"/>
      <c r="AU1147" s="47" t="n"/>
      <c r="AV1147" s="47" t="n"/>
      <c r="AW1147" s="52" t="n"/>
    </row>
    <row r="1148">
      <c r="A1148" s="48" t="n"/>
      <c r="B1148" s="52" t="n"/>
      <c r="C1148" s="47">
        <f>IF(B1148="","",IFERROR(INDEX('隊員マスタ'!$B$5:$B$204,MATCH(B1148&amp;"",'隊員マスタ'!$F$5:$F$204,0)),IF(AK1148="","番号なし",AK1148)))</f>
        <v/>
      </c>
      <c r="D1148" s="47" t="n"/>
      <c r="E1148" s="47" t="n"/>
      <c r="F1148" s="47" t="n"/>
      <c r="G1148" s="47" t="n"/>
      <c r="H1148" s="47" t="n"/>
      <c r="I1148" s="47" t="n"/>
      <c r="J1148" s="47" t="n"/>
      <c r="K1148" s="47" t="n"/>
      <c r="L1148" s="47" t="n"/>
      <c r="M1148" s="47" t="n"/>
      <c r="N1148" s="47" t="n"/>
      <c r="O1148" s="47" t="n"/>
      <c r="P1148" s="47" t="n"/>
      <c r="Q1148" s="47" t="n"/>
      <c r="R1148" s="47" t="n"/>
      <c r="S1148" s="47" t="n"/>
      <c r="T1148" s="47" t="n"/>
      <c r="U1148" s="53" t="n"/>
      <c r="V1148" s="53" t="n"/>
      <c r="W1148" s="47" t="n"/>
      <c r="X1148" s="47" t="n"/>
      <c r="Y1148" s="47" t="n"/>
      <c r="Z1148" s="47" t="n"/>
      <c r="AA1148" s="47" t="n"/>
      <c r="AB1148" s="47" t="n"/>
      <c r="AC1148" s="47" t="n"/>
      <c r="AD1148" s="47" t="n"/>
      <c r="AE1148" s="47" t="n"/>
      <c r="AF1148" s="20">
        <f>IF(A1148="","",YEAR(EDATE(A1148,-3)))</f>
        <v/>
      </c>
      <c r="AG1148" s="20">
        <f>IF(OR(B1148="",'経歴簿'!$C$4=""),"",IF(B1148&amp;""='経歴簿'!$C$4&amp;"",MAX($AG$4:AG1147)+1,""))</f>
        <v/>
      </c>
      <c r="AH1148" s="20">
        <f>IF(A1148="",0,IF(AND(OR('CSV抽出'!$C$4="",A1148&gt;='CSV抽出'!$C$4),OR('CSV抽出'!$C$5="",A1148&lt;='CSV抽出'!$C$5),OR('CSV抽出'!$C$6="すべて",'CSV抽出'!$C$6="",D1148='CSV抽出'!$C$6),OR('CSV抽出'!$C$7="",B1148&amp;""='CSV抽出'!$C$7&amp;"")),1,0))</f>
        <v/>
      </c>
      <c r="AI1148" s="20">
        <f>IF(AH1148=1,SUM($AH$5:AH1148),"")</f>
        <v/>
      </c>
      <c r="AJ1148" s="20">
        <f>IF(OR(S1148="",'報告書'!$C$4=""),"",IF(S1148&amp;""='報告書'!$C$4&amp;"",COUNTIF($S$5:S1148,'報告書'!$C$4),""))</f>
        <v/>
      </c>
      <c r="AK1148" s="20" t="n"/>
      <c r="AL1148" s="47" t="n"/>
      <c r="AM1148" s="47" t="n"/>
      <c r="AN1148" s="53" t="n"/>
      <c r="AO1148" s="47" t="n"/>
      <c r="AP1148" s="47" t="n"/>
      <c r="AQ1148" s="47" t="n"/>
      <c r="AR1148" s="47" t="n"/>
      <c r="AS1148" s="47" t="n"/>
      <c r="AT1148" s="47" t="n"/>
      <c r="AU1148" s="47" t="n"/>
      <c r="AV1148" s="47" t="n"/>
      <c r="AW1148" s="52" t="n"/>
    </row>
    <row r="1149">
      <c r="A1149" s="48" t="n"/>
      <c r="B1149" s="52" t="n"/>
      <c r="C1149" s="47">
        <f>IF(B1149="","",IFERROR(INDEX('隊員マスタ'!$B$5:$B$204,MATCH(B1149&amp;"",'隊員マスタ'!$F$5:$F$204,0)),IF(AK1149="","番号なし",AK1149)))</f>
        <v/>
      </c>
      <c r="D1149" s="47" t="n"/>
      <c r="E1149" s="47" t="n"/>
      <c r="F1149" s="47" t="n"/>
      <c r="G1149" s="47" t="n"/>
      <c r="H1149" s="47" t="n"/>
      <c r="I1149" s="47" t="n"/>
      <c r="J1149" s="47" t="n"/>
      <c r="K1149" s="47" t="n"/>
      <c r="L1149" s="47" t="n"/>
      <c r="M1149" s="47" t="n"/>
      <c r="N1149" s="47" t="n"/>
      <c r="O1149" s="47" t="n"/>
      <c r="P1149" s="47" t="n"/>
      <c r="Q1149" s="47" t="n"/>
      <c r="R1149" s="47" t="n"/>
      <c r="S1149" s="47" t="n"/>
      <c r="T1149" s="47" t="n"/>
      <c r="U1149" s="53" t="n"/>
      <c r="V1149" s="53" t="n"/>
      <c r="W1149" s="47" t="n"/>
      <c r="X1149" s="47" t="n"/>
      <c r="Y1149" s="47" t="n"/>
      <c r="Z1149" s="47" t="n"/>
      <c r="AA1149" s="47" t="n"/>
      <c r="AB1149" s="47" t="n"/>
      <c r="AC1149" s="47" t="n"/>
      <c r="AD1149" s="47" t="n"/>
      <c r="AE1149" s="47" t="n"/>
      <c r="AF1149" s="20">
        <f>IF(A1149="","",YEAR(EDATE(A1149,-3)))</f>
        <v/>
      </c>
      <c r="AG1149" s="20">
        <f>IF(OR(B1149="",'経歴簿'!$C$4=""),"",IF(B1149&amp;""='経歴簿'!$C$4&amp;"",MAX($AG$4:AG1148)+1,""))</f>
        <v/>
      </c>
      <c r="AH1149" s="20">
        <f>IF(A1149="",0,IF(AND(OR('CSV抽出'!$C$4="",A1149&gt;='CSV抽出'!$C$4),OR('CSV抽出'!$C$5="",A1149&lt;='CSV抽出'!$C$5),OR('CSV抽出'!$C$6="すべて",'CSV抽出'!$C$6="",D1149='CSV抽出'!$C$6),OR('CSV抽出'!$C$7="",B1149&amp;""='CSV抽出'!$C$7&amp;"")),1,0))</f>
        <v/>
      </c>
      <c r="AI1149" s="20">
        <f>IF(AH1149=1,SUM($AH$5:AH1149),"")</f>
        <v/>
      </c>
      <c r="AJ1149" s="20">
        <f>IF(OR(S1149="",'報告書'!$C$4=""),"",IF(S1149&amp;""='報告書'!$C$4&amp;"",COUNTIF($S$5:S1149,'報告書'!$C$4),""))</f>
        <v/>
      </c>
      <c r="AK1149" s="20" t="n"/>
      <c r="AL1149" s="47" t="n"/>
      <c r="AM1149" s="47" t="n"/>
      <c r="AN1149" s="53" t="n"/>
      <c r="AO1149" s="47" t="n"/>
      <c r="AP1149" s="47" t="n"/>
      <c r="AQ1149" s="47" t="n"/>
      <c r="AR1149" s="47" t="n"/>
      <c r="AS1149" s="47" t="n"/>
      <c r="AT1149" s="47" t="n"/>
      <c r="AU1149" s="47" t="n"/>
      <c r="AV1149" s="47" t="n"/>
      <c r="AW1149" s="52" t="n"/>
    </row>
    <row r="1150">
      <c r="A1150" s="48" t="n"/>
      <c r="B1150" s="52" t="n"/>
      <c r="C1150" s="47">
        <f>IF(B1150="","",IFERROR(INDEX('隊員マスタ'!$B$5:$B$204,MATCH(B1150&amp;"",'隊員マスタ'!$F$5:$F$204,0)),IF(AK1150="","番号なし",AK1150)))</f>
        <v/>
      </c>
      <c r="D1150" s="47" t="n"/>
      <c r="E1150" s="47" t="n"/>
      <c r="F1150" s="47" t="n"/>
      <c r="G1150" s="47" t="n"/>
      <c r="H1150" s="47" t="n"/>
      <c r="I1150" s="47" t="n"/>
      <c r="J1150" s="47" t="n"/>
      <c r="K1150" s="47" t="n"/>
      <c r="L1150" s="47" t="n"/>
      <c r="M1150" s="47" t="n"/>
      <c r="N1150" s="47" t="n"/>
      <c r="O1150" s="47" t="n"/>
      <c r="P1150" s="47" t="n"/>
      <c r="Q1150" s="47" t="n"/>
      <c r="R1150" s="47" t="n"/>
      <c r="S1150" s="47" t="n"/>
      <c r="T1150" s="47" t="n"/>
      <c r="U1150" s="53" t="n"/>
      <c r="V1150" s="53" t="n"/>
      <c r="W1150" s="47" t="n"/>
      <c r="X1150" s="47" t="n"/>
      <c r="Y1150" s="47" t="n"/>
      <c r="Z1150" s="47" t="n"/>
      <c r="AA1150" s="47" t="n"/>
      <c r="AB1150" s="47" t="n"/>
      <c r="AC1150" s="47" t="n"/>
      <c r="AD1150" s="47" t="n"/>
      <c r="AE1150" s="47" t="n"/>
      <c r="AF1150" s="20">
        <f>IF(A1150="","",YEAR(EDATE(A1150,-3)))</f>
        <v/>
      </c>
      <c r="AG1150" s="20">
        <f>IF(OR(B1150="",'経歴簿'!$C$4=""),"",IF(B1150&amp;""='経歴簿'!$C$4&amp;"",MAX($AG$4:AG1149)+1,""))</f>
        <v/>
      </c>
      <c r="AH1150" s="20">
        <f>IF(A1150="",0,IF(AND(OR('CSV抽出'!$C$4="",A1150&gt;='CSV抽出'!$C$4),OR('CSV抽出'!$C$5="",A1150&lt;='CSV抽出'!$C$5),OR('CSV抽出'!$C$6="すべて",'CSV抽出'!$C$6="",D1150='CSV抽出'!$C$6),OR('CSV抽出'!$C$7="",B1150&amp;""='CSV抽出'!$C$7&amp;"")),1,0))</f>
        <v/>
      </c>
      <c r="AI1150" s="20">
        <f>IF(AH1150=1,SUM($AH$5:AH1150),"")</f>
        <v/>
      </c>
      <c r="AJ1150" s="20">
        <f>IF(OR(S1150="",'報告書'!$C$4=""),"",IF(S1150&amp;""='報告書'!$C$4&amp;"",COUNTIF($S$5:S1150,'報告書'!$C$4),""))</f>
        <v/>
      </c>
      <c r="AK1150" s="20" t="n"/>
      <c r="AL1150" s="47" t="n"/>
      <c r="AM1150" s="47" t="n"/>
      <c r="AN1150" s="53" t="n"/>
      <c r="AO1150" s="47" t="n"/>
      <c r="AP1150" s="47" t="n"/>
      <c r="AQ1150" s="47" t="n"/>
      <c r="AR1150" s="47" t="n"/>
      <c r="AS1150" s="47" t="n"/>
      <c r="AT1150" s="47" t="n"/>
      <c r="AU1150" s="47" t="n"/>
      <c r="AV1150" s="47" t="n"/>
      <c r="AW1150" s="52" t="n"/>
    </row>
    <row r="1151">
      <c r="A1151" s="48" t="n"/>
      <c r="B1151" s="52" t="n"/>
      <c r="C1151" s="47">
        <f>IF(B1151="","",IFERROR(INDEX('隊員マスタ'!$B$5:$B$204,MATCH(B1151&amp;"",'隊員マスタ'!$F$5:$F$204,0)),IF(AK1151="","番号なし",AK1151)))</f>
        <v/>
      </c>
      <c r="D1151" s="47" t="n"/>
      <c r="E1151" s="47" t="n"/>
      <c r="F1151" s="47" t="n"/>
      <c r="G1151" s="47" t="n"/>
      <c r="H1151" s="47" t="n"/>
      <c r="I1151" s="47" t="n"/>
      <c r="J1151" s="47" t="n"/>
      <c r="K1151" s="47" t="n"/>
      <c r="L1151" s="47" t="n"/>
      <c r="M1151" s="47" t="n"/>
      <c r="N1151" s="47" t="n"/>
      <c r="O1151" s="47" t="n"/>
      <c r="P1151" s="47" t="n"/>
      <c r="Q1151" s="47" t="n"/>
      <c r="R1151" s="47" t="n"/>
      <c r="S1151" s="47" t="n"/>
      <c r="T1151" s="47" t="n"/>
      <c r="U1151" s="53" t="n"/>
      <c r="V1151" s="53" t="n"/>
      <c r="W1151" s="47" t="n"/>
      <c r="X1151" s="47" t="n"/>
      <c r="Y1151" s="47" t="n"/>
      <c r="Z1151" s="47" t="n"/>
      <c r="AA1151" s="47" t="n"/>
      <c r="AB1151" s="47" t="n"/>
      <c r="AC1151" s="47" t="n"/>
      <c r="AD1151" s="47" t="n"/>
      <c r="AE1151" s="47" t="n"/>
      <c r="AF1151" s="20">
        <f>IF(A1151="","",YEAR(EDATE(A1151,-3)))</f>
        <v/>
      </c>
      <c r="AG1151" s="20">
        <f>IF(OR(B1151="",'経歴簿'!$C$4=""),"",IF(B1151&amp;""='経歴簿'!$C$4&amp;"",MAX($AG$4:AG1150)+1,""))</f>
        <v/>
      </c>
      <c r="AH1151" s="20">
        <f>IF(A1151="",0,IF(AND(OR('CSV抽出'!$C$4="",A1151&gt;='CSV抽出'!$C$4),OR('CSV抽出'!$C$5="",A1151&lt;='CSV抽出'!$C$5),OR('CSV抽出'!$C$6="すべて",'CSV抽出'!$C$6="",D1151='CSV抽出'!$C$6),OR('CSV抽出'!$C$7="",B1151&amp;""='CSV抽出'!$C$7&amp;"")),1,0))</f>
        <v/>
      </c>
      <c r="AI1151" s="20">
        <f>IF(AH1151=1,SUM($AH$5:AH1151),"")</f>
        <v/>
      </c>
      <c r="AJ1151" s="20">
        <f>IF(OR(S1151="",'報告書'!$C$4=""),"",IF(S1151&amp;""='報告書'!$C$4&amp;"",COUNTIF($S$5:S1151,'報告書'!$C$4),""))</f>
        <v/>
      </c>
      <c r="AK1151" s="20" t="n"/>
      <c r="AL1151" s="47" t="n"/>
      <c r="AM1151" s="47" t="n"/>
      <c r="AN1151" s="53" t="n"/>
      <c r="AO1151" s="47" t="n"/>
      <c r="AP1151" s="47" t="n"/>
      <c r="AQ1151" s="47" t="n"/>
      <c r="AR1151" s="47" t="n"/>
      <c r="AS1151" s="47" t="n"/>
      <c r="AT1151" s="47" t="n"/>
      <c r="AU1151" s="47" t="n"/>
      <c r="AV1151" s="47" t="n"/>
      <c r="AW1151" s="52" t="n"/>
    </row>
    <row r="1152">
      <c r="A1152" s="48" t="n"/>
      <c r="B1152" s="52" t="n"/>
      <c r="C1152" s="47">
        <f>IF(B1152="","",IFERROR(INDEX('隊員マスタ'!$B$5:$B$204,MATCH(B1152&amp;"",'隊員マスタ'!$F$5:$F$204,0)),IF(AK1152="","番号なし",AK1152)))</f>
        <v/>
      </c>
      <c r="D1152" s="47" t="n"/>
      <c r="E1152" s="47" t="n"/>
      <c r="F1152" s="47" t="n"/>
      <c r="G1152" s="47" t="n"/>
      <c r="H1152" s="47" t="n"/>
      <c r="I1152" s="47" t="n"/>
      <c r="J1152" s="47" t="n"/>
      <c r="K1152" s="47" t="n"/>
      <c r="L1152" s="47" t="n"/>
      <c r="M1152" s="47" t="n"/>
      <c r="N1152" s="47" t="n"/>
      <c r="O1152" s="47" t="n"/>
      <c r="P1152" s="47" t="n"/>
      <c r="Q1152" s="47" t="n"/>
      <c r="R1152" s="47" t="n"/>
      <c r="S1152" s="47" t="n"/>
      <c r="T1152" s="47" t="n"/>
      <c r="U1152" s="53" t="n"/>
      <c r="V1152" s="53" t="n"/>
      <c r="W1152" s="47" t="n"/>
      <c r="X1152" s="47" t="n"/>
      <c r="Y1152" s="47" t="n"/>
      <c r="Z1152" s="47" t="n"/>
      <c r="AA1152" s="47" t="n"/>
      <c r="AB1152" s="47" t="n"/>
      <c r="AC1152" s="47" t="n"/>
      <c r="AD1152" s="47" t="n"/>
      <c r="AE1152" s="47" t="n"/>
      <c r="AF1152" s="20">
        <f>IF(A1152="","",YEAR(EDATE(A1152,-3)))</f>
        <v/>
      </c>
      <c r="AG1152" s="20">
        <f>IF(OR(B1152="",'経歴簿'!$C$4=""),"",IF(B1152&amp;""='経歴簿'!$C$4&amp;"",MAX($AG$4:AG1151)+1,""))</f>
        <v/>
      </c>
      <c r="AH1152" s="20">
        <f>IF(A1152="",0,IF(AND(OR('CSV抽出'!$C$4="",A1152&gt;='CSV抽出'!$C$4),OR('CSV抽出'!$C$5="",A1152&lt;='CSV抽出'!$C$5),OR('CSV抽出'!$C$6="すべて",'CSV抽出'!$C$6="",D1152='CSV抽出'!$C$6),OR('CSV抽出'!$C$7="",B1152&amp;""='CSV抽出'!$C$7&amp;"")),1,0))</f>
        <v/>
      </c>
      <c r="AI1152" s="20">
        <f>IF(AH1152=1,SUM($AH$5:AH1152),"")</f>
        <v/>
      </c>
      <c r="AJ1152" s="20">
        <f>IF(OR(S1152="",'報告書'!$C$4=""),"",IF(S1152&amp;""='報告書'!$C$4&amp;"",COUNTIF($S$5:S1152,'報告書'!$C$4),""))</f>
        <v/>
      </c>
      <c r="AK1152" s="20" t="n"/>
      <c r="AL1152" s="47" t="n"/>
      <c r="AM1152" s="47" t="n"/>
      <c r="AN1152" s="53" t="n"/>
      <c r="AO1152" s="47" t="n"/>
      <c r="AP1152" s="47" t="n"/>
      <c r="AQ1152" s="47" t="n"/>
      <c r="AR1152" s="47" t="n"/>
      <c r="AS1152" s="47" t="n"/>
      <c r="AT1152" s="47" t="n"/>
      <c r="AU1152" s="47" t="n"/>
      <c r="AV1152" s="47" t="n"/>
      <c r="AW1152" s="52" t="n"/>
    </row>
    <row r="1153">
      <c r="A1153" s="48" t="n"/>
      <c r="B1153" s="52" t="n"/>
      <c r="C1153" s="47">
        <f>IF(B1153="","",IFERROR(INDEX('隊員マスタ'!$B$5:$B$204,MATCH(B1153&amp;"",'隊員マスタ'!$F$5:$F$204,0)),IF(AK1153="","番号なし",AK1153)))</f>
        <v/>
      </c>
      <c r="D1153" s="47" t="n"/>
      <c r="E1153" s="47" t="n"/>
      <c r="F1153" s="47" t="n"/>
      <c r="G1153" s="47" t="n"/>
      <c r="H1153" s="47" t="n"/>
      <c r="I1153" s="47" t="n"/>
      <c r="J1153" s="47" t="n"/>
      <c r="K1153" s="47" t="n"/>
      <c r="L1153" s="47" t="n"/>
      <c r="M1153" s="47" t="n"/>
      <c r="N1153" s="47" t="n"/>
      <c r="O1153" s="47" t="n"/>
      <c r="P1153" s="47" t="n"/>
      <c r="Q1153" s="47" t="n"/>
      <c r="R1153" s="47" t="n"/>
      <c r="S1153" s="47" t="n"/>
      <c r="T1153" s="47" t="n"/>
      <c r="U1153" s="53" t="n"/>
      <c r="V1153" s="53" t="n"/>
      <c r="W1153" s="47" t="n"/>
      <c r="X1153" s="47" t="n"/>
      <c r="Y1153" s="47" t="n"/>
      <c r="Z1153" s="47" t="n"/>
      <c r="AA1153" s="47" t="n"/>
      <c r="AB1153" s="47" t="n"/>
      <c r="AC1153" s="47" t="n"/>
      <c r="AD1153" s="47" t="n"/>
      <c r="AE1153" s="47" t="n"/>
      <c r="AF1153" s="20">
        <f>IF(A1153="","",YEAR(EDATE(A1153,-3)))</f>
        <v/>
      </c>
      <c r="AG1153" s="20">
        <f>IF(OR(B1153="",'経歴簿'!$C$4=""),"",IF(B1153&amp;""='経歴簿'!$C$4&amp;"",MAX($AG$4:AG1152)+1,""))</f>
        <v/>
      </c>
      <c r="AH1153" s="20">
        <f>IF(A1153="",0,IF(AND(OR('CSV抽出'!$C$4="",A1153&gt;='CSV抽出'!$C$4),OR('CSV抽出'!$C$5="",A1153&lt;='CSV抽出'!$C$5),OR('CSV抽出'!$C$6="すべて",'CSV抽出'!$C$6="",D1153='CSV抽出'!$C$6),OR('CSV抽出'!$C$7="",B1153&amp;""='CSV抽出'!$C$7&amp;"")),1,0))</f>
        <v/>
      </c>
      <c r="AI1153" s="20">
        <f>IF(AH1153=1,SUM($AH$5:AH1153),"")</f>
        <v/>
      </c>
      <c r="AJ1153" s="20">
        <f>IF(OR(S1153="",'報告書'!$C$4=""),"",IF(S1153&amp;""='報告書'!$C$4&amp;"",COUNTIF($S$5:S1153,'報告書'!$C$4),""))</f>
        <v/>
      </c>
      <c r="AK1153" s="20" t="n"/>
      <c r="AL1153" s="47" t="n"/>
      <c r="AM1153" s="47" t="n"/>
      <c r="AN1153" s="53" t="n"/>
      <c r="AO1153" s="47" t="n"/>
      <c r="AP1153" s="47" t="n"/>
      <c r="AQ1153" s="47" t="n"/>
      <c r="AR1153" s="47" t="n"/>
      <c r="AS1153" s="47" t="n"/>
      <c r="AT1153" s="47" t="n"/>
      <c r="AU1153" s="47" t="n"/>
      <c r="AV1153" s="47" t="n"/>
      <c r="AW1153" s="52" t="n"/>
    </row>
    <row r="1154">
      <c r="A1154" s="48" t="n"/>
      <c r="B1154" s="52" t="n"/>
      <c r="C1154" s="47">
        <f>IF(B1154="","",IFERROR(INDEX('隊員マスタ'!$B$5:$B$204,MATCH(B1154&amp;"",'隊員マスタ'!$F$5:$F$204,0)),IF(AK1154="","番号なし",AK1154)))</f>
        <v/>
      </c>
      <c r="D1154" s="47" t="n"/>
      <c r="E1154" s="47" t="n"/>
      <c r="F1154" s="47" t="n"/>
      <c r="G1154" s="47" t="n"/>
      <c r="H1154" s="47" t="n"/>
      <c r="I1154" s="47" t="n"/>
      <c r="J1154" s="47" t="n"/>
      <c r="K1154" s="47" t="n"/>
      <c r="L1154" s="47" t="n"/>
      <c r="M1154" s="47" t="n"/>
      <c r="N1154" s="47" t="n"/>
      <c r="O1154" s="47" t="n"/>
      <c r="P1154" s="47" t="n"/>
      <c r="Q1154" s="47" t="n"/>
      <c r="R1154" s="47" t="n"/>
      <c r="S1154" s="47" t="n"/>
      <c r="T1154" s="47" t="n"/>
      <c r="U1154" s="53" t="n"/>
      <c r="V1154" s="53" t="n"/>
      <c r="W1154" s="47" t="n"/>
      <c r="X1154" s="47" t="n"/>
      <c r="Y1154" s="47" t="n"/>
      <c r="Z1154" s="47" t="n"/>
      <c r="AA1154" s="47" t="n"/>
      <c r="AB1154" s="47" t="n"/>
      <c r="AC1154" s="47" t="n"/>
      <c r="AD1154" s="47" t="n"/>
      <c r="AE1154" s="47" t="n"/>
      <c r="AF1154" s="20">
        <f>IF(A1154="","",YEAR(EDATE(A1154,-3)))</f>
        <v/>
      </c>
      <c r="AG1154" s="20">
        <f>IF(OR(B1154="",'経歴簿'!$C$4=""),"",IF(B1154&amp;""='経歴簿'!$C$4&amp;"",MAX($AG$4:AG1153)+1,""))</f>
        <v/>
      </c>
      <c r="AH1154" s="20">
        <f>IF(A1154="",0,IF(AND(OR('CSV抽出'!$C$4="",A1154&gt;='CSV抽出'!$C$4),OR('CSV抽出'!$C$5="",A1154&lt;='CSV抽出'!$C$5),OR('CSV抽出'!$C$6="すべて",'CSV抽出'!$C$6="",D1154='CSV抽出'!$C$6),OR('CSV抽出'!$C$7="",B1154&amp;""='CSV抽出'!$C$7&amp;"")),1,0))</f>
        <v/>
      </c>
      <c r="AI1154" s="20">
        <f>IF(AH1154=1,SUM($AH$5:AH1154),"")</f>
        <v/>
      </c>
      <c r="AJ1154" s="20">
        <f>IF(OR(S1154="",'報告書'!$C$4=""),"",IF(S1154&amp;""='報告書'!$C$4&amp;"",COUNTIF($S$5:S1154,'報告書'!$C$4),""))</f>
        <v/>
      </c>
      <c r="AK1154" s="20" t="n"/>
      <c r="AL1154" s="47" t="n"/>
      <c r="AM1154" s="47" t="n"/>
      <c r="AN1154" s="53" t="n"/>
      <c r="AO1154" s="47" t="n"/>
      <c r="AP1154" s="47" t="n"/>
      <c r="AQ1154" s="47" t="n"/>
      <c r="AR1154" s="47" t="n"/>
      <c r="AS1154" s="47" t="n"/>
      <c r="AT1154" s="47" t="n"/>
      <c r="AU1154" s="47" t="n"/>
      <c r="AV1154" s="47" t="n"/>
      <c r="AW1154" s="52" t="n"/>
    </row>
    <row r="1155">
      <c r="A1155" s="48" t="n"/>
      <c r="B1155" s="52" t="n"/>
      <c r="C1155" s="47">
        <f>IF(B1155="","",IFERROR(INDEX('隊員マスタ'!$B$5:$B$204,MATCH(B1155&amp;"",'隊員マスタ'!$F$5:$F$204,0)),IF(AK1155="","番号なし",AK1155)))</f>
        <v/>
      </c>
      <c r="D1155" s="47" t="n"/>
      <c r="E1155" s="47" t="n"/>
      <c r="F1155" s="47" t="n"/>
      <c r="G1155" s="47" t="n"/>
      <c r="H1155" s="47" t="n"/>
      <c r="I1155" s="47" t="n"/>
      <c r="J1155" s="47" t="n"/>
      <c r="K1155" s="47" t="n"/>
      <c r="L1155" s="47" t="n"/>
      <c r="M1155" s="47" t="n"/>
      <c r="N1155" s="47" t="n"/>
      <c r="O1155" s="47" t="n"/>
      <c r="P1155" s="47" t="n"/>
      <c r="Q1155" s="47" t="n"/>
      <c r="R1155" s="47" t="n"/>
      <c r="S1155" s="47" t="n"/>
      <c r="T1155" s="47" t="n"/>
      <c r="U1155" s="53" t="n"/>
      <c r="V1155" s="53" t="n"/>
      <c r="W1155" s="47" t="n"/>
      <c r="X1155" s="47" t="n"/>
      <c r="Y1155" s="47" t="n"/>
      <c r="Z1155" s="47" t="n"/>
      <c r="AA1155" s="47" t="n"/>
      <c r="AB1155" s="47" t="n"/>
      <c r="AC1155" s="47" t="n"/>
      <c r="AD1155" s="47" t="n"/>
      <c r="AE1155" s="47" t="n"/>
      <c r="AF1155" s="20">
        <f>IF(A1155="","",YEAR(EDATE(A1155,-3)))</f>
        <v/>
      </c>
      <c r="AG1155" s="20">
        <f>IF(OR(B1155="",'経歴簿'!$C$4=""),"",IF(B1155&amp;""='経歴簿'!$C$4&amp;"",MAX($AG$4:AG1154)+1,""))</f>
        <v/>
      </c>
      <c r="AH1155" s="20">
        <f>IF(A1155="",0,IF(AND(OR('CSV抽出'!$C$4="",A1155&gt;='CSV抽出'!$C$4),OR('CSV抽出'!$C$5="",A1155&lt;='CSV抽出'!$C$5),OR('CSV抽出'!$C$6="すべて",'CSV抽出'!$C$6="",D1155='CSV抽出'!$C$6),OR('CSV抽出'!$C$7="",B1155&amp;""='CSV抽出'!$C$7&amp;"")),1,0))</f>
        <v/>
      </c>
      <c r="AI1155" s="20">
        <f>IF(AH1155=1,SUM($AH$5:AH1155),"")</f>
        <v/>
      </c>
      <c r="AJ1155" s="20">
        <f>IF(OR(S1155="",'報告書'!$C$4=""),"",IF(S1155&amp;""='報告書'!$C$4&amp;"",COUNTIF($S$5:S1155,'報告書'!$C$4),""))</f>
        <v/>
      </c>
      <c r="AK1155" s="20" t="n"/>
      <c r="AL1155" s="47" t="n"/>
      <c r="AM1155" s="47" t="n"/>
      <c r="AN1155" s="53" t="n"/>
      <c r="AO1155" s="47" t="n"/>
      <c r="AP1155" s="47" t="n"/>
      <c r="AQ1155" s="47" t="n"/>
      <c r="AR1155" s="47" t="n"/>
      <c r="AS1155" s="47" t="n"/>
      <c r="AT1155" s="47" t="n"/>
      <c r="AU1155" s="47" t="n"/>
      <c r="AV1155" s="47" t="n"/>
      <c r="AW1155" s="52" t="n"/>
    </row>
    <row r="1156">
      <c r="A1156" s="48" t="n"/>
      <c r="B1156" s="52" t="n"/>
      <c r="C1156" s="47">
        <f>IF(B1156="","",IFERROR(INDEX('隊員マスタ'!$B$5:$B$204,MATCH(B1156&amp;"",'隊員マスタ'!$F$5:$F$204,0)),IF(AK1156="","番号なし",AK1156)))</f>
        <v/>
      </c>
      <c r="D1156" s="47" t="n"/>
      <c r="E1156" s="47" t="n"/>
      <c r="F1156" s="47" t="n"/>
      <c r="G1156" s="47" t="n"/>
      <c r="H1156" s="47" t="n"/>
      <c r="I1156" s="47" t="n"/>
      <c r="J1156" s="47" t="n"/>
      <c r="K1156" s="47" t="n"/>
      <c r="L1156" s="47" t="n"/>
      <c r="M1156" s="47" t="n"/>
      <c r="N1156" s="47" t="n"/>
      <c r="O1156" s="47" t="n"/>
      <c r="P1156" s="47" t="n"/>
      <c r="Q1156" s="47" t="n"/>
      <c r="R1156" s="47" t="n"/>
      <c r="S1156" s="47" t="n"/>
      <c r="T1156" s="47" t="n"/>
      <c r="U1156" s="53" t="n"/>
      <c r="V1156" s="53" t="n"/>
      <c r="W1156" s="47" t="n"/>
      <c r="X1156" s="47" t="n"/>
      <c r="Y1156" s="47" t="n"/>
      <c r="Z1156" s="47" t="n"/>
      <c r="AA1156" s="47" t="n"/>
      <c r="AB1156" s="47" t="n"/>
      <c r="AC1156" s="47" t="n"/>
      <c r="AD1156" s="47" t="n"/>
      <c r="AE1156" s="47" t="n"/>
      <c r="AF1156" s="20">
        <f>IF(A1156="","",YEAR(EDATE(A1156,-3)))</f>
        <v/>
      </c>
      <c r="AG1156" s="20">
        <f>IF(OR(B1156="",'経歴簿'!$C$4=""),"",IF(B1156&amp;""='経歴簿'!$C$4&amp;"",MAX($AG$4:AG1155)+1,""))</f>
        <v/>
      </c>
      <c r="AH1156" s="20">
        <f>IF(A1156="",0,IF(AND(OR('CSV抽出'!$C$4="",A1156&gt;='CSV抽出'!$C$4),OR('CSV抽出'!$C$5="",A1156&lt;='CSV抽出'!$C$5),OR('CSV抽出'!$C$6="すべて",'CSV抽出'!$C$6="",D1156='CSV抽出'!$C$6),OR('CSV抽出'!$C$7="",B1156&amp;""='CSV抽出'!$C$7&amp;"")),1,0))</f>
        <v/>
      </c>
      <c r="AI1156" s="20">
        <f>IF(AH1156=1,SUM($AH$5:AH1156),"")</f>
        <v/>
      </c>
      <c r="AJ1156" s="20">
        <f>IF(OR(S1156="",'報告書'!$C$4=""),"",IF(S1156&amp;""='報告書'!$C$4&amp;"",COUNTIF($S$5:S1156,'報告書'!$C$4),""))</f>
        <v/>
      </c>
      <c r="AK1156" s="20" t="n"/>
      <c r="AL1156" s="47" t="n"/>
      <c r="AM1156" s="47" t="n"/>
      <c r="AN1156" s="53" t="n"/>
      <c r="AO1156" s="47" t="n"/>
      <c r="AP1156" s="47" t="n"/>
      <c r="AQ1156" s="47" t="n"/>
      <c r="AR1156" s="47" t="n"/>
      <c r="AS1156" s="47" t="n"/>
      <c r="AT1156" s="47" t="n"/>
      <c r="AU1156" s="47" t="n"/>
      <c r="AV1156" s="47" t="n"/>
      <c r="AW1156" s="52" t="n"/>
    </row>
    <row r="1157">
      <c r="A1157" s="48" t="n"/>
      <c r="B1157" s="52" t="n"/>
      <c r="C1157" s="47">
        <f>IF(B1157="","",IFERROR(INDEX('隊員マスタ'!$B$5:$B$204,MATCH(B1157&amp;"",'隊員マスタ'!$F$5:$F$204,0)),IF(AK1157="","番号なし",AK1157)))</f>
        <v/>
      </c>
      <c r="D1157" s="47" t="n"/>
      <c r="E1157" s="47" t="n"/>
      <c r="F1157" s="47" t="n"/>
      <c r="G1157" s="47" t="n"/>
      <c r="H1157" s="47" t="n"/>
      <c r="I1157" s="47" t="n"/>
      <c r="J1157" s="47" t="n"/>
      <c r="K1157" s="47" t="n"/>
      <c r="L1157" s="47" t="n"/>
      <c r="M1157" s="47" t="n"/>
      <c r="N1157" s="47" t="n"/>
      <c r="O1157" s="47" t="n"/>
      <c r="P1157" s="47" t="n"/>
      <c r="Q1157" s="47" t="n"/>
      <c r="R1157" s="47" t="n"/>
      <c r="S1157" s="47" t="n"/>
      <c r="T1157" s="47" t="n"/>
      <c r="U1157" s="53" t="n"/>
      <c r="V1157" s="53" t="n"/>
      <c r="W1157" s="47" t="n"/>
      <c r="X1157" s="47" t="n"/>
      <c r="Y1157" s="47" t="n"/>
      <c r="Z1157" s="47" t="n"/>
      <c r="AA1157" s="47" t="n"/>
      <c r="AB1157" s="47" t="n"/>
      <c r="AC1157" s="47" t="n"/>
      <c r="AD1157" s="47" t="n"/>
      <c r="AE1157" s="47" t="n"/>
      <c r="AF1157" s="20">
        <f>IF(A1157="","",YEAR(EDATE(A1157,-3)))</f>
        <v/>
      </c>
      <c r="AG1157" s="20">
        <f>IF(OR(B1157="",'経歴簿'!$C$4=""),"",IF(B1157&amp;""='経歴簿'!$C$4&amp;"",MAX($AG$4:AG1156)+1,""))</f>
        <v/>
      </c>
      <c r="AH1157" s="20">
        <f>IF(A1157="",0,IF(AND(OR('CSV抽出'!$C$4="",A1157&gt;='CSV抽出'!$C$4),OR('CSV抽出'!$C$5="",A1157&lt;='CSV抽出'!$C$5),OR('CSV抽出'!$C$6="すべて",'CSV抽出'!$C$6="",D1157='CSV抽出'!$C$6),OR('CSV抽出'!$C$7="",B1157&amp;""='CSV抽出'!$C$7&amp;"")),1,0))</f>
        <v/>
      </c>
      <c r="AI1157" s="20">
        <f>IF(AH1157=1,SUM($AH$5:AH1157),"")</f>
        <v/>
      </c>
      <c r="AJ1157" s="20">
        <f>IF(OR(S1157="",'報告書'!$C$4=""),"",IF(S1157&amp;""='報告書'!$C$4&amp;"",COUNTIF($S$5:S1157,'報告書'!$C$4),""))</f>
        <v/>
      </c>
      <c r="AK1157" s="20" t="n"/>
      <c r="AL1157" s="47" t="n"/>
      <c r="AM1157" s="47" t="n"/>
      <c r="AN1157" s="53" t="n"/>
      <c r="AO1157" s="47" t="n"/>
      <c r="AP1157" s="47" t="n"/>
      <c r="AQ1157" s="47" t="n"/>
      <c r="AR1157" s="47" t="n"/>
      <c r="AS1157" s="47" t="n"/>
      <c r="AT1157" s="47" t="n"/>
      <c r="AU1157" s="47" t="n"/>
      <c r="AV1157" s="47" t="n"/>
      <c r="AW1157" s="52" t="n"/>
    </row>
    <row r="1158">
      <c r="A1158" s="48" t="n"/>
      <c r="B1158" s="52" t="n"/>
      <c r="C1158" s="47">
        <f>IF(B1158="","",IFERROR(INDEX('隊員マスタ'!$B$5:$B$204,MATCH(B1158&amp;"",'隊員マスタ'!$F$5:$F$204,0)),IF(AK1158="","番号なし",AK1158)))</f>
        <v/>
      </c>
      <c r="D1158" s="47" t="n"/>
      <c r="E1158" s="47" t="n"/>
      <c r="F1158" s="47" t="n"/>
      <c r="G1158" s="47" t="n"/>
      <c r="H1158" s="47" t="n"/>
      <c r="I1158" s="47" t="n"/>
      <c r="J1158" s="47" t="n"/>
      <c r="K1158" s="47" t="n"/>
      <c r="L1158" s="47" t="n"/>
      <c r="M1158" s="47" t="n"/>
      <c r="N1158" s="47" t="n"/>
      <c r="O1158" s="47" t="n"/>
      <c r="P1158" s="47" t="n"/>
      <c r="Q1158" s="47" t="n"/>
      <c r="R1158" s="47" t="n"/>
      <c r="S1158" s="47" t="n"/>
      <c r="T1158" s="47" t="n"/>
      <c r="U1158" s="53" t="n"/>
      <c r="V1158" s="53" t="n"/>
      <c r="W1158" s="47" t="n"/>
      <c r="X1158" s="47" t="n"/>
      <c r="Y1158" s="47" t="n"/>
      <c r="Z1158" s="47" t="n"/>
      <c r="AA1158" s="47" t="n"/>
      <c r="AB1158" s="47" t="n"/>
      <c r="AC1158" s="47" t="n"/>
      <c r="AD1158" s="47" t="n"/>
      <c r="AE1158" s="47" t="n"/>
      <c r="AF1158" s="20">
        <f>IF(A1158="","",YEAR(EDATE(A1158,-3)))</f>
        <v/>
      </c>
      <c r="AG1158" s="20">
        <f>IF(OR(B1158="",'経歴簿'!$C$4=""),"",IF(B1158&amp;""='経歴簿'!$C$4&amp;"",MAX($AG$4:AG1157)+1,""))</f>
        <v/>
      </c>
      <c r="AH1158" s="20">
        <f>IF(A1158="",0,IF(AND(OR('CSV抽出'!$C$4="",A1158&gt;='CSV抽出'!$C$4),OR('CSV抽出'!$C$5="",A1158&lt;='CSV抽出'!$C$5),OR('CSV抽出'!$C$6="すべて",'CSV抽出'!$C$6="",D1158='CSV抽出'!$C$6),OR('CSV抽出'!$C$7="",B1158&amp;""='CSV抽出'!$C$7&amp;"")),1,0))</f>
        <v/>
      </c>
      <c r="AI1158" s="20">
        <f>IF(AH1158=1,SUM($AH$5:AH1158),"")</f>
        <v/>
      </c>
      <c r="AJ1158" s="20">
        <f>IF(OR(S1158="",'報告書'!$C$4=""),"",IF(S1158&amp;""='報告書'!$C$4&amp;"",COUNTIF($S$5:S1158,'報告書'!$C$4),""))</f>
        <v/>
      </c>
      <c r="AK1158" s="20" t="n"/>
      <c r="AL1158" s="47" t="n"/>
      <c r="AM1158" s="47" t="n"/>
      <c r="AN1158" s="53" t="n"/>
      <c r="AO1158" s="47" t="n"/>
      <c r="AP1158" s="47" t="n"/>
      <c r="AQ1158" s="47" t="n"/>
      <c r="AR1158" s="47" t="n"/>
      <c r="AS1158" s="47" t="n"/>
      <c r="AT1158" s="47" t="n"/>
      <c r="AU1158" s="47" t="n"/>
      <c r="AV1158" s="47" t="n"/>
      <c r="AW1158" s="52" t="n"/>
    </row>
    <row r="1159">
      <c r="A1159" s="48" t="n"/>
      <c r="B1159" s="52" t="n"/>
      <c r="C1159" s="47">
        <f>IF(B1159="","",IFERROR(INDEX('隊員マスタ'!$B$5:$B$204,MATCH(B1159&amp;"",'隊員マスタ'!$F$5:$F$204,0)),IF(AK1159="","番号なし",AK1159)))</f>
        <v/>
      </c>
      <c r="D1159" s="47" t="n"/>
      <c r="E1159" s="47" t="n"/>
      <c r="F1159" s="47" t="n"/>
      <c r="G1159" s="47" t="n"/>
      <c r="H1159" s="47" t="n"/>
      <c r="I1159" s="47" t="n"/>
      <c r="J1159" s="47" t="n"/>
      <c r="K1159" s="47" t="n"/>
      <c r="L1159" s="47" t="n"/>
      <c r="M1159" s="47" t="n"/>
      <c r="N1159" s="47" t="n"/>
      <c r="O1159" s="47" t="n"/>
      <c r="P1159" s="47" t="n"/>
      <c r="Q1159" s="47" t="n"/>
      <c r="R1159" s="47" t="n"/>
      <c r="S1159" s="47" t="n"/>
      <c r="T1159" s="47" t="n"/>
      <c r="U1159" s="53" t="n"/>
      <c r="V1159" s="53" t="n"/>
      <c r="W1159" s="47" t="n"/>
      <c r="X1159" s="47" t="n"/>
      <c r="Y1159" s="47" t="n"/>
      <c r="Z1159" s="47" t="n"/>
      <c r="AA1159" s="47" t="n"/>
      <c r="AB1159" s="47" t="n"/>
      <c r="AC1159" s="47" t="n"/>
      <c r="AD1159" s="47" t="n"/>
      <c r="AE1159" s="47" t="n"/>
      <c r="AF1159" s="20">
        <f>IF(A1159="","",YEAR(EDATE(A1159,-3)))</f>
        <v/>
      </c>
      <c r="AG1159" s="20">
        <f>IF(OR(B1159="",'経歴簿'!$C$4=""),"",IF(B1159&amp;""='経歴簿'!$C$4&amp;"",MAX($AG$4:AG1158)+1,""))</f>
        <v/>
      </c>
      <c r="AH1159" s="20">
        <f>IF(A1159="",0,IF(AND(OR('CSV抽出'!$C$4="",A1159&gt;='CSV抽出'!$C$4),OR('CSV抽出'!$C$5="",A1159&lt;='CSV抽出'!$C$5),OR('CSV抽出'!$C$6="すべて",'CSV抽出'!$C$6="",D1159='CSV抽出'!$C$6),OR('CSV抽出'!$C$7="",B1159&amp;""='CSV抽出'!$C$7&amp;"")),1,0))</f>
        <v/>
      </c>
      <c r="AI1159" s="20">
        <f>IF(AH1159=1,SUM($AH$5:AH1159),"")</f>
        <v/>
      </c>
      <c r="AJ1159" s="20">
        <f>IF(OR(S1159="",'報告書'!$C$4=""),"",IF(S1159&amp;""='報告書'!$C$4&amp;"",COUNTIF($S$5:S1159,'報告書'!$C$4),""))</f>
        <v/>
      </c>
      <c r="AK1159" s="20" t="n"/>
      <c r="AL1159" s="47" t="n"/>
      <c r="AM1159" s="47" t="n"/>
      <c r="AN1159" s="53" t="n"/>
      <c r="AO1159" s="47" t="n"/>
      <c r="AP1159" s="47" t="n"/>
      <c r="AQ1159" s="47" t="n"/>
      <c r="AR1159" s="47" t="n"/>
      <c r="AS1159" s="47" t="n"/>
      <c r="AT1159" s="47" t="n"/>
      <c r="AU1159" s="47" t="n"/>
      <c r="AV1159" s="47" t="n"/>
      <c r="AW1159" s="52" t="n"/>
    </row>
    <row r="1160">
      <c r="A1160" s="48" t="n"/>
      <c r="B1160" s="52" t="n"/>
      <c r="C1160" s="47">
        <f>IF(B1160="","",IFERROR(INDEX('隊員マスタ'!$B$5:$B$204,MATCH(B1160&amp;"",'隊員マスタ'!$F$5:$F$204,0)),IF(AK1160="","番号なし",AK1160)))</f>
        <v/>
      </c>
      <c r="D1160" s="47" t="n"/>
      <c r="E1160" s="47" t="n"/>
      <c r="F1160" s="47" t="n"/>
      <c r="G1160" s="47" t="n"/>
      <c r="H1160" s="47" t="n"/>
      <c r="I1160" s="47" t="n"/>
      <c r="J1160" s="47" t="n"/>
      <c r="K1160" s="47" t="n"/>
      <c r="L1160" s="47" t="n"/>
      <c r="M1160" s="47" t="n"/>
      <c r="N1160" s="47" t="n"/>
      <c r="O1160" s="47" t="n"/>
      <c r="P1160" s="47" t="n"/>
      <c r="Q1160" s="47" t="n"/>
      <c r="R1160" s="47" t="n"/>
      <c r="S1160" s="47" t="n"/>
      <c r="T1160" s="47" t="n"/>
      <c r="U1160" s="53" t="n"/>
      <c r="V1160" s="53" t="n"/>
      <c r="W1160" s="47" t="n"/>
      <c r="X1160" s="47" t="n"/>
      <c r="Y1160" s="47" t="n"/>
      <c r="Z1160" s="47" t="n"/>
      <c r="AA1160" s="47" t="n"/>
      <c r="AB1160" s="47" t="n"/>
      <c r="AC1160" s="47" t="n"/>
      <c r="AD1160" s="47" t="n"/>
      <c r="AE1160" s="47" t="n"/>
      <c r="AF1160" s="20">
        <f>IF(A1160="","",YEAR(EDATE(A1160,-3)))</f>
        <v/>
      </c>
      <c r="AG1160" s="20">
        <f>IF(OR(B1160="",'経歴簿'!$C$4=""),"",IF(B1160&amp;""='経歴簿'!$C$4&amp;"",MAX($AG$4:AG1159)+1,""))</f>
        <v/>
      </c>
      <c r="AH1160" s="20">
        <f>IF(A1160="",0,IF(AND(OR('CSV抽出'!$C$4="",A1160&gt;='CSV抽出'!$C$4),OR('CSV抽出'!$C$5="",A1160&lt;='CSV抽出'!$C$5),OR('CSV抽出'!$C$6="すべて",'CSV抽出'!$C$6="",D1160='CSV抽出'!$C$6),OR('CSV抽出'!$C$7="",B1160&amp;""='CSV抽出'!$C$7&amp;"")),1,0))</f>
        <v/>
      </c>
      <c r="AI1160" s="20">
        <f>IF(AH1160=1,SUM($AH$5:AH1160),"")</f>
        <v/>
      </c>
      <c r="AJ1160" s="20">
        <f>IF(OR(S1160="",'報告書'!$C$4=""),"",IF(S1160&amp;""='報告書'!$C$4&amp;"",COUNTIF($S$5:S1160,'報告書'!$C$4),""))</f>
        <v/>
      </c>
      <c r="AK1160" s="20" t="n"/>
      <c r="AL1160" s="47" t="n"/>
      <c r="AM1160" s="47" t="n"/>
      <c r="AN1160" s="53" t="n"/>
      <c r="AO1160" s="47" t="n"/>
      <c r="AP1160" s="47" t="n"/>
      <c r="AQ1160" s="47" t="n"/>
      <c r="AR1160" s="47" t="n"/>
      <c r="AS1160" s="47" t="n"/>
      <c r="AT1160" s="47" t="n"/>
      <c r="AU1160" s="47" t="n"/>
      <c r="AV1160" s="47" t="n"/>
      <c r="AW1160" s="52" t="n"/>
    </row>
    <row r="1161">
      <c r="A1161" s="48" t="n"/>
      <c r="B1161" s="52" t="n"/>
      <c r="C1161" s="47">
        <f>IF(B1161="","",IFERROR(INDEX('隊員マスタ'!$B$5:$B$204,MATCH(B1161&amp;"",'隊員マスタ'!$F$5:$F$204,0)),IF(AK1161="","番号なし",AK1161)))</f>
        <v/>
      </c>
      <c r="D1161" s="47" t="n"/>
      <c r="E1161" s="47" t="n"/>
      <c r="F1161" s="47" t="n"/>
      <c r="G1161" s="47" t="n"/>
      <c r="H1161" s="47" t="n"/>
      <c r="I1161" s="47" t="n"/>
      <c r="J1161" s="47" t="n"/>
      <c r="K1161" s="47" t="n"/>
      <c r="L1161" s="47" t="n"/>
      <c r="M1161" s="47" t="n"/>
      <c r="N1161" s="47" t="n"/>
      <c r="O1161" s="47" t="n"/>
      <c r="P1161" s="47" t="n"/>
      <c r="Q1161" s="47" t="n"/>
      <c r="R1161" s="47" t="n"/>
      <c r="S1161" s="47" t="n"/>
      <c r="T1161" s="47" t="n"/>
      <c r="U1161" s="53" t="n"/>
      <c r="V1161" s="53" t="n"/>
      <c r="W1161" s="47" t="n"/>
      <c r="X1161" s="47" t="n"/>
      <c r="Y1161" s="47" t="n"/>
      <c r="Z1161" s="47" t="n"/>
      <c r="AA1161" s="47" t="n"/>
      <c r="AB1161" s="47" t="n"/>
      <c r="AC1161" s="47" t="n"/>
      <c r="AD1161" s="47" t="n"/>
      <c r="AE1161" s="47" t="n"/>
      <c r="AF1161" s="20">
        <f>IF(A1161="","",YEAR(EDATE(A1161,-3)))</f>
        <v/>
      </c>
      <c r="AG1161" s="20">
        <f>IF(OR(B1161="",'経歴簿'!$C$4=""),"",IF(B1161&amp;""='経歴簿'!$C$4&amp;"",MAX($AG$4:AG1160)+1,""))</f>
        <v/>
      </c>
      <c r="AH1161" s="20">
        <f>IF(A1161="",0,IF(AND(OR('CSV抽出'!$C$4="",A1161&gt;='CSV抽出'!$C$4),OR('CSV抽出'!$C$5="",A1161&lt;='CSV抽出'!$C$5),OR('CSV抽出'!$C$6="すべて",'CSV抽出'!$C$6="",D1161='CSV抽出'!$C$6),OR('CSV抽出'!$C$7="",B1161&amp;""='CSV抽出'!$C$7&amp;"")),1,0))</f>
        <v/>
      </c>
      <c r="AI1161" s="20">
        <f>IF(AH1161=1,SUM($AH$5:AH1161),"")</f>
        <v/>
      </c>
      <c r="AJ1161" s="20">
        <f>IF(OR(S1161="",'報告書'!$C$4=""),"",IF(S1161&amp;""='報告書'!$C$4&amp;"",COUNTIF($S$5:S1161,'報告書'!$C$4),""))</f>
        <v/>
      </c>
      <c r="AK1161" s="20" t="n"/>
      <c r="AL1161" s="47" t="n"/>
      <c r="AM1161" s="47" t="n"/>
      <c r="AN1161" s="53" t="n"/>
      <c r="AO1161" s="47" t="n"/>
      <c r="AP1161" s="47" t="n"/>
      <c r="AQ1161" s="47" t="n"/>
      <c r="AR1161" s="47" t="n"/>
      <c r="AS1161" s="47" t="n"/>
      <c r="AT1161" s="47" t="n"/>
      <c r="AU1161" s="47" t="n"/>
      <c r="AV1161" s="47" t="n"/>
      <c r="AW1161" s="52" t="n"/>
    </row>
    <row r="1162">
      <c r="A1162" s="48" t="n"/>
      <c r="B1162" s="52" t="n"/>
      <c r="C1162" s="47">
        <f>IF(B1162="","",IFERROR(INDEX('隊員マスタ'!$B$5:$B$204,MATCH(B1162&amp;"",'隊員マスタ'!$F$5:$F$204,0)),IF(AK1162="","番号なし",AK1162)))</f>
        <v/>
      </c>
      <c r="D1162" s="47" t="n"/>
      <c r="E1162" s="47" t="n"/>
      <c r="F1162" s="47" t="n"/>
      <c r="G1162" s="47" t="n"/>
      <c r="H1162" s="47" t="n"/>
      <c r="I1162" s="47" t="n"/>
      <c r="J1162" s="47" t="n"/>
      <c r="K1162" s="47" t="n"/>
      <c r="L1162" s="47" t="n"/>
      <c r="M1162" s="47" t="n"/>
      <c r="N1162" s="47" t="n"/>
      <c r="O1162" s="47" t="n"/>
      <c r="P1162" s="47" t="n"/>
      <c r="Q1162" s="47" t="n"/>
      <c r="R1162" s="47" t="n"/>
      <c r="S1162" s="47" t="n"/>
      <c r="T1162" s="47" t="n"/>
      <c r="U1162" s="53" t="n"/>
      <c r="V1162" s="53" t="n"/>
      <c r="W1162" s="47" t="n"/>
      <c r="X1162" s="47" t="n"/>
      <c r="Y1162" s="47" t="n"/>
      <c r="Z1162" s="47" t="n"/>
      <c r="AA1162" s="47" t="n"/>
      <c r="AB1162" s="47" t="n"/>
      <c r="AC1162" s="47" t="n"/>
      <c r="AD1162" s="47" t="n"/>
      <c r="AE1162" s="47" t="n"/>
      <c r="AF1162" s="20">
        <f>IF(A1162="","",YEAR(EDATE(A1162,-3)))</f>
        <v/>
      </c>
      <c r="AG1162" s="20">
        <f>IF(OR(B1162="",'経歴簿'!$C$4=""),"",IF(B1162&amp;""='経歴簿'!$C$4&amp;"",MAX($AG$4:AG1161)+1,""))</f>
        <v/>
      </c>
      <c r="AH1162" s="20">
        <f>IF(A1162="",0,IF(AND(OR('CSV抽出'!$C$4="",A1162&gt;='CSV抽出'!$C$4),OR('CSV抽出'!$C$5="",A1162&lt;='CSV抽出'!$C$5),OR('CSV抽出'!$C$6="すべて",'CSV抽出'!$C$6="",D1162='CSV抽出'!$C$6),OR('CSV抽出'!$C$7="",B1162&amp;""='CSV抽出'!$C$7&amp;"")),1,0))</f>
        <v/>
      </c>
      <c r="AI1162" s="20">
        <f>IF(AH1162=1,SUM($AH$5:AH1162),"")</f>
        <v/>
      </c>
      <c r="AJ1162" s="20">
        <f>IF(OR(S1162="",'報告書'!$C$4=""),"",IF(S1162&amp;""='報告書'!$C$4&amp;"",COUNTIF($S$5:S1162,'報告書'!$C$4),""))</f>
        <v/>
      </c>
      <c r="AK1162" s="20" t="n"/>
      <c r="AL1162" s="47" t="n"/>
      <c r="AM1162" s="47" t="n"/>
      <c r="AN1162" s="53" t="n"/>
      <c r="AO1162" s="47" t="n"/>
      <c r="AP1162" s="47" t="n"/>
      <c r="AQ1162" s="47" t="n"/>
      <c r="AR1162" s="47" t="n"/>
      <c r="AS1162" s="47" t="n"/>
      <c r="AT1162" s="47" t="n"/>
      <c r="AU1162" s="47" t="n"/>
      <c r="AV1162" s="47" t="n"/>
      <c r="AW1162" s="52" t="n"/>
    </row>
    <row r="1163">
      <c r="A1163" s="48" t="n"/>
      <c r="B1163" s="52" t="n"/>
      <c r="C1163" s="47">
        <f>IF(B1163="","",IFERROR(INDEX('隊員マスタ'!$B$5:$B$204,MATCH(B1163&amp;"",'隊員マスタ'!$F$5:$F$204,0)),IF(AK1163="","番号なし",AK1163)))</f>
        <v/>
      </c>
      <c r="D1163" s="47" t="n"/>
      <c r="E1163" s="47" t="n"/>
      <c r="F1163" s="47" t="n"/>
      <c r="G1163" s="47" t="n"/>
      <c r="H1163" s="47" t="n"/>
      <c r="I1163" s="47" t="n"/>
      <c r="J1163" s="47" t="n"/>
      <c r="K1163" s="47" t="n"/>
      <c r="L1163" s="47" t="n"/>
      <c r="M1163" s="47" t="n"/>
      <c r="N1163" s="47" t="n"/>
      <c r="O1163" s="47" t="n"/>
      <c r="P1163" s="47" t="n"/>
      <c r="Q1163" s="47" t="n"/>
      <c r="R1163" s="47" t="n"/>
      <c r="S1163" s="47" t="n"/>
      <c r="T1163" s="47" t="n"/>
      <c r="U1163" s="53" t="n"/>
      <c r="V1163" s="53" t="n"/>
      <c r="W1163" s="47" t="n"/>
      <c r="X1163" s="47" t="n"/>
      <c r="Y1163" s="47" t="n"/>
      <c r="Z1163" s="47" t="n"/>
      <c r="AA1163" s="47" t="n"/>
      <c r="AB1163" s="47" t="n"/>
      <c r="AC1163" s="47" t="n"/>
      <c r="AD1163" s="47" t="n"/>
      <c r="AE1163" s="47" t="n"/>
      <c r="AF1163" s="20">
        <f>IF(A1163="","",YEAR(EDATE(A1163,-3)))</f>
        <v/>
      </c>
      <c r="AG1163" s="20">
        <f>IF(OR(B1163="",'経歴簿'!$C$4=""),"",IF(B1163&amp;""='経歴簿'!$C$4&amp;"",MAX($AG$4:AG1162)+1,""))</f>
        <v/>
      </c>
      <c r="AH1163" s="20">
        <f>IF(A1163="",0,IF(AND(OR('CSV抽出'!$C$4="",A1163&gt;='CSV抽出'!$C$4),OR('CSV抽出'!$C$5="",A1163&lt;='CSV抽出'!$C$5),OR('CSV抽出'!$C$6="すべて",'CSV抽出'!$C$6="",D1163='CSV抽出'!$C$6),OR('CSV抽出'!$C$7="",B1163&amp;""='CSV抽出'!$C$7&amp;"")),1,0))</f>
        <v/>
      </c>
      <c r="AI1163" s="20">
        <f>IF(AH1163=1,SUM($AH$5:AH1163),"")</f>
        <v/>
      </c>
      <c r="AJ1163" s="20">
        <f>IF(OR(S1163="",'報告書'!$C$4=""),"",IF(S1163&amp;""='報告書'!$C$4&amp;"",COUNTIF($S$5:S1163,'報告書'!$C$4),""))</f>
        <v/>
      </c>
      <c r="AK1163" s="20" t="n"/>
      <c r="AL1163" s="47" t="n"/>
      <c r="AM1163" s="47" t="n"/>
      <c r="AN1163" s="53" t="n"/>
      <c r="AO1163" s="47" t="n"/>
      <c r="AP1163" s="47" t="n"/>
      <c r="AQ1163" s="47" t="n"/>
      <c r="AR1163" s="47" t="n"/>
      <c r="AS1163" s="47" t="n"/>
      <c r="AT1163" s="47" t="n"/>
      <c r="AU1163" s="47" t="n"/>
      <c r="AV1163" s="47" t="n"/>
      <c r="AW1163" s="52" t="n"/>
    </row>
    <row r="1164">
      <c r="A1164" s="48" t="n"/>
      <c r="B1164" s="52" t="n"/>
      <c r="C1164" s="47">
        <f>IF(B1164="","",IFERROR(INDEX('隊員マスタ'!$B$5:$B$204,MATCH(B1164&amp;"",'隊員マスタ'!$F$5:$F$204,0)),IF(AK1164="","番号なし",AK1164)))</f>
        <v/>
      </c>
      <c r="D1164" s="47" t="n"/>
      <c r="E1164" s="47" t="n"/>
      <c r="F1164" s="47" t="n"/>
      <c r="G1164" s="47" t="n"/>
      <c r="H1164" s="47" t="n"/>
      <c r="I1164" s="47" t="n"/>
      <c r="J1164" s="47" t="n"/>
      <c r="K1164" s="47" t="n"/>
      <c r="L1164" s="47" t="n"/>
      <c r="M1164" s="47" t="n"/>
      <c r="N1164" s="47" t="n"/>
      <c r="O1164" s="47" t="n"/>
      <c r="P1164" s="47" t="n"/>
      <c r="Q1164" s="47" t="n"/>
      <c r="R1164" s="47" t="n"/>
      <c r="S1164" s="47" t="n"/>
      <c r="T1164" s="47" t="n"/>
      <c r="U1164" s="53" t="n"/>
      <c r="V1164" s="53" t="n"/>
      <c r="W1164" s="47" t="n"/>
      <c r="X1164" s="47" t="n"/>
      <c r="Y1164" s="47" t="n"/>
      <c r="Z1164" s="47" t="n"/>
      <c r="AA1164" s="47" t="n"/>
      <c r="AB1164" s="47" t="n"/>
      <c r="AC1164" s="47" t="n"/>
      <c r="AD1164" s="47" t="n"/>
      <c r="AE1164" s="47" t="n"/>
      <c r="AF1164" s="20">
        <f>IF(A1164="","",YEAR(EDATE(A1164,-3)))</f>
        <v/>
      </c>
      <c r="AG1164" s="20">
        <f>IF(OR(B1164="",'経歴簿'!$C$4=""),"",IF(B1164&amp;""='経歴簿'!$C$4&amp;"",MAX($AG$4:AG1163)+1,""))</f>
        <v/>
      </c>
      <c r="AH1164" s="20">
        <f>IF(A1164="",0,IF(AND(OR('CSV抽出'!$C$4="",A1164&gt;='CSV抽出'!$C$4),OR('CSV抽出'!$C$5="",A1164&lt;='CSV抽出'!$C$5),OR('CSV抽出'!$C$6="すべて",'CSV抽出'!$C$6="",D1164='CSV抽出'!$C$6),OR('CSV抽出'!$C$7="",B1164&amp;""='CSV抽出'!$C$7&amp;"")),1,0))</f>
        <v/>
      </c>
      <c r="AI1164" s="20">
        <f>IF(AH1164=1,SUM($AH$5:AH1164),"")</f>
        <v/>
      </c>
      <c r="AJ1164" s="20">
        <f>IF(OR(S1164="",'報告書'!$C$4=""),"",IF(S1164&amp;""='報告書'!$C$4&amp;"",COUNTIF($S$5:S1164,'報告書'!$C$4),""))</f>
        <v/>
      </c>
      <c r="AK1164" s="20" t="n"/>
      <c r="AL1164" s="47" t="n"/>
      <c r="AM1164" s="47" t="n"/>
      <c r="AN1164" s="53" t="n"/>
      <c r="AO1164" s="47" t="n"/>
      <c r="AP1164" s="47" t="n"/>
      <c r="AQ1164" s="47" t="n"/>
      <c r="AR1164" s="47" t="n"/>
      <c r="AS1164" s="47" t="n"/>
      <c r="AT1164" s="47" t="n"/>
      <c r="AU1164" s="47" t="n"/>
      <c r="AV1164" s="47" t="n"/>
      <c r="AW1164" s="52" t="n"/>
    </row>
    <row r="1165">
      <c r="A1165" s="48" t="n"/>
      <c r="B1165" s="52" t="n"/>
      <c r="C1165" s="47">
        <f>IF(B1165="","",IFERROR(INDEX('隊員マスタ'!$B$5:$B$204,MATCH(B1165&amp;"",'隊員マスタ'!$F$5:$F$204,0)),IF(AK1165="","番号なし",AK1165)))</f>
        <v/>
      </c>
      <c r="D1165" s="47" t="n"/>
      <c r="E1165" s="47" t="n"/>
      <c r="F1165" s="47" t="n"/>
      <c r="G1165" s="47" t="n"/>
      <c r="H1165" s="47" t="n"/>
      <c r="I1165" s="47" t="n"/>
      <c r="J1165" s="47" t="n"/>
      <c r="K1165" s="47" t="n"/>
      <c r="L1165" s="47" t="n"/>
      <c r="M1165" s="47" t="n"/>
      <c r="N1165" s="47" t="n"/>
      <c r="O1165" s="47" t="n"/>
      <c r="P1165" s="47" t="n"/>
      <c r="Q1165" s="47" t="n"/>
      <c r="R1165" s="47" t="n"/>
      <c r="S1165" s="47" t="n"/>
      <c r="T1165" s="47" t="n"/>
      <c r="U1165" s="53" t="n"/>
      <c r="V1165" s="53" t="n"/>
      <c r="W1165" s="47" t="n"/>
      <c r="X1165" s="47" t="n"/>
      <c r="Y1165" s="47" t="n"/>
      <c r="Z1165" s="47" t="n"/>
      <c r="AA1165" s="47" t="n"/>
      <c r="AB1165" s="47" t="n"/>
      <c r="AC1165" s="47" t="n"/>
      <c r="AD1165" s="47" t="n"/>
      <c r="AE1165" s="47" t="n"/>
      <c r="AF1165" s="20">
        <f>IF(A1165="","",YEAR(EDATE(A1165,-3)))</f>
        <v/>
      </c>
      <c r="AG1165" s="20">
        <f>IF(OR(B1165="",'経歴簿'!$C$4=""),"",IF(B1165&amp;""='経歴簿'!$C$4&amp;"",MAX($AG$4:AG1164)+1,""))</f>
        <v/>
      </c>
      <c r="AH1165" s="20">
        <f>IF(A1165="",0,IF(AND(OR('CSV抽出'!$C$4="",A1165&gt;='CSV抽出'!$C$4),OR('CSV抽出'!$C$5="",A1165&lt;='CSV抽出'!$C$5),OR('CSV抽出'!$C$6="すべて",'CSV抽出'!$C$6="",D1165='CSV抽出'!$C$6),OR('CSV抽出'!$C$7="",B1165&amp;""='CSV抽出'!$C$7&amp;"")),1,0))</f>
        <v/>
      </c>
      <c r="AI1165" s="20">
        <f>IF(AH1165=1,SUM($AH$5:AH1165),"")</f>
        <v/>
      </c>
      <c r="AJ1165" s="20">
        <f>IF(OR(S1165="",'報告書'!$C$4=""),"",IF(S1165&amp;""='報告書'!$C$4&amp;"",COUNTIF($S$5:S1165,'報告書'!$C$4),""))</f>
        <v/>
      </c>
      <c r="AK1165" s="20" t="n"/>
      <c r="AL1165" s="47" t="n"/>
      <c r="AM1165" s="47" t="n"/>
      <c r="AN1165" s="53" t="n"/>
      <c r="AO1165" s="47" t="n"/>
      <c r="AP1165" s="47" t="n"/>
      <c r="AQ1165" s="47" t="n"/>
      <c r="AR1165" s="47" t="n"/>
      <c r="AS1165" s="47" t="n"/>
      <c r="AT1165" s="47" t="n"/>
      <c r="AU1165" s="47" t="n"/>
      <c r="AV1165" s="47" t="n"/>
      <c r="AW1165" s="52" t="n"/>
    </row>
    <row r="1166">
      <c r="A1166" s="48" t="n"/>
      <c r="B1166" s="52" t="n"/>
      <c r="C1166" s="47">
        <f>IF(B1166="","",IFERROR(INDEX('隊員マスタ'!$B$5:$B$204,MATCH(B1166&amp;"",'隊員マスタ'!$F$5:$F$204,0)),IF(AK1166="","番号なし",AK1166)))</f>
        <v/>
      </c>
      <c r="D1166" s="47" t="n"/>
      <c r="E1166" s="47" t="n"/>
      <c r="F1166" s="47" t="n"/>
      <c r="G1166" s="47" t="n"/>
      <c r="H1166" s="47" t="n"/>
      <c r="I1166" s="47" t="n"/>
      <c r="J1166" s="47" t="n"/>
      <c r="K1166" s="47" t="n"/>
      <c r="L1166" s="47" t="n"/>
      <c r="M1166" s="47" t="n"/>
      <c r="N1166" s="47" t="n"/>
      <c r="O1166" s="47" t="n"/>
      <c r="P1166" s="47" t="n"/>
      <c r="Q1166" s="47" t="n"/>
      <c r="R1166" s="47" t="n"/>
      <c r="S1166" s="47" t="n"/>
      <c r="T1166" s="47" t="n"/>
      <c r="U1166" s="53" t="n"/>
      <c r="V1166" s="53" t="n"/>
      <c r="W1166" s="47" t="n"/>
      <c r="X1166" s="47" t="n"/>
      <c r="Y1166" s="47" t="n"/>
      <c r="Z1166" s="47" t="n"/>
      <c r="AA1166" s="47" t="n"/>
      <c r="AB1166" s="47" t="n"/>
      <c r="AC1166" s="47" t="n"/>
      <c r="AD1166" s="47" t="n"/>
      <c r="AE1166" s="47" t="n"/>
      <c r="AF1166" s="20">
        <f>IF(A1166="","",YEAR(EDATE(A1166,-3)))</f>
        <v/>
      </c>
      <c r="AG1166" s="20">
        <f>IF(OR(B1166="",'経歴簿'!$C$4=""),"",IF(B1166&amp;""='経歴簿'!$C$4&amp;"",MAX($AG$4:AG1165)+1,""))</f>
        <v/>
      </c>
      <c r="AH1166" s="20">
        <f>IF(A1166="",0,IF(AND(OR('CSV抽出'!$C$4="",A1166&gt;='CSV抽出'!$C$4),OR('CSV抽出'!$C$5="",A1166&lt;='CSV抽出'!$C$5),OR('CSV抽出'!$C$6="すべて",'CSV抽出'!$C$6="",D1166='CSV抽出'!$C$6),OR('CSV抽出'!$C$7="",B1166&amp;""='CSV抽出'!$C$7&amp;"")),1,0))</f>
        <v/>
      </c>
      <c r="AI1166" s="20">
        <f>IF(AH1166=1,SUM($AH$5:AH1166),"")</f>
        <v/>
      </c>
      <c r="AJ1166" s="20">
        <f>IF(OR(S1166="",'報告書'!$C$4=""),"",IF(S1166&amp;""='報告書'!$C$4&amp;"",COUNTIF($S$5:S1166,'報告書'!$C$4),""))</f>
        <v/>
      </c>
      <c r="AK1166" s="20" t="n"/>
      <c r="AL1166" s="47" t="n"/>
      <c r="AM1166" s="47" t="n"/>
      <c r="AN1166" s="53" t="n"/>
      <c r="AO1166" s="47" t="n"/>
      <c r="AP1166" s="47" t="n"/>
      <c r="AQ1166" s="47" t="n"/>
      <c r="AR1166" s="47" t="n"/>
      <c r="AS1166" s="47" t="n"/>
      <c r="AT1166" s="47" t="n"/>
      <c r="AU1166" s="47" t="n"/>
      <c r="AV1166" s="47" t="n"/>
      <c r="AW1166" s="52" t="n"/>
    </row>
    <row r="1167">
      <c r="A1167" s="48" t="n"/>
      <c r="B1167" s="52" t="n"/>
      <c r="C1167" s="47">
        <f>IF(B1167="","",IFERROR(INDEX('隊員マスタ'!$B$5:$B$204,MATCH(B1167&amp;"",'隊員マスタ'!$F$5:$F$204,0)),IF(AK1167="","番号なし",AK1167)))</f>
        <v/>
      </c>
      <c r="D1167" s="47" t="n"/>
      <c r="E1167" s="47" t="n"/>
      <c r="F1167" s="47" t="n"/>
      <c r="G1167" s="47" t="n"/>
      <c r="H1167" s="47" t="n"/>
      <c r="I1167" s="47" t="n"/>
      <c r="J1167" s="47" t="n"/>
      <c r="K1167" s="47" t="n"/>
      <c r="L1167" s="47" t="n"/>
      <c r="M1167" s="47" t="n"/>
      <c r="N1167" s="47" t="n"/>
      <c r="O1167" s="47" t="n"/>
      <c r="P1167" s="47" t="n"/>
      <c r="Q1167" s="47" t="n"/>
      <c r="R1167" s="47" t="n"/>
      <c r="S1167" s="47" t="n"/>
      <c r="T1167" s="47" t="n"/>
      <c r="U1167" s="53" t="n"/>
      <c r="V1167" s="53" t="n"/>
      <c r="W1167" s="47" t="n"/>
      <c r="X1167" s="47" t="n"/>
      <c r="Y1167" s="47" t="n"/>
      <c r="Z1167" s="47" t="n"/>
      <c r="AA1167" s="47" t="n"/>
      <c r="AB1167" s="47" t="n"/>
      <c r="AC1167" s="47" t="n"/>
      <c r="AD1167" s="47" t="n"/>
      <c r="AE1167" s="47" t="n"/>
      <c r="AF1167" s="20">
        <f>IF(A1167="","",YEAR(EDATE(A1167,-3)))</f>
        <v/>
      </c>
      <c r="AG1167" s="20">
        <f>IF(OR(B1167="",'経歴簿'!$C$4=""),"",IF(B1167&amp;""='経歴簿'!$C$4&amp;"",MAX($AG$4:AG1166)+1,""))</f>
        <v/>
      </c>
      <c r="AH1167" s="20">
        <f>IF(A1167="",0,IF(AND(OR('CSV抽出'!$C$4="",A1167&gt;='CSV抽出'!$C$4),OR('CSV抽出'!$C$5="",A1167&lt;='CSV抽出'!$C$5),OR('CSV抽出'!$C$6="すべて",'CSV抽出'!$C$6="",D1167='CSV抽出'!$C$6),OR('CSV抽出'!$C$7="",B1167&amp;""='CSV抽出'!$C$7&amp;"")),1,0))</f>
        <v/>
      </c>
      <c r="AI1167" s="20">
        <f>IF(AH1167=1,SUM($AH$5:AH1167),"")</f>
        <v/>
      </c>
      <c r="AJ1167" s="20">
        <f>IF(OR(S1167="",'報告書'!$C$4=""),"",IF(S1167&amp;""='報告書'!$C$4&amp;"",COUNTIF($S$5:S1167,'報告書'!$C$4),""))</f>
        <v/>
      </c>
      <c r="AK1167" s="20" t="n"/>
      <c r="AL1167" s="47" t="n"/>
      <c r="AM1167" s="47" t="n"/>
      <c r="AN1167" s="53" t="n"/>
      <c r="AO1167" s="47" t="n"/>
      <c r="AP1167" s="47" t="n"/>
      <c r="AQ1167" s="47" t="n"/>
      <c r="AR1167" s="47" t="n"/>
      <c r="AS1167" s="47" t="n"/>
      <c r="AT1167" s="47" t="n"/>
      <c r="AU1167" s="47" t="n"/>
      <c r="AV1167" s="47" t="n"/>
      <c r="AW1167" s="52" t="n"/>
    </row>
    <row r="1168">
      <c r="A1168" s="48" t="n"/>
      <c r="B1168" s="52" t="n"/>
      <c r="C1168" s="47">
        <f>IF(B1168="","",IFERROR(INDEX('隊員マスタ'!$B$5:$B$204,MATCH(B1168&amp;"",'隊員マスタ'!$F$5:$F$204,0)),IF(AK1168="","番号なし",AK1168)))</f>
        <v/>
      </c>
      <c r="D1168" s="47" t="n"/>
      <c r="E1168" s="47" t="n"/>
      <c r="F1168" s="47" t="n"/>
      <c r="G1168" s="47" t="n"/>
      <c r="H1168" s="47" t="n"/>
      <c r="I1168" s="47" t="n"/>
      <c r="J1168" s="47" t="n"/>
      <c r="K1168" s="47" t="n"/>
      <c r="L1168" s="47" t="n"/>
      <c r="M1168" s="47" t="n"/>
      <c r="N1168" s="47" t="n"/>
      <c r="O1168" s="47" t="n"/>
      <c r="P1168" s="47" t="n"/>
      <c r="Q1168" s="47" t="n"/>
      <c r="R1168" s="47" t="n"/>
      <c r="S1168" s="47" t="n"/>
      <c r="T1168" s="47" t="n"/>
      <c r="U1168" s="53" t="n"/>
      <c r="V1168" s="53" t="n"/>
      <c r="W1168" s="47" t="n"/>
      <c r="X1168" s="47" t="n"/>
      <c r="Y1168" s="47" t="n"/>
      <c r="Z1168" s="47" t="n"/>
      <c r="AA1168" s="47" t="n"/>
      <c r="AB1168" s="47" t="n"/>
      <c r="AC1168" s="47" t="n"/>
      <c r="AD1168" s="47" t="n"/>
      <c r="AE1168" s="47" t="n"/>
      <c r="AF1168" s="20">
        <f>IF(A1168="","",YEAR(EDATE(A1168,-3)))</f>
        <v/>
      </c>
      <c r="AG1168" s="20">
        <f>IF(OR(B1168="",'経歴簿'!$C$4=""),"",IF(B1168&amp;""='経歴簿'!$C$4&amp;"",MAX($AG$4:AG1167)+1,""))</f>
        <v/>
      </c>
      <c r="AH1168" s="20">
        <f>IF(A1168="",0,IF(AND(OR('CSV抽出'!$C$4="",A1168&gt;='CSV抽出'!$C$4),OR('CSV抽出'!$C$5="",A1168&lt;='CSV抽出'!$C$5),OR('CSV抽出'!$C$6="すべて",'CSV抽出'!$C$6="",D1168='CSV抽出'!$C$6),OR('CSV抽出'!$C$7="",B1168&amp;""='CSV抽出'!$C$7&amp;"")),1,0))</f>
        <v/>
      </c>
      <c r="AI1168" s="20">
        <f>IF(AH1168=1,SUM($AH$5:AH1168),"")</f>
        <v/>
      </c>
      <c r="AJ1168" s="20">
        <f>IF(OR(S1168="",'報告書'!$C$4=""),"",IF(S1168&amp;""='報告書'!$C$4&amp;"",COUNTIF($S$5:S1168,'報告書'!$C$4),""))</f>
        <v/>
      </c>
      <c r="AK1168" s="20" t="n"/>
      <c r="AL1168" s="47" t="n"/>
      <c r="AM1168" s="47" t="n"/>
      <c r="AN1168" s="53" t="n"/>
      <c r="AO1168" s="47" t="n"/>
      <c r="AP1168" s="47" t="n"/>
      <c r="AQ1168" s="47" t="n"/>
      <c r="AR1168" s="47" t="n"/>
      <c r="AS1168" s="47" t="n"/>
      <c r="AT1168" s="47" t="n"/>
      <c r="AU1168" s="47" t="n"/>
      <c r="AV1168" s="47" t="n"/>
      <c r="AW1168" s="52" t="n"/>
    </row>
    <row r="1169">
      <c r="A1169" s="48" t="n"/>
      <c r="B1169" s="52" t="n"/>
      <c r="C1169" s="47">
        <f>IF(B1169="","",IFERROR(INDEX('隊員マスタ'!$B$5:$B$204,MATCH(B1169&amp;"",'隊員マスタ'!$F$5:$F$204,0)),IF(AK1169="","番号なし",AK1169)))</f>
        <v/>
      </c>
      <c r="D1169" s="47" t="n"/>
      <c r="E1169" s="47" t="n"/>
      <c r="F1169" s="47" t="n"/>
      <c r="G1169" s="47" t="n"/>
      <c r="H1169" s="47" t="n"/>
      <c r="I1169" s="47" t="n"/>
      <c r="J1169" s="47" t="n"/>
      <c r="K1169" s="47" t="n"/>
      <c r="L1169" s="47" t="n"/>
      <c r="M1169" s="47" t="n"/>
      <c r="N1169" s="47" t="n"/>
      <c r="O1169" s="47" t="n"/>
      <c r="P1169" s="47" t="n"/>
      <c r="Q1169" s="47" t="n"/>
      <c r="R1169" s="47" t="n"/>
      <c r="S1169" s="47" t="n"/>
      <c r="T1169" s="47" t="n"/>
      <c r="U1169" s="53" t="n"/>
      <c r="V1169" s="53" t="n"/>
      <c r="W1169" s="47" t="n"/>
      <c r="X1169" s="47" t="n"/>
      <c r="Y1169" s="47" t="n"/>
      <c r="Z1169" s="47" t="n"/>
      <c r="AA1169" s="47" t="n"/>
      <c r="AB1169" s="47" t="n"/>
      <c r="AC1169" s="47" t="n"/>
      <c r="AD1169" s="47" t="n"/>
      <c r="AE1169" s="47" t="n"/>
      <c r="AF1169" s="20">
        <f>IF(A1169="","",YEAR(EDATE(A1169,-3)))</f>
        <v/>
      </c>
      <c r="AG1169" s="20">
        <f>IF(OR(B1169="",'経歴簿'!$C$4=""),"",IF(B1169&amp;""='経歴簿'!$C$4&amp;"",MAX($AG$4:AG1168)+1,""))</f>
        <v/>
      </c>
      <c r="AH1169" s="20">
        <f>IF(A1169="",0,IF(AND(OR('CSV抽出'!$C$4="",A1169&gt;='CSV抽出'!$C$4),OR('CSV抽出'!$C$5="",A1169&lt;='CSV抽出'!$C$5),OR('CSV抽出'!$C$6="すべて",'CSV抽出'!$C$6="",D1169='CSV抽出'!$C$6),OR('CSV抽出'!$C$7="",B1169&amp;""='CSV抽出'!$C$7&amp;"")),1,0))</f>
        <v/>
      </c>
      <c r="AI1169" s="20">
        <f>IF(AH1169=1,SUM($AH$5:AH1169),"")</f>
        <v/>
      </c>
      <c r="AJ1169" s="20">
        <f>IF(OR(S1169="",'報告書'!$C$4=""),"",IF(S1169&amp;""='報告書'!$C$4&amp;"",COUNTIF($S$5:S1169,'報告書'!$C$4),""))</f>
        <v/>
      </c>
      <c r="AK1169" s="20" t="n"/>
      <c r="AL1169" s="47" t="n"/>
      <c r="AM1169" s="47" t="n"/>
      <c r="AN1169" s="53" t="n"/>
      <c r="AO1169" s="47" t="n"/>
      <c r="AP1169" s="47" t="n"/>
      <c r="AQ1169" s="47" t="n"/>
      <c r="AR1169" s="47" t="n"/>
      <c r="AS1169" s="47" t="n"/>
      <c r="AT1169" s="47" t="n"/>
      <c r="AU1169" s="47" t="n"/>
      <c r="AV1169" s="47" t="n"/>
      <c r="AW1169" s="52" t="n"/>
    </row>
    <row r="1170">
      <c r="A1170" s="48" t="n"/>
      <c r="B1170" s="52" t="n"/>
      <c r="C1170" s="47">
        <f>IF(B1170="","",IFERROR(INDEX('隊員マスタ'!$B$5:$B$204,MATCH(B1170&amp;"",'隊員マスタ'!$F$5:$F$204,0)),IF(AK1170="","番号なし",AK1170)))</f>
        <v/>
      </c>
      <c r="D1170" s="47" t="n"/>
      <c r="E1170" s="47" t="n"/>
      <c r="F1170" s="47" t="n"/>
      <c r="G1170" s="47" t="n"/>
      <c r="H1170" s="47" t="n"/>
      <c r="I1170" s="47" t="n"/>
      <c r="J1170" s="47" t="n"/>
      <c r="K1170" s="47" t="n"/>
      <c r="L1170" s="47" t="n"/>
      <c r="M1170" s="47" t="n"/>
      <c r="N1170" s="47" t="n"/>
      <c r="O1170" s="47" t="n"/>
      <c r="P1170" s="47" t="n"/>
      <c r="Q1170" s="47" t="n"/>
      <c r="R1170" s="47" t="n"/>
      <c r="S1170" s="47" t="n"/>
      <c r="T1170" s="47" t="n"/>
      <c r="U1170" s="53" t="n"/>
      <c r="V1170" s="53" t="n"/>
      <c r="W1170" s="47" t="n"/>
      <c r="X1170" s="47" t="n"/>
      <c r="Y1170" s="47" t="n"/>
      <c r="Z1170" s="47" t="n"/>
      <c r="AA1170" s="47" t="n"/>
      <c r="AB1170" s="47" t="n"/>
      <c r="AC1170" s="47" t="n"/>
      <c r="AD1170" s="47" t="n"/>
      <c r="AE1170" s="47" t="n"/>
      <c r="AF1170" s="20">
        <f>IF(A1170="","",YEAR(EDATE(A1170,-3)))</f>
        <v/>
      </c>
      <c r="AG1170" s="20">
        <f>IF(OR(B1170="",'経歴簿'!$C$4=""),"",IF(B1170&amp;""='経歴簿'!$C$4&amp;"",MAX($AG$4:AG1169)+1,""))</f>
        <v/>
      </c>
      <c r="AH1170" s="20">
        <f>IF(A1170="",0,IF(AND(OR('CSV抽出'!$C$4="",A1170&gt;='CSV抽出'!$C$4),OR('CSV抽出'!$C$5="",A1170&lt;='CSV抽出'!$C$5),OR('CSV抽出'!$C$6="すべて",'CSV抽出'!$C$6="",D1170='CSV抽出'!$C$6),OR('CSV抽出'!$C$7="",B1170&amp;""='CSV抽出'!$C$7&amp;"")),1,0))</f>
        <v/>
      </c>
      <c r="AI1170" s="20">
        <f>IF(AH1170=1,SUM($AH$5:AH1170),"")</f>
        <v/>
      </c>
      <c r="AJ1170" s="20">
        <f>IF(OR(S1170="",'報告書'!$C$4=""),"",IF(S1170&amp;""='報告書'!$C$4&amp;"",COUNTIF($S$5:S1170,'報告書'!$C$4),""))</f>
        <v/>
      </c>
      <c r="AK1170" s="20" t="n"/>
      <c r="AL1170" s="47" t="n"/>
      <c r="AM1170" s="47" t="n"/>
      <c r="AN1170" s="53" t="n"/>
      <c r="AO1170" s="47" t="n"/>
      <c r="AP1170" s="47" t="n"/>
      <c r="AQ1170" s="47" t="n"/>
      <c r="AR1170" s="47" t="n"/>
      <c r="AS1170" s="47" t="n"/>
      <c r="AT1170" s="47" t="n"/>
      <c r="AU1170" s="47" t="n"/>
      <c r="AV1170" s="47" t="n"/>
      <c r="AW1170" s="52" t="n"/>
    </row>
    <row r="1171">
      <c r="A1171" s="48" t="n"/>
      <c r="B1171" s="52" t="n"/>
      <c r="C1171" s="47">
        <f>IF(B1171="","",IFERROR(INDEX('隊員マスタ'!$B$5:$B$204,MATCH(B1171&amp;"",'隊員マスタ'!$F$5:$F$204,0)),IF(AK1171="","番号なし",AK1171)))</f>
        <v/>
      </c>
      <c r="D1171" s="47" t="n"/>
      <c r="E1171" s="47" t="n"/>
      <c r="F1171" s="47" t="n"/>
      <c r="G1171" s="47" t="n"/>
      <c r="H1171" s="47" t="n"/>
      <c r="I1171" s="47" t="n"/>
      <c r="J1171" s="47" t="n"/>
      <c r="K1171" s="47" t="n"/>
      <c r="L1171" s="47" t="n"/>
      <c r="M1171" s="47" t="n"/>
      <c r="N1171" s="47" t="n"/>
      <c r="O1171" s="47" t="n"/>
      <c r="P1171" s="47" t="n"/>
      <c r="Q1171" s="47" t="n"/>
      <c r="R1171" s="47" t="n"/>
      <c r="S1171" s="47" t="n"/>
      <c r="T1171" s="47" t="n"/>
      <c r="U1171" s="53" t="n"/>
      <c r="V1171" s="53" t="n"/>
      <c r="W1171" s="47" t="n"/>
      <c r="X1171" s="47" t="n"/>
      <c r="Y1171" s="47" t="n"/>
      <c r="Z1171" s="47" t="n"/>
      <c r="AA1171" s="47" t="n"/>
      <c r="AB1171" s="47" t="n"/>
      <c r="AC1171" s="47" t="n"/>
      <c r="AD1171" s="47" t="n"/>
      <c r="AE1171" s="47" t="n"/>
      <c r="AF1171" s="20">
        <f>IF(A1171="","",YEAR(EDATE(A1171,-3)))</f>
        <v/>
      </c>
      <c r="AG1171" s="20">
        <f>IF(OR(B1171="",'経歴簿'!$C$4=""),"",IF(B1171&amp;""='経歴簿'!$C$4&amp;"",MAX($AG$4:AG1170)+1,""))</f>
        <v/>
      </c>
      <c r="AH1171" s="20">
        <f>IF(A1171="",0,IF(AND(OR('CSV抽出'!$C$4="",A1171&gt;='CSV抽出'!$C$4),OR('CSV抽出'!$C$5="",A1171&lt;='CSV抽出'!$C$5),OR('CSV抽出'!$C$6="すべて",'CSV抽出'!$C$6="",D1171='CSV抽出'!$C$6),OR('CSV抽出'!$C$7="",B1171&amp;""='CSV抽出'!$C$7&amp;"")),1,0))</f>
        <v/>
      </c>
      <c r="AI1171" s="20">
        <f>IF(AH1171=1,SUM($AH$5:AH1171),"")</f>
        <v/>
      </c>
      <c r="AJ1171" s="20">
        <f>IF(OR(S1171="",'報告書'!$C$4=""),"",IF(S1171&amp;""='報告書'!$C$4&amp;"",COUNTIF($S$5:S1171,'報告書'!$C$4),""))</f>
        <v/>
      </c>
      <c r="AK1171" s="20" t="n"/>
      <c r="AL1171" s="47" t="n"/>
      <c r="AM1171" s="47" t="n"/>
      <c r="AN1171" s="53" t="n"/>
      <c r="AO1171" s="47" t="n"/>
      <c r="AP1171" s="47" t="n"/>
      <c r="AQ1171" s="47" t="n"/>
      <c r="AR1171" s="47" t="n"/>
      <c r="AS1171" s="47" t="n"/>
      <c r="AT1171" s="47" t="n"/>
      <c r="AU1171" s="47" t="n"/>
      <c r="AV1171" s="47" t="n"/>
      <c r="AW1171" s="52" t="n"/>
    </row>
    <row r="1172">
      <c r="A1172" s="48" t="n"/>
      <c r="B1172" s="52" t="n"/>
      <c r="C1172" s="47">
        <f>IF(B1172="","",IFERROR(INDEX('隊員マスタ'!$B$5:$B$204,MATCH(B1172&amp;"",'隊員マスタ'!$F$5:$F$204,0)),IF(AK1172="","番号なし",AK1172)))</f>
        <v/>
      </c>
      <c r="D1172" s="47" t="n"/>
      <c r="E1172" s="47" t="n"/>
      <c r="F1172" s="47" t="n"/>
      <c r="G1172" s="47" t="n"/>
      <c r="H1172" s="47" t="n"/>
      <c r="I1172" s="47" t="n"/>
      <c r="J1172" s="47" t="n"/>
      <c r="K1172" s="47" t="n"/>
      <c r="L1172" s="47" t="n"/>
      <c r="M1172" s="47" t="n"/>
      <c r="N1172" s="47" t="n"/>
      <c r="O1172" s="47" t="n"/>
      <c r="P1172" s="47" t="n"/>
      <c r="Q1172" s="47" t="n"/>
      <c r="R1172" s="47" t="n"/>
      <c r="S1172" s="47" t="n"/>
      <c r="T1172" s="47" t="n"/>
      <c r="U1172" s="53" t="n"/>
      <c r="V1172" s="53" t="n"/>
      <c r="W1172" s="47" t="n"/>
      <c r="X1172" s="47" t="n"/>
      <c r="Y1172" s="47" t="n"/>
      <c r="Z1172" s="47" t="n"/>
      <c r="AA1172" s="47" t="n"/>
      <c r="AB1172" s="47" t="n"/>
      <c r="AC1172" s="47" t="n"/>
      <c r="AD1172" s="47" t="n"/>
      <c r="AE1172" s="47" t="n"/>
      <c r="AF1172" s="20">
        <f>IF(A1172="","",YEAR(EDATE(A1172,-3)))</f>
        <v/>
      </c>
      <c r="AG1172" s="20">
        <f>IF(OR(B1172="",'経歴簿'!$C$4=""),"",IF(B1172&amp;""='経歴簿'!$C$4&amp;"",MAX($AG$4:AG1171)+1,""))</f>
        <v/>
      </c>
      <c r="AH1172" s="20">
        <f>IF(A1172="",0,IF(AND(OR('CSV抽出'!$C$4="",A1172&gt;='CSV抽出'!$C$4),OR('CSV抽出'!$C$5="",A1172&lt;='CSV抽出'!$C$5),OR('CSV抽出'!$C$6="すべて",'CSV抽出'!$C$6="",D1172='CSV抽出'!$C$6),OR('CSV抽出'!$C$7="",B1172&amp;""='CSV抽出'!$C$7&amp;"")),1,0))</f>
        <v/>
      </c>
      <c r="AI1172" s="20">
        <f>IF(AH1172=1,SUM($AH$5:AH1172),"")</f>
        <v/>
      </c>
      <c r="AJ1172" s="20">
        <f>IF(OR(S1172="",'報告書'!$C$4=""),"",IF(S1172&amp;""='報告書'!$C$4&amp;"",COUNTIF($S$5:S1172,'報告書'!$C$4),""))</f>
        <v/>
      </c>
      <c r="AK1172" s="20" t="n"/>
      <c r="AL1172" s="47" t="n"/>
      <c r="AM1172" s="47" t="n"/>
      <c r="AN1172" s="53" t="n"/>
      <c r="AO1172" s="47" t="n"/>
      <c r="AP1172" s="47" t="n"/>
      <c r="AQ1172" s="47" t="n"/>
      <c r="AR1172" s="47" t="n"/>
      <c r="AS1172" s="47" t="n"/>
      <c r="AT1172" s="47" t="n"/>
      <c r="AU1172" s="47" t="n"/>
      <c r="AV1172" s="47" t="n"/>
      <c r="AW1172" s="52" t="n"/>
    </row>
    <row r="1173">
      <c r="A1173" s="48" t="n"/>
      <c r="B1173" s="52" t="n"/>
      <c r="C1173" s="47">
        <f>IF(B1173="","",IFERROR(INDEX('隊員マスタ'!$B$5:$B$204,MATCH(B1173&amp;"",'隊員マスタ'!$F$5:$F$204,0)),IF(AK1173="","番号なし",AK1173)))</f>
        <v/>
      </c>
      <c r="D1173" s="47" t="n"/>
      <c r="E1173" s="47" t="n"/>
      <c r="F1173" s="47" t="n"/>
      <c r="G1173" s="47" t="n"/>
      <c r="H1173" s="47" t="n"/>
      <c r="I1173" s="47" t="n"/>
      <c r="J1173" s="47" t="n"/>
      <c r="K1173" s="47" t="n"/>
      <c r="L1173" s="47" t="n"/>
      <c r="M1173" s="47" t="n"/>
      <c r="N1173" s="47" t="n"/>
      <c r="O1173" s="47" t="n"/>
      <c r="P1173" s="47" t="n"/>
      <c r="Q1173" s="47" t="n"/>
      <c r="R1173" s="47" t="n"/>
      <c r="S1173" s="47" t="n"/>
      <c r="T1173" s="47" t="n"/>
      <c r="U1173" s="53" t="n"/>
      <c r="V1173" s="53" t="n"/>
      <c r="W1173" s="47" t="n"/>
      <c r="X1173" s="47" t="n"/>
      <c r="Y1173" s="47" t="n"/>
      <c r="Z1173" s="47" t="n"/>
      <c r="AA1173" s="47" t="n"/>
      <c r="AB1173" s="47" t="n"/>
      <c r="AC1173" s="47" t="n"/>
      <c r="AD1173" s="47" t="n"/>
      <c r="AE1173" s="47" t="n"/>
      <c r="AF1173" s="20">
        <f>IF(A1173="","",YEAR(EDATE(A1173,-3)))</f>
        <v/>
      </c>
      <c r="AG1173" s="20">
        <f>IF(OR(B1173="",'経歴簿'!$C$4=""),"",IF(B1173&amp;""='経歴簿'!$C$4&amp;"",MAX($AG$4:AG1172)+1,""))</f>
        <v/>
      </c>
      <c r="AH1173" s="20">
        <f>IF(A1173="",0,IF(AND(OR('CSV抽出'!$C$4="",A1173&gt;='CSV抽出'!$C$4),OR('CSV抽出'!$C$5="",A1173&lt;='CSV抽出'!$C$5),OR('CSV抽出'!$C$6="すべて",'CSV抽出'!$C$6="",D1173='CSV抽出'!$C$6),OR('CSV抽出'!$C$7="",B1173&amp;""='CSV抽出'!$C$7&amp;"")),1,0))</f>
        <v/>
      </c>
      <c r="AI1173" s="20">
        <f>IF(AH1173=1,SUM($AH$5:AH1173),"")</f>
        <v/>
      </c>
      <c r="AJ1173" s="20">
        <f>IF(OR(S1173="",'報告書'!$C$4=""),"",IF(S1173&amp;""='報告書'!$C$4&amp;"",COUNTIF($S$5:S1173,'報告書'!$C$4),""))</f>
        <v/>
      </c>
      <c r="AK1173" s="20" t="n"/>
      <c r="AL1173" s="47" t="n"/>
      <c r="AM1173" s="47" t="n"/>
      <c r="AN1173" s="53" t="n"/>
      <c r="AO1173" s="47" t="n"/>
      <c r="AP1173" s="47" t="n"/>
      <c r="AQ1173" s="47" t="n"/>
      <c r="AR1173" s="47" t="n"/>
      <c r="AS1173" s="47" t="n"/>
      <c r="AT1173" s="47" t="n"/>
      <c r="AU1173" s="47" t="n"/>
      <c r="AV1173" s="47" t="n"/>
      <c r="AW1173" s="52" t="n"/>
    </row>
    <row r="1174">
      <c r="A1174" s="48" t="n"/>
      <c r="B1174" s="52" t="n"/>
      <c r="C1174" s="47">
        <f>IF(B1174="","",IFERROR(INDEX('隊員マスタ'!$B$5:$B$204,MATCH(B1174&amp;"",'隊員マスタ'!$F$5:$F$204,0)),IF(AK1174="","番号なし",AK1174)))</f>
        <v/>
      </c>
      <c r="D1174" s="47" t="n"/>
      <c r="E1174" s="47" t="n"/>
      <c r="F1174" s="47" t="n"/>
      <c r="G1174" s="47" t="n"/>
      <c r="H1174" s="47" t="n"/>
      <c r="I1174" s="47" t="n"/>
      <c r="J1174" s="47" t="n"/>
      <c r="K1174" s="47" t="n"/>
      <c r="L1174" s="47" t="n"/>
      <c r="M1174" s="47" t="n"/>
      <c r="N1174" s="47" t="n"/>
      <c r="O1174" s="47" t="n"/>
      <c r="P1174" s="47" t="n"/>
      <c r="Q1174" s="47" t="n"/>
      <c r="R1174" s="47" t="n"/>
      <c r="S1174" s="47" t="n"/>
      <c r="T1174" s="47" t="n"/>
      <c r="U1174" s="53" t="n"/>
      <c r="V1174" s="53" t="n"/>
      <c r="W1174" s="47" t="n"/>
      <c r="X1174" s="47" t="n"/>
      <c r="Y1174" s="47" t="n"/>
      <c r="Z1174" s="47" t="n"/>
      <c r="AA1174" s="47" t="n"/>
      <c r="AB1174" s="47" t="n"/>
      <c r="AC1174" s="47" t="n"/>
      <c r="AD1174" s="47" t="n"/>
      <c r="AE1174" s="47" t="n"/>
      <c r="AF1174" s="20">
        <f>IF(A1174="","",YEAR(EDATE(A1174,-3)))</f>
        <v/>
      </c>
      <c r="AG1174" s="20">
        <f>IF(OR(B1174="",'経歴簿'!$C$4=""),"",IF(B1174&amp;""='経歴簿'!$C$4&amp;"",MAX($AG$4:AG1173)+1,""))</f>
        <v/>
      </c>
      <c r="AH1174" s="20">
        <f>IF(A1174="",0,IF(AND(OR('CSV抽出'!$C$4="",A1174&gt;='CSV抽出'!$C$4),OR('CSV抽出'!$C$5="",A1174&lt;='CSV抽出'!$C$5),OR('CSV抽出'!$C$6="すべて",'CSV抽出'!$C$6="",D1174='CSV抽出'!$C$6),OR('CSV抽出'!$C$7="",B1174&amp;""='CSV抽出'!$C$7&amp;"")),1,0))</f>
        <v/>
      </c>
      <c r="AI1174" s="20">
        <f>IF(AH1174=1,SUM($AH$5:AH1174),"")</f>
        <v/>
      </c>
      <c r="AJ1174" s="20">
        <f>IF(OR(S1174="",'報告書'!$C$4=""),"",IF(S1174&amp;""='報告書'!$C$4&amp;"",COUNTIF($S$5:S1174,'報告書'!$C$4),""))</f>
        <v/>
      </c>
      <c r="AK1174" s="20" t="n"/>
      <c r="AL1174" s="47" t="n"/>
      <c r="AM1174" s="47" t="n"/>
      <c r="AN1174" s="53" t="n"/>
      <c r="AO1174" s="47" t="n"/>
      <c r="AP1174" s="47" t="n"/>
      <c r="AQ1174" s="47" t="n"/>
      <c r="AR1174" s="47" t="n"/>
      <c r="AS1174" s="47" t="n"/>
      <c r="AT1174" s="47" t="n"/>
      <c r="AU1174" s="47" t="n"/>
      <c r="AV1174" s="47" t="n"/>
      <c r="AW1174" s="52" t="n"/>
    </row>
    <row r="1175">
      <c r="A1175" s="48" t="n"/>
      <c r="B1175" s="52" t="n"/>
      <c r="C1175" s="47">
        <f>IF(B1175="","",IFERROR(INDEX('隊員マスタ'!$B$5:$B$204,MATCH(B1175&amp;"",'隊員マスタ'!$F$5:$F$204,0)),IF(AK1175="","番号なし",AK1175)))</f>
        <v/>
      </c>
      <c r="D1175" s="47" t="n"/>
      <c r="E1175" s="47" t="n"/>
      <c r="F1175" s="47" t="n"/>
      <c r="G1175" s="47" t="n"/>
      <c r="H1175" s="47" t="n"/>
      <c r="I1175" s="47" t="n"/>
      <c r="J1175" s="47" t="n"/>
      <c r="K1175" s="47" t="n"/>
      <c r="L1175" s="47" t="n"/>
      <c r="M1175" s="47" t="n"/>
      <c r="N1175" s="47" t="n"/>
      <c r="O1175" s="47" t="n"/>
      <c r="P1175" s="47" t="n"/>
      <c r="Q1175" s="47" t="n"/>
      <c r="R1175" s="47" t="n"/>
      <c r="S1175" s="47" t="n"/>
      <c r="T1175" s="47" t="n"/>
      <c r="U1175" s="53" t="n"/>
      <c r="V1175" s="53" t="n"/>
      <c r="W1175" s="47" t="n"/>
      <c r="X1175" s="47" t="n"/>
      <c r="Y1175" s="47" t="n"/>
      <c r="Z1175" s="47" t="n"/>
      <c r="AA1175" s="47" t="n"/>
      <c r="AB1175" s="47" t="n"/>
      <c r="AC1175" s="47" t="n"/>
      <c r="AD1175" s="47" t="n"/>
      <c r="AE1175" s="47" t="n"/>
      <c r="AF1175" s="20">
        <f>IF(A1175="","",YEAR(EDATE(A1175,-3)))</f>
        <v/>
      </c>
      <c r="AG1175" s="20">
        <f>IF(OR(B1175="",'経歴簿'!$C$4=""),"",IF(B1175&amp;""='経歴簿'!$C$4&amp;"",MAX($AG$4:AG1174)+1,""))</f>
        <v/>
      </c>
      <c r="AH1175" s="20">
        <f>IF(A1175="",0,IF(AND(OR('CSV抽出'!$C$4="",A1175&gt;='CSV抽出'!$C$4),OR('CSV抽出'!$C$5="",A1175&lt;='CSV抽出'!$C$5),OR('CSV抽出'!$C$6="すべて",'CSV抽出'!$C$6="",D1175='CSV抽出'!$C$6),OR('CSV抽出'!$C$7="",B1175&amp;""='CSV抽出'!$C$7&amp;"")),1,0))</f>
        <v/>
      </c>
      <c r="AI1175" s="20">
        <f>IF(AH1175=1,SUM($AH$5:AH1175),"")</f>
        <v/>
      </c>
      <c r="AJ1175" s="20">
        <f>IF(OR(S1175="",'報告書'!$C$4=""),"",IF(S1175&amp;""='報告書'!$C$4&amp;"",COUNTIF($S$5:S1175,'報告書'!$C$4),""))</f>
        <v/>
      </c>
      <c r="AK1175" s="20" t="n"/>
      <c r="AL1175" s="47" t="n"/>
      <c r="AM1175" s="47" t="n"/>
      <c r="AN1175" s="53" t="n"/>
      <c r="AO1175" s="47" t="n"/>
      <c r="AP1175" s="47" t="n"/>
      <c r="AQ1175" s="47" t="n"/>
      <c r="AR1175" s="47" t="n"/>
      <c r="AS1175" s="47" t="n"/>
      <c r="AT1175" s="47" t="n"/>
      <c r="AU1175" s="47" t="n"/>
      <c r="AV1175" s="47" t="n"/>
      <c r="AW1175" s="52" t="n"/>
    </row>
    <row r="1176">
      <c r="A1176" s="48" t="n"/>
      <c r="B1176" s="52" t="n"/>
      <c r="C1176" s="47">
        <f>IF(B1176="","",IFERROR(INDEX('隊員マスタ'!$B$5:$B$204,MATCH(B1176&amp;"",'隊員マスタ'!$F$5:$F$204,0)),IF(AK1176="","番号なし",AK1176)))</f>
        <v/>
      </c>
      <c r="D1176" s="47" t="n"/>
      <c r="E1176" s="47" t="n"/>
      <c r="F1176" s="47" t="n"/>
      <c r="G1176" s="47" t="n"/>
      <c r="H1176" s="47" t="n"/>
      <c r="I1176" s="47" t="n"/>
      <c r="J1176" s="47" t="n"/>
      <c r="K1176" s="47" t="n"/>
      <c r="L1176" s="47" t="n"/>
      <c r="M1176" s="47" t="n"/>
      <c r="N1176" s="47" t="n"/>
      <c r="O1176" s="47" t="n"/>
      <c r="P1176" s="47" t="n"/>
      <c r="Q1176" s="47" t="n"/>
      <c r="R1176" s="47" t="n"/>
      <c r="S1176" s="47" t="n"/>
      <c r="T1176" s="47" t="n"/>
      <c r="U1176" s="53" t="n"/>
      <c r="V1176" s="53" t="n"/>
      <c r="W1176" s="47" t="n"/>
      <c r="X1176" s="47" t="n"/>
      <c r="Y1176" s="47" t="n"/>
      <c r="Z1176" s="47" t="n"/>
      <c r="AA1176" s="47" t="n"/>
      <c r="AB1176" s="47" t="n"/>
      <c r="AC1176" s="47" t="n"/>
      <c r="AD1176" s="47" t="n"/>
      <c r="AE1176" s="47" t="n"/>
      <c r="AF1176" s="20">
        <f>IF(A1176="","",YEAR(EDATE(A1176,-3)))</f>
        <v/>
      </c>
      <c r="AG1176" s="20">
        <f>IF(OR(B1176="",'経歴簿'!$C$4=""),"",IF(B1176&amp;""='経歴簿'!$C$4&amp;"",MAX($AG$4:AG1175)+1,""))</f>
        <v/>
      </c>
      <c r="AH1176" s="20">
        <f>IF(A1176="",0,IF(AND(OR('CSV抽出'!$C$4="",A1176&gt;='CSV抽出'!$C$4),OR('CSV抽出'!$C$5="",A1176&lt;='CSV抽出'!$C$5),OR('CSV抽出'!$C$6="すべて",'CSV抽出'!$C$6="",D1176='CSV抽出'!$C$6),OR('CSV抽出'!$C$7="",B1176&amp;""='CSV抽出'!$C$7&amp;"")),1,0))</f>
        <v/>
      </c>
      <c r="AI1176" s="20">
        <f>IF(AH1176=1,SUM($AH$5:AH1176),"")</f>
        <v/>
      </c>
      <c r="AJ1176" s="20">
        <f>IF(OR(S1176="",'報告書'!$C$4=""),"",IF(S1176&amp;""='報告書'!$C$4&amp;"",COUNTIF($S$5:S1176,'報告書'!$C$4),""))</f>
        <v/>
      </c>
      <c r="AK1176" s="20" t="n"/>
      <c r="AL1176" s="47" t="n"/>
      <c r="AM1176" s="47" t="n"/>
      <c r="AN1176" s="53" t="n"/>
      <c r="AO1176" s="47" t="n"/>
      <c r="AP1176" s="47" t="n"/>
      <c r="AQ1176" s="47" t="n"/>
      <c r="AR1176" s="47" t="n"/>
      <c r="AS1176" s="47" t="n"/>
      <c r="AT1176" s="47" t="n"/>
      <c r="AU1176" s="47" t="n"/>
      <c r="AV1176" s="47" t="n"/>
      <c r="AW1176" s="52" t="n"/>
    </row>
    <row r="1177">
      <c r="A1177" s="48" t="n"/>
      <c r="B1177" s="52" t="n"/>
      <c r="C1177" s="47">
        <f>IF(B1177="","",IFERROR(INDEX('隊員マスタ'!$B$5:$B$204,MATCH(B1177&amp;"",'隊員マスタ'!$F$5:$F$204,0)),IF(AK1177="","番号なし",AK1177)))</f>
        <v/>
      </c>
      <c r="D1177" s="47" t="n"/>
      <c r="E1177" s="47" t="n"/>
      <c r="F1177" s="47" t="n"/>
      <c r="G1177" s="47" t="n"/>
      <c r="H1177" s="47" t="n"/>
      <c r="I1177" s="47" t="n"/>
      <c r="J1177" s="47" t="n"/>
      <c r="K1177" s="47" t="n"/>
      <c r="L1177" s="47" t="n"/>
      <c r="M1177" s="47" t="n"/>
      <c r="N1177" s="47" t="n"/>
      <c r="O1177" s="47" t="n"/>
      <c r="P1177" s="47" t="n"/>
      <c r="Q1177" s="47" t="n"/>
      <c r="R1177" s="47" t="n"/>
      <c r="S1177" s="47" t="n"/>
      <c r="T1177" s="47" t="n"/>
      <c r="U1177" s="53" t="n"/>
      <c r="V1177" s="53" t="n"/>
      <c r="W1177" s="47" t="n"/>
      <c r="X1177" s="47" t="n"/>
      <c r="Y1177" s="47" t="n"/>
      <c r="Z1177" s="47" t="n"/>
      <c r="AA1177" s="47" t="n"/>
      <c r="AB1177" s="47" t="n"/>
      <c r="AC1177" s="47" t="n"/>
      <c r="AD1177" s="47" t="n"/>
      <c r="AE1177" s="47" t="n"/>
      <c r="AF1177" s="20">
        <f>IF(A1177="","",YEAR(EDATE(A1177,-3)))</f>
        <v/>
      </c>
      <c r="AG1177" s="20">
        <f>IF(OR(B1177="",'経歴簿'!$C$4=""),"",IF(B1177&amp;""='経歴簿'!$C$4&amp;"",MAX($AG$4:AG1176)+1,""))</f>
        <v/>
      </c>
      <c r="AH1177" s="20">
        <f>IF(A1177="",0,IF(AND(OR('CSV抽出'!$C$4="",A1177&gt;='CSV抽出'!$C$4),OR('CSV抽出'!$C$5="",A1177&lt;='CSV抽出'!$C$5),OR('CSV抽出'!$C$6="すべて",'CSV抽出'!$C$6="",D1177='CSV抽出'!$C$6),OR('CSV抽出'!$C$7="",B1177&amp;""='CSV抽出'!$C$7&amp;"")),1,0))</f>
        <v/>
      </c>
      <c r="AI1177" s="20">
        <f>IF(AH1177=1,SUM($AH$5:AH1177),"")</f>
        <v/>
      </c>
      <c r="AJ1177" s="20">
        <f>IF(OR(S1177="",'報告書'!$C$4=""),"",IF(S1177&amp;""='報告書'!$C$4&amp;"",COUNTIF($S$5:S1177,'報告書'!$C$4),""))</f>
        <v/>
      </c>
      <c r="AK1177" s="20" t="n"/>
      <c r="AL1177" s="47" t="n"/>
      <c r="AM1177" s="47" t="n"/>
      <c r="AN1177" s="53" t="n"/>
      <c r="AO1177" s="47" t="n"/>
      <c r="AP1177" s="47" t="n"/>
      <c r="AQ1177" s="47" t="n"/>
      <c r="AR1177" s="47" t="n"/>
      <c r="AS1177" s="47" t="n"/>
      <c r="AT1177" s="47" t="n"/>
      <c r="AU1177" s="47" t="n"/>
      <c r="AV1177" s="47" t="n"/>
      <c r="AW1177" s="52" t="n"/>
    </row>
    <row r="1178">
      <c r="A1178" s="48" t="n"/>
      <c r="B1178" s="52" t="n"/>
      <c r="C1178" s="47">
        <f>IF(B1178="","",IFERROR(INDEX('隊員マスタ'!$B$5:$B$204,MATCH(B1178&amp;"",'隊員マスタ'!$F$5:$F$204,0)),IF(AK1178="","番号なし",AK1178)))</f>
        <v/>
      </c>
      <c r="D1178" s="47" t="n"/>
      <c r="E1178" s="47" t="n"/>
      <c r="F1178" s="47" t="n"/>
      <c r="G1178" s="47" t="n"/>
      <c r="H1178" s="47" t="n"/>
      <c r="I1178" s="47" t="n"/>
      <c r="J1178" s="47" t="n"/>
      <c r="K1178" s="47" t="n"/>
      <c r="L1178" s="47" t="n"/>
      <c r="M1178" s="47" t="n"/>
      <c r="N1178" s="47" t="n"/>
      <c r="O1178" s="47" t="n"/>
      <c r="P1178" s="47" t="n"/>
      <c r="Q1178" s="47" t="n"/>
      <c r="R1178" s="47" t="n"/>
      <c r="S1178" s="47" t="n"/>
      <c r="T1178" s="47" t="n"/>
      <c r="U1178" s="53" t="n"/>
      <c r="V1178" s="53" t="n"/>
      <c r="W1178" s="47" t="n"/>
      <c r="X1178" s="47" t="n"/>
      <c r="Y1178" s="47" t="n"/>
      <c r="Z1178" s="47" t="n"/>
      <c r="AA1178" s="47" t="n"/>
      <c r="AB1178" s="47" t="n"/>
      <c r="AC1178" s="47" t="n"/>
      <c r="AD1178" s="47" t="n"/>
      <c r="AE1178" s="47" t="n"/>
      <c r="AF1178" s="20">
        <f>IF(A1178="","",YEAR(EDATE(A1178,-3)))</f>
        <v/>
      </c>
      <c r="AG1178" s="20">
        <f>IF(OR(B1178="",'経歴簿'!$C$4=""),"",IF(B1178&amp;""='経歴簿'!$C$4&amp;"",MAX($AG$4:AG1177)+1,""))</f>
        <v/>
      </c>
      <c r="AH1178" s="20">
        <f>IF(A1178="",0,IF(AND(OR('CSV抽出'!$C$4="",A1178&gt;='CSV抽出'!$C$4),OR('CSV抽出'!$C$5="",A1178&lt;='CSV抽出'!$C$5),OR('CSV抽出'!$C$6="すべて",'CSV抽出'!$C$6="",D1178='CSV抽出'!$C$6),OR('CSV抽出'!$C$7="",B1178&amp;""='CSV抽出'!$C$7&amp;"")),1,0))</f>
        <v/>
      </c>
      <c r="AI1178" s="20">
        <f>IF(AH1178=1,SUM($AH$5:AH1178),"")</f>
        <v/>
      </c>
      <c r="AJ1178" s="20">
        <f>IF(OR(S1178="",'報告書'!$C$4=""),"",IF(S1178&amp;""='報告書'!$C$4&amp;"",COUNTIF($S$5:S1178,'報告書'!$C$4),""))</f>
        <v/>
      </c>
      <c r="AK1178" s="20" t="n"/>
      <c r="AL1178" s="47" t="n"/>
      <c r="AM1178" s="47" t="n"/>
      <c r="AN1178" s="53" t="n"/>
      <c r="AO1178" s="47" t="n"/>
      <c r="AP1178" s="47" t="n"/>
      <c r="AQ1178" s="47" t="n"/>
      <c r="AR1178" s="47" t="n"/>
      <c r="AS1178" s="47" t="n"/>
      <c r="AT1178" s="47" t="n"/>
      <c r="AU1178" s="47" t="n"/>
      <c r="AV1178" s="47" t="n"/>
      <c r="AW1178" s="52" t="n"/>
    </row>
    <row r="1179">
      <c r="A1179" s="48" t="n"/>
      <c r="B1179" s="52" t="n"/>
      <c r="C1179" s="47">
        <f>IF(B1179="","",IFERROR(INDEX('隊員マスタ'!$B$5:$B$204,MATCH(B1179&amp;"",'隊員マスタ'!$F$5:$F$204,0)),IF(AK1179="","番号なし",AK1179)))</f>
        <v/>
      </c>
      <c r="D1179" s="47" t="n"/>
      <c r="E1179" s="47" t="n"/>
      <c r="F1179" s="47" t="n"/>
      <c r="G1179" s="47" t="n"/>
      <c r="H1179" s="47" t="n"/>
      <c r="I1179" s="47" t="n"/>
      <c r="J1179" s="47" t="n"/>
      <c r="K1179" s="47" t="n"/>
      <c r="L1179" s="47" t="n"/>
      <c r="M1179" s="47" t="n"/>
      <c r="N1179" s="47" t="n"/>
      <c r="O1179" s="47" t="n"/>
      <c r="P1179" s="47" t="n"/>
      <c r="Q1179" s="47" t="n"/>
      <c r="R1179" s="47" t="n"/>
      <c r="S1179" s="47" t="n"/>
      <c r="T1179" s="47" t="n"/>
      <c r="U1179" s="53" t="n"/>
      <c r="V1179" s="53" t="n"/>
      <c r="W1179" s="47" t="n"/>
      <c r="X1179" s="47" t="n"/>
      <c r="Y1179" s="47" t="n"/>
      <c r="Z1179" s="47" t="n"/>
      <c r="AA1179" s="47" t="n"/>
      <c r="AB1179" s="47" t="n"/>
      <c r="AC1179" s="47" t="n"/>
      <c r="AD1179" s="47" t="n"/>
      <c r="AE1179" s="47" t="n"/>
      <c r="AF1179" s="20">
        <f>IF(A1179="","",YEAR(EDATE(A1179,-3)))</f>
        <v/>
      </c>
      <c r="AG1179" s="20">
        <f>IF(OR(B1179="",'経歴簿'!$C$4=""),"",IF(B1179&amp;""='経歴簿'!$C$4&amp;"",MAX($AG$4:AG1178)+1,""))</f>
        <v/>
      </c>
      <c r="AH1179" s="20">
        <f>IF(A1179="",0,IF(AND(OR('CSV抽出'!$C$4="",A1179&gt;='CSV抽出'!$C$4),OR('CSV抽出'!$C$5="",A1179&lt;='CSV抽出'!$C$5),OR('CSV抽出'!$C$6="すべて",'CSV抽出'!$C$6="",D1179='CSV抽出'!$C$6),OR('CSV抽出'!$C$7="",B1179&amp;""='CSV抽出'!$C$7&amp;"")),1,0))</f>
        <v/>
      </c>
      <c r="AI1179" s="20">
        <f>IF(AH1179=1,SUM($AH$5:AH1179),"")</f>
        <v/>
      </c>
      <c r="AJ1179" s="20">
        <f>IF(OR(S1179="",'報告書'!$C$4=""),"",IF(S1179&amp;""='報告書'!$C$4&amp;"",COUNTIF($S$5:S1179,'報告書'!$C$4),""))</f>
        <v/>
      </c>
      <c r="AK1179" s="20" t="n"/>
      <c r="AL1179" s="47" t="n"/>
      <c r="AM1179" s="47" t="n"/>
      <c r="AN1179" s="53" t="n"/>
      <c r="AO1179" s="47" t="n"/>
      <c r="AP1179" s="47" t="n"/>
      <c r="AQ1179" s="47" t="n"/>
      <c r="AR1179" s="47" t="n"/>
      <c r="AS1179" s="47" t="n"/>
      <c r="AT1179" s="47" t="n"/>
      <c r="AU1179" s="47" t="n"/>
      <c r="AV1179" s="47" t="n"/>
      <c r="AW1179" s="52" t="n"/>
    </row>
    <row r="1180">
      <c r="A1180" s="48" t="n"/>
      <c r="B1180" s="52" t="n"/>
      <c r="C1180" s="47">
        <f>IF(B1180="","",IFERROR(INDEX('隊員マスタ'!$B$5:$B$204,MATCH(B1180&amp;"",'隊員マスタ'!$F$5:$F$204,0)),IF(AK1180="","番号なし",AK1180)))</f>
        <v/>
      </c>
      <c r="D1180" s="47" t="n"/>
      <c r="E1180" s="47" t="n"/>
      <c r="F1180" s="47" t="n"/>
      <c r="G1180" s="47" t="n"/>
      <c r="H1180" s="47" t="n"/>
      <c r="I1180" s="47" t="n"/>
      <c r="J1180" s="47" t="n"/>
      <c r="K1180" s="47" t="n"/>
      <c r="L1180" s="47" t="n"/>
      <c r="M1180" s="47" t="n"/>
      <c r="N1180" s="47" t="n"/>
      <c r="O1180" s="47" t="n"/>
      <c r="P1180" s="47" t="n"/>
      <c r="Q1180" s="47" t="n"/>
      <c r="R1180" s="47" t="n"/>
      <c r="S1180" s="47" t="n"/>
      <c r="T1180" s="47" t="n"/>
      <c r="U1180" s="53" t="n"/>
      <c r="V1180" s="53" t="n"/>
      <c r="W1180" s="47" t="n"/>
      <c r="X1180" s="47" t="n"/>
      <c r="Y1180" s="47" t="n"/>
      <c r="Z1180" s="47" t="n"/>
      <c r="AA1180" s="47" t="n"/>
      <c r="AB1180" s="47" t="n"/>
      <c r="AC1180" s="47" t="n"/>
      <c r="AD1180" s="47" t="n"/>
      <c r="AE1180" s="47" t="n"/>
      <c r="AF1180" s="20">
        <f>IF(A1180="","",YEAR(EDATE(A1180,-3)))</f>
        <v/>
      </c>
      <c r="AG1180" s="20">
        <f>IF(OR(B1180="",'経歴簿'!$C$4=""),"",IF(B1180&amp;""='経歴簿'!$C$4&amp;"",MAX($AG$4:AG1179)+1,""))</f>
        <v/>
      </c>
      <c r="AH1180" s="20">
        <f>IF(A1180="",0,IF(AND(OR('CSV抽出'!$C$4="",A1180&gt;='CSV抽出'!$C$4),OR('CSV抽出'!$C$5="",A1180&lt;='CSV抽出'!$C$5),OR('CSV抽出'!$C$6="すべて",'CSV抽出'!$C$6="",D1180='CSV抽出'!$C$6),OR('CSV抽出'!$C$7="",B1180&amp;""='CSV抽出'!$C$7&amp;"")),1,0))</f>
        <v/>
      </c>
      <c r="AI1180" s="20">
        <f>IF(AH1180=1,SUM($AH$5:AH1180),"")</f>
        <v/>
      </c>
      <c r="AJ1180" s="20">
        <f>IF(OR(S1180="",'報告書'!$C$4=""),"",IF(S1180&amp;""='報告書'!$C$4&amp;"",COUNTIF($S$5:S1180,'報告書'!$C$4),""))</f>
        <v/>
      </c>
      <c r="AK1180" s="20" t="n"/>
      <c r="AL1180" s="47" t="n"/>
      <c r="AM1180" s="47" t="n"/>
      <c r="AN1180" s="53" t="n"/>
      <c r="AO1180" s="47" t="n"/>
      <c r="AP1180" s="47" t="n"/>
      <c r="AQ1180" s="47" t="n"/>
      <c r="AR1180" s="47" t="n"/>
      <c r="AS1180" s="47" t="n"/>
      <c r="AT1180" s="47" t="n"/>
      <c r="AU1180" s="47" t="n"/>
      <c r="AV1180" s="47" t="n"/>
      <c r="AW1180" s="52" t="n"/>
    </row>
    <row r="1181">
      <c r="A1181" s="48" t="n"/>
      <c r="B1181" s="52" t="n"/>
      <c r="C1181" s="47">
        <f>IF(B1181="","",IFERROR(INDEX('隊員マスタ'!$B$5:$B$204,MATCH(B1181&amp;"",'隊員マスタ'!$F$5:$F$204,0)),IF(AK1181="","番号なし",AK1181)))</f>
        <v/>
      </c>
      <c r="D1181" s="47" t="n"/>
      <c r="E1181" s="47" t="n"/>
      <c r="F1181" s="47" t="n"/>
      <c r="G1181" s="47" t="n"/>
      <c r="H1181" s="47" t="n"/>
      <c r="I1181" s="47" t="n"/>
      <c r="J1181" s="47" t="n"/>
      <c r="K1181" s="47" t="n"/>
      <c r="L1181" s="47" t="n"/>
      <c r="M1181" s="47" t="n"/>
      <c r="N1181" s="47" t="n"/>
      <c r="O1181" s="47" t="n"/>
      <c r="P1181" s="47" t="n"/>
      <c r="Q1181" s="47" t="n"/>
      <c r="R1181" s="47" t="n"/>
      <c r="S1181" s="47" t="n"/>
      <c r="T1181" s="47" t="n"/>
      <c r="U1181" s="53" t="n"/>
      <c r="V1181" s="53" t="n"/>
      <c r="W1181" s="47" t="n"/>
      <c r="X1181" s="47" t="n"/>
      <c r="Y1181" s="47" t="n"/>
      <c r="Z1181" s="47" t="n"/>
      <c r="AA1181" s="47" t="n"/>
      <c r="AB1181" s="47" t="n"/>
      <c r="AC1181" s="47" t="n"/>
      <c r="AD1181" s="47" t="n"/>
      <c r="AE1181" s="47" t="n"/>
      <c r="AF1181" s="20">
        <f>IF(A1181="","",YEAR(EDATE(A1181,-3)))</f>
        <v/>
      </c>
      <c r="AG1181" s="20">
        <f>IF(OR(B1181="",'経歴簿'!$C$4=""),"",IF(B1181&amp;""='経歴簿'!$C$4&amp;"",MAX($AG$4:AG1180)+1,""))</f>
        <v/>
      </c>
      <c r="AH1181" s="20">
        <f>IF(A1181="",0,IF(AND(OR('CSV抽出'!$C$4="",A1181&gt;='CSV抽出'!$C$4),OR('CSV抽出'!$C$5="",A1181&lt;='CSV抽出'!$C$5),OR('CSV抽出'!$C$6="すべて",'CSV抽出'!$C$6="",D1181='CSV抽出'!$C$6),OR('CSV抽出'!$C$7="",B1181&amp;""='CSV抽出'!$C$7&amp;"")),1,0))</f>
        <v/>
      </c>
      <c r="AI1181" s="20">
        <f>IF(AH1181=1,SUM($AH$5:AH1181),"")</f>
        <v/>
      </c>
      <c r="AJ1181" s="20">
        <f>IF(OR(S1181="",'報告書'!$C$4=""),"",IF(S1181&amp;""='報告書'!$C$4&amp;"",COUNTIF($S$5:S1181,'報告書'!$C$4),""))</f>
        <v/>
      </c>
      <c r="AK1181" s="20" t="n"/>
      <c r="AL1181" s="47" t="n"/>
      <c r="AM1181" s="47" t="n"/>
      <c r="AN1181" s="53" t="n"/>
      <c r="AO1181" s="47" t="n"/>
      <c r="AP1181" s="47" t="n"/>
      <c r="AQ1181" s="47" t="n"/>
      <c r="AR1181" s="47" t="n"/>
      <c r="AS1181" s="47" t="n"/>
      <c r="AT1181" s="47" t="n"/>
      <c r="AU1181" s="47" t="n"/>
      <c r="AV1181" s="47" t="n"/>
      <c r="AW1181" s="52" t="n"/>
    </row>
    <row r="1182">
      <c r="A1182" s="48" t="n"/>
      <c r="B1182" s="52" t="n"/>
      <c r="C1182" s="47">
        <f>IF(B1182="","",IFERROR(INDEX('隊員マスタ'!$B$5:$B$204,MATCH(B1182&amp;"",'隊員マスタ'!$F$5:$F$204,0)),IF(AK1182="","番号なし",AK1182)))</f>
        <v/>
      </c>
      <c r="D1182" s="47" t="n"/>
      <c r="E1182" s="47" t="n"/>
      <c r="F1182" s="47" t="n"/>
      <c r="G1182" s="47" t="n"/>
      <c r="H1182" s="47" t="n"/>
      <c r="I1182" s="47" t="n"/>
      <c r="J1182" s="47" t="n"/>
      <c r="K1182" s="47" t="n"/>
      <c r="L1182" s="47" t="n"/>
      <c r="M1182" s="47" t="n"/>
      <c r="N1182" s="47" t="n"/>
      <c r="O1182" s="47" t="n"/>
      <c r="P1182" s="47" t="n"/>
      <c r="Q1182" s="47" t="n"/>
      <c r="R1182" s="47" t="n"/>
      <c r="S1182" s="47" t="n"/>
      <c r="T1182" s="47" t="n"/>
      <c r="U1182" s="53" t="n"/>
      <c r="V1182" s="53" t="n"/>
      <c r="W1182" s="47" t="n"/>
      <c r="X1182" s="47" t="n"/>
      <c r="Y1182" s="47" t="n"/>
      <c r="Z1182" s="47" t="n"/>
      <c r="AA1182" s="47" t="n"/>
      <c r="AB1182" s="47" t="n"/>
      <c r="AC1182" s="47" t="n"/>
      <c r="AD1182" s="47" t="n"/>
      <c r="AE1182" s="47" t="n"/>
      <c r="AF1182" s="20">
        <f>IF(A1182="","",YEAR(EDATE(A1182,-3)))</f>
        <v/>
      </c>
      <c r="AG1182" s="20">
        <f>IF(OR(B1182="",'経歴簿'!$C$4=""),"",IF(B1182&amp;""='経歴簿'!$C$4&amp;"",MAX($AG$4:AG1181)+1,""))</f>
        <v/>
      </c>
      <c r="AH1182" s="20">
        <f>IF(A1182="",0,IF(AND(OR('CSV抽出'!$C$4="",A1182&gt;='CSV抽出'!$C$4),OR('CSV抽出'!$C$5="",A1182&lt;='CSV抽出'!$C$5),OR('CSV抽出'!$C$6="すべて",'CSV抽出'!$C$6="",D1182='CSV抽出'!$C$6),OR('CSV抽出'!$C$7="",B1182&amp;""='CSV抽出'!$C$7&amp;"")),1,0))</f>
        <v/>
      </c>
      <c r="AI1182" s="20">
        <f>IF(AH1182=1,SUM($AH$5:AH1182),"")</f>
        <v/>
      </c>
      <c r="AJ1182" s="20">
        <f>IF(OR(S1182="",'報告書'!$C$4=""),"",IF(S1182&amp;""='報告書'!$C$4&amp;"",COUNTIF($S$5:S1182,'報告書'!$C$4),""))</f>
        <v/>
      </c>
      <c r="AK1182" s="20" t="n"/>
      <c r="AL1182" s="47" t="n"/>
      <c r="AM1182" s="47" t="n"/>
      <c r="AN1182" s="53" t="n"/>
      <c r="AO1182" s="47" t="n"/>
      <c r="AP1182" s="47" t="n"/>
      <c r="AQ1182" s="47" t="n"/>
      <c r="AR1182" s="47" t="n"/>
      <c r="AS1182" s="47" t="n"/>
      <c r="AT1182" s="47" t="n"/>
      <c r="AU1182" s="47" t="n"/>
      <c r="AV1182" s="47" t="n"/>
      <c r="AW1182" s="52" t="n"/>
    </row>
    <row r="1183">
      <c r="A1183" s="48" t="n"/>
      <c r="B1183" s="52" t="n"/>
      <c r="C1183" s="47">
        <f>IF(B1183="","",IFERROR(INDEX('隊員マスタ'!$B$5:$B$204,MATCH(B1183&amp;"",'隊員マスタ'!$F$5:$F$204,0)),IF(AK1183="","番号なし",AK1183)))</f>
        <v/>
      </c>
      <c r="D1183" s="47" t="n"/>
      <c r="E1183" s="47" t="n"/>
      <c r="F1183" s="47" t="n"/>
      <c r="G1183" s="47" t="n"/>
      <c r="H1183" s="47" t="n"/>
      <c r="I1183" s="47" t="n"/>
      <c r="J1183" s="47" t="n"/>
      <c r="K1183" s="47" t="n"/>
      <c r="L1183" s="47" t="n"/>
      <c r="M1183" s="47" t="n"/>
      <c r="N1183" s="47" t="n"/>
      <c r="O1183" s="47" t="n"/>
      <c r="P1183" s="47" t="n"/>
      <c r="Q1183" s="47" t="n"/>
      <c r="R1183" s="47" t="n"/>
      <c r="S1183" s="47" t="n"/>
      <c r="T1183" s="47" t="n"/>
      <c r="U1183" s="53" t="n"/>
      <c r="V1183" s="53" t="n"/>
      <c r="W1183" s="47" t="n"/>
      <c r="X1183" s="47" t="n"/>
      <c r="Y1183" s="47" t="n"/>
      <c r="Z1183" s="47" t="n"/>
      <c r="AA1183" s="47" t="n"/>
      <c r="AB1183" s="47" t="n"/>
      <c r="AC1183" s="47" t="n"/>
      <c r="AD1183" s="47" t="n"/>
      <c r="AE1183" s="47" t="n"/>
      <c r="AF1183" s="20">
        <f>IF(A1183="","",YEAR(EDATE(A1183,-3)))</f>
        <v/>
      </c>
      <c r="AG1183" s="20">
        <f>IF(OR(B1183="",'経歴簿'!$C$4=""),"",IF(B1183&amp;""='経歴簿'!$C$4&amp;"",MAX($AG$4:AG1182)+1,""))</f>
        <v/>
      </c>
      <c r="AH1183" s="20">
        <f>IF(A1183="",0,IF(AND(OR('CSV抽出'!$C$4="",A1183&gt;='CSV抽出'!$C$4),OR('CSV抽出'!$C$5="",A1183&lt;='CSV抽出'!$C$5),OR('CSV抽出'!$C$6="すべて",'CSV抽出'!$C$6="",D1183='CSV抽出'!$C$6),OR('CSV抽出'!$C$7="",B1183&amp;""='CSV抽出'!$C$7&amp;"")),1,0))</f>
        <v/>
      </c>
      <c r="AI1183" s="20">
        <f>IF(AH1183=1,SUM($AH$5:AH1183),"")</f>
        <v/>
      </c>
      <c r="AJ1183" s="20">
        <f>IF(OR(S1183="",'報告書'!$C$4=""),"",IF(S1183&amp;""='報告書'!$C$4&amp;"",COUNTIF($S$5:S1183,'報告書'!$C$4),""))</f>
        <v/>
      </c>
      <c r="AK1183" s="20" t="n"/>
      <c r="AL1183" s="47" t="n"/>
      <c r="AM1183" s="47" t="n"/>
      <c r="AN1183" s="53" t="n"/>
      <c r="AO1183" s="47" t="n"/>
      <c r="AP1183" s="47" t="n"/>
      <c r="AQ1183" s="47" t="n"/>
      <c r="AR1183" s="47" t="n"/>
      <c r="AS1183" s="47" t="n"/>
      <c r="AT1183" s="47" t="n"/>
      <c r="AU1183" s="47" t="n"/>
      <c r="AV1183" s="47" t="n"/>
      <c r="AW1183" s="52" t="n"/>
    </row>
    <row r="1184">
      <c r="A1184" s="48" t="n"/>
      <c r="B1184" s="52" t="n"/>
      <c r="C1184" s="47">
        <f>IF(B1184="","",IFERROR(INDEX('隊員マスタ'!$B$5:$B$204,MATCH(B1184&amp;"",'隊員マスタ'!$F$5:$F$204,0)),IF(AK1184="","番号なし",AK1184)))</f>
        <v/>
      </c>
      <c r="D1184" s="47" t="n"/>
      <c r="E1184" s="47" t="n"/>
      <c r="F1184" s="47" t="n"/>
      <c r="G1184" s="47" t="n"/>
      <c r="H1184" s="47" t="n"/>
      <c r="I1184" s="47" t="n"/>
      <c r="J1184" s="47" t="n"/>
      <c r="K1184" s="47" t="n"/>
      <c r="L1184" s="47" t="n"/>
      <c r="M1184" s="47" t="n"/>
      <c r="N1184" s="47" t="n"/>
      <c r="O1184" s="47" t="n"/>
      <c r="P1184" s="47" t="n"/>
      <c r="Q1184" s="47" t="n"/>
      <c r="R1184" s="47" t="n"/>
      <c r="S1184" s="47" t="n"/>
      <c r="T1184" s="47" t="n"/>
      <c r="U1184" s="53" t="n"/>
      <c r="V1184" s="53" t="n"/>
      <c r="W1184" s="47" t="n"/>
      <c r="X1184" s="47" t="n"/>
      <c r="Y1184" s="47" t="n"/>
      <c r="Z1184" s="47" t="n"/>
      <c r="AA1184" s="47" t="n"/>
      <c r="AB1184" s="47" t="n"/>
      <c r="AC1184" s="47" t="n"/>
      <c r="AD1184" s="47" t="n"/>
      <c r="AE1184" s="47" t="n"/>
      <c r="AF1184" s="20">
        <f>IF(A1184="","",YEAR(EDATE(A1184,-3)))</f>
        <v/>
      </c>
      <c r="AG1184" s="20">
        <f>IF(OR(B1184="",'経歴簿'!$C$4=""),"",IF(B1184&amp;""='経歴簿'!$C$4&amp;"",MAX($AG$4:AG1183)+1,""))</f>
        <v/>
      </c>
      <c r="AH1184" s="20">
        <f>IF(A1184="",0,IF(AND(OR('CSV抽出'!$C$4="",A1184&gt;='CSV抽出'!$C$4),OR('CSV抽出'!$C$5="",A1184&lt;='CSV抽出'!$C$5),OR('CSV抽出'!$C$6="すべて",'CSV抽出'!$C$6="",D1184='CSV抽出'!$C$6),OR('CSV抽出'!$C$7="",B1184&amp;""='CSV抽出'!$C$7&amp;"")),1,0))</f>
        <v/>
      </c>
      <c r="AI1184" s="20">
        <f>IF(AH1184=1,SUM($AH$5:AH1184),"")</f>
        <v/>
      </c>
      <c r="AJ1184" s="20">
        <f>IF(OR(S1184="",'報告書'!$C$4=""),"",IF(S1184&amp;""='報告書'!$C$4&amp;"",COUNTIF($S$5:S1184,'報告書'!$C$4),""))</f>
        <v/>
      </c>
      <c r="AK1184" s="20" t="n"/>
      <c r="AL1184" s="47" t="n"/>
      <c r="AM1184" s="47" t="n"/>
      <c r="AN1184" s="53" t="n"/>
      <c r="AO1184" s="47" t="n"/>
      <c r="AP1184" s="47" t="n"/>
      <c r="AQ1184" s="47" t="n"/>
      <c r="AR1184" s="47" t="n"/>
      <c r="AS1184" s="47" t="n"/>
      <c r="AT1184" s="47" t="n"/>
      <c r="AU1184" s="47" t="n"/>
      <c r="AV1184" s="47" t="n"/>
      <c r="AW1184" s="52" t="n"/>
    </row>
    <row r="1185">
      <c r="A1185" s="48" t="n"/>
      <c r="B1185" s="52" t="n"/>
      <c r="C1185" s="47">
        <f>IF(B1185="","",IFERROR(INDEX('隊員マスタ'!$B$5:$B$204,MATCH(B1185&amp;"",'隊員マスタ'!$F$5:$F$204,0)),IF(AK1185="","番号なし",AK1185)))</f>
        <v/>
      </c>
      <c r="D1185" s="47" t="n"/>
      <c r="E1185" s="47" t="n"/>
      <c r="F1185" s="47" t="n"/>
      <c r="G1185" s="47" t="n"/>
      <c r="H1185" s="47" t="n"/>
      <c r="I1185" s="47" t="n"/>
      <c r="J1185" s="47" t="n"/>
      <c r="K1185" s="47" t="n"/>
      <c r="L1185" s="47" t="n"/>
      <c r="M1185" s="47" t="n"/>
      <c r="N1185" s="47" t="n"/>
      <c r="O1185" s="47" t="n"/>
      <c r="P1185" s="47" t="n"/>
      <c r="Q1185" s="47" t="n"/>
      <c r="R1185" s="47" t="n"/>
      <c r="S1185" s="47" t="n"/>
      <c r="T1185" s="47" t="n"/>
      <c r="U1185" s="53" t="n"/>
      <c r="V1185" s="53" t="n"/>
      <c r="W1185" s="47" t="n"/>
      <c r="X1185" s="47" t="n"/>
      <c r="Y1185" s="47" t="n"/>
      <c r="Z1185" s="47" t="n"/>
      <c r="AA1185" s="47" t="n"/>
      <c r="AB1185" s="47" t="n"/>
      <c r="AC1185" s="47" t="n"/>
      <c r="AD1185" s="47" t="n"/>
      <c r="AE1185" s="47" t="n"/>
      <c r="AF1185" s="20">
        <f>IF(A1185="","",YEAR(EDATE(A1185,-3)))</f>
        <v/>
      </c>
      <c r="AG1185" s="20">
        <f>IF(OR(B1185="",'経歴簿'!$C$4=""),"",IF(B1185&amp;""='経歴簿'!$C$4&amp;"",MAX($AG$4:AG1184)+1,""))</f>
        <v/>
      </c>
      <c r="AH1185" s="20">
        <f>IF(A1185="",0,IF(AND(OR('CSV抽出'!$C$4="",A1185&gt;='CSV抽出'!$C$4),OR('CSV抽出'!$C$5="",A1185&lt;='CSV抽出'!$C$5),OR('CSV抽出'!$C$6="すべて",'CSV抽出'!$C$6="",D1185='CSV抽出'!$C$6),OR('CSV抽出'!$C$7="",B1185&amp;""='CSV抽出'!$C$7&amp;"")),1,0))</f>
        <v/>
      </c>
      <c r="AI1185" s="20">
        <f>IF(AH1185=1,SUM($AH$5:AH1185),"")</f>
        <v/>
      </c>
      <c r="AJ1185" s="20">
        <f>IF(OR(S1185="",'報告書'!$C$4=""),"",IF(S1185&amp;""='報告書'!$C$4&amp;"",COUNTIF($S$5:S1185,'報告書'!$C$4),""))</f>
        <v/>
      </c>
      <c r="AK1185" s="20" t="n"/>
      <c r="AL1185" s="47" t="n"/>
      <c r="AM1185" s="47" t="n"/>
      <c r="AN1185" s="53" t="n"/>
      <c r="AO1185" s="47" t="n"/>
      <c r="AP1185" s="47" t="n"/>
      <c r="AQ1185" s="47" t="n"/>
      <c r="AR1185" s="47" t="n"/>
      <c r="AS1185" s="47" t="n"/>
      <c r="AT1185" s="47" t="n"/>
      <c r="AU1185" s="47" t="n"/>
      <c r="AV1185" s="47" t="n"/>
      <c r="AW1185" s="52" t="n"/>
    </row>
    <row r="1186">
      <c r="A1186" s="48" t="n"/>
      <c r="B1186" s="52" t="n"/>
      <c r="C1186" s="47">
        <f>IF(B1186="","",IFERROR(INDEX('隊員マスタ'!$B$5:$B$204,MATCH(B1186&amp;"",'隊員マスタ'!$F$5:$F$204,0)),IF(AK1186="","番号なし",AK1186)))</f>
        <v/>
      </c>
      <c r="D1186" s="47" t="n"/>
      <c r="E1186" s="47" t="n"/>
      <c r="F1186" s="47" t="n"/>
      <c r="G1186" s="47" t="n"/>
      <c r="H1186" s="47" t="n"/>
      <c r="I1186" s="47" t="n"/>
      <c r="J1186" s="47" t="n"/>
      <c r="K1186" s="47" t="n"/>
      <c r="L1186" s="47" t="n"/>
      <c r="M1186" s="47" t="n"/>
      <c r="N1186" s="47" t="n"/>
      <c r="O1186" s="47" t="n"/>
      <c r="P1186" s="47" t="n"/>
      <c r="Q1186" s="47" t="n"/>
      <c r="R1186" s="47" t="n"/>
      <c r="S1186" s="47" t="n"/>
      <c r="T1186" s="47" t="n"/>
      <c r="U1186" s="53" t="n"/>
      <c r="V1186" s="53" t="n"/>
      <c r="W1186" s="47" t="n"/>
      <c r="X1186" s="47" t="n"/>
      <c r="Y1186" s="47" t="n"/>
      <c r="Z1186" s="47" t="n"/>
      <c r="AA1186" s="47" t="n"/>
      <c r="AB1186" s="47" t="n"/>
      <c r="AC1186" s="47" t="n"/>
      <c r="AD1186" s="47" t="n"/>
      <c r="AE1186" s="47" t="n"/>
      <c r="AF1186" s="20">
        <f>IF(A1186="","",YEAR(EDATE(A1186,-3)))</f>
        <v/>
      </c>
      <c r="AG1186" s="20">
        <f>IF(OR(B1186="",'経歴簿'!$C$4=""),"",IF(B1186&amp;""='経歴簿'!$C$4&amp;"",MAX($AG$4:AG1185)+1,""))</f>
        <v/>
      </c>
      <c r="AH1186" s="20">
        <f>IF(A1186="",0,IF(AND(OR('CSV抽出'!$C$4="",A1186&gt;='CSV抽出'!$C$4),OR('CSV抽出'!$C$5="",A1186&lt;='CSV抽出'!$C$5),OR('CSV抽出'!$C$6="すべて",'CSV抽出'!$C$6="",D1186='CSV抽出'!$C$6),OR('CSV抽出'!$C$7="",B1186&amp;""='CSV抽出'!$C$7&amp;"")),1,0))</f>
        <v/>
      </c>
      <c r="AI1186" s="20">
        <f>IF(AH1186=1,SUM($AH$5:AH1186),"")</f>
        <v/>
      </c>
      <c r="AJ1186" s="20">
        <f>IF(OR(S1186="",'報告書'!$C$4=""),"",IF(S1186&amp;""='報告書'!$C$4&amp;"",COUNTIF($S$5:S1186,'報告書'!$C$4),""))</f>
        <v/>
      </c>
      <c r="AK1186" s="20" t="n"/>
      <c r="AL1186" s="47" t="n"/>
      <c r="AM1186" s="47" t="n"/>
      <c r="AN1186" s="53" t="n"/>
      <c r="AO1186" s="47" t="n"/>
      <c r="AP1186" s="47" t="n"/>
      <c r="AQ1186" s="47" t="n"/>
      <c r="AR1186" s="47" t="n"/>
      <c r="AS1186" s="47" t="n"/>
      <c r="AT1186" s="47" t="n"/>
      <c r="AU1186" s="47" t="n"/>
      <c r="AV1186" s="47" t="n"/>
      <c r="AW1186" s="52" t="n"/>
    </row>
    <row r="1187">
      <c r="A1187" s="48" t="n"/>
      <c r="B1187" s="52" t="n"/>
      <c r="C1187" s="47">
        <f>IF(B1187="","",IFERROR(INDEX('隊員マスタ'!$B$5:$B$204,MATCH(B1187&amp;"",'隊員マスタ'!$F$5:$F$204,0)),IF(AK1187="","番号なし",AK1187)))</f>
        <v/>
      </c>
      <c r="D1187" s="47" t="n"/>
      <c r="E1187" s="47" t="n"/>
      <c r="F1187" s="47" t="n"/>
      <c r="G1187" s="47" t="n"/>
      <c r="H1187" s="47" t="n"/>
      <c r="I1187" s="47" t="n"/>
      <c r="J1187" s="47" t="n"/>
      <c r="K1187" s="47" t="n"/>
      <c r="L1187" s="47" t="n"/>
      <c r="M1187" s="47" t="n"/>
      <c r="N1187" s="47" t="n"/>
      <c r="O1187" s="47" t="n"/>
      <c r="P1187" s="47" t="n"/>
      <c r="Q1187" s="47" t="n"/>
      <c r="R1187" s="47" t="n"/>
      <c r="S1187" s="47" t="n"/>
      <c r="T1187" s="47" t="n"/>
      <c r="U1187" s="53" t="n"/>
      <c r="V1187" s="53" t="n"/>
      <c r="W1187" s="47" t="n"/>
      <c r="X1187" s="47" t="n"/>
      <c r="Y1187" s="47" t="n"/>
      <c r="Z1187" s="47" t="n"/>
      <c r="AA1187" s="47" t="n"/>
      <c r="AB1187" s="47" t="n"/>
      <c r="AC1187" s="47" t="n"/>
      <c r="AD1187" s="47" t="n"/>
      <c r="AE1187" s="47" t="n"/>
      <c r="AF1187" s="20">
        <f>IF(A1187="","",YEAR(EDATE(A1187,-3)))</f>
        <v/>
      </c>
      <c r="AG1187" s="20">
        <f>IF(OR(B1187="",'経歴簿'!$C$4=""),"",IF(B1187&amp;""='経歴簿'!$C$4&amp;"",MAX($AG$4:AG1186)+1,""))</f>
        <v/>
      </c>
      <c r="AH1187" s="20">
        <f>IF(A1187="",0,IF(AND(OR('CSV抽出'!$C$4="",A1187&gt;='CSV抽出'!$C$4),OR('CSV抽出'!$C$5="",A1187&lt;='CSV抽出'!$C$5),OR('CSV抽出'!$C$6="すべて",'CSV抽出'!$C$6="",D1187='CSV抽出'!$C$6),OR('CSV抽出'!$C$7="",B1187&amp;""='CSV抽出'!$C$7&amp;"")),1,0))</f>
        <v/>
      </c>
      <c r="AI1187" s="20">
        <f>IF(AH1187=1,SUM($AH$5:AH1187),"")</f>
        <v/>
      </c>
      <c r="AJ1187" s="20">
        <f>IF(OR(S1187="",'報告書'!$C$4=""),"",IF(S1187&amp;""='報告書'!$C$4&amp;"",COUNTIF($S$5:S1187,'報告書'!$C$4),""))</f>
        <v/>
      </c>
      <c r="AK1187" s="20" t="n"/>
      <c r="AL1187" s="47" t="n"/>
      <c r="AM1187" s="47" t="n"/>
      <c r="AN1187" s="53" t="n"/>
      <c r="AO1187" s="47" t="n"/>
      <c r="AP1187" s="47" t="n"/>
      <c r="AQ1187" s="47" t="n"/>
      <c r="AR1187" s="47" t="n"/>
      <c r="AS1187" s="47" t="n"/>
      <c r="AT1187" s="47" t="n"/>
      <c r="AU1187" s="47" t="n"/>
      <c r="AV1187" s="47" t="n"/>
      <c r="AW1187" s="52" t="n"/>
    </row>
    <row r="1188">
      <c r="A1188" s="48" t="n"/>
      <c r="B1188" s="52" t="n"/>
      <c r="C1188" s="47">
        <f>IF(B1188="","",IFERROR(INDEX('隊員マスタ'!$B$5:$B$204,MATCH(B1188&amp;"",'隊員マスタ'!$F$5:$F$204,0)),IF(AK1188="","番号なし",AK1188)))</f>
        <v/>
      </c>
      <c r="D1188" s="47" t="n"/>
      <c r="E1188" s="47" t="n"/>
      <c r="F1188" s="47" t="n"/>
      <c r="G1188" s="47" t="n"/>
      <c r="H1188" s="47" t="n"/>
      <c r="I1188" s="47" t="n"/>
      <c r="J1188" s="47" t="n"/>
      <c r="K1188" s="47" t="n"/>
      <c r="L1188" s="47" t="n"/>
      <c r="M1188" s="47" t="n"/>
      <c r="N1188" s="47" t="n"/>
      <c r="O1188" s="47" t="n"/>
      <c r="P1188" s="47" t="n"/>
      <c r="Q1188" s="47" t="n"/>
      <c r="R1188" s="47" t="n"/>
      <c r="S1188" s="47" t="n"/>
      <c r="T1188" s="47" t="n"/>
      <c r="U1188" s="53" t="n"/>
      <c r="V1188" s="53" t="n"/>
      <c r="W1188" s="47" t="n"/>
      <c r="X1188" s="47" t="n"/>
      <c r="Y1188" s="47" t="n"/>
      <c r="Z1188" s="47" t="n"/>
      <c r="AA1188" s="47" t="n"/>
      <c r="AB1188" s="47" t="n"/>
      <c r="AC1188" s="47" t="n"/>
      <c r="AD1188" s="47" t="n"/>
      <c r="AE1188" s="47" t="n"/>
      <c r="AF1188" s="20">
        <f>IF(A1188="","",YEAR(EDATE(A1188,-3)))</f>
        <v/>
      </c>
      <c r="AG1188" s="20">
        <f>IF(OR(B1188="",'経歴簿'!$C$4=""),"",IF(B1188&amp;""='経歴簿'!$C$4&amp;"",MAX($AG$4:AG1187)+1,""))</f>
        <v/>
      </c>
      <c r="AH1188" s="20">
        <f>IF(A1188="",0,IF(AND(OR('CSV抽出'!$C$4="",A1188&gt;='CSV抽出'!$C$4),OR('CSV抽出'!$C$5="",A1188&lt;='CSV抽出'!$C$5),OR('CSV抽出'!$C$6="すべて",'CSV抽出'!$C$6="",D1188='CSV抽出'!$C$6),OR('CSV抽出'!$C$7="",B1188&amp;""='CSV抽出'!$C$7&amp;"")),1,0))</f>
        <v/>
      </c>
      <c r="AI1188" s="20">
        <f>IF(AH1188=1,SUM($AH$5:AH1188),"")</f>
        <v/>
      </c>
      <c r="AJ1188" s="20">
        <f>IF(OR(S1188="",'報告書'!$C$4=""),"",IF(S1188&amp;""='報告書'!$C$4&amp;"",COUNTIF($S$5:S1188,'報告書'!$C$4),""))</f>
        <v/>
      </c>
      <c r="AK1188" s="20" t="n"/>
      <c r="AL1188" s="47" t="n"/>
      <c r="AM1188" s="47" t="n"/>
      <c r="AN1188" s="53" t="n"/>
      <c r="AO1188" s="47" t="n"/>
      <c r="AP1188" s="47" t="n"/>
      <c r="AQ1188" s="47" t="n"/>
      <c r="AR1188" s="47" t="n"/>
      <c r="AS1188" s="47" t="n"/>
      <c r="AT1188" s="47" t="n"/>
      <c r="AU1188" s="47" t="n"/>
      <c r="AV1188" s="47" t="n"/>
      <c r="AW1188" s="52" t="n"/>
    </row>
    <row r="1189">
      <c r="A1189" s="48" t="n"/>
      <c r="B1189" s="52" t="n"/>
      <c r="C1189" s="47">
        <f>IF(B1189="","",IFERROR(INDEX('隊員マスタ'!$B$5:$B$204,MATCH(B1189&amp;"",'隊員マスタ'!$F$5:$F$204,0)),IF(AK1189="","番号なし",AK1189)))</f>
        <v/>
      </c>
      <c r="D1189" s="47" t="n"/>
      <c r="E1189" s="47" t="n"/>
      <c r="F1189" s="47" t="n"/>
      <c r="G1189" s="47" t="n"/>
      <c r="H1189" s="47" t="n"/>
      <c r="I1189" s="47" t="n"/>
      <c r="J1189" s="47" t="n"/>
      <c r="K1189" s="47" t="n"/>
      <c r="L1189" s="47" t="n"/>
      <c r="M1189" s="47" t="n"/>
      <c r="N1189" s="47" t="n"/>
      <c r="O1189" s="47" t="n"/>
      <c r="P1189" s="47" t="n"/>
      <c r="Q1189" s="47" t="n"/>
      <c r="R1189" s="47" t="n"/>
      <c r="S1189" s="47" t="n"/>
      <c r="T1189" s="47" t="n"/>
      <c r="U1189" s="53" t="n"/>
      <c r="V1189" s="53" t="n"/>
      <c r="W1189" s="47" t="n"/>
      <c r="X1189" s="47" t="n"/>
      <c r="Y1189" s="47" t="n"/>
      <c r="Z1189" s="47" t="n"/>
      <c r="AA1189" s="47" t="n"/>
      <c r="AB1189" s="47" t="n"/>
      <c r="AC1189" s="47" t="n"/>
      <c r="AD1189" s="47" t="n"/>
      <c r="AE1189" s="47" t="n"/>
      <c r="AF1189" s="20">
        <f>IF(A1189="","",YEAR(EDATE(A1189,-3)))</f>
        <v/>
      </c>
      <c r="AG1189" s="20">
        <f>IF(OR(B1189="",'経歴簿'!$C$4=""),"",IF(B1189&amp;""='経歴簿'!$C$4&amp;"",MAX($AG$4:AG1188)+1,""))</f>
        <v/>
      </c>
      <c r="AH1189" s="20">
        <f>IF(A1189="",0,IF(AND(OR('CSV抽出'!$C$4="",A1189&gt;='CSV抽出'!$C$4),OR('CSV抽出'!$C$5="",A1189&lt;='CSV抽出'!$C$5),OR('CSV抽出'!$C$6="すべて",'CSV抽出'!$C$6="",D1189='CSV抽出'!$C$6),OR('CSV抽出'!$C$7="",B1189&amp;""='CSV抽出'!$C$7&amp;"")),1,0))</f>
        <v/>
      </c>
      <c r="AI1189" s="20">
        <f>IF(AH1189=1,SUM($AH$5:AH1189),"")</f>
        <v/>
      </c>
      <c r="AJ1189" s="20">
        <f>IF(OR(S1189="",'報告書'!$C$4=""),"",IF(S1189&amp;""='報告書'!$C$4&amp;"",COUNTIF($S$5:S1189,'報告書'!$C$4),""))</f>
        <v/>
      </c>
      <c r="AK1189" s="20" t="n"/>
      <c r="AL1189" s="47" t="n"/>
      <c r="AM1189" s="47" t="n"/>
      <c r="AN1189" s="53" t="n"/>
      <c r="AO1189" s="47" t="n"/>
      <c r="AP1189" s="47" t="n"/>
      <c r="AQ1189" s="47" t="n"/>
      <c r="AR1189" s="47" t="n"/>
      <c r="AS1189" s="47" t="n"/>
      <c r="AT1189" s="47" t="n"/>
      <c r="AU1189" s="47" t="n"/>
      <c r="AV1189" s="47" t="n"/>
      <c r="AW1189" s="52" t="n"/>
    </row>
    <row r="1190">
      <c r="A1190" s="48" t="n"/>
      <c r="B1190" s="52" t="n"/>
      <c r="C1190" s="47">
        <f>IF(B1190="","",IFERROR(INDEX('隊員マスタ'!$B$5:$B$204,MATCH(B1190&amp;"",'隊員マスタ'!$F$5:$F$204,0)),IF(AK1190="","番号なし",AK1190)))</f>
        <v/>
      </c>
      <c r="D1190" s="47" t="n"/>
      <c r="E1190" s="47" t="n"/>
      <c r="F1190" s="47" t="n"/>
      <c r="G1190" s="47" t="n"/>
      <c r="H1190" s="47" t="n"/>
      <c r="I1190" s="47" t="n"/>
      <c r="J1190" s="47" t="n"/>
      <c r="K1190" s="47" t="n"/>
      <c r="L1190" s="47" t="n"/>
      <c r="M1190" s="47" t="n"/>
      <c r="N1190" s="47" t="n"/>
      <c r="O1190" s="47" t="n"/>
      <c r="P1190" s="47" t="n"/>
      <c r="Q1190" s="47" t="n"/>
      <c r="R1190" s="47" t="n"/>
      <c r="S1190" s="47" t="n"/>
      <c r="T1190" s="47" t="n"/>
      <c r="U1190" s="53" t="n"/>
      <c r="V1190" s="53" t="n"/>
      <c r="W1190" s="47" t="n"/>
      <c r="X1190" s="47" t="n"/>
      <c r="Y1190" s="47" t="n"/>
      <c r="Z1190" s="47" t="n"/>
      <c r="AA1190" s="47" t="n"/>
      <c r="AB1190" s="47" t="n"/>
      <c r="AC1190" s="47" t="n"/>
      <c r="AD1190" s="47" t="n"/>
      <c r="AE1190" s="47" t="n"/>
      <c r="AF1190" s="20">
        <f>IF(A1190="","",YEAR(EDATE(A1190,-3)))</f>
        <v/>
      </c>
      <c r="AG1190" s="20">
        <f>IF(OR(B1190="",'経歴簿'!$C$4=""),"",IF(B1190&amp;""='経歴簿'!$C$4&amp;"",MAX($AG$4:AG1189)+1,""))</f>
        <v/>
      </c>
      <c r="AH1190" s="20">
        <f>IF(A1190="",0,IF(AND(OR('CSV抽出'!$C$4="",A1190&gt;='CSV抽出'!$C$4),OR('CSV抽出'!$C$5="",A1190&lt;='CSV抽出'!$C$5),OR('CSV抽出'!$C$6="すべて",'CSV抽出'!$C$6="",D1190='CSV抽出'!$C$6),OR('CSV抽出'!$C$7="",B1190&amp;""='CSV抽出'!$C$7&amp;"")),1,0))</f>
        <v/>
      </c>
      <c r="AI1190" s="20">
        <f>IF(AH1190=1,SUM($AH$5:AH1190),"")</f>
        <v/>
      </c>
      <c r="AJ1190" s="20">
        <f>IF(OR(S1190="",'報告書'!$C$4=""),"",IF(S1190&amp;""='報告書'!$C$4&amp;"",COUNTIF($S$5:S1190,'報告書'!$C$4),""))</f>
        <v/>
      </c>
      <c r="AK1190" s="20" t="n"/>
      <c r="AL1190" s="47" t="n"/>
      <c r="AM1190" s="47" t="n"/>
      <c r="AN1190" s="53" t="n"/>
      <c r="AO1190" s="47" t="n"/>
      <c r="AP1190" s="47" t="n"/>
      <c r="AQ1190" s="47" t="n"/>
      <c r="AR1190" s="47" t="n"/>
      <c r="AS1190" s="47" t="n"/>
      <c r="AT1190" s="47" t="n"/>
      <c r="AU1190" s="47" t="n"/>
      <c r="AV1190" s="47" t="n"/>
      <c r="AW1190" s="52" t="n"/>
    </row>
    <row r="1191">
      <c r="A1191" s="48" t="n"/>
      <c r="B1191" s="52" t="n"/>
      <c r="C1191" s="47">
        <f>IF(B1191="","",IFERROR(INDEX('隊員マスタ'!$B$5:$B$204,MATCH(B1191&amp;"",'隊員マスタ'!$F$5:$F$204,0)),IF(AK1191="","番号なし",AK1191)))</f>
        <v/>
      </c>
      <c r="D1191" s="47" t="n"/>
      <c r="E1191" s="47" t="n"/>
      <c r="F1191" s="47" t="n"/>
      <c r="G1191" s="47" t="n"/>
      <c r="H1191" s="47" t="n"/>
      <c r="I1191" s="47" t="n"/>
      <c r="J1191" s="47" t="n"/>
      <c r="K1191" s="47" t="n"/>
      <c r="L1191" s="47" t="n"/>
      <c r="M1191" s="47" t="n"/>
      <c r="N1191" s="47" t="n"/>
      <c r="O1191" s="47" t="n"/>
      <c r="P1191" s="47" t="n"/>
      <c r="Q1191" s="47" t="n"/>
      <c r="R1191" s="47" t="n"/>
      <c r="S1191" s="47" t="n"/>
      <c r="T1191" s="47" t="n"/>
      <c r="U1191" s="53" t="n"/>
      <c r="V1191" s="53" t="n"/>
      <c r="W1191" s="47" t="n"/>
      <c r="X1191" s="47" t="n"/>
      <c r="Y1191" s="47" t="n"/>
      <c r="Z1191" s="47" t="n"/>
      <c r="AA1191" s="47" t="n"/>
      <c r="AB1191" s="47" t="n"/>
      <c r="AC1191" s="47" t="n"/>
      <c r="AD1191" s="47" t="n"/>
      <c r="AE1191" s="47" t="n"/>
      <c r="AF1191" s="20">
        <f>IF(A1191="","",YEAR(EDATE(A1191,-3)))</f>
        <v/>
      </c>
      <c r="AG1191" s="20">
        <f>IF(OR(B1191="",'経歴簿'!$C$4=""),"",IF(B1191&amp;""='経歴簿'!$C$4&amp;"",MAX($AG$4:AG1190)+1,""))</f>
        <v/>
      </c>
      <c r="AH1191" s="20">
        <f>IF(A1191="",0,IF(AND(OR('CSV抽出'!$C$4="",A1191&gt;='CSV抽出'!$C$4),OR('CSV抽出'!$C$5="",A1191&lt;='CSV抽出'!$C$5),OR('CSV抽出'!$C$6="すべて",'CSV抽出'!$C$6="",D1191='CSV抽出'!$C$6),OR('CSV抽出'!$C$7="",B1191&amp;""='CSV抽出'!$C$7&amp;"")),1,0))</f>
        <v/>
      </c>
      <c r="AI1191" s="20">
        <f>IF(AH1191=1,SUM($AH$5:AH1191),"")</f>
        <v/>
      </c>
      <c r="AJ1191" s="20">
        <f>IF(OR(S1191="",'報告書'!$C$4=""),"",IF(S1191&amp;""='報告書'!$C$4&amp;"",COUNTIF($S$5:S1191,'報告書'!$C$4),""))</f>
        <v/>
      </c>
      <c r="AK1191" s="20" t="n"/>
      <c r="AL1191" s="47" t="n"/>
      <c r="AM1191" s="47" t="n"/>
      <c r="AN1191" s="53" t="n"/>
      <c r="AO1191" s="47" t="n"/>
      <c r="AP1191" s="47" t="n"/>
      <c r="AQ1191" s="47" t="n"/>
      <c r="AR1191" s="47" t="n"/>
      <c r="AS1191" s="47" t="n"/>
      <c r="AT1191" s="47" t="n"/>
      <c r="AU1191" s="47" t="n"/>
      <c r="AV1191" s="47" t="n"/>
      <c r="AW1191" s="52" t="n"/>
    </row>
    <row r="1192">
      <c r="A1192" s="48" t="n"/>
      <c r="B1192" s="52" t="n"/>
      <c r="C1192" s="47">
        <f>IF(B1192="","",IFERROR(INDEX('隊員マスタ'!$B$5:$B$204,MATCH(B1192&amp;"",'隊員マスタ'!$F$5:$F$204,0)),IF(AK1192="","番号なし",AK1192)))</f>
        <v/>
      </c>
      <c r="D1192" s="47" t="n"/>
      <c r="E1192" s="47" t="n"/>
      <c r="F1192" s="47" t="n"/>
      <c r="G1192" s="47" t="n"/>
      <c r="H1192" s="47" t="n"/>
      <c r="I1192" s="47" t="n"/>
      <c r="J1192" s="47" t="n"/>
      <c r="K1192" s="47" t="n"/>
      <c r="L1192" s="47" t="n"/>
      <c r="M1192" s="47" t="n"/>
      <c r="N1192" s="47" t="n"/>
      <c r="O1192" s="47" t="n"/>
      <c r="P1192" s="47" t="n"/>
      <c r="Q1192" s="47" t="n"/>
      <c r="R1192" s="47" t="n"/>
      <c r="S1192" s="47" t="n"/>
      <c r="T1192" s="47" t="n"/>
      <c r="U1192" s="53" t="n"/>
      <c r="V1192" s="53" t="n"/>
      <c r="W1192" s="47" t="n"/>
      <c r="X1192" s="47" t="n"/>
      <c r="Y1192" s="47" t="n"/>
      <c r="Z1192" s="47" t="n"/>
      <c r="AA1192" s="47" t="n"/>
      <c r="AB1192" s="47" t="n"/>
      <c r="AC1192" s="47" t="n"/>
      <c r="AD1192" s="47" t="n"/>
      <c r="AE1192" s="47" t="n"/>
      <c r="AF1192" s="20">
        <f>IF(A1192="","",YEAR(EDATE(A1192,-3)))</f>
        <v/>
      </c>
      <c r="AG1192" s="20">
        <f>IF(OR(B1192="",'経歴簿'!$C$4=""),"",IF(B1192&amp;""='経歴簿'!$C$4&amp;"",MAX($AG$4:AG1191)+1,""))</f>
        <v/>
      </c>
      <c r="AH1192" s="20">
        <f>IF(A1192="",0,IF(AND(OR('CSV抽出'!$C$4="",A1192&gt;='CSV抽出'!$C$4),OR('CSV抽出'!$C$5="",A1192&lt;='CSV抽出'!$C$5),OR('CSV抽出'!$C$6="すべて",'CSV抽出'!$C$6="",D1192='CSV抽出'!$C$6),OR('CSV抽出'!$C$7="",B1192&amp;""='CSV抽出'!$C$7&amp;"")),1,0))</f>
        <v/>
      </c>
      <c r="AI1192" s="20">
        <f>IF(AH1192=1,SUM($AH$5:AH1192),"")</f>
        <v/>
      </c>
      <c r="AJ1192" s="20">
        <f>IF(OR(S1192="",'報告書'!$C$4=""),"",IF(S1192&amp;""='報告書'!$C$4&amp;"",COUNTIF($S$5:S1192,'報告書'!$C$4),""))</f>
        <v/>
      </c>
      <c r="AK1192" s="20" t="n"/>
      <c r="AL1192" s="47" t="n"/>
      <c r="AM1192" s="47" t="n"/>
      <c r="AN1192" s="53" t="n"/>
      <c r="AO1192" s="47" t="n"/>
      <c r="AP1192" s="47" t="n"/>
      <c r="AQ1192" s="47" t="n"/>
      <c r="AR1192" s="47" t="n"/>
      <c r="AS1192" s="47" t="n"/>
      <c r="AT1192" s="47" t="n"/>
      <c r="AU1192" s="47" t="n"/>
      <c r="AV1192" s="47" t="n"/>
      <c r="AW1192" s="52" t="n"/>
    </row>
    <row r="1193">
      <c r="A1193" s="48" t="n"/>
      <c r="B1193" s="52" t="n"/>
      <c r="C1193" s="47">
        <f>IF(B1193="","",IFERROR(INDEX('隊員マスタ'!$B$5:$B$204,MATCH(B1193&amp;"",'隊員マスタ'!$F$5:$F$204,0)),IF(AK1193="","番号なし",AK1193)))</f>
        <v/>
      </c>
      <c r="D1193" s="47" t="n"/>
      <c r="E1193" s="47" t="n"/>
      <c r="F1193" s="47" t="n"/>
      <c r="G1193" s="47" t="n"/>
      <c r="H1193" s="47" t="n"/>
      <c r="I1193" s="47" t="n"/>
      <c r="J1193" s="47" t="n"/>
      <c r="K1193" s="47" t="n"/>
      <c r="L1193" s="47" t="n"/>
      <c r="M1193" s="47" t="n"/>
      <c r="N1193" s="47" t="n"/>
      <c r="O1193" s="47" t="n"/>
      <c r="P1193" s="47" t="n"/>
      <c r="Q1193" s="47" t="n"/>
      <c r="R1193" s="47" t="n"/>
      <c r="S1193" s="47" t="n"/>
      <c r="T1193" s="47" t="n"/>
      <c r="U1193" s="53" t="n"/>
      <c r="V1193" s="53" t="n"/>
      <c r="W1193" s="47" t="n"/>
      <c r="X1193" s="47" t="n"/>
      <c r="Y1193" s="47" t="n"/>
      <c r="Z1193" s="47" t="n"/>
      <c r="AA1193" s="47" t="n"/>
      <c r="AB1193" s="47" t="n"/>
      <c r="AC1193" s="47" t="n"/>
      <c r="AD1193" s="47" t="n"/>
      <c r="AE1193" s="47" t="n"/>
      <c r="AF1193" s="20">
        <f>IF(A1193="","",YEAR(EDATE(A1193,-3)))</f>
        <v/>
      </c>
      <c r="AG1193" s="20">
        <f>IF(OR(B1193="",'経歴簿'!$C$4=""),"",IF(B1193&amp;""='経歴簿'!$C$4&amp;"",MAX($AG$4:AG1192)+1,""))</f>
        <v/>
      </c>
      <c r="AH1193" s="20">
        <f>IF(A1193="",0,IF(AND(OR('CSV抽出'!$C$4="",A1193&gt;='CSV抽出'!$C$4),OR('CSV抽出'!$C$5="",A1193&lt;='CSV抽出'!$C$5),OR('CSV抽出'!$C$6="すべて",'CSV抽出'!$C$6="",D1193='CSV抽出'!$C$6),OR('CSV抽出'!$C$7="",B1193&amp;""='CSV抽出'!$C$7&amp;"")),1,0))</f>
        <v/>
      </c>
      <c r="AI1193" s="20">
        <f>IF(AH1193=1,SUM($AH$5:AH1193),"")</f>
        <v/>
      </c>
      <c r="AJ1193" s="20">
        <f>IF(OR(S1193="",'報告書'!$C$4=""),"",IF(S1193&amp;""='報告書'!$C$4&amp;"",COUNTIF($S$5:S1193,'報告書'!$C$4),""))</f>
        <v/>
      </c>
      <c r="AK1193" s="20" t="n"/>
      <c r="AL1193" s="47" t="n"/>
      <c r="AM1193" s="47" t="n"/>
      <c r="AN1193" s="53" t="n"/>
      <c r="AO1193" s="47" t="n"/>
      <c r="AP1193" s="47" t="n"/>
      <c r="AQ1193" s="47" t="n"/>
      <c r="AR1193" s="47" t="n"/>
      <c r="AS1193" s="47" t="n"/>
      <c r="AT1193" s="47" t="n"/>
      <c r="AU1193" s="47" t="n"/>
      <c r="AV1193" s="47" t="n"/>
      <c r="AW1193" s="52" t="n"/>
    </row>
    <row r="1194">
      <c r="A1194" s="48" t="n"/>
      <c r="B1194" s="52" t="n"/>
      <c r="C1194" s="47">
        <f>IF(B1194="","",IFERROR(INDEX('隊員マスタ'!$B$5:$B$204,MATCH(B1194&amp;"",'隊員マスタ'!$F$5:$F$204,0)),IF(AK1194="","番号なし",AK1194)))</f>
        <v/>
      </c>
      <c r="D1194" s="47" t="n"/>
      <c r="E1194" s="47" t="n"/>
      <c r="F1194" s="47" t="n"/>
      <c r="G1194" s="47" t="n"/>
      <c r="H1194" s="47" t="n"/>
      <c r="I1194" s="47" t="n"/>
      <c r="J1194" s="47" t="n"/>
      <c r="K1194" s="47" t="n"/>
      <c r="L1194" s="47" t="n"/>
      <c r="M1194" s="47" t="n"/>
      <c r="N1194" s="47" t="n"/>
      <c r="O1194" s="47" t="n"/>
      <c r="P1194" s="47" t="n"/>
      <c r="Q1194" s="47" t="n"/>
      <c r="R1194" s="47" t="n"/>
      <c r="S1194" s="47" t="n"/>
      <c r="T1194" s="47" t="n"/>
      <c r="U1194" s="53" t="n"/>
      <c r="V1194" s="53" t="n"/>
      <c r="W1194" s="47" t="n"/>
      <c r="X1194" s="47" t="n"/>
      <c r="Y1194" s="47" t="n"/>
      <c r="Z1194" s="47" t="n"/>
      <c r="AA1194" s="47" t="n"/>
      <c r="AB1194" s="47" t="n"/>
      <c r="AC1194" s="47" t="n"/>
      <c r="AD1194" s="47" t="n"/>
      <c r="AE1194" s="47" t="n"/>
      <c r="AF1194" s="20">
        <f>IF(A1194="","",YEAR(EDATE(A1194,-3)))</f>
        <v/>
      </c>
      <c r="AG1194" s="20">
        <f>IF(OR(B1194="",'経歴簿'!$C$4=""),"",IF(B1194&amp;""='経歴簿'!$C$4&amp;"",MAX($AG$4:AG1193)+1,""))</f>
        <v/>
      </c>
      <c r="AH1194" s="20">
        <f>IF(A1194="",0,IF(AND(OR('CSV抽出'!$C$4="",A1194&gt;='CSV抽出'!$C$4),OR('CSV抽出'!$C$5="",A1194&lt;='CSV抽出'!$C$5),OR('CSV抽出'!$C$6="すべて",'CSV抽出'!$C$6="",D1194='CSV抽出'!$C$6),OR('CSV抽出'!$C$7="",B1194&amp;""='CSV抽出'!$C$7&amp;"")),1,0))</f>
        <v/>
      </c>
      <c r="AI1194" s="20">
        <f>IF(AH1194=1,SUM($AH$5:AH1194),"")</f>
        <v/>
      </c>
      <c r="AJ1194" s="20">
        <f>IF(OR(S1194="",'報告書'!$C$4=""),"",IF(S1194&amp;""='報告書'!$C$4&amp;"",COUNTIF($S$5:S1194,'報告書'!$C$4),""))</f>
        <v/>
      </c>
      <c r="AK1194" s="20" t="n"/>
      <c r="AL1194" s="47" t="n"/>
      <c r="AM1194" s="47" t="n"/>
      <c r="AN1194" s="53" t="n"/>
      <c r="AO1194" s="47" t="n"/>
      <c r="AP1194" s="47" t="n"/>
      <c r="AQ1194" s="47" t="n"/>
      <c r="AR1194" s="47" t="n"/>
      <c r="AS1194" s="47" t="n"/>
      <c r="AT1194" s="47" t="n"/>
      <c r="AU1194" s="47" t="n"/>
      <c r="AV1194" s="47" t="n"/>
      <c r="AW1194" s="52" t="n"/>
    </row>
    <row r="1195">
      <c r="A1195" s="48" t="n"/>
      <c r="B1195" s="52" t="n"/>
      <c r="C1195" s="47">
        <f>IF(B1195="","",IFERROR(INDEX('隊員マスタ'!$B$5:$B$204,MATCH(B1195&amp;"",'隊員マスタ'!$F$5:$F$204,0)),IF(AK1195="","番号なし",AK1195)))</f>
        <v/>
      </c>
      <c r="D1195" s="47" t="n"/>
      <c r="E1195" s="47" t="n"/>
      <c r="F1195" s="47" t="n"/>
      <c r="G1195" s="47" t="n"/>
      <c r="H1195" s="47" t="n"/>
      <c r="I1195" s="47" t="n"/>
      <c r="J1195" s="47" t="n"/>
      <c r="K1195" s="47" t="n"/>
      <c r="L1195" s="47" t="n"/>
      <c r="M1195" s="47" t="n"/>
      <c r="N1195" s="47" t="n"/>
      <c r="O1195" s="47" t="n"/>
      <c r="P1195" s="47" t="n"/>
      <c r="Q1195" s="47" t="n"/>
      <c r="R1195" s="47" t="n"/>
      <c r="S1195" s="47" t="n"/>
      <c r="T1195" s="47" t="n"/>
      <c r="U1195" s="53" t="n"/>
      <c r="V1195" s="53" t="n"/>
      <c r="W1195" s="47" t="n"/>
      <c r="X1195" s="47" t="n"/>
      <c r="Y1195" s="47" t="n"/>
      <c r="Z1195" s="47" t="n"/>
      <c r="AA1195" s="47" t="n"/>
      <c r="AB1195" s="47" t="n"/>
      <c r="AC1195" s="47" t="n"/>
      <c r="AD1195" s="47" t="n"/>
      <c r="AE1195" s="47" t="n"/>
      <c r="AF1195" s="20">
        <f>IF(A1195="","",YEAR(EDATE(A1195,-3)))</f>
        <v/>
      </c>
      <c r="AG1195" s="20">
        <f>IF(OR(B1195="",'経歴簿'!$C$4=""),"",IF(B1195&amp;""='経歴簿'!$C$4&amp;"",MAX($AG$4:AG1194)+1,""))</f>
        <v/>
      </c>
      <c r="AH1195" s="20">
        <f>IF(A1195="",0,IF(AND(OR('CSV抽出'!$C$4="",A1195&gt;='CSV抽出'!$C$4),OR('CSV抽出'!$C$5="",A1195&lt;='CSV抽出'!$C$5),OR('CSV抽出'!$C$6="すべて",'CSV抽出'!$C$6="",D1195='CSV抽出'!$C$6),OR('CSV抽出'!$C$7="",B1195&amp;""='CSV抽出'!$C$7&amp;"")),1,0))</f>
        <v/>
      </c>
      <c r="AI1195" s="20">
        <f>IF(AH1195=1,SUM($AH$5:AH1195),"")</f>
        <v/>
      </c>
      <c r="AJ1195" s="20">
        <f>IF(OR(S1195="",'報告書'!$C$4=""),"",IF(S1195&amp;""='報告書'!$C$4&amp;"",COUNTIF($S$5:S1195,'報告書'!$C$4),""))</f>
        <v/>
      </c>
      <c r="AK1195" s="20" t="n"/>
      <c r="AL1195" s="47" t="n"/>
      <c r="AM1195" s="47" t="n"/>
      <c r="AN1195" s="53" t="n"/>
      <c r="AO1195" s="47" t="n"/>
      <c r="AP1195" s="47" t="n"/>
      <c r="AQ1195" s="47" t="n"/>
      <c r="AR1195" s="47" t="n"/>
      <c r="AS1195" s="47" t="n"/>
      <c r="AT1195" s="47" t="n"/>
      <c r="AU1195" s="47" t="n"/>
      <c r="AV1195" s="47" t="n"/>
      <c r="AW1195" s="52" t="n"/>
    </row>
    <row r="1196">
      <c r="A1196" s="48" t="n"/>
      <c r="B1196" s="52" t="n"/>
      <c r="C1196" s="47">
        <f>IF(B1196="","",IFERROR(INDEX('隊員マスタ'!$B$5:$B$204,MATCH(B1196&amp;"",'隊員マスタ'!$F$5:$F$204,0)),IF(AK1196="","番号なし",AK1196)))</f>
        <v/>
      </c>
      <c r="D1196" s="47" t="n"/>
      <c r="E1196" s="47" t="n"/>
      <c r="F1196" s="47" t="n"/>
      <c r="G1196" s="47" t="n"/>
      <c r="H1196" s="47" t="n"/>
      <c r="I1196" s="47" t="n"/>
      <c r="J1196" s="47" t="n"/>
      <c r="K1196" s="47" t="n"/>
      <c r="L1196" s="47" t="n"/>
      <c r="M1196" s="47" t="n"/>
      <c r="N1196" s="47" t="n"/>
      <c r="O1196" s="47" t="n"/>
      <c r="P1196" s="47" t="n"/>
      <c r="Q1196" s="47" t="n"/>
      <c r="R1196" s="47" t="n"/>
      <c r="S1196" s="47" t="n"/>
      <c r="T1196" s="47" t="n"/>
      <c r="U1196" s="53" t="n"/>
      <c r="V1196" s="53" t="n"/>
      <c r="W1196" s="47" t="n"/>
      <c r="X1196" s="47" t="n"/>
      <c r="Y1196" s="47" t="n"/>
      <c r="Z1196" s="47" t="n"/>
      <c r="AA1196" s="47" t="n"/>
      <c r="AB1196" s="47" t="n"/>
      <c r="AC1196" s="47" t="n"/>
      <c r="AD1196" s="47" t="n"/>
      <c r="AE1196" s="47" t="n"/>
      <c r="AF1196" s="20">
        <f>IF(A1196="","",YEAR(EDATE(A1196,-3)))</f>
        <v/>
      </c>
      <c r="AG1196" s="20">
        <f>IF(OR(B1196="",'経歴簿'!$C$4=""),"",IF(B1196&amp;""='経歴簿'!$C$4&amp;"",MAX($AG$4:AG1195)+1,""))</f>
        <v/>
      </c>
      <c r="AH1196" s="20">
        <f>IF(A1196="",0,IF(AND(OR('CSV抽出'!$C$4="",A1196&gt;='CSV抽出'!$C$4),OR('CSV抽出'!$C$5="",A1196&lt;='CSV抽出'!$C$5),OR('CSV抽出'!$C$6="すべて",'CSV抽出'!$C$6="",D1196='CSV抽出'!$C$6),OR('CSV抽出'!$C$7="",B1196&amp;""='CSV抽出'!$C$7&amp;"")),1,0))</f>
        <v/>
      </c>
      <c r="AI1196" s="20">
        <f>IF(AH1196=1,SUM($AH$5:AH1196),"")</f>
        <v/>
      </c>
      <c r="AJ1196" s="20">
        <f>IF(OR(S1196="",'報告書'!$C$4=""),"",IF(S1196&amp;""='報告書'!$C$4&amp;"",COUNTIF($S$5:S1196,'報告書'!$C$4),""))</f>
        <v/>
      </c>
      <c r="AK1196" s="20" t="n"/>
      <c r="AL1196" s="47" t="n"/>
      <c r="AM1196" s="47" t="n"/>
      <c r="AN1196" s="53" t="n"/>
      <c r="AO1196" s="47" t="n"/>
      <c r="AP1196" s="47" t="n"/>
      <c r="AQ1196" s="47" t="n"/>
      <c r="AR1196" s="47" t="n"/>
      <c r="AS1196" s="47" t="n"/>
      <c r="AT1196" s="47" t="n"/>
      <c r="AU1196" s="47" t="n"/>
      <c r="AV1196" s="47" t="n"/>
      <c r="AW1196" s="52" t="n"/>
    </row>
    <row r="1197">
      <c r="A1197" s="48" t="n"/>
      <c r="B1197" s="52" t="n"/>
      <c r="C1197" s="47">
        <f>IF(B1197="","",IFERROR(INDEX('隊員マスタ'!$B$5:$B$204,MATCH(B1197&amp;"",'隊員マスタ'!$F$5:$F$204,0)),IF(AK1197="","番号なし",AK1197)))</f>
        <v/>
      </c>
      <c r="D1197" s="47" t="n"/>
      <c r="E1197" s="47" t="n"/>
      <c r="F1197" s="47" t="n"/>
      <c r="G1197" s="47" t="n"/>
      <c r="H1197" s="47" t="n"/>
      <c r="I1197" s="47" t="n"/>
      <c r="J1197" s="47" t="n"/>
      <c r="K1197" s="47" t="n"/>
      <c r="L1197" s="47" t="n"/>
      <c r="M1197" s="47" t="n"/>
      <c r="N1197" s="47" t="n"/>
      <c r="O1197" s="47" t="n"/>
      <c r="P1197" s="47" t="n"/>
      <c r="Q1197" s="47" t="n"/>
      <c r="R1197" s="47" t="n"/>
      <c r="S1197" s="47" t="n"/>
      <c r="T1197" s="47" t="n"/>
      <c r="U1197" s="53" t="n"/>
      <c r="V1197" s="53" t="n"/>
      <c r="W1197" s="47" t="n"/>
      <c r="X1197" s="47" t="n"/>
      <c r="Y1197" s="47" t="n"/>
      <c r="Z1197" s="47" t="n"/>
      <c r="AA1197" s="47" t="n"/>
      <c r="AB1197" s="47" t="n"/>
      <c r="AC1197" s="47" t="n"/>
      <c r="AD1197" s="47" t="n"/>
      <c r="AE1197" s="47" t="n"/>
      <c r="AF1197" s="20">
        <f>IF(A1197="","",YEAR(EDATE(A1197,-3)))</f>
        <v/>
      </c>
      <c r="AG1197" s="20">
        <f>IF(OR(B1197="",'経歴簿'!$C$4=""),"",IF(B1197&amp;""='経歴簿'!$C$4&amp;"",MAX($AG$4:AG1196)+1,""))</f>
        <v/>
      </c>
      <c r="AH1197" s="20">
        <f>IF(A1197="",0,IF(AND(OR('CSV抽出'!$C$4="",A1197&gt;='CSV抽出'!$C$4),OR('CSV抽出'!$C$5="",A1197&lt;='CSV抽出'!$C$5),OR('CSV抽出'!$C$6="すべて",'CSV抽出'!$C$6="",D1197='CSV抽出'!$C$6),OR('CSV抽出'!$C$7="",B1197&amp;""='CSV抽出'!$C$7&amp;"")),1,0))</f>
        <v/>
      </c>
      <c r="AI1197" s="20">
        <f>IF(AH1197=1,SUM($AH$5:AH1197),"")</f>
        <v/>
      </c>
      <c r="AJ1197" s="20">
        <f>IF(OR(S1197="",'報告書'!$C$4=""),"",IF(S1197&amp;""='報告書'!$C$4&amp;"",COUNTIF($S$5:S1197,'報告書'!$C$4),""))</f>
        <v/>
      </c>
      <c r="AK1197" s="20" t="n"/>
      <c r="AL1197" s="47" t="n"/>
      <c r="AM1197" s="47" t="n"/>
      <c r="AN1197" s="53" t="n"/>
      <c r="AO1197" s="47" t="n"/>
      <c r="AP1197" s="47" t="n"/>
      <c r="AQ1197" s="47" t="n"/>
      <c r="AR1197" s="47" t="n"/>
      <c r="AS1197" s="47" t="n"/>
      <c r="AT1197" s="47" t="n"/>
      <c r="AU1197" s="47" t="n"/>
      <c r="AV1197" s="47" t="n"/>
      <c r="AW1197" s="52" t="n"/>
    </row>
    <row r="1198">
      <c r="A1198" s="48" t="n"/>
      <c r="B1198" s="52" t="n"/>
      <c r="C1198" s="47">
        <f>IF(B1198="","",IFERROR(INDEX('隊員マスタ'!$B$5:$B$204,MATCH(B1198&amp;"",'隊員マスタ'!$F$5:$F$204,0)),IF(AK1198="","番号なし",AK1198)))</f>
        <v/>
      </c>
      <c r="D1198" s="47" t="n"/>
      <c r="E1198" s="47" t="n"/>
      <c r="F1198" s="47" t="n"/>
      <c r="G1198" s="47" t="n"/>
      <c r="H1198" s="47" t="n"/>
      <c r="I1198" s="47" t="n"/>
      <c r="J1198" s="47" t="n"/>
      <c r="K1198" s="47" t="n"/>
      <c r="L1198" s="47" t="n"/>
      <c r="M1198" s="47" t="n"/>
      <c r="N1198" s="47" t="n"/>
      <c r="O1198" s="47" t="n"/>
      <c r="P1198" s="47" t="n"/>
      <c r="Q1198" s="47" t="n"/>
      <c r="R1198" s="47" t="n"/>
      <c r="S1198" s="47" t="n"/>
      <c r="T1198" s="47" t="n"/>
      <c r="U1198" s="53" t="n"/>
      <c r="V1198" s="53" t="n"/>
      <c r="W1198" s="47" t="n"/>
      <c r="X1198" s="47" t="n"/>
      <c r="Y1198" s="47" t="n"/>
      <c r="Z1198" s="47" t="n"/>
      <c r="AA1198" s="47" t="n"/>
      <c r="AB1198" s="47" t="n"/>
      <c r="AC1198" s="47" t="n"/>
      <c r="AD1198" s="47" t="n"/>
      <c r="AE1198" s="47" t="n"/>
      <c r="AF1198" s="20">
        <f>IF(A1198="","",YEAR(EDATE(A1198,-3)))</f>
        <v/>
      </c>
      <c r="AG1198" s="20">
        <f>IF(OR(B1198="",'経歴簿'!$C$4=""),"",IF(B1198&amp;""='経歴簿'!$C$4&amp;"",MAX($AG$4:AG1197)+1,""))</f>
        <v/>
      </c>
      <c r="AH1198" s="20">
        <f>IF(A1198="",0,IF(AND(OR('CSV抽出'!$C$4="",A1198&gt;='CSV抽出'!$C$4),OR('CSV抽出'!$C$5="",A1198&lt;='CSV抽出'!$C$5),OR('CSV抽出'!$C$6="すべて",'CSV抽出'!$C$6="",D1198='CSV抽出'!$C$6),OR('CSV抽出'!$C$7="",B1198&amp;""='CSV抽出'!$C$7&amp;"")),1,0))</f>
        <v/>
      </c>
      <c r="AI1198" s="20">
        <f>IF(AH1198=1,SUM($AH$5:AH1198),"")</f>
        <v/>
      </c>
      <c r="AJ1198" s="20">
        <f>IF(OR(S1198="",'報告書'!$C$4=""),"",IF(S1198&amp;""='報告書'!$C$4&amp;"",COUNTIF($S$5:S1198,'報告書'!$C$4),""))</f>
        <v/>
      </c>
      <c r="AK1198" s="20" t="n"/>
      <c r="AL1198" s="47" t="n"/>
      <c r="AM1198" s="47" t="n"/>
      <c r="AN1198" s="53" t="n"/>
      <c r="AO1198" s="47" t="n"/>
      <c r="AP1198" s="47" t="n"/>
      <c r="AQ1198" s="47" t="n"/>
      <c r="AR1198" s="47" t="n"/>
      <c r="AS1198" s="47" t="n"/>
      <c r="AT1198" s="47" t="n"/>
      <c r="AU1198" s="47" t="n"/>
      <c r="AV1198" s="47" t="n"/>
      <c r="AW1198" s="52" t="n"/>
    </row>
    <row r="1199">
      <c r="A1199" s="48" t="n"/>
      <c r="B1199" s="52" t="n"/>
      <c r="C1199" s="47">
        <f>IF(B1199="","",IFERROR(INDEX('隊員マスタ'!$B$5:$B$204,MATCH(B1199&amp;"",'隊員マスタ'!$F$5:$F$204,0)),IF(AK1199="","番号なし",AK1199)))</f>
        <v/>
      </c>
      <c r="D1199" s="47" t="n"/>
      <c r="E1199" s="47" t="n"/>
      <c r="F1199" s="47" t="n"/>
      <c r="G1199" s="47" t="n"/>
      <c r="H1199" s="47" t="n"/>
      <c r="I1199" s="47" t="n"/>
      <c r="J1199" s="47" t="n"/>
      <c r="K1199" s="47" t="n"/>
      <c r="L1199" s="47" t="n"/>
      <c r="M1199" s="47" t="n"/>
      <c r="N1199" s="47" t="n"/>
      <c r="O1199" s="47" t="n"/>
      <c r="P1199" s="47" t="n"/>
      <c r="Q1199" s="47" t="n"/>
      <c r="R1199" s="47" t="n"/>
      <c r="S1199" s="47" t="n"/>
      <c r="T1199" s="47" t="n"/>
      <c r="U1199" s="53" t="n"/>
      <c r="V1199" s="53" t="n"/>
      <c r="W1199" s="47" t="n"/>
      <c r="X1199" s="47" t="n"/>
      <c r="Y1199" s="47" t="n"/>
      <c r="Z1199" s="47" t="n"/>
      <c r="AA1199" s="47" t="n"/>
      <c r="AB1199" s="47" t="n"/>
      <c r="AC1199" s="47" t="n"/>
      <c r="AD1199" s="47" t="n"/>
      <c r="AE1199" s="47" t="n"/>
      <c r="AF1199" s="20">
        <f>IF(A1199="","",YEAR(EDATE(A1199,-3)))</f>
        <v/>
      </c>
      <c r="AG1199" s="20">
        <f>IF(OR(B1199="",'経歴簿'!$C$4=""),"",IF(B1199&amp;""='経歴簿'!$C$4&amp;"",MAX($AG$4:AG1198)+1,""))</f>
        <v/>
      </c>
      <c r="AH1199" s="20">
        <f>IF(A1199="",0,IF(AND(OR('CSV抽出'!$C$4="",A1199&gt;='CSV抽出'!$C$4),OR('CSV抽出'!$C$5="",A1199&lt;='CSV抽出'!$C$5),OR('CSV抽出'!$C$6="すべて",'CSV抽出'!$C$6="",D1199='CSV抽出'!$C$6),OR('CSV抽出'!$C$7="",B1199&amp;""='CSV抽出'!$C$7&amp;"")),1,0))</f>
        <v/>
      </c>
      <c r="AI1199" s="20">
        <f>IF(AH1199=1,SUM($AH$5:AH1199),"")</f>
        <v/>
      </c>
      <c r="AJ1199" s="20">
        <f>IF(OR(S1199="",'報告書'!$C$4=""),"",IF(S1199&amp;""='報告書'!$C$4&amp;"",COUNTIF($S$5:S1199,'報告書'!$C$4),""))</f>
        <v/>
      </c>
      <c r="AK1199" s="20" t="n"/>
      <c r="AL1199" s="47" t="n"/>
      <c r="AM1199" s="47" t="n"/>
      <c r="AN1199" s="53" t="n"/>
      <c r="AO1199" s="47" t="n"/>
      <c r="AP1199" s="47" t="n"/>
      <c r="AQ1199" s="47" t="n"/>
      <c r="AR1199" s="47" t="n"/>
      <c r="AS1199" s="47" t="n"/>
      <c r="AT1199" s="47" t="n"/>
      <c r="AU1199" s="47" t="n"/>
      <c r="AV1199" s="47" t="n"/>
      <c r="AW1199" s="52" t="n"/>
    </row>
    <row r="1200">
      <c r="A1200" s="48" t="n"/>
      <c r="B1200" s="52" t="n"/>
      <c r="C1200" s="47">
        <f>IF(B1200="","",IFERROR(INDEX('隊員マスタ'!$B$5:$B$204,MATCH(B1200&amp;"",'隊員マスタ'!$F$5:$F$204,0)),IF(AK1200="","番号なし",AK1200)))</f>
        <v/>
      </c>
      <c r="D1200" s="47" t="n"/>
      <c r="E1200" s="47" t="n"/>
      <c r="F1200" s="47" t="n"/>
      <c r="G1200" s="47" t="n"/>
      <c r="H1200" s="47" t="n"/>
      <c r="I1200" s="47" t="n"/>
      <c r="J1200" s="47" t="n"/>
      <c r="K1200" s="47" t="n"/>
      <c r="L1200" s="47" t="n"/>
      <c r="M1200" s="47" t="n"/>
      <c r="N1200" s="47" t="n"/>
      <c r="O1200" s="47" t="n"/>
      <c r="P1200" s="47" t="n"/>
      <c r="Q1200" s="47" t="n"/>
      <c r="R1200" s="47" t="n"/>
      <c r="S1200" s="47" t="n"/>
      <c r="T1200" s="47" t="n"/>
      <c r="U1200" s="53" t="n"/>
      <c r="V1200" s="53" t="n"/>
      <c r="W1200" s="47" t="n"/>
      <c r="X1200" s="47" t="n"/>
      <c r="Y1200" s="47" t="n"/>
      <c r="Z1200" s="47" t="n"/>
      <c r="AA1200" s="47" t="n"/>
      <c r="AB1200" s="47" t="n"/>
      <c r="AC1200" s="47" t="n"/>
      <c r="AD1200" s="47" t="n"/>
      <c r="AE1200" s="47" t="n"/>
      <c r="AF1200" s="20">
        <f>IF(A1200="","",YEAR(EDATE(A1200,-3)))</f>
        <v/>
      </c>
      <c r="AG1200" s="20">
        <f>IF(OR(B1200="",'経歴簿'!$C$4=""),"",IF(B1200&amp;""='経歴簿'!$C$4&amp;"",MAX($AG$4:AG1199)+1,""))</f>
        <v/>
      </c>
      <c r="AH1200" s="20">
        <f>IF(A1200="",0,IF(AND(OR('CSV抽出'!$C$4="",A1200&gt;='CSV抽出'!$C$4),OR('CSV抽出'!$C$5="",A1200&lt;='CSV抽出'!$C$5),OR('CSV抽出'!$C$6="すべて",'CSV抽出'!$C$6="",D1200='CSV抽出'!$C$6),OR('CSV抽出'!$C$7="",B1200&amp;""='CSV抽出'!$C$7&amp;"")),1,0))</f>
        <v/>
      </c>
      <c r="AI1200" s="20">
        <f>IF(AH1200=1,SUM($AH$5:AH1200),"")</f>
        <v/>
      </c>
      <c r="AJ1200" s="20">
        <f>IF(OR(S1200="",'報告書'!$C$4=""),"",IF(S1200&amp;""='報告書'!$C$4&amp;"",COUNTIF($S$5:S1200,'報告書'!$C$4),""))</f>
        <v/>
      </c>
      <c r="AK1200" s="20" t="n"/>
      <c r="AL1200" s="47" t="n"/>
      <c r="AM1200" s="47" t="n"/>
      <c r="AN1200" s="53" t="n"/>
      <c r="AO1200" s="47" t="n"/>
      <c r="AP1200" s="47" t="n"/>
      <c r="AQ1200" s="47" t="n"/>
      <c r="AR1200" s="47" t="n"/>
      <c r="AS1200" s="47" t="n"/>
      <c r="AT1200" s="47" t="n"/>
      <c r="AU1200" s="47" t="n"/>
      <c r="AV1200" s="47" t="n"/>
      <c r="AW1200" s="52" t="n"/>
    </row>
    <row r="1201">
      <c r="A1201" s="48" t="n"/>
      <c r="B1201" s="52" t="n"/>
      <c r="C1201" s="47">
        <f>IF(B1201="","",IFERROR(INDEX('隊員マスタ'!$B$5:$B$204,MATCH(B1201&amp;"",'隊員マスタ'!$F$5:$F$204,0)),IF(AK1201="","番号なし",AK1201)))</f>
        <v/>
      </c>
      <c r="D1201" s="47" t="n"/>
      <c r="E1201" s="47" t="n"/>
      <c r="F1201" s="47" t="n"/>
      <c r="G1201" s="47" t="n"/>
      <c r="H1201" s="47" t="n"/>
      <c r="I1201" s="47" t="n"/>
      <c r="J1201" s="47" t="n"/>
      <c r="K1201" s="47" t="n"/>
      <c r="L1201" s="47" t="n"/>
      <c r="M1201" s="47" t="n"/>
      <c r="N1201" s="47" t="n"/>
      <c r="O1201" s="47" t="n"/>
      <c r="P1201" s="47" t="n"/>
      <c r="Q1201" s="47" t="n"/>
      <c r="R1201" s="47" t="n"/>
      <c r="S1201" s="47" t="n"/>
      <c r="T1201" s="47" t="n"/>
      <c r="U1201" s="53" t="n"/>
      <c r="V1201" s="53" t="n"/>
      <c r="W1201" s="47" t="n"/>
      <c r="X1201" s="47" t="n"/>
      <c r="Y1201" s="47" t="n"/>
      <c r="Z1201" s="47" t="n"/>
      <c r="AA1201" s="47" t="n"/>
      <c r="AB1201" s="47" t="n"/>
      <c r="AC1201" s="47" t="n"/>
      <c r="AD1201" s="47" t="n"/>
      <c r="AE1201" s="47" t="n"/>
      <c r="AF1201" s="20">
        <f>IF(A1201="","",YEAR(EDATE(A1201,-3)))</f>
        <v/>
      </c>
      <c r="AG1201" s="20">
        <f>IF(OR(B1201="",'経歴簿'!$C$4=""),"",IF(B1201&amp;""='経歴簿'!$C$4&amp;"",MAX($AG$4:AG1200)+1,""))</f>
        <v/>
      </c>
      <c r="AH1201" s="20">
        <f>IF(A1201="",0,IF(AND(OR('CSV抽出'!$C$4="",A1201&gt;='CSV抽出'!$C$4),OR('CSV抽出'!$C$5="",A1201&lt;='CSV抽出'!$C$5),OR('CSV抽出'!$C$6="すべて",'CSV抽出'!$C$6="",D1201='CSV抽出'!$C$6),OR('CSV抽出'!$C$7="",B1201&amp;""='CSV抽出'!$C$7&amp;"")),1,0))</f>
        <v/>
      </c>
      <c r="AI1201" s="20">
        <f>IF(AH1201=1,SUM($AH$5:AH1201),"")</f>
        <v/>
      </c>
      <c r="AJ1201" s="20">
        <f>IF(OR(S1201="",'報告書'!$C$4=""),"",IF(S1201&amp;""='報告書'!$C$4&amp;"",COUNTIF($S$5:S1201,'報告書'!$C$4),""))</f>
        <v/>
      </c>
      <c r="AK1201" s="20" t="n"/>
      <c r="AL1201" s="47" t="n"/>
      <c r="AM1201" s="47" t="n"/>
      <c r="AN1201" s="53" t="n"/>
      <c r="AO1201" s="47" t="n"/>
      <c r="AP1201" s="47" t="n"/>
      <c r="AQ1201" s="47" t="n"/>
      <c r="AR1201" s="47" t="n"/>
      <c r="AS1201" s="47" t="n"/>
      <c r="AT1201" s="47" t="n"/>
      <c r="AU1201" s="47" t="n"/>
      <c r="AV1201" s="47" t="n"/>
      <c r="AW1201" s="52" t="n"/>
    </row>
    <row r="1202">
      <c r="A1202" s="48" t="n"/>
      <c r="B1202" s="52" t="n"/>
      <c r="C1202" s="47">
        <f>IF(B1202="","",IFERROR(INDEX('隊員マスタ'!$B$5:$B$204,MATCH(B1202&amp;"",'隊員マスタ'!$F$5:$F$204,0)),IF(AK1202="","番号なし",AK1202)))</f>
        <v/>
      </c>
      <c r="D1202" s="47" t="n"/>
      <c r="E1202" s="47" t="n"/>
      <c r="F1202" s="47" t="n"/>
      <c r="G1202" s="47" t="n"/>
      <c r="H1202" s="47" t="n"/>
      <c r="I1202" s="47" t="n"/>
      <c r="J1202" s="47" t="n"/>
      <c r="K1202" s="47" t="n"/>
      <c r="L1202" s="47" t="n"/>
      <c r="M1202" s="47" t="n"/>
      <c r="N1202" s="47" t="n"/>
      <c r="O1202" s="47" t="n"/>
      <c r="P1202" s="47" t="n"/>
      <c r="Q1202" s="47" t="n"/>
      <c r="R1202" s="47" t="n"/>
      <c r="S1202" s="47" t="n"/>
      <c r="T1202" s="47" t="n"/>
      <c r="U1202" s="53" t="n"/>
      <c r="V1202" s="53" t="n"/>
      <c r="W1202" s="47" t="n"/>
      <c r="X1202" s="47" t="n"/>
      <c r="Y1202" s="47" t="n"/>
      <c r="Z1202" s="47" t="n"/>
      <c r="AA1202" s="47" t="n"/>
      <c r="AB1202" s="47" t="n"/>
      <c r="AC1202" s="47" t="n"/>
      <c r="AD1202" s="47" t="n"/>
      <c r="AE1202" s="47" t="n"/>
      <c r="AF1202" s="20">
        <f>IF(A1202="","",YEAR(EDATE(A1202,-3)))</f>
        <v/>
      </c>
      <c r="AG1202" s="20">
        <f>IF(OR(B1202="",'経歴簿'!$C$4=""),"",IF(B1202&amp;""='経歴簿'!$C$4&amp;"",MAX($AG$4:AG1201)+1,""))</f>
        <v/>
      </c>
      <c r="AH1202" s="20">
        <f>IF(A1202="",0,IF(AND(OR('CSV抽出'!$C$4="",A1202&gt;='CSV抽出'!$C$4),OR('CSV抽出'!$C$5="",A1202&lt;='CSV抽出'!$C$5),OR('CSV抽出'!$C$6="すべて",'CSV抽出'!$C$6="",D1202='CSV抽出'!$C$6),OR('CSV抽出'!$C$7="",B1202&amp;""='CSV抽出'!$C$7&amp;"")),1,0))</f>
        <v/>
      </c>
      <c r="AI1202" s="20">
        <f>IF(AH1202=1,SUM($AH$5:AH1202),"")</f>
        <v/>
      </c>
      <c r="AJ1202" s="20">
        <f>IF(OR(S1202="",'報告書'!$C$4=""),"",IF(S1202&amp;""='報告書'!$C$4&amp;"",COUNTIF($S$5:S1202,'報告書'!$C$4),""))</f>
        <v/>
      </c>
      <c r="AK1202" s="20" t="n"/>
      <c r="AL1202" s="47" t="n"/>
      <c r="AM1202" s="47" t="n"/>
      <c r="AN1202" s="53" t="n"/>
      <c r="AO1202" s="47" t="n"/>
      <c r="AP1202" s="47" t="n"/>
      <c r="AQ1202" s="47" t="n"/>
      <c r="AR1202" s="47" t="n"/>
      <c r="AS1202" s="47" t="n"/>
      <c r="AT1202" s="47" t="n"/>
      <c r="AU1202" s="47" t="n"/>
      <c r="AV1202" s="47" t="n"/>
      <c r="AW1202" s="52" t="n"/>
    </row>
    <row r="1203">
      <c r="A1203" s="48" t="n"/>
      <c r="B1203" s="52" t="n"/>
      <c r="C1203" s="47">
        <f>IF(B1203="","",IFERROR(INDEX('隊員マスタ'!$B$5:$B$204,MATCH(B1203&amp;"",'隊員マスタ'!$F$5:$F$204,0)),IF(AK1203="","番号なし",AK1203)))</f>
        <v/>
      </c>
      <c r="D1203" s="47" t="n"/>
      <c r="E1203" s="47" t="n"/>
      <c r="F1203" s="47" t="n"/>
      <c r="G1203" s="47" t="n"/>
      <c r="H1203" s="47" t="n"/>
      <c r="I1203" s="47" t="n"/>
      <c r="J1203" s="47" t="n"/>
      <c r="K1203" s="47" t="n"/>
      <c r="L1203" s="47" t="n"/>
      <c r="M1203" s="47" t="n"/>
      <c r="N1203" s="47" t="n"/>
      <c r="O1203" s="47" t="n"/>
      <c r="P1203" s="47" t="n"/>
      <c r="Q1203" s="47" t="n"/>
      <c r="R1203" s="47" t="n"/>
      <c r="S1203" s="47" t="n"/>
      <c r="T1203" s="47" t="n"/>
      <c r="U1203" s="53" t="n"/>
      <c r="V1203" s="53" t="n"/>
      <c r="W1203" s="47" t="n"/>
      <c r="X1203" s="47" t="n"/>
      <c r="Y1203" s="47" t="n"/>
      <c r="Z1203" s="47" t="n"/>
      <c r="AA1203" s="47" t="n"/>
      <c r="AB1203" s="47" t="n"/>
      <c r="AC1203" s="47" t="n"/>
      <c r="AD1203" s="47" t="n"/>
      <c r="AE1203" s="47" t="n"/>
      <c r="AF1203" s="20">
        <f>IF(A1203="","",YEAR(EDATE(A1203,-3)))</f>
        <v/>
      </c>
      <c r="AG1203" s="20">
        <f>IF(OR(B1203="",'経歴簿'!$C$4=""),"",IF(B1203&amp;""='経歴簿'!$C$4&amp;"",MAX($AG$4:AG1202)+1,""))</f>
        <v/>
      </c>
      <c r="AH1203" s="20">
        <f>IF(A1203="",0,IF(AND(OR('CSV抽出'!$C$4="",A1203&gt;='CSV抽出'!$C$4),OR('CSV抽出'!$C$5="",A1203&lt;='CSV抽出'!$C$5),OR('CSV抽出'!$C$6="すべて",'CSV抽出'!$C$6="",D1203='CSV抽出'!$C$6),OR('CSV抽出'!$C$7="",B1203&amp;""='CSV抽出'!$C$7&amp;"")),1,0))</f>
        <v/>
      </c>
      <c r="AI1203" s="20">
        <f>IF(AH1203=1,SUM($AH$5:AH1203),"")</f>
        <v/>
      </c>
      <c r="AJ1203" s="20">
        <f>IF(OR(S1203="",'報告書'!$C$4=""),"",IF(S1203&amp;""='報告書'!$C$4&amp;"",COUNTIF($S$5:S1203,'報告書'!$C$4),""))</f>
        <v/>
      </c>
      <c r="AK1203" s="20" t="n"/>
      <c r="AL1203" s="47" t="n"/>
      <c r="AM1203" s="47" t="n"/>
      <c r="AN1203" s="53" t="n"/>
      <c r="AO1203" s="47" t="n"/>
      <c r="AP1203" s="47" t="n"/>
      <c r="AQ1203" s="47" t="n"/>
      <c r="AR1203" s="47" t="n"/>
      <c r="AS1203" s="47" t="n"/>
      <c r="AT1203" s="47" t="n"/>
      <c r="AU1203" s="47" t="n"/>
      <c r="AV1203" s="47" t="n"/>
      <c r="AW1203" s="52" t="n"/>
    </row>
    <row r="1204">
      <c r="A1204" s="48" t="n"/>
      <c r="B1204" s="52" t="n"/>
      <c r="C1204" s="47">
        <f>IF(B1204="","",IFERROR(INDEX('隊員マスタ'!$B$5:$B$204,MATCH(B1204&amp;"",'隊員マスタ'!$F$5:$F$204,0)),IF(AK1204="","番号なし",AK1204)))</f>
        <v/>
      </c>
      <c r="D1204" s="47" t="n"/>
      <c r="E1204" s="47" t="n"/>
      <c r="F1204" s="47" t="n"/>
      <c r="G1204" s="47" t="n"/>
      <c r="H1204" s="47" t="n"/>
      <c r="I1204" s="47" t="n"/>
      <c r="J1204" s="47" t="n"/>
      <c r="K1204" s="47" t="n"/>
      <c r="L1204" s="47" t="n"/>
      <c r="M1204" s="47" t="n"/>
      <c r="N1204" s="47" t="n"/>
      <c r="O1204" s="47" t="n"/>
      <c r="P1204" s="47" t="n"/>
      <c r="Q1204" s="47" t="n"/>
      <c r="R1204" s="47" t="n"/>
      <c r="S1204" s="47" t="n"/>
      <c r="T1204" s="47" t="n"/>
      <c r="U1204" s="53" t="n"/>
      <c r="V1204" s="53" t="n"/>
      <c r="W1204" s="47" t="n"/>
      <c r="X1204" s="47" t="n"/>
      <c r="Y1204" s="47" t="n"/>
      <c r="Z1204" s="47" t="n"/>
      <c r="AA1204" s="47" t="n"/>
      <c r="AB1204" s="47" t="n"/>
      <c r="AC1204" s="47" t="n"/>
      <c r="AD1204" s="47" t="n"/>
      <c r="AE1204" s="47" t="n"/>
      <c r="AF1204" s="20">
        <f>IF(A1204="","",YEAR(EDATE(A1204,-3)))</f>
        <v/>
      </c>
      <c r="AG1204" s="20">
        <f>IF(OR(B1204="",'経歴簿'!$C$4=""),"",IF(B1204&amp;""='経歴簿'!$C$4&amp;"",MAX($AG$4:AG1203)+1,""))</f>
        <v/>
      </c>
      <c r="AH1204" s="20">
        <f>IF(A1204="",0,IF(AND(OR('CSV抽出'!$C$4="",A1204&gt;='CSV抽出'!$C$4),OR('CSV抽出'!$C$5="",A1204&lt;='CSV抽出'!$C$5),OR('CSV抽出'!$C$6="すべて",'CSV抽出'!$C$6="",D1204='CSV抽出'!$C$6),OR('CSV抽出'!$C$7="",B1204&amp;""='CSV抽出'!$C$7&amp;"")),1,0))</f>
        <v/>
      </c>
      <c r="AI1204" s="20">
        <f>IF(AH1204=1,SUM($AH$5:AH1204),"")</f>
        <v/>
      </c>
      <c r="AJ1204" s="20">
        <f>IF(OR(S1204="",'報告書'!$C$4=""),"",IF(S1204&amp;""='報告書'!$C$4&amp;"",COUNTIF($S$5:S1204,'報告書'!$C$4),""))</f>
        <v/>
      </c>
      <c r="AK1204" s="20" t="n"/>
      <c r="AL1204" s="47" t="n"/>
      <c r="AM1204" s="47" t="n"/>
      <c r="AN1204" s="53" t="n"/>
      <c r="AO1204" s="47" t="n"/>
      <c r="AP1204" s="47" t="n"/>
      <c r="AQ1204" s="47" t="n"/>
      <c r="AR1204" s="47" t="n"/>
      <c r="AS1204" s="47" t="n"/>
      <c r="AT1204" s="47" t="n"/>
      <c r="AU1204" s="47" t="n"/>
      <c r="AV1204" s="47" t="n"/>
      <c r="AW1204" s="52" t="n"/>
    </row>
    <row r="1205">
      <c r="A1205" s="48" t="n"/>
      <c r="B1205" s="52" t="n"/>
      <c r="C1205" s="47">
        <f>IF(B1205="","",IFERROR(INDEX('隊員マスタ'!$B$5:$B$204,MATCH(B1205&amp;"",'隊員マスタ'!$F$5:$F$204,0)),IF(AK1205="","番号なし",AK1205)))</f>
        <v/>
      </c>
      <c r="D1205" s="47" t="n"/>
      <c r="E1205" s="47" t="n"/>
      <c r="F1205" s="47" t="n"/>
      <c r="G1205" s="47" t="n"/>
      <c r="H1205" s="47" t="n"/>
      <c r="I1205" s="47" t="n"/>
      <c r="J1205" s="47" t="n"/>
      <c r="K1205" s="47" t="n"/>
      <c r="L1205" s="47" t="n"/>
      <c r="M1205" s="47" t="n"/>
      <c r="N1205" s="47" t="n"/>
      <c r="O1205" s="47" t="n"/>
      <c r="P1205" s="47" t="n"/>
      <c r="Q1205" s="47" t="n"/>
      <c r="R1205" s="47" t="n"/>
      <c r="S1205" s="47" t="n"/>
      <c r="T1205" s="47" t="n"/>
      <c r="U1205" s="53" t="n"/>
      <c r="V1205" s="53" t="n"/>
      <c r="W1205" s="47" t="n"/>
      <c r="X1205" s="47" t="n"/>
      <c r="Y1205" s="47" t="n"/>
      <c r="Z1205" s="47" t="n"/>
      <c r="AA1205" s="47" t="n"/>
      <c r="AB1205" s="47" t="n"/>
      <c r="AC1205" s="47" t="n"/>
      <c r="AD1205" s="47" t="n"/>
      <c r="AE1205" s="47" t="n"/>
      <c r="AF1205" s="20">
        <f>IF(A1205="","",YEAR(EDATE(A1205,-3)))</f>
        <v/>
      </c>
      <c r="AG1205" s="20">
        <f>IF(OR(B1205="",'経歴簿'!$C$4=""),"",IF(B1205&amp;""='経歴簿'!$C$4&amp;"",MAX($AG$4:AG1204)+1,""))</f>
        <v/>
      </c>
      <c r="AH1205" s="20">
        <f>IF(A1205="",0,IF(AND(OR('CSV抽出'!$C$4="",A1205&gt;='CSV抽出'!$C$4),OR('CSV抽出'!$C$5="",A1205&lt;='CSV抽出'!$C$5),OR('CSV抽出'!$C$6="すべて",'CSV抽出'!$C$6="",D1205='CSV抽出'!$C$6),OR('CSV抽出'!$C$7="",B1205&amp;""='CSV抽出'!$C$7&amp;"")),1,0))</f>
        <v/>
      </c>
      <c r="AI1205" s="20">
        <f>IF(AH1205=1,SUM($AH$5:AH1205),"")</f>
        <v/>
      </c>
      <c r="AJ1205" s="20">
        <f>IF(OR(S1205="",'報告書'!$C$4=""),"",IF(S1205&amp;""='報告書'!$C$4&amp;"",COUNTIF($S$5:S1205,'報告書'!$C$4),""))</f>
        <v/>
      </c>
      <c r="AK1205" s="20" t="n"/>
      <c r="AL1205" s="47" t="n"/>
      <c r="AM1205" s="47" t="n"/>
      <c r="AN1205" s="53" t="n"/>
      <c r="AO1205" s="47" t="n"/>
      <c r="AP1205" s="47" t="n"/>
      <c r="AQ1205" s="47" t="n"/>
      <c r="AR1205" s="47" t="n"/>
      <c r="AS1205" s="47" t="n"/>
      <c r="AT1205" s="47" t="n"/>
      <c r="AU1205" s="47" t="n"/>
      <c r="AV1205" s="47" t="n"/>
      <c r="AW1205" s="52" t="n"/>
    </row>
    <row r="1206">
      <c r="A1206" s="48" t="n"/>
      <c r="B1206" s="52" t="n"/>
      <c r="C1206" s="47">
        <f>IF(B1206="","",IFERROR(INDEX('隊員マスタ'!$B$5:$B$204,MATCH(B1206&amp;"",'隊員マスタ'!$F$5:$F$204,0)),IF(AK1206="","番号なし",AK1206)))</f>
        <v/>
      </c>
      <c r="D1206" s="47" t="n"/>
      <c r="E1206" s="47" t="n"/>
      <c r="F1206" s="47" t="n"/>
      <c r="G1206" s="47" t="n"/>
      <c r="H1206" s="47" t="n"/>
      <c r="I1206" s="47" t="n"/>
      <c r="J1206" s="47" t="n"/>
      <c r="K1206" s="47" t="n"/>
      <c r="L1206" s="47" t="n"/>
      <c r="M1206" s="47" t="n"/>
      <c r="N1206" s="47" t="n"/>
      <c r="O1206" s="47" t="n"/>
      <c r="P1206" s="47" t="n"/>
      <c r="Q1206" s="47" t="n"/>
      <c r="R1206" s="47" t="n"/>
      <c r="S1206" s="47" t="n"/>
      <c r="T1206" s="47" t="n"/>
      <c r="U1206" s="53" t="n"/>
      <c r="V1206" s="53" t="n"/>
      <c r="W1206" s="47" t="n"/>
      <c r="X1206" s="47" t="n"/>
      <c r="Y1206" s="47" t="n"/>
      <c r="Z1206" s="47" t="n"/>
      <c r="AA1206" s="47" t="n"/>
      <c r="AB1206" s="47" t="n"/>
      <c r="AC1206" s="47" t="n"/>
      <c r="AD1206" s="47" t="n"/>
      <c r="AE1206" s="47" t="n"/>
      <c r="AF1206" s="20">
        <f>IF(A1206="","",YEAR(EDATE(A1206,-3)))</f>
        <v/>
      </c>
      <c r="AG1206" s="20">
        <f>IF(OR(B1206="",'経歴簿'!$C$4=""),"",IF(B1206&amp;""='経歴簿'!$C$4&amp;"",MAX($AG$4:AG1205)+1,""))</f>
        <v/>
      </c>
      <c r="AH1206" s="20">
        <f>IF(A1206="",0,IF(AND(OR('CSV抽出'!$C$4="",A1206&gt;='CSV抽出'!$C$4),OR('CSV抽出'!$C$5="",A1206&lt;='CSV抽出'!$C$5),OR('CSV抽出'!$C$6="すべて",'CSV抽出'!$C$6="",D1206='CSV抽出'!$C$6),OR('CSV抽出'!$C$7="",B1206&amp;""='CSV抽出'!$C$7&amp;"")),1,0))</f>
        <v/>
      </c>
      <c r="AI1206" s="20">
        <f>IF(AH1206=1,SUM($AH$5:AH1206),"")</f>
        <v/>
      </c>
      <c r="AJ1206" s="20">
        <f>IF(OR(S1206="",'報告書'!$C$4=""),"",IF(S1206&amp;""='報告書'!$C$4&amp;"",COUNTIF($S$5:S1206,'報告書'!$C$4),""))</f>
        <v/>
      </c>
      <c r="AK1206" s="20" t="n"/>
      <c r="AL1206" s="47" t="n"/>
      <c r="AM1206" s="47" t="n"/>
      <c r="AN1206" s="53" t="n"/>
      <c r="AO1206" s="47" t="n"/>
      <c r="AP1206" s="47" t="n"/>
      <c r="AQ1206" s="47" t="n"/>
      <c r="AR1206" s="47" t="n"/>
      <c r="AS1206" s="47" t="n"/>
      <c r="AT1206" s="47" t="n"/>
      <c r="AU1206" s="47" t="n"/>
      <c r="AV1206" s="47" t="n"/>
      <c r="AW1206" s="52" t="n"/>
    </row>
    <row r="1207">
      <c r="A1207" s="48" t="n"/>
      <c r="B1207" s="52" t="n"/>
      <c r="C1207" s="47">
        <f>IF(B1207="","",IFERROR(INDEX('隊員マスタ'!$B$5:$B$204,MATCH(B1207&amp;"",'隊員マスタ'!$F$5:$F$204,0)),IF(AK1207="","番号なし",AK1207)))</f>
        <v/>
      </c>
      <c r="D1207" s="47" t="n"/>
      <c r="E1207" s="47" t="n"/>
      <c r="F1207" s="47" t="n"/>
      <c r="G1207" s="47" t="n"/>
      <c r="H1207" s="47" t="n"/>
      <c r="I1207" s="47" t="n"/>
      <c r="J1207" s="47" t="n"/>
      <c r="K1207" s="47" t="n"/>
      <c r="L1207" s="47" t="n"/>
      <c r="M1207" s="47" t="n"/>
      <c r="N1207" s="47" t="n"/>
      <c r="O1207" s="47" t="n"/>
      <c r="P1207" s="47" t="n"/>
      <c r="Q1207" s="47" t="n"/>
      <c r="R1207" s="47" t="n"/>
      <c r="S1207" s="47" t="n"/>
      <c r="T1207" s="47" t="n"/>
      <c r="U1207" s="53" t="n"/>
      <c r="V1207" s="53" t="n"/>
      <c r="W1207" s="47" t="n"/>
      <c r="X1207" s="47" t="n"/>
      <c r="Y1207" s="47" t="n"/>
      <c r="Z1207" s="47" t="n"/>
      <c r="AA1207" s="47" t="n"/>
      <c r="AB1207" s="47" t="n"/>
      <c r="AC1207" s="47" t="n"/>
      <c r="AD1207" s="47" t="n"/>
      <c r="AE1207" s="47" t="n"/>
      <c r="AF1207" s="20">
        <f>IF(A1207="","",YEAR(EDATE(A1207,-3)))</f>
        <v/>
      </c>
      <c r="AG1207" s="20">
        <f>IF(OR(B1207="",'経歴簿'!$C$4=""),"",IF(B1207&amp;""='経歴簿'!$C$4&amp;"",MAX($AG$4:AG1206)+1,""))</f>
        <v/>
      </c>
      <c r="AH1207" s="20">
        <f>IF(A1207="",0,IF(AND(OR('CSV抽出'!$C$4="",A1207&gt;='CSV抽出'!$C$4),OR('CSV抽出'!$C$5="",A1207&lt;='CSV抽出'!$C$5),OR('CSV抽出'!$C$6="すべて",'CSV抽出'!$C$6="",D1207='CSV抽出'!$C$6),OR('CSV抽出'!$C$7="",B1207&amp;""='CSV抽出'!$C$7&amp;"")),1,0))</f>
        <v/>
      </c>
      <c r="AI1207" s="20">
        <f>IF(AH1207=1,SUM($AH$5:AH1207),"")</f>
        <v/>
      </c>
      <c r="AJ1207" s="20">
        <f>IF(OR(S1207="",'報告書'!$C$4=""),"",IF(S1207&amp;""='報告書'!$C$4&amp;"",COUNTIF($S$5:S1207,'報告書'!$C$4),""))</f>
        <v/>
      </c>
      <c r="AK1207" s="20" t="n"/>
      <c r="AL1207" s="47" t="n"/>
      <c r="AM1207" s="47" t="n"/>
      <c r="AN1207" s="53" t="n"/>
      <c r="AO1207" s="47" t="n"/>
      <c r="AP1207" s="47" t="n"/>
      <c r="AQ1207" s="47" t="n"/>
      <c r="AR1207" s="47" t="n"/>
      <c r="AS1207" s="47" t="n"/>
      <c r="AT1207" s="47" t="n"/>
      <c r="AU1207" s="47" t="n"/>
      <c r="AV1207" s="47" t="n"/>
      <c r="AW1207" s="52" t="n"/>
    </row>
    <row r="1208">
      <c r="A1208" s="48" t="n"/>
      <c r="B1208" s="52" t="n"/>
      <c r="C1208" s="47">
        <f>IF(B1208="","",IFERROR(INDEX('隊員マスタ'!$B$5:$B$204,MATCH(B1208&amp;"",'隊員マスタ'!$F$5:$F$204,0)),IF(AK1208="","番号なし",AK1208)))</f>
        <v/>
      </c>
      <c r="D1208" s="47" t="n"/>
      <c r="E1208" s="47" t="n"/>
      <c r="F1208" s="47" t="n"/>
      <c r="G1208" s="47" t="n"/>
      <c r="H1208" s="47" t="n"/>
      <c r="I1208" s="47" t="n"/>
      <c r="J1208" s="47" t="n"/>
      <c r="K1208" s="47" t="n"/>
      <c r="L1208" s="47" t="n"/>
      <c r="M1208" s="47" t="n"/>
      <c r="N1208" s="47" t="n"/>
      <c r="O1208" s="47" t="n"/>
      <c r="P1208" s="47" t="n"/>
      <c r="Q1208" s="47" t="n"/>
      <c r="R1208" s="47" t="n"/>
      <c r="S1208" s="47" t="n"/>
      <c r="T1208" s="47" t="n"/>
      <c r="U1208" s="53" t="n"/>
      <c r="V1208" s="53" t="n"/>
      <c r="W1208" s="47" t="n"/>
      <c r="X1208" s="47" t="n"/>
      <c r="Y1208" s="47" t="n"/>
      <c r="Z1208" s="47" t="n"/>
      <c r="AA1208" s="47" t="n"/>
      <c r="AB1208" s="47" t="n"/>
      <c r="AC1208" s="47" t="n"/>
      <c r="AD1208" s="47" t="n"/>
      <c r="AE1208" s="47" t="n"/>
      <c r="AF1208" s="20">
        <f>IF(A1208="","",YEAR(EDATE(A1208,-3)))</f>
        <v/>
      </c>
      <c r="AG1208" s="20">
        <f>IF(OR(B1208="",'経歴簿'!$C$4=""),"",IF(B1208&amp;""='経歴簿'!$C$4&amp;"",MAX($AG$4:AG1207)+1,""))</f>
        <v/>
      </c>
      <c r="AH1208" s="20">
        <f>IF(A1208="",0,IF(AND(OR('CSV抽出'!$C$4="",A1208&gt;='CSV抽出'!$C$4),OR('CSV抽出'!$C$5="",A1208&lt;='CSV抽出'!$C$5),OR('CSV抽出'!$C$6="すべて",'CSV抽出'!$C$6="",D1208='CSV抽出'!$C$6),OR('CSV抽出'!$C$7="",B1208&amp;""='CSV抽出'!$C$7&amp;"")),1,0))</f>
        <v/>
      </c>
      <c r="AI1208" s="20">
        <f>IF(AH1208=1,SUM($AH$5:AH1208),"")</f>
        <v/>
      </c>
      <c r="AJ1208" s="20">
        <f>IF(OR(S1208="",'報告書'!$C$4=""),"",IF(S1208&amp;""='報告書'!$C$4&amp;"",COUNTIF($S$5:S1208,'報告書'!$C$4),""))</f>
        <v/>
      </c>
      <c r="AK1208" s="20" t="n"/>
      <c r="AL1208" s="47" t="n"/>
      <c r="AM1208" s="47" t="n"/>
      <c r="AN1208" s="53" t="n"/>
      <c r="AO1208" s="47" t="n"/>
      <c r="AP1208" s="47" t="n"/>
      <c r="AQ1208" s="47" t="n"/>
      <c r="AR1208" s="47" t="n"/>
      <c r="AS1208" s="47" t="n"/>
      <c r="AT1208" s="47" t="n"/>
      <c r="AU1208" s="47" t="n"/>
      <c r="AV1208" s="47" t="n"/>
      <c r="AW1208" s="52" t="n"/>
    </row>
    <row r="1209">
      <c r="A1209" s="48" t="n"/>
      <c r="B1209" s="52" t="n"/>
      <c r="C1209" s="47">
        <f>IF(B1209="","",IFERROR(INDEX('隊員マスタ'!$B$5:$B$204,MATCH(B1209&amp;"",'隊員マスタ'!$F$5:$F$204,0)),IF(AK1209="","番号なし",AK1209)))</f>
        <v/>
      </c>
      <c r="D1209" s="47" t="n"/>
      <c r="E1209" s="47" t="n"/>
      <c r="F1209" s="47" t="n"/>
      <c r="G1209" s="47" t="n"/>
      <c r="H1209" s="47" t="n"/>
      <c r="I1209" s="47" t="n"/>
      <c r="J1209" s="47" t="n"/>
      <c r="K1209" s="47" t="n"/>
      <c r="L1209" s="47" t="n"/>
      <c r="M1209" s="47" t="n"/>
      <c r="N1209" s="47" t="n"/>
      <c r="O1209" s="47" t="n"/>
      <c r="P1209" s="47" t="n"/>
      <c r="Q1209" s="47" t="n"/>
      <c r="R1209" s="47" t="n"/>
      <c r="S1209" s="47" t="n"/>
      <c r="T1209" s="47" t="n"/>
      <c r="U1209" s="53" t="n"/>
      <c r="V1209" s="53" t="n"/>
      <c r="W1209" s="47" t="n"/>
      <c r="X1209" s="47" t="n"/>
      <c r="Y1209" s="47" t="n"/>
      <c r="Z1209" s="47" t="n"/>
      <c r="AA1209" s="47" t="n"/>
      <c r="AB1209" s="47" t="n"/>
      <c r="AC1209" s="47" t="n"/>
      <c r="AD1209" s="47" t="n"/>
      <c r="AE1209" s="47" t="n"/>
      <c r="AF1209" s="20">
        <f>IF(A1209="","",YEAR(EDATE(A1209,-3)))</f>
        <v/>
      </c>
      <c r="AG1209" s="20">
        <f>IF(OR(B1209="",'経歴簿'!$C$4=""),"",IF(B1209&amp;""='経歴簿'!$C$4&amp;"",MAX($AG$4:AG1208)+1,""))</f>
        <v/>
      </c>
      <c r="AH1209" s="20">
        <f>IF(A1209="",0,IF(AND(OR('CSV抽出'!$C$4="",A1209&gt;='CSV抽出'!$C$4),OR('CSV抽出'!$C$5="",A1209&lt;='CSV抽出'!$C$5),OR('CSV抽出'!$C$6="すべて",'CSV抽出'!$C$6="",D1209='CSV抽出'!$C$6),OR('CSV抽出'!$C$7="",B1209&amp;""='CSV抽出'!$C$7&amp;"")),1,0))</f>
        <v/>
      </c>
      <c r="AI1209" s="20">
        <f>IF(AH1209=1,SUM($AH$5:AH1209),"")</f>
        <v/>
      </c>
      <c r="AJ1209" s="20">
        <f>IF(OR(S1209="",'報告書'!$C$4=""),"",IF(S1209&amp;""='報告書'!$C$4&amp;"",COUNTIF($S$5:S1209,'報告書'!$C$4),""))</f>
        <v/>
      </c>
      <c r="AK1209" s="20" t="n"/>
      <c r="AL1209" s="47" t="n"/>
      <c r="AM1209" s="47" t="n"/>
      <c r="AN1209" s="53" t="n"/>
      <c r="AO1209" s="47" t="n"/>
      <c r="AP1209" s="47" t="n"/>
      <c r="AQ1209" s="47" t="n"/>
      <c r="AR1209" s="47" t="n"/>
      <c r="AS1209" s="47" t="n"/>
      <c r="AT1209" s="47" t="n"/>
      <c r="AU1209" s="47" t="n"/>
      <c r="AV1209" s="47" t="n"/>
      <c r="AW1209" s="52" t="n"/>
    </row>
    <row r="1210">
      <c r="A1210" s="48" t="n"/>
      <c r="B1210" s="52" t="n"/>
      <c r="C1210" s="47">
        <f>IF(B1210="","",IFERROR(INDEX('隊員マスタ'!$B$5:$B$204,MATCH(B1210&amp;"",'隊員マスタ'!$F$5:$F$204,0)),IF(AK1210="","番号なし",AK1210)))</f>
        <v/>
      </c>
      <c r="D1210" s="47" t="n"/>
      <c r="E1210" s="47" t="n"/>
      <c r="F1210" s="47" t="n"/>
      <c r="G1210" s="47" t="n"/>
      <c r="H1210" s="47" t="n"/>
      <c r="I1210" s="47" t="n"/>
      <c r="J1210" s="47" t="n"/>
      <c r="K1210" s="47" t="n"/>
      <c r="L1210" s="47" t="n"/>
      <c r="M1210" s="47" t="n"/>
      <c r="N1210" s="47" t="n"/>
      <c r="O1210" s="47" t="n"/>
      <c r="P1210" s="47" t="n"/>
      <c r="Q1210" s="47" t="n"/>
      <c r="R1210" s="47" t="n"/>
      <c r="S1210" s="47" t="n"/>
      <c r="T1210" s="47" t="n"/>
      <c r="U1210" s="53" t="n"/>
      <c r="V1210" s="53" t="n"/>
      <c r="W1210" s="47" t="n"/>
      <c r="X1210" s="47" t="n"/>
      <c r="Y1210" s="47" t="n"/>
      <c r="Z1210" s="47" t="n"/>
      <c r="AA1210" s="47" t="n"/>
      <c r="AB1210" s="47" t="n"/>
      <c r="AC1210" s="47" t="n"/>
      <c r="AD1210" s="47" t="n"/>
      <c r="AE1210" s="47" t="n"/>
      <c r="AF1210" s="20">
        <f>IF(A1210="","",YEAR(EDATE(A1210,-3)))</f>
        <v/>
      </c>
      <c r="AG1210" s="20">
        <f>IF(OR(B1210="",'経歴簿'!$C$4=""),"",IF(B1210&amp;""='経歴簿'!$C$4&amp;"",MAX($AG$4:AG1209)+1,""))</f>
        <v/>
      </c>
      <c r="AH1210" s="20">
        <f>IF(A1210="",0,IF(AND(OR('CSV抽出'!$C$4="",A1210&gt;='CSV抽出'!$C$4),OR('CSV抽出'!$C$5="",A1210&lt;='CSV抽出'!$C$5),OR('CSV抽出'!$C$6="すべて",'CSV抽出'!$C$6="",D1210='CSV抽出'!$C$6),OR('CSV抽出'!$C$7="",B1210&amp;""='CSV抽出'!$C$7&amp;"")),1,0))</f>
        <v/>
      </c>
      <c r="AI1210" s="20">
        <f>IF(AH1210=1,SUM($AH$5:AH1210),"")</f>
        <v/>
      </c>
      <c r="AJ1210" s="20">
        <f>IF(OR(S1210="",'報告書'!$C$4=""),"",IF(S1210&amp;""='報告書'!$C$4&amp;"",COUNTIF($S$5:S1210,'報告書'!$C$4),""))</f>
        <v/>
      </c>
      <c r="AK1210" s="20" t="n"/>
      <c r="AL1210" s="47" t="n"/>
      <c r="AM1210" s="47" t="n"/>
      <c r="AN1210" s="53" t="n"/>
      <c r="AO1210" s="47" t="n"/>
      <c r="AP1210" s="47" t="n"/>
      <c r="AQ1210" s="47" t="n"/>
      <c r="AR1210" s="47" t="n"/>
      <c r="AS1210" s="47" t="n"/>
      <c r="AT1210" s="47" t="n"/>
      <c r="AU1210" s="47" t="n"/>
      <c r="AV1210" s="47" t="n"/>
      <c r="AW1210" s="52" t="n"/>
    </row>
    <row r="1211">
      <c r="A1211" s="48" t="n"/>
      <c r="B1211" s="52" t="n"/>
      <c r="C1211" s="47">
        <f>IF(B1211="","",IFERROR(INDEX('隊員マスタ'!$B$5:$B$204,MATCH(B1211&amp;"",'隊員マスタ'!$F$5:$F$204,0)),IF(AK1211="","番号なし",AK1211)))</f>
        <v/>
      </c>
      <c r="D1211" s="47" t="n"/>
      <c r="E1211" s="47" t="n"/>
      <c r="F1211" s="47" t="n"/>
      <c r="G1211" s="47" t="n"/>
      <c r="H1211" s="47" t="n"/>
      <c r="I1211" s="47" t="n"/>
      <c r="J1211" s="47" t="n"/>
      <c r="K1211" s="47" t="n"/>
      <c r="L1211" s="47" t="n"/>
      <c r="M1211" s="47" t="n"/>
      <c r="N1211" s="47" t="n"/>
      <c r="O1211" s="47" t="n"/>
      <c r="P1211" s="47" t="n"/>
      <c r="Q1211" s="47" t="n"/>
      <c r="R1211" s="47" t="n"/>
      <c r="S1211" s="47" t="n"/>
      <c r="T1211" s="47" t="n"/>
      <c r="U1211" s="53" t="n"/>
      <c r="V1211" s="53" t="n"/>
      <c r="W1211" s="47" t="n"/>
      <c r="X1211" s="47" t="n"/>
      <c r="Y1211" s="47" t="n"/>
      <c r="Z1211" s="47" t="n"/>
      <c r="AA1211" s="47" t="n"/>
      <c r="AB1211" s="47" t="n"/>
      <c r="AC1211" s="47" t="n"/>
      <c r="AD1211" s="47" t="n"/>
      <c r="AE1211" s="47" t="n"/>
      <c r="AF1211" s="20">
        <f>IF(A1211="","",YEAR(EDATE(A1211,-3)))</f>
        <v/>
      </c>
      <c r="AG1211" s="20">
        <f>IF(OR(B1211="",'経歴簿'!$C$4=""),"",IF(B1211&amp;""='経歴簿'!$C$4&amp;"",MAX($AG$4:AG1210)+1,""))</f>
        <v/>
      </c>
      <c r="AH1211" s="20">
        <f>IF(A1211="",0,IF(AND(OR('CSV抽出'!$C$4="",A1211&gt;='CSV抽出'!$C$4),OR('CSV抽出'!$C$5="",A1211&lt;='CSV抽出'!$C$5),OR('CSV抽出'!$C$6="すべて",'CSV抽出'!$C$6="",D1211='CSV抽出'!$C$6),OR('CSV抽出'!$C$7="",B1211&amp;""='CSV抽出'!$C$7&amp;"")),1,0))</f>
        <v/>
      </c>
      <c r="AI1211" s="20">
        <f>IF(AH1211=1,SUM($AH$5:AH1211),"")</f>
        <v/>
      </c>
      <c r="AJ1211" s="20">
        <f>IF(OR(S1211="",'報告書'!$C$4=""),"",IF(S1211&amp;""='報告書'!$C$4&amp;"",COUNTIF($S$5:S1211,'報告書'!$C$4),""))</f>
        <v/>
      </c>
      <c r="AK1211" s="20" t="n"/>
      <c r="AL1211" s="47" t="n"/>
      <c r="AM1211" s="47" t="n"/>
      <c r="AN1211" s="53" t="n"/>
      <c r="AO1211" s="47" t="n"/>
      <c r="AP1211" s="47" t="n"/>
      <c r="AQ1211" s="47" t="n"/>
      <c r="AR1211" s="47" t="n"/>
      <c r="AS1211" s="47" t="n"/>
      <c r="AT1211" s="47" t="n"/>
      <c r="AU1211" s="47" t="n"/>
      <c r="AV1211" s="47" t="n"/>
      <c r="AW1211" s="52" t="n"/>
    </row>
    <row r="1212">
      <c r="A1212" s="48" t="n"/>
      <c r="B1212" s="52" t="n"/>
      <c r="C1212" s="47">
        <f>IF(B1212="","",IFERROR(INDEX('隊員マスタ'!$B$5:$B$204,MATCH(B1212&amp;"",'隊員マスタ'!$F$5:$F$204,0)),IF(AK1212="","番号なし",AK1212)))</f>
        <v/>
      </c>
      <c r="D1212" s="47" t="n"/>
      <c r="E1212" s="47" t="n"/>
      <c r="F1212" s="47" t="n"/>
      <c r="G1212" s="47" t="n"/>
      <c r="H1212" s="47" t="n"/>
      <c r="I1212" s="47" t="n"/>
      <c r="J1212" s="47" t="n"/>
      <c r="K1212" s="47" t="n"/>
      <c r="L1212" s="47" t="n"/>
      <c r="M1212" s="47" t="n"/>
      <c r="N1212" s="47" t="n"/>
      <c r="O1212" s="47" t="n"/>
      <c r="P1212" s="47" t="n"/>
      <c r="Q1212" s="47" t="n"/>
      <c r="R1212" s="47" t="n"/>
      <c r="S1212" s="47" t="n"/>
      <c r="T1212" s="47" t="n"/>
      <c r="U1212" s="53" t="n"/>
      <c r="V1212" s="53" t="n"/>
      <c r="W1212" s="47" t="n"/>
      <c r="X1212" s="47" t="n"/>
      <c r="Y1212" s="47" t="n"/>
      <c r="Z1212" s="47" t="n"/>
      <c r="AA1212" s="47" t="n"/>
      <c r="AB1212" s="47" t="n"/>
      <c r="AC1212" s="47" t="n"/>
      <c r="AD1212" s="47" t="n"/>
      <c r="AE1212" s="47" t="n"/>
      <c r="AF1212" s="20">
        <f>IF(A1212="","",YEAR(EDATE(A1212,-3)))</f>
        <v/>
      </c>
      <c r="AG1212" s="20">
        <f>IF(OR(B1212="",'経歴簿'!$C$4=""),"",IF(B1212&amp;""='経歴簿'!$C$4&amp;"",MAX($AG$4:AG1211)+1,""))</f>
        <v/>
      </c>
      <c r="AH1212" s="20">
        <f>IF(A1212="",0,IF(AND(OR('CSV抽出'!$C$4="",A1212&gt;='CSV抽出'!$C$4),OR('CSV抽出'!$C$5="",A1212&lt;='CSV抽出'!$C$5),OR('CSV抽出'!$C$6="すべて",'CSV抽出'!$C$6="",D1212='CSV抽出'!$C$6),OR('CSV抽出'!$C$7="",B1212&amp;""='CSV抽出'!$C$7&amp;"")),1,0))</f>
        <v/>
      </c>
      <c r="AI1212" s="20">
        <f>IF(AH1212=1,SUM($AH$5:AH1212),"")</f>
        <v/>
      </c>
      <c r="AJ1212" s="20">
        <f>IF(OR(S1212="",'報告書'!$C$4=""),"",IF(S1212&amp;""='報告書'!$C$4&amp;"",COUNTIF($S$5:S1212,'報告書'!$C$4),""))</f>
        <v/>
      </c>
      <c r="AK1212" s="20" t="n"/>
      <c r="AL1212" s="47" t="n"/>
      <c r="AM1212" s="47" t="n"/>
      <c r="AN1212" s="53" t="n"/>
      <c r="AO1212" s="47" t="n"/>
      <c r="AP1212" s="47" t="n"/>
      <c r="AQ1212" s="47" t="n"/>
      <c r="AR1212" s="47" t="n"/>
      <c r="AS1212" s="47" t="n"/>
      <c r="AT1212" s="47" t="n"/>
      <c r="AU1212" s="47" t="n"/>
      <c r="AV1212" s="47" t="n"/>
      <c r="AW1212" s="52" t="n"/>
    </row>
    <row r="1213">
      <c r="A1213" s="48" t="n"/>
      <c r="B1213" s="52" t="n"/>
      <c r="C1213" s="47">
        <f>IF(B1213="","",IFERROR(INDEX('隊員マスタ'!$B$5:$B$204,MATCH(B1213&amp;"",'隊員マスタ'!$F$5:$F$204,0)),IF(AK1213="","番号なし",AK1213)))</f>
        <v/>
      </c>
      <c r="D1213" s="47" t="n"/>
      <c r="E1213" s="47" t="n"/>
      <c r="F1213" s="47" t="n"/>
      <c r="G1213" s="47" t="n"/>
      <c r="H1213" s="47" t="n"/>
      <c r="I1213" s="47" t="n"/>
      <c r="J1213" s="47" t="n"/>
      <c r="K1213" s="47" t="n"/>
      <c r="L1213" s="47" t="n"/>
      <c r="M1213" s="47" t="n"/>
      <c r="N1213" s="47" t="n"/>
      <c r="O1213" s="47" t="n"/>
      <c r="P1213" s="47" t="n"/>
      <c r="Q1213" s="47" t="n"/>
      <c r="R1213" s="47" t="n"/>
      <c r="S1213" s="47" t="n"/>
      <c r="T1213" s="47" t="n"/>
      <c r="U1213" s="53" t="n"/>
      <c r="V1213" s="53" t="n"/>
      <c r="W1213" s="47" t="n"/>
      <c r="X1213" s="47" t="n"/>
      <c r="Y1213" s="47" t="n"/>
      <c r="Z1213" s="47" t="n"/>
      <c r="AA1213" s="47" t="n"/>
      <c r="AB1213" s="47" t="n"/>
      <c r="AC1213" s="47" t="n"/>
      <c r="AD1213" s="47" t="n"/>
      <c r="AE1213" s="47" t="n"/>
      <c r="AF1213" s="20">
        <f>IF(A1213="","",YEAR(EDATE(A1213,-3)))</f>
        <v/>
      </c>
      <c r="AG1213" s="20">
        <f>IF(OR(B1213="",'経歴簿'!$C$4=""),"",IF(B1213&amp;""='経歴簿'!$C$4&amp;"",MAX($AG$4:AG1212)+1,""))</f>
        <v/>
      </c>
      <c r="AH1213" s="20">
        <f>IF(A1213="",0,IF(AND(OR('CSV抽出'!$C$4="",A1213&gt;='CSV抽出'!$C$4),OR('CSV抽出'!$C$5="",A1213&lt;='CSV抽出'!$C$5),OR('CSV抽出'!$C$6="すべて",'CSV抽出'!$C$6="",D1213='CSV抽出'!$C$6),OR('CSV抽出'!$C$7="",B1213&amp;""='CSV抽出'!$C$7&amp;"")),1,0))</f>
        <v/>
      </c>
      <c r="AI1213" s="20">
        <f>IF(AH1213=1,SUM($AH$5:AH1213),"")</f>
        <v/>
      </c>
      <c r="AJ1213" s="20">
        <f>IF(OR(S1213="",'報告書'!$C$4=""),"",IF(S1213&amp;""='報告書'!$C$4&amp;"",COUNTIF($S$5:S1213,'報告書'!$C$4),""))</f>
        <v/>
      </c>
      <c r="AK1213" s="20" t="n"/>
      <c r="AL1213" s="47" t="n"/>
      <c r="AM1213" s="47" t="n"/>
      <c r="AN1213" s="53" t="n"/>
      <c r="AO1213" s="47" t="n"/>
      <c r="AP1213" s="47" t="n"/>
      <c r="AQ1213" s="47" t="n"/>
      <c r="AR1213" s="47" t="n"/>
      <c r="AS1213" s="47" t="n"/>
      <c r="AT1213" s="47" t="n"/>
      <c r="AU1213" s="47" t="n"/>
      <c r="AV1213" s="47" t="n"/>
      <c r="AW1213" s="52" t="n"/>
    </row>
    <row r="1214">
      <c r="A1214" s="48" t="n"/>
      <c r="B1214" s="52" t="n"/>
      <c r="C1214" s="47">
        <f>IF(B1214="","",IFERROR(INDEX('隊員マスタ'!$B$5:$B$204,MATCH(B1214&amp;"",'隊員マスタ'!$F$5:$F$204,0)),IF(AK1214="","番号なし",AK1214)))</f>
        <v/>
      </c>
      <c r="D1214" s="47" t="n"/>
      <c r="E1214" s="47" t="n"/>
      <c r="F1214" s="47" t="n"/>
      <c r="G1214" s="47" t="n"/>
      <c r="H1214" s="47" t="n"/>
      <c r="I1214" s="47" t="n"/>
      <c r="J1214" s="47" t="n"/>
      <c r="K1214" s="47" t="n"/>
      <c r="L1214" s="47" t="n"/>
      <c r="M1214" s="47" t="n"/>
      <c r="N1214" s="47" t="n"/>
      <c r="O1214" s="47" t="n"/>
      <c r="P1214" s="47" t="n"/>
      <c r="Q1214" s="47" t="n"/>
      <c r="R1214" s="47" t="n"/>
      <c r="S1214" s="47" t="n"/>
      <c r="T1214" s="47" t="n"/>
      <c r="U1214" s="53" t="n"/>
      <c r="V1214" s="53" t="n"/>
      <c r="W1214" s="47" t="n"/>
      <c r="X1214" s="47" t="n"/>
      <c r="Y1214" s="47" t="n"/>
      <c r="Z1214" s="47" t="n"/>
      <c r="AA1214" s="47" t="n"/>
      <c r="AB1214" s="47" t="n"/>
      <c r="AC1214" s="47" t="n"/>
      <c r="AD1214" s="47" t="n"/>
      <c r="AE1214" s="47" t="n"/>
      <c r="AF1214" s="20">
        <f>IF(A1214="","",YEAR(EDATE(A1214,-3)))</f>
        <v/>
      </c>
      <c r="AG1214" s="20">
        <f>IF(OR(B1214="",'経歴簿'!$C$4=""),"",IF(B1214&amp;""='経歴簿'!$C$4&amp;"",MAX($AG$4:AG1213)+1,""))</f>
        <v/>
      </c>
      <c r="AH1214" s="20">
        <f>IF(A1214="",0,IF(AND(OR('CSV抽出'!$C$4="",A1214&gt;='CSV抽出'!$C$4),OR('CSV抽出'!$C$5="",A1214&lt;='CSV抽出'!$C$5),OR('CSV抽出'!$C$6="すべて",'CSV抽出'!$C$6="",D1214='CSV抽出'!$C$6),OR('CSV抽出'!$C$7="",B1214&amp;""='CSV抽出'!$C$7&amp;"")),1,0))</f>
        <v/>
      </c>
      <c r="AI1214" s="20">
        <f>IF(AH1214=1,SUM($AH$5:AH1214),"")</f>
        <v/>
      </c>
      <c r="AJ1214" s="20">
        <f>IF(OR(S1214="",'報告書'!$C$4=""),"",IF(S1214&amp;""='報告書'!$C$4&amp;"",COUNTIF($S$5:S1214,'報告書'!$C$4),""))</f>
        <v/>
      </c>
      <c r="AK1214" s="20" t="n"/>
      <c r="AL1214" s="47" t="n"/>
      <c r="AM1214" s="47" t="n"/>
      <c r="AN1214" s="53" t="n"/>
      <c r="AO1214" s="47" t="n"/>
      <c r="AP1214" s="47" t="n"/>
      <c r="AQ1214" s="47" t="n"/>
      <c r="AR1214" s="47" t="n"/>
      <c r="AS1214" s="47" t="n"/>
      <c r="AT1214" s="47" t="n"/>
      <c r="AU1214" s="47" t="n"/>
      <c r="AV1214" s="47" t="n"/>
      <c r="AW1214" s="52" t="n"/>
    </row>
    <row r="1215">
      <c r="A1215" s="48" t="n"/>
      <c r="B1215" s="52" t="n"/>
      <c r="C1215" s="47">
        <f>IF(B1215="","",IFERROR(INDEX('隊員マスタ'!$B$5:$B$204,MATCH(B1215&amp;"",'隊員マスタ'!$F$5:$F$204,0)),IF(AK1215="","番号なし",AK1215)))</f>
        <v/>
      </c>
      <c r="D1215" s="47" t="n"/>
      <c r="E1215" s="47" t="n"/>
      <c r="F1215" s="47" t="n"/>
      <c r="G1215" s="47" t="n"/>
      <c r="H1215" s="47" t="n"/>
      <c r="I1215" s="47" t="n"/>
      <c r="J1215" s="47" t="n"/>
      <c r="K1215" s="47" t="n"/>
      <c r="L1215" s="47" t="n"/>
      <c r="M1215" s="47" t="n"/>
      <c r="N1215" s="47" t="n"/>
      <c r="O1215" s="47" t="n"/>
      <c r="P1215" s="47" t="n"/>
      <c r="Q1215" s="47" t="n"/>
      <c r="R1215" s="47" t="n"/>
      <c r="S1215" s="47" t="n"/>
      <c r="T1215" s="47" t="n"/>
      <c r="U1215" s="53" t="n"/>
      <c r="V1215" s="53" t="n"/>
      <c r="W1215" s="47" t="n"/>
      <c r="X1215" s="47" t="n"/>
      <c r="Y1215" s="47" t="n"/>
      <c r="Z1215" s="47" t="n"/>
      <c r="AA1215" s="47" t="n"/>
      <c r="AB1215" s="47" t="n"/>
      <c r="AC1215" s="47" t="n"/>
      <c r="AD1215" s="47" t="n"/>
      <c r="AE1215" s="47" t="n"/>
      <c r="AF1215" s="20">
        <f>IF(A1215="","",YEAR(EDATE(A1215,-3)))</f>
        <v/>
      </c>
      <c r="AG1215" s="20">
        <f>IF(OR(B1215="",'経歴簿'!$C$4=""),"",IF(B1215&amp;""='経歴簿'!$C$4&amp;"",MAX($AG$4:AG1214)+1,""))</f>
        <v/>
      </c>
      <c r="AH1215" s="20">
        <f>IF(A1215="",0,IF(AND(OR('CSV抽出'!$C$4="",A1215&gt;='CSV抽出'!$C$4),OR('CSV抽出'!$C$5="",A1215&lt;='CSV抽出'!$C$5),OR('CSV抽出'!$C$6="すべて",'CSV抽出'!$C$6="",D1215='CSV抽出'!$C$6),OR('CSV抽出'!$C$7="",B1215&amp;""='CSV抽出'!$C$7&amp;"")),1,0))</f>
        <v/>
      </c>
      <c r="AI1215" s="20">
        <f>IF(AH1215=1,SUM($AH$5:AH1215),"")</f>
        <v/>
      </c>
      <c r="AJ1215" s="20">
        <f>IF(OR(S1215="",'報告書'!$C$4=""),"",IF(S1215&amp;""='報告書'!$C$4&amp;"",COUNTIF($S$5:S1215,'報告書'!$C$4),""))</f>
        <v/>
      </c>
      <c r="AK1215" s="20" t="n"/>
      <c r="AL1215" s="47" t="n"/>
      <c r="AM1215" s="47" t="n"/>
      <c r="AN1215" s="53" t="n"/>
      <c r="AO1215" s="47" t="n"/>
      <c r="AP1215" s="47" t="n"/>
      <c r="AQ1215" s="47" t="n"/>
      <c r="AR1215" s="47" t="n"/>
      <c r="AS1215" s="47" t="n"/>
      <c r="AT1215" s="47" t="n"/>
      <c r="AU1215" s="47" t="n"/>
      <c r="AV1215" s="47" t="n"/>
      <c r="AW1215" s="52" t="n"/>
    </row>
    <row r="1216">
      <c r="A1216" s="48" t="n"/>
      <c r="B1216" s="52" t="n"/>
      <c r="C1216" s="47">
        <f>IF(B1216="","",IFERROR(INDEX('隊員マスタ'!$B$5:$B$204,MATCH(B1216&amp;"",'隊員マスタ'!$F$5:$F$204,0)),IF(AK1216="","番号なし",AK1216)))</f>
        <v/>
      </c>
      <c r="D1216" s="47" t="n"/>
      <c r="E1216" s="47" t="n"/>
      <c r="F1216" s="47" t="n"/>
      <c r="G1216" s="47" t="n"/>
      <c r="H1216" s="47" t="n"/>
      <c r="I1216" s="47" t="n"/>
      <c r="J1216" s="47" t="n"/>
      <c r="K1216" s="47" t="n"/>
      <c r="L1216" s="47" t="n"/>
      <c r="M1216" s="47" t="n"/>
      <c r="N1216" s="47" t="n"/>
      <c r="O1216" s="47" t="n"/>
      <c r="P1216" s="47" t="n"/>
      <c r="Q1216" s="47" t="n"/>
      <c r="R1216" s="47" t="n"/>
      <c r="S1216" s="47" t="n"/>
      <c r="T1216" s="47" t="n"/>
      <c r="U1216" s="53" t="n"/>
      <c r="V1216" s="53" t="n"/>
      <c r="W1216" s="47" t="n"/>
      <c r="X1216" s="47" t="n"/>
      <c r="Y1216" s="47" t="n"/>
      <c r="Z1216" s="47" t="n"/>
      <c r="AA1216" s="47" t="n"/>
      <c r="AB1216" s="47" t="n"/>
      <c r="AC1216" s="47" t="n"/>
      <c r="AD1216" s="47" t="n"/>
      <c r="AE1216" s="47" t="n"/>
      <c r="AF1216" s="20">
        <f>IF(A1216="","",YEAR(EDATE(A1216,-3)))</f>
        <v/>
      </c>
      <c r="AG1216" s="20">
        <f>IF(OR(B1216="",'経歴簿'!$C$4=""),"",IF(B1216&amp;""='経歴簿'!$C$4&amp;"",MAX($AG$4:AG1215)+1,""))</f>
        <v/>
      </c>
      <c r="AH1216" s="20">
        <f>IF(A1216="",0,IF(AND(OR('CSV抽出'!$C$4="",A1216&gt;='CSV抽出'!$C$4),OR('CSV抽出'!$C$5="",A1216&lt;='CSV抽出'!$C$5),OR('CSV抽出'!$C$6="すべて",'CSV抽出'!$C$6="",D1216='CSV抽出'!$C$6),OR('CSV抽出'!$C$7="",B1216&amp;""='CSV抽出'!$C$7&amp;"")),1,0))</f>
        <v/>
      </c>
      <c r="AI1216" s="20">
        <f>IF(AH1216=1,SUM($AH$5:AH1216),"")</f>
        <v/>
      </c>
      <c r="AJ1216" s="20">
        <f>IF(OR(S1216="",'報告書'!$C$4=""),"",IF(S1216&amp;""='報告書'!$C$4&amp;"",COUNTIF($S$5:S1216,'報告書'!$C$4),""))</f>
        <v/>
      </c>
      <c r="AK1216" s="20" t="n"/>
      <c r="AL1216" s="47" t="n"/>
      <c r="AM1216" s="47" t="n"/>
      <c r="AN1216" s="53" t="n"/>
      <c r="AO1216" s="47" t="n"/>
      <c r="AP1216" s="47" t="n"/>
      <c r="AQ1216" s="47" t="n"/>
      <c r="AR1216" s="47" t="n"/>
      <c r="AS1216" s="47" t="n"/>
      <c r="AT1216" s="47" t="n"/>
      <c r="AU1216" s="47" t="n"/>
      <c r="AV1216" s="47" t="n"/>
      <c r="AW1216" s="52" t="n"/>
    </row>
    <row r="1217">
      <c r="A1217" s="48" t="n"/>
      <c r="B1217" s="52" t="n"/>
      <c r="C1217" s="47">
        <f>IF(B1217="","",IFERROR(INDEX('隊員マスタ'!$B$5:$B$204,MATCH(B1217&amp;"",'隊員マスタ'!$F$5:$F$204,0)),IF(AK1217="","番号なし",AK1217)))</f>
        <v/>
      </c>
      <c r="D1217" s="47" t="n"/>
      <c r="E1217" s="47" t="n"/>
      <c r="F1217" s="47" t="n"/>
      <c r="G1217" s="47" t="n"/>
      <c r="H1217" s="47" t="n"/>
      <c r="I1217" s="47" t="n"/>
      <c r="J1217" s="47" t="n"/>
      <c r="K1217" s="47" t="n"/>
      <c r="L1217" s="47" t="n"/>
      <c r="M1217" s="47" t="n"/>
      <c r="N1217" s="47" t="n"/>
      <c r="O1217" s="47" t="n"/>
      <c r="P1217" s="47" t="n"/>
      <c r="Q1217" s="47" t="n"/>
      <c r="R1217" s="47" t="n"/>
      <c r="S1217" s="47" t="n"/>
      <c r="T1217" s="47" t="n"/>
      <c r="U1217" s="53" t="n"/>
      <c r="V1217" s="53" t="n"/>
      <c r="W1217" s="47" t="n"/>
      <c r="X1217" s="47" t="n"/>
      <c r="Y1217" s="47" t="n"/>
      <c r="Z1217" s="47" t="n"/>
      <c r="AA1217" s="47" t="n"/>
      <c r="AB1217" s="47" t="n"/>
      <c r="AC1217" s="47" t="n"/>
      <c r="AD1217" s="47" t="n"/>
      <c r="AE1217" s="47" t="n"/>
      <c r="AF1217" s="20">
        <f>IF(A1217="","",YEAR(EDATE(A1217,-3)))</f>
        <v/>
      </c>
      <c r="AG1217" s="20">
        <f>IF(OR(B1217="",'経歴簿'!$C$4=""),"",IF(B1217&amp;""='経歴簿'!$C$4&amp;"",MAX($AG$4:AG1216)+1,""))</f>
        <v/>
      </c>
      <c r="AH1217" s="20">
        <f>IF(A1217="",0,IF(AND(OR('CSV抽出'!$C$4="",A1217&gt;='CSV抽出'!$C$4),OR('CSV抽出'!$C$5="",A1217&lt;='CSV抽出'!$C$5),OR('CSV抽出'!$C$6="すべて",'CSV抽出'!$C$6="",D1217='CSV抽出'!$C$6),OR('CSV抽出'!$C$7="",B1217&amp;""='CSV抽出'!$C$7&amp;"")),1,0))</f>
        <v/>
      </c>
      <c r="AI1217" s="20">
        <f>IF(AH1217=1,SUM($AH$5:AH1217),"")</f>
        <v/>
      </c>
      <c r="AJ1217" s="20">
        <f>IF(OR(S1217="",'報告書'!$C$4=""),"",IF(S1217&amp;""='報告書'!$C$4&amp;"",COUNTIF($S$5:S1217,'報告書'!$C$4),""))</f>
        <v/>
      </c>
      <c r="AK1217" s="20" t="n"/>
      <c r="AL1217" s="47" t="n"/>
      <c r="AM1217" s="47" t="n"/>
      <c r="AN1217" s="53" t="n"/>
      <c r="AO1217" s="47" t="n"/>
      <c r="AP1217" s="47" t="n"/>
      <c r="AQ1217" s="47" t="n"/>
      <c r="AR1217" s="47" t="n"/>
      <c r="AS1217" s="47" t="n"/>
      <c r="AT1217" s="47" t="n"/>
      <c r="AU1217" s="47" t="n"/>
      <c r="AV1217" s="47" t="n"/>
      <c r="AW1217" s="52" t="n"/>
    </row>
    <row r="1218">
      <c r="A1218" s="48" t="n"/>
      <c r="B1218" s="52" t="n"/>
      <c r="C1218" s="47">
        <f>IF(B1218="","",IFERROR(INDEX('隊員マスタ'!$B$5:$B$204,MATCH(B1218&amp;"",'隊員マスタ'!$F$5:$F$204,0)),IF(AK1218="","番号なし",AK1218)))</f>
        <v/>
      </c>
      <c r="D1218" s="47" t="n"/>
      <c r="E1218" s="47" t="n"/>
      <c r="F1218" s="47" t="n"/>
      <c r="G1218" s="47" t="n"/>
      <c r="H1218" s="47" t="n"/>
      <c r="I1218" s="47" t="n"/>
      <c r="J1218" s="47" t="n"/>
      <c r="K1218" s="47" t="n"/>
      <c r="L1218" s="47" t="n"/>
      <c r="M1218" s="47" t="n"/>
      <c r="N1218" s="47" t="n"/>
      <c r="O1218" s="47" t="n"/>
      <c r="P1218" s="47" t="n"/>
      <c r="Q1218" s="47" t="n"/>
      <c r="R1218" s="47" t="n"/>
      <c r="S1218" s="47" t="n"/>
      <c r="T1218" s="47" t="n"/>
      <c r="U1218" s="53" t="n"/>
      <c r="V1218" s="53" t="n"/>
      <c r="W1218" s="47" t="n"/>
      <c r="X1218" s="47" t="n"/>
      <c r="Y1218" s="47" t="n"/>
      <c r="Z1218" s="47" t="n"/>
      <c r="AA1218" s="47" t="n"/>
      <c r="AB1218" s="47" t="n"/>
      <c r="AC1218" s="47" t="n"/>
      <c r="AD1218" s="47" t="n"/>
      <c r="AE1218" s="47" t="n"/>
      <c r="AF1218" s="20">
        <f>IF(A1218="","",YEAR(EDATE(A1218,-3)))</f>
        <v/>
      </c>
      <c r="AG1218" s="20">
        <f>IF(OR(B1218="",'経歴簿'!$C$4=""),"",IF(B1218&amp;""='経歴簿'!$C$4&amp;"",MAX($AG$4:AG1217)+1,""))</f>
        <v/>
      </c>
      <c r="AH1218" s="20">
        <f>IF(A1218="",0,IF(AND(OR('CSV抽出'!$C$4="",A1218&gt;='CSV抽出'!$C$4),OR('CSV抽出'!$C$5="",A1218&lt;='CSV抽出'!$C$5),OR('CSV抽出'!$C$6="すべて",'CSV抽出'!$C$6="",D1218='CSV抽出'!$C$6),OR('CSV抽出'!$C$7="",B1218&amp;""='CSV抽出'!$C$7&amp;"")),1,0))</f>
        <v/>
      </c>
      <c r="AI1218" s="20">
        <f>IF(AH1218=1,SUM($AH$5:AH1218),"")</f>
        <v/>
      </c>
      <c r="AJ1218" s="20">
        <f>IF(OR(S1218="",'報告書'!$C$4=""),"",IF(S1218&amp;""='報告書'!$C$4&amp;"",COUNTIF($S$5:S1218,'報告書'!$C$4),""))</f>
        <v/>
      </c>
      <c r="AK1218" s="20" t="n"/>
      <c r="AL1218" s="47" t="n"/>
      <c r="AM1218" s="47" t="n"/>
      <c r="AN1218" s="53" t="n"/>
      <c r="AO1218" s="47" t="n"/>
      <c r="AP1218" s="47" t="n"/>
      <c r="AQ1218" s="47" t="n"/>
      <c r="AR1218" s="47" t="n"/>
      <c r="AS1218" s="47" t="n"/>
      <c r="AT1218" s="47" t="n"/>
      <c r="AU1218" s="47" t="n"/>
      <c r="AV1218" s="47" t="n"/>
      <c r="AW1218" s="52" t="n"/>
    </row>
    <row r="1219">
      <c r="A1219" s="48" t="n"/>
      <c r="B1219" s="52" t="n"/>
      <c r="C1219" s="47">
        <f>IF(B1219="","",IFERROR(INDEX('隊員マスタ'!$B$5:$B$204,MATCH(B1219&amp;"",'隊員マスタ'!$F$5:$F$204,0)),IF(AK1219="","番号なし",AK1219)))</f>
        <v/>
      </c>
      <c r="D1219" s="47" t="n"/>
      <c r="E1219" s="47" t="n"/>
      <c r="F1219" s="47" t="n"/>
      <c r="G1219" s="47" t="n"/>
      <c r="H1219" s="47" t="n"/>
      <c r="I1219" s="47" t="n"/>
      <c r="J1219" s="47" t="n"/>
      <c r="K1219" s="47" t="n"/>
      <c r="L1219" s="47" t="n"/>
      <c r="M1219" s="47" t="n"/>
      <c r="N1219" s="47" t="n"/>
      <c r="O1219" s="47" t="n"/>
      <c r="P1219" s="47" t="n"/>
      <c r="Q1219" s="47" t="n"/>
      <c r="R1219" s="47" t="n"/>
      <c r="S1219" s="47" t="n"/>
      <c r="T1219" s="47" t="n"/>
      <c r="U1219" s="53" t="n"/>
      <c r="V1219" s="53" t="n"/>
      <c r="W1219" s="47" t="n"/>
      <c r="X1219" s="47" t="n"/>
      <c r="Y1219" s="47" t="n"/>
      <c r="Z1219" s="47" t="n"/>
      <c r="AA1219" s="47" t="n"/>
      <c r="AB1219" s="47" t="n"/>
      <c r="AC1219" s="47" t="n"/>
      <c r="AD1219" s="47" t="n"/>
      <c r="AE1219" s="47" t="n"/>
      <c r="AF1219" s="20">
        <f>IF(A1219="","",YEAR(EDATE(A1219,-3)))</f>
        <v/>
      </c>
      <c r="AG1219" s="20">
        <f>IF(OR(B1219="",'経歴簿'!$C$4=""),"",IF(B1219&amp;""='経歴簿'!$C$4&amp;"",MAX($AG$4:AG1218)+1,""))</f>
        <v/>
      </c>
      <c r="AH1219" s="20">
        <f>IF(A1219="",0,IF(AND(OR('CSV抽出'!$C$4="",A1219&gt;='CSV抽出'!$C$4),OR('CSV抽出'!$C$5="",A1219&lt;='CSV抽出'!$C$5),OR('CSV抽出'!$C$6="すべて",'CSV抽出'!$C$6="",D1219='CSV抽出'!$C$6),OR('CSV抽出'!$C$7="",B1219&amp;""='CSV抽出'!$C$7&amp;"")),1,0))</f>
        <v/>
      </c>
      <c r="AI1219" s="20">
        <f>IF(AH1219=1,SUM($AH$5:AH1219),"")</f>
        <v/>
      </c>
      <c r="AJ1219" s="20">
        <f>IF(OR(S1219="",'報告書'!$C$4=""),"",IF(S1219&amp;""='報告書'!$C$4&amp;"",COUNTIF($S$5:S1219,'報告書'!$C$4),""))</f>
        <v/>
      </c>
      <c r="AK1219" s="20" t="n"/>
      <c r="AL1219" s="47" t="n"/>
      <c r="AM1219" s="47" t="n"/>
      <c r="AN1219" s="53" t="n"/>
      <c r="AO1219" s="47" t="n"/>
      <c r="AP1219" s="47" t="n"/>
      <c r="AQ1219" s="47" t="n"/>
      <c r="AR1219" s="47" t="n"/>
      <c r="AS1219" s="47" t="n"/>
      <c r="AT1219" s="47" t="n"/>
      <c r="AU1219" s="47" t="n"/>
      <c r="AV1219" s="47" t="n"/>
      <c r="AW1219" s="52" t="n"/>
    </row>
    <row r="1220">
      <c r="A1220" s="48" t="n"/>
      <c r="B1220" s="52" t="n"/>
      <c r="C1220" s="47">
        <f>IF(B1220="","",IFERROR(INDEX('隊員マスタ'!$B$5:$B$204,MATCH(B1220&amp;"",'隊員マスタ'!$F$5:$F$204,0)),IF(AK1220="","番号なし",AK1220)))</f>
        <v/>
      </c>
      <c r="D1220" s="47" t="n"/>
      <c r="E1220" s="47" t="n"/>
      <c r="F1220" s="47" t="n"/>
      <c r="G1220" s="47" t="n"/>
      <c r="H1220" s="47" t="n"/>
      <c r="I1220" s="47" t="n"/>
      <c r="J1220" s="47" t="n"/>
      <c r="K1220" s="47" t="n"/>
      <c r="L1220" s="47" t="n"/>
      <c r="M1220" s="47" t="n"/>
      <c r="N1220" s="47" t="n"/>
      <c r="O1220" s="47" t="n"/>
      <c r="P1220" s="47" t="n"/>
      <c r="Q1220" s="47" t="n"/>
      <c r="R1220" s="47" t="n"/>
      <c r="S1220" s="47" t="n"/>
      <c r="T1220" s="47" t="n"/>
      <c r="U1220" s="53" t="n"/>
      <c r="V1220" s="53" t="n"/>
      <c r="W1220" s="47" t="n"/>
      <c r="X1220" s="47" t="n"/>
      <c r="Y1220" s="47" t="n"/>
      <c r="Z1220" s="47" t="n"/>
      <c r="AA1220" s="47" t="n"/>
      <c r="AB1220" s="47" t="n"/>
      <c r="AC1220" s="47" t="n"/>
      <c r="AD1220" s="47" t="n"/>
      <c r="AE1220" s="47" t="n"/>
      <c r="AF1220" s="20">
        <f>IF(A1220="","",YEAR(EDATE(A1220,-3)))</f>
        <v/>
      </c>
      <c r="AG1220" s="20">
        <f>IF(OR(B1220="",'経歴簿'!$C$4=""),"",IF(B1220&amp;""='経歴簿'!$C$4&amp;"",MAX($AG$4:AG1219)+1,""))</f>
        <v/>
      </c>
      <c r="AH1220" s="20">
        <f>IF(A1220="",0,IF(AND(OR('CSV抽出'!$C$4="",A1220&gt;='CSV抽出'!$C$4),OR('CSV抽出'!$C$5="",A1220&lt;='CSV抽出'!$C$5),OR('CSV抽出'!$C$6="すべて",'CSV抽出'!$C$6="",D1220='CSV抽出'!$C$6),OR('CSV抽出'!$C$7="",B1220&amp;""='CSV抽出'!$C$7&amp;"")),1,0))</f>
        <v/>
      </c>
      <c r="AI1220" s="20">
        <f>IF(AH1220=1,SUM($AH$5:AH1220),"")</f>
        <v/>
      </c>
      <c r="AJ1220" s="20">
        <f>IF(OR(S1220="",'報告書'!$C$4=""),"",IF(S1220&amp;""='報告書'!$C$4&amp;"",COUNTIF($S$5:S1220,'報告書'!$C$4),""))</f>
        <v/>
      </c>
      <c r="AK1220" s="20" t="n"/>
      <c r="AL1220" s="47" t="n"/>
      <c r="AM1220" s="47" t="n"/>
      <c r="AN1220" s="53" t="n"/>
      <c r="AO1220" s="47" t="n"/>
      <c r="AP1220" s="47" t="n"/>
      <c r="AQ1220" s="47" t="n"/>
      <c r="AR1220" s="47" t="n"/>
      <c r="AS1220" s="47" t="n"/>
      <c r="AT1220" s="47" t="n"/>
      <c r="AU1220" s="47" t="n"/>
      <c r="AV1220" s="47" t="n"/>
      <c r="AW1220" s="52" t="n"/>
    </row>
    <row r="1221">
      <c r="A1221" s="48" t="n"/>
      <c r="B1221" s="52" t="n"/>
      <c r="C1221" s="47">
        <f>IF(B1221="","",IFERROR(INDEX('隊員マスタ'!$B$5:$B$204,MATCH(B1221&amp;"",'隊員マスタ'!$F$5:$F$204,0)),IF(AK1221="","番号なし",AK1221)))</f>
        <v/>
      </c>
      <c r="D1221" s="47" t="n"/>
      <c r="E1221" s="47" t="n"/>
      <c r="F1221" s="47" t="n"/>
      <c r="G1221" s="47" t="n"/>
      <c r="H1221" s="47" t="n"/>
      <c r="I1221" s="47" t="n"/>
      <c r="J1221" s="47" t="n"/>
      <c r="K1221" s="47" t="n"/>
      <c r="L1221" s="47" t="n"/>
      <c r="M1221" s="47" t="n"/>
      <c r="N1221" s="47" t="n"/>
      <c r="O1221" s="47" t="n"/>
      <c r="P1221" s="47" t="n"/>
      <c r="Q1221" s="47" t="n"/>
      <c r="R1221" s="47" t="n"/>
      <c r="S1221" s="47" t="n"/>
      <c r="T1221" s="47" t="n"/>
      <c r="U1221" s="53" t="n"/>
      <c r="V1221" s="53" t="n"/>
      <c r="W1221" s="47" t="n"/>
      <c r="X1221" s="47" t="n"/>
      <c r="Y1221" s="47" t="n"/>
      <c r="Z1221" s="47" t="n"/>
      <c r="AA1221" s="47" t="n"/>
      <c r="AB1221" s="47" t="n"/>
      <c r="AC1221" s="47" t="n"/>
      <c r="AD1221" s="47" t="n"/>
      <c r="AE1221" s="47" t="n"/>
      <c r="AF1221" s="20">
        <f>IF(A1221="","",YEAR(EDATE(A1221,-3)))</f>
        <v/>
      </c>
      <c r="AG1221" s="20">
        <f>IF(OR(B1221="",'経歴簿'!$C$4=""),"",IF(B1221&amp;""='経歴簿'!$C$4&amp;"",MAX($AG$4:AG1220)+1,""))</f>
        <v/>
      </c>
      <c r="AH1221" s="20">
        <f>IF(A1221="",0,IF(AND(OR('CSV抽出'!$C$4="",A1221&gt;='CSV抽出'!$C$4),OR('CSV抽出'!$C$5="",A1221&lt;='CSV抽出'!$C$5),OR('CSV抽出'!$C$6="すべて",'CSV抽出'!$C$6="",D1221='CSV抽出'!$C$6),OR('CSV抽出'!$C$7="",B1221&amp;""='CSV抽出'!$C$7&amp;"")),1,0))</f>
        <v/>
      </c>
      <c r="AI1221" s="20">
        <f>IF(AH1221=1,SUM($AH$5:AH1221),"")</f>
        <v/>
      </c>
      <c r="AJ1221" s="20">
        <f>IF(OR(S1221="",'報告書'!$C$4=""),"",IF(S1221&amp;""='報告書'!$C$4&amp;"",COUNTIF($S$5:S1221,'報告書'!$C$4),""))</f>
        <v/>
      </c>
      <c r="AK1221" s="20" t="n"/>
      <c r="AL1221" s="47" t="n"/>
      <c r="AM1221" s="47" t="n"/>
      <c r="AN1221" s="53" t="n"/>
      <c r="AO1221" s="47" t="n"/>
      <c r="AP1221" s="47" t="n"/>
      <c r="AQ1221" s="47" t="n"/>
      <c r="AR1221" s="47" t="n"/>
      <c r="AS1221" s="47" t="n"/>
      <c r="AT1221" s="47" t="n"/>
      <c r="AU1221" s="47" t="n"/>
      <c r="AV1221" s="47" t="n"/>
      <c r="AW1221" s="52" t="n"/>
    </row>
    <row r="1222">
      <c r="A1222" s="48" t="n"/>
      <c r="B1222" s="52" t="n"/>
      <c r="C1222" s="47">
        <f>IF(B1222="","",IFERROR(INDEX('隊員マスタ'!$B$5:$B$204,MATCH(B1222&amp;"",'隊員マスタ'!$F$5:$F$204,0)),IF(AK1222="","番号なし",AK1222)))</f>
        <v/>
      </c>
      <c r="D1222" s="47" t="n"/>
      <c r="E1222" s="47" t="n"/>
      <c r="F1222" s="47" t="n"/>
      <c r="G1222" s="47" t="n"/>
      <c r="H1222" s="47" t="n"/>
      <c r="I1222" s="47" t="n"/>
      <c r="J1222" s="47" t="n"/>
      <c r="K1222" s="47" t="n"/>
      <c r="L1222" s="47" t="n"/>
      <c r="M1222" s="47" t="n"/>
      <c r="N1222" s="47" t="n"/>
      <c r="O1222" s="47" t="n"/>
      <c r="P1222" s="47" t="n"/>
      <c r="Q1222" s="47" t="n"/>
      <c r="R1222" s="47" t="n"/>
      <c r="S1222" s="47" t="n"/>
      <c r="T1222" s="47" t="n"/>
      <c r="U1222" s="53" t="n"/>
      <c r="V1222" s="53" t="n"/>
      <c r="W1222" s="47" t="n"/>
      <c r="X1222" s="47" t="n"/>
      <c r="Y1222" s="47" t="n"/>
      <c r="Z1222" s="47" t="n"/>
      <c r="AA1222" s="47" t="n"/>
      <c r="AB1222" s="47" t="n"/>
      <c r="AC1222" s="47" t="n"/>
      <c r="AD1222" s="47" t="n"/>
      <c r="AE1222" s="47" t="n"/>
      <c r="AF1222" s="20">
        <f>IF(A1222="","",YEAR(EDATE(A1222,-3)))</f>
        <v/>
      </c>
      <c r="AG1222" s="20">
        <f>IF(OR(B1222="",'経歴簿'!$C$4=""),"",IF(B1222&amp;""='経歴簿'!$C$4&amp;"",MAX($AG$4:AG1221)+1,""))</f>
        <v/>
      </c>
      <c r="AH1222" s="20">
        <f>IF(A1222="",0,IF(AND(OR('CSV抽出'!$C$4="",A1222&gt;='CSV抽出'!$C$4),OR('CSV抽出'!$C$5="",A1222&lt;='CSV抽出'!$C$5),OR('CSV抽出'!$C$6="すべて",'CSV抽出'!$C$6="",D1222='CSV抽出'!$C$6),OR('CSV抽出'!$C$7="",B1222&amp;""='CSV抽出'!$C$7&amp;"")),1,0))</f>
        <v/>
      </c>
      <c r="AI1222" s="20">
        <f>IF(AH1222=1,SUM($AH$5:AH1222),"")</f>
        <v/>
      </c>
      <c r="AJ1222" s="20">
        <f>IF(OR(S1222="",'報告書'!$C$4=""),"",IF(S1222&amp;""='報告書'!$C$4&amp;"",COUNTIF($S$5:S1222,'報告書'!$C$4),""))</f>
        <v/>
      </c>
      <c r="AK1222" s="20" t="n"/>
      <c r="AL1222" s="47" t="n"/>
      <c r="AM1222" s="47" t="n"/>
      <c r="AN1222" s="53" t="n"/>
      <c r="AO1222" s="47" t="n"/>
      <c r="AP1222" s="47" t="n"/>
      <c r="AQ1222" s="47" t="n"/>
      <c r="AR1222" s="47" t="n"/>
      <c r="AS1222" s="47" t="n"/>
      <c r="AT1222" s="47" t="n"/>
      <c r="AU1222" s="47" t="n"/>
      <c r="AV1222" s="47" t="n"/>
      <c r="AW1222" s="52" t="n"/>
    </row>
    <row r="1223">
      <c r="A1223" s="48" t="n"/>
      <c r="B1223" s="52" t="n"/>
      <c r="C1223" s="47">
        <f>IF(B1223="","",IFERROR(INDEX('隊員マスタ'!$B$5:$B$204,MATCH(B1223&amp;"",'隊員マスタ'!$F$5:$F$204,0)),IF(AK1223="","番号なし",AK1223)))</f>
        <v/>
      </c>
      <c r="D1223" s="47" t="n"/>
      <c r="E1223" s="47" t="n"/>
      <c r="F1223" s="47" t="n"/>
      <c r="G1223" s="47" t="n"/>
      <c r="H1223" s="47" t="n"/>
      <c r="I1223" s="47" t="n"/>
      <c r="J1223" s="47" t="n"/>
      <c r="K1223" s="47" t="n"/>
      <c r="L1223" s="47" t="n"/>
      <c r="M1223" s="47" t="n"/>
      <c r="N1223" s="47" t="n"/>
      <c r="O1223" s="47" t="n"/>
      <c r="P1223" s="47" t="n"/>
      <c r="Q1223" s="47" t="n"/>
      <c r="R1223" s="47" t="n"/>
      <c r="S1223" s="47" t="n"/>
      <c r="T1223" s="47" t="n"/>
      <c r="U1223" s="53" t="n"/>
      <c r="V1223" s="53" t="n"/>
      <c r="W1223" s="47" t="n"/>
      <c r="X1223" s="47" t="n"/>
      <c r="Y1223" s="47" t="n"/>
      <c r="Z1223" s="47" t="n"/>
      <c r="AA1223" s="47" t="n"/>
      <c r="AB1223" s="47" t="n"/>
      <c r="AC1223" s="47" t="n"/>
      <c r="AD1223" s="47" t="n"/>
      <c r="AE1223" s="47" t="n"/>
      <c r="AF1223" s="20">
        <f>IF(A1223="","",YEAR(EDATE(A1223,-3)))</f>
        <v/>
      </c>
      <c r="AG1223" s="20">
        <f>IF(OR(B1223="",'経歴簿'!$C$4=""),"",IF(B1223&amp;""='経歴簿'!$C$4&amp;"",MAX($AG$4:AG1222)+1,""))</f>
        <v/>
      </c>
      <c r="AH1223" s="20">
        <f>IF(A1223="",0,IF(AND(OR('CSV抽出'!$C$4="",A1223&gt;='CSV抽出'!$C$4),OR('CSV抽出'!$C$5="",A1223&lt;='CSV抽出'!$C$5),OR('CSV抽出'!$C$6="すべて",'CSV抽出'!$C$6="",D1223='CSV抽出'!$C$6),OR('CSV抽出'!$C$7="",B1223&amp;""='CSV抽出'!$C$7&amp;"")),1,0))</f>
        <v/>
      </c>
      <c r="AI1223" s="20">
        <f>IF(AH1223=1,SUM($AH$5:AH1223),"")</f>
        <v/>
      </c>
      <c r="AJ1223" s="20">
        <f>IF(OR(S1223="",'報告書'!$C$4=""),"",IF(S1223&amp;""='報告書'!$C$4&amp;"",COUNTIF($S$5:S1223,'報告書'!$C$4),""))</f>
        <v/>
      </c>
      <c r="AK1223" s="20" t="n"/>
      <c r="AL1223" s="47" t="n"/>
      <c r="AM1223" s="47" t="n"/>
      <c r="AN1223" s="53" t="n"/>
      <c r="AO1223" s="47" t="n"/>
      <c r="AP1223" s="47" t="n"/>
      <c r="AQ1223" s="47" t="n"/>
      <c r="AR1223" s="47" t="n"/>
      <c r="AS1223" s="47" t="n"/>
      <c r="AT1223" s="47" t="n"/>
      <c r="AU1223" s="47" t="n"/>
      <c r="AV1223" s="47" t="n"/>
      <c r="AW1223" s="52" t="n"/>
    </row>
    <row r="1224">
      <c r="A1224" s="48" t="n"/>
      <c r="B1224" s="52" t="n"/>
      <c r="C1224" s="47">
        <f>IF(B1224="","",IFERROR(INDEX('隊員マスタ'!$B$5:$B$204,MATCH(B1224&amp;"",'隊員マスタ'!$F$5:$F$204,0)),IF(AK1224="","番号なし",AK1224)))</f>
        <v/>
      </c>
      <c r="D1224" s="47" t="n"/>
      <c r="E1224" s="47" t="n"/>
      <c r="F1224" s="47" t="n"/>
      <c r="G1224" s="47" t="n"/>
      <c r="H1224" s="47" t="n"/>
      <c r="I1224" s="47" t="n"/>
      <c r="J1224" s="47" t="n"/>
      <c r="K1224" s="47" t="n"/>
      <c r="L1224" s="47" t="n"/>
      <c r="M1224" s="47" t="n"/>
      <c r="N1224" s="47" t="n"/>
      <c r="O1224" s="47" t="n"/>
      <c r="P1224" s="47" t="n"/>
      <c r="Q1224" s="47" t="n"/>
      <c r="R1224" s="47" t="n"/>
      <c r="S1224" s="47" t="n"/>
      <c r="T1224" s="47" t="n"/>
      <c r="U1224" s="53" t="n"/>
      <c r="V1224" s="53" t="n"/>
      <c r="W1224" s="47" t="n"/>
      <c r="X1224" s="47" t="n"/>
      <c r="Y1224" s="47" t="n"/>
      <c r="Z1224" s="47" t="n"/>
      <c r="AA1224" s="47" t="n"/>
      <c r="AB1224" s="47" t="n"/>
      <c r="AC1224" s="47" t="n"/>
      <c r="AD1224" s="47" t="n"/>
      <c r="AE1224" s="47" t="n"/>
      <c r="AF1224" s="20">
        <f>IF(A1224="","",YEAR(EDATE(A1224,-3)))</f>
        <v/>
      </c>
      <c r="AG1224" s="20">
        <f>IF(OR(B1224="",'経歴簿'!$C$4=""),"",IF(B1224&amp;""='経歴簿'!$C$4&amp;"",MAX($AG$4:AG1223)+1,""))</f>
        <v/>
      </c>
      <c r="AH1224" s="20">
        <f>IF(A1224="",0,IF(AND(OR('CSV抽出'!$C$4="",A1224&gt;='CSV抽出'!$C$4),OR('CSV抽出'!$C$5="",A1224&lt;='CSV抽出'!$C$5),OR('CSV抽出'!$C$6="すべて",'CSV抽出'!$C$6="",D1224='CSV抽出'!$C$6),OR('CSV抽出'!$C$7="",B1224&amp;""='CSV抽出'!$C$7&amp;"")),1,0))</f>
        <v/>
      </c>
      <c r="AI1224" s="20">
        <f>IF(AH1224=1,SUM($AH$5:AH1224),"")</f>
        <v/>
      </c>
      <c r="AJ1224" s="20">
        <f>IF(OR(S1224="",'報告書'!$C$4=""),"",IF(S1224&amp;""='報告書'!$C$4&amp;"",COUNTIF($S$5:S1224,'報告書'!$C$4),""))</f>
        <v/>
      </c>
      <c r="AK1224" s="20" t="n"/>
      <c r="AL1224" s="47" t="n"/>
      <c r="AM1224" s="47" t="n"/>
      <c r="AN1224" s="53" t="n"/>
      <c r="AO1224" s="47" t="n"/>
      <c r="AP1224" s="47" t="n"/>
      <c r="AQ1224" s="47" t="n"/>
      <c r="AR1224" s="47" t="n"/>
      <c r="AS1224" s="47" t="n"/>
      <c r="AT1224" s="47" t="n"/>
      <c r="AU1224" s="47" t="n"/>
      <c r="AV1224" s="47" t="n"/>
      <c r="AW1224" s="52" t="n"/>
    </row>
    <row r="1225">
      <c r="A1225" s="48" t="n"/>
      <c r="B1225" s="52" t="n"/>
      <c r="C1225" s="47">
        <f>IF(B1225="","",IFERROR(INDEX('隊員マスタ'!$B$5:$B$204,MATCH(B1225&amp;"",'隊員マスタ'!$F$5:$F$204,0)),IF(AK1225="","番号なし",AK1225)))</f>
        <v/>
      </c>
      <c r="D1225" s="47" t="n"/>
      <c r="E1225" s="47" t="n"/>
      <c r="F1225" s="47" t="n"/>
      <c r="G1225" s="47" t="n"/>
      <c r="H1225" s="47" t="n"/>
      <c r="I1225" s="47" t="n"/>
      <c r="J1225" s="47" t="n"/>
      <c r="K1225" s="47" t="n"/>
      <c r="L1225" s="47" t="n"/>
      <c r="M1225" s="47" t="n"/>
      <c r="N1225" s="47" t="n"/>
      <c r="O1225" s="47" t="n"/>
      <c r="P1225" s="47" t="n"/>
      <c r="Q1225" s="47" t="n"/>
      <c r="R1225" s="47" t="n"/>
      <c r="S1225" s="47" t="n"/>
      <c r="T1225" s="47" t="n"/>
      <c r="U1225" s="53" t="n"/>
      <c r="V1225" s="53" t="n"/>
      <c r="W1225" s="47" t="n"/>
      <c r="X1225" s="47" t="n"/>
      <c r="Y1225" s="47" t="n"/>
      <c r="Z1225" s="47" t="n"/>
      <c r="AA1225" s="47" t="n"/>
      <c r="AB1225" s="47" t="n"/>
      <c r="AC1225" s="47" t="n"/>
      <c r="AD1225" s="47" t="n"/>
      <c r="AE1225" s="47" t="n"/>
      <c r="AF1225" s="20">
        <f>IF(A1225="","",YEAR(EDATE(A1225,-3)))</f>
        <v/>
      </c>
      <c r="AG1225" s="20">
        <f>IF(OR(B1225="",'経歴簿'!$C$4=""),"",IF(B1225&amp;""='経歴簿'!$C$4&amp;"",MAX($AG$4:AG1224)+1,""))</f>
        <v/>
      </c>
      <c r="AH1225" s="20">
        <f>IF(A1225="",0,IF(AND(OR('CSV抽出'!$C$4="",A1225&gt;='CSV抽出'!$C$4),OR('CSV抽出'!$C$5="",A1225&lt;='CSV抽出'!$C$5),OR('CSV抽出'!$C$6="すべて",'CSV抽出'!$C$6="",D1225='CSV抽出'!$C$6),OR('CSV抽出'!$C$7="",B1225&amp;""='CSV抽出'!$C$7&amp;"")),1,0))</f>
        <v/>
      </c>
      <c r="AI1225" s="20">
        <f>IF(AH1225=1,SUM($AH$5:AH1225),"")</f>
        <v/>
      </c>
      <c r="AJ1225" s="20">
        <f>IF(OR(S1225="",'報告書'!$C$4=""),"",IF(S1225&amp;""='報告書'!$C$4&amp;"",COUNTIF($S$5:S1225,'報告書'!$C$4),""))</f>
        <v/>
      </c>
      <c r="AK1225" s="20" t="n"/>
      <c r="AL1225" s="47" t="n"/>
      <c r="AM1225" s="47" t="n"/>
      <c r="AN1225" s="53" t="n"/>
      <c r="AO1225" s="47" t="n"/>
      <c r="AP1225" s="47" t="n"/>
      <c r="AQ1225" s="47" t="n"/>
      <c r="AR1225" s="47" t="n"/>
      <c r="AS1225" s="47" t="n"/>
      <c r="AT1225" s="47" t="n"/>
      <c r="AU1225" s="47" t="n"/>
      <c r="AV1225" s="47" t="n"/>
      <c r="AW1225" s="52" t="n"/>
    </row>
    <row r="1226">
      <c r="A1226" s="48" t="n"/>
      <c r="B1226" s="52" t="n"/>
      <c r="C1226" s="47">
        <f>IF(B1226="","",IFERROR(INDEX('隊員マスタ'!$B$5:$B$204,MATCH(B1226&amp;"",'隊員マスタ'!$F$5:$F$204,0)),IF(AK1226="","番号なし",AK1226)))</f>
        <v/>
      </c>
      <c r="D1226" s="47" t="n"/>
      <c r="E1226" s="47" t="n"/>
      <c r="F1226" s="47" t="n"/>
      <c r="G1226" s="47" t="n"/>
      <c r="H1226" s="47" t="n"/>
      <c r="I1226" s="47" t="n"/>
      <c r="J1226" s="47" t="n"/>
      <c r="K1226" s="47" t="n"/>
      <c r="L1226" s="47" t="n"/>
      <c r="M1226" s="47" t="n"/>
      <c r="N1226" s="47" t="n"/>
      <c r="O1226" s="47" t="n"/>
      <c r="P1226" s="47" t="n"/>
      <c r="Q1226" s="47" t="n"/>
      <c r="R1226" s="47" t="n"/>
      <c r="S1226" s="47" t="n"/>
      <c r="T1226" s="47" t="n"/>
      <c r="U1226" s="53" t="n"/>
      <c r="V1226" s="53" t="n"/>
      <c r="W1226" s="47" t="n"/>
      <c r="X1226" s="47" t="n"/>
      <c r="Y1226" s="47" t="n"/>
      <c r="Z1226" s="47" t="n"/>
      <c r="AA1226" s="47" t="n"/>
      <c r="AB1226" s="47" t="n"/>
      <c r="AC1226" s="47" t="n"/>
      <c r="AD1226" s="47" t="n"/>
      <c r="AE1226" s="47" t="n"/>
      <c r="AF1226" s="20">
        <f>IF(A1226="","",YEAR(EDATE(A1226,-3)))</f>
        <v/>
      </c>
      <c r="AG1226" s="20">
        <f>IF(OR(B1226="",'経歴簿'!$C$4=""),"",IF(B1226&amp;""='経歴簿'!$C$4&amp;"",MAX($AG$4:AG1225)+1,""))</f>
        <v/>
      </c>
      <c r="AH1226" s="20">
        <f>IF(A1226="",0,IF(AND(OR('CSV抽出'!$C$4="",A1226&gt;='CSV抽出'!$C$4),OR('CSV抽出'!$C$5="",A1226&lt;='CSV抽出'!$C$5),OR('CSV抽出'!$C$6="すべて",'CSV抽出'!$C$6="",D1226='CSV抽出'!$C$6),OR('CSV抽出'!$C$7="",B1226&amp;""='CSV抽出'!$C$7&amp;"")),1,0))</f>
        <v/>
      </c>
      <c r="AI1226" s="20">
        <f>IF(AH1226=1,SUM($AH$5:AH1226),"")</f>
        <v/>
      </c>
      <c r="AJ1226" s="20">
        <f>IF(OR(S1226="",'報告書'!$C$4=""),"",IF(S1226&amp;""='報告書'!$C$4&amp;"",COUNTIF($S$5:S1226,'報告書'!$C$4),""))</f>
        <v/>
      </c>
      <c r="AK1226" s="20" t="n"/>
      <c r="AL1226" s="47" t="n"/>
      <c r="AM1226" s="47" t="n"/>
      <c r="AN1226" s="53" t="n"/>
      <c r="AO1226" s="47" t="n"/>
      <c r="AP1226" s="47" t="n"/>
      <c r="AQ1226" s="47" t="n"/>
      <c r="AR1226" s="47" t="n"/>
      <c r="AS1226" s="47" t="n"/>
      <c r="AT1226" s="47" t="n"/>
      <c r="AU1226" s="47" t="n"/>
      <c r="AV1226" s="47" t="n"/>
      <c r="AW1226" s="52" t="n"/>
    </row>
    <row r="1227">
      <c r="A1227" s="48" t="n"/>
      <c r="B1227" s="52" t="n"/>
      <c r="C1227" s="47">
        <f>IF(B1227="","",IFERROR(INDEX('隊員マスタ'!$B$5:$B$204,MATCH(B1227&amp;"",'隊員マスタ'!$F$5:$F$204,0)),IF(AK1227="","番号なし",AK1227)))</f>
        <v/>
      </c>
      <c r="D1227" s="47" t="n"/>
      <c r="E1227" s="47" t="n"/>
      <c r="F1227" s="47" t="n"/>
      <c r="G1227" s="47" t="n"/>
      <c r="H1227" s="47" t="n"/>
      <c r="I1227" s="47" t="n"/>
      <c r="J1227" s="47" t="n"/>
      <c r="K1227" s="47" t="n"/>
      <c r="L1227" s="47" t="n"/>
      <c r="M1227" s="47" t="n"/>
      <c r="N1227" s="47" t="n"/>
      <c r="O1227" s="47" t="n"/>
      <c r="P1227" s="47" t="n"/>
      <c r="Q1227" s="47" t="n"/>
      <c r="R1227" s="47" t="n"/>
      <c r="S1227" s="47" t="n"/>
      <c r="T1227" s="47" t="n"/>
      <c r="U1227" s="53" t="n"/>
      <c r="V1227" s="53" t="n"/>
      <c r="W1227" s="47" t="n"/>
      <c r="X1227" s="47" t="n"/>
      <c r="Y1227" s="47" t="n"/>
      <c r="Z1227" s="47" t="n"/>
      <c r="AA1227" s="47" t="n"/>
      <c r="AB1227" s="47" t="n"/>
      <c r="AC1227" s="47" t="n"/>
      <c r="AD1227" s="47" t="n"/>
      <c r="AE1227" s="47" t="n"/>
      <c r="AF1227" s="20">
        <f>IF(A1227="","",YEAR(EDATE(A1227,-3)))</f>
        <v/>
      </c>
      <c r="AG1227" s="20">
        <f>IF(OR(B1227="",'経歴簿'!$C$4=""),"",IF(B1227&amp;""='経歴簿'!$C$4&amp;"",MAX($AG$4:AG1226)+1,""))</f>
        <v/>
      </c>
      <c r="AH1227" s="20">
        <f>IF(A1227="",0,IF(AND(OR('CSV抽出'!$C$4="",A1227&gt;='CSV抽出'!$C$4),OR('CSV抽出'!$C$5="",A1227&lt;='CSV抽出'!$C$5),OR('CSV抽出'!$C$6="すべて",'CSV抽出'!$C$6="",D1227='CSV抽出'!$C$6),OR('CSV抽出'!$C$7="",B1227&amp;""='CSV抽出'!$C$7&amp;"")),1,0))</f>
        <v/>
      </c>
      <c r="AI1227" s="20">
        <f>IF(AH1227=1,SUM($AH$5:AH1227),"")</f>
        <v/>
      </c>
      <c r="AJ1227" s="20">
        <f>IF(OR(S1227="",'報告書'!$C$4=""),"",IF(S1227&amp;""='報告書'!$C$4&amp;"",COUNTIF($S$5:S1227,'報告書'!$C$4),""))</f>
        <v/>
      </c>
      <c r="AK1227" s="20" t="n"/>
      <c r="AL1227" s="47" t="n"/>
      <c r="AM1227" s="47" t="n"/>
      <c r="AN1227" s="53" t="n"/>
      <c r="AO1227" s="47" t="n"/>
      <c r="AP1227" s="47" t="n"/>
      <c r="AQ1227" s="47" t="n"/>
      <c r="AR1227" s="47" t="n"/>
      <c r="AS1227" s="47" t="n"/>
      <c r="AT1227" s="47" t="n"/>
      <c r="AU1227" s="47" t="n"/>
      <c r="AV1227" s="47" t="n"/>
      <c r="AW1227" s="52" t="n"/>
    </row>
    <row r="1228">
      <c r="A1228" s="48" t="n"/>
      <c r="B1228" s="52" t="n"/>
      <c r="C1228" s="47">
        <f>IF(B1228="","",IFERROR(INDEX('隊員マスタ'!$B$5:$B$204,MATCH(B1228&amp;"",'隊員マスタ'!$F$5:$F$204,0)),IF(AK1228="","番号なし",AK1228)))</f>
        <v/>
      </c>
      <c r="D1228" s="47" t="n"/>
      <c r="E1228" s="47" t="n"/>
      <c r="F1228" s="47" t="n"/>
      <c r="G1228" s="47" t="n"/>
      <c r="H1228" s="47" t="n"/>
      <c r="I1228" s="47" t="n"/>
      <c r="J1228" s="47" t="n"/>
      <c r="K1228" s="47" t="n"/>
      <c r="L1228" s="47" t="n"/>
      <c r="M1228" s="47" t="n"/>
      <c r="N1228" s="47" t="n"/>
      <c r="O1228" s="47" t="n"/>
      <c r="P1228" s="47" t="n"/>
      <c r="Q1228" s="47" t="n"/>
      <c r="R1228" s="47" t="n"/>
      <c r="S1228" s="47" t="n"/>
      <c r="T1228" s="47" t="n"/>
      <c r="U1228" s="53" t="n"/>
      <c r="V1228" s="53" t="n"/>
      <c r="W1228" s="47" t="n"/>
      <c r="X1228" s="47" t="n"/>
      <c r="Y1228" s="47" t="n"/>
      <c r="Z1228" s="47" t="n"/>
      <c r="AA1228" s="47" t="n"/>
      <c r="AB1228" s="47" t="n"/>
      <c r="AC1228" s="47" t="n"/>
      <c r="AD1228" s="47" t="n"/>
      <c r="AE1228" s="47" t="n"/>
      <c r="AF1228" s="20">
        <f>IF(A1228="","",YEAR(EDATE(A1228,-3)))</f>
        <v/>
      </c>
      <c r="AG1228" s="20">
        <f>IF(OR(B1228="",'経歴簿'!$C$4=""),"",IF(B1228&amp;""='経歴簿'!$C$4&amp;"",MAX($AG$4:AG1227)+1,""))</f>
        <v/>
      </c>
      <c r="AH1228" s="20">
        <f>IF(A1228="",0,IF(AND(OR('CSV抽出'!$C$4="",A1228&gt;='CSV抽出'!$C$4),OR('CSV抽出'!$C$5="",A1228&lt;='CSV抽出'!$C$5),OR('CSV抽出'!$C$6="すべて",'CSV抽出'!$C$6="",D1228='CSV抽出'!$C$6),OR('CSV抽出'!$C$7="",B1228&amp;""='CSV抽出'!$C$7&amp;"")),1,0))</f>
        <v/>
      </c>
      <c r="AI1228" s="20">
        <f>IF(AH1228=1,SUM($AH$5:AH1228),"")</f>
        <v/>
      </c>
      <c r="AJ1228" s="20">
        <f>IF(OR(S1228="",'報告書'!$C$4=""),"",IF(S1228&amp;""='報告書'!$C$4&amp;"",COUNTIF($S$5:S1228,'報告書'!$C$4),""))</f>
        <v/>
      </c>
      <c r="AK1228" s="20" t="n"/>
      <c r="AL1228" s="47" t="n"/>
      <c r="AM1228" s="47" t="n"/>
      <c r="AN1228" s="53" t="n"/>
      <c r="AO1228" s="47" t="n"/>
      <c r="AP1228" s="47" t="n"/>
      <c r="AQ1228" s="47" t="n"/>
      <c r="AR1228" s="47" t="n"/>
      <c r="AS1228" s="47" t="n"/>
      <c r="AT1228" s="47" t="n"/>
      <c r="AU1228" s="47" t="n"/>
      <c r="AV1228" s="47" t="n"/>
      <c r="AW1228" s="52" t="n"/>
    </row>
    <row r="1229">
      <c r="A1229" s="48" t="n"/>
      <c r="B1229" s="52" t="n"/>
      <c r="C1229" s="47">
        <f>IF(B1229="","",IFERROR(INDEX('隊員マスタ'!$B$5:$B$204,MATCH(B1229&amp;"",'隊員マスタ'!$F$5:$F$204,0)),IF(AK1229="","番号なし",AK1229)))</f>
        <v/>
      </c>
      <c r="D1229" s="47" t="n"/>
      <c r="E1229" s="47" t="n"/>
      <c r="F1229" s="47" t="n"/>
      <c r="G1229" s="47" t="n"/>
      <c r="H1229" s="47" t="n"/>
      <c r="I1229" s="47" t="n"/>
      <c r="J1229" s="47" t="n"/>
      <c r="K1229" s="47" t="n"/>
      <c r="L1229" s="47" t="n"/>
      <c r="M1229" s="47" t="n"/>
      <c r="N1229" s="47" t="n"/>
      <c r="O1229" s="47" t="n"/>
      <c r="P1229" s="47" t="n"/>
      <c r="Q1229" s="47" t="n"/>
      <c r="R1229" s="47" t="n"/>
      <c r="S1229" s="47" t="n"/>
      <c r="T1229" s="47" t="n"/>
      <c r="U1229" s="53" t="n"/>
      <c r="V1229" s="53" t="n"/>
      <c r="W1229" s="47" t="n"/>
      <c r="X1229" s="47" t="n"/>
      <c r="Y1229" s="47" t="n"/>
      <c r="Z1229" s="47" t="n"/>
      <c r="AA1229" s="47" t="n"/>
      <c r="AB1229" s="47" t="n"/>
      <c r="AC1229" s="47" t="n"/>
      <c r="AD1229" s="47" t="n"/>
      <c r="AE1229" s="47" t="n"/>
      <c r="AF1229" s="20">
        <f>IF(A1229="","",YEAR(EDATE(A1229,-3)))</f>
        <v/>
      </c>
      <c r="AG1229" s="20">
        <f>IF(OR(B1229="",'経歴簿'!$C$4=""),"",IF(B1229&amp;""='経歴簿'!$C$4&amp;"",MAX($AG$4:AG1228)+1,""))</f>
        <v/>
      </c>
      <c r="AH1229" s="20">
        <f>IF(A1229="",0,IF(AND(OR('CSV抽出'!$C$4="",A1229&gt;='CSV抽出'!$C$4),OR('CSV抽出'!$C$5="",A1229&lt;='CSV抽出'!$C$5),OR('CSV抽出'!$C$6="すべて",'CSV抽出'!$C$6="",D1229='CSV抽出'!$C$6),OR('CSV抽出'!$C$7="",B1229&amp;""='CSV抽出'!$C$7&amp;"")),1,0))</f>
        <v/>
      </c>
      <c r="AI1229" s="20">
        <f>IF(AH1229=1,SUM($AH$5:AH1229),"")</f>
        <v/>
      </c>
      <c r="AJ1229" s="20">
        <f>IF(OR(S1229="",'報告書'!$C$4=""),"",IF(S1229&amp;""='報告書'!$C$4&amp;"",COUNTIF($S$5:S1229,'報告書'!$C$4),""))</f>
        <v/>
      </c>
      <c r="AK1229" s="20" t="n"/>
      <c r="AL1229" s="47" t="n"/>
      <c r="AM1229" s="47" t="n"/>
      <c r="AN1229" s="53" t="n"/>
      <c r="AO1229" s="47" t="n"/>
      <c r="AP1229" s="47" t="n"/>
      <c r="AQ1229" s="47" t="n"/>
      <c r="AR1229" s="47" t="n"/>
      <c r="AS1229" s="47" t="n"/>
      <c r="AT1229" s="47" t="n"/>
      <c r="AU1229" s="47" t="n"/>
      <c r="AV1229" s="47" t="n"/>
      <c r="AW1229" s="52" t="n"/>
    </row>
    <row r="1230">
      <c r="A1230" s="48" t="n"/>
      <c r="B1230" s="52" t="n"/>
      <c r="C1230" s="47">
        <f>IF(B1230="","",IFERROR(INDEX('隊員マスタ'!$B$5:$B$204,MATCH(B1230&amp;"",'隊員マスタ'!$F$5:$F$204,0)),IF(AK1230="","番号なし",AK1230)))</f>
        <v/>
      </c>
      <c r="D1230" s="47" t="n"/>
      <c r="E1230" s="47" t="n"/>
      <c r="F1230" s="47" t="n"/>
      <c r="G1230" s="47" t="n"/>
      <c r="H1230" s="47" t="n"/>
      <c r="I1230" s="47" t="n"/>
      <c r="J1230" s="47" t="n"/>
      <c r="K1230" s="47" t="n"/>
      <c r="L1230" s="47" t="n"/>
      <c r="M1230" s="47" t="n"/>
      <c r="N1230" s="47" t="n"/>
      <c r="O1230" s="47" t="n"/>
      <c r="P1230" s="47" t="n"/>
      <c r="Q1230" s="47" t="n"/>
      <c r="R1230" s="47" t="n"/>
      <c r="S1230" s="47" t="n"/>
      <c r="T1230" s="47" t="n"/>
      <c r="U1230" s="53" t="n"/>
      <c r="V1230" s="53" t="n"/>
      <c r="W1230" s="47" t="n"/>
      <c r="X1230" s="47" t="n"/>
      <c r="Y1230" s="47" t="n"/>
      <c r="Z1230" s="47" t="n"/>
      <c r="AA1230" s="47" t="n"/>
      <c r="AB1230" s="47" t="n"/>
      <c r="AC1230" s="47" t="n"/>
      <c r="AD1230" s="47" t="n"/>
      <c r="AE1230" s="47" t="n"/>
      <c r="AF1230" s="20">
        <f>IF(A1230="","",YEAR(EDATE(A1230,-3)))</f>
        <v/>
      </c>
      <c r="AG1230" s="20">
        <f>IF(OR(B1230="",'経歴簿'!$C$4=""),"",IF(B1230&amp;""='経歴簿'!$C$4&amp;"",MAX($AG$4:AG1229)+1,""))</f>
        <v/>
      </c>
      <c r="AH1230" s="20">
        <f>IF(A1230="",0,IF(AND(OR('CSV抽出'!$C$4="",A1230&gt;='CSV抽出'!$C$4),OR('CSV抽出'!$C$5="",A1230&lt;='CSV抽出'!$C$5),OR('CSV抽出'!$C$6="すべて",'CSV抽出'!$C$6="",D1230='CSV抽出'!$C$6),OR('CSV抽出'!$C$7="",B1230&amp;""='CSV抽出'!$C$7&amp;"")),1,0))</f>
        <v/>
      </c>
      <c r="AI1230" s="20">
        <f>IF(AH1230=1,SUM($AH$5:AH1230),"")</f>
        <v/>
      </c>
      <c r="AJ1230" s="20">
        <f>IF(OR(S1230="",'報告書'!$C$4=""),"",IF(S1230&amp;""='報告書'!$C$4&amp;"",COUNTIF($S$5:S1230,'報告書'!$C$4),""))</f>
        <v/>
      </c>
      <c r="AK1230" s="20" t="n"/>
      <c r="AL1230" s="47" t="n"/>
      <c r="AM1230" s="47" t="n"/>
      <c r="AN1230" s="53" t="n"/>
      <c r="AO1230" s="47" t="n"/>
      <c r="AP1230" s="47" t="n"/>
      <c r="AQ1230" s="47" t="n"/>
      <c r="AR1230" s="47" t="n"/>
      <c r="AS1230" s="47" t="n"/>
      <c r="AT1230" s="47" t="n"/>
      <c r="AU1230" s="47" t="n"/>
      <c r="AV1230" s="47" t="n"/>
      <c r="AW1230" s="52" t="n"/>
    </row>
    <row r="1231">
      <c r="A1231" s="48" t="n"/>
      <c r="B1231" s="52" t="n"/>
      <c r="C1231" s="47">
        <f>IF(B1231="","",IFERROR(INDEX('隊員マスタ'!$B$5:$B$204,MATCH(B1231&amp;"",'隊員マスタ'!$F$5:$F$204,0)),IF(AK1231="","番号なし",AK1231)))</f>
        <v/>
      </c>
      <c r="D1231" s="47" t="n"/>
      <c r="E1231" s="47" t="n"/>
      <c r="F1231" s="47" t="n"/>
      <c r="G1231" s="47" t="n"/>
      <c r="H1231" s="47" t="n"/>
      <c r="I1231" s="47" t="n"/>
      <c r="J1231" s="47" t="n"/>
      <c r="K1231" s="47" t="n"/>
      <c r="L1231" s="47" t="n"/>
      <c r="M1231" s="47" t="n"/>
      <c r="N1231" s="47" t="n"/>
      <c r="O1231" s="47" t="n"/>
      <c r="P1231" s="47" t="n"/>
      <c r="Q1231" s="47" t="n"/>
      <c r="R1231" s="47" t="n"/>
      <c r="S1231" s="47" t="n"/>
      <c r="T1231" s="47" t="n"/>
      <c r="U1231" s="53" t="n"/>
      <c r="V1231" s="53" t="n"/>
      <c r="W1231" s="47" t="n"/>
      <c r="X1231" s="47" t="n"/>
      <c r="Y1231" s="47" t="n"/>
      <c r="Z1231" s="47" t="n"/>
      <c r="AA1231" s="47" t="n"/>
      <c r="AB1231" s="47" t="n"/>
      <c r="AC1231" s="47" t="n"/>
      <c r="AD1231" s="47" t="n"/>
      <c r="AE1231" s="47" t="n"/>
      <c r="AF1231" s="20">
        <f>IF(A1231="","",YEAR(EDATE(A1231,-3)))</f>
        <v/>
      </c>
      <c r="AG1231" s="20">
        <f>IF(OR(B1231="",'経歴簿'!$C$4=""),"",IF(B1231&amp;""='経歴簿'!$C$4&amp;"",MAX($AG$4:AG1230)+1,""))</f>
        <v/>
      </c>
      <c r="AH1231" s="20">
        <f>IF(A1231="",0,IF(AND(OR('CSV抽出'!$C$4="",A1231&gt;='CSV抽出'!$C$4),OR('CSV抽出'!$C$5="",A1231&lt;='CSV抽出'!$C$5),OR('CSV抽出'!$C$6="すべて",'CSV抽出'!$C$6="",D1231='CSV抽出'!$C$6),OR('CSV抽出'!$C$7="",B1231&amp;""='CSV抽出'!$C$7&amp;"")),1,0))</f>
        <v/>
      </c>
      <c r="AI1231" s="20">
        <f>IF(AH1231=1,SUM($AH$5:AH1231),"")</f>
        <v/>
      </c>
      <c r="AJ1231" s="20">
        <f>IF(OR(S1231="",'報告書'!$C$4=""),"",IF(S1231&amp;""='報告書'!$C$4&amp;"",COUNTIF($S$5:S1231,'報告書'!$C$4),""))</f>
        <v/>
      </c>
      <c r="AK1231" s="20" t="n"/>
      <c r="AL1231" s="47" t="n"/>
      <c r="AM1231" s="47" t="n"/>
      <c r="AN1231" s="53" t="n"/>
      <c r="AO1231" s="47" t="n"/>
      <c r="AP1231" s="47" t="n"/>
      <c r="AQ1231" s="47" t="n"/>
      <c r="AR1231" s="47" t="n"/>
      <c r="AS1231" s="47" t="n"/>
      <c r="AT1231" s="47" t="n"/>
      <c r="AU1231" s="47" t="n"/>
      <c r="AV1231" s="47" t="n"/>
      <c r="AW1231" s="52" t="n"/>
    </row>
    <row r="1232">
      <c r="A1232" s="48" t="n"/>
      <c r="B1232" s="52" t="n"/>
      <c r="C1232" s="47">
        <f>IF(B1232="","",IFERROR(INDEX('隊員マスタ'!$B$5:$B$204,MATCH(B1232&amp;"",'隊員マスタ'!$F$5:$F$204,0)),IF(AK1232="","番号なし",AK1232)))</f>
        <v/>
      </c>
      <c r="D1232" s="47" t="n"/>
      <c r="E1232" s="47" t="n"/>
      <c r="F1232" s="47" t="n"/>
      <c r="G1232" s="47" t="n"/>
      <c r="H1232" s="47" t="n"/>
      <c r="I1232" s="47" t="n"/>
      <c r="J1232" s="47" t="n"/>
      <c r="K1232" s="47" t="n"/>
      <c r="L1232" s="47" t="n"/>
      <c r="M1232" s="47" t="n"/>
      <c r="N1232" s="47" t="n"/>
      <c r="O1232" s="47" t="n"/>
      <c r="P1232" s="47" t="n"/>
      <c r="Q1232" s="47" t="n"/>
      <c r="R1232" s="47" t="n"/>
      <c r="S1232" s="47" t="n"/>
      <c r="T1232" s="47" t="n"/>
      <c r="U1232" s="53" t="n"/>
      <c r="V1232" s="53" t="n"/>
      <c r="W1232" s="47" t="n"/>
      <c r="X1232" s="47" t="n"/>
      <c r="Y1232" s="47" t="n"/>
      <c r="Z1232" s="47" t="n"/>
      <c r="AA1232" s="47" t="n"/>
      <c r="AB1232" s="47" t="n"/>
      <c r="AC1232" s="47" t="n"/>
      <c r="AD1232" s="47" t="n"/>
      <c r="AE1232" s="47" t="n"/>
      <c r="AF1232" s="20">
        <f>IF(A1232="","",YEAR(EDATE(A1232,-3)))</f>
        <v/>
      </c>
      <c r="AG1232" s="20">
        <f>IF(OR(B1232="",'経歴簿'!$C$4=""),"",IF(B1232&amp;""='経歴簿'!$C$4&amp;"",MAX($AG$4:AG1231)+1,""))</f>
        <v/>
      </c>
      <c r="AH1232" s="20">
        <f>IF(A1232="",0,IF(AND(OR('CSV抽出'!$C$4="",A1232&gt;='CSV抽出'!$C$4),OR('CSV抽出'!$C$5="",A1232&lt;='CSV抽出'!$C$5),OR('CSV抽出'!$C$6="すべて",'CSV抽出'!$C$6="",D1232='CSV抽出'!$C$6),OR('CSV抽出'!$C$7="",B1232&amp;""='CSV抽出'!$C$7&amp;"")),1,0))</f>
        <v/>
      </c>
      <c r="AI1232" s="20">
        <f>IF(AH1232=1,SUM($AH$5:AH1232),"")</f>
        <v/>
      </c>
      <c r="AJ1232" s="20">
        <f>IF(OR(S1232="",'報告書'!$C$4=""),"",IF(S1232&amp;""='報告書'!$C$4&amp;"",COUNTIF($S$5:S1232,'報告書'!$C$4),""))</f>
        <v/>
      </c>
      <c r="AK1232" s="20" t="n"/>
      <c r="AL1232" s="47" t="n"/>
      <c r="AM1232" s="47" t="n"/>
      <c r="AN1232" s="53" t="n"/>
      <c r="AO1232" s="47" t="n"/>
      <c r="AP1232" s="47" t="n"/>
      <c r="AQ1232" s="47" t="n"/>
      <c r="AR1232" s="47" t="n"/>
      <c r="AS1232" s="47" t="n"/>
      <c r="AT1232" s="47" t="n"/>
      <c r="AU1232" s="47" t="n"/>
      <c r="AV1232" s="47" t="n"/>
      <c r="AW1232" s="52" t="n"/>
    </row>
    <row r="1233">
      <c r="A1233" s="48" t="n"/>
      <c r="B1233" s="52" t="n"/>
      <c r="C1233" s="47">
        <f>IF(B1233="","",IFERROR(INDEX('隊員マスタ'!$B$5:$B$204,MATCH(B1233&amp;"",'隊員マスタ'!$F$5:$F$204,0)),IF(AK1233="","番号なし",AK1233)))</f>
        <v/>
      </c>
      <c r="D1233" s="47" t="n"/>
      <c r="E1233" s="47" t="n"/>
      <c r="F1233" s="47" t="n"/>
      <c r="G1233" s="47" t="n"/>
      <c r="H1233" s="47" t="n"/>
      <c r="I1233" s="47" t="n"/>
      <c r="J1233" s="47" t="n"/>
      <c r="K1233" s="47" t="n"/>
      <c r="L1233" s="47" t="n"/>
      <c r="M1233" s="47" t="n"/>
      <c r="N1233" s="47" t="n"/>
      <c r="O1233" s="47" t="n"/>
      <c r="P1233" s="47" t="n"/>
      <c r="Q1233" s="47" t="n"/>
      <c r="R1233" s="47" t="n"/>
      <c r="S1233" s="47" t="n"/>
      <c r="T1233" s="47" t="n"/>
      <c r="U1233" s="53" t="n"/>
      <c r="V1233" s="53" t="n"/>
      <c r="W1233" s="47" t="n"/>
      <c r="X1233" s="47" t="n"/>
      <c r="Y1233" s="47" t="n"/>
      <c r="Z1233" s="47" t="n"/>
      <c r="AA1233" s="47" t="n"/>
      <c r="AB1233" s="47" t="n"/>
      <c r="AC1233" s="47" t="n"/>
      <c r="AD1233" s="47" t="n"/>
      <c r="AE1233" s="47" t="n"/>
      <c r="AF1233" s="20">
        <f>IF(A1233="","",YEAR(EDATE(A1233,-3)))</f>
        <v/>
      </c>
      <c r="AG1233" s="20">
        <f>IF(OR(B1233="",'経歴簿'!$C$4=""),"",IF(B1233&amp;""='経歴簿'!$C$4&amp;"",MAX($AG$4:AG1232)+1,""))</f>
        <v/>
      </c>
      <c r="AH1233" s="20">
        <f>IF(A1233="",0,IF(AND(OR('CSV抽出'!$C$4="",A1233&gt;='CSV抽出'!$C$4),OR('CSV抽出'!$C$5="",A1233&lt;='CSV抽出'!$C$5),OR('CSV抽出'!$C$6="すべて",'CSV抽出'!$C$6="",D1233='CSV抽出'!$C$6),OR('CSV抽出'!$C$7="",B1233&amp;""='CSV抽出'!$C$7&amp;"")),1,0))</f>
        <v/>
      </c>
      <c r="AI1233" s="20">
        <f>IF(AH1233=1,SUM($AH$5:AH1233),"")</f>
        <v/>
      </c>
      <c r="AJ1233" s="20">
        <f>IF(OR(S1233="",'報告書'!$C$4=""),"",IF(S1233&amp;""='報告書'!$C$4&amp;"",COUNTIF($S$5:S1233,'報告書'!$C$4),""))</f>
        <v/>
      </c>
      <c r="AK1233" s="20" t="n"/>
      <c r="AL1233" s="47" t="n"/>
      <c r="AM1233" s="47" t="n"/>
      <c r="AN1233" s="53" t="n"/>
      <c r="AO1233" s="47" t="n"/>
      <c r="AP1233" s="47" t="n"/>
      <c r="AQ1233" s="47" t="n"/>
      <c r="AR1233" s="47" t="n"/>
      <c r="AS1233" s="47" t="n"/>
      <c r="AT1233" s="47" t="n"/>
      <c r="AU1233" s="47" t="n"/>
      <c r="AV1233" s="47" t="n"/>
      <c r="AW1233" s="52" t="n"/>
    </row>
    <row r="1234">
      <c r="A1234" s="48" t="n"/>
      <c r="B1234" s="52" t="n"/>
      <c r="C1234" s="47">
        <f>IF(B1234="","",IFERROR(INDEX('隊員マスタ'!$B$5:$B$204,MATCH(B1234&amp;"",'隊員マスタ'!$F$5:$F$204,0)),IF(AK1234="","番号なし",AK1234)))</f>
        <v/>
      </c>
      <c r="D1234" s="47" t="n"/>
      <c r="E1234" s="47" t="n"/>
      <c r="F1234" s="47" t="n"/>
      <c r="G1234" s="47" t="n"/>
      <c r="H1234" s="47" t="n"/>
      <c r="I1234" s="47" t="n"/>
      <c r="J1234" s="47" t="n"/>
      <c r="K1234" s="47" t="n"/>
      <c r="L1234" s="47" t="n"/>
      <c r="M1234" s="47" t="n"/>
      <c r="N1234" s="47" t="n"/>
      <c r="O1234" s="47" t="n"/>
      <c r="P1234" s="47" t="n"/>
      <c r="Q1234" s="47" t="n"/>
      <c r="R1234" s="47" t="n"/>
      <c r="S1234" s="47" t="n"/>
      <c r="T1234" s="47" t="n"/>
      <c r="U1234" s="53" t="n"/>
      <c r="V1234" s="53" t="n"/>
      <c r="W1234" s="47" t="n"/>
      <c r="X1234" s="47" t="n"/>
      <c r="Y1234" s="47" t="n"/>
      <c r="Z1234" s="47" t="n"/>
      <c r="AA1234" s="47" t="n"/>
      <c r="AB1234" s="47" t="n"/>
      <c r="AC1234" s="47" t="n"/>
      <c r="AD1234" s="47" t="n"/>
      <c r="AE1234" s="47" t="n"/>
      <c r="AF1234" s="20">
        <f>IF(A1234="","",YEAR(EDATE(A1234,-3)))</f>
        <v/>
      </c>
      <c r="AG1234" s="20">
        <f>IF(OR(B1234="",'経歴簿'!$C$4=""),"",IF(B1234&amp;""='経歴簿'!$C$4&amp;"",MAX($AG$4:AG1233)+1,""))</f>
        <v/>
      </c>
      <c r="AH1234" s="20">
        <f>IF(A1234="",0,IF(AND(OR('CSV抽出'!$C$4="",A1234&gt;='CSV抽出'!$C$4),OR('CSV抽出'!$C$5="",A1234&lt;='CSV抽出'!$C$5),OR('CSV抽出'!$C$6="すべて",'CSV抽出'!$C$6="",D1234='CSV抽出'!$C$6),OR('CSV抽出'!$C$7="",B1234&amp;""='CSV抽出'!$C$7&amp;"")),1,0))</f>
        <v/>
      </c>
      <c r="AI1234" s="20">
        <f>IF(AH1234=1,SUM($AH$5:AH1234),"")</f>
        <v/>
      </c>
      <c r="AJ1234" s="20">
        <f>IF(OR(S1234="",'報告書'!$C$4=""),"",IF(S1234&amp;""='報告書'!$C$4&amp;"",COUNTIF($S$5:S1234,'報告書'!$C$4),""))</f>
        <v/>
      </c>
      <c r="AK1234" s="20" t="n"/>
      <c r="AL1234" s="47" t="n"/>
      <c r="AM1234" s="47" t="n"/>
      <c r="AN1234" s="53" t="n"/>
      <c r="AO1234" s="47" t="n"/>
      <c r="AP1234" s="47" t="n"/>
      <c r="AQ1234" s="47" t="n"/>
      <c r="AR1234" s="47" t="n"/>
      <c r="AS1234" s="47" t="n"/>
      <c r="AT1234" s="47" t="n"/>
      <c r="AU1234" s="47" t="n"/>
      <c r="AV1234" s="47" t="n"/>
      <c r="AW1234" s="52" t="n"/>
    </row>
    <row r="1235">
      <c r="A1235" s="48" t="n"/>
      <c r="B1235" s="52" t="n"/>
      <c r="C1235" s="47">
        <f>IF(B1235="","",IFERROR(INDEX('隊員マスタ'!$B$5:$B$204,MATCH(B1235&amp;"",'隊員マスタ'!$F$5:$F$204,0)),IF(AK1235="","番号なし",AK1235)))</f>
        <v/>
      </c>
      <c r="D1235" s="47" t="n"/>
      <c r="E1235" s="47" t="n"/>
      <c r="F1235" s="47" t="n"/>
      <c r="G1235" s="47" t="n"/>
      <c r="H1235" s="47" t="n"/>
      <c r="I1235" s="47" t="n"/>
      <c r="J1235" s="47" t="n"/>
      <c r="K1235" s="47" t="n"/>
      <c r="L1235" s="47" t="n"/>
      <c r="M1235" s="47" t="n"/>
      <c r="N1235" s="47" t="n"/>
      <c r="O1235" s="47" t="n"/>
      <c r="P1235" s="47" t="n"/>
      <c r="Q1235" s="47" t="n"/>
      <c r="R1235" s="47" t="n"/>
      <c r="S1235" s="47" t="n"/>
      <c r="T1235" s="47" t="n"/>
      <c r="U1235" s="53" t="n"/>
      <c r="V1235" s="53" t="n"/>
      <c r="W1235" s="47" t="n"/>
      <c r="X1235" s="47" t="n"/>
      <c r="Y1235" s="47" t="n"/>
      <c r="Z1235" s="47" t="n"/>
      <c r="AA1235" s="47" t="n"/>
      <c r="AB1235" s="47" t="n"/>
      <c r="AC1235" s="47" t="n"/>
      <c r="AD1235" s="47" t="n"/>
      <c r="AE1235" s="47" t="n"/>
      <c r="AF1235" s="20">
        <f>IF(A1235="","",YEAR(EDATE(A1235,-3)))</f>
        <v/>
      </c>
      <c r="AG1235" s="20">
        <f>IF(OR(B1235="",'経歴簿'!$C$4=""),"",IF(B1235&amp;""='経歴簿'!$C$4&amp;"",MAX($AG$4:AG1234)+1,""))</f>
        <v/>
      </c>
      <c r="AH1235" s="20">
        <f>IF(A1235="",0,IF(AND(OR('CSV抽出'!$C$4="",A1235&gt;='CSV抽出'!$C$4),OR('CSV抽出'!$C$5="",A1235&lt;='CSV抽出'!$C$5),OR('CSV抽出'!$C$6="すべて",'CSV抽出'!$C$6="",D1235='CSV抽出'!$C$6),OR('CSV抽出'!$C$7="",B1235&amp;""='CSV抽出'!$C$7&amp;"")),1,0))</f>
        <v/>
      </c>
      <c r="AI1235" s="20">
        <f>IF(AH1235=1,SUM($AH$5:AH1235),"")</f>
        <v/>
      </c>
      <c r="AJ1235" s="20">
        <f>IF(OR(S1235="",'報告書'!$C$4=""),"",IF(S1235&amp;""='報告書'!$C$4&amp;"",COUNTIF($S$5:S1235,'報告書'!$C$4),""))</f>
        <v/>
      </c>
      <c r="AK1235" s="20" t="n"/>
      <c r="AL1235" s="47" t="n"/>
      <c r="AM1235" s="47" t="n"/>
      <c r="AN1235" s="53" t="n"/>
      <c r="AO1235" s="47" t="n"/>
      <c r="AP1235" s="47" t="n"/>
      <c r="AQ1235" s="47" t="n"/>
      <c r="AR1235" s="47" t="n"/>
      <c r="AS1235" s="47" t="n"/>
      <c r="AT1235" s="47" t="n"/>
      <c r="AU1235" s="47" t="n"/>
      <c r="AV1235" s="47" t="n"/>
      <c r="AW1235" s="52" t="n"/>
    </row>
    <row r="1236">
      <c r="A1236" s="48" t="n"/>
      <c r="B1236" s="52" t="n"/>
      <c r="C1236" s="47">
        <f>IF(B1236="","",IFERROR(INDEX('隊員マスタ'!$B$5:$B$204,MATCH(B1236&amp;"",'隊員マスタ'!$F$5:$F$204,0)),IF(AK1236="","番号なし",AK1236)))</f>
        <v/>
      </c>
      <c r="D1236" s="47" t="n"/>
      <c r="E1236" s="47" t="n"/>
      <c r="F1236" s="47" t="n"/>
      <c r="G1236" s="47" t="n"/>
      <c r="H1236" s="47" t="n"/>
      <c r="I1236" s="47" t="n"/>
      <c r="J1236" s="47" t="n"/>
      <c r="K1236" s="47" t="n"/>
      <c r="L1236" s="47" t="n"/>
      <c r="M1236" s="47" t="n"/>
      <c r="N1236" s="47" t="n"/>
      <c r="O1236" s="47" t="n"/>
      <c r="P1236" s="47" t="n"/>
      <c r="Q1236" s="47" t="n"/>
      <c r="R1236" s="47" t="n"/>
      <c r="S1236" s="47" t="n"/>
      <c r="T1236" s="47" t="n"/>
      <c r="U1236" s="53" t="n"/>
      <c r="V1236" s="53" t="n"/>
      <c r="W1236" s="47" t="n"/>
      <c r="X1236" s="47" t="n"/>
      <c r="Y1236" s="47" t="n"/>
      <c r="Z1236" s="47" t="n"/>
      <c r="AA1236" s="47" t="n"/>
      <c r="AB1236" s="47" t="n"/>
      <c r="AC1236" s="47" t="n"/>
      <c r="AD1236" s="47" t="n"/>
      <c r="AE1236" s="47" t="n"/>
      <c r="AF1236" s="20">
        <f>IF(A1236="","",YEAR(EDATE(A1236,-3)))</f>
        <v/>
      </c>
      <c r="AG1236" s="20">
        <f>IF(OR(B1236="",'経歴簿'!$C$4=""),"",IF(B1236&amp;""='経歴簿'!$C$4&amp;"",MAX($AG$4:AG1235)+1,""))</f>
        <v/>
      </c>
      <c r="AH1236" s="20">
        <f>IF(A1236="",0,IF(AND(OR('CSV抽出'!$C$4="",A1236&gt;='CSV抽出'!$C$4),OR('CSV抽出'!$C$5="",A1236&lt;='CSV抽出'!$C$5),OR('CSV抽出'!$C$6="すべて",'CSV抽出'!$C$6="",D1236='CSV抽出'!$C$6),OR('CSV抽出'!$C$7="",B1236&amp;""='CSV抽出'!$C$7&amp;"")),1,0))</f>
        <v/>
      </c>
      <c r="AI1236" s="20">
        <f>IF(AH1236=1,SUM($AH$5:AH1236),"")</f>
        <v/>
      </c>
      <c r="AJ1236" s="20">
        <f>IF(OR(S1236="",'報告書'!$C$4=""),"",IF(S1236&amp;""='報告書'!$C$4&amp;"",COUNTIF($S$5:S1236,'報告書'!$C$4),""))</f>
        <v/>
      </c>
      <c r="AK1236" s="20" t="n"/>
      <c r="AL1236" s="47" t="n"/>
      <c r="AM1236" s="47" t="n"/>
      <c r="AN1236" s="53" t="n"/>
      <c r="AO1236" s="47" t="n"/>
      <c r="AP1236" s="47" t="n"/>
      <c r="AQ1236" s="47" t="n"/>
      <c r="AR1236" s="47" t="n"/>
      <c r="AS1236" s="47" t="n"/>
      <c r="AT1236" s="47" t="n"/>
      <c r="AU1236" s="47" t="n"/>
      <c r="AV1236" s="47" t="n"/>
      <c r="AW1236" s="52" t="n"/>
    </row>
    <row r="1237">
      <c r="A1237" s="48" t="n"/>
      <c r="B1237" s="52" t="n"/>
      <c r="C1237" s="47">
        <f>IF(B1237="","",IFERROR(INDEX('隊員マスタ'!$B$5:$B$204,MATCH(B1237&amp;"",'隊員マスタ'!$F$5:$F$204,0)),IF(AK1237="","番号なし",AK1237)))</f>
        <v/>
      </c>
      <c r="D1237" s="47" t="n"/>
      <c r="E1237" s="47" t="n"/>
      <c r="F1237" s="47" t="n"/>
      <c r="G1237" s="47" t="n"/>
      <c r="H1237" s="47" t="n"/>
      <c r="I1237" s="47" t="n"/>
      <c r="J1237" s="47" t="n"/>
      <c r="K1237" s="47" t="n"/>
      <c r="L1237" s="47" t="n"/>
      <c r="M1237" s="47" t="n"/>
      <c r="N1237" s="47" t="n"/>
      <c r="O1237" s="47" t="n"/>
      <c r="P1237" s="47" t="n"/>
      <c r="Q1237" s="47" t="n"/>
      <c r="R1237" s="47" t="n"/>
      <c r="S1237" s="47" t="n"/>
      <c r="T1237" s="47" t="n"/>
      <c r="U1237" s="53" t="n"/>
      <c r="V1237" s="53" t="n"/>
      <c r="W1237" s="47" t="n"/>
      <c r="X1237" s="47" t="n"/>
      <c r="Y1237" s="47" t="n"/>
      <c r="Z1237" s="47" t="n"/>
      <c r="AA1237" s="47" t="n"/>
      <c r="AB1237" s="47" t="n"/>
      <c r="AC1237" s="47" t="n"/>
      <c r="AD1237" s="47" t="n"/>
      <c r="AE1237" s="47" t="n"/>
      <c r="AF1237" s="20">
        <f>IF(A1237="","",YEAR(EDATE(A1237,-3)))</f>
        <v/>
      </c>
      <c r="AG1237" s="20">
        <f>IF(OR(B1237="",'経歴簿'!$C$4=""),"",IF(B1237&amp;""='経歴簿'!$C$4&amp;"",MAX($AG$4:AG1236)+1,""))</f>
        <v/>
      </c>
      <c r="AH1237" s="20">
        <f>IF(A1237="",0,IF(AND(OR('CSV抽出'!$C$4="",A1237&gt;='CSV抽出'!$C$4),OR('CSV抽出'!$C$5="",A1237&lt;='CSV抽出'!$C$5),OR('CSV抽出'!$C$6="すべて",'CSV抽出'!$C$6="",D1237='CSV抽出'!$C$6),OR('CSV抽出'!$C$7="",B1237&amp;""='CSV抽出'!$C$7&amp;"")),1,0))</f>
        <v/>
      </c>
      <c r="AI1237" s="20">
        <f>IF(AH1237=1,SUM($AH$5:AH1237),"")</f>
        <v/>
      </c>
      <c r="AJ1237" s="20">
        <f>IF(OR(S1237="",'報告書'!$C$4=""),"",IF(S1237&amp;""='報告書'!$C$4&amp;"",COUNTIF($S$5:S1237,'報告書'!$C$4),""))</f>
        <v/>
      </c>
      <c r="AK1237" s="20" t="n"/>
      <c r="AL1237" s="47" t="n"/>
      <c r="AM1237" s="47" t="n"/>
      <c r="AN1237" s="53" t="n"/>
      <c r="AO1237" s="47" t="n"/>
      <c r="AP1237" s="47" t="n"/>
      <c r="AQ1237" s="47" t="n"/>
      <c r="AR1237" s="47" t="n"/>
      <c r="AS1237" s="47" t="n"/>
      <c r="AT1237" s="47" t="n"/>
      <c r="AU1237" s="47" t="n"/>
      <c r="AV1237" s="47" t="n"/>
      <c r="AW1237" s="52" t="n"/>
    </row>
    <row r="1238">
      <c r="A1238" s="48" t="n"/>
      <c r="B1238" s="52" t="n"/>
      <c r="C1238" s="47">
        <f>IF(B1238="","",IFERROR(INDEX('隊員マスタ'!$B$5:$B$204,MATCH(B1238&amp;"",'隊員マスタ'!$F$5:$F$204,0)),IF(AK1238="","番号なし",AK1238)))</f>
        <v/>
      </c>
      <c r="D1238" s="47" t="n"/>
      <c r="E1238" s="47" t="n"/>
      <c r="F1238" s="47" t="n"/>
      <c r="G1238" s="47" t="n"/>
      <c r="H1238" s="47" t="n"/>
      <c r="I1238" s="47" t="n"/>
      <c r="J1238" s="47" t="n"/>
      <c r="K1238" s="47" t="n"/>
      <c r="L1238" s="47" t="n"/>
      <c r="M1238" s="47" t="n"/>
      <c r="N1238" s="47" t="n"/>
      <c r="O1238" s="47" t="n"/>
      <c r="P1238" s="47" t="n"/>
      <c r="Q1238" s="47" t="n"/>
      <c r="R1238" s="47" t="n"/>
      <c r="S1238" s="47" t="n"/>
      <c r="T1238" s="47" t="n"/>
      <c r="U1238" s="53" t="n"/>
      <c r="V1238" s="53" t="n"/>
      <c r="W1238" s="47" t="n"/>
      <c r="X1238" s="47" t="n"/>
      <c r="Y1238" s="47" t="n"/>
      <c r="Z1238" s="47" t="n"/>
      <c r="AA1238" s="47" t="n"/>
      <c r="AB1238" s="47" t="n"/>
      <c r="AC1238" s="47" t="n"/>
      <c r="AD1238" s="47" t="n"/>
      <c r="AE1238" s="47" t="n"/>
      <c r="AF1238" s="20">
        <f>IF(A1238="","",YEAR(EDATE(A1238,-3)))</f>
        <v/>
      </c>
      <c r="AG1238" s="20">
        <f>IF(OR(B1238="",'経歴簿'!$C$4=""),"",IF(B1238&amp;""='経歴簿'!$C$4&amp;"",MAX($AG$4:AG1237)+1,""))</f>
        <v/>
      </c>
      <c r="AH1238" s="20">
        <f>IF(A1238="",0,IF(AND(OR('CSV抽出'!$C$4="",A1238&gt;='CSV抽出'!$C$4),OR('CSV抽出'!$C$5="",A1238&lt;='CSV抽出'!$C$5),OR('CSV抽出'!$C$6="すべて",'CSV抽出'!$C$6="",D1238='CSV抽出'!$C$6),OR('CSV抽出'!$C$7="",B1238&amp;""='CSV抽出'!$C$7&amp;"")),1,0))</f>
        <v/>
      </c>
      <c r="AI1238" s="20">
        <f>IF(AH1238=1,SUM($AH$5:AH1238),"")</f>
        <v/>
      </c>
      <c r="AJ1238" s="20">
        <f>IF(OR(S1238="",'報告書'!$C$4=""),"",IF(S1238&amp;""='報告書'!$C$4&amp;"",COUNTIF($S$5:S1238,'報告書'!$C$4),""))</f>
        <v/>
      </c>
      <c r="AK1238" s="20" t="n"/>
      <c r="AL1238" s="47" t="n"/>
      <c r="AM1238" s="47" t="n"/>
      <c r="AN1238" s="53" t="n"/>
      <c r="AO1238" s="47" t="n"/>
      <c r="AP1238" s="47" t="n"/>
      <c r="AQ1238" s="47" t="n"/>
      <c r="AR1238" s="47" t="n"/>
      <c r="AS1238" s="47" t="n"/>
      <c r="AT1238" s="47" t="n"/>
      <c r="AU1238" s="47" t="n"/>
      <c r="AV1238" s="47" t="n"/>
      <c r="AW1238" s="52" t="n"/>
    </row>
    <row r="1239">
      <c r="A1239" s="48" t="n"/>
      <c r="B1239" s="52" t="n"/>
      <c r="C1239" s="47">
        <f>IF(B1239="","",IFERROR(INDEX('隊員マスタ'!$B$5:$B$204,MATCH(B1239&amp;"",'隊員マスタ'!$F$5:$F$204,0)),IF(AK1239="","番号なし",AK1239)))</f>
        <v/>
      </c>
      <c r="D1239" s="47" t="n"/>
      <c r="E1239" s="47" t="n"/>
      <c r="F1239" s="47" t="n"/>
      <c r="G1239" s="47" t="n"/>
      <c r="H1239" s="47" t="n"/>
      <c r="I1239" s="47" t="n"/>
      <c r="J1239" s="47" t="n"/>
      <c r="K1239" s="47" t="n"/>
      <c r="L1239" s="47" t="n"/>
      <c r="M1239" s="47" t="n"/>
      <c r="N1239" s="47" t="n"/>
      <c r="O1239" s="47" t="n"/>
      <c r="P1239" s="47" t="n"/>
      <c r="Q1239" s="47" t="n"/>
      <c r="R1239" s="47" t="n"/>
      <c r="S1239" s="47" t="n"/>
      <c r="T1239" s="47" t="n"/>
      <c r="U1239" s="53" t="n"/>
      <c r="V1239" s="53" t="n"/>
      <c r="W1239" s="47" t="n"/>
      <c r="X1239" s="47" t="n"/>
      <c r="Y1239" s="47" t="n"/>
      <c r="Z1239" s="47" t="n"/>
      <c r="AA1239" s="47" t="n"/>
      <c r="AB1239" s="47" t="n"/>
      <c r="AC1239" s="47" t="n"/>
      <c r="AD1239" s="47" t="n"/>
      <c r="AE1239" s="47" t="n"/>
      <c r="AF1239" s="20">
        <f>IF(A1239="","",YEAR(EDATE(A1239,-3)))</f>
        <v/>
      </c>
      <c r="AG1239" s="20">
        <f>IF(OR(B1239="",'経歴簿'!$C$4=""),"",IF(B1239&amp;""='経歴簿'!$C$4&amp;"",MAX($AG$4:AG1238)+1,""))</f>
        <v/>
      </c>
      <c r="AH1239" s="20">
        <f>IF(A1239="",0,IF(AND(OR('CSV抽出'!$C$4="",A1239&gt;='CSV抽出'!$C$4),OR('CSV抽出'!$C$5="",A1239&lt;='CSV抽出'!$C$5),OR('CSV抽出'!$C$6="すべて",'CSV抽出'!$C$6="",D1239='CSV抽出'!$C$6),OR('CSV抽出'!$C$7="",B1239&amp;""='CSV抽出'!$C$7&amp;"")),1,0))</f>
        <v/>
      </c>
      <c r="AI1239" s="20">
        <f>IF(AH1239=1,SUM($AH$5:AH1239),"")</f>
        <v/>
      </c>
      <c r="AJ1239" s="20">
        <f>IF(OR(S1239="",'報告書'!$C$4=""),"",IF(S1239&amp;""='報告書'!$C$4&amp;"",COUNTIF($S$5:S1239,'報告書'!$C$4),""))</f>
        <v/>
      </c>
      <c r="AK1239" s="20" t="n"/>
      <c r="AL1239" s="47" t="n"/>
      <c r="AM1239" s="47" t="n"/>
      <c r="AN1239" s="53" t="n"/>
      <c r="AO1239" s="47" t="n"/>
      <c r="AP1239" s="47" t="n"/>
      <c r="AQ1239" s="47" t="n"/>
      <c r="AR1239" s="47" t="n"/>
      <c r="AS1239" s="47" t="n"/>
      <c r="AT1239" s="47" t="n"/>
      <c r="AU1239" s="47" t="n"/>
      <c r="AV1239" s="47" t="n"/>
      <c r="AW1239" s="52" t="n"/>
    </row>
    <row r="1240">
      <c r="A1240" s="48" t="n"/>
      <c r="B1240" s="52" t="n"/>
      <c r="C1240" s="47">
        <f>IF(B1240="","",IFERROR(INDEX('隊員マスタ'!$B$5:$B$204,MATCH(B1240&amp;"",'隊員マスタ'!$F$5:$F$204,0)),IF(AK1240="","番号なし",AK1240)))</f>
        <v/>
      </c>
      <c r="D1240" s="47" t="n"/>
      <c r="E1240" s="47" t="n"/>
      <c r="F1240" s="47" t="n"/>
      <c r="G1240" s="47" t="n"/>
      <c r="H1240" s="47" t="n"/>
      <c r="I1240" s="47" t="n"/>
      <c r="J1240" s="47" t="n"/>
      <c r="K1240" s="47" t="n"/>
      <c r="L1240" s="47" t="n"/>
      <c r="M1240" s="47" t="n"/>
      <c r="N1240" s="47" t="n"/>
      <c r="O1240" s="47" t="n"/>
      <c r="P1240" s="47" t="n"/>
      <c r="Q1240" s="47" t="n"/>
      <c r="R1240" s="47" t="n"/>
      <c r="S1240" s="47" t="n"/>
      <c r="T1240" s="47" t="n"/>
      <c r="U1240" s="53" t="n"/>
      <c r="V1240" s="53" t="n"/>
      <c r="W1240" s="47" t="n"/>
      <c r="X1240" s="47" t="n"/>
      <c r="Y1240" s="47" t="n"/>
      <c r="Z1240" s="47" t="n"/>
      <c r="AA1240" s="47" t="n"/>
      <c r="AB1240" s="47" t="n"/>
      <c r="AC1240" s="47" t="n"/>
      <c r="AD1240" s="47" t="n"/>
      <c r="AE1240" s="47" t="n"/>
      <c r="AF1240" s="20">
        <f>IF(A1240="","",YEAR(EDATE(A1240,-3)))</f>
        <v/>
      </c>
      <c r="AG1240" s="20">
        <f>IF(OR(B1240="",'経歴簿'!$C$4=""),"",IF(B1240&amp;""='経歴簿'!$C$4&amp;"",MAX($AG$4:AG1239)+1,""))</f>
        <v/>
      </c>
      <c r="AH1240" s="20">
        <f>IF(A1240="",0,IF(AND(OR('CSV抽出'!$C$4="",A1240&gt;='CSV抽出'!$C$4),OR('CSV抽出'!$C$5="",A1240&lt;='CSV抽出'!$C$5),OR('CSV抽出'!$C$6="すべて",'CSV抽出'!$C$6="",D1240='CSV抽出'!$C$6),OR('CSV抽出'!$C$7="",B1240&amp;""='CSV抽出'!$C$7&amp;"")),1,0))</f>
        <v/>
      </c>
      <c r="AI1240" s="20">
        <f>IF(AH1240=1,SUM($AH$5:AH1240),"")</f>
        <v/>
      </c>
      <c r="AJ1240" s="20">
        <f>IF(OR(S1240="",'報告書'!$C$4=""),"",IF(S1240&amp;""='報告書'!$C$4&amp;"",COUNTIF($S$5:S1240,'報告書'!$C$4),""))</f>
        <v/>
      </c>
      <c r="AK1240" s="20" t="n"/>
      <c r="AL1240" s="47" t="n"/>
      <c r="AM1240" s="47" t="n"/>
      <c r="AN1240" s="53" t="n"/>
      <c r="AO1240" s="47" t="n"/>
      <c r="AP1240" s="47" t="n"/>
      <c r="AQ1240" s="47" t="n"/>
      <c r="AR1240" s="47" t="n"/>
      <c r="AS1240" s="47" t="n"/>
      <c r="AT1240" s="47" t="n"/>
      <c r="AU1240" s="47" t="n"/>
      <c r="AV1240" s="47" t="n"/>
      <c r="AW1240" s="52" t="n"/>
    </row>
    <row r="1241">
      <c r="A1241" s="48" t="n"/>
      <c r="B1241" s="52" t="n"/>
      <c r="C1241" s="47">
        <f>IF(B1241="","",IFERROR(INDEX('隊員マスタ'!$B$5:$B$204,MATCH(B1241&amp;"",'隊員マスタ'!$F$5:$F$204,0)),IF(AK1241="","番号なし",AK1241)))</f>
        <v/>
      </c>
      <c r="D1241" s="47" t="n"/>
      <c r="E1241" s="47" t="n"/>
      <c r="F1241" s="47" t="n"/>
      <c r="G1241" s="47" t="n"/>
      <c r="H1241" s="47" t="n"/>
      <c r="I1241" s="47" t="n"/>
      <c r="J1241" s="47" t="n"/>
      <c r="K1241" s="47" t="n"/>
      <c r="L1241" s="47" t="n"/>
      <c r="M1241" s="47" t="n"/>
      <c r="N1241" s="47" t="n"/>
      <c r="O1241" s="47" t="n"/>
      <c r="P1241" s="47" t="n"/>
      <c r="Q1241" s="47" t="n"/>
      <c r="R1241" s="47" t="n"/>
      <c r="S1241" s="47" t="n"/>
      <c r="T1241" s="47" t="n"/>
      <c r="U1241" s="53" t="n"/>
      <c r="V1241" s="53" t="n"/>
      <c r="W1241" s="47" t="n"/>
      <c r="X1241" s="47" t="n"/>
      <c r="Y1241" s="47" t="n"/>
      <c r="Z1241" s="47" t="n"/>
      <c r="AA1241" s="47" t="n"/>
      <c r="AB1241" s="47" t="n"/>
      <c r="AC1241" s="47" t="n"/>
      <c r="AD1241" s="47" t="n"/>
      <c r="AE1241" s="47" t="n"/>
      <c r="AF1241" s="20">
        <f>IF(A1241="","",YEAR(EDATE(A1241,-3)))</f>
        <v/>
      </c>
      <c r="AG1241" s="20">
        <f>IF(OR(B1241="",'経歴簿'!$C$4=""),"",IF(B1241&amp;""='経歴簿'!$C$4&amp;"",MAX($AG$4:AG1240)+1,""))</f>
        <v/>
      </c>
      <c r="AH1241" s="20">
        <f>IF(A1241="",0,IF(AND(OR('CSV抽出'!$C$4="",A1241&gt;='CSV抽出'!$C$4),OR('CSV抽出'!$C$5="",A1241&lt;='CSV抽出'!$C$5),OR('CSV抽出'!$C$6="すべて",'CSV抽出'!$C$6="",D1241='CSV抽出'!$C$6),OR('CSV抽出'!$C$7="",B1241&amp;""='CSV抽出'!$C$7&amp;"")),1,0))</f>
        <v/>
      </c>
      <c r="AI1241" s="20">
        <f>IF(AH1241=1,SUM($AH$5:AH1241),"")</f>
        <v/>
      </c>
      <c r="AJ1241" s="20">
        <f>IF(OR(S1241="",'報告書'!$C$4=""),"",IF(S1241&amp;""='報告書'!$C$4&amp;"",COUNTIF($S$5:S1241,'報告書'!$C$4),""))</f>
        <v/>
      </c>
      <c r="AK1241" s="20" t="n"/>
      <c r="AL1241" s="47" t="n"/>
      <c r="AM1241" s="47" t="n"/>
      <c r="AN1241" s="53" t="n"/>
      <c r="AO1241" s="47" t="n"/>
      <c r="AP1241" s="47" t="n"/>
      <c r="AQ1241" s="47" t="n"/>
      <c r="AR1241" s="47" t="n"/>
      <c r="AS1241" s="47" t="n"/>
      <c r="AT1241" s="47" t="n"/>
      <c r="AU1241" s="47" t="n"/>
      <c r="AV1241" s="47" t="n"/>
      <c r="AW1241" s="52" t="n"/>
    </row>
    <row r="1242">
      <c r="A1242" s="48" t="n"/>
      <c r="B1242" s="52" t="n"/>
      <c r="C1242" s="47">
        <f>IF(B1242="","",IFERROR(INDEX('隊員マスタ'!$B$5:$B$204,MATCH(B1242&amp;"",'隊員マスタ'!$F$5:$F$204,0)),IF(AK1242="","番号なし",AK1242)))</f>
        <v/>
      </c>
      <c r="D1242" s="47" t="n"/>
      <c r="E1242" s="47" t="n"/>
      <c r="F1242" s="47" t="n"/>
      <c r="G1242" s="47" t="n"/>
      <c r="H1242" s="47" t="n"/>
      <c r="I1242" s="47" t="n"/>
      <c r="J1242" s="47" t="n"/>
      <c r="K1242" s="47" t="n"/>
      <c r="L1242" s="47" t="n"/>
      <c r="M1242" s="47" t="n"/>
      <c r="N1242" s="47" t="n"/>
      <c r="O1242" s="47" t="n"/>
      <c r="P1242" s="47" t="n"/>
      <c r="Q1242" s="47" t="n"/>
      <c r="R1242" s="47" t="n"/>
      <c r="S1242" s="47" t="n"/>
      <c r="T1242" s="47" t="n"/>
      <c r="U1242" s="53" t="n"/>
      <c r="V1242" s="53" t="n"/>
      <c r="W1242" s="47" t="n"/>
      <c r="X1242" s="47" t="n"/>
      <c r="Y1242" s="47" t="n"/>
      <c r="Z1242" s="47" t="n"/>
      <c r="AA1242" s="47" t="n"/>
      <c r="AB1242" s="47" t="n"/>
      <c r="AC1242" s="47" t="n"/>
      <c r="AD1242" s="47" t="n"/>
      <c r="AE1242" s="47" t="n"/>
      <c r="AF1242" s="20">
        <f>IF(A1242="","",YEAR(EDATE(A1242,-3)))</f>
        <v/>
      </c>
      <c r="AG1242" s="20">
        <f>IF(OR(B1242="",'経歴簿'!$C$4=""),"",IF(B1242&amp;""='経歴簿'!$C$4&amp;"",MAX($AG$4:AG1241)+1,""))</f>
        <v/>
      </c>
      <c r="AH1242" s="20">
        <f>IF(A1242="",0,IF(AND(OR('CSV抽出'!$C$4="",A1242&gt;='CSV抽出'!$C$4),OR('CSV抽出'!$C$5="",A1242&lt;='CSV抽出'!$C$5),OR('CSV抽出'!$C$6="すべて",'CSV抽出'!$C$6="",D1242='CSV抽出'!$C$6),OR('CSV抽出'!$C$7="",B1242&amp;""='CSV抽出'!$C$7&amp;"")),1,0))</f>
        <v/>
      </c>
      <c r="AI1242" s="20">
        <f>IF(AH1242=1,SUM($AH$5:AH1242),"")</f>
        <v/>
      </c>
      <c r="AJ1242" s="20">
        <f>IF(OR(S1242="",'報告書'!$C$4=""),"",IF(S1242&amp;""='報告書'!$C$4&amp;"",COUNTIF($S$5:S1242,'報告書'!$C$4),""))</f>
        <v/>
      </c>
      <c r="AK1242" s="20" t="n"/>
      <c r="AL1242" s="47" t="n"/>
      <c r="AM1242" s="47" t="n"/>
      <c r="AN1242" s="53" t="n"/>
      <c r="AO1242" s="47" t="n"/>
      <c r="AP1242" s="47" t="n"/>
      <c r="AQ1242" s="47" t="n"/>
      <c r="AR1242" s="47" t="n"/>
      <c r="AS1242" s="47" t="n"/>
      <c r="AT1242" s="47" t="n"/>
      <c r="AU1242" s="47" t="n"/>
      <c r="AV1242" s="47" t="n"/>
      <c r="AW1242" s="52" t="n"/>
    </row>
    <row r="1243">
      <c r="A1243" s="48" t="n"/>
      <c r="B1243" s="52" t="n"/>
      <c r="C1243" s="47">
        <f>IF(B1243="","",IFERROR(INDEX('隊員マスタ'!$B$5:$B$204,MATCH(B1243&amp;"",'隊員マスタ'!$F$5:$F$204,0)),IF(AK1243="","番号なし",AK1243)))</f>
        <v/>
      </c>
      <c r="D1243" s="47" t="n"/>
      <c r="E1243" s="47" t="n"/>
      <c r="F1243" s="47" t="n"/>
      <c r="G1243" s="47" t="n"/>
      <c r="H1243" s="47" t="n"/>
      <c r="I1243" s="47" t="n"/>
      <c r="J1243" s="47" t="n"/>
      <c r="K1243" s="47" t="n"/>
      <c r="L1243" s="47" t="n"/>
      <c r="M1243" s="47" t="n"/>
      <c r="N1243" s="47" t="n"/>
      <c r="O1243" s="47" t="n"/>
      <c r="P1243" s="47" t="n"/>
      <c r="Q1243" s="47" t="n"/>
      <c r="R1243" s="47" t="n"/>
      <c r="S1243" s="47" t="n"/>
      <c r="T1243" s="47" t="n"/>
      <c r="U1243" s="53" t="n"/>
      <c r="V1243" s="53" t="n"/>
      <c r="W1243" s="47" t="n"/>
      <c r="X1243" s="47" t="n"/>
      <c r="Y1243" s="47" t="n"/>
      <c r="Z1243" s="47" t="n"/>
      <c r="AA1243" s="47" t="n"/>
      <c r="AB1243" s="47" t="n"/>
      <c r="AC1243" s="47" t="n"/>
      <c r="AD1243" s="47" t="n"/>
      <c r="AE1243" s="47" t="n"/>
      <c r="AF1243" s="20">
        <f>IF(A1243="","",YEAR(EDATE(A1243,-3)))</f>
        <v/>
      </c>
      <c r="AG1243" s="20">
        <f>IF(OR(B1243="",'経歴簿'!$C$4=""),"",IF(B1243&amp;""='経歴簿'!$C$4&amp;"",MAX($AG$4:AG1242)+1,""))</f>
        <v/>
      </c>
      <c r="AH1243" s="20">
        <f>IF(A1243="",0,IF(AND(OR('CSV抽出'!$C$4="",A1243&gt;='CSV抽出'!$C$4),OR('CSV抽出'!$C$5="",A1243&lt;='CSV抽出'!$C$5),OR('CSV抽出'!$C$6="すべて",'CSV抽出'!$C$6="",D1243='CSV抽出'!$C$6),OR('CSV抽出'!$C$7="",B1243&amp;""='CSV抽出'!$C$7&amp;"")),1,0))</f>
        <v/>
      </c>
      <c r="AI1243" s="20">
        <f>IF(AH1243=1,SUM($AH$5:AH1243),"")</f>
        <v/>
      </c>
      <c r="AJ1243" s="20">
        <f>IF(OR(S1243="",'報告書'!$C$4=""),"",IF(S1243&amp;""='報告書'!$C$4&amp;"",COUNTIF($S$5:S1243,'報告書'!$C$4),""))</f>
        <v/>
      </c>
      <c r="AK1243" s="20" t="n"/>
      <c r="AL1243" s="47" t="n"/>
      <c r="AM1243" s="47" t="n"/>
      <c r="AN1243" s="53" t="n"/>
      <c r="AO1243" s="47" t="n"/>
      <c r="AP1243" s="47" t="n"/>
      <c r="AQ1243" s="47" t="n"/>
      <c r="AR1243" s="47" t="n"/>
      <c r="AS1243" s="47" t="n"/>
      <c r="AT1243" s="47" t="n"/>
      <c r="AU1243" s="47" t="n"/>
      <c r="AV1243" s="47" t="n"/>
      <c r="AW1243" s="52" t="n"/>
    </row>
    <row r="1244">
      <c r="A1244" s="48" t="n"/>
      <c r="B1244" s="52" t="n"/>
      <c r="C1244" s="47">
        <f>IF(B1244="","",IFERROR(INDEX('隊員マスタ'!$B$5:$B$204,MATCH(B1244&amp;"",'隊員マスタ'!$F$5:$F$204,0)),IF(AK1244="","番号なし",AK1244)))</f>
        <v/>
      </c>
      <c r="D1244" s="47" t="n"/>
      <c r="E1244" s="47" t="n"/>
      <c r="F1244" s="47" t="n"/>
      <c r="G1244" s="47" t="n"/>
      <c r="H1244" s="47" t="n"/>
      <c r="I1244" s="47" t="n"/>
      <c r="J1244" s="47" t="n"/>
      <c r="K1244" s="47" t="n"/>
      <c r="L1244" s="47" t="n"/>
      <c r="M1244" s="47" t="n"/>
      <c r="N1244" s="47" t="n"/>
      <c r="O1244" s="47" t="n"/>
      <c r="P1244" s="47" t="n"/>
      <c r="Q1244" s="47" t="n"/>
      <c r="R1244" s="47" t="n"/>
      <c r="S1244" s="47" t="n"/>
      <c r="T1244" s="47" t="n"/>
      <c r="U1244" s="53" t="n"/>
      <c r="V1244" s="53" t="n"/>
      <c r="W1244" s="47" t="n"/>
      <c r="X1244" s="47" t="n"/>
      <c r="Y1244" s="47" t="n"/>
      <c r="Z1244" s="47" t="n"/>
      <c r="AA1244" s="47" t="n"/>
      <c r="AB1244" s="47" t="n"/>
      <c r="AC1244" s="47" t="n"/>
      <c r="AD1244" s="47" t="n"/>
      <c r="AE1244" s="47" t="n"/>
      <c r="AF1244" s="20">
        <f>IF(A1244="","",YEAR(EDATE(A1244,-3)))</f>
        <v/>
      </c>
      <c r="AG1244" s="20">
        <f>IF(OR(B1244="",'経歴簿'!$C$4=""),"",IF(B1244&amp;""='経歴簿'!$C$4&amp;"",MAX($AG$4:AG1243)+1,""))</f>
        <v/>
      </c>
      <c r="AH1244" s="20">
        <f>IF(A1244="",0,IF(AND(OR('CSV抽出'!$C$4="",A1244&gt;='CSV抽出'!$C$4),OR('CSV抽出'!$C$5="",A1244&lt;='CSV抽出'!$C$5),OR('CSV抽出'!$C$6="すべて",'CSV抽出'!$C$6="",D1244='CSV抽出'!$C$6),OR('CSV抽出'!$C$7="",B1244&amp;""='CSV抽出'!$C$7&amp;"")),1,0))</f>
        <v/>
      </c>
      <c r="AI1244" s="20">
        <f>IF(AH1244=1,SUM($AH$5:AH1244),"")</f>
        <v/>
      </c>
      <c r="AJ1244" s="20">
        <f>IF(OR(S1244="",'報告書'!$C$4=""),"",IF(S1244&amp;""='報告書'!$C$4&amp;"",COUNTIF($S$5:S1244,'報告書'!$C$4),""))</f>
        <v/>
      </c>
      <c r="AK1244" s="20" t="n"/>
      <c r="AL1244" s="47" t="n"/>
      <c r="AM1244" s="47" t="n"/>
      <c r="AN1244" s="53" t="n"/>
      <c r="AO1244" s="47" t="n"/>
      <c r="AP1244" s="47" t="n"/>
      <c r="AQ1244" s="47" t="n"/>
      <c r="AR1244" s="47" t="n"/>
      <c r="AS1244" s="47" t="n"/>
      <c r="AT1244" s="47" t="n"/>
      <c r="AU1244" s="47" t="n"/>
      <c r="AV1244" s="47" t="n"/>
      <c r="AW1244" s="52" t="n"/>
    </row>
    <row r="1245">
      <c r="A1245" s="48" t="n"/>
      <c r="B1245" s="52" t="n"/>
      <c r="C1245" s="47">
        <f>IF(B1245="","",IFERROR(INDEX('隊員マスタ'!$B$5:$B$204,MATCH(B1245&amp;"",'隊員マスタ'!$F$5:$F$204,0)),IF(AK1245="","番号なし",AK1245)))</f>
        <v/>
      </c>
      <c r="D1245" s="47" t="n"/>
      <c r="E1245" s="47" t="n"/>
      <c r="F1245" s="47" t="n"/>
      <c r="G1245" s="47" t="n"/>
      <c r="H1245" s="47" t="n"/>
      <c r="I1245" s="47" t="n"/>
      <c r="J1245" s="47" t="n"/>
      <c r="K1245" s="47" t="n"/>
      <c r="L1245" s="47" t="n"/>
      <c r="M1245" s="47" t="n"/>
      <c r="N1245" s="47" t="n"/>
      <c r="O1245" s="47" t="n"/>
      <c r="P1245" s="47" t="n"/>
      <c r="Q1245" s="47" t="n"/>
      <c r="R1245" s="47" t="n"/>
      <c r="S1245" s="47" t="n"/>
      <c r="T1245" s="47" t="n"/>
      <c r="U1245" s="53" t="n"/>
      <c r="V1245" s="53" t="n"/>
      <c r="W1245" s="47" t="n"/>
      <c r="X1245" s="47" t="n"/>
      <c r="Y1245" s="47" t="n"/>
      <c r="Z1245" s="47" t="n"/>
      <c r="AA1245" s="47" t="n"/>
      <c r="AB1245" s="47" t="n"/>
      <c r="AC1245" s="47" t="n"/>
      <c r="AD1245" s="47" t="n"/>
      <c r="AE1245" s="47" t="n"/>
      <c r="AF1245" s="20">
        <f>IF(A1245="","",YEAR(EDATE(A1245,-3)))</f>
        <v/>
      </c>
      <c r="AG1245" s="20">
        <f>IF(OR(B1245="",'経歴簿'!$C$4=""),"",IF(B1245&amp;""='経歴簿'!$C$4&amp;"",MAX($AG$4:AG1244)+1,""))</f>
        <v/>
      </c>
      <c r="AH1245" s="20">
        <f>IF(A1245="",0,IF(AND(OR('CSV抽出'!$C$4="",A1245&gt;='CSV抽出'!$C$4),OR('CSV抽出'!$C$5="",A1245&lt;='CSV抽出'!$C$5),OR('CSV抽出'!$C$6="すべて",'CSV抽出'!$C$6="",D1245='CSV抽出'!$C$6),OR('CSV抽出'!$C$7="",B1245&amp;""='CSV抽出'!$C$7&amp;"")),1,0))</f>
        <v/>
      </c>
      <c r="AI1245" s="20">
        <f>IF(AH1245=1,SUM($AH$5:AH1245),"")</f>
        <v/>
      </c>
      <c r="AJ1245" s="20">
        <f>IF(OR(S1245="",'報告書'!$C$4=""),"",IF(S1245&amp;""='報告書'!$C$4&amp;"",COUNTIF($S$5:S1245,'報告書'!$C$4),""))</f>
        <v/>
      </c>
      <c r="AK1245" s="20" t="n"/>
      <c r="AL1245" s="47" t="n"/>
      <c r="AM1245" s="47" t="n"/>
      <c r="AN1245" s="53" t="n"/>
      <c r="AO1245" s="47" t="n"/>
      <c r="AP1245" s="47" t="n"/>
      <c r="AQ1245" s="47" t="n"/>
      <c r="AR1245" s="47" t="n"/>
      <c r="AS1245" s="47" t="n"/>
      <c r="AT1245" s="47" t="n"/>
      <c r="AU1245" s="47" t="n"/>
      <c r="AV1245" s="47" t="n"/>
      <c r="AW1245" s="52" t="n"/>
    </row>
    <row r="1246">
      <c r="A1246" s="48" t="n"/>
      <c r="B1246" s="52" t="n"/>
      <c r="C1246" s="47">
        <f>IF(B1246="","",IFERROR(INDEX('隊員マスタ'!$B$5:$B$204,MATCH(B1246&amp;"",'隊員マスタ'!$F$5:$F$204,0)),IF(AK1246="","番号なし",AK1246)))</f>
        <v/>
      </c>
      <c r="D1246" s="47" t="n"/>
      <c r="E1246" s="47" t="n"/>
      <c r="F1246" s="47" t="n"/>
      <c r="G1246" s="47" t="n"/>
      <c r="H1246" s="47" t="n"/>
      <c r="I1246" s="47" t="n"/>
      <c r="J1246" s="47" t="n"/>
      <c r="K1246" s="47" t="n"/>
      <c r="L1246" s="47" t="n"/>
      <c r="M1246" s="47" t="n"/>
      <c r="N1246" s="47" t="n"/>
      <c r="O1246" s="47" t="n"/>
      <c r="P1246" s="47" t="n"/>
      <c r="Q1246" s="47" t="n"/>
      <c r="R1246" s="47" t="n"/>
      <c r="S1246" s="47" t="n"/>
      <c r="T1246" s="47" t="n"/>
      <c r="U1246" s="53" t="n"/>
      <c r="V1246" s="53" t="n"/>
      <c r="W1246" s="47" t="n"/>
      <c r="X1246" s="47" t="n"/>
      <c r="Y1246" s="47" t="n"/>
      <c r="Z1246" s="47" t="n"/>
      <c r="AA1246" s="47" t="n"/>
      <c r="AB1246" s="47" t="n"/>
      <c r="AC1246" s="47" t="n"/>
      <c r="AD1246" s="47" t="n"/>
      <c r="AE1246" s="47" t="n"/>
      <c r="AF1246" s="20">
        <f>IF(A1246="","",YEAR(EDATE(A1246,-3)))</f>
        <v/>
      </c>
      <c r="AG1246" s="20">
        <f>IF(OR(B1246="",'経歴簿'!$C$4=""),"",IF(B1246&amp;""='経歴簿'!$C$4&amp;"",MAX($AG$4:AG1245)+1,""))</f>
        <v/>
      </c>
      <c r="AH1246" s="20">
        <f>IF(A1246="",0,IF(AND(OR('CSV抽出'!$C$4="",A1246&gt;='CSV抽出'!$C$4),OR('CSV抽出'!$C$5="",A1246&lt;='CSV抽出'!$C$5),OR('CSV抽出'!$C$6="すべて",'CSV抽出'!$C$6="",D1246='CSV抽出'!$C$6),OR('CSV抽出'!$C$7="",B1246&amp;""='CSV抽出'!$C$7&amp;"")),1,0))</f>
        <v/>
      </c>
      <c r="AI1246" s="20">
        <f>IF(AH1246=1,SUM($AH$5:AH1246),"")</f>
        <v/>
      </c>
      <c r="AJ1246" s="20">
        <f>IF(OR(S1246="",'報告書'!$C$4=""),"",IF(S1246&amp;""='報告書'!$C$4&amp;"",COUNTIF($S$5:S1246,'報告書'!$C$4),""))</f>
        <v/>
      </c>
      <c r="AK1246" s="20" t="n"/>
      <c r="AL1246" s="47" t="n"/>
      <c r="AM1246" s="47" t="n"/>
      <c r="AN1246" s="53" t="n"/>
      <c r="AO1246" s="47" t="n"/>
      <c r="AP1246" s="47" t="n"/>
      <c r="AQ1246" s="47" t="n"/>
      <c r="AR1246" s="47" t="n"/>
      <c r="AS1246" s="47" t="n"/>
      <c r="AT1246" s="47" t="n"/>
      <c r="AU1246" s="47" t="n"/>
      <c r="AV1246" s="47" t="n"/>
      <c r="AW1246" s="52" t="n"/>
    </row>
    <row r="1247">
      <c r="A1247" s="48" t="n"/>
      <c r="B1247" s="52" t="n"/>
      <c r="C1247" s="47">
        <f>IF(B1247="","",IFERROR(INDEX('隊員マスタ'!$B$5:$B$204,MATCH(B1247&amp;"",'隊員マスタ'!$F$5:$F$204,0)),IF(AK1247="","番号なし",AK1247)))</f>
        <v/>
      </c>
      <c r="D1247" s="47" t="n"/>
      <c r="E1247" s="47" t="n"/>
      <c r="F1247" s="47" t="n"/>
      <c r="G1247" s="47" t="n"/>
      <c r="H1247" s="47" t="n"/>
      <c r="I1247" s="47" t="n"/>
      <c r="J1247" s="47" t="n"/>
      <c r="K1247" s="47" t="n"/>
      <c r="L1247" s="47" t="n"/>
      <c r="M1247" s="47" t="n"/>
      <c r="N1247" s="47" t="n"/>
      <c r="O1247" s="47" t="n"/>
      <c r="P1247" s="47" t="n"/>
      <c r="Q1247" s="47" t="n"/>
      <c r="R1247" s="47" t="n"/>
      <c r="S1247" s="47" t="n"/>
      <c r="T1247" s="47" t="n"/>
      <c r="U1247" s="53" t="n"/>
      <c r="V1247" s="53" t="n"/>
      <c r="W1247" s="47" t="n"/>
      <c r="X1247" s="47" t="n"/>
      <c r="Y1247" s="47" t="n"/>
      <c r="Z1247" s="47" t="n"/>
      <c r="AA1247" s="47" t="n"/>
      <c r="AB1247" s="47" t="n"/>
      <c r="AC1247" s="47" t="n"/>
      <c r="AD1247" s="47" t="n"/>
      <c r="AE1247" s="47" t="n"/>
      <c r="AF1247" s="20">
        <f>IF(A1247="","",YEAR(EDATE(A1247,-3)))</f>
        <v/>
      </c>
      <c r="AG1247" s="20">
        <f>IF(OR(B1247="",'経歴簿'!$C$4=""),"",IF(B1247&amp;""='経歴簿'!$C$4&amp;"",MAX($AG$4:AG1246)+1,""))</f>
        <v/>
      </c>
      <c r="AH1247" s="20">
        <f>IF(A1247="",0,IF(AND(OR('CSV抽出'!$C$4="",A1247&gt;='CSV抽出'!$C$4),OR('CSV抽出'!$C$5="",A1247&lt;='CSV抽出'!$C$5),OR('CSV抽出'!$C$6="すべて",'CSV抽出'!$C$6="",D1247='CSV抽出'!$C$6),OR('CSV抽出'!$C$7="",B1247&amp;""='CSV抽出'!$C$7&amp;"")),1,0))</f>
        <v/>
      </c>
      <c r="AI1247" s="20">
        <f>IF(AH1247=1,SUM($AH$5:AH1247),"")</f>
        <v/>
      </c>
      <c r="AJ1247" s="20">
        <f>IF(OR(S1247="",'報告書'!$C$4=""),"",IF(S1247&amp;""='報告書'!$C$4&amp;"",COUNTIF($S$5:S1247,'報告書'!$C$4),""))</f>
        <v/>
      </c>
      <c r="AK1247" s="20" t="n"/>
      <c r="AL1247" s="47" t="n"/>
      <c r="AM1247" s="47" t="n"/>
      <c r="AN1247" s="53" t="n"/>
      <c r="AO1247" s="47" t="n"/>
      <c r="AP1247" s="47" t="n"/>
      <c r="AQ1247" s="47" t="n"/>
      <c r="AR1247" s="47" t="n"/>
      <c r="AS1247" s="47" t="n"/>
      <c r="AT1247" s="47" t="n"/>
      <c r="AU1247" s="47" t="n"/>
      <c r="AV1247" s="47" t="n"/>
      <c r="AW1247" s="52" t="n"/>
    </row>
    <row r="1248">
      <c r="A1248" s="48" t="n"/>
      <c r="B1248" s="52" t="n"/>
      <c r="C1248" s="47">
        <f>IF(B1248="","",IFERROR(INDEX('隊員マスタ'!$B$5:$B$204,MATCH(B1248&amp;"",'隊員マスタ'!$F$5:$F$204,0)),IF(AK1248="","番号なし",AK1248)))</f>
        <v/>
      </c>
      <c r="D1248" s="47" t="n"/>
      <c r="E1248" s="47" t="n"/>
      <c r="F1248" s="47" t="n"/>
      <c r="G1248" s="47" t="n"/>
      <c r="H1248" s="47" t="n"/>
      <c r="I1248" s="47" t="n"/>
      <c r="J1248" s="47" t="n"/>
      <c r="K1248" s="47" t="n"/>
      <c r="L1248" s="47" t="n"/>
      <c r="M1248" s="47" t="n"/>
      <c r="N1248" s="47" t="n"/>
      <c r="O1248" s="47" t="n"/>
      <c r="P1248" s="47" t="n"/>
      <c r="Q1248" s="47" t="n"/>
      <c r="R1248" s="47" t="n"/>
      <c r="S1248" s="47" t="n"/>
      <c r="T1248" s="47" t="n"/>
      <c r="U1248" s="53" t="n"/>
      <c r="V1248" s="53" t="n"/>
      <c r="W1248" s="47" t="n"/>
      <c r="X1248" s="47" t="n"/>
      <c r="Y1248" s="47" t="n"/>
      <c r="Z1248" s="47" t="n"/>
      <c r="AA1248" s="47" t="n"/>
      <c r="AB1248" s="47" t="n"/>
      <c r="AC1248" s="47" t="n"/>
      <c r="AD1248" s="47" t="n"/>
      <c r="AE1248" s="47" t="n"/>
      <c r="AF1248" s="20">
        <f>IF(A1248="","",YEAR(EDATE(A1248,-3)))</f>
        <v/>
      </c>
      <c r="AG1248" s="20">
        <f>IF(OR(B1248="",'経歴簿'!$C$4=""),"",IF(B1248&amp;""='経歴簿'!$C$4&amp;"",MAX($AG$4:AG1247)+1,""))</f>
        <v/>
      </c>
      <c r="AH1248" s="20">
        <f>IF(A1248="",0,IF(AND(OR('CSV抽出'!$C$4="",A1248&gt;='CSV抽出'!$C$4),OR('CSV抽出'!$C$5="",A1248&lt;='CSV抽出'!$C$5),OR('CSV抽出'!$C$6="すべて",'CSV抽出'!$C$6="",D1248='CSV抽出'!$C$6),OR('CSV抽出'!$C$7="",B1248&amp;""='CSV抽出'!$C$7&amp;"")),1,0))</f>
        <v/>
      </c>
      <c r="AI1248" s="20">
        <f>IF(AH1248=1,SUM($AH$5:AH1248),"")</f>
        <v/>
      </c>
      <c r="AJ1248" s="20">
        <f>IF(OR(S1248="",'報告書'!$C$4=""),"",IF(S1248&amp;""='報告書'!$C$4&amp;"",COUNTIF($S$5:S1248,'報告書'!$C$4),""))</f>
        <v/>
      </c>
      <c r="AK1248" s="20" t="n"/>
      <c r="AL1248" s="47" t="n"/>
      <c r="AM1248" s="47" t="n"/>
      <c r="AN1248" s="53" t="n"/>
      <c r="AO1248" s="47" t="n"/>
      <c r="AP1248" s="47" t="n"/>
      <c r="AQ1248" s="47" t="n"/>
      <c r="AR1248" s="47" t="n"/>
      <c r="AS1248" s="47" t="n"/>
      <c r="AT1248" s="47" t="n"/>
      <c r="AU1248" s="47" t="n"/>
      <c r="AV1248" s="47" t="n"/>
      <c r="AW1248" s="52" t="n"/>
    </row>
    <row r="1249">
      <c r="A1249" s="48" t="n"/>
      <c r="B1249" s="52" t="n"/>
      <c r="C1249" s="47">
        <f>IF(B1249="","",IFERROR(INDEX('隊員マスタ'!$B$5:$B$204,MATCH(B1249&amp;"",'隊員マスタ'!$F$5:$F$204,0)),IF(AK1249="","番号なし",AK1249)))</f>
        <v/>
      </c>
      <c r="D1249" s="47" t="n"/>
      <c r="E1249" s="47" t="n"/>
      <c r="F1249" s="47" t="n"/>
      <c r="G1249" s="47" t="n"/>
      <c r="H1249" s="47" t="n"/>
      <c r="I1249" s="47" t="n"/>
      <c r="J1249" s="47" t="n"/>
      <c r="K1249" s="47" t="n"/>
      <c r="L1249" s="47" t="n"/>
      <c r="M1249" s="47" t="n"/>
      <c r="N1249" s="47" t="n"/>
      <c r="O1249" s="47" t="n"/>
      <c r="P1249" s="47" t="n"/>
      <c r="Q1249" s="47" t="n"/>
      <c r="R1249" s="47" t="n"/>
      <c r="S1249" s="47" t="n"/>
      <c r="T1249" s="47" t="n"/>
      <c r="U1249" s="53" t="n"/>
      <c r="V1249" s="53" t="n"/>
      <c r="W1249" s="47" t="n"/>
      <c r="X1249" s="47" t="n"/>
      <c r="Y1249" s="47" t="n"/>
      <c r="Z1249" s="47" t="n"/>
      <c r="AA1249" s="47" t="n"/>
      <c r="AB1249" s="47" t="n"/>
      <c r="AC1249" s="47" t="n"/>
      <c r="AD1249" s="47" t="n"/>
      <c r="AE1249" s="47" t="n"/>
      <c r="AF1249" s="20">
        <f>IF(A1249="","",YEAR(EDATE(A1249,-3)))</f>
        <v/>
      </c>
      <c r="AG1249" s="20">
        <f>IF(OR(B1249="",'経歴簿'!$C$4=""),"",IF(B1249&amp;""='経歴簿'!$C$4&amp;"",MAX($AG$4:AG1248)+1,""))</f>
        <v/>
      </c>
      <c r="AH1249" s="20">
        <f>IF(A1249="",0,IF(AND(OR('CSV抽出'!$C$4="",A1249&gt;='CSV抽出'!$C$4),OR('CSV抽出'!$C$5="",A1249&lt;='CSV抽出'!$C$5),OR('CSV抽出'!$C$6="すべて",'CSV抽出'!$C$6="",D1249='CSV抽出'!$C$6),OR('CSV抽出'!$C$7="",B1249&amp;""='CSV抽出'!$C$7&amp;"")),1,0))</f>
        <v/>
      </c>
      <c r="AI1249" s="20">
        <f>IF(AH1249=1,SUM($AH$5:AH1249),"")</f>
        <v/>
      </c>
      <c r="AJ1249" s="20">
        <f>IF(OR(S1249="",'報告書'!$C$4=""),"",IF(S1249&amp;""='報告書'!$C$4&amp;"",COUNTIF($S$5:S1249,'報告書'!$C$4),""))</f>
        <v/>
      </c>
      <c r="AK1249" s="20" t="n"/>
      <c r="AL1249" s="47" t="n"/>
      <c r="AM1249" s="47" t="n"/>
      <c r="AN1249" s="53" t="n"/>
      <c r="AO1249" s="47" t="n"/>
      <c r="AP1249" s="47" t="n"/>
      <c r="AQ1249" s="47" t="n"/>
      <c r="AR1249" s="47" t="n"/>
      <c r="AS1249" s="47" t="n"/>
      <c r="AT1249" s="47" t="n"/>
      <c r="AU1249" s="47" t="n"/>
      <c r="AV1249" s="47" t="n"/>
      <c r="AW1249" s="52" t="n"/>
    </row>
    <row r="1250">
      <c r="A1250" s="48" t="n"/>
      <c r="B1250" s="52" t="n"/>
      <c r="C1250" s="47">
        <f>IF(B1250="","",IFERROR(INDEX('隊員マスタ'!$B$5:$B$204,MATCH(B1250&amp;"",'隊員マスタ'!$F$5:$F$204,0)),IF(AK1250="","番号なし",AK1250)))</f>
        <v/>
      </c>
      <c r="D1250" s="47" t="n"/>
      <c r="E1250" s="47" t="n"/>
      <c r="F1250" s="47" t="n"/>
      <c r="G1250" s="47" t="n"/>
      <c r="H1250" s="47" t="n"/>
      <c r="I1250" s="47" t="n"/>
      <c r="J1250" s="47" t="n"/>
      <c r="K1250" s="47" t="n"/>
      <c r="L1250" s="47" t="n"/>
      <c r="M1250" s="47" t="n"/>
      <c r="N1250" s="47" t="n"/>
      <c r="O1250" s="47" t="n"/>
      <c r="P1250" s="47" t="n"/>
      <c r="Q1250" s="47" t="n"/>
      <c r="R1250" s="47" t="n"/>
      <c r="S1250" s="47" t="n"/>
      <c r="T1250" s="47" t="n"/>
      <c r="U1250" s="53" t="n"/>
      <c r="V1250" s="53" t="n"/>
      <c r="W1250" s="47" t="n"/>
      <c r="X1250" s="47" t="n"/>
      <c r="Y1250" s="47" t="n"/>
      <c r="Z1250" s="47" t="n"/>
      <c r="AA1250" s="47" t="n"/>
      <c r="AB1250" s="47" t="n"/>
      <c r="AC1250" s="47" t="n"/>
      <c r="AD1250" s="47" t="n"/>
      <c r="AE1250" s="47" t="n"/>
      <c r="AF1250" s="20">
        <f>IF(A1250="","",YEAR(EDATE(A1250,-3)))</f>
        <v/>
      </c>
      <c r="AG1250" s="20">
        <f>IF(OR(B1250="",'経歴簿'!$C$4=""),"",IF(B1250&amp;""='経歴簿'!$C$4&amp;"",MAX($AG$4:AG1249)+1,""))</f>
        <v/>
      </c>
      <c r="AH1250" s="20">
        <f>IF(A1250="",0,IF(AND(OR('CSV抽出'!$C$4="",A1250&gt;='CSV抽出'!$C$4),OR('CSV抽出'!$C$5="",A1250&lt;='CSV抽出'!$C$5),OR('CSV抽出'!$C$6="すべて",'CSV抽出'!$C$6="",D1250='CSV抽出'!$C$6),OR('CSV抽出'!$C$7="",B1250&amp;""='CSV抽出'!$C$7&amp;"")),1,0))</f>
        <v/>
      </c>
      <c r="AI1250" s="20">
        <f>IF(AH1250=1,SUM($AH$5:AH1250),"")</f>
        <v/>
      </c>
      <c r="AJ1250" s="20">
        <f>IF(OR(S1250="",'報告書'!$C$4=""),"",IF(S1250&amp;""='報告書'!$C$4&amp;"",COUNTIF($S$5:S1250,'報告書'!$C$4),""))</f>
        <v/>
      </c>
      <c r="AK1250" s="20" t="n"/>
      <c r="AL1250" s="47" t="n"/>
      <c r="AM1250" s="47" t="n"/>
      <c r="AN1250" s="53" t="n"/>
      <c r="AO1250" s="47" t="n"/>
      <c r="AP1250" s="47" t="n"/>
      <c r="AQ1250" s="47" t="n"/>
      <c r="AR1250" s="47" t="n"/>
      <c r="AS1250" s="47" t="n"/>
      <c r="AT1250" s="47" t="n"/>
      <c r="AU1250" s="47" t="n"/>
      <c r="AV1250" s="47" t="n"/>
      <c r="AW1250" s="52" t="n"/>
    </row>
    <row r="1251">
      <c r="A1251" s="48" t="n"/>
      <c r="B1251" s="52" t="n"/>
      <c r="C1251" s="47">
        <f>IF(B1251="","",IFERROR(INDEX('隊員マスタ'!$B$5:$B$204,MATCH(B1251&amp;"",'隊員マスタ'!$F$5:$F$204,0)),IF(AK1251="","番号なし",AK1251)))</f>
        <v/>
      </c>
      <c r="D1251" s="47" t="n"/>
      <c r="E1251" s="47" t="n"/>
      <c r="F1251" s="47" t="n"/>
      <c r="G1251" s="47" t="n"/>
      <c r="H1251" s="47" t="n"/>
      <c r="I1251" s="47" t="n"/>
      <c r="J1251" s="47" t="n"/>
      <c r="K1251" s="47" t="n"/>
      <c r="L1251" s="47" t="n"/>
      <c r="M1251" s="47" t="n"/>
      <c r="N1251" s="47" t="n"/>
      <c r="O1251" s="47" t="n"/>
      <c r="P1251" s="47" t="n"/>
      <c r="Q1251" s="47" t="n"/>
      <c r="R1251" s="47" t="n"/>
      <c r="S1251" s="47" t="n"/>
      <c r="T1251" s="47" t="n"/>
      <c r="U1251" s="53" t="n"/>
      <c r="V1251" s="53" t="n"/>
      <c r="W1251" s="47" t="n"/>
      <c r="X1251" s="47" t="n"/>
      <c r="Y1251" s="47" t="n"/>
      <c r="Z1251" s="47" t="n"/>
      <c r="AA1251" s="47" t="n"/>
      <c r="AB1251" s="47" t="n"/>
      <c r="AC1251" s="47" t="n"/>
      <c r="AD1251" s="47" t="n"/>
      <c r="AE1251" s="47" t="n"/>
      <c r="AF1251" s="20">
        <f>IF(A1251="","",YEAR(EDATE(A1251,-3)))</f>
        <v/>
      </c>
      <c r="AG1251" s="20">
        <f>IF(OR(B1251="",'経歴簿'!$C$4=""),"",IF(B1251&amp;""='経歴簿'!$C$4&amp;"",MAX($AG$4:AG1250)+1,""))</f>
        <v/>
      </c>
      <c r="AH1251" s="20">
        <f>IF(A1251="",0,IF(AND(OR('CSV抽出'!$C$4="",A1251&gt;='CSV抽出'!$C$4),OR('CSV抽出'!$C$5="",A1251&lt;='CSV抽出'!$C$5),OR('CSV抽出'!$C$6="すべて",'CSV抽出'!$C$6="",D1251='CSV抽出'!$C$6),OR('CSV抽出'!$C$7="",B1251&amp;""='CSV抽出'!$C$7&amp;"")),1,0))</f>
        <v/>
      </c>
      <c r="AI1251" s="20">
        <f>IF(AH1251=1,SUM($AH$5:AH1251),"")</f>
        <v/>
      </c>
      <c r="AJ1251" s="20">
        <f>IF(OR(S1251="",'報告書'!$C$4=""),"",IF(S1251&amp;""='報告書'!$C$4&amp;"",COUNTIF($S$5:S1251,'報告書'!$C$4),""))</f>
        <v/>
      </c>
      <c r="AK1251" s="20" t="n"/>
      <c r="AL1251" s="47" t="n"/>
      <c r="AM1251" s="47" t="n"/>
      <c r="AN1251" s="53" t="n"/>
      <c r="AO1251" s="47" t="n"/>
      <c r="AP1251" s="47" t="n"/>
      <c r="AQ1251" s="47" t="n"/>
      <c r="AR1251" s="47" t="n"/>
      <c r="AS1251" s="47" t="n"/>
      <c r="AT1251" s="47" t="n"/>
      <c r="AU1251" s="47" t="n"/>
      <c r="AV1251" s="47" t="n"/>
      <c r="AW1251" s="52" t="n"/>
    </row>
    <row r="1252">
      <c r="A1252" s="48" t="n"/>
      <c r="B1252" s="52" t="n"/>
      <c r="C1252" s="47">
        <f>IF(B1252="","",IFERROR(INDEX('隊員マスタ'!$B$5:$B$204,MATCH(B1252&amp;"",'隊員マスタ'!$F$5:$F$204,0)),IF(AK1252="","番号なし",AK1252)))</f>
        <v/>
      </c>
      <c r="D1252" s="47" t="n"/>
      <c r="E1252" s="47" t="n"/>
      <c r="F1252" s="47" t="n"/>
      <c r="G1252" s="47" t="n"/>
      <c r="H1252" s="47" t="n"/>
      <c r="I1252" s="47" t="n"/>
      <c r="J1252" s="47" t="n"/>
      <c r="K1252" s="47" t="n"/>
      <c r="L1252" s="47" t="n"/>
      <c r="M1252" s="47" t="n"/>
      <c r="N1252" s="47" t="n"/>
      <c r="O1252" s="47" t="n"/>
      <c r="P1252" s="47" t="n"/>
      <c r="Q1252" s="47" t="n"/>
      <c r="R1252" s="47" t="n"/>
      <c r="S1252" s="47" t="n"/>
      <c r="T1252" s="47" t="n"/>
      <c r="U1252" s="53" t="n"/>
      <c r="V1252" s="53" t="n"/>
      <c r="W1252" s="47" t="n"/>
      <c r="X1252" s="47" t="n"/>
      <c r="Y1252" s="47" t="n"/>
      <c r="Z1252" s="47" t="n"/>
      <c r="AA1252" s="47" t="n"/>
      <c r="AB1252" s="47" t="n"/>
      <c r="AC1252" s="47" t="n"/>
      <c r="AD1252" s="47" t="n"/>
      <c r="AE1252" s="47" t="n"/>
      <c r="AF1252" s="20">
        <f>IF(A1252="","",YEAR(EDATE(A1252,-3)))</f>
        <v/>
      </c>
      <c r="AG1252" s="20">
        <f>IF(OR(B1252="",'経歴簿'!$C$4=""),"",IF(B1252&amp;""='経歴簿'!$C$4&amp;"",MAX($AG$4:AG1251)+1,""))</f>
        <v/>
      </c>
      <c r="AH1252" s="20">
        <f>IF(A1252="",0,IF(AND(OR('CSV抽出'!$C$4="",A1252&gt;='CSV抽出'!$C$4),OR('CSV抽出'!$C$5="",A1252&lt;='CSV抽出'!$C$5),OR('CSV抽出'!$C$6="すべて",'CSV抽出'!$C$6="",D1252='CSV抽出'!$C$6),OR('CSV抽出'!$C$7="",B1252&amp;""='CSV抽出'!$C$7&amp;"")),1,0))</f>
        <v/>
      </c>
      <c r="AI1252" s="20">
        <f>IF(AH1252=1,SUM($AH$5:AH1252),"")</f>
        <v/>
      </c>
      <c r="AJ1252" s="20">
        <f>IF(OR(S1252="",'報告書'!$C$4=""),"",IF(S1252&amp;""='報告書'!$C$4&amp;"",COUNTIF($S$5:S1252,'報告書'!$C$4),""))</f>
        <v/>
      </c>
      <c r="AK1252" s="20" t="n"/>
      <c r="AL1252" s="47" t="n"/>
      <c r="AM1252" s="47" t="n"/>
      <c r="AN1252" s="53" t="n"/>
      <c r="AO1252" s="47" t="n"/>
      <c r="AP1252" s="47" t="n"/>
      <c r="AQ1252" s="47" t="n"/>
      <c r="AR1252" s="47" t="n"/>
      <c r="AS1252" s="47" t="n"/>
      <c r="AT1252" s="47" t="n"/>
      <c r="AU1252" s="47" t="n"/>
      <c r="AV1252" s="47" t="n"/>
      <c r="AW1252" s="52" t="n"/>
    </row>
    <row r="1253">
      <c r="A1253" s="48" t="n"/>
      <c r="B1253" s="52" t="n"/>
      <c r="C1253" s="47">
        <f>IF(B1253="","",IFERROR(INDEX('隊員マスタ'!$B$5:$B$204,MATCH(B1253&amp;"",'隊員マスタ'!$F$5:$F$204,0)),IF(AK1253="","番号なし",AK1253)))</f>
        <v/>
      </c>
      <c r="D1253" s="47" t="n"/>
      <c r="E1253" s="47" t="n"/>
      <c r="F1253" s="47" t="n"/>
      <c r="G1253" s="47" t="n"/>
      <c r="H1253" s="47" t="n"/>
      <c r="I1253" s="47" t="n"/>
      <c r="J1253" s="47" t="n"/>
      <c r="K1253" s="47" t="n"/>
      <c r="L1253" s="47" t="n"/>
      <c r="M1253" s="47" t="n"/>
      <c r="N1253" s="47" t="n"/>
      <c r="O1253" s="47" t="n"/>
      <c r="P1253" s="47" t="n"/>
      <c r="Q1253" s="47" t="n"/>
      <c r="R1253" s="47" t="n"/>
      <c r="S1253" s="47" t="n"/>
      <c r="T1253" s="47" t="n"/>
      <c r="U1253" s="53" t="n"/>
      <c r="V1253" s="53" t="n"/>
      <c r="W1253" s="47" t="n"/>
      <c r="X1253" s="47" t="n"/>
      <c r="Y1253" s="47" t="n"/>
      <c r="Z1253" s="47" t="n"/>
      <c r="AA1253" s="47" t="n"/>
      <c r="AB1253" s="47" t="n"/>
      <c r="AC1253" s="47" t="n"/>
      <c r="AD1253" s="47" t="n"/>
      <c r="AE1253" s="47" t="n"/>
      <c r="AF1253" s="20">
        <f>IF(A1253="","",YEAR(EDATE(A1253,-3)))</f>
        <v/>
      </c>
      <c r="AG1253" s="20">
        <f>IF(OR(B1253="",'経歴簿'!$C$4=""),"",IF(B1253&amp;""='経歴簿'!$C$4&amp;"",MAX($AG$4:AG1252)+1,""))</f>
        <v/>
      </c>
      <c r="AH1253" s="20">
        <f>IF(A1253="",0,IF(AND(OR('CSV抽出'!$C$4="",A1253&gt;='CSV抽出'!$C$4),OR('CSV抽出'!$C$5="",A1253&lt;='CSV抽出'!$C$5),OR('CSV抽出'!$C$6="すべて",'CSV抽出'!$C$6="",D1253='CSV抽出'!$C$6),OR('CSV抽出'!$C$7="",B1253&amp;""='CSV抽出'!$C$7&amp;"")),1,0))</f>
        <v/>
      </c>
      <c r="AI1253" s="20">
        <f>IF(AH1253=1,SUM($AH$5:AH1253),"")</f>
        <v/>
      </c>
      <c r="AJ1253" s="20">
        <f>IF(OR(S1253="",'報告書'!$C$4=""),"",IF(S1253&amp;""='報告書'!$C$4&amp;"",COUNTIF($S$5:S1253,'報告書'!$C$4),""))</f>
        <v/>
      </c>
      <c r="AK1253" s="20" t="n"/>
      <c r="AL1253" s="47" t="n"/>
      <c r="AM1253" s="47" t="n"/>
      <c r="AN1253" s="53" t="n"/>
      <c r="AO1253" s="47" t="n"/>
      <c r="AP1253" s="47" t="n"/>
      <c r="AQ1253" s="47" t="n"/>
      <c r="AR1253" s="47" t="n"/>
      <c r="AS1253" s="47" t="n"/>
      <c r="AT1253" s="47" t="n"/>
      <c r="AU1253" s="47" t="n"/>
      <c r="AV1253" s="47" t="n"/>
      <c r="AW1253" s="52" t="n"/>
    </row>
    <row r="1254">
      <c r="A1254" s="48" t="n"/>
      <c r="B1254" s="52" t="n"/>
      <c r="C1254" s="47">
        <f>IF(B1254="","",IFERROR(INDEX('隊員マスタ'!$B$5:$B$204,MATCH(B1254&amp;"",'隊員マスタ'!$F$5:$F$204,0)),IF(AK1254="","番号なし",AK1254)))</f>
        <v/>
      </c>
      <c r="D1254" s="47" t="n"/>
      <c r="E1254" s="47" t="n"/>
      <c r="F1254" s="47" t="n"/>
      <c r="G1254" s="47" t="n"/>
      <c r="H1254" s="47" t="n"/>
      <c r="I1254" s="47" t="n"/>
      <c r="J1254" s="47" t="n"/>
      <c r="K1254" s="47" t="n"/>
      <c r="L1254" s="47" t="n"/>
      <c r="M1254" s="47" t="n"/>
      <c r="N1254" s="47" t="n"/>
      <c r="O1254" s="47" t="n"/>
      <c r="P1254" s="47" t="n"/>
      <c r="Q1254" s="47" t="n"/>
      <c r="R1254" s="47" t="n"/>
      <c r="S1254" s="47" t="n"/>
      <c r="T1254" s="47" t="n"/>
      <c r="U1254" s="53" t="n"/>
      <c r="V1254" s="53" t="n"/>
      <c r="W1254" s="47" t="n"/>
      <c r="X1254" s="47" t="n"/>
      <c r="Y1254" s="47" t="n"/>
      <c r="Z1254" s="47" t="n"/>
      <c r="AA1254" s="47" t="n"/>
      <c r="AB1254" s="47" t="n"/>
      <c r="AC1254" s="47" t="n"/>
      <c r="AD1254" s="47" t="n"/>
      <c r="AE1254" s="47" t="n"/>
      <c r="AF1254" s="20">
        <f>IF(A1254="","",YEAR(EDATE(A1254,-3)))</f>
        <v/>
      </c>
      <c r="AG1254" s="20">
        <f>IF(OR(B1254="",'経歴簿'!$C$4=""),"",IF(B1254&amp;""='経歴簿'!$C$4&amp;"",MAX($AG$4:AG1253)+1,""))</f>
        <v/>
      </c>
      <c r="AH1254" s="20">
        <f>IF(A1254="",0,IF(AND(OR('CSV抽出'!$C$4="",A1254&gt;='CSV抽出'!$C$4),OR('CSV抽出'!$C$5="",A1254&lt;='CSV抽出'!$C$5),OR('CSV抽出'!$C$6="すべて",'CSV抽出'!$C$6="",D1254='CSV抽出'!$C$6),OR('CSV抽出'!$C$7="",B1254&amp;""='CSV抽出'!$C$7&amp;"")),1,0))</f>
        <v/>
      </c>
      <c r="AI1254" s="20">
        <f>IF(AH1254=1,SUM($AH$5:AH1254),"")</f>
        <v/>
      </c>
      <c r="AJ1254" s="20">
        <f>IF(OR(S1254="",'報告書'!$C$4=""),"",IF(S1254&amp;""='報告書'!$C$4&amp;"",COUNTIF($S$5:S1254,'報告書'!$C$4),""))</f>
        <v/>
      </c>
      <c r="AK1254" s="20" t="n"/>
      <c r="AL1254" s="47" t="n"/>
      <c r="AM1254" s="47" t="n"/>
      <c r="AN1254" s="53" t="n"/>
      <c r="AO1254" s="47" t="n"/>
      <c r="AP1254" s="47" t="n"/>
      <c r="AQ1254" s="47" t="n"/>
      <c r="AR1254" s="47" t="n"/>
      <c r="AS1254" s="47" t="n"/>
      <c r="AT1254" s="47" t="n"/>
      <c r="AU1254" s="47" t="n"/>
      <c r="AV1254" s="47" t="n"/>
      <c r="AW1254" s="52" t="n"/>
    </row>
    <row r="1255">
      <c r="A1255" s="48" t="n"/>
      <c r="B1255" s="52" t="n"/>
      <c r="C1255" s="47">
        <f>IF(B1255="","",IFERROR(INDEX('隊員マスタ'!$B$5:$B$204,MATCH(B1255&amp;"",'隊員マスタ'!$F$5:$F$204,0)),IF(AK1255="","番号なし",AK1255)))</f>
        <v/>
      </c>
      <c r="D1255" s="47" t="n"/>
      <c r="E1255" s="47" t="n"/>
      <c r="F1255" s="47" t="n"/>
      <c r="G1255" s="47" t="n"/>
      <c r="H1255" s="47" t="n"/>
      <c r="I1255" s="47" t="n"/>
      <c r="J1255" s="47" t="n"/>
      <c r="K1255" s="47" t="n"/>
      <c r="L1255" s="47" t="n"/>
      <c r="M1255" s="47" t="n"/>
      <c r="N1255" s="47" t="n"/>
      <c r="O1255" s="47" t="n"/>
      <c r="P1255" s="47" t="n"/>
      <c r="Q1255" s="47" t="n"/>
      <c r="R1255" s="47" t="n"/>
      <c r="S1255" s="47" t="n"/>
      <c r="T1255" s="47" t="n"/>
      <c r="U1255" s="53" t="n"/>
      <c r="V1255" s="53" t="n"/>
      <c r="W1255" s="47" t="n"/>
      <c r="X1255" s="47" t="n"/>
      <c r="Y1255" s="47" t="n"/>
      <c r="Z1255" s="47" t="n"/>
      <c r="AA1255" s="47" t="n"/>
      <c r="AB1255" s="47" t="n"/>
      <c r="AC1255" s="47" t="n"/>
      <c r="AD1255" s="47" t="n"/>
      <c r="AE1255" s="47" t="n"/>
      <c r="AF1255" s="20">
        <f>IF(A1255="","",YEAR(EDATE(A1255,-3)))</f>
        <v/>
      </c>
      <c r="AG1255" s="20">
        <f>IF(OR(B1255="",'経歴簿'!$C$4=""),"",IF(B1255&amp;""='経歴簿'!$C$4&amp;"",MAX($AG$4:AG1254)+1,""))</f>
        <v/>
      </c>
      <c r="AH1255" s="20">
        <f>IF(A1255="",0,IF(AND(OR('CSV抽出'!$C$4="",A1255&gt;='CSV抽出'!$C$4),OR('CSV抽出'!$C$5="",A1255&lt;='CSV抽出'!$C$5),OR('CSV抽出'!$C$6="すべて",'CSV抽出'!$C$6="",D1255='CSV抽出'!$C$6),OR('CSV抽出'!$C$7="",B1255&amp;""='CSV抽出'!$C$7&amp;"")),1,0))</f>
        <v/>
      </c>
      <c r="AI1255" s="20">
        <f>IF(AH1255=1,SUM($AH$5:AH1255),"")</f>
        <v/>
      </c>
      <c r="AJ1255" s="20">
        <f>IF(OR(S1255="",'報告書'!$C$4=""),"",IF(S1255&amp;""='報告書'!$C$4&amp;"",COUNTIF($S$5:S1255,'報告書'!$C$4),""))</f>
        <v/>
      </c>
      <c r="AK1255" s="20" t="n"/>
      <c r="AL1255" s="47" t="n"/>
      <c r="AM1255" s="47" t="n"/>
      <c r="AN1255" s="53" t="n"/>
      <c r="AO1255" s="47" t="n"/>
      <c r="AP1255" s="47" t="n"/>
      <c r="AQ1255" s="47" t="n"/>
      <c r="AR1255" s="47" t="n"/>
      <c r="AS1255" s="47" t="n"/>
      <c r="AT1255" s="47" t="n"/>
      <c r="AU1255" s="47" t="n"/>
      <c r="AV1255" s="47" t="n"/>
      <c r="AW1255" s="52" t="n"/>
    </row>
    <row r="1256">
      <c r="A1256" s="48" t="n"/>
      <c r="B1256" s="52" t="n"/>
      <c r="C1256" s="47">
        <f>IF(B1256="","",IFERROR(INDEX('隊員マスタ'!$B$5:$B$204,MATCH(B1256&amp;"",'隊員マスタ'!$F$5:$F$204,0)),IF(AK1256="","番号なし",AK1256)))</f>
        <v/>
      </c>
      <c r="D1256" s="47" t="n"/>
      <c r="E1256" s="47" t="n"/>
      <c r="F1256" s="47" t="n"/>
      <c r="G1256" s="47" t="n"/>
      <c r="H1256" s="47" t="n"/>
      <c r="I1256" s="47" t="n"/>
      <c r="J1256" s="47" t="n"/>
      <c r="K1256" s="47" t="n"/>
      <c r="L1256" s="47" t="n"/>
      <c r="M1256" s="47" t="n"/>
      <c r="N1256" s="47" t="n"/>
      <c r="O1256" s="47" t="n"/>
      <c r="P1256" s="47" t="n"/>
      <c r="Q1256" s="47" t="n"/>
      <c r="R1256" s="47" t="n"/>
      <c r="S1256" s="47" t="n"/>
      <c r="T1256" s="47" t="n"/>
      <c r="U1256" s="53" t="n"/>
      <c r="V1256" s="53" t="n"/>
      <c r="W1256" s="47" t="n"/>
      <c r="X1256" s="47" t="n"/>
      <c r="Y1256" s="47" t="n"/>
      <c r="Z1256" s="47" t="n"/>
      <c r="AA1256" s="47" t="n"/>
      <c r="AB1256" s="47" t="n"/>
      <c r="AC1256" s="47" t="n"/>
      <c r="AD1256" s="47" t="n"/>
      <c r="AE1256" s="47" t="n"/>
      <c r="AF1256" s="20">
        <f>IF(A1256="","",YEAR(EDATE(A1256,-3)))</f>
        <v/>
      </c>
      <c r="AG1256" s="20">
        <f>IF(OR(B1256="",'経歴簿'!$C$4=""),"",IF(B1256&amp;""='経歴簿'!$C$4&amp;"",MAX($AG$4:AG1255)+1,""))</f>
        <v/>
      </c>
      <c r="AH1256" s="20">
        <f>IF(A1256="",0,IF(AND(OR('CSV抽出'!$C$4="",A1256&gt;='CSV抽出'!$C$4),OR('CSV抽出'!$C$5="",A1256&lt;='CSV抽出'!$C$5),OR('CSV抽出'!$C$6="すべて",'CSV抽出'!$C$6="",D1256='CSV抽出'!$C$6),OR('CSV抽出'!$C$7="",B1256&amp;""='CSV抽出'!$C$7&amp;"")),1,0))</f>
        <v/>
      </c>
      <c r="AI1256" s="20">
        <f>IF(AH1256=1,SUM($AH$5:AH1256),"")</f>
        <v/>
      </c>
      <c r="AJ1256" s="20">
        <f>IF(OR(S1256="",'報告書'!$C$4=""),"",IF(S1256&amp;""='報告書'!$C$4&amp;"",COUNTIF($S$5:S1256,'報告書'!$C$4),""))</f>
        <v/>
      </c>
      <c r="AK1256" s="20" t="n"/>
      <c r="AL1256" s="47" t="n"/>
      <c r="AM1256" s="47" t="n"/>
      <c r="AN1256" s="53" t="n"/>
      <c r="AO1256" s="47" t="n"/>
      <c r="AP1256" s="47" t="n"/>
      <c r="AQ1256" s="47" t="n"/>
      <c r="AR1256" s="47" t="n"/>
      <c r="AS1256" s="47" t="n"/>
      <c r="AT1256" s="47" t="n"/>
      <c r="AU1256" s="47" t="n"/>
      <c r="AV1256" s="47" t="n"/>
      <c r="AW1256" s="52" t="n"/>
    </row>
    <row r="1257">
      <c r="A1257" s="48" t="n"/>
      <c r="B1257" s="52" t="n"/>
      <c r="C1257" s="47">
        <f>IF(B1257="","",IFERROR(INDEX('隊員マスタ'!$B$5:$B$204,MATCH(B1257&amp;"",'隊員マスタ'!$F$5:$F$204,0)),IF(AK1257="","番号なし",AK1257)))</f>
        <v/>
      </c>
      <c r="D1257" s="47" t="n"/>
      <c r="E1257" s="47" t="n"/>
      <c r="F1257" s="47" t="n"/>
      <c r="G1257" s="47" t="n"/>
      <c r="H1257" s="47" t="n"/>
      <c r="I1257" s="47" t="n"/>
      <c r="J1257" s="47" t="n"/>
      <c r="K1257" s="47" t="n"/>
      <c r="L1257" s="47" t="n"/>
      <c r="M1257" s="47" t="n"/>
      <c r="N1257" s="47" t="n"/>
      <c r="O1257" s="47" t="n"/>
      <c r="P1257" s="47" t="n"/>
      <c r="Q1257" s="47" t="n"/>
      <c r="R1257" s="47" t="n"/>
      <c r="S1257" s="47" t="n"/>
      <c r="T1257" s="47" t="n"/>
      <c r="U1257" s="53" t="n"/>
      <c r="V1257" s="53" t="n"/>
      <c r="W1257" s="47" t="n"/>
      <c r="X1257" s="47" t="n"/>
      <c r="Y1257" s="47" t="n"/>
      <c r="Z1257" s="47" t="n"/>
      <c r="AA1257" s="47" t="n"/>
      <c r="AB1257" s="47" t="n"/>
      <c r="AC1257" s="47" t="n"/>
      <c r="AD1257" s="47" t="n"/>
      <c r="AE1257" s="47" t="n"/>
      <c r="AF1257" s="20">
        <f>IF(A1257="","",YEAR(EDATE(A1257,-3)))</f>
        <v/>
      </c>
      <c r="AG1257" s="20">
        <f>IF(OR(B1257="",'経歴簿'!$C$4=""),"",IF(B1257&amp;""='経歴簿'!$C$4&amp;"",MAX($AG$4:AG1256)+1,""))</f>
        <v/>
      </c>
      <c r="AH1257" s="20">
        <f>IF(A1257="",0,IF(AND(OR('CSV抽出'!$C$4="",A1257&gt;='CSV抽出'!$C$4),OR('CSV抽出'!$C$5="",A1257&lt;='CSV抽出'!$C$5),OR('CSV抽出'!$C$6="すべて",'CSV抽出'!$C$6="",D1257='CSV抽出'!$C$6),OR('CSV抽出'!$C$7="",B1257&amp;""='CSV抽出'!$C$7&amp;"")),1,0))</f>
        <v/>
      </c>
      <c r="AI1257" s="20">
        <f>IF(AH1257=1,SUM($AH$5:AH1257),"")</f>
        <v/>
      </c>
      <c r="AJ1257" s="20">
        <f>IF(OR(S1257="",'報告書'!$C$4=""),"",IF(S1257&amp;""='報告書'!$C$4&amp;"",COUNTIF($S$5:S1257,'報告書'!$C$4),""))</f>
        <v/>
      </c>
      <c r="AK1257" s="20" t="n"/>
      <c r="AL1257" s="47" t="n"/>
      <c r="AM1257" s="47" t="n"/>
      <c r="AN1257" s="53" t="n"/>
      <c r="AO1257" s="47" t="n"/>
      <c r="AP1257" s="47" t="n"/>
      <c r="AQ1257" s="47" t="n"/>
      <c r="AR1257" s="47" t="n"/>
      <c r="AS1257" s="47" t="n"/>
      <c r="AT1257" s="47" t="n"/>
      <c r="AU1257" s="47" t="n"/>
      <c r="AV1257" s="47" t="n"/>
      <c r="AW1257" s="52" t="n"/>
    </row>
    <row r="1258">
      <c r="A1258" s="48" t="n"/>
      <c r="B1258" s="52" t="n"/>
      <c r="C1258" s="47">
        <f>IF(B1258="","",IFERROR(INDEX('隊員マスタ'!$B$5:$B$204,MATCH(B1258&amp;"",'隊員マスタ'!$F$5:$F$204,0)),IF(AK1258="","番号なし",AK1258)))</f>
        <v/>
      </c>
      <c r="D1258" s="47" t="n"/>
      <c r="E1258" s="47" t="n"/>
      <c r="F1258" s="47" t="n"/>
      <c r="G1258" s="47" t="n"/>
      <c r="H1258" s="47" t="n"/>
      <c r="I1258" s="47" t="n"/>
      <c r="J1258" s="47" t="n"/>
      <c r="K1258" s="47" t="n"/>
      <c r="L1258" s="47" t="n"/>
      <c r="M1258" s="47" t="n"/>
      <c r="N1258" s="47" t="n"/>
      <c r="O1258" s="47" t="n"/>
      <c r="P1258" s="47" t="n"/>
      <c r="Q1258" s="47" t="n"/>
      <c r="R1258" s="47" t="n"/>
      <c r="S1258" s="47" t="n"/>
      <c r="T1258" s="47" t="n"/>
      <c r="U1258" s="53" t="n"/>
      <c r="V1258" s="53" t="n"/>
      <c r="W1258" s="47" t="n"/>
      <c r="X1258" s="47" t="n"/>
      <c r="Y1258" s="47" t="n"/>
      <c r="Z1258" s="47" t="n"/>
      <c r="AA1258" s="47" t="n"/>
      <c r="AB1258" s="47" t="n"/>
      <c r="AC1258" s="47" t="n"/>
      <c r="AD1258" s="47" t="n"/>
      <c r="AE1258" s="47" t="n"/>
      <c r="AF1258" s="20">
        <f>IF(A1258="","",YEAR(EDATE(A1258,-3)))</f>
        <v/>
      </c>
      <c r="AG1258" s="20">
        <f>IF(OR(B1258="",'経歴簿'!$C$4=""),"",IF(B1258&amp;""='経歴簿'!$C$4&amp;"",MAX($AG$4:AG1257)+1,""))</f>
        <v/>
      </c>
      <c r="AH1258" s="20">
        <f>IF(A1258="",0,IF(AND(OR('CSV抽出'!$C$4="",A1258&gt;='CSV抽出'!$C$4),OR('CSV抽出'!$C$5="",A1258&lt;='CSV抽出'!$C$5),OR('CSV抽出'!$C$6="すべて",'CSV抽出'!$C$6="",D1258='CSV抽出'!$C$6),OR('CSV抽出'!$C$7="",B1258&amp;""='CSV抽出'!$C$7&amp;"")),1,0))</f>
        <v/>
      </c>
      <c r="AI1258" s="20">
        <f>IF(AH1258=1,SUM($AH$5:AH1258),"")</f>
        <v/>
      </c>
      <c r="AJ1258" s="20">
        <f>IF(OR(S1258="",'報告書'!$C$4=""),"",IF(S1258&amp;""='報告書'!$C$4&amp;"",COUNTIF($S$5:S1258,'報告書'!$C$4),""))</f>
        <v/>
      </c>
      <c r="AK1258" s="20" t="n"/>
      <c r="AL1258" s="47" t="n"/>
      <c r="AM1258" s="47" t="n"/>
      <c r="AN1258" s="53" t="n"/>
      <c r="AO1258" s="47" t="n"/>
      <c r="AP1258" s="47" t="n"/>
      <c r="AQ1258" s="47" t="n"/>
      <c r="AR1258" s="47" t="n"/>
      <c r="AS1258" s="47" t="n"/>
      <c r="AT1258" s="47" t="n"/>
      <c r="AU1258" s="47" t="n"/>
      <c r="AV1258" s="47" t="n"/>
      <c r="AW1258" s="52" t="n"/>
    </row>
    <row r="1259">
      <c r="A1259" s="48" t="n"/>
      <c r="B1259" s="52" t="n"/>
      <c r="C1259" s="47">
        <f>IF(B1259="","",IFERROR(INDEX('隊員マスタ'!$B$5:$B$204,MATCH(B1259&amp;"",'隊員マスタ'!$F$5:$F$204,0)),IF(AK1259="","番号なし",AK1259)))</f>
        <v/>
      </c>
      <c r="D1259" s="47" t="n"/>
      <c r="E1259" s="47" t="n"/>
      <c r="F1259" s="47" t="n"/>
      <c r="G1259" s="47" t="n"/>
      <c r="H1259" s="47" t="n"/>
      <c r="I1259" s="47" t="n"/>
      <c r="J1259" s="47" t="n"/>
      <c r="K1259" s="47" t="n"/>
      <c r="L1259" s="47" t="n"/>
      <c r="M1259" s="47" t="n"/>
      <c r="N1259" s="47" t="n"/>
      <c r="O1259" s="47" t="n"/>
      <c r="P1259" s="47" t="n"/>
      <c r="Q1259" s="47" t="n"/>
      <c r="R1259" s="47" t="n"/>
      <c r="S1259" s="47" t="n"/>
      <c r="T1259" s="47" t="n"/>
      <c r="U1259" s="53" t="n"/>
      <c r="V1259" s="53" t="n"/>
      <c r="W1259" s="47" t="n"/>
      <c r="X1259" s="47" t="n"/>
      <c r="Y1259" s="47" t="n"/>
      <c r="Z1259" s="47" t="n"/>
      <c r="AA1259" s="47" t="n"/>
      <c r="AB1259" s="47" t="n"/>
      <c r="AC1259" s="47" t="n"/>
      <c r="AD1259" s="47" t="n"/>
      <c r="AE1259" s="47" t="n"/>
      <c r="AF1259" s="20">
        <f>IF(A1259="","",YEAR(EDATE(A1259,-3)))</f>
        <v/>
      </c>
      <c r="AG1259" s="20">
        <f>IF(OR(B1259="",'経歴簿'!$C$4=""),"",IF(B1259&amp;""='経歴簿'!$C$4&amp;"",MAX($AG$4:AG1258)+1,""))</f>
        <v/>
      </c>
      <c r="AH1259" s="20">
        <f>IF(A1259="",0,IF(AND(OR('CSV抽出'!$C$4="",A1259&gt;='CSV抽出'!$C$4),OR('CSV抽出'!$C$5="",A1259&lt;='CSV抽出'!$C$5),OR('CSV抽出'!$C$6="すべて",'CSV抽出'!$C$6="",D1259='CSV抽出'!$C$6),OR('CSV抽出'!$C$7="",B1259&amp;""='CSV抽出'!$C$7&amp;"")),1,0))</f>
        <v/>
      </c>
      <c r="AI1259" s="20">
        <f>IF(AH1259=1,SUM($AH$5:AH1259),"")</f>
        <v/>
      </c>
      <c r="AJ1259" s="20">
        <f>IF(OR(S1259="",'報告書'!$C$4=""),"",IF(S1259&amp;""='報告書'!$C$4&amp;"",COUNTIF($S$5:S1259,'報告書'!$C$4),""))</f>
        <v/>
      </c>
      <c r="AK1259" s="20" t="n"/>
      <c r="AL1259" s="47" t="n"/>
      <c r="AM1259" s="47" t="n"/>
      <c r="AN1259" s="53" t="n"/>
      <c r="AO1259" s="47" t="n"/>
      <c r="AP1259" s="47" t="n"/>
      <c r="AQ1259" s="47" t="n"/>
      <c r="AR1259" s="47" t="n"/>
      <c r="AS1259" s="47" t="n"/>
      <c r="AT1259" s="47" t="n"/>
      <c r="AU1259" s="47" t="n"/>
      <c r="AV1259" s="47" t="n"/>
      <c r="AW1259" s="52" t="n"/>
    </row>
    <row r="1260">
      <c r="A1260" s="48" t="n"/>
      <c r="B1260" s="52" t="n"/>
      <c r="C1260" s="47">
        <f>IF(B1260="","",IFERROR(INDEX('隊員マスタ'!$B$5:$B$204,MATCH(B1260&amp;"",'隊員マスタ'!$F$5:$F$204,0)),IF(AK1260="","番号なし",AK1260)))</f>
        <v/>
      </c>
      <c r="D1260" s="47" t="n"/>
      <c r="E1260" s="47" t="n"/>
      <c r="F1260" s="47" t="n"/>
      <c r="G1260" s="47" t="n"/>
      <c r="H1260" s="47" t="n"/>
      <c r="I1260" s="47" t="n"/>
      <c r="J1260" s="47" t="n"/>
      <c r="K1260" s="47" t="n"/>
      <c r="L1260" s="47" t="n"/>
      <c r="M1260" s="47" t="n"/>
      <c r="N1260" s="47" t="n"/>
      <c r="O1260" s="47" t="n"/>
      <c r="P1260" s="47" t="n"/>
      <c r="Q1260" s="47" t="n"/>
      <c r="R1260" s="47" t="n"/>
      <c r="S1260" s="47" t="n"/>
      <c r="T1260" s="47" t="n"/>
      <c r="U1260" s="53" t="n"/>
      <c r="V1260" s="53" t="n"/>
      <c r="W1260" s="47" t="n"/>
      <c r="X1260" s="47" t="n"/>
      <c r="Y1260" s="47" t="n"/>
      <c r="Z1260" s="47" t="n"/>
      <c r="AA1260" s="47" t="n"/>
      <c r="AB1260" s="47" t="n"/>
      <c r="AC1260" s="47" t="n"/>
      <c r="AD1260" s="47" t="n"/>
      <c r="AE1260" s="47" t="n"/>
      <c r="AF1260" s="20">
        <f>IF(A1260="","",YEAR(EDATE(A1260,-3)))</f>
        <v/>
      </c>
      <c r="AG1260" s="20">
        <f>IF(OR(B1260="",'経歴簿'!$C$4=""),"",IF(B1260&amp;""='経歴簿'!$C$4&amp;"",MAX($AG$4:AG1259)+1,""))</f>
        <v/>
      </c>
      <c r="AH1260" s="20">
        <f>IF(A1260="",0,IF(AND(OR('CSV抽出'!$C$4="",A1260&gt;='CSV抽出'!$C$4),OR('CSV抽出'!$C$5="",A1260&lt;='CSV抽出'!$C$5),OR('CSV抽出'!$C$6="すべて",'CSV抽出'!$C$6="",D1260='CSV抽出'!$C$6),OR('CSV抽出'!$C$7="",B1260&amp;""='CSV抽出'!$C$7&amp;"")),1,0))</f>
        <v/>
      </c>
      <c r="AI1260" s="20">
        <f>IF(AH1260=1,SUM($AH$5:AH1260),"")</f>
        <v/>
      </c>
      <c r="AJ1260" s="20">
        <f>IF(OR(S1260="",'報告書'!$C$4=""),"",IF(S1260&amp;""='報告書'!$C$4&amp;"",COUNTIF($S$5:S1260,'報告書'!$C$4),""))</f>
        <v/>
      </c>
      <c r="AK1260" s="20" t="n"/>
      <c r="AL1260" s="47" t="n"/>
      <c r="AM1260" s="47" t="n"/>
      <c r="AN1260" s="53" t="n"/>
      <c r="AO1260" s="47" t="n"/>
      <c r="AP1260" s="47" t="n"/>
      <c r="AQ1260" s="47" t="n"/>
      <c r="AR1260" s="47" t="n"/>
      <c r="AS1260" s="47" t="n"/>
      <c r="AT1260" s="47" t="n"/>
      <c r="AU1260" s="47" t="n"/>
      <c r="AV1260" s="47" t="n"/>
      <c r="AW1260" s="52" t="n"/>
    </row>
    <row r="1261">
      <c r="A1261" s="48" t="n"/>
      <c r="B1261" s="52" t="n"/>
      <c r="C1261" s="47">
        <f>IF(B1261="","",IFERROR(INDEX('隊員マスタ'!$B$5:$B$204,MATCH(B1261&amp;"",'隊員マスタ'!$F$5:$F$204,0)),IF(AK1261="","番号なし",AK1261)))</f>
        <v/>
      </c>
      <c r="D1261" s="47" t="n"/>
      <c r="E1261" s="47" t="n"/>
      <c r="F1261" s="47" t="n"/>
      <c r="G1261" s="47" t="n"/>
      <c r="H1261" s="47" t="n"/>
      <c r="I1261" s="47" t="n"/>
      <c r="J1261" s="47" t="n"/>
      <c r="K1261" s="47" t="n"/>
      <c r="L1261" s="47" t="n"/>
      <c r="M1261" s="47" t="n"/>
      <c r="N1261" s="47" t="n"/>
      <c r="O1261" s="47" t="n"/>
      <c r="P1261" s="47" t="n"/>
      <c r="Q1261" s="47" t="n"/>
      <c r="R1261" s="47" t="n"/>
      <c r="S1261" s="47" t="n"/>
      <c r="T1261" s="47" t="n"/>
      <c r="U1261" s="53" t="n"/>
      <c r="V1261" s="53" t="n"/>
      <c r="W1261" s="47" t="n"/>
      <c r="X1261" s="47" t="n"/>
      <c r="Y1261" s="47" t="n"/>
      <c r="Z1261" s="47" t="n"/>
      <c r="AA1261" s="47" t="n"/>
      <c r="AB1261" s="47" t="n"/>
      <c r="AC1261" s="47" t="n"/>
      <c r="AD1261" s="47" t="n"/>
      <c r="AE1261" s="47" t="n"/>
      <c r="AF1261" s="20">
        <f>IF(A1261="","",YEAR(EDATE(A1261,-3)))</f>
        <v/>
      </c>
      <c r="AG1261" s="20">
        <f>IF(OR(B1261="",'経歴簿'!$C$4=""),"",IF(B1261&amp;""='経歴簿'!$C$4&amp;"",MAX($AG$4:AG1260)+1,""))</f>
        <v/>
      </c>
      <c r="AH1261" s="20">
        <f>IF(A1261="",0,IF(AND(OR('CSV抽出'!$C$4="",A1261&gt;='CSV抽出'!$C$4),OR('CSV抽出'!$C$5="",A1261&lt;='CSV抽出'!$C$5),OR('CSV抽出'!$C$6="すべて",'CSV抽出'!$C$6="",D1261='CSV抽出'!$C$6),OR('CSV抽出'!$C$7="",B1261&amp;""='CSV抽出'!$C$7&amp;"")),1,0))</f>
        <v/>
      </c>
      <c r="AI1261" s="20">
        <f>IF(AH1261=1,SUM($AH$5:AH1261),"")</f>
        <v/>
      </c>
      <c r="AJ1261" s="20">
        <f>IF(OR(S1261="",'報告書'!$C$4=""),"",IF(S1261&amp;""='報告書'!$C$4&amp;"",COUNTIF($S$5:S1261,'報告書'!$C$4),""))</f>
        <v/>
      </c>
      <c r="AK1261" s="20" t="n"/>
      <c r="AL1261" s="47" t="n"/>
      <c r="AM1261" s="47" t="n"/>
      <c r="AN1261" s="53" t="n"/>
      <c r="AO1261" s="47" t="n"/>
      <c r="AP1261" s="47" t="n"/>
      <c r="AQ1261" s="47" t="n"/>
      <c r="AR1261" s="47" t="n"/>
      <c r="AS1261" s="47" t="n"/>
      <c r="AT1261" s="47" t="n"/>
      <c r="AU1261" s="47" t="n"/>
      <c r="AV1261" s="47" t="n"/>
      <c r="AW1261" s="52" t="n"/>
    </row>
    <row r="1262">
      <c r="A1262" s="48" t="n"/>
      <c r="B1262" s="52" t="n"/>
      <c r="C1262" s="47">
        <f>IF(B1262="","",IFERROR(INDEX('隊員マスタ'!$B$5:$B$204,MATCH(B1262&amp;"",'隊員マスタ'!$F$5:$F$204,0)),IF(AK1262="","番号なし",AK1262)))</f>
        <v/>
      </c>
      <c r="D1262" s="47" t="n"/>
      <c r="E1262" s="47" t="n"/>
      <c r="F1262" s="47" t="n"/>
      <c r="G1262" s="47" t="n"/>
      <c r="H1262" s="47" t="n"/>
      <c r="I1262" s="47" t="n"/>
      <c r="J1262" s="47" t="n"/>
      <c r="K1262" s="47" t="n"/>
      <c r="L1262" s="47" t="n"/>
      <c r="M1262" s="47" t="n"/>
      <c r="N1262" s="47" t="n"/>
      <c r="O1262" s="47" t="n"/>
      <c r="P1262" s="47" t="n"/>
      <c r="Q1262" s="47" t="n"/>
      <c r="R1262" s="47" t="n"/>
      <c r="S1262" s="47" t="n"/>
      <c r="T1262" s="47" t="n"/>
      <c r="U1262" s="53" t="n"/>
      <c r="V1262" s="53" t="n"/>
      <c r="W1262" s="47" t="n"/>
      <c r="X1262" s="47" t="n"/>
      <c r="Y1262" s="47" t="n"/>
      <c r="Z1262" s="47" t="n"/>
      <c r="AA1262" s="47" t="n"/>
      <c r="AB1262" s="47" t="n"/>
      <c r="AC1262" s="47" t="n"/>
      <c r="AD1262" s="47" t="n"/>
      <c r="AE1262" s="47" t="n"/>
      <c r="AF1262" s="20">
        <f>IF(A1262="","",YEAR(EDATE(A1262,-3)))</f>
        <v/>
      </c>
      <c r="AG1262" s="20">
        <f>IF(OR(B1262="",'経歴簿'!$C$4=""),"",IF(B1262&amp;""='経歴簿'!$C$4&amp;"",MAX($AG$4:AG1261)+1,""))</f>
        <v/>
      </c>
      <c r="AH1262" s="20">
        <f>IF(A1262="",0,IF(AND(OR('CSV抽出'!$C$4="",A1262&gt;='CSV抽出'!$C$4),OR('CSV抽出'!$C$5="",A1262&lt;='CSV抽出'!$C$5),OR('CSV抽出'!$C$6="すべて",'CSV抽出'!$C$6="",D1262='CSV抽出'!$C$6),OR('CSV抽出'!$C$7="",B1262&amp;""='CSV抽出'!$C$7&amp;"")),1,0))</f>
        <v/>
      </c>
      <c r="AI1262" s="20">
        <f>IF(AH1262=1,SUM($AH$5:AH1262),"")</f>
        <v/>
      </c>
      <c r="AJ1262" s="20">
        <f>IF(OR(S1262="",'報告書'!$C$4=""),"",IF(S1262&amp;""='報告書'!$C$4&amp;"",COUNTIF($S$5:S1262,'報告書'!$C$4),""))</f>
        <v/>
      </c>
      <c r="AK1262" s="20" t="n"/>
      <c r="AL1262" s="47" t="n"/>
      <c r="AM1262" s="47" t="n"/>
      <c r="AN1262" s="53" t="n"/>
      <c r="AO1262" s="47" t="n"/>
      <c r="AP1262" s="47" t="n"/>
      <c r="AQ1262" s="47" t="n"/>
      <c r="AR1262" s="47" t="n"/>
      <c r="AS1262" s="47" t="n"/>
      <c r="AT1262" s="47" t="n"/>
      <c r="AU1262" s="47" t="n"/>
      <c r="AV1262" s="47" t="n"/>
      <c r="AW1262" s="52" t="n"/>
    </row>
    <row r="1263">
      <c r="A1263" s="48" t="n"/>
      <c r="B1263" s="52" t="n"/>
      <c r="C1263" s="47">
        <f>IF(B1263="","",IFERROR(INDEX('隊員マスタ'!$B$5:$B$204,MATCH(B1263&amp;"",'隊員マスタ'!$F$5:$F$204,0)),IF(AK1263="","番号なし",AK1263)))</f>
        <v/>
      </c>
      <c r="D1263" s="47" t="n"/>
      <c r="E1263" s="47" t="n"/>
      <c r="F1263" s="47" t="n"/>
      <c r="G1263" s="47" t="n"/>
      <c r="H1263" s="47" t="n"/>
      <c r="I1263" s="47" t="n"/>
      <c r="J1263" s="47" t="n"/>
      <c r="K1263" s="47" t="n"/>
      <c r="L1263" s="47" t="n"/>
      <c r="M1263" s="47" t="n"/>
      <c r="N1263" s="47" t="n"/>
      <c r="O1263" s="47" t="n"/>
      <c r="P1263" s="47" t="n"/>
      <c r="Q1263" s="47" t="n"/>
      <c r="R1263" s="47" t="n"/>
      <c r="S1263" s="47" t="n"/>
      <c r="T1263" s="47" t="n"/>
      <c r="U1263" s="53" t="n"/>
      <c r="V1263" s="53" t="n"/>
      <c r="W1263" s="47" t="n"/>
      <c r="X1263" s="47" t="n"/>
      <c r="Y1263" s="47" t="n"/>
      <c r="Z1263" s="47" t="n"/>
      <c r="AA1263" s="47" t="n"/>
      <c r="AB1263" s="47" t="n"/>
      <c r="AC1263" s="47" t="n"/>
      <c r="AD1263" s="47" t="n"/>
      <c r="AE1263" s="47" t="n"/>
      <c r="AF1263" s="20">
        <f>IF(A1263="","",YEAR(EDATE(A1263,-3)))</f>
        <v/>
      </c>
      <c r="AG1263" s="20">
        <f>IF(OR(B1263="",'経歴簿'!$C$4=""),"",IF(B1263&amp;""='経歴簿'!$C$4&amp;"",MAX($AG$4:AG1262)+1,""))</f>
        <v/>
      </c>
      <c r="AH1263" s="20">
        <f>IF(A1263="",0,IF(AND(OR('CSV抽出'!$C$4="",A1263&gt;='CSV抽出'!$C$4),OR('CSV抽出'!$C$5="",A1263&lt;='CSV抽出'!$C$5),OR('CSV抽出'!$C$6="すべて",'CSV抽出'!$C$6="",D1263='CSV抽出'!$C$6),OR('CSV抽出'!$C$7="",B1263&amp;""='CSV抽出'!$C$7&amp;"")),1,0))</f>
        <v/>
      </c>
      <c r="AI1263" s="20">
        <f>IF(AH1263=1,SUM($AH$5:AH1263),"")</f>
        <v/>
      </c>
      <c r="AJ1263" s="20">
        <f>IF(OR(S1263="",'報告書'!$C$4=""),"",IF(S1263&amp;""='報告書'!$C$4&amp;"",COUNTIF($S$5:S1263,'報告書'!$C$4),""))</f>
        <v/>
      </c>
      <c r="AK1263" s="20" t="n"/>
      <c r="AL1263" s="47" t="n"/>
      <c r="AM1263" s="47" t="n"/>
      <c r="AN1263" s="53" t="n"/>
      <c r="AO1263" s="47" t="n"/>
      <c r="AP1263" s="47" t="n"/>
      <c r="AQ1263" s="47" t="n"/>
      <c r="AR1263" s="47" t="n"/>
      <c r="AS1263" s="47" t="n"/>
      <c r="AT1263" s="47" t="n"/>
      <c r="AU1263" s="47" t="n"/>
      <c r="AV1263" s="47" t="n"/>
      <c r="AW1263" s="52" t="n"/>
    </row>
    <row r="1264">
      <c r="A1264" s="48" t="n"/>
      <c r="B1264" s="52" t="n"/>
      <c r="C1264" s="47">
        <f>IF(B1264="","",IFERROR(INDEX('隊員マスタ'!$B$5:$B$204,MATCH(B1264&amp;"",'隊員マスタ'!$F$5:$F$204,0)),IF(AK1264="","番号なし",AK1264)))</f>
        <v/>
      </c>
      <c r="D1264" s="47" t="n"/>
      <c r="E1264" s="47" t="n"/>
      <c r="F1264" s="47" t="n"/>
      <c r="G1264" s="47" t="n"/>
      <c r="H1264" s="47" t="n"/>
      <c r="I1264" s="47" t="n"/>
      <c r="J1264" s="47" t="n"/>
      <c r="K1264" s="47" t="n"/>
      <c r="L1264" s="47" t="n"/>
      <c r="M1264" s="47" t="n"/>
      <c r="N1264" s="47" t="n"/>
      <c r="O1264" s="47" t="n"/>
      <c r="P1264" s="47" t="n"/>
      <c r="Q1264" s="47" t="n"/>
      <c r="R1264" s="47" t="n"/>
      <c r="S1264" s="47" t="n"/>
      <c r="T1264" s="47" t="n"/>
      <c r="U1264" s="53" t="n"/>
      <c r="V1264" s="53" t="n"/>
      <c r="W1264" s="47" t="n"/>
      <c r="X1264" s="47" t="n"/>
      <c r="Y1264" s="47" t="n"/>
      <c r="Z1264" s="47" t="n"/>
      <c r="AA1264" s="47" t="n"/>
      <c r="AB1264" s="47" t="n"/>
      <c r="AC1264" s="47" t="n"/>
      <c r="AD1264" s="47" t="n"/>
      <c r="AE1264" s="47" t="n"/>
      <c r="AF1264" s="20">
        <f>IF(A1264="","",YEAR(EDATE(A1264,-3)))</f>
        <v/>
      </c>
      <c r="AG1264" s="20">
        <f>IF(OR(B1264="",'経歴簿'!$C$4=""),"",IF(B1264&amp;""='経歴簿'!$C$4&amp;"",MAX($AG$4:AG1263)+1,""))</f>
        <v/>
      </c>
      <c r="AH1264" s="20">
        <f>IF(A1264="",0,IF(AND(OR('CSV抽出'!$C$4="",A1264&gt;='CSV抽出'!$C$4),OR('CSV抽出'!$C$5="",A1264&lt;='CSV抽出'!$C$5),OR('CSV抽出'!$C$6="すべて",'CSV抽出'!$C$6="",D1264='CSV抽出'!$C$6),OR('CSV抽出'!$C$7="",B1264&amp;""='CSV抽出'!$C$7&amp;"")),1,0))</f>
        <v/>
      </c>
      <c r="AI1264" s="20">
        <f>IF(AH1264=1,SUM($AH$5:AH1264),"")</f>
        <v/>
      </c>
      <c r="AJ1264" s="20">
        <f>IF(OR(S1264="",'報告書'!$C$4=""),"",IF(S1264&amp;""='報告書'!$C$4&amp;"",COUNTIF($S$5:S1264,'報告書'!$C$4),""))</f>
        <v/>
      </c>
      <c r="AK1264" s="20" t="n"/>
      <c r="AL1264" s="47" t="n"/>
      <c r="AM1264" s="47" t="n"/>
      <c r="AN1264" s="53" t="n"/>
      <c r="AO1264" s="47" t="n"/>
      <c r="AP1264" s="47" t="n"/>
      <c r="AQ1264" s="47" t="n"/>
      <c r="AR1264" s="47" t="n"/>
      <c r="AS1264" s="47" t="n"/>
      <c r="AT1264" s="47" t="n"/>
      <c r="AU1264" s="47" t="n"/>
      <c r="AV1264" s="47" t="n"/>
      <c r="AW1264" s="52" t="n"/>
    </row>
    <row r="1265">
      <c r="A1265" s="48" t="n"/>
      <c r="B1265" s="52" t="n"/>
      <c r="C1265" s="47">
        <f>IF(B1265="","",IFERROR(INDEX('隊員マスタ'!$B$5:$B$204,MATCH(B1265&amp;"",'隊員マスタ'!$F$5:$F$204,0)),IF(AK1265="","番号なし",AK1265)))</f>
        <v/>
      </c>
      <c r="D1265" s="47" t="n"/>
      <c r="E1265" s="47" t="n"/>
      <c r="F1265" s="47" t="n"/>
      <c r="G1265" s="47" t="n"/>
      <c r="H1265" s="47" t="n"/>
      <c r="I1265" s="47" t="n"/>
      <c r="J1265" s="47" t="n"/>
      <c r="K1265" s="47" t="n"/>
      <c r="L1265" s="47" t="n"/>
      <c r="M1265" s="47" t="n"/>
      <c r="N1265" s="47" t="n"/>
      <c r="O1265" s="47" t="n"/>
      <c r="P1265" s="47" t="n"/>
      <c r="Q1265" s="47" t="n"/>
      <c r="R1265" s="47" t="n"/>
      <c r="S1265" s="47" t="n"/>
      <c r="T1265" s="47" t="n"/>
      <c r="U1265" s="53" t="n"/>
      <c r="V1265" s="53" t="n"/>
      <c r="W1265" s="47" t="n"/>
      <c r="X1265" s="47" t="n"/>
      <c r="Y1265" s="47" t="n"/>
      <c r="Z1265" s="47" t="n"/>
      <c r="AA1265" s="47" t="n"/>
      <c r="AB1265" s="47" t="n"/>
      <c r="AC1265" s="47" t="n"/>
      <c r="AD1265" s="47" t="n"/>
      <c r="AE1265" s="47" t="n"/>
      <c r="AF1265" s="20">
        <f>IF(A1265="","",YEAR(EDATE(A1265,-3)))</f>
        <v/>
      </c>
      <c r="AG1265" s="20">
        <f>IF(OR(B1265="",'経歴簿'!$C$4=""),"",IF(B1265&amp;""='経歴簿'!$C$4&amp;"",MAX($AG$4:AG1264)+1,""))</f>
        <v/>
      </c>
      <c r="AH1265" s="20">
        <f>IF(A1265="",0,IF(AND(OR('CSV抽出'!$C$4="",A1265&gt;='CSV抽出'!$C$4),OR('CSV抽出'!$C$5="",A1265&lt;='CSV抽出'!$C$5),OR('CSV抽出'!$C$6="すべて",'CSV抽出'!$C$6="",D1265='CSV抽出'!$C$6),OR('CSV抽出'!$C$7="",B1265&amp;""='CSV抽出'!$C$7&amp;"")),1,0))</f>
        <v/>
      </c>
      <c r="AI1265" s="20">
        <f>IF(AH1265=1,SUM($AH$5:AH1265),"")</f>
        <v/>
      </c>
      <c r="AJ1265" s="20">
        <f>IF(OR(S1265="",'報告書'!$C$4=""),"",IF(S1265&amp;""='報告書'!$C$4&amp;"",COUNTIF($S$5:S1265,'報告書'!$C$4),""))</f>
        <v/>
      </c>
      <c r="AK1265" s="20" t="n"/>
      <c r="AL1265" s="47" t="n"/>
      <c r="AM1265" s="47" t="n"/>
      <c r="AN1265" s="53" t="n"/>
      <c r="AO1265" s="47" t="n"/>
      <c r="AP1265" s="47" t="n"/>
      <c r="AQ1265" s="47" t="n"/>
      <c r="AR1265" s="47" t="n"/>
      <c r="AS1265" s="47" t="n"/>
      <c r="AT1265" s="47" t="n"/>
      <c r="AU1265" s="47" t="n"/>
      <c r="AV1265" s="47" t="n"/>
      <c r="AW1265" s="52" t="n"/>
    </row>
    <row r="1266">
      <c r="A1266" s="48" t="n"/>
      <c r="B1266" s="52" t="n"/>
      <c r="C1266" s="47">
        <f>IF(B1266="","",IFERROR(INDEX('隊員マスタ'!$B$5:$B$204,MATCH(B1266&amp;"",'隊員マスタ'!$F$5:$F$204,0)),IF(AK1266="","番号なし",AK1266)))</f>
        <v/>
      </c>
      <c r="D1266" s="47" t="n"/>
      <c r="E1266" s="47" t="n"/>
      <c r="F1266" s="47" t="n"/>
      <c r="G1266" s="47" t="n"/>
      <c r="H1266" s="47" t="n"/>
      <c r="I1266" s="47" t="n"/>
      <c r="J1266" s="47" t="n"/>
      <c r="K1266" s="47" t="n"/>
      <c r="L1266" s="47" t="n"/>
      <c r="M1266" s="47" t="n"/>
      <c r="N1266" s="47" t="n"/>
      <c r="O1266" s="47" t="n"/>
      <c r="P1266" s="47" t="n"/>
      <c r="Q1266" s="47" t="n"/>
      <c r="R1266" s="47" t="n"/>
      <c r="S1266" s="47" t="n"/>
      <c r="T1266" s="47" t="n"/>
      <c r="U1266" s="53" t="n"/>
      <c r="V1266" s="53" t="n"/>
      <c r="W1266" s="47" t="n"/>
      <c r="X1266" s="47" t="n"/>
      <c r="Y1266" s="47" t="n"/>
      <c r="Z1266" s="47" t="n"/>
      <c r="AA1266" s="47" t="n"/>
      <c r="AB1266" s="47" t="n"/>
      <c r="AC1266" s="47" t="n"/>
      <c r="AD1266" s="47" t="n"/>
      <c r="AE1266" s="47" t="n"/>
      <c r="AF1266" s="20">
        <f>IF(A1266="","",YEAR(EDATE(A1266,-3)))</f>
        <v/>
      </c>
      <c r="AG1266" s="20">
        <f>IF(OR(B1266="",'経歴簿'!$C$4=""),"",IF(B1266&amp;""='経歴簿'!$C$4&amp;"",MAX($AG$4:AG1265)+1,""))</f>
        <v/>
      </c>
      <c r="AH1266" s="20">
        <f>IF(A1266="",0,IF(AND(OR('CSV抽出'!$C$4="",A1266&gt;='CSV抽出'!$C$4),OR('CSV抽出'!$C$5="",A1266&lt;='CSV抽出'!$C$5),OR('CSV抽出'!$C$6="すべて",'CSV抽出'!$C$6="",D1266='CSV抽出'!$C$6),OR('CSV抽出'!$C$7="",B1266&amp;""='CSV抽出'!$C$7&amp;"")),1,0))</f>
        <v/>
      </c>
      <c r="AI1266" s="20">
        <f>IF(AH1266=1,SUM($AH$5:AH1266),"")</f>
        <v/>
      </c>
      <c r="AJ1266" s="20">
        <f>IF(OR(S1266="",'報告書'!$C$4=""),"",IF(S1266&amp;""='報告書'!$C$4&amp;"",COUNTIF($S$5:S1266,'報告書'!$C$4),""))</f>
        <v/>
      </c>
      <c r="AK1266" s="20" t="n"/>
      <c r="AL1266" s="47" t="n"/>
      <c r="AM1266" s="47" t="n"/>
      <c r="AN1266" s="53" t="n"/>
      <c r="AO1266" s="47" t="n"/>
      <c r="AP1266" s="47" t="n"/>
      <c r="AQ1266" s="47" t="n"/>
      <c r="AR1266" s="47" t="n"/>
      <c r="AS1266" s="47" t="n"/>
      <c r="AT1266" s="47" t="n"/>
      <c r="AU1266" s="47" t="n"/>
      <c r="AV1266" s="47" t="n"/>
      <c r="AW1266" s="52" t="n"/>
    </row>
    <row r="1267">
      <c r="A1267" s="48" t="n"/>
      <c r="B1267" s="52" t="n"/>
      <c r="C1267" s="47">
        <f>IF(B1267="","",IFERROR(INDEX('隊員マスタ'!$B$5:$B$204,MATCH(B1267&amp;"",'隊員マスタ'!$F$5:$F$204,0)),IF(AK1267="","番号なし",AK1267)))</f>
        <v/>
      </c>
      <c r="D1267" s="47" t="n"/>
      <c r="E1267" s="47" t="n"/>
      <c r="F1267" s="47" t="n"/>
      <c r="G1267" s="47" t="n"/>
      <c r="H1267" s="47" t="n"/>
      <c r="I1267" s="47" t="n"/>
      <c r="J1267" s="47" t="n"/>
      <c r="K1267" s="47" t="n"/>
      <c r="L1267" s="47" t="n"/>
      <c r="M1267" s="47" t="n"/>
      <c r="N1267" s="47" t="n"/>
      <c r="O1267" s="47" t="n"/>
      <c r="P1267" s="47" t="n"/>
      <c r="Q1267" s="47" t="n"/>
      <c r="R1267" s="47" t="n"/>
      <c r="S1267" s="47" t="n"/>
      <c r="T1267" s="47" t="n"/>
      <c r="U1267" s="53" t="n"/>
      <c r="V1267" s="53" t="n"/>
      <c r="W1267" s="47" t="n"/>
      <c r="X1267" s="47" t="n"/>
      <c r="Y1267" s="47" t="n"/>
      <c r="Z1267" s="47" t="n"/>
      <c r="AA1267" s="47" t="n"/>
      <c r="AB1267" s="47" t="n"/>
      <c r="AC1267" s="47" t="n"/>
      <c r="AD1267" s="47" t="n"/>
      <c r="AE1267" s="47" t="n"/>
      <c r="AF1267" s="20">
        <f>IF(A1267="","",YEAR(EDATE(A1267,-3)))</f>
        <v/>
      </c>
      <c r="AG1267" s="20">
        <f>IF(OR(B1267="",'経歴簿'!$C$4=""),"",IF(B1267&amp;""='経歴簿'!$C$4&amp;"",MAX($AG$4:AG1266)+1,""))</f>
        <v/>
      </c>
      <c r="AH1267" s="20">
        <f>IF(A1267="",0,IF(AND(OR('CSV抽出'!$C$4="",A1267&gt;='CSV抽出'!$C$4),OR('CSV抽出'!$C$5="",A1267&lt;='CSV抽出'!$C$5),OR('CSV抽出'!$C$6="すべて",'CSV抽出'!$C$6="",D1267='CSV抽出'!$C$6),OR('CSV抽出'!$C$7="",B1267&amp;""='CSV抽出'!$C$7&amp;"")),1,0))</f>
        <v/>
      </c>
      <c r="AI1267" s="20">
        <f>IF(AH1267=1,SUM($AH$5:AH1267),"")</f>
        <v/>
      </c>
      <c r="AJ1267" s="20">
        <f>IF(OR(S1267="",'報告書'!$C$4=""),"",IF(S1267&amp;""='報告書'!$C$4&amp;"",COUNTIF($S$5:S1267,'報告書'!$C$4),""))</f>
        <v/>
      </c>
      <c r="AK1267" s="20" t="n"/>
      <c r="AL1267" s="47" t="n"/>
      <c r="AM1267" s="47" t="n"/>
      <c r="AN1267" s="53" t="n"/>
      <c r="AO1267" s="47" t="n"/>
      <c r="AP1267" s="47" t="n"/>
      <c r="AQ1267" s="47" t="n"/>
      <c r="AR1267" s="47" t="n"/>
      <c r="AS1267" s="47" t="n"/>
      <c r="AT1267" s="47" t="n"/>
      <c r="AU1267" s="47" t="n"/>
      <c r="AV1267" s="47" t="n"/>
      <c r="AW1267" s="52" t="n"/>
    </row>
    <row r="1268">
      <c r="A1268" s="48" t="n"/>
      <c r="B1268" s="52" t="n"/>
      <c r="C1268" s="47">
        <f>IF(B1268="","",IFERROR(INDEX('隊員マスタ'!$B$5:$B$204,MATCH(B1268&amp;"",'隊員マスタ'!$F$5:$F$204,0)),IF(AK1268="","番号なし",AK1268)))</f>
        <v/>
      </c>
      <c r="D1268" s="47" t="n"/>
      <c r="E1268" s="47" t="n"/>
      <c r="F1268" s="47" t="n"/>
      <c r="G1268" s="47" t="n"/>
      <c r="H1268" s="47" t="n"/>
      <c r="I1268" s="47" t="n"/>
      <c r="J1268" s="47" t="n"/>
      <c r="K1268" s="47" t="n"/>
      <c r="L1268" s="47" t="n"/>
      <c r="M1268" s="47" t="n"/>
      <c r="N1268" s="47" t="n"/>
      <c r="O1268" s="47" t="n"/>
      <c r="P1268" s="47" t="n"/>
      <c r="Q1268" s="47" t="n"/>
      <c r="R1268" s="47" t="n"/>
      <c r="S1268" s="47" t="n"/>
      <c r="T1268" s="47" t="n"/>
      <c r="U1268" s="53" t="n"/>
      <c r="V1268" s="53" t="n"/>
      <c r="W1268" s="47" t="n"/>
      <c r="X1268" s="47" t="n"/>
      <c r="Y1268" s="47" t="n"/>
      <c r="Z1268" s="47" t="n"/>
      <c r="AA1268" s="47" t="n"/>
      <c r="AB1268" s="47" t="n"/>
      <c r="AC1268" s="47" t="n"/>
      <c r="AD1268" s="47" t="n"/>
      <c r="AE1268" s="47" t="n"/>
      <c r="AF1268" s="20">
        <f>IF(A1268="","",YEAR(EDATE(A1268,-3)))</f>
        <v/>
      </c>
      <c r="AG1268" s="20">
        <f>IF(OR(B1268="",'経歴簿'!$C$4=""),"",IF(B1268&amp;""='経歴簿'!$C$4&amp;"",MAX($AG$4:AG1267)+1,""))</f>
        <v/>
      </c>
      <c r="AH1268" s="20">
        <f>IF(A1268="",0,IF(AND(OR('CSV抽出'!$C$4="",A1268&gt;='CSV抽出'!$C$4),OR('CSV抽出'!$C$5="",A1268&lt;='CSV抽出'!$C$5),OR('CSV抽出'!$C$6="すべて",'CSV抽出'!$C$6="",D1268='CSV抽出'!$C$6),OR('CSV抽出'!$C$7="",B1268&amp;""='CSV抽出'!$C$7&amp;"")),1,0))</f>
        <v/>
      </c>
      <c r="AI1268" s="20">
        <f>IF(AH1268=1,SUM($AH$5:AH1268),"")</f>
        <v/>
      </c>
      <c r="AJ1268" s="20">
        <f>IF(OR(S1268="",'報告書'!$C$4=""),"",IF(S1268&amp;""='報告書'!$C$4&amp;"",COUNTIF($S$5:S1268,'報告書'!$C$4),""))</f>
        <v/>
      </c>
      <c r="AK1268" s="20" t="n"/>
      <c r="AL1268" s="47" t="n"/>
      <c r="AM1268" s="47" t="n"/>
      <c r="AN1268" s="53" t="n"/>
      <c r="AO1268" s="47" t="n"/>
      <c r="AP1268" s="47" t="n"/>
      <c r="AQ1268" s="47" t="n"/>
      <c r="AR1268" s="47" t="n"/>
      <c r="AS1268" s="47" t="n"/>
      <c r="AT1268" s="47" t="n"/>
      <c r="AU1268" s="47" t="n"/>
      <c r="AV1268" s="47" t="n"/>
      <c r="AW1268" s="52" t="n"/>
    </row>
    <row r="1269">
      <c r="A1269" s="48" t="n"/>
      <c r="B1269" s="52" t="n"/>
      <c r="C1269" s="47">
        <f>IF(B1269="","",IFERROR(INDEX('隊員マスタ'!$B$5:$B$204,MATCH(B1269&amp;"",'隊員マスタ'!$F$5:$F$204,0)),IF(AK1269="","番号なし",AK1269)))</f>
        <v/>
      </c>
      <c r="D1269" s="47" t="n"/>
      <c r="E1269" s="47" t="n"/>
      <c r="F1269" s="47" t="n"/>
      <c r="G1269" s="47" t="n"/>
      <c r="H1269" s="47" t="n"/>
      <c r="I1269" s="47" t="n"/>
      <c r="J1269" s="47" t="n"/>
      <c r="K1269" s="47" t="n"/>
      <c r="L1269" s="47" t="n"/>
      <c r="M1269" s="47" t="n"/>
      <c r="N1269" s="47" t="n"/>
      <c r="O1269" s="47" t="n"/>
      <c r="P1269" s="47" t="n"/>
      <c r="Q1269" s="47" t="n"/>
      <c r="R1269" s="47" t="n"/>
      <c r="S1269" s="47" t="n"/>
      <c r="T1269" s="47" t="n"/>
      <c r="U1269" s="53" t="n"/>
      <c r="V1269" s="53" t="n"/>
      <c r="W1269" s="47" t="n"/>
      <c r="X1269" s="47" t="n"/>
      <c r="Y1269" s="47" t="n"/>
      <c r="Z1269" s="47" t="n"/>
      <c r="AA1269" s="47" t="n"/>
      <c r="AB1269" s="47" t="n"/>
      <c r="AC1269" s="47" t="n"/>
      <c r="AD1269" s="47" t="n"/>
      <c r="AE1269" s="47" t="n"/>
      <c r="AF1269" s="20">
        <f>IF(A1269="","",YEAR(EDATE(A1269,-3)))</f>
        <v/>
      </c>
      <c r="AG1269" s="20">
        <f>IF(OR(B1269="",'経歴簿'!$C$4=""),"",IF(B1269&amp;""='経歴簿'!$C$4&amp;"",MAX($AG$4:AG1268)+1,""))</f>
        <v/>
      </c>
      <c r="AH1269" s="20">
        <f>IF(A1269="",0,IF(AND(OR('CSV抽出'!$C$4="",A1269&gt;='CSV抽出'!$C$4),OR('CSV抽出'!$C$5="",A1269&lt;='CSV抽出'!$C$5),OR('CSV抽出'!$C$6="すべて",'CSV抽出'!$C$6="",D1269='CSV抽出'!$C$6),OR('CSV抽出'!$C$7="",B1269&amp;""='CSV抽出'!$C$7&amp;"")),1,0))</f>
        <v/>
      </c>
      <c r="AI1269" s="20">
        <f>IF(AH1269=1,SUM($AH$5:AH1269),"")</f>
        <v/>
      </c>
      <c r="AJ1269" s="20">
        <f>IF(OR(S1269="",'報告書'!$C$4=""),"",IF(S1269&amp;""='報告書'!$C$4&amp;"",COUNTIF($S$5:S1269,'報告書'!$C$4),""))</f>
        <v/>
      </c>
      <c r="AK1269" s="20" t="n"/>
      <c r="AL1269" s="47" t="n"/>
      <c r="AM1269" s="47" t="n"/>
      <c r="AN1269" s="53" t="n"/>
      <c r="AO1269" s="47" t="n"/>
      <c r="AP1269" s="47" t="n"/>
      <c r="AQ1269" s="47" t="n"/>
      <c r="AR1269" s="47" t="n"/>
      <c r="AS1269" s="47" t="n"/>
      <c r="AT1269" s="47" t="n"/>
      <c r="AU1269" s="47" t="n"/>
      <c r="AV1269" s="47" t="n"/>
      <c r="AW1269" s="52" t="n"/>
    </row>
    <row r="1270">
      <c r="A1270" s="48" t="n"/>
      <c r="B1270" s="52" t="n"/>
      <c r="C1270" s="47">
        <f>IF(B1270="","",IFERROR(INDEX('隊員マスタ'!$B$5:$B$204,MATCH(B1270&amp;"",'隊員マスタ'!$F$5:$F$204,0)),IF(AK1270="","番号なし",AK1270)))</f>
        <v/>
      </c>
      <c r="D1270" s="47" t="n"/>
      <c r="E1270" s="47" t="n"/>
      <c r="F1270" s="47" t="n"/>
      <c r="G1270" s="47" t="n"/>
      <c r="H1270" s="47" t="n"/>
      <c r="I1270" s="47" t="n"/>
      <c r="J1270" s="47" t="n"/>
      <c r="K1270" s="47" t="n"/>
      <c r="L1270" s="47" t="n"/>
      <c r="M1270" s="47" t="n"/>
      <c r="N1270" s="47" t="n"/>
      <c r="O1270" s="47" t="n"/>
      <c r="P1270" s="47" t="n"/>
      <c r="Q1270" s="47" t="n"/>
      <c r="R1270" s="47" t="n"/>
      <c r="S1270" s="47" t="n"/>
      <c r="T1270" s="47" t="n"/>
      <c r="U1270" s="53" t="n"/>
      <c r="V1270" s="53" t="n"/>
      <c r="W1270" s="47" t="n"/>
      <c r="X1270" s="47" t="n"/>
      <c r="Y1270" s="47" t="n"/>
      <c r="Z1270" s="47" t="n"/>
      <c r="AA1270" s="47" t="n"/>
      <c r="AB1270" s="47" t="n"/>
      <c r="AC1270" s="47" t="n"/>
      <c r="AD1270" s="47" t="n"/>
      <c r="AE1270" s="47" t="n"/>
      <c r="AF1270" s="20">
        <f>IF(A1270="","",YEAR(EDATE(A1270,-3)))</f>
        <v/>
      </c>
      <c r="AG1270" s="20">
        <f>IF(OR(B1270="",'経歴簿'!$C$4=""),"",IF(B1270&amp;""='経歴簿'!$C$4&amp;"",MAX($AG$4:AG1269)+1,""))</f>
        <v/>
      </c>
      <c r="AH1270" s="20">
        <f>IF(A1270="",0,IF(AND(OR('CSV抽出'!$C$4="",A1270&gt;='CSV抽出'!$C$4),OR('CSV抽出'!$C$5="",A1270&lt;='CSV抽出'!$C$5),OR('CSV抽出'!$C$6="すべて",'CSV抽出'!$C$6="",D1270='CSV抽出'!$C$6),OR('CSV抽出'!$C$7="",B1270&amp;""='CSV抽出'!$C$7&amp;"")),1,0))</f>
        <v/>
      </c>
      <c r="AI1270" s="20">
        <f>IF(AH1270=1,SUM($AH$5:AH1270),"")</f>
        <v/>
      </c>
      <c r="AJ1270" s="20">
        <f>IF(OR(S1270="",'報告書'!$C$4=""),"",IF(S1270&amp;""='報告書'!$C$4&amp;"",COUNTIF($S$5:S1270,'報告書'!$C$4),""))</f>
        <v/>
      </c>
      <c r="AK1270" s="20" t="n"/>
      <c r="AL1270" s="47" t="n"/>
      <c r="AM1270" s="47" t="n"/>
      <c r="AN1270" s="53" t="n"/>
      <c r="AO1270" s="47" t="n"/>
      <c r="AP1270" s="47" t="n"/>
      <c r="AQ1270" s="47" t="n"/>
      <c r="AR1270" s="47" t="n"/>
      <c r="AS1270" s="47" t="n"/>
      <c r="AT1270" s="47" t="n"/>
      <c r="AU1270" s="47" t="n"/>
      <c r="AV1270" s="47" t="n"/>
      <c r="AW1270" s="52" t="n"/>
    </row>
    <row r="1271">
      <c r="A1271" s="48" t="n"/>
      <c r="B1271" s="52" t="n"/>
      <c r="C1271" s="47">
        <f>IF(B1271="","",IFERROR(INDEX('隊員マスタ'!$B$5:$B$204,MATCH(B1271&amp;"",'隊員マスタ'!$F$5:$F$204,0)),IF(AK1271="","番号なし",AK1271)))</f>
        <v/>
      </c>
      <c r="D1271" s="47" t="n"/>
      <c r="E1271" s="47" t="n"/>
      <c r="F1271" s="47" t="n"/>
      <c r="G1271" s="47" t="n"/>
      <c r="H1271" s="47" t="n"/>
      <c r="I1271" s="47" t="n"/>
      <c r="J1271" s="47" t="n"/>
      <c r="K1271" s="47" t="n"/>
      <c r="L1271" s="47" t="n"/>
      <c r="M1271" s="47" t="n"/>
      <c r="N1271" s="47" t="n"/>
      <c r="O1271" s="47" t="n"/>
      <c r="P1271" s="47" t="n"/>
      <c r="Q1271" s="47" t="n"/>
      <c r="R1271" s="47" t="n"/>
      <c r="S1271" s="47" t="n"/>
      <c r="T1271" s="47" t="n"/>
      <c r="U1271" s="53" t="n"/>
      <c r="V1271" s="53" t="n"/>
      <c r="W1271" s="47" t="n"/>
      <c r="X1271" s="47" t="n"/>
      <c r="Y1271" s="47" t="n"/>
      <c r="Z1271" s="47" t="n"/>
      <c r="AA1271" s="47" t="n"/>
      <c r="AB1271" s="47" t="n"/>
      <c r="AC1271" s="47" t="n"/>
      <c r="AD1271" s="47" t="n"/>
      <c r="AE1271" s="47" t="n"/>
      <c r="AF1271" s="20">
        <f>IF(A1271="","",YEAR(EDATE(A1271,-3)))</f>
        <v/>
      </c>
      <c r="AG1271" s="20">
        <f>IF(OR(B1271="",'経歴簿'!$C$4=""),"",IF(B1271&amp;""='経歴簿'!$C$4&amp;"",MAX($AG$4:AG1270)+1,""))</f>
        <v/>
      </c>
      <c r="AH1271" s="20">
        <f>IF(A1271="",0,IF(AND(OR('CSV抽出'!$C$4="",A1271&gt;='CSV抽出'!$C$4),OR('CSV抽出'!$C$5="",A1271&lt;='CSV抽出'!$C$5),OR('CSV抽出'!$C$6="すべて",'CSV抽出'!$C$6="",D1271='CSV抽出'!$C$6),OR('CSV抽出'!$C$7="",B1271&amp;""='CSV抽出'!$C$7&amp;"")),1,0))</f>
        <v/>
      </c>
      <c r="AI1271" s="20">
        <f>IF(AH1271=1,SUM($AH$5:AH1271),"")</f>
        <v/>
      </c>
      <c r="AJ1271" s="20">
        <f>IF(OR(S1271="",'報告書'!$C$4=""),"",IF(S1271&amp;""='報告書'!$C$4&amp;"",COUNTIF($S$5:S1271,'報告書'!$C$4),""))</f>
        <v/>
      </c>
      <c r="AK1271" s="20" t="n"/>
      <c r="AL1271" s="47" t="n"/>
      <c r="AM1271" s="47" t="n"/>
      <c r="AN1271" s="53" t="n"/>
      <c r="AO1271" s="47" t="n"/>
      <c r="AP1271" s="47" t="n"/>
      <c r="AQ1271" s="47" t="n"/>
      <c r="AR1271" s="47" t="n"/>
      <c r="AS1271" s="47" t="n"/>
      <c r="AT1271" s="47" t="n"/>
      <c r="AU1271" s="47" t="n"/>
      <c r="AV1271" s="47" t="n"/>
      <c r="AW1271" s="52" t="n"/>
    </row>
    <row r="1272">
      <c r="A1272" s="48" t="n"/>
      <c r="B1272" s="52" t="n"/>
      <c r="C1272" s="47">
        <f>IF(B1272="","",IFERROR(INDEX('隊員マスタ'!$B$5:$B$204,MATCH(B1272&amp;"",'隊員マスタ'!$F$5:$F$204,0)),IF(AK1272="","番号なし",AK1272)))</f>
        <v/>
      </c>
      <c r="D1272" s="47" t="n"/>
      <c r="E1272" s="47" t="n"/>
      <c r="F1272" s="47" t="n"/>
      <c r="G1272" s="47" t="n"/>
      <c r="H1272" s="47" t="n"/>
      <c r="I1272" s="47" t="n"/>
      <c r="J1272" s="47" t="n"/>
      <c r="K1272" s="47" t="n"/>
      <c r="L1272" s="47" t="n"/>
      <c r="M1272" s="47" t="n"/>
      <c r="N1272" s="47" t="n"/>
      <c r="O1272" s="47" t="n"/>
      <c r="P1272" s="47" t="n"/>
      <c r="Q1272" s="47" t="n"/>
      <c r="R1272" s="47" t="n"/>
      <c r="S1272" s="47" t="n"/>
      <c r="T1272" s="47" t="n"/>
      <c r="U1272" s="53" t="n"/>
      <c r="V1272" s="53" t="n"/>
      <c r="W1272" s="47" t="n"/>
      <c r="X1272" s="47" t="n"/>
      <c r="Y1272" s="47" t="n"/>
      <c r="Z1272" s="47" t="n"/>
      <c r="AA1272" s="47" t="n"/>
      <c r="AB1272" s="47" t="n"/>
      <c r="AC1272" s="47" t="n"/>
      <c r="AD1272" s="47" t="n"/>
      <c r="AE1272" s="47" t="n"/>
      <c r="AF1272" s="20">
        <f>IF(A1272="","",YEAR(EDATE(A1272,-3)))</f>
        <v/>
      </c>
      <c r="AG1272" s="20">
        <f>IF(OR(B1272="",'経歴簿'!$C$4=""),"",IF(B1272&amp;""='経歴簿'!$C$4&amp;"",MAX($AG$4:AG1271)+1,""))</f>
        <v/>
      </c>
      <c r="AH1272" s="20">
        <f>IF(A1272="",0,IF(AND(OR('CSV抽出'!$C$4="",A1272&gt;='CSV抽出'!$C$4),OR('CSV抽出'!$C$5="",A1272&lt;='CSV抽出'!$C$5),OR('CSV抽出'!$C$6="すべて",'CSV抽出'!$C$6="",D1272='CSV抽出'!$C$6),OR('CSV抽出'!$C$7="",B1272&amp;""='CSV抽出'!$C$7&amp;"")),1,0))</f>
        <v/>
      </c>
      <c r="AI1272" s="20">
        <f>IF(AH1272=1,SUM($AH$5:AH1272),"")</f>
        <v/>
      </c>
      <c r="AJ1272" s="20">
        <f>IF(OR(S1272="",'報告書'!$C$4=""),"",IF(S1272&amp;""='報告書'!$C$4&amp;"",COUNTIF($S$5:S1272,'報告書'!$C$4),""))</f>
        <v/>
      </c>
      <c r="AK1272" s="20" t="n"/>
      <c r="AL1272" s="47" t="n"/>
      <c r="AM1272" s="47" t="n"/>
      <c r="AN1272" s="53" t="n"/>
      <c r="AO1272" s="47" t="n"/>
      <c r="AP1272" s="47" t="n"/>
      <c r="AQ1272" s="47" t="n"/>
      <c r="AR1272" s="47" t="n"/>
      <c r="AS1272" s="47" t="n"/>
      <c r="AT1272" s="47" t="n"/>
      <c r="AU1272" s="47" t="n"/>
      <c r="AV1272" s="47" t="n"/>
      <c r="AW1272" s="52" t="n"/>
    </row>
    <row r="1273">
      <c r="A1273" s="48" t="n"/>
      <c r="B1273" s="52" t="n"/>
      <c r="C1273" s="47">
        <f>IF(B1273="","",IFERROR(INDEX('隊員マスタ'!$B$5:$B$204,MATCH(B1273&amp;"",'隊員マスタ'!$F$5:$F$204,0)),IF(AK1273="","番号なし",AK1273)))</f>
        <v/>
      </c>
      <c r="D1273" s="47" t="n"/>
      <c r="E1273" s="47" t="n"/>
      <c r="F1273" s="47" t="n"/>
      <c r="G1273" s="47" t="n"/>
      <c r="H1273" s="47" t="n"/>
      <c r="I1273" s="47" t="n"/>
      <c r="J1273" s="47" t="n"/>
      <c r="K1273" s="47" t="n"/>
      <c r="L1273" s="47" t="n"/>
      <c r="M1273" s="47" t="n"/>
      <c r="N1273" s="47" t="n"/>
      <c r="O1273" s="47" t="n"/>
      <c r="P1273" s="47" t="n"/>
      <c r="Q1273" s="47" t="n"/>
      <c r="R1273" s="47" t="n"/>
      <c r="S1273" s="47" t="n"/>
      <c r="T1273" s="47" t="n"/>
      <c r="U1273" s="53" t="n"/>
      <c r="V1273" s="53" t="n"/>
      <c r="W1273" s="47" t="n"/>
      <c r="X1273" s="47" t="n"/>
      <c r="Y1273" s="47" t="n"/>
      <c r="Z1273" s="47" t="n"/>
      <c r="AA1273" s="47" t="n"/>
      <c r="AB1273" s="47" t="n"/>
      <c r="AC1273" s="47" t="n"/>
      <c r="AD1273" s="47" t="n"/>
      <c r="AE1273" s="47" t="n"/>
      <c r="AF1273" s="20">
        <f>IF(A1273="","",YEAR(EDATE(A1273,-3)))</f>
        <v/>
      </c>
      <c r="AG1273" s="20">
        <f>IF(OR(B1273="",'経歴簿'!$C$4=""),"",IF(B1273&amp;""='経歴簿'!$C$4&amp;"",MAX($AG$4:AG1272)+1,""))</f>
        <v/>
      </c>
      <c r="AH1273" s="20">
        <f>IF(A1273="",0,IF(AND(OR('CSV抽出'!$C$4="",A1273&gt;='CSV抽出'!$C$4),OR('CSV抽出'!$C$5="",A1273&lt;='CSV抽出'!$C$5),OR('CSV抽出'!$C$6="すべて",'CSV抽出'!$C$6="",D1273='CSV抽出'!$C$6),OR('CSV抽出'!$C$7="",B1273&amp;""='CSV抽出'!$C$7&amp;"")),1,0))</f>
        <v/>
      </c>
      <c r="AI1273" s="20">
        <f>IF(AH1273=1,SUM($AH$5:AH1273),"")</f>
        <v/>
      </c>
      <c r="AJ1273" s="20">
        <f>IF(OR(S1273="",'報告書'!$C$4=""),"",IF(S1273&amp;""='報告書'!$C$4&amp;"",COUNTIF($S$5:S1273,'報告書'!$C$4),""))</f>
        <v/>
      </c>
      <c r="AK1273" s="20" t="n"/>
      <c r="AL1273" s="47" t="n"/>
      <c r="AM1273" s="47" t="n"/>
      <c r="AN1273" s="53" t="n"/>
      <c r="AO1273" s="47" t="n"/>
      <c r="AP1273" s="47" t="n"/>
      <c r="AQ1273" s="47" t="n"/>
      <c r="AR1273" s="47" t="n"/>
      <c r="AS1273" s="47" t="n"/>
      <c r="AT1273" s="47" t="n"/>
      <c r="AU1273" s="47" t="n"/>
      <c r="AV1273" s="47" t="n"/>
      <c r="AW1273" s="52" t="n"/>
    </row>
    <row r="1274">
      <c r="A1274" s="48" t="n"/>
      <c r="B1274" s="52" t="n"/>
      <c r="C1274" s="47">
        <f>IF(B1274="","",IFERROR(INDEX('隊員マスタ'!$B$5:$B$204,MATCH(B1274&amp;"",'隊員マスタ'!$F$5:$F$204,0)),IF(AK1274="","番号なし",AK1274)))</f>
        <v/>
      </c>
      <c r="D1274" s="47" t="n"/>
      <c r="E1274" s="47" t="n"/>
      <c r="F1274" s="47" t="n"/>
      <c r="G1274" s="47" t="n"/>
      <c r="H1274" s="47" t="n"/>
      <c r="I1274" s="47" t="n"/>
      <c r="J1274" s="47" t="n"/>
      <c r="K1274" s="47" t="n"/>
      <c r="L1274" s="47" t="n"/>
      <c r="M1274" s="47" t="n"/>
      <c r="N1274" s="47" t="n"/>
      <c r="O1274" s="47" t="n"/>
      <c r="P1274" s="47" t="n"/>
      <c r="Q1274" s="47" t="n"/>
      <c r="R1274" s="47" t="n"/>
      <c r="S1274" s="47" t="n"/>
      <c r="T1274" s="47" t="n"/>
      <c r="U1274" s="53" t="n"/>
      <c r="V1274" s="53" t="n"/>
      <c r="W1274" s="47" t="n"/>
      <c r="X1274" s="47" t="n"/>
      <c r="Y1274" s="47" t="n"/>
      <c r="Z1274" s="47" t="n"/>
      <c r="AA1274" s="47" t="n"/>
      <c r="AB1274" s="47" t="n"/>
      <c r="AC1274" s="47" t="n"/>
      <c r="AD1274" s="47" t="n"/>
      <c r="AE1274" s="47" t="n"/>
      <c r="AF1274" s="20">
        <f>IF(A1274="","",YEAR(EDATE(A1274,-3)))</f>
        <v/>
      </c>
      <c r="AG1274" s="20">
        <f>IF(OR(B1274="",'経歴簿'!$C$4=""),"",IF(B1274&amp;""='経歴簿'!$C$4&amp;"",MAX($AG$4:AG1273)+1,""))</f>
        <v/>
      </c>
      <c r="AH1274" s="20">
        <f>IF(A1274="",0,IF(AND(OR('CSV抽出'!$C$4="",A1274&gt;='CSV抽出'!$C$4),OR('CSV抽出'!$C$5="",A1274&lt;='CSV抽出'!$C$5),OR('CSV抽出'!$C$6="すべて",'CSV抽出'!$C$6="",D1274='CSV抽出'!$C$6),OR('CSV抽出'!$C$7="",B1274&amp;""='CSV抽出'!$C$7&amp;"")),1,0))</f>
        <v/>
      </c>
      <c r="AI1274" s="20">
        <f>IF(AH1274=1,SUM($AH$5:AH1274),"")</f>
        <v/>
      </c>
      <c r="AJ1274" s="20">
        <f>IF(OR(S1274="",'報告書'!$C$4=""),"",IF(S1274&amp;""='報告書'!$C$4&amp;"",COUNTIF($S$5:S1274,'報告書'!$C$4),""))</f>
        <v/>
      </c>
      <c r="AK1274" s="20" t="n"/>
      <c r="AL1274" s="47" t="n"/>
      <c r="AM1274" s="47" t="n"/>
      <c r="AN1274" s="53" t="n"/>
      <c r="AO1274" s="47" t="n"/>
      <c r="AP1274" s="47" t="n"/>
      <c r="AQ1274" s="47" t="n"/>
      <c r="AR1274" s="47" t="n"/>
      <c r="AS1274" s="47" t="n"/>
      <c r="AT1274" s="47" t="n"/>
      <c r="AU1274" s="47" t="n"/>
      <c r="AV1274" s="47" t="n"/>
      <c r="AW1274" s="52" t="n"/>
    </row>
    <row r="1275">
      <c r="A1275" s="48" t="n"/>
      <c r="B1275" s="52" t="n"/>
      <c r="C1275" s="47">
        <f>IF(B1275="","",IFERROR(INDEX('隊員マスタ'!$B$5:$B$204,MATCH(B1275&amp;"",'隊員マスタ'!$F$5:$F$204,0)),IF(AK1275="","番号なし",AK1275)))</f>
        <v/>
      </c>
      <c r="D1275" s="47" t="n"/>
      <c r="E1275" s="47" t="n"/>
      <c r="F1275" s="47" t="n"/>
      <c r="G1275" s="47" t="n"/>
      <c r="H1275" s="47" t="n"/>
      <c r="I1275" s="47" t="n"/>
      <c r="J1275" s="47" t="n"/>
      <c r="K1275" s="47" t="n"/>
      <c r="L1275" s="47" t="n"/>
      <c r="M1275" s="47" t="n"/>
      <c r="N1275" s="47" t="n"/>
      <c r="O1275" s="47" t="n"/>
      <c r="P1275" s="47" t="n"/>
      <c r="Q1275" s="47" t="n"/>
      <c r="R1275" s="47" t="n"/>
      <c r="S1275" s="47" t="n"/>
      <c r="T1275" s="47" t="n"/>
      <c r="U1275" s="53" t="n"/>
      <c r="V1275" s="53" t="n"/>
      <c r="W1275" s="47" t="n"/>
      <c r="X1275" s="47" t="n"/>
      <c r="Y1275" s="47" t="n"/>
      <c r="Z1275" s="47" t="n"/>
      <c r="AA1275" s="47" t="n"/>
      <c r="AB1275" s="47" t="n"/>
      <c r="AC1275" s="47" t="n"/>
      <c r="AD1275" s="47" t="n"/>
      <c r="AE1275" s="47" t="n"/>
      <c r="AF1275" s="20">
        <f>IF(A1275="","",YEAR(EDATE(A1275,-3)))</f>
        <v/>
      </c>
      <c r="AG1275" s="20">
        <f>IF(OR(B1275="",'経歴簿'!$C$4=""),"",IF(B1275&amp;""='経歴簿'!$C$4&amp;"",MAX($AG$4:AG1274)+1,""))</f>
        <v/>
      </c>
      <c r="AH1275" s="20">
        <f>IF(A1275="",0,IF(AND(OR('CSV抽出'!$C$4="",A1275&gt;='CSV抽出'!$C$4),OR('CSV抽出'!$C$5="",A1275&lt;='CSV抽出'!$C$5),OR('CSV抽出'!$C$6="すべて",'CSV抽出'!$C$6="",D1275='CSV抽出'!$C$6),OR('CSV抽出'!$C$7="",B1275&amp;""='CSV抽出'!$C$7&amp;"")),1,0))</f>
        <v/>
      </c>
      <c r="AI1275" s="20">
        <f>IF(AH1275=1,SUM($AH$5:AH1275),"")</f>
        <v/>
      </c>
      <c r="AJ1275" s="20">
        <f>IF(OR(S1275="",'報告書'!$C$4=""),"",IF(S1275&amp;""='報告書'!$C$4&amp;"",COUNTIF($S$5:S1275,'報告書'!$C$4),""))</f>
        <v/>
      </c>
      <c r="AK1275" s="20" t="n"/>
      <c r="AL1275" s="47" t="n"/>
      <c r="AM1275" s="47" t="n"/>
      <c r="AN1275" s="53" t="n"/>
      <c r="AO1275" s="47" t="n"/>
      <c r="AP1275" s="47" t="n"/>
      <c r="AQ1275" s="47" t="n"/>
      <c r="AR1275" s="47" t="n"/>
      <c r="AS1275" s="47" t="n"/>
      <c r="AT1275" s="47" t="n"/>
      <c r="AU1275" s="47" t="n"/>
      <c r="AV1275" s="47" t="n"/>
      <c r="AW1275" s="52" t="n"/>
    </row>
    <row r="1276">
      <c r="A1276" s="48" t="n"/>
      <c r="B1276" s="52" t="n"/>
      <c r="C1276" s="47">
        <f>IF(B1276="","",IFERROR(INDEX('隊員マスタ'!$B$5:$B$204,MATCH(B1276&amp;"",'隊員マスタ'!$F$5:$F$204,0)),IF(AK1276="","番号なし",AK1276)))</f>
        <v/>
      </c>
      <c r="D1276" s="47" t="n"/>
      <c r="E1276" s="47" t="n"/>
      <c r="F1276" s="47" t="n"/>
      <c r="G1276" s="47" t="n"/>
      <c r="H1276" s="47" t="n"/>
      <c r="I1276" s="47" t="n"/>
      <c r="J1276" s="47" t="n"/>
      <c r="K1276" s="47" t="n"/>
      <c r="L1276" s="47" t="n"/>
      <c r="M1276" s="47" t="n"/>
      <c r="N1276" s="47" t="n"/>
      <c r="O1276" s="47" t="n"/>
      <c r="P1276" s="47" t="n"/>
      <c r="Q1276" s="47" t="n"/>
      <c r="R1276" s="47" t="n"/>
      <c r="S1276" s="47" t="n"/>
      <c r="T1276" s="47" t="n"/>
      <c r="U1276" s="53" t="n"/>
      <c r="V1276" s="53" t="n"/>
      <c r="W1276" s="47" t="n"/>
      <c r="X1276" s="47" t="n"/>
      <c r="Y1276" s="47" t="n"/>
      <c r="Z1276" s="47" t="n"/>
      <c r="AA1276" s="47" t="n"/>
      <c r="AB1276" s="47" t="n"/>
      <c r="AC1276" s="47" t="n"/>
      <c r="AD1276" s="47" t="n"/>
      <c r="AE1276" s="47" t="n"/>
      <c r="AF1276" s="20">
        <f>IF(A1276="","",YEAR(EDATE(A1276,-3)))</f>
        <v/>
      </c>
      <c r="AG1276" s="20">
        <f>IF(OR(B1276="",'経歴簿'!$C$4=""),"",IF(B1276&amp;""='経歴簿'!$C$4&amp;"",MAX($AG$4:AG1275)+1,""))</f>
        <v/>
      </c>
      <c r="AH1276" s="20">
        <f>IF(A1276="",0,IF(AND(OR('CSV抽出'!$C$4="",A1276&gt;='CSV抽出'!$C$4),OR('CSV抽出'!$C$5="",A1276&lt;='CSV抽出'!$C$5),OR('CSV抽出'!$C$6="すべて",'CSV抽出'!$C$6="",D1276='CSV抽出'!$C$6),OR('CSV抽出'!$C$7="",B1276&amp;""='CSV抽出'!$C$7&amp;"")),1,0))</f>
        <v/>
      </c>
      <c r="AI1276" s="20">
        <f>IF(AH1276=1,SUM($AH$5:AH1276),"")</f>
        <v/>
      </c>
      <c r="AJ1276" s="20">
        <f>IF(OR(S1276="",'報告書'!$C$4=""),"",IF(S1276&amp;""='報告書'!$C$4&amp;"",COUNTIF($S$5:S1276,'報告書'!$C$4),""))</f>
        <v/>
      </c>
      <c r="AK1276" s="20" t="n"/>
      <c r="AL1276" s="47" t="n"/>
      <c r="AM1276" s="47" t="n"/>
      <c r="AN1276" s="53" t="n"/>
      <c r="AO1276" s="47" t="n"/>
      <c r="AP1276" s="47" t="n"/>
      <c r="AQ1276" s="47" t="n"/>
      <c r="AR1276" s="47" t="n"/>
      <c r="AS1276" s="47" t="n"/>
      <c r="AT1276" s="47" t="n"/>
      <c r="AU1276" s="47" t="n"/>
      <c r="AV1276" s="47" t="n"/>
      <c r="AW1276" s="52" t="n"/>
    </row>
    <row r="1277">
      <c r="A1277" s="48" t="n"/>
      <c r="B1277" s="52" t="n"/>
      <c r="C1277" s="47">
        <f>IF(B1277="","",IFERROR(INDEX('隊員マスタ'!$B$5:$B$204,MATCH(B1277&amp;"",'隊員マスタ'!$F$5:$F$204,0)),IF(AK1277="","番号なし",AK1277)))</f>
        <v/>
      </c>
      <c r="D1277" s="47" t="n"/>
      <c r="E1277" s="47" t="n"/>
      <c r="F1277" s="47" t="n"/>
      <c r="G1277" s="47" t="n"/>
      <c r="H1277" s="47" t="n"/>
      <c r="I1277" s="47" t="n"/>
      <c r="J1277" s="47" t="n"/>
      <c r="K1277" s="47" t="n"/>
      <c r="L1277" s="47" t="n"/>
      <c r="M1277" s="47" t="n"/>
      <c r="N1277" s="47" t="n"/>
      <c r="O1277" s="47" t="n"/>
      <c r="P1277" s="47" t="n"/>
      <c r="Q1277" s="47" t="n"/>
      <c r="R1277" s="47" t="n"/>
      <c r="S1277" s="47" t="n"/>
      <c r="T1277" s="47" t="n"/>
      <c r="U1277" s="53" t="n"/>
      <c r="V1277" s="53" t="n"/>
      <c r="W1277" s="47" t="n"/>
      <c r="X1277" s="47" t="n"/>
      <c r="Y1277" s="47" t="n"/>
      <c r="Z1277" s="47" t="n"/>
      <c r="AA1277" s="47" t="n"/>
      <c r="AB1277" s="47" t="n"/>
      <c r="AC1277" s="47" t="n"/>
      <c r="AD1277" s="47" t="n"/>
      <c r="AE1277" s="47" t="n"/>
      <c r="AF1277" s="20">
        <f>IF(A1277="","",YEAR(EDATE(A1277,-3)))</f>
        <v/>
      </c>
      <c r="AG1277" s="20">
        <f>IF(OR(B1277="",'経歴簿'!$C$4=""),"",IF(B1277&amp;""='経歴簿'!$C$4&amp;"",MAX($AG$4:AG1276)+1,""))</f>
        <v/>
      </c>
      <c r="AH1277" s="20">
        <f>IF(A1277="",0,IF(AND(OR('CSV抽出'!$C$4="",A1277&gt;='CSV抽出'!$C$4),OR('CSV抽出'!$C$5="",A1277&lt;='CSV抽出'!$C$5),OR('CSV抽出'!$C$6="すべて",'CSV抽出'!$C$6="",D1277='CSV抽出'!$C$6),OR('CSV抽出'!$C$7="",B1277&amp;""='CSV抽出'!$C$7&amp;"")),1,0))</f>
        <v/>
      </c>
      <c r="AI1277" s="20">
        <f>IF(AH1277=1,SUM($AH$5:AH1277),"")</f>
        <v/>
      </c>
      <c r="AJ1277" s="20">
        <f>IF(OR(S1277="",'報告書'!$C$4=""),"",IF(S1277&amp;""='報告書'!$C$4&amp;"",COUNTIF($S$5:S1277,'報告書'!$C$4),""))</f>
        <v/>
      </c>
      <c r="AK1277" s="20" t="n"/>
      <c r="AL1277" s="47" t="n"/>
      <c r="AM1277" s="47" t="n"/>
      <c r="AN1277" s="53" t="n"/>
      <c r="AO1277" s="47" t="n"/>
      <c r="AP1277" s="47" t="n"/>
      <c r="AQ1277" s="47" t="n"/>
      <c r="AR1277" s="47" t="n"/>
      <c r="AS1277" s="47" t="n"/>
      <c r="AT1277" s="47" t="n"/>
      <c r="AU1277" s="47" t="n"/>
      <c r="AV1277" s="47" t="n"/>
      <c r="AW1277" s="52" t="n"/>
    </row>
    <row r="1278">
      <c r="A1278" s="48" t="n"/>
      <c r="B1278" s="52" t="n"/>
      <c r="C1278" s="47">
        <f>IF(B1278="","",IFERROR(INDEX('隊員マスタ'!$B$5:$B$204,MATCH(B1278&amp;"",'隊員マスタ'!$F$5:$F$204,0)),IF(AK1278="","番号なし",AK1278)))</f>
        <v/>
      </c>
      <c r="D1278" s="47" t="n"/>
      <c r="E1278" s="47" t="n"/>
      <c r="F1278" s="47" t="n"/>
      <c r="G1278" s="47" t="n"/>
      <c r="H1278" s="47" t="n"/>
      <c r="I1278" s="47" t="n"/>
      <c r="J1278" s="47" t="n"/>
      <c r="K1278" s="47" t="n"/>
      <c r="L1278" s="47" t="n"/>
      <c r="M1278" s="47" t="n"/>
      <c r="N1278" s="47" t="n"/>
      <c r="O1278" s="47" t="n"/>
      <c r="P1278" s="47" t="n"/>
      <c r="Q1278" s="47" t="n"/>
      <c r="R1278" s="47" t="n"/>
      <c r="S1278" s="47" t="n"/>
      <c r="T1278" s="47" t="n"/>
      <c r="U1278" s="53" t="n"/>
      <c r="V1278" s="53" t="n"/>
      <c r="W1278" s="47" t="n"/>
      <c r="X1278" s="47" t="n"/>
      <c r="Y1278" s="47" t="n"/>
      <c r="Z1278" s="47" t="n"/>
      <c r="AA1278" s="47" t="n"/>
      <c r="AB1278" s="47" t="n"/>
      <c r="AC1278" s="47" t="n"/>
      <c r="AD1278" s="47" t="n"/>
      <c r="AE1278" s="47" t="n"/>
      <c r="AF1278" s="20">
        <f>IF(A1278="","",YEAR(EDATE(A1278,-3)))</f>
        <v/>
      </c>
      <c r="AG1278" s="20">
        <f>IF(OR(B1278="",'経歴簿'!$C$4=""),"",IF(B1278&amp;""='経歴簿'!$C$4&amp;"",MAX($AG$4:AG1277)+1,""))</f>
        <v/>
      </c>
      <c r="AH1278" s="20">
        <f>IF(A1278="",0,IF(AND(OR('CSV抽出'!$C$4="",A1278&gt;='CSV抽出'!$C$4),OR('CSV抽出'!$C$5="",A1278&lt;='CSV抽出'!$C$5),OR('CSV抽出'!$C$6="すべて",'CSV抽出'!$C$6="",D1278='CSV抽出'!$C$6),OR('CSV抽出'!$C$7="",B1278&amp;""='CSV抽出'!$C$7&amp;"")),1,0))</f>
        <v/>
      </c>
      <c r="AI1278" s="20">
        <f>IF(AH1278=1,SUM($AH$5:AH1278),"")</f>
        <v/>
      </c>
      <c r="AJ1278" s="20">
        <f>IF(OR(S1278="",'報告書'!$C$4=""),"",IF(S1278&amp;""='報告書'!$C$4&amp;"",COUNTIF($S$5:S1278,'報告書'!$C$4),""))</f>
        <v/>
      </c>
      <c r="AK1278" s="20" t="n"/>
      <c r="AL1278" s="47" t="n"/>
      <c r="AM1278" s="47" t="n"/>
      <c r="AN1278" s="53" t="n"/>
      <c r="AO1278" s="47" t="n"/>
      <c r="AP1278" s="47" t="n"/>
      <c r="AQ1278" s="47" t="n"/>
      <c r="AR1278" s="47" t="n"/>
      <c r="AS1278" s="47" t="n"/>
      <c r="AT1278" s="47" t="n"/>
      <c r="AU1278" s="47" t="n"/>
      <c r="AV1278" s="47" t="n"/>
      <c r="AW1278" s="52" t="n"/>
    </row>
    <row r="1279">
      <c r="A1279" s="48" t="n"/>
      <c r="B1279" s="52" t="n"/>
      <c r="C1279" s="47">
        <f>IF(B1279="","",IFERROR(INDEX('隊員マスタ'!$B$5:$B$204,MATCH(B1279&amp;"",'隊員マスタ'!$F$5:$F$204,0)),IF(AK1279="","番号なし",AK1279)))</f>
        <v/>
      </c>
      <c r="D1279" s="47" t="n"/>
      <c r="E1279" s="47" t="n"/>
      <c r="F1279" s="47" t="n"/>
      <c r="G1279" s="47" t="n"/>
      <c r="H1279" s="47" t="n"/>
      <c r="I1279" s="47" t="n"/>
      <c r="J1279" s="47" t="n"/>
      <c r="K1279" s="47" t="n"/>
      <c r="L1279" s="47" t="n"/>
      <c r="M1279" s="47" t="n"/>
      <c r="N1279" s="47" t="n"/>
      <c r="O1279" s="47" t="n"/>
      <c r="P1279" s="47" t="n"/>
      <c r="Q1279" s="47" t="n"/>
      <c r="R1279" s="47" t="n"/>
      <c r="S1279" s="47" t="n"/>
      <c r="T1279" s="47" t="n"/>
      <c r="U1279" s="53" t="n"/>
      <c r="V1279" s="53" t="n"/>
      <c r="W1279" s="47" t="n"/>
      <c r="X1279" s="47" t="n"/>
      <c r="Y1279" s="47" t="n"/>
      <c r="Z1279" s="47" t="n"/>
      <c r="AA1279" s="47" t="n"/>
      <c r="AB1279" s="47" t="n"/>
      <c r="AC1279" s="47" t="n"/>
      <c r="AD1279" s="47" t="n"/>
      <c r="AE1279" s="47" t="n"/>
      <c r="AF1279" s="20">
        <f>IF(A1279="","",YEAR(EDATE(A1279,-3)))</f>
        <v/>
      </c>
      <c r="AG1279" s="20">
        <f>IF(OR(B1279="",'経歴簿'!$C$4=""),"",IF(B1279&amp;""='経歴簿'!$C$4&amp;"",MAX($AG$4:AG1278)+1,""))</f>
        <v/>
      </c>
      <c r="AH1279" s="20">
        <f>IF(A1279="",0,IF(AND(OR('CSV抽出'!$C$4="",A1279&gt;='CSV抽出'!$C$4),OR('CSV抽出'!$C$5="",A1279&lt;='CSV抽出'!$C$5),OR('CSV抽出'!$C$6="すべて",'CSV抽出'!$C$6="",D1279='CSV抽出'!$C$6),OR('CSV抽出'!$C$7="",B1279&amp;""='CSV抽出'!$C$7&amp;"")),1,0))</f>
        <v/>
      </c>
      <c r="AI1279" s="20">
        <f>IF(AH1279=1,SUM($AH$5:AH1279),"")</f>
        <v/>
      </c>
      <c r="AJ1279" s="20">
        <f>IF(OR(S1279="",'報告書'!$C$4=""),"",IF(S1279&amp;""='報告書'!$C$4&amp;"",COUNTIF($S$5:S1279,'報告書'!$C$4),""))</f>
        <v/>
      </c>
      <c r="AK1279" s="20" t="n"/>
      <c r="AL1279" s="47" t="n"/>
      <c r="AM1279" s="47" t="n"/>
      <c r="AN1279" s="53" t="n"/>
      <c r="AO1279" s="47" t="n"/>
      <c r="AP1279" s="47" t="n"/>
      <c r="AQ1279" s="47" t="n"/>
      <c r="AR1279" s="47" t="n"/>
      <c r="AS1279" s="47" t="n"/>
      <c r="AT1279" s="47" t="n"/>
      <c r="AU1279" s="47" t="n"/>
      <c r="AV1279" s="47" t="n"/>
      <c r="AW1279" s="52" t="n"/>
    </row>
    <row r="1280">
      <c r="A1280" s="48" t="n"/>
      <c r="B1280" s="52" t="n"/>
      <c r="C1280" s="47">
        <f>IF(B1280="","",IFERROR(INDEX('隊員マスタ'!$B$5:$B$204,MATCH(B1280&amp;"",'隊員マスタ'!$F$5:$F$204,0)),IF(AK1280="","番号なし",AK1280)))</f>
        <v/>
      </c>
      <c r="D1280" s="47" t="n"/>
      <c r="E1280" s="47" t="n"/>
      <c r="F1280" s="47" t="n"/>
      <c r="G1280" s="47" t="n"/>
      <c r="H1280" s="47" t="n"/>
      <c r="I1280" s="47" t="n"/>
      <c r="J1280" s="47" t="n"/>
      <c r="K1280" s="47" t="n"/>
      <c r="L1280" s="47" t="n"/>
      <c r="M1280" s="47" t="n"/>
      <c r="N1280" s="47" t="n"/>
      <c r="O1280" s="47" t="n"/>
      <c r="P1280" s="47" t="n"/>
      <c r="Q1280" s="47" t="n"/>
      <c r="R1280" s="47" t="n"/>
      <c r="S1280" s="47" t="n"/>
      <c r="T1280" s="47" t="n"/>
      <c r="U1280" s="53" t="n"/>
      <c r="V1280" s="53" t="n"/>
      <c r="W1280" s="47" t="n"/>
      <c r="X1280" s="47" t="n"/>
      <c r="Y1280" s="47" t="n"/>
      <c r="Z1280" s="47" t="n"/>
      <c r="AA1280" s="47" t="n"/>
      <c r="AB1280" s="47" t="n"/>
      <c r="AC1280" s="47" t="n"/>
      <c r="AD1280" s="47" t="n"/>
      <c r="AE1280" s="47" t="n"/>
      <c r="AF1280" s="20">
        <f>IF(A1280="","",YEAR(EDATE(A1280,-3)))</f>
        <v/>
      </c>
      <c r="AG1280" s="20">
        <f>IF(OR(B1280="",'経歴簿'!$C$4=""),"",IF(B1280&amp;""='経歴簿'!$C$4&amp;"",MAX($AG$4:AG1279)+1,""))</f>
        <v/>
      </c>
      <c r="AH1280" s="20">
        <f>IF(A1280="",0,IF(AND(OR('CSV抽出'!$C$4="",A1280&gt;='CSV抽出'!$C$4),OR('CSV抽出'!$C$5="",A1280&lt;='CSV抽出'!$C$5),OR('CSV抽出'!$C$6="すべて",'CSV抽出'!$C$6="",D1280='CSV抽出'!$C$6),OR('CSV抽出'!$C$7="",B1280&amp;""='CSV抽出'!$C$7&amp;"")),1,0))</f>
        <v/>
      </c>
      <c r="AI1280" s="20">
        <f>IF(AH1280=1,SUM($AH$5:AH1280),"")</f>
        <v/>
      </c>
      <c r="AJ1280" s="20">
        <f>IF(OR(S1280="",'報告書'!$C$4=""),"",IF(S1280&amp;""='報告書'!$C$4&amp;"",COUNTIF($S$5:S1280,'報告書'!$C$4),""))</f>
        <v/>
      </c>
      <c r="AK1280" s="20" t="n"/>
      <c r="AL1280" s="47" t="n"/>
      <c r="AM1280" s="47" t="n"/>
      <c r="AN1280" s="53" t="n"/>
      <c r="AO1280" s="47" t="n"/>
      <c r="AP1280" s="47" t="n"/>
      <c r="AQ1280" s="47" t="n"/>
      <c r="AR1280" s="47" t="n"/>
      <c r="AS1280" s="47" t="n"/>
      <c r="AT1280" s="47" t="n"/>
      <c r="AU1280" s="47" t="n"/>
      <c r="AV1280" s="47" t="n"/>
      <c r="AW1280" s="52" t="n"/>
    </row>
    <row r="1281">
      <c r="A1281" s="48" t="n"/>
      <c r="B1281" s="52" t="n"/>
      <c r="C1281" s="47">
        <f>IF(B1281="","",IFERROR(INDEX('隊員マスタ'!$B$5:$B$204,MATCH(B1281&amp;"",'隊員マスタ'!$F$5:$F$204,0)),IF(AK1281="","番号なし",AK1281)))</f>
        <v/>
      </c>
      <c r="D1281" s="47" t="n"/>
      <c r="E1281" s="47" t="n"/>
      <c r="F1281" s="47" t="n"/>
      <c r="G1281" s="47" t="n"/>
      <c r="H1281" s="47" t="n"/>
      <c r="I1281" s="47" t="n"/>
      <c r="J1281" s="47" t="n"/>
      <c r="K1281" s="47" t="n"/>
      <c r="L1281" s="47" t="n"/>
      <c r="M1281" s="47" t="n"/>
      <c r="N1281" s="47" t="n"/>
      <c r="O1281" s="47" t="n"/>
      <c r="P1281" s="47" t="n"/>
      <c r="Q1281" s="47" t="n"/>
      <c r="R1281" s="47" t="n"/>
      <c r="S1281" s="47" t="n"/>
      <c r="T1281" s="47" t="n"/>
      <c r="U1281" s="53" t="n"/>
      <c r="V1281" s="53" t="n"/>
      <c r="W1281" s="47" t="n"/>
      <c r="X1281" s="47" t="n"/>
      <c r="Y1281" s="47" t="n"/>
      <c r="Z1281" s="47" t="n"/>
      <c r="AA1281" s="47" t="n"/>
      <c r="AB1281" s="47" t="n"/>
      <c r="AC1281" s="47" t="n"/>
      <c r="AD1281" s="47" t="n"/>
      <c r="AE1281" s="47" t="n"/>
      <c r="AF1281" s="20">
        <f>IF(A1281="","",YEAR(EDATE(A1281,-3)))</f>
        <v/>
      </c>
      <c r="AG1281" s="20">
        <f>IF(OR(B1281="",'経歴簿'!$C$4=""),"",IF(B1281&amp;""='経歴簿'!$C$4&amp;"",MAX($AG$4:AG1280)+1,""))</f>
        <v/>
      </c>
      <c r="AH1281" s="20">
        <f>IF(A1281="",0,IF(AND(OR('CSV抽出'!$C$4="",A1281&gt;='CSV抽出'!$C$4),OR('CSV抽出'!$C$5="",A1281&lt;='CSV抽出'!$C$5),OR('CSV抽出'!$C$6="すべて",'CSV抽出'!$C$6="",D1281='CSV抽出'!$C$6),OR('CSV抽出'!$C$7="",B1281&amp;""='CSV抽出'!$C$7&amp;"")),1,0))</f>
        <v/>
      </c>
      <c r="AI1281" s="20">
        <f>IF(AH1281=1,SUM($AH$5:AH1281),"")</f>
        <v/>
      </c>
      <c r="AJ1281" s="20">
        <f>IF(OR(S1281="",'報告書'!$C$4=""),"",IF(S1281&amp;""='報告書'!$C$4&amp;"",COUNTIF($S$5:S1281,'報告書'!$C$4),""))</f>
        <v/>
      </c>
      <c r="AK1281" s="20" t="n"/>
      <c r="AL1281" s="47" t="n"/>
      <c r="AM1281" s="47" t="n"/>
      <c r="AN1281" s="53" t="n"/>
      <c r="AO1281" s="47" t="n"/>
      <c r="AP1281" s="47" t="n"/>
      <c r="AQ1281" s="47" t="n"/>
      <c r="AR1281" s="47" t="n"/>
      <c r="AS1281" s="47" t="n"/>
      <c r="AT1281" s="47" t="n"/>
      <c r="AU1281" s="47" t="n"/>
      <c r="AV1281" s="47" t="n"/>
      <c r="AW1281" s="52" t="n"/>
    </row>
    <row r="1282">
      <c r="A1282" s="48" t="n"/>
      <c r="B1282" s="52" t="n"/>
      <c r="C1282" s="47">
        <f>IF(B1282="","",IFERROR(INDEX('隊員マスタ'!$B$5:$B$204,MATCH(B1282&amp;"",'隊員マスタ'!$F$5:$F$204,0)),IF(AK1282="","番号なし",AK1282)))</f>
        <v/>
      </c>
      <c r="D1282" s="47" t="n"/>
      <c r="E1282" s="47" t="n"/>
      <c r="F1282" s="47" t="n"/>
      <c r="G1282" s="47" t="n"/>
      <c r="H1282" s="47" t="n"/>
      <c r="I1282" s="47" t="n"/>
      <c r="J1282" s="47" t="n"/>
      <c r="K1282" s="47" t="n"/>
      <c r="L1282" s="47" t="n"/>
      <c r="M1282" s="47" t="n"/>
      <c r="N1282" s="47" t="n"/>
      <c r="O1282" s="47" t="n"/>
      <c r="P1282" s="47" t="n"/>
      <c r="Q1282" s="47" t="n"/>
      <c r="R1282" s="47" t="n"/>
      <c r="S1282" s="47" t="n"/>
      <c r="T1282" s="47" t="n"/>
      <c r="U1282" s="53" t="n"/>
      <c r="V1282" s="53" t="n"/>
      <c r="W1282" s="47" t="n"/>
      <c r="X1282" s="47" t="n"/>
      <c r="Y1282" s="47" t="n"/>
      <c r="Z1282" s="47" t="n"/>
      <c r="AA1282" s="47" t="n"/>
      <c r="AB1282" s="47" t="n"/>
      <c r="AC1282" s="47" t="n"/>
      <c r="AD1282" s="47" t="n"/>
      <c r="AE1282" s="47" t="n"/>
      <c r="AF1282" s="20">
        <f>IF(A1282="","",YEAR(EDATE(A1282,-3)))</f>
        <v/>
      </c>
      <c r="AG1282" s="20">
        <f>IF(OR(B1282="",'経歴簿'!$C$4=""),"",IF(B1282&amp;""='経歴簿'!$C$4&amp;"",MAX($AG$4:AG1281)+1,""))</f>
        <v/>
      </c>
      <c r="AH1282" s="20">
        <f>IF(A1282="",0,IF(AND(OR('CSV抽出'!$C$4="",A1282&gt;='CSV抽出'!$C$4),OR('CSV抽出'!$C$5="",A1282&lt;='CSV抽出'!$C$5),OR('CSV抽出'!$C$6="すべて",'CSV抽出'!$C$6="",D1282='CSV抽出'!$C$6),OR('CSV抽出'!$C$7="",B1282&amp;""='CSV抽出'!$C$7&amp;"")),1,0))</f>
        <v/>
      </c>
      <c r="AI1282" s="20">
        <f>IF(AH1282=1,SUM($AH$5:AH1282),"")</f>
        <v/>
      </c>
      <c r="AJ1282" s="20">
        <f>IF(OR(S1282="",'報告書'!$C$4=""),"",IF(S1282&amp;""='報告書'!$C$4&amp;"",COUNTIF($S$5:S1282,'報告書'!$C$4),""))</f>
        <v/>
      </c>
      <c r="AK1282" s="20" t="n"/>
      <c r="AL1282" s="47" t="n"/>
      <c r="AM1282" s="47" t="n"/>
      <c r="AN1282" s="53" t="n"/>
      <c r="AO1282" s="47" t="n"/>
      <c r="AP1282" s="47" t="n"/>
      <c r="AQ1282" s="47" t="n"/>
      <c r="AR1282" s="47" t="n"/>
      <c r="AS1282" s="47" t="n"/>
      <c r="AT1282" s="47" t="n"/>
      <c r="AU1282" s="47" t="n"/>
      <c r="AV1282" s="47" t="n"/>
      <c r="AW1282" s="52" t="n"/>
    </row>
    <row r="1283">
      <c r="A1283" s="48" t="n"/>
      <c r="B1283" s="52" t="n"/>
      <c r="C1283" s="47">
        <f>IF(B1283="","",IFERROR(INDEX('隊員マスタ'!$B$5:$B$204,MATCH(B1283&amp;"",'隊員マスタ'!$F$5:$F$204,0)),IF(AK1283="","番号なし",AK1283)))</f>
        <v/>
      </c>
      <c r="D1283" s="47" t="n"/>
      <c r="E1283" s="47" t="n"/>
      <c r="F1283" s="47" t="n"/>
      <c r="G1283" s="47" t="n"/>
      <c r="H1283" s="47" t="n"/>
      <c r="I1283" s="47" t="n"/>
      <c r="J1283" s="47" t="n"/>
      <c r="K1283" s="47" t="n"/>
      <c r="L1283" s="47" t="n"/>
      <c r="M1283" s="47" t="n"/>
      <c r="N1283" s="47" t="n"/>
      <c r="O1283" s="47" t="n"/>
      <c r="P1283" s="47" t="n"/>
      <c r="Q1283" s="47" t="n"/>
      <c r="R1283" s="47" t="n"/>
      <c r="S1283" s="47" t="n"/>
      <c r="T1283" s="47" t="n"/>
      <c r="U1283" s="53" t="n"/>
      <c r="V1283" s="53" t="n"/>
      <c r="W1283" s="47" t="n"/>
      <c r="X1283" s="47" t="n"/>
      <c r="Y1283" s="47" t="n"/>
      <c r="Z1283" s="47" t="n"/>
      <c r="AA1283" s="47" t="n"/>
      <c r="AB1283" s="47" t="n"/>
      <c r="AC1283" s="47" t="n"/>
      <c r="AD1283" s="47" t="n"/>
      <c r="AE1283" s="47" t="n"/>
      <c r="AF1283" s="20">
        <f>IF(A1283="","",YEAR(EDATE(A1283,-3)))</f>
        <v/>
      </c>
      <c r="AG1283" s="20">
        <f>IF(OR(B1283="",'経歴簿'!$C$4=""),"",IF(B1283&amp;""='経歴簿'!$C$4&amp;"",MAX($AG$4:AG1282)+1,""))</f>
        <v/>
      </c>
      <c r="AH1283" s="20">
        <f>IF(A1283="",0,IF(AND(OR('CSV抽出'!$C$4="",A1283&gt;='CSV抽出'!$C$4),OR('CSV抽出'!$C$5="",A1283&lt;='CSV抽出'!$C$5),OR('CSV抽出'!$C$6="すべて",'CSV抽出'!$C$6="",D1283='CSV抽出'!$C$6),OR('CSV抽出'!$C$7="",B1283&amp;""='CSV抽出'!$C$7&amp;"")),1,0))</f>
        <v/>
      </c>
      <c r="AI1283" s="20">
        <f>IF(AH1283=1,SUM($AH$5:AH1283),"")</f>
        <v/>
      </c>
      <c r="AJ1283" s="20">
        <f>IF(OR(S1283="",'報告書'!$C$4=""),"",IF(S1283&amp;""='報告書'!$C$4&amp;"",COUNTIF($S$5:S1283,'報告書'!$C$4),""))</f>
        <v/>
      </c>
      <c r="AK1283" s="20" t="n"/>
      <c r="AL1283" s="47" t="n"/>
      <c r="AM1283" s="47" t="n"/>
      <c r="AN1283" s="53" t="n"/>
      <c r="AO1283" s="47" t="n"/>
      <c r="AP1283" s="47" t="n"/>
      <c r="AQ1283" s="47" t="n"/>
      <c r="AR1283" s="47" t="n"/>
      <c r="AS1283" s="47" t="n"/>
      <c r="AT1283" s="47" t="n"/>
      <c r="AU1283" s="47" t="n"/>
      <c r="AV1283" s="47" t="n"/>
      <c r="AW1283" s="52" t="n"/>
    </row>
    <row r="1284">
      <c r="A1284" s="48" t="n"/>
      <c r="B1284" s="52" t="n"/>
      <c r="C1284" s="47">
        <f>IF(B1284="","",IFERROR(INDEX('隊員マスタ'!$B$5:$B$204,MATCH(B1284&amp;"",'隊員マスタ'!$F$5:$F$204,0)),IF(AK1284="","番号なし",AK1284)))</f>
        <v/>
      </c>
      <c r="D1284" s="47" t="n"/>
      <c r="E1284" s="47" t="n"/>
      <c r="F1284" s="47" t="n"/>
      <c r="G1284" s="47" t="n"/>
      <c r="H1284" s="47" t="n"/>
      <c r="I1284" s="47" t="n"/>
      <c r="J1284" s="47" t="n"/>
      <c r="K1284" s="47" t="n"/>
      <c r="L1284" s="47" t="n"/>
      <c r="M1284" s="47" t="n"/>
      <c r="N1284" s="47" t="n"/>
      <c r="O1284" s="47" t="n"/>
      <c r="P1284" s="47" t="n"/>
      <c r="Q1284" s="47" t="n"/>
      <c r="R1284" s="47" t="n"/>
      <c r="S1284" s="47" t="n"/>
      <c r="T1284" s="47" t="n"/>
      <c r="U1284" s="53" t="n"/>
      <c r="V1284" s="53" t="n"/>
      <c r="W1284" s="47" t="n"/>
      <c r="X1284" s="47" t="n"/>
      <c r="Y1284" s="47" t="n"/>
      <c r="Z1284" s="47" t="n"/>
      <c r="AA1284" s="47" t="n"/>
      <c r="AB1284" s="47" t="n"/>
      <c r="AC1284" s="47" t="n"/>
      <c r="AD1284" s="47" t="n"/>
      <c r="AE1284" s="47" t="n"/>
      <c r="AF1284" s="20">
        <f>IF(A1284="","",YEAR(EDATE(A1284,-3)))</f>
        <v/>
      </c>
      <c r="AG1284" s="20">
        <f>IF(OR(B1284="",'経歴簿'!$C$4=""),"",IF(B1284&amp;""='経歴簿'!$C$4&amp;"",MAX($AG$4:AG1283)+1,""))</f>
        <v/>
      </c>
      <c r="AH1284" s="20">
        <f>IF(A1284="",0,IF(AND(OR('CSV抽出'!$C$4="",A1284&gt;='CSV抽出'!$C$4),OR('CSV抽出'!$C$5="",A1284&lt;='CSV抽出'!$C$5),OR('CSV抽出'!$C$6="すべて",'CSV抽出'!$C$6="",D1284='CSV抽出'!$C$6),OR('CSV抽出'!$C$7="",B1284&amp;""='CSV抽出'!$C$7&amp;"")),1,0))</f>
        <v/>
      </c>
      <c r="AI1284" s="20">
        <f>IF(AH1284=1,SUM($AH$5:AH1284),"")</f>
        <v/>
      </c>
      <c r="AJ1284" s="20">
        <f>IF(OR(S1284="",'報告書'!$C$4=""),"",IF(S1284&amp;""='報告書'!$C$4&amp;"",COUNTIF($S$5:S1284,'報告書'!$C$4),""))</f>
        <v/>
      </c>
      <c r="AK1284" s="20" t="n"/>
      <c r="AL1284" s="47" t="n"/>
      <c r="AM1284" s="47" t="n"/>
      <c r="AN1284" s="53" t="n"/>
      <c r="AO1284" s="47" t="n"/>
      <c r="AP1284" s="47" t="n"/>
      <c r="AQ1284" s="47" t="n"/>
      <c r="AR1284" s="47" t="n"/>
      <c r="AS1284" s="47" t="n"/>
      <c r="AT1284" s="47" t="n"/>
      <c r="AU1284" s="47" t="n"/>
      <c r="AV1284" s="47" t="n"/>
      <c r="AW1284" s="52" t="n"/>
    </row>
    <row r="1285">
      <c r="A1285" s="48" t="n"/>
      <c r="B1285" s="52" t="n"/>
      <c r="C1285" s="47">
        <f>IF(B1285="","",IFERROR(INDEX('隊員マスタ'!$B$5:$B$204,MATCH(B1285&amp;"",'隊員マスタ'!$F$5:$F$204,0)),IF(AK1285="","番号なし",AK1285)))</f>
        <v/>
      </c>
      <c r="D1285" s="47" t="n"/>
      <c r="E1285" s="47" t="n"/>
      <c r="F1285" s="47" t="n"/>
      <c r="G1285" s="47" t="n"/>
      <c r="H1285" s="47" t="n"/>
      <c r="I1285" s="47" t="n"/>
      <c r="J1285" s="47" t="n"/>
      <c r="K1285" s="47" t="n"/>
      <c r="L1285" s="47" t="n"/>
      <c r="M1285" s="47" t="n"/>
      <c r="N1285" s="47" t="n"/>
      <c r="O1285" s="47" t="n"/>
      <c r="P1285" s="47" t="n"/>
      <c r="Q1285" s="47" t="n"/>
      <c r="R1285" s="47" t="n"/>
      <c r="S1285" s="47" t="n"/>
      <c r="T1285" s="47" t="n"/>
      <c r="U1285" s="53" t="n"/>
      <c r="V1285" s="53" t="n"/>
      <c r="W1285" s="47" t="n"/>
      <c r="X1285" s="47" t="n"/>
      <c r="Y1285" s="47" t="n"/>
      <c r="Z1285" s="47" t="n"/>
      <c r="AA1285" s="47" t="n"/>
      <c r="AB1285" s="47" t="n"/>
      <c r="AC1285" s="47" t="n"/>
      <c r="AD1285" s="47" t="n"/>
      <c r="AE1285" s="47" t="n"/>
      <c r="AF1285" s="20">
        <f>IF(A1285="","",YEAR(EDATE(A1285,-3)))</f>
        <v/>
      </c>
      <c r="AG1285" s="20">
        <f>IF(OR(B1285="",'経歴簿'!$C$4=""),"",IF(B1285&amp;""='経歴簿'!$C$4&amp;"",MAX($AG$4:AG1284)+1,""))</f>
        <v/>
      </c>
      <c r="AH1285" s="20">
        <f>IF(A1285="",0,IF(AND(OR('CSV抽出'!$C$4="",A1285&gt;='CSV抽出'!$C$4),OR('CSV抽出'!$C$5="",A1285&lt;='CSV抽出'!$C$5),OR('CSV抽出'!$C$6="すべて",'CSV抽出'!$C$6="",D1285='CSV抽出'!$C$6),OR('CSV抽出'!$C$7="",B1285&amp;""='CSV抽出'!$C$7&amp;"")),1,0))</f>
        <v/>
      </c>
      <c r="AI1285" s="20">
        <f>IF(AH1285=1,SUM($AH$5:AH1285),"")</f>
        <v/>
      </c>
      <c r="AJ1285" s="20">
        <f>IF(OR(S1285="",'報告書'!$C$4=""),"",IF(S1285&amp;""='報告書'!$C$4&amp;"",COUNTIF($S$5:S1285,'報告書'!$C$4),""))</f>
        <v/>
      </c>
      <c r="AK1285" s="20" t="n"/>
      <c r="AL1285" s="47" t="n"/>
      <c r="AM1285" s="47" t="n"/>
      <c r="AN1285" s="53" t="n"/>
      <c r="AO1285" s="47" t="n"/>
      <c r="AP1285" s="47" t="n"/>
      <c r="AQ1285" s="47" t="n"/>
      <c r="AR1285" s="47" t="n"/>
      <c r="AS1285" s="47" t="n"/>
      <c r="AT1285" s="47" t="n"/>
      <c r="AU1285" s="47" t="n"/>
      <c r="AV1285" s="47" t="n"/>
      <c r="AW1285" s="52" t="n"/>
    </row>
    <row r="1286">
      <c r="A1286" s="48" t="n"/>
      <c r="B1286" s="52" t="n"/>
      <c r="C1286" s="47">
        <f>IF(B1286="","",IFERROR(INDEX('隊員マスタ'!$B$5:$B$204,MATCH(B1286&amp;"",'隊員マスタ'!$F$5:$F$204,0)),IF(AK1286="","番号なし",AK1286)))</f>
        <v/>
      </c>
      <c r="D1286" s="47" t="n"/>
      <c r="E1286" s="47" t="n"/>
      <c r="F1286" s="47" t="n"/>
      <c r="G1286" s="47" t="n"/>
      <c r="H1286" s="47" t="n"/>
      <c r="I1286" s="47" t="n"/>
      <c r="J1286" s="47" t="n"/>
      <c r="K1286" s="47" t="n"/>
      <c r="L1286" s="47" t="n"/>
      <c r="M1286" s="47" t="n"/>
      <c r="N1286" s="47" t="n"/>
      <c r="O1286" s="47" t="n"/>
      <c r="P1286" s="47" t="n"/>
      <c r="Q1286" s="47" t="n"/>
      <c r="R1286" s="47" t="n"/>
      <c r="S1286" s="47" t="n"/>
      <c r="T1286" s="47" t="n"/>
      <c r="U1286" s="53" t="n"/>
      <c r="V1286" s="53" t="n"/>
      <c r="W1286" s="47" t="n"/>
      <c r="X1286" s="47" t="n"/>
      <c r="Y1286" s="47" t="n"/>
      <c r="Z1286" s="47" t="n"/>
      <c r="AA1286" s="47" t="n"/>
      <c r="AB1286" s="47" t="n"/>
      <c r="AC1286" s="47" t="n"/>
      <c r="AD1286" s="47" t="n"/>
      <c r="AE1286" s="47" t="n"/>
      <c r="AF1286" s="20">
        <f>IF(A1286="","",YEAR(EDATE(A1286,-3)))</f>
        <v/>
      </c>
      <c r="AG1286" s="20">
        <f>IF(OR(B1286="",'経歴簿'!$C$4=""),"",IF(B1286&amp;""='経歴簿'!$C$4&amp;"",MAX($AG$4:AG1285)+1,""))</f>
        <v/>
      </c>
      <c r="AH1286" s="20">
        <f>IF(A1286="",0,IF(AND(OR('CSV抽出'!$C$4="",A1286&gt;='CSV抽出'!$C$4),OR('CSV抽出'!$C$5="",A1286&lt;='CSV抽出'!$C$5),OR('CSV抽出'!$C$6="すべて",'CSV抽出'!$C$6="",D1286='CSV抽出'!$C$6),OR('CSV抽出'!$C$7="",B1286&amp;""='CSV抽出'!$C$7&amp;"")),1,0))</f>
        <v/>
      </c>
      <c r="AI1286" s="20">
        <f>IF(AH1286=1,SUM($AH$5:AH1286),"")</f>
        <v/>
      </c>
      <c r="AJ1286" s="20">
        <f>IF(OR(S1286="",'報告書'!$C$4=""),"",IF(S1286&amp;""='報告書'!$C$4&amp;"",COUNTIF($S$5:S1286,'報告書'!$C$4),""))</f>
        <v/>
      </c>
      <c r="AK1286" s="20" t="n"/>
      <c r="AL1286" s="47" t="n"/>
      <c r="AM1286" s="47" t="n"/>
      <c r="AN1286" s="53" t="n"/>
      <c r="AO1286" s="47" t="n"/>
      <c r="AP1286" s="47" t="n"/>
      <c r="AQ1286" s="47" t="n"/>
      <c r="AR1286" s="47" t="n"/>
      <c r="AS1286" s="47" t="n"/>
      <c r="AT1286" s="47" t="n"/>
      <c r="AU1286" s="47" t="n"/>
      <c r="AV1286" s="47" t="n"/>
      <c r="AW1286" s="52" t="n"/>
    </row>
    <row r="1287">
      <c r="A1287" s="48" t="n"/>
      <c r="B1287" s="52" t="n"/>
      <c r="C1287" s="47">
        <f>IF(B1287="","",IFERROR(INDEX('隊員マスタ'!$B$5:$B$204,MATCH(B1287&amp;"",'隊員マスタ'!$F$5:$F$204,0)),IF(AK1287="","番号なし",AK1287)))</f>
        <v/>
      </c>
      <c r="D1287" s="47" t="n"/>
      <c r="E1287" s="47" t="n"/>
      <c r="F1287" s="47" t="n"/>
      <c r="G1287" s="47" t="n"/>
      <c r="H1287" s="47" t="n"/>
      <c r="I1287" s="47" t="n"/>
      <c r="J1287" s="47" t="n"/>
      <c r="K1287" s="47" t="n"/>
      <c r="L1287" s="47" t="n"/>
      <c r="M1287" s="47" t="n"/>
      <c r="N1287" s="47" t="n"/>
      <c r="O1287" s="47" t="n"/>
      <c r="P1287" s="47" t="n"/>
      <c r="Q1287" s="47" t="n"/>
      <c r="R1287" s="47" t="n"/>
      <c r="S1287" s="47" t="n"/>
      <c r="T1287" s="47" t="n"/>
      <c r="U1287" s="53" t="n"/>
      <c r="V1287" s="53" t="n"/>
      <c r="W1287" s="47" t="n"/>
      <c r="X1287" s="47" t="n"/>
      <c r="Y1287" s="47" t="n"/>
      <c r="Z1287" s="47" t="n"/>
      <c r="AA1287" s="47" t="n"/>
      <c r="AB1287" s="47" t="n"/>
      <c r="AC1287" s="47" t="n"/>
      <c r="AD1287" s="47" t="n"/>
      <c r="AE1287" s="47" t="n"/>
      <c r="AF1287" s="20">
        <f>IF(A1287="","",YEAR(EDATE(A1287,-3)))</f>
        <v/>
      </c>
      <c r="AG1287" s="20">
        <f>IF(OR(B1287="",'経歴簿'!$C$4=""),"",IF(B1287&amp;""='経歴簿'!$C$4&amp;"",MAX($AG$4:AG1286)+1,""))</f>
        <v/>
      </c>
      <c r="AH1287" s="20">
        <f>IF(A1287="",0,IF(AND(OR('CSV抽出'!$C$4="",A1287&gt;='CSV抽出'!$C$4),OR('CSV抽出'!$C$5="",A1287&lt;='CSV抽出'!$C$5),OR('CSV抽出'!$C$6="すべて",'CSV抽出'!$C$6="",D1287='CSV抽出'!$C$6),OR('CSV抽出'!$C$7="",B1287&amp;""='CSV抽出'!$C$7&amp;"")),1,0))</f>
        <v/>
      </c>
      <c r="AI1287" s="20">
        <f>IF(AH1287=1,SUM($AH$5:AH1287),"")</f>
        <v/>
      </c>
      <c r="AJ1287" s="20">
        <f>IF(OR(S1287="",'報告書'!$C$4=""),"",IF(S1287&amp;""='報告書'!$C$4&amp;"",COUNTIF($S$5:S1287,'報告書'!$C$4),""))</f>
        <v/>
      </c>
      <c r="AK1287" s="20" t="n"/>
      <c r="AL1287" s="47" t="n"/>
      <c r="AM1287" s="47" t="n"/>
      <c r="AN1287" s="53" t="n"/>
      <c r="AO1287" s="47" t="n"/>
      <c r="AP1287" s="47" t="n"/>
      <c r="AQ1287" s="47" t="n"/>
      <c r="AR1287" s="47" t="n"/>
      <c r="AS1287" s="47" t="n"/>
      <c r="AT1287" s="47" t="n"/>
      <c r="AU1287" s="47" t="n"/>
      <c r="AV1287" s="47" t="n"/>
      <c r="AW1287" s="52" t="n"/>
    </row>
    <row r="1288">
      <c r="A1288" s="48" t="n"/>
      <c r="B1288" s="52" t="n"/>
      <c r="C1288" s="47">
        <f>IF(B1288="","",IFERROR(INDEX('隊員マスタ'!$B$5:$B$204,MATCH(B1288&amp;"",'隊員マスタ'!$F$5:$F$204,0)),IF(AK1288="","番号なし",AK1288)))</f>
        <v/>
      </c>
      <c r="D1288" s="47" t="n"/>
      <c r="E1288" s="47" t="n"/>
      <c r="F1288" s="47" t="n"/>
      <c r="G1288" s="47" t="n"/>
      <c r="H1288" s="47" t="n"/>
      <c r="I1288" s="47" t="n"/>
      <c r="J1288" s="47" t="n"/>
      <c r="K1288" s="47" t="n"/>
      <c r="L1288" s="47" t="n"/>
      <c r="M1288" s="47" t="n"/>
      <c r="N1288" s="47" t="n"/>
      <c r="O1288" s="47" t="n"/>
      <c r="P1288" s="47" t="n"/>
      <c r="Q1288" s="47" t="n"/>
      <c r="R1288" s="47" t="n"/>
      <c r="S1288" s="47" t="n"/>
      <c r="T1288" s="47" t="n"/>
      <c r="U1288" s="53" t="n"/>
      <c r="V1288" s="53" t="n"/>
      <c r="W1288" s="47" t="n"/>
      <c r="X1288" s="47" t="n"/>
      <c r="Y1288" s="47" t="n"/>
      <c r="Z1288" s="47" t="n"/>
      <c r="AA1288" s="47" t="n"/>
      <c r="AB1288" s="47" t="n"/>
      <c r="AC1288" s="47" t="n"/>
      <c r="AD1288" s="47" t="n"/>
      <c r="AE1288" s="47" t="n"/>
      <c r="AF1288" s="20">
        <f>IF(A1288="","",YEAR(EDATE(A1288,-3)))</f>
        <v/>
      </c>
      <c r="AG1288" s="20">
        <f>IF(OR(B1288="",'経歴簿'!$C$4=""),"",IF(B1288&amp;""='経歴簿'!$C$4&amp;"",MAX($AG$4:AG1287)+1,""))</f>
        <v/>
      </c>
      <c r="AH1288" s="20">
        <f>IF(A1288="",0,IF(AND(OR('CSV抽出'!$C$4="",A1288&gt;='CSV抽出'!$C$4),OR('CSV抽出'!$C$5="",A1288&lt;='CSV抽出'!$C$5),OR('CSV抽出'!$C$6="すべて",'CSV抽出'!$C$6="",D1288='CSV抽出'!$C$6),OR('CSV抽出'!$C$7="",B1288&amp;""='CSV抽出'!$C$7&amp;"")),1,0))</f>
        <v/>
      </c>
      <c r="AI1288" s="20">
        <f>IF(AH1288=1,SUM($AH$5:AH1288),"")</f>
        <v/>
      </c>
      <c r="AJ1288" s="20">
        <f>IF(OR(S1288="",'報告書'!$C$4=""),"",IF(S1288&amp;""='報告書'!$C$4&amp;"",COUNTIF($S$5:S1288,'報告書'!$C$4),""))</f>
        <v/>
      </c>
      <c r="AK1288" s="20" t="n"/>
      <c r="AL1288" s="47" t="n"/>
      <c r="AM1288" s="47" t="n"/>
      <c r="AN1288" s="53" t="n"/>
      <c r="AO1288" s="47" t="n"/>
      <c r="AP1288" s="47" t="n"/>
      <c r="AQ1288" s="47" t="n"/>
      <c r="AR1288" s="47" t="n"/>
      <c r="AS1288" s="47" t="n"/>
      <c r="AT1288" s="47" t="n"/>
      <c r="AU1288" s="47" t="n"/>
      <c r="AV1288" s="47" t="n"/>
      <c r="AW1288" s="52" t="n"/>
    </row>
    <row r="1289">
      <c r="A1289" s="48" t="n"/>
      <c r="B1289" s="52" t="n"/>
      <c r="C1289" s="47">
        <f>IF(B1289="","",IFERROR(INDEX('隊員マスタ'!$B$5:$B$204,MATCH(B1289&amp;"",'隊員マスタ'!$F$5:$F$204,0)),IF(AK1289="","番号なし",AK1289)))</f>
        <v/>
      </c>
      <c r="D1289" s="47" t="n"/>
      <c r="E1289" s="47" t="n"/>
      <c r="F1289" s="47" t="n"/>
      <c r="G1289" s="47" t="n"/>
      <c r="H1289" s="47" t="n"/>
      <c r="I1289" s="47" t="n"/>
      <c r="J1289" s="47" t="n"/>
      <c r="K1289" s="47" t="n"/>
      <c r="L1289" s="47" t="n"/>
      <c r="M1289" s="47" t="n"/>
      <c r="N1289" s="47" t="n"/>
      <c r="O1289" s="47" t="n"/>
      <c r="P1289" s="47" t="n"/>
      <c r="Q1289" s="47" t="n"/>
      <c r="R1289" s="47" t="n"/>
      <c r="S1289" s="47" t="n"/>
      <c r="T1289" s="47" t="n"/>
      <c r="U1289" s="53" t="n"/>
      <c r="V1289" s="53" t="n"/>
      <c r="W1289" s="47" t="n"/>
      <c r="X1289" s="47" t="n"/>
      <c r="Y1289" s="47" t="n"/>
      <c r="Z1289" s="47" t="n"/>
      <c r="AA1289" s="47" t="n"/>
      <c r="AB1289" s="47" t="n"/>
      <c r="AC1289" s="47" t="n"/>
      <c r="AD1289" s="47" t="n"/>
      <c r="AE1289" s="47" t="n"/>
      <c r="AF1289" s="20">
        <f>IF(A1289="","",YEAR(EDATE(A1289,-3)))</f>
        <v/>
      </c>
      <c r="AG1289" s="20">
        <f>IF(OR(B1289="",'経歴簿'!$C$4=""),"",IF(B1289&amp;""='経歴簿'!$C$4&amp;"",MAX($AG$4:AG1288)+1,""))</f>
        <v/>
      </c>
      <c r="AH1289" s="20">
        <f>IF(A1289="",0,IF(AND(OR('CSV抽出'!$C$4="",A1289&gt;='CSV抽出'!$C$4),OR('CSV抽出'!$C$5="",A1289&lt;='CSV抽出'!$C$5),OR('CSV抽出'!$C$6="すべて",'CSV抽出'!$C$6="",D1289='CSV抽出'!$C$6),OR('CSV抽出'!$C$7="",B1289&amp;""='CSV抽出'!$C$7&amp;"")),1,0))</f>
        <v/>
      </c>
      <c r="AI1289" s="20">
        <f>IF(AH1289=1,SUM($AH$5:AH1289),"")</f>
        <v/>
      </c>
      <c r="AJ1289" s="20">
        <f>IF(OR(S1289="",'報告書'!$C$4=""),"",IF(S1289&amp;""='報告書'!$C$4&amp;"",COUNTIF($S$5:S1289,'報告書'!$C$4),""))</f>
        <v/>
      </c>
      <c r="AK1289" s="20" t="n"/>
      <c r="AL1289" s="47" t="n"/>
      <c r="AM1289" s="47" t="n"/>
      <c r="AN1289" s="53" t="n"/>
      <c r="AO1289" s="47" t="n"/>
      <c r="AP1289" s="47" t="n"/>
      <c r="AQ1289" s="47" t="n"/>
      <c r="AR1289" s="47" t="n"/>
      <c r="AS1289" s="47" t="n"/>
      <c r="AT1289" s="47" t="n"/>
      <c r="AU1289" s="47" t="n"/>
      <c r="AV1289" s="47" t="n"/>
      <c r="AW1289" s="52" t="n"/>
    </row>
    <row r="1290">
      <c r="A1290" s="48" t="n"/>
      <c r="B1290" s="52" t="n"/>
      <c r="C1290" s="47">
        <f>IF(B1290="","",IFERROR(INDEX('隊員マスタ'!$B$5:$B$204,MATCH(B1290&amp;"",'隊員マスタ'!$F$5:$F$204,0)),IF(AK1290="","番号なし",AK1290)))</f>
        <v/>
      </c>
      <c r="D1290" s="47" t="n"/>
      <c r="E1290" s="47" t="n"/>
      <c r="F1290" s="47" t="n"/>
      <c r="G1290" s="47" t="n"/>
      <c r="H1290" s="47" t="n"/>
      <c r="I1290" s="47" t="n"/>
      <c r="J1290" s="47" t="n"/>
      <c r="K1290" s="47" t="n"/>
      <c r="L1290" s="47" t="n"/>
      <c r="M1290" s="47" t="n"/>
      <c r="N1290" s="47" t="n"/>
      <c r="O1290" s="47" t="n"/>
      <c r="P1290" s="47" t="n"/>
      <c r="Q1290" s="47" t="n"/>
      <c r="R1290" s="47" t="n"/>
      <c r="S1290" s="47" t="n"/>
      <c r="T1290" s="47" t="n"/>
      <c r="U1290" s="53" t="n"/>
      <c r="V1290" s="53" t="n"/>
      <c r="W1290" s="47" t="n"/>
      <c r="X1290" s="47" t="n"/>
      <c r="Y1290" s="47" t="n"/>
      <c r="Z1290" s="47" t="n"/>
      <c r="AA1290" s="47" t="n"/>
      <c r="AB1290" s="47" t="n"/>
      <c r="AC1290" s="47" t="n"/>
      <c r="AD1290" s="47" t="n"/>
      <c r="AE1290" s="47" t="n"/>
      <c r="AF1290" s="20">
        <f>IF(A1290="","",YEAR(EDATE(A1290,-3)))</f>
        <v/>
      </c>
      <c r="AG1290" s="20">
        <f>IF(OR(B1290="",'経歴簿'!$C$4=""),"",IF(B1290&amp;""='経歴簿'!$C$4&amp;"",MAX($AG$4:AG1289)+1,""))</f>
        <v/>
      </c>
      <c r="AH1290" s="20">
        <f>IF(A1290="",0,IF(AND(OR('CSV抽出'!$C$4="",A1290&gt;='CSV抽出'!$C$4),OR('CSV抽出'!$C$5="",A1290&lt;='CSV抽出'!$C$5),OR('CSV抽出'!$C$6="すべて",'CSV抽出'!$C$6="",D1290='CSV抽出'!$C$6),OR('CSV抽出'!$C$7="",B1290&amp;""='CSV抽出'!$C$7&amp;"")),1,0))</f>
        <v/>
      </c>
      <c r="AI1290" s="20">
        <f>IF(AH1290=1,SUM($AH$5:AH1290),"")</f>
        <v/>
      </c>
      <c r="AJ1290" s="20">
        <f>IF(OR(S1290="",'報告書'!$C$4=""),"",IF(S1290&amp;""='報告書'!$C$4&amp;"",COUNTIF($S$5:S1290,'報告書'!$C$4),""))</f>
        <v/>
      </c>
      <c r="AK1290" s="20" t="n"/>
      <c r="AL1290" s="47" t="n"/>
      <c r="AM1290" s="47" t="n"/>
      <c r="AN1290" s="53" t="n"/>
      <c r="AO1290" s="47" t="n"/>
      <c r="AP1290" s="47" t="n"/>
      <c r="AQ1290" s="47" t="n"/>
      <c r="AR1290" s="47" t="n"/>
      <c r="AS1290" s="47" t="n"/>
      <c r="AT1290" s="47" t="n"/>
      <c r="AU1290" s="47" t="n"/>
      <c r="AV1290" s="47" t="n"/>
      <c r="AW1290" s="52" t="n"/>
    </row>
    <row r="1291">
      <c r="A1291" s="48" t="n"/>
      <c r="B1291" s="52" t="n"/>
      <c r="C1291" s="47">
        <f>IF(B1291="","",IFERROR(INDEX('隊員マスタ'!$B$5:$B$204,MATCH(B1291&amp;"",'隊員マスタ'!$F$5:$F$204,0)),IF(AK1291="","番号なし",AK1291)))</f>
        <v/>
      </c>
      <c r="D1291" s="47" t="n"/>
      <c r="E1291" s="47" t="n"/>
      <c r="F1291" s="47" t="n"/>
      <c r="G1291" s="47" t="n"/>
      <c r="H1291" s="47" t="n"/>
      <c r="I1291" s="47" t="n"/>
      <c r="J1291" s="47" t="n"/>
      <c r="K1291" s="47" t="n"/>
      <c r="L1291" s="47" t="n"/>
      <c r="M1291" s="47" t="n"/>
      <c r="N1291" s="47" t="n"/>
      <c r="O1291" s="47" t="n"/>
      <c r="P1291" s="47" t="n"/>
      <c r="Q1291" s="47" t="n"/>
      <c r="R1291" s="47" t="n"/>
      <c r="S1291" s="47" t="n"/>
      <c r="T1291" s="47" t="n"/>
      <c r="U1291" s="53" t="n"/>
      <c r="V1291" s="53" t="n"/>
      <c r="W1291" s="47" t="n"/>
      <c r="X1291" s="47" t="n"/>
      <c r="Y1291" s="47" t="n"/>
      <c r="Z1291" s="47" t="n"/>
      <c r="AA1291" s="47" t="n"/>
      <c r="AB1291" s="47" t="n"/>
      <c r="AC1291" s="47" t="n"/>
      <c r="AD1291" s="47" t="n"/>
      <c r="AE1291" s="47" t="n"/>
      <c r="AF1291" s="20">
        <f>IF(A1291="","",YEAR(EDATE(A1291,-3)))</f>
        <v/>
      </c>
      <c r="AG1291" s="20">
        <f>IF(OR(B1291="",'経歴簿'!$C$4=""),"",IF(B1291&amp;""='経歴簿'!$C$4&amp;"",MAX($AG$4:AG1290)+1,""))</f>
        <v/>
      </c>
      <c r="AH1291" s="20">
        <f>IF(A1291="",0,IF(AND(OR('CSV抽出'!$C$4="",A1291&gt;='CSV抽出'!$C$4),OR('CSV抽出'!$C$5="",A1291&lt;='CSV抽出'!$C$5),OR('CSV抽出'!$C$6="すべて",'CSV抽出'!$C$6="",D1291='CSV抽出'!$C$6),OR('CSV抽出'!$C$7="",B1291&amp;""='CSV抽出'!$C$7&amp;"")),1,0))</f>
        <v/>
      </c>
      <c r="AI1291" s="20">
        <f>IF(AH1291=1,SUM($AH$5:AH1291),"")</f>
        <v/>
      </c>
      <c r="AJ1291" s="20">
        <f>IF(OR(S1291="",'報告書'!$C$4=""),"",IF(S1291&amp;""='報告書'!$C$4&amp;"",COUNTIF($S$5:S1291,'報告書'!$C$4),""))</f>
        <v/>
      </c>
      <c r="AK1291" s="20" t="n"/>
      <c r="AL1291" s="47" t="n"/>
      <c r="AM1291" s="47" t="n"/>
      <c r="AN1291" s="53" t="n"/>
      <c r="AO1291" s="47" t="n"/>
      <c r="AP1291" s="47" t="n"/>
      <c r="AQ1291" s="47" t="n"/>
      <c r="AR1291" s="47" t="n"/>
      <c r="AS1291" s="47" t="n"/>
      <c r="AT1291" s="47" t="n"/>
      <c r="AU1291" s="47" t="n"/>
      <c r="AV1291" s="47" t="n"/>
      <c r="AW1291" s="52" t="n"/>
    </row>
    <row r="1292">
      <c r="A1292" s="48" t="n"/>
      <c r="B1292" s="52" t="n"/>
      <c r="C1292" s="47">
        <f>IF(B1292="","",IFERROR(INDEX('隊員マスタ'!$B$5:$B$204,MATCH(B1292&amp;"",'隊員マスタ'!$F$5:$F$204,0)),IF(AK1292="","番号なし",AK1292)))</f>
        <v/>
      </c>
      <c r="D1292" s="47" t="n"/>
      <c r="E1292" s="47" t="n"/>
      <c r="F1292" s="47" t="n"/>
      <c r="G1292" s="47" t="n"/>
      <c r="H1292" s="47" t="n"/>
      <c r="I1292" s="47" t="n"/>
      <c r="J1292" s="47" t="n"/>
      <c r="K1292" s="47" t="n"/>
      <c r="L1292" s="47" t="n"/>
      <c r="M1292" s="47" t="n"/>
      <c r="N1292" s="47" t="n"/>
      <c r="O1292" s="47" t="n"/>
      <c r="P1292" s="47" t="n"/>
      <c r="Q1292" s="47" t="n"/>
      <c r="R1292" s="47" t="n"/>
      <c r="S1292" s="47" t="n"/>
      <c r="T1292" s="47" t="n"/>
      <c r="U1292" s="53" t="n"/>
      <c r="V1292" s="53" t="n"/>
      <c r="W1292" s="47" t="n"/>
      <c r="X1292" s="47" t="n"/>
      <c r="Y1292" s="47" t="n"/>
      <c r="Z1292" s="47" t="n"/>
      <c r="AA1292" s="47" t="n"/>
      <c r="AB1292" s="47" t="n"/>
      <c r="AC1292" s="47" t="n"/>
      <c r="AD1292" s="47" t="n"/>
      <c r="AE1292" s="47" t="n"/>
      <c r="AF1292" s="20">
        <f>IF(A1292="","",YEAR(EDATE(A1292,-3)))</f>
        <v/>
      </c>
      <c r="AG1292" s="20">
        <f>IF(OR(B1292="",'経歴簿'!$C$4=""),"",IF(B1292&amp;""='経歴簿'!$C$4&amp;"",MAX($AG$4:AG1291)+1,""))</f>
        <v/>
      </c>
      <c r="AH1292" s="20">
        <f>IF(A1292="",0,IF(AND(OR('CSV抽出'!$C$4="",A1292&gt;='CSV抽出'!$C$4),OR('CSV抽出'!$C$5="",A1292&lt;='CSV抽出'!$C$5),OR('CSV抽出'!$C$6="すべて",'CSV抽出'!$C$6="",D1292='CSV抽出'!$C$6),OR('CSV抽出'!$C$7="",B1292&amp;""='CSV抽出'!$C$7&amp;"")),1,0))</f>
        <v/>
      </c>
      <c r="AI1292" s="20">
        <f>IF(AH1292=1,SUM($AH$5:AH1292),"")</f>
        <v/>
      </c>
      <c r="AJ1292" s="20">
        <f>IF(OR(S1292="",'報告書'!$C$4=""),"",IF(S1292&amp;""='報告書'!$C$4&amp;"",COUNTIF($S$5:S1292,'報告書'!$C$4),""))</f>
        <v/>
      </c>
      <c r="AK1292" s="20" t="n"/>
      <c r="AL1292" s="47" t="n"/>
      <c r="AM1292" s="47" t="n"/>
      <c r="AN1292" s="53" t="n"/>
      <c r="AO1292" s="47" t="n"/>
      <c r="AP1292" s="47" t="n"/>
      <c r="AQ1292" s="47" t="n"/>
      <c r="AR1292" s="47" t="n"/>
      <c r="AS1292" s="47" t="n"/>
      <c r="AT1292" s="47" t="n"/>
      <c r="AU1292" s="47" t="n"/>
      <c r="AV1292" s="47" t="n"/>
      <c r="AW1292" s="52" t="n"/>
    </row>
    <row r="1293">
      <c r="A1293" s="48" t="n"/>
      <c r="B1293" s="52" t="n"/>
      <c r="C1293" s="47">
        <f>IF(B1293="","",IFERROR(INDEX('隊員マスタ'!$B$5:$B$204,MATCH(B1293&amp;"",'隊員マスタ'!$F$5:$F$204,0)),IF(AK1293="","番号なし",AK1293)))</f>
        <v/>
      </c>
      <c r="D1293" s="47" t="n"/>
      <c r="E1293" s="47" t="n"/>
      <c r="F1293" s="47" t="n"/>
      <c r="G1293" s="47" t="n"/>
      <c r="H1293" s="47" t="n"/>
      <c r="I1293" s="47" t="n"/>
      <c r="J1293" s="47" t="n"/>
      <c r="K1293" s="47" t="n"/>
      <c r="L1293" s="47" t="n"/>
      <c r="M1293" s="47" t="n"/>
      <c r="N1293" s="47" t="n"/>
      <c r="O1293" s="47" t="n"/>
      <c r="P1293" s="47" t="n"/>
      <c r="Q1293" s="47" t="n"/>
      <c r="R1293" s="47" t="n"/>
      <c r="S1293" s="47" t="n"/>
      <c r="T1293" s="47" t="n"/>
      <c r="U1293" s="53" t="n"/>
      <c r="V1293" s="53" t="n"/>
      <c r="W1293" s="47" t="n"/>
      <c r="X1293" s="47" t="n"/>
      <c r="Y1293" s="47" t="n"/>
      <c r="Z1293" s="47" t="n"/>
      <c r="AA1293" s="47" t="n"/>
      <c r="AB1293" s="47" t="n"/>
      <c r="AC1293" s="47" t="n"/>
      <c r="AD1293" s="47" t="n"/>
      <c r="AE1293" s="47" t="n"/>
      <c r="AF1293" s="20">
        <f>IF(A1293="","",YEAR(EDATE(A1293,-3)))</f>
        <v/>
      </c>
      <c r="AG1293" s="20">
        <f>IF(OR(B1293="",'経歴簿'!$C$4=""),"",IF(B1293&amp;""='経歴簿'!$C$4&amp;"",MAX($AG$4:AG1292)+1,""))</f>
        <v/>
      </c>
      <c r="AH1293" s="20">
        <f>IF(A1293="",0,IF(AND(OR('CSV抽出'!$C$4="",A1293&gt;='CSV抽出'!$C$4),OR('CSV抽出'!$C$5="",A1293&lt;='CSV抽出'!$C$5),OR('CSV抽出'!$C$6="すべて",'CSV抽出'!$C$6="",D1293='CSV抽出'!$C$6),OR('CSV抽出'!$C$7="",B1293&amp;""='CSV抽出'!$C$7&amp;"")),1,0))</f>
        <v/>
      </c>
      <c r="AI1293" s="20">
        <f>IF(AH1293=1,SUM($AH$5:AH1293),"")</f>
        <v/>
      </c>
      <c r="AJ1293" s="20">
        <f>IF(OR(S1293="",'報告書'!$C$4=""),"",IF(S1293&amp;""='報告書'!$C$4&amp;"",COUNTIF($S$5:S1293,'報告書'!$C$4),""))</f>
        <v/>
      </c>
      <c r="AK1293" s="20" t="n"/>
      <c r="AL1293" s="47" t="n"/>
      <c r="AM1293" s="47" t="n"/>
      <c r="AN1293" s="53" t="n"/>
      <c r="AO1293" s="47" t="n"/>
      <c r="AP1293" s="47" t="n"/>
      <c r="AQ1293" s="47" t="n"/>
      <c r="AR1293" s="47" t="n"/>
      <c r="AS1293" s="47" t="n"/>
      <c r="AT1293" s="47" t="n"/>
      <c r="AU1293" s="47" t="n"/>
      <c r="AV1293" s="47" t="n"/>
      <c r="AW1293" s="52" t="n"/>
    </row>
    <row r="1294">
      <c r="A1294" s="48" t="n"/>
      <c r="B1294" s="52" t="n"/>
      <c r="C1294" s="47">
        <f>IF(B1294="","",IFERROR(INDEX('隊員マスタ'!$B$5:$B$204,MATCH(B1294&amp;"",'隊員マスタ'!$F$5:$F$204,0)),IF(AK1294="","番号なし",AK1294)))</f>
        <v/>
      </c>
      <c r="D1294" s="47" t="n"/>
      <c r="E1294" s="47" t="n"/>
      <c r="F1294" s="47" t="n"/>
      <c r="G1294" s="47" t="n"/>
      <c r="H1294" s="47" t="n"/>
      <c r="I1294" s="47" t="n"/>
      <c r="J1294" s="47" t="n"/>
      <c r="K1294" s="47" t="n"/>
      <c r="L1294" s="47" t="n"/>
      <c r="M1294" s="47" t="n"/>
      <c r="N1294" s="47" t="n"/>
      <c r="O1294" s="47" t="n"/>
      <c r="P1294" s="47" t="n"/>
      <c r="Q1294" s="47" t="n"/>
      <c r="R1294" s="47" t="n"/>
      <c r="S1294" s="47" t="n"/>
      <c r="T1294" s="47" t="n"/>
      <c r="U1294" s="53" t="n"/>
      <c r="V1294" s="53" t="n"/>
      <c r="W1294" s="47" t="n"/>
      <c r="X1294" s="47" t="n"/>
      <c r="Y1294" s="47" t="n"/>
      <c r="Z1294" s="47" t="n"/>
      <c r="AA1294" s="47" t="n"/>
      <c r="AB1294" s="47" t="n"/>
      <c r="AC1294" s="47" t="n"/>
      <c r="AD1294" s="47" t="n"/>
      <c r="AE1294" s="47" t="n"/>
      <c r="AF1294" s="20">
        <f>IF(A1294="","",YEAR(EDATE(A1294,-3)))</f>
        <v/>
      </c>
      <c r="AG1294" s="20">
        <f>IF(OR(B1294="",'経歴簿'!$C$4=""),"",IF(B1294&amp;""='経歴簿'!$C$4&amp;"",MAX($AG$4:AG1293)+1,""))</f>
        <v/>
      </c>
      <c r="AH1294" s="20">
        <f>IF(A1294="",0,IF(AND(OR('CSV抽出'!$C$4="",A1294&gt;='CSV抽出'!$C$4),OR('CSV抽出'!$C$5="",A1294&lt;='CSV抽出'!$C$5),OR('CSV抽出'!$C$6="すべて",'CSV抽出'!$C$6="",D1294='CSV抽出'!$C$6),OR('CSV抽出'!$C$7="",B1294&amp;""='CSV抽出'!$C$7&amp;"")),1,0))</f>
        <v/>
      </c>
      <c r="AI1294" s="20">
        <f>IF(AH1294=1,SUM($AH$5:AH1294),"")</f>
        <v/>
      </c>
      <c r="AJ1294" s="20">
        <f>IF(OR(S1294="",'報告書'!$C$4=""),"",IF(S1294&amp;""='報告書'!$C$4&amp;"",COUNTIF($S$5:S1294,'報告書'!$C$4),""))</f>
        <v/>
      </c>
      <c r="AK1294" s="20" t="n"/>
      <c r="AL1294" s="47" t="n"/>
      <c r="AM1294" s="47" t="n"/>
      <c r="AN1294" s="53" t="n"/>
      <c r="AO1294" s="47" t="n"/>
      <c r="AP1294" s="47" t="n"/>
      <c r="AQ1294" s="47" t="n"/>
      <c r="AR1294" s="47" t="n"/>
      <c r="AS1294" s="47" t="n"/>
      <c r="AT1294" s="47" t="n"/>
      <c r="AU1294" s="47" t="n"/>
      <c r="AV1294" s="47" t="n"/>
      <c r="AW1294" s="52" t="n"/>
    </row>
    <row r="1295">
      <c r="A1295" s="48" t="n"/>
      <c r="B1295" s="52" t="n"/>
      <c r="C1295" s="47">
        <f>IF(B1295="","",IFERROR(INDEX('隊員マスタ'!$B$5:$B$204,MATCH(B1295&amp;"",'隊員マスタ'!$F$5:$F$204,0)),IF(AK1295="","番号なし",AK1295)))</f>
        <v/>
      </c>
      <c r="D1295" s="47" t="n"/>
      <c r="E1295" s="47" t="n"/>
      <c r="F1295" s="47" t="n"/>
      <c r="G1295" s="47" t="n"/>
      <c r="H1295" s="47" t="n"/>
      <c r="I1295" s="47" t="n"/>
      <c r="J1295" s="47" t="n"/>
      <c r="K1295" s="47" t="n"/>
      <c r="L1295" s="47" t="n"/>
      <c r="M1295" s="47" t="n"/>
      <c r="N1295" s="47" t="n"/>
      <c r="O1295" s="47" t="n"/>
      <c r="P1295" s="47" t="n"/>
      <c r="Q1295" s="47" t="n"/>
      <c r="R1295" s="47" t="n"/>
      <c r="S1295" s="47" t="n"/>
      <c r="T1295" s="47" t="n"/>
      <c r="U1295" s="53" t="n"/>
      <c r="V1295" s="53" t="n"/>
      <c r="W1295" s="47" t="n"/>
      <c r="X1295" s="47" t="n"/>
      <c r="Y1295" s="47" t="n"/>
      <c r="Z1295" s="47" t="n"/>
      <c r="AA1295" s="47" t="n"/>
      <c r="AB1295" s="47" t="n"/>
      <c r="AC1295" s="47" t="n"/>
      <c r="AD1295" s="47" t="n"/>
      <c r="AE1295" s="47" t="n"/>
      <c r="AF1295" s="20">
        <f>IF(A1295="","",YEAR(EDATE(A1295,-3)))</f>
        <v/>
      </c>
      <c r="AG1295" s="20">
        <f>IF(OR(B1295="",'経歴簿'!$C$4=""),"",IF(B1295&amp;""='経歴簿'!$C$4&amp;"",MAX($AG$4:AG1294)+1,""))</f>
        <v/>
      </c>
      <c r="AH1295" s="20">
        <f>IF(A1295="",0,IF(AND(OR('CSV抽出'!$C$4="",A1295&gt;='CSV抽出'!$C$4),OR('CSV抽出'!$C$5="",A1295&lt;='CSV抽出'!$C$5),OR('CSV抽出'!$C$6="すべて",'CSV抽出'!$C$6="",D1295='CSV抽出'!$C$6),OR('CSV抽出'!$C$7="",B1295&amp;""='CSV抽出'!$C$7&amp;"")),1,0))</f>
        <v/>
      </c>
      <c r="AI1295" s="20">
        <f>IF(AH1295=1,SUM($AH$5:AH1295),"")</f>
        <v/>
      </c>
      <c r="AJ1295" s="20">
        <f>IF(OR(S1295="",'報告書'!$C$4=""),"",IF(S1295&amp;""='報告書'!$C$4&amp;"",COUNTIF($S$5:S1295,'報告書'!$C$4),""))</f>
        <v/>
      </c>
      <c r="AK1295" s="20" t="n"/>
      <c r="AL1295" s="47" t="n"/>
      <c r="AM1295" s="47" t="n"/>
      <c r="AN1295" s="53" t="n"/>
      <c r="AO1295" s="47" t="n"/>
      <c r="AP1295" s="47" t="n"/>
      <c r="AQ1295" s="47" t="n"/>
      <c r="AR1295" s="47" t="n"/>
      <c r="AS1295" s="47" t="n"/>
      <c r="AT1295" s="47" t="n"/>
      <c r="AU1295" s="47" t="n"/>
      <c r="AV1295" s="47" t="n"/>
      <c r="AW1295" s="52" t="n"/>
    </row>
    <row r="1296">
      <c r="A1296" s="48" t="n"/>
      <c r="B1296" s="52" t="n"/>
      <c r="C1296" s="47">
        <f>IF(B1296="","",IFERROR(INDEX('隊員マスタ'!$B$5:$B$204,MATCH(B1296&amp;"",'隊員マスタ'!$F$5:$F$204,0)),IF(AK1296="","番号なし",AK1296)))</f>
        <v/>
      </c>
      <c r="D1296" s="47" t="n"/>
      <c r="E1296" s="47" t="n"/>
      <c r="F1296" s="47" t="n"/>
      <c r="G1296" s="47" t="n"/>
      <c r="H1296" s="47" t="n"/>
      <c r="I1296" s="47" t="n"/>
      <c r="J1296" s="47" t="n"/>
      <c r="K1296" s="47" t="n"/>
      <c r="L1296" s="47" t="n"/>
      <c r="M1296" s="47" t="n"/>
      <c r="N1296" s="47" t="n"/>
      <c r="O1296" s="47" t="n"/>
      <c r="P1296" s="47" t="n"/>
      <c r="Q1296" s="47" t="n"/>
      <c r="R1296" s="47" t="n"/>
      <c r="S1296" s="47" t="n"/>
      <c r="T1296" s="47" t="n"/>
      <c r="U1296" s="53" t="n"/>
      <c r="V1296" s="53" t="n"/>
      <c r="W1296" s="47" t="n"/>
      <c r="X1296" s="47" t="n"/>
      <c r="Y1296" s="47" t="n"/>
      <c r="Z1296" s="47" t="n"/>
      <c r="AA1296" s="47" t="n"/>
      <c r="AB1296" s="47" t="n"/>
      <c r="AC1296" s="47" t="n"/>
      <c r="AD1296" s="47" t="n"/>
      <c r="AE1296" s="47" t="n"/>
      <c r="AF1296" s="20">
        <f>IF(A1296="","",YEAR(EDATE(A1296,-3)))</f>
        <v/>
      </c>
      <c r="AG1296" s="20">
        <f>IF(OR(B1296="",'経歴簿'!$C$4=""),"",IF(B1296&amp;""='経歴簿'!$C$4&amp;"",MAX($AG$4:AG1295)+1,""))</f>
        <v/>
      </c>
      <c r="AH1296" s="20">
        <f>IF(A1296="",0,IF(AND(OR('CSV抽出'!$C$4="",A1296&gt;='CSV抽出'!$C$4),OR('CSV抽出'!$C$5="",A1296&lt;='CSV抽出'!$C$5),OR('CSV抽出'!$C$6="すべて",'CSV抽出'!$C$6="",D1296='CSV抽出'!$C$6),OR('CSV抽出'!$C$7="",B1296&amp;""='CSV抽出'!$C$7&amp;"")),1,0))</f>
        <v/>
      </c>
      <c r="AI1296" s="20">
        <f>IF(AH1296=1,SUM($AH$5:AH1296),"")</f>
        <v/>
      </c>
      <c r="AJ1296" s="20">
        <f>IF(OR(S1296="",'報告書'!$C$4=""),"",IF(S1296&amp;""='報告書'!$C$4&amp;"",COUNTIF($S$5:S1296,'報告書'!$C$4),""))</f>
        <v/>
      </c>
      <c r="AK1296" s="20" t="n"/>
      <c r="AL1296" s="47" t="n"/>
      <c r="AM1296" s="47" t="n"/>
      <c r="AN1296" s="53" t="n"/>
      <c r="AO1296" s="47" t="n"/>
      <c r="AP1296" s="47" t="n"/>
      <c r="AQ1296" s="47" t="n"/>
      <c r="AR1296" s="47" t="n"/>
      <c r="AS1296" s="47" t="n"/>
      <c r="AT1296" s="47" t="n"/>
      <c r="AU1296" s="47" t="n"/>
      <c r="AV1296" s="47" t="n"/>
      <c r="AW1296" s="52" t="n"/>
    </row>
    <row r="1297">
      <c r="A1297" s="48" t="n"/>
      <c r="B1297" s="52" t="n"/>
      <c r="C1297" s="47">
        <f>IF(B1297="","",IFERROR(INDEX('隊員マスタ'!$B$5:$B$204,MATCH(B1297&amp;"",'隊員マスタ'!$F$5:$F$204,0)),IF(AK1297="","番号なし",AK1297)))</f>
        <v/>
      </c>
      <c r="D1297" s="47" t="n"/>
      <c r="E1297" s="47" t="n"/>
      <c r="F1297" s="47" t="n"/>
      <c r="G1297" s="47" t="n"/>
      <c r="H1297" s="47" t="n"/>
      <c r="I1297" s="47" t="n"/>
      <c r="J1297" s="47" t="n"/>
      <c r="K1297" s="47" t="n"/>
      <c r="L1297" s="47" t="n"/>
      <c r="M1297" s="47" t="n"/>
      <c r="N1297" s="47" t="n"/>
      <c r="O1297" s="47" t="n"/>
      <c r="P1297" s="47" t="n"/>
      <c r="Q1297" s="47" t="n"/>
      <c r="R1297" s="47" t="n"/>
      <c r="S1297" s="47" t="n"/>
      <c r="T1297" s="47" t="n"/>
      <c r="U1297" s="53" t="n"/>
      <c r="V1297" s="53" t="n"/>
      <c r="W1297" s="47" t="n"/>
      <c r="X1297" s="47" t="n"/>
      <c r="Y1297" s="47" t="n"/>
      <c r="Z1297" s="47" t="n"/>
      <c r="AA1297" s="47" t="n"/>
      <c r="AB1297" s="47" t="n"/>
      <c r="AC1297" s="47" t="n"/>
      <c r="AD1297" s="47" t="n"/>
      <c r="AE1297" s="47" t="n"/>
      <c r="AF1297" s="20">
        <f>IF(A1297="","",YEAR(EDATE(A1297,-3)))</f>
        <v/>
      </c>
      <c r="AG1297" s="20">
        <f>IF(OR(B1297="",'経歴簿'!$C$4=""),"",IF(B1297&amp;""='経歴簿'!$C$4&amp;"",MAX($AG$4:AG1296)+1,""))</f>
        <v/>
      </c>
      <c r="AH1297" s="20">
        <f>IF(A1297="",0,IF(AND(OR('CSV抽出'!$C$4="",A1297&gt;='CSV抽出'!$C$4),OR('CSV抽出'!$C$5="",A1297&lt;='CSV抽出'!$C$5),OR('CSV抽出'!$C$6="すべて",'CSV抽出'!$C$6="",D1297='CSV抽出'!$C$6),OR('CSV抽出'!$C$7="",B1297&amp;""='CSV抽出'!$C$7&amp;"")),1,0))</f>
        <v/>
      </c>
      <c r="AI1297" s="20">
        <f>IF(AH1297=1,SUM($AH$5:AH1297),"")</f>
        <v/>
      </c>
      <c r="AJ1297" s="20">
        <f>IF(OR(S1297="",'報告書'!$C$4=""),"",IF(S1297&amp;""='報告書'!$C$4&amp;"",COUNTIF($S$5:S1297,'報告書'!$C$4),""))</f>
        <v/>
      </c>
      <c r="AK1297" s="20" t="n"/>
      <c r="AL1297" s="47" t="n"/>
      <c r="AM1297" s="47" t="n"/>
      <c r="AN1297" s="53" t="n"/>
      <c r="AO1297" s="47" t="n"/>
      <c r="AP1297" s="47" t="n"/>
      <c r="AQ1297" s="47" t="n"/>
      <c r="AR1297" s="47" t="n"/>
      <c r="AS1297" s="47" t="n"/>
      <c r="AT1297" s="47" t="n"/>
      <c r="AU1297" s="47" t="n"/>
      <c r="AV1297" s="47" t="n"/>
      <c r="AW1297" s="52" t="n"/>
    </row>
    <row r="1298">
      <c r="A1298" s="48" t="n"/>
      <c r="B1298" s="52" t="n"/>
      <c r="C1298" s="47">
        <f>IF(B1298="","",IFERROR(INDEX('隊員マスタ'!$B$5:$B$204,MATCH(B1298&amp;"",'隊員マスタ'!$F$5:$F$204,0)),IF(AK1298="","番号なし",AK1298)))</f>
        <v/>
      </c>
      <c r="D1298" s="47" t="n"/>
      <c r="E1298" s="47" t="n"/>
      <c r="F1298" s="47" t="n"/>
      <c r="G1298" s="47" t="n"/>
      <c r="H1298" s="47" t="n"/>
      <c r="I1298" s="47" t="n"/>
      <c r="J1298" s="47" t="n"/>
      <c r="K1298" s="47" t="n"/>
      <c r="L1298" s="47" t="n"/>
      <c r="M1298" s="47" t="n"/>
      <c r="N1298" s="47" t="n"/>
      <c r="O1298" s="47" t="n"/>
      <c r="P1298" s="47" t="n"/>
      <c r="Q1298" s="47" t="n"/>
      <c r="R1298" s="47" t="n"/>
      <c r="S1298" s="47" t="n"/>
      <c r="T1298" s="47" t="n"/>
      <c r="U1298" s="53" t="n"/>
      <c r="V1298" s="53" t="n"/>
      <c r="W1298" s="47" t="n"/>
      <c r="X1298" s="47" t="n"/>
      <c r="Y1298" s="47" t="n"/>
      <c r="Z1298" s="47" t="n"/>
      <c r="AA1298" s="47" t="n"/>
      <c r="AB1298" s="47" t="n"/>
      <c r="AC1298" s="47" t="n"/>
      <c r="AD1298" s="47" t="n"/>
      <c r="AE1298" s="47" t="n"/>
      <c r="AF1298" s="20">
        <f>IF(A1298="","",YEAR(EDATE(A1298,-3)))</f>
        <v/>
      </c>
      <c r="AG1298" s="20">
        <f>IF(OR(B1298="",'経歴簿'!$C$4=""),"",IF(B1298&amp;""='経歴簿'!$C$4&amp;"",MAX($AG$4:AG1297)+1,""))</f>
        <v/>
      </c>
      <c r="AH1298" s="20">
        <f>IF(A1298="",0,IF(AND(OR('CSV抽出'!$C$4="",A1298&gt;='CSV抽出'!$C$4),OR('CSV抽出'!$C$5="",A1298&lt;='CSV抽出'!$C$5),OR('CSV抽出'!$C$6="すべて",'CSV抽出'!$C$6="",D1298='CSV抽出'!$C$6),OR('CSV抽出'!$C$7="",B1298&amp;""='CSV抽出'!$C$7&amp;"")),1,0))</f>
        <v/>
      </c>
      <c r="AI1298" s="20">
        <f>IF(AH1298=1,SUM($AH$5:AH1298),"")</f>
        <v/>
      </c>
      <c r="AJ1298" s="20">
        <f>IF(OR(S1298="",'報告書'!$C$4=""),"",IF(S1298&amp;""='報告書'!$C$4&amp;"",COUNTIF($S$5:S1298,'報告書'!$C$4),""))</f>
        <v/>
      </c>
      <c r="AK1298" s="20" t="n"/>
      <c r="AL1298" s="47" t="n"/>
      <c r="AM1298" s="47" t="n"/>
      <c r="AN1298" s="53" t="n"/>
      <c r="AO1298" s="47" t="n"/>
      <c r="AP1298" s="47" t="n"/>
      <c r="AQ1298" s="47" t="n"/>
      <c r="AR1298" s="47" t="n"/>
      <c r="AS1298" s="47" t="n"/>
      <c r="AT1298" s="47" t="n"/>
      <c r="AU1298" s="47" t="n"/>
      <c r="AV1298" s="47" t="n"/>
      <c r="AW1298" s="52" t="n"/>
    </row>
    <row r="1299">
      <c r="A1299" s="48" t="n"/>
      <c r="B1299" s="52" t="n"/>
      <c r="C1299" s="47">
        <f>IF(B1299="","",IFERROR(INDEX('隊員マスタ'!$B$5:$B$204,MATCH(B1299&amp;"",'隊員マスタ'!$F$5:$F$204,0)),IF(AK1299="","番号なし",AK1299)))</f>
        <v/>
      </c>
      <c r="D1299" s="47" t="n"/>
      <c r="E1299" s="47" t="n"/>
      <c r="F1299" s="47" t="n"/>
      <c r="G1299" s="47" t="n"/>
      <c r="H1299" s="47" t="n"/>
      <c r="I1299" s="47" t="n"/>
      <c r="J1299" s="47" t="n"/>
      <c r="K1299" s="47" t="n"/>
      <c r="L1299" s="47" t="n"/>
      <c r="M1299" s="47" t="n"/>
      <c r="N1299" s="47" t="n"/>
      <c r="O1299" s="47" t="n"/>
      <c r="P1299" s="47" t="n"/>
      <c r="Q1299" s="47" t="n"/>
      <c r="R1299" s="47" t="n"/>
      <c r="S1299" s="47" t="n"/>
      <c r="T1299" s="47" t="n"/>
      <c r="U1299" s="53" t="n"/>
      <c r="V1299" s="53" t="n"/>
      <c r="W1299" s="47" t="n"/>
      <c r="X1299" s="47" t="n"/>
      <c r="Y1299" s="47" t="n"/>
      <c r="Z1299" s="47" t="n"/>
      <c r="AA1299" s="47" t="n"/>
      <c r="AB1299" s="47" t="n"/>
      <c r="AC1299" s="47" t="n"/>
      <c r="AD1299" s="47" t="n"/>
      <c r="AE1299" s="47" t="n"/>
      <c r="AF1299" s="20">
        <f>IF(A1299="","",YEAR(EDATE(A1299,-3)))</f>
        <v/>
      </c>
      <c r="AG1299" s="20">
        <f>IF(OR(B1299="",'経歴簿'!$C$4=""),"",IF(B1299&amp;""='経歴簿'!$C$4&amp;"",MAX($AG$4:AG1298)+1,""))</f>
        <v/>
      </c>
      <c r="AH1299" s="20">
        <f>IF(A1299="",0,IF(AND(OR('CSV抽出'!$C$4="",A1299&gt;='CSV抽出'!$C$4),OR('CSV抽出'!$C$5="",A1299&lt;='CSV抽出'!$C$5),OR('CSV抽出'!$C$6="すべて",'CSV抽出'!$C$6="",D1299='CSV抽出'!$C$6),OR('CSV抽出'!$C$7="",B1299&amp;""='CSV抽出'!$C$7&amp;"")),1,0))</f>
        <v/>
      </c>
      <c r="AI1299" s="20">
        <f>IF(AH1299=1,SUM($AH$5:AH1299),"")</f>
        <v/>
      </c>
      <c r="AJ1299" s="20">
        <f>IF(OR(S1299="",'報告書'!$C$4=""),"",IF(S1299&amp;""='報告書'!$C$4&amp;"",COUNTIF($S$5:S1299,'報告書'!$C$4),""))</f>
        <v/>
      </c>
      <c r="AK1299" s="20" t="n"/>
      <c r="AL1299" s="47" t="n"/>
      <c r="AM1299" s="47" t="n"/>
      <c r="AN1299" s="53" t="n"/>
      <c r="AO1299" s="47" t="n"/>
      <c r="AP1299" s="47" t="n"/>
      <c r="AQ1299" s="47" t="n"/>
      <c r="AR1299" s="47" t="n"/>
      <c r="AS1299" s="47" t="n"/>
      <c r="AT1299" s="47" t="n"/>
      <c r="AU1299" s="47" t="n"/>
      <c r="AV1299" s="47" t="n"/>
      <c r="AW1299" s="52" t="n"/>
    </row>
    <row r="1300">
      <c r="A1300" s="48" t="n"/>
      <c r="B1300" s="52" t="n"/>
      <c r="C1300" s="47">
        <f>IF(B1300="","",IFERROR(INDEX('隊員マスタ'!$B$5:$B$204,MATCH(B1300&amp;"",'隊員マスタ'!$F$5:$F$204,0)),IF(AK1300="","番号なし",AK1300)))</f>
        <v/>
      </c>
      <c r="D1300" s="47" t="n"/>
      <c r="E1300" s="47" t="n"/>
      <c r="F1300" s="47" t="n"/>
      <c r="G1300" s="47" t="n"/>
      <c r="H1300" s="47" t="n"/>
      <c r="I1300" s="47" t="n"/>
      <c r="J1300" s="47" t="n"/>
      <c r="K1300" s="47" t="n"/>
      <c r="L1300" s="47" t="n"/>
      <c r="M1300" s="47" t="n"/>
      <c r="N1300" s="47" t="n"/>
      <c r="O1300" s="47" t="n"/>
      <c r="P1300" s="47" t="n"/>
      <c r="Q1300" s="47" t="n"/>
      <c r="R1300" s="47" t="n"/>
      <c r="S1300" s="47" t="n"/>
      <c r="T1300" s="47" t="n"/>
      <c r="U1300" s="53" t="n"/>
      <c r="V1300" s="53" t="n"/>
      <c r="W1300" s="47" t="n"/>
      <c r="X1300" s="47" t="n"/>
      <c r="Y1300" s="47" t="n"/>
      <c r="Z1300" s="47" t="n"/>
      <c r="AA1300" s="47" t="n"/>
      <c r="AB1300" s="47" t="n"/>
      <c r="AC1300" s="47" t="n"/>
      <c r="AD1300" s="47" t="n"/>
      <c r="AE1300" s="47" t="n"/>
      <c r="AF1300" s="20">
        <f>IF(A1300="","",YEAR(EDATE(A1300,-3)))</f>
        <v/>
      </c>
      <c r="AG1300" s="20">
        <f>IF(OR(B1300="",'経歴簿'!$C$4=""),"",IF(B1300&amp;""='経歴簿'!$C$4&amp;"",MAX($AG$4:AG1299)+1,""))</f>
        <v/>
      </c>
      <c r="AH1300" s="20">
        <f>IF(A1300="",0,IF(AND(OR('CSV抽出'!$C$4="",A1300&gt;='CSV抽出'!$C$4),OR('CSV抽出'!$C$5="",A1300&lt;='CSV抽出'!$C$5),OR('CSV抽出'!$C$6="すべて",'CSV抽出'!$C$6="",D1300='CSV抽出'!$C$6),OR('CSV抽出'!$C$7="",B1300&amp;""='CSV抽出'!$C$7&amp;"")),1,0))</f>
        <v/>
      </c>
      <c r="AI1300" s="20">
        <f>IF(AH1300=1,SUM($AH$5:AH1300),"")</f>
        <v/>
      </c>
      <c r="AJ1300" s="20">
        <f>IF(OR(S1300="",'報告書'!$C$4=""),"",IF(S1300&amp;""='報告書'!$C$4&amp;"",COUNTIF($S$5:S1300,'報告書'!$C$4),""))</f>
        <v/>
      </c>
      <c r="AK1300" s="20" t="n"/>
      <c r="AL1300" s="47" t="n"/>
      <c r="AM1300" s="47" t="n"/>
      <c r="AN1300" s="53" t="n"/>
      <c r="AO1300" s="47" t="n"/>
      <c r="AP1300" s="47" t="n"/>
      <c r="AQ1300" s="47" t="n"/>
      <c r="AR1300" s="47" t="n"/>
      <c r="AS1300" s="47" t="n"/>
      <c r="AT1300" s="47" t="n"/>
      <c r="AU1300" s="47" t="n"/>
      <c r="AV1300" s="47" t="n"/>
      <c r="AW1300" s="52" t="n"/>
    </row>
    <row r="1301">
      <c r="A1301" s="48" t="n"/>
      <c r="B1301" s="52" t="n"/>
      <c r="C1301" s="47">
        <f>IF(B1301="","",IFERROR(INDEX('隊員マスタ'!$B$5:$B$204,MATCH(B1301&amp;"",'隊員マスタ'!$F$5:$F$204,0)),IF(AK1301="","番号なし",AK1301)))</f>
        <v/>
      </c>
      <c r="D1301" s="47" t="n"/>
      <c r="E1301" s="47" t="n"/>
      <c r="F1301" s="47" t="n"/>
      <c r="G1301" s="47" t="n"/>
      <c r="H1301" s="47" t="n"/>
      <c r="I1301" s="47" t="n"/>
      <c r="J1301" s="47" t="n"/>
      <c r="K1301" s="47" t="n"/>
      <c r="L1301" s="47" t="n"/>
      <c r="M1301" s="47" t="n"/>
      <c r="N1301" s="47" t="n"/>
      <c r="O1301" s="47" t="n"/>
      <c r="P1301" s="47" t="n"/>
      <c r="Q1301" s="47" t="n"/>
      <c r="R1301" s="47" t="n"/>
      <c r="S1301" s="47" t="n"/>
      <c r="T1301" s="47" t="n"/>
      <c r="U1301" s="53" t="n"/>
      <c r="V1301" s="53" t="n"/>
      <c r="W1301" s="47" t="n"/>
      <c r="X1301" s="47" t="n"/>
      <c r="Y1301" s="47" t="n"/>
      <c r="Z1301" s="47" t="n"/>
      <c r="AA1301" s="47" t="n"/>
      <c r="AB1301" s="47" t="n"/>
      <c r="AC1301" s="47" t="n"/>
      <c r="AD1301" s="47" t="n"/>
      <c r="AE1301" s="47" t="n"/>
      <c r="AF1301" s="20">
        <f>IF(A1301="","",YEAR(EDATE(A1301,-3)))</f>
        <v/>
      </c>
      <c r="AG1301" s="20">
        <f>IF(OR(B1301="",'経歴簿'!$C$4=""),"",IF(B1301&amp;""='経歴簿'!$C$4&amp;"",MAX($AG$4:AG1300)+1,""))</f>
        <v/>
      </c>
      <c r="AH1301" s="20">
        <f>IF(A1301="",0,IF(AND(OR('CSV抽出'!$C$4="",A1301&gt;='CSV抽出'!$C$4),OR('CSV抽出'!$C$5="",A1301&lt;='CSV抽出'!$C$5),OR('CSV抽出'!$C$6="すべて",'CSV抽出'!$C$6="",D1301='CSV抽出'!$C$6),OR('CSV抽出'!$C$7="",B1301&amp;""='CSV抽出'!$C$7&amp;"")),1,0))</f>
        <v/>
      </c>
      <c r="AI1301" s="20">
        <f>IF(AH1301=1,SUM($AH$5:AH1301),"")</f>
        <v/>
      </c>
      <c r="AJ1301" s="20">
        <f>IF(OR(S1301="",'報告書'!$C$4=""),"",IF(S1301&amp;""='報告書'!$C$4&amp;"",COUNTIF($S$5:S1301,'報告書'!$C$4),""))</f>
        <v/>
      </c>
      <c r="AK1301" s="20" t="n"/>
      <c r="AL1301" s="47" t="n"/>
      <c r="AM1301" s="47" t="n"/>
      <c r="AN1301" s="53" t="n"/>
      <c r="AO1301" s="47" t="n"/>
      <c r="AP1301" s="47" t="n"/>
      <c r="AQ1301" s="47" t="n"/>
      <c r="AR1301" s="47" t="n"/>
      <c r="AS1301" s="47" t="n"/>
      <c r="AT1301" s="47" t="n"/>
      <c r="AU1301" s="47" t="n"/>
      <c r="AV1301" s="47" t="n"/>
      <c r="AW1301" s="52" t="n"/>
    </row>
    <row r="1302">
      <c r="A1302" s="48" t="n"/>
      <c r="B1302" s="52" t="n"/>
      <c r="C1302" s="47">
        <f>IF(B1302="","",IFERROR(INDEX('隊員マスタ'!$B$5:$B$204,MATCH(B1302&amp;"",'隊員マスタ'!$F$5:$F$204,0)),IF(AK1302="","番号なし",AK1302)))</f>
        <v/>
      </c>
      <c r="D1302" s="47" t="n"/>
      <c r="E1302" s="47" t="n"/>
      <c r="F1302" s="47" t="n"/>
      <c r="G1302" s="47" t="n"/>
      <c r="H1302" s="47" t="n"/>
      <c r="I1302" s="47" t="n"/>
      <c r="J1302" s="47" t="n"/>
      <c r="K1302" s="47" t="n"/>
      <c r="L1302" s="47" t="n"/>
      <c r="M1302" s="47" t="n"/>
      <c r="N1302" s="47" t="n"/>
      <c r="O1302" s="47" t="n"/>
      <c r="P1302" s="47" t="n"/>
      <c r="Q1302" s="47" t="n"/>
      <c r="R1302" s="47" t="n"/>
      <c r="S1302" s="47" t="n"/>
      <c r="T1302" s="47" t="n"/>
      <c r="U1302" s="53" t="n"/>
      <c r="V1302" s="53" t="n"/>
      <c r="W1302" s="47" t="n"/>
      <c r="X1302" s="47" t="n"/>
      <c r="Y1302" s="47" t="n"/>
      <c r="Z1302" s="47" t="n"/>
      <c r="AA1302" s="47" t="n"/>
      <c r="AB1302" s="47" t="n"/>
      <c r="AC1302" s="47" t="n"/>
      <c r="AD1302" s="47" t="n"/>
      <c r="AE1302" s="47" t="n"/>
      <c r="AF1302" s="20">
        <f>IF(A1302="","",YEAR(EDATE(A1302,-3)))</f>
        <v/>
      </c>
      <c r="AG1302" s="20">
        <f>IF(OR(B1302="",'経歴簿'!$C$4=""),"",IF(B1302&amp;""='経歴簿'!$C$4&amp;"",MAX($AG$4:AG1301)+1,""))</f>
        <v/>
      </c>
      <c r="AH1302" s="20">
        <f>IF(A1302="",0,IF(AND(OR('CSV抽出'!$C$4="",A1302&gt;='CSV抽出'!$C$4),OR('CSV抽出'!$C$5="",A1302&lt;='CSV抽出'!$C$5),OR('CSV抽出'!$C$6="すべて",'CSV抽出'!$C$6="",D1302='CSV抽出'!$C$6),OR('CSV抽出'!$C$7="",B1302&amp;""='CSV抽出'!$C$7&amp;"")),1,0))</f>
        <v/>
      </c>
      <c r="AI1302" s="20">
        <f>IF(AH1302=1,SUM($AH$5:AH1302),"")</f>
        <v/>
      </c>
      <c r="AJ1302" s="20">
        <f>IF(OR(S1302="",'報告書'!$C$4=""),"",IF(S1302&amp;""='報告書'!$C$4&amp;"",COUNTIF($S$5:S1302,'報告書'!$C$4),""))</f>
        <v/>
      </c>
      <c r="AK1302" s="20" t="n"/>
      <c r="AL1302" s="47" t="n"/>
      <c r="AM1302" s="47" t="n"/>
      <c r="AN1302" s="53" t="n"/>
      <c r="AO1302" s="47" t="n"/>
      <c r="AP1302" s="47" t="n"/>
      <c r="AQ1302" s="47" t="n"/>
      <c r="AR1302" s="47" t="n"/>
      <c r="AS1302" s="47" t="n"/>
      <c r="AT1302" s="47" t="n"/>
      <c r="AU1302" s="47" t="n"/>
      <c r="AV1302" s="47" t="n"/>
      <c r="AW1302" s="52" t="n"/>
    </row>
    <row r="1303">
      <c r="A1303" s="48" t="n"/>
      <c r="B1303" s="52" t="n"/>
      <c r="C1303" s="47">
        <f>IF(B1303="","",IFERROR(INDEX('隊員マスタ'!$B$5:$B$204,MATCH(B1303&amp;"",'隊員マスタ'!$F$5:$F$204,0)),IF(AK1303="","番号なし",AK1303)))</f>
        <v/>
      </c>
      <c r="D1303" s="47" t="n"/>
      <c r="E1303" s="47" t="n"/>
      <c r="F1303" s="47" t="n"/>
      <c r="G1303" s="47" t="n"/>
      <c r="H1303" s="47" t="n"/>
      <c r="I1303" s="47" t="n"/>
      <c r="J1303" s="47" t="n"/>
      <c r="K1303" s="47" t="n"/>
      <c r="L1303" s="47" t="n"/>
      <c r="M1303" s="47" t="n"/>
      <c r="N1303" s="47" t="n"/>
      <c r="O1303" s="47" t="n"/>
      <c r="P1303" s="47" t="n"/>
      <c r="Q1303" s="47" t="n"/>
      <c r="R1303" s="47" t="n"/>
      <c r="S1303" s="47" t="n"/>
      <c r="T1303" s="47" t="n"/>
      <c r="U1303" s="53" t="n"/>
      <c r="V1303" s="53" t="n"/>
      <c r="W1303" s="47" t="n"/>
      <c r="X1303" s="47" t="n"/>
      <c r="Y1303" s="47" t="n"/>
      <c r="Z1303" s="47" t="n"/>
      <c r="AA1303" s="47" t="n"/>
      <c r="AB1303" s="47" t="n"/>
      <c r="AC1303" s="47" t="n"/>
      <c r="AD1303" s="47" t="n"/>
      <c r="AE1303" s="47" t="n"/>
      <c r="AF1303" s="20">
        <f>IF(A1303="","",YEAR(EDATE(A1303,-3)))</f>
        <v/>
      </c>
      <c r="AG1303" s="20">
        <f>IF(OR(B1303="",'経歴簿'!$C$4=""),"",IF(B1303&amp;""='経歴簿'!$C$4&amp;"",MAX($AG$4:AG1302)+1,""))</f>
        <v/>
      </c>
      <c r="AH1303" s="20">
        <f>IF(A1303="",0,IF(AND(OR('CSV抽出'!$C$4="",A1303&gt;='CSV抽出'!$C$4),OR('CSV抽出'!$C$5="",A1303&lt;='CSV抽出'!$C$5),OR('CSV抽出'!$C$6="すべて",'CSV抽出'!$C$6="",D1303='CSV抽出'!$C$6),OR('CSV抽出'!$C$7="",B1303&amp;""='CSV抽出'!$C$7&amp;"")),1,0))</f>
        <v/>
      </c>
      <c r="AI1303" s="20">
        <f>IF(AH1303=1,SUM($AH$5:AH1303),"")</f>
        <v/>
      </c>
      <c r="AJ1303" s="20">
        <f>IF(OR(S1303="",'報告書'!$C$4=""),"",IF(S1303&amp;""='報告書'!$C$4&amp;"",COUNTIF($S$5:S1303,'報告書'!$C$4),""))</f>
        <v/>
      </c>
      <c r="AK1303" s="20" t="n"/>
      <c r="AL1303" s="47" t="n"/>
      <c r="AM1303" s="47" t="n"/>
      <c r="AN1303" s="53" t="n"/>
      <c r="AO1303" s="47" t="n"/>
      <c r="AP1303" s="47" t="n"/>
      <c r="AQ1303" s="47" t="n"/>
      <c r="AR1303" s="47" t="n"/>
      <c r="AS1303" s="47" t="n"/>
      <c r="AT1303" s="47" t="n"/>
      <c r="AU1303" s="47" t="n"/>
      <c r="AV1303" s="47" t="n"/>
      <c r="AW1303" s="52" t="n"/>
    </row>
    <row r="1304">
      <c r="A1304" s="48" t="n"/>
      <c r="B1304" s="52" t="n"/>
      <c r="C1304" s="47">
        <f>IF(B1304="","",IFERROR(INDEX('隊員マスタ'!$B$5:$B$204,MATCH(B1304&amp;"",'隊員マスタ'!$F$5:$F$204,0)),IF(AK1304="","番号なし",AK1304)))</f>
        <v/>
      </c>
      <c r="D1304" s="47" t="n"/>
      <c r="E1304" s="47" t="n"/>
      <c r="F1304" s="47" t="n"/>
      <c r="G1304" s="47" t="n"/>
      <c r="H1304" s="47" t="n"/>
      <c r="I1304" s="47" t="n"/>
      <c r="J1304" s="47" t="n"/>
      <c r="K1304" s="47" t="n"/>
      <c r="L1304" s="47" t="n"/>
      <c r="M1304" s="47" t="n"/>
      <c r="N1304" s="47" t="n"/>
      <c r="O1304" s="47" t="n"/>
      <c r="P1304" s="47" t="n"/>
      <c r="Q1304" s="47" t="n"/>
      <c r="R1304" s="47" t="n"/>
      <c r="S1304" s="47" t="n"/>
      <c r="T1304" s="47" t="n"/>
      <c r="U1304" s="53" t="n"/>
      <c r="V1304" s="53" t="n"/>
      <c r="W1304" s="47" t="n"/>
      <c r="X1304" s="47" t="n"/>
      <c r="Y1304" s="47" t="n"/>
      <c r="Z1304" s="47" t="n"/>
      <c r="AA1304" s="47" t="n"/>
      <c r="AB1304" s="47" t="n"/>
      <c r="AC1304" s="47" t="n"/>
      <c r="AD1304" s="47" t="n"/>
      <c r="AE1304" s="47" t="n"/>
      <c r="AF1304" s="20">
        <f>IF(A1304="","",YEAR(EDATE(A1304,-3)))</f>
        <v/>
      </c>
      <c r="AG1304" s="20">
        <f>IF(OR(B1304="",'経歴簿'!$C$4=""),"",IF(B1304&amp;""='経歴簿'!$C$4&amp;"",MAX($AG$4:AG1303)+1,""))</f>
        <v/>
      </c>
      <c r="AH1304" s="20">
        <f>IF(A1304="",0,IF(AND(OR('CSV抽出'!$C$4="",A1304&gt;='CSV抽出'!$C$4),OR('CSV抽出'!$C$5="",A1304&lt;='CSV抽出'!$C$5),OR('CSV抽出'!$C$6="すべて",'CSV抽出'!$C$6="",D1304='CSV抽出'!$C$6),OR('CSV抽出'!$C$7="",B1304&amp;""='CSV抽出'!$C$7&amp;"")),1,0))</f>
        <v/>
      </c>
      <c r="AI1304" s="20">
        <f>IF(AH1304=1,SUM($AH$5:AH1304),"")</f>
        <v/>
      </c>
      <c r="AJ1304" s="20">
        <f>IF(OR(S1304="",'報告書'!$C$4=""),"",IF(S1304&amp;""='報告書'!$C$4&amp;"",COUNTIF($S$5:S1304,'報告書'!$C$4),""))</f>
        <v/>
      </c>
      <c r="AK1304" s="20" t="n"/>
      <c r="AL1304" s="47" t="n"/>
      <c r="AM1304" s="47" t="n"/>
      <c r="AN1304" s="53" t="n"/>
      <c r="AO1304" s="47" t="n"/>
      <c r="AP1304" s="47" t="n"/>
      <c r="AQ1304" s="47" t="n"/>
      <c r="AR1304" s="47" t="n"/>
      <c r="AS1304" s="47" t="n"/>
      <c r="AT1304" s="47" t="n"/>
      <c r="AU1304" s="47" t="n"/>
      <c r="AV1304" s="47" t="n"/>
      <c r="AW1304" s="52" t="n"/>
    </row>
    <row r="1305">
      <c r="A1305" s="48" t="n"/>
      <c r="B1305" s="52" t="n"/>
      <c r="C1305" s="47">
        <f>IF(B1305="","",IFERROR(INDEX('隊員マスタ'!$B$5:$B$204,MATCH(B1305&amp;"",'隊員マスタ'!$F$5:$F$204,0)),IF(AK1305="","番号なし",AK1305)))</f>
        <v/>
      </c>
      <c r="D1305" s="47" t="n"/>
      <c r="E1305" s="47" t="n"/>
      <c r="F1305" s="47" t="n"/>
      <c r="G1305" s="47" t="n"/>
      <c r="H1305" s="47" t="n"/>
      <c r="I1305" s="47" t="n"/>
      <c r="J1305" s="47" t="n"/>
      <c r="K1305" s="47" t="n"/>
      <c r="L1305" s="47" t="n"/>
      <c r="M1305" s="47" t="n"/>
      <c r="N1305" s="47" t="n"/>
      <c r="O1305" s="47" t="n"/>
      <c r="P1305" s="47" t="n"/>
      <c r="Q1305" s="47" t="n"/>
      <c r="R1305" s="47" t="n"/>
      <c r="S1305" s="47" t="n"/>
      <c r="T1305" s="47" t="n"/>
      <c r="U1305" s="53" t="n"/>
      <c r="V1305" s="53" t="n"/>
      <c r="W1305" s="47" t="n"/>
      <c r="X1305" s="47" t="n"/>
      <c r="Y1305" s="47" t="n"/>
      <c r="Z1305" s="47" t="n"/>
      <c r="AA1305" s="47" t="n"/>
      <c r="AB1305" s="47" t="n"/>
      <c r="AC1305" s="47" t="n"/>
      <c r="AD1305" s="47" t="n"/>
      <c r="AE1305" s="47" t="n"/>
      <c r="AF1305" s="20">
        <f>IF(A1305="","",YEAR(EDATE(A1305,-3)))</f>
        <v/>
      </c>
      <c r="AG1305" s="20">
        <f>IF(OR(B1305="",'経歴簿'!$C$4=""),"",IF(B1305&amp;""='経歴簿'!$C$4&amp;"",MAX($AG$4:AG1304)+1,""))</f>
        <v/>
      </c>
      <c r="AH1305" s="20">
        <f>IF(A1305="",0,IF(AND(OR('CSV抽出'!$C$4="",A1305&gt;='CSV抽出'!$C$4),OR('CSV抽出'!$C$5="",A1305&lt;='CSV抽出'!$C$5),OR('CSV抽出'!$C$6="すべて",'CSV抽出'!$C$6="",D1305='CSV抽出'!$C$6),OR('CSV抽出'!$C$7="",B1305&amp;""='CSV抽出'!$C$7&amp;"")),1,0))</f>
        <v/>
      </c>
      <c r="AI1305" s="20">
        <f>IF(AH1305=1,SUM($AH$5:AH1305),"")</f>
        <v/>
      </c>
      <c r="AJ1305" s="20">
        <f>IF(OR(S1305="",'報告書'!$C$4=""),"",IF(S1305&amp;""='報告書'!$C$4&amp;"",COUNTIF($S$5:S1305,'報告書'!$C$4),""))</f>
        <v/>
      </c>
      <c r="AK1305" s="20" t="n"/>
      <c r="AL1305" s="47" t="n"/>
      <c r="AM1305" s="47" t="n"/>
      <c r="AN1305" s="53" t="n"/>
      <c r="AO1305" s="47" t="n"/>
      <c r="AP1305" s="47" t="n"/>
      <c r="AQ1305" s="47" t="n"/>
      <c r="AR1305" s="47" t="n"/>
      <c r="AS1305" s="47" t="n"/>
      <c r="AT1305" s="47" t="n"/>
      <c r="AU1305" s="47" t="n"/>
      <c r="AV1305" s="47" t="n"/>
      <c r="AW1305" s="52" t="n"/>
    </row>
    <row r="1306">
      <c r="A1306" s="48" t="n"/>
      <c r="B1306" s="52" t="n"/>
      <c r="C1306" s="47">
        <f>IF(B1306="","",IFERROR(INDEX('隊員マスタ'!$B$5:$B$204,MATCH(B1306&amp;"",'隊員マスタ'!$F$5:$F$204,0)),IF(AK1306="","番号なし",AK1306)))</f>
        <v/>
      </c>
      <c r="D1306" s="47" t="n"/>
      <c r="E1306" s="47" t="n"/>
      <c r="F1306" s="47" t="n"/>
      <c r="G1306" s="47" t="n"/>
      <c r="H1306" s="47" t="n"/>
      <c r="I1306" s="47" t="n"/>
      <c r="J1306" s="47" t="n"/>
      <c r="K1306" s="47" t="n"/>
      <c r="L1306" s="47" t="n"/>
      <c r="M1306" s="47" t="n"/>
      <c r="N1306" s="47" t="n"/>
      <c r="O1306" s="47" t="n"/>
      <c r="P1306" s="47" t="n"/>
      <c r="Q1306" s="47" t="n"/>
      <c r="R1306" s="47" t="n"/>
      <c r="S1306" s="47" t="n"/>
      <c r="T1306" s="47" t="n"/>
      <c r="U1306" s="53" t="n"/>
      <c r="V1306" s="53" t="n"/>
      <c r="W1306" s="47" t="n"/>
      <c r="X1306" s="47" t="n"/>
      <c r="Y1306" s="47" t="n"/>
      <c r="Z1306" s="47" t="n"/>
      <c r="AA1306" s="47" t="n"/>
      <c r="AB1306" s="47" t="n"/>
      <c r="AC1306" s="47" t="n"/>
      <c r="AD1306" s="47" t="n"/>
      <c r="AE1306" s="47" t="n"/>
      <c r="AF1306" s="20">
        <f>IF(A1306="","",YEAR(EDATE(A1306,-3)))</f>
        <v/>
      </c>
      <c r="AG1306" s="20">
        <f>IF(OR(B1306="",'経歴簿'!$C$4=""),"",IF(B1306&amp;""='経歴簿'!$C$4&amp;"",MAX($AG$4:AG1305)+1,""))</f>
        <v/>
      </c>
      <c r="AH1306" s="20">
        <f>IF(A1306="",0,IF(AND(OR('CSV抽出'!$C$4="",A1306&gt;='CSV抽出'!$C$4),OR('CSV抽出'!$C$5="",A1306&lt;='CSV抽出'!$C$5),OR('CSV抽出'!$C$6="すべて",'CSV抽出'!$C$6="",D1306='CSV抽出'!$C$6),OR('CSV抽出'!$C$7="",B1306&amp;""='CSV抽出'!$C$7&amp;"")),1,0))</f>
        <v/>
      </c>
      <c r="AI1306" s="20">
        <f>IF(AH1306=1,SUM($AH$5:AH1306),"")</f>
        <v/>
      </c>
      <c r="AJ1306" s="20">
        <f>IF(OR(S1306="",'報告書'!$C$4=""),"",IF(S1306&amp;""='報告書'!$C$4&amp;"",COUNTIF($S$5:S1306,'報告書'!$C$4),""))</f>
        <v/>
      </c>
      <c r="AK1306" s="20" t="n"/>
      <c r="AL1306" s="47" t="n"/>
      <c r="AM1306" s="47" t="n"/>
      <c r="AN1306" s="53" t="n"/>
      <c r="AO1306" s="47" t="n"/>
      <c r="AP1306" s="47" t="n"/>
      <c r="AQ1306" s="47" t="n"/>
      <c r="AR1306" s="47" t="n"/>
      <c r="AS1306" s="47" t="n"/>
      <c r="AT1306" s="47" t="n"/>
      <c r="AU1306" s="47" t="n"/>
      <c r="AV1306" s="47" t="n"/>
      <c r="AW1306" s="52" t="n"/>
    </row>
    <row r="1307">
      <c r="A1307" s="48" t="n"/>
      <c r="B1307" s="52" t="n"/>
      <c r="C1307" s="47">
        <f>IF(B1307="","",IFERROR(INDEX('隊員マスタ'!$B$5:$B$204,MATCH(B1307&amp;"",'隊員マスタ'!$F$5:$F$204,0)),IF(AK1307="","番号なし",AK1307)))</f>
        <v/>
      </c>
      <c r="D1307" s="47" t="n"/>
      <c r="E1307" s="47" t="n"/>
      <c r="F1307" s="47" t="n"/>
      <c r="G1307" s="47" t="n"/>
      <c r="H1307" s="47" t="n"/>
      <c r="I1307" s="47" t="n"/>
      <c r="J1307" s="47" t="n"/>
      <c r="K1307" s="47" t="n"/>
      <c r="L1307" s="47" t="n"/>
      <c r="M1307" s="47" t="n"/>
      <c r="N1307" s="47" t="n"/>
      <c r="O1307" s="47" t="n"/>
      <c r="P1307" s="47" t="n"/>
      <c r="Q1307" s="47" t="n"/>
      <c r="R1307" s="47" t="n"/>
      <c r="S1307" s="47" t="n"/>
      <c r="T1307" s="47" t="n"/>
      <c r="U1307" s="53" t="n"/>
      <c r="V1307" s="53" t="n"/>
      <c r="W1307" s="47" t="n"/>
      <c r="X1307" s="47" t="n"/>
      <c r="Y1307" s="47" t="n"/>
      <c r="Z1307" s="47" t="n"/>
      <c r="AA1307" s="47" t="n"/>
      <c r="AB1307" s="47" t="n"/>
      <c r="AC1307" s="47" t="n"/>
      <c r="AD1307" s="47" t="n"/>
      <c r="AE1307" s="47" t="n"/>
      <c r="AF1307" s="20">
        <f>IF(A1307="","",YEAR(EDATE(A1307,-3)))</f>
        <v/>
      </c>
      <c r="AG1307" s="20">
        <f>IF(OR(B1307="",'経歴簿'!$C$4=""),"",IF(B1307&amp;""='経歴簿'!$C$4&amp;"",MAX($AG$4:AG1306)+1,""))</f>
        <v/>
      </c>
      <c r="AH1307" s="20">
        <f>IF(A1307="",0,IF(AND(OR('CSV抽出'!$C$4="",A1307&gt;='CSV抽出'!$C$4),OR('CSV抽出'!$C$5="",A1307&lt;='CSV抽出'!$C$5),OR('CSV抽出'!$C$6="すべて",'CSV抽出'!$C$6="",D1307='CSV抽出'!$C$6),OR('CSV抽出'!$C$7="",B1307&amp;""='CSV抽出'!$C$7&amp;"")),1,0))</f>
        <v/>
      </c>
      <c r="AI1307" s="20">
        <f>IF(AH1307=1,SUM($AH$5:AH1307),"")</f>
        <v/>
      </c>
      <c r="AJ1307" s="20">
        <f>IF(OR(S1307="",'報告書'!$C$4=""),"",IF(S1307&amp;""='報告書'!$C$4&amp;"",COUNTIF($S$5:S1307,'報告書'!$C$4),""))</f>
        <v/>
      </c>
      <c r="AK1307" s="20" t="n"/>
      <c r="AL1307" s="47" t="n"/>
      <c r="AM1307" s="47" t="n"/>
      <c r="AN1307" s="53" t="n"/>
      <c r="AO1307" s="47" t="n"/>
      <c r="AP1307" s="47" t="n"/>
      <c r="AQ1307" s="47" t="n"/>
      <c r="AR1307" s="47" t="n"/>
      <c r="AS1307" s="47" t="n"/>
      <c r="AT1307" s="47" t="n"/>
      <c r="AU1307" s="47" t="n"/>
      <c r="AV1307" s="47" t="n"/>
      <c r="AW1307" s="52" t="n"/>
    </row>
    <row r="1308">
      <c r="A1308" s="48" t="n"/>
      <c r="B1308" s="52" t="n"/>
      <c r="C1308" s="47">
        <f>IF(B1308="","",IFERROR(INDEX('隊員マスタ'!$B$5:$B$204,MATCH(B1308&amp;"",'隊員マスタ'!$F$5:$F$204,0)),IF(AK1308="","番号なし",AK1308)))</f>
        <v/>
      </c>
      <c r="D1308" s="47" t="n"/>
      <c r="E1308" s="47" t="n"/>
      <c r="F1308" s="47" t="n"/>
      <c r="G1308" s="47" t="n"/>
      <c r="H1308" s="47" t="n"/>
      <c r="I1308" s="47" t="n"/>
      <c r="J1308" s="47" t="n"/>
      <c r="K1308" s="47" t="n"/>
      <c r="L1308" s="47" t="n"/>
      <c r="M1308" s="47" t="n"/>
      <c r="N1308" s="47" t="n"/>
      <c r="O1308" s="47" t="n"/>
      <c r="P1308" s="47" t="n"/>
      <c r="Q1308" s="47" t="n"/>
      <c r="R1308" s="47" t="n"/>
      <c r="S1308" s="47" t="n"/>
      <c r="T1308" s="47" t="n"/>
      <c r="U1308" s="53" t="n"/>
      <c r="V1308" s="53" t="n"/>
      <c r="W1308" s="47" t="n"/>
      <c r="X1308" s="47" t="n"/>
      <c r="Y1308" s="47" t="n"/>
      <c r="Z1308" s="47" t="n"/>
      <c r="AA1308" s="47" t="n"/>
      <c r="AB1308" s="47" t="n"/>
      <c r="AC1308" s="47" t="n"/>
      <c r="AD1308" s="47" t="n"/>
      <c r="AE1308" s="47" t="n"/>
      <c r="AF1308" s="20">
        <f>IF(A1308="","",YEAR(EDATE(A1308,-3)))</f>
        <v/>
      </c>
      <c r="AG1308" s="20">
        <f>IF(OR(B1308="",'経歴簿'!$C$4=""),"",IF(B1308&amp;""='経歴簿'!$C$4&amp;"",MAX($AG$4:AG1307)+1,""))</f>
        <v/>
      </c>
      <c r="AH1308" s="20">
        <f>IF(A1308="",0,IF(AND(OR('CSV抽出'!$C$4="",A1308&gt;='CSV抽出'!$C$4),OR('CSV抽出'!$C$5="",A1308&lt;='CSV抽出'!$C$5),OR('CSV抽出'!$C$6="すべて",'CSV抽出'!$C$6="",D1308='CSV抽出'!$C$6),OR('CSV抽出'!$C$7="",B1308&amp;""='CSV抽出'!$C$7&amp;"")),1,0))</f>
        <v/>
      </c>
      <c r="AI1308" s="20">
        <f>IF(AH1308=1,SUM($AH$5:AH1308),"")</f>
        <v/>
      </c>
      <c r="AJ1308" s="20">
        <f>IF(OR(S1308="",'報告書'!$C$4=""),"",IF(S1308&amp;""='報告書'!$C$4&amp;"",COUNTIF($S$5:S1308,'報告書'!$C$4),""))</f>
        <v/>
      </c>
      <c r="AK1308" s="20" t="n"/>
      <c r="AL1308" s="47" t="n"/>
      <c r="AM1308" s="47" t="n"/>
      <c r="AN1308" s="53" t="n"/>
      <c r="AO1308" s="47" t="n"/>
      <c r="AP1308" s="47" t="n"/>
      <c r="AQ1308" s="47" t="n"/>
      <c r="AR1308" s="47" t="n"/>
      <c r="AS1308" s="47" t="n"/>
      <c r="AT1308" s="47" t="n"/>
      <c r="AU1308" s="47" t="n"/>
      <c r="AV1308" s="47" t="n"/>
      <c r="AW1308" s="52" t="n"/>
    </row>
    <row r="1309">
      <c r="A1309" s="48" t="n"/>
      <c r="B1309" s="52" t="n"/>
      <c r="C1309" s="47">
        <f>IF(B1309="","",IFERROR(INDEX('隊員マスタ'!$B$5:$B$204,MATCH(B1309&amp;"",'隊員マスタ'!$F$5:$F$204,0)),IF(AK1309="","番号なし",AK1309)))</f>
        <v/>
      </c>
      <c r="D1309" s="47" t="n"/>
      <c r="E1309" s="47" t="n"/>
      <c r="F1309" s="47" t="n"/>
      <c r="G1309" s="47" t="n"/>
      <c r="H1309" s="47" t="n"/>
      <c r="I1309" s="47" t="n"/>
      <c r="J1309" s="47" t="n"/>
      <c r="K1309" s="47" t="n"/>
      <c r="L1309" s="47" t="n"/>
      <c r="M1309" s="47" t="n"/>
      <c r="N1309" s="47" t="n"/>
      <c r="O1309" s="47" t="n"/>
      <c r="P1309" s="47" t="n"/>
      <c r="Q1309" s="47" t="n"/>
      <c r="R1309" s="47" t="n"/>
      <c r="S1309" s="47" t="n"/>
      <c r="T1309" s="47" t="n"/>
      <c r="U1309" s="53" t="n"/>
      <c r="V1309" s="53" t="n"/>
      <c r="W1309" s="47" t="n"/>
      <c r="X1309" s="47" t="n"/>
      <c r="Y1309" s="47" t="n"/>
      <c r="Z1309" s="47" t="n"/>
      <c r="AA1309" s="47" t="n"/>
      <c r="AB1309" s="47" t="n"/>
      <c r="AC1309" s="47" t="n"/>
      <c r="AD1309" s="47" t="n"/>
      <c r="AE1309" s="47" t="n"/>
      <c r="AF1309" s="20">
        <f>IF(A1309="","",YEAR(EDATE(A1309,-3)))</f>
        <v/>
      </c>
      <c r="AG1309" s="20">
        <f>IF(OR(B1309="",'経歴簿'!$C$4=""),"",IF(B1309&amp;""='経歴簿'!$C$4&amp;"",MAX($AG$4:AG1308)+1,""))</f>
        <v/>
      </c>
      <c r="AH1309" s="20">
        <f>IF(A1309="",0,IF(AND(OR('CSV抽出'!$C$4="",A1309&gt;='CSV抽出'!$C$4),OR('CSV抽出'!$C$5="",A1309&lt;='CSV抽出'!$C$5),OR('CSV抽出'!$C$6="すべて",'CSV抽出'!$C$6="",D1309='CSV抽出'!$C$6),OR('CSV抽出'!$C$7="",B1309&amp;""='CSV抽出'!$C$7&amp;"")),1,0))</f>
        <v/>
      </c>
      <c r="AI1309" s="20">
        <f>IF(AH1309=1,SUM($AH$5:AH1309),"")</f>
        <v/>
      </c>
      <c r="AJ1309" s="20">
        <f>IF(OR(S1309="",'報告書'!$C$4=""),"",IF(S1309&amp;""='報告書'!$C$4&amp;"",COUNTIF($S$5:S1309,'報告書'!$C$4),""))</f>
        <v/>
      </c>
      <c r="AK1309" s="20" t="n"/>
      <c r="AL1309" s="47" t="n"/>
      <c r="AM1309" s="47" t="n"/>
      <c r="AN1309" s="53" t="n"/>
      <c r="AO1309" s="47" t="n"/>
      <c r="AP1309" s="47" t="n"/>
      <c r="AQ1309" s="47" t="n"/>
      <c r="AR1309" s="47" t="n"/>
      <c r="AS1309" s="47" t="n"/>
      <c r="AT1309" s="47" t="n"/>
      <c r="AU1309" s="47" t="n"/>
      <c r="AV1309" s="47" t="n"/>
      <c r="AW1309" s="52" t="n"/>
    </row>
    <row r="1310">
      <c r="A1310" s="48" t="n"/>
      <c r="B1310" s="52" t="n"/>
      <c r="C1310" s="47">
        <f>IF(B1310="","",IFERROR(INDEX('隊員マスタ'!$B$5:$B$204,MATCH(B1310&amp;"",'隊員マスタ'!$F$5:$F$204,0)),IF(AK1310="","番号なし",AK1310)))</f>
        <v/>
      </c>
      <c r="D1310" s="47" t="n"/>
      <c r="E1310" s="47" t="n"/>
      <c r="F1310" s="47" t="n"/>
      <c r="G1310" s="47" t="n"/>
      <c r="H1310" s="47" t="n"/>
      <c r="I1310" s="47" t="n"/>
      <c r="J1310" s="47" t="n"/>
      <c r="K1310" s="47" t="n"/>
      <c r="L1310" s="47" t="n"/>
      <c r="M1310" s="47" t="n"/>
      <c r="N1310" s="47" t="n"/>
      <c r="O1310" s="47" t="n"/>
      <c r="P1310" s="47" t="n"/>
      <c r="Q1310" s="47" t="n"/>
      <c r="R1310" s="47" t="n"/>
      <c r="S1310" s="47" t="n"/>
      <c r="T1310" s="47" t="n"/>
      <c r="U1310" s="53" t="n"/>
      <c r="V1310" s="53" t="n"/>
      <c r="W1310" s="47" t="n"/>
      <c r="X1310" s="47" t="n"/>
      <c r="Y1310" s="47" t="n"/>
      <c r="Z1310" s="47" t="n"/>
      <c r="AA1310" s="47" t="n"/>
      <c r="AB1310" s="47" t="n"/>
      <c r="AC1310" s="47" t="n"/>
      <c r="AD1310" s="47" t="n"/>
      <c r="AE1310" s="47" t="n"/>
      <c r="AF1310" s="20">
        <f>IF(A1310="","",YEAR(EDATE(A1310,-3)))</f>
        <v/>
      </c>
      <c r="AG1310" s="20">
        <f>IF(OR(B1310="",'経歴簿'!$C$4=""),"",IF(B1310&amp;""='経歴簿'!$C$4&amp;"",MAX($AG$4:AG1309)+1,""))</f>
        <v/>
      </c>
      <c r="AH1310" s="20">
        <f>IF(A1310="",0,IF(AND(OR('CSV抽出'!$C$4="",A1310&gt;='CSV抽出'!$C$4),OR('CSV抽出'!$C$5="",A1310&lt;='CSV抽出'!$C$5),OR('CSV抽出'!$C$6="すべて",'CSV抽出'!$C$6="",D1310='CSV抽出'!$C$6),OR('CSV抽出'!$C$7="",B1310&amp;""='CSV抽出'!$C$7&amp;"")),1,0))</f>
        <v/>
      </c>
      <c r="AI1310" s="20">
        <f>IF(AH1310=1,SUM($AH$5:AH1310),"")</f>
        <v/>
      </c>
      <c r="AJ1310" s="20">
        <f>IF(OR(S1310="",'報告書'!$C$4=""),"",IF(S1310&amp;""='報告書'!$C$4&amp;"",COUNTIF($S$5:S1310,'報告書'!$C$4),""))</f>
        <v/>
      </c>
      <c r="AK1310" s="20" t="n"/>
      <c r="AL1310" s="47" t="n"/>
      <c r="AM1310" s="47" t="n"/>
      <c r="AN1310" s="53" t="n"/>
      <c r="AO1310" s="47" t="n"/>
      <c r="AP1310" s="47" t="n"/>
      <c r="AQ1310" s="47" t="n"/>
      <c r="AR1310" s="47" t="n"/>
      <c r="AS1310" s="47" t="n"/>
      <c r="AT1310" s="47" t="n"/>
      <c r="AU1310" s="47" t="n"/>
      <c r="AV1310" s="47" t="n"/>
      <c r="AW1310" s="52" t="n"/>
    </row>
    <row r="1311">
      <c r="A1311" s="48" t="n"/>
      <c r="B1311" s="52" t="n"/>
      <c r="C1311" s="47">
        <f>IF(B1311="","",IFERROR(INDEX('隊員マスタ'!$B$5:$B$204,MATCH(B1311&amp;"",'隊員マスタ'!$F$5:$F$204,0)),IF(AK1311="","番号なし",AK1311)))</f>
        <v/>
      </c>
      <c r="D1311" s="47" t="n"/>
      <c r="E1311" s="47" t="n"/>
      <c r="F1311" s="47" t="n"/>
      <c r="G1311" s="47" t="n"/>
      <c r="H1311" s="47" t="n"/>
      <c r="I1311" s="47" t="n"/>
      <c r="J1311" s="47" t="n"/>
      <c r="K1311" s="47" t="n"/>
      <c r="L1311" s="47" t="n"/>
      <c r="M1311" s="47" t="n"/>
      <c r="N1311" s="47" t="n"/>
      <c r="O1311" s="47" t="n"/>
      <c r="P1311" s="47" t="n"/>
      <c r="Q1311" s="47" t="n"/>
      <c r="R1311" s="47" t="n"/>
      <c r="S1311" s="47" t="n"/>
      <c r="T1311" s="47" t="n"/>
      <c r="U1311" s="53" t="n"/>
      <c r="V1311" s="53" t="n"/>
      <c r="W1311" s="47" t="n"/>
      <c r="X1311" s="47" t="n"/>
      <c r="Y1311" s="47" t="n"/>
      <c r="Z1311" s="47" t="n"/>
      <c r="AA1311" s="47" t="n"/>
      <c r="AB1311" s="47" t="n"/>
      <c r="AC1311" s="47" t="n"/>
      <c r="AD1311" s="47" t="n"/>
      <c r="AE1311" s="47" t="n"/>
      <c r="AF1311" s="20">
        <f>IF(A1311="","",YEAR(EDATE(A1311,-3)))</f>
        <v/>
      </c>
      <c r="AG1311" s="20">
        <f>IF(OR(B1311="",'経歴簿'!$C$4=""),"",IF(B1311&amp;""='経歴簿'!$C$4&amp;"",MAX($AG$4:AG1310)+1,""))</f>
        <v/>
      </c>
      <c r="AH1311" s="20">
        <f>IF(A1311="",0,IF(AND(OR('CSV抽出'!$C$4="",A1311&gt;='CSV抽出'!$C$4),OR('CSV抽出'!$C$5="",A1311&lt;='CSV抽出'!$C$5),OR('CSV抽出'!$C$6="すべて",'CSV抽出'!$C$6="",D1311='CSV抽出'!$C$6),OR('CSV抽出'!$C$7="",B1311&amp;""='CSV抽出'!$C$7&amp;"")),1,0))</f>
        <v/>
      </c>
      <c r="AI1311" s="20">
        <f>IF(AH1311=1,SUM($AH$5:AH1311),"")</f>
        <v/>
      </c>
      <c r="AJ1311" s="20">
        <f>IF(OR(S1311="",'報告書'!$C$4=""),"",IF(S1311&amp;""='報告書'!$C$4&amp;"",COUNTIF($S$5:S1311,'報告書'!$C$4),""))</f>
        <v/>
      </c>
      <c r="AK1311" s="20" t="n"/>
      <c r="AL1311" s="47" t="n"/>
      <c r="AM1311" s="47" t="n"/>
      <c r="AN1311" s="53" t="n"/>
      <c r="AO1311" s="47" t="n"/>
      <c r="AP1311" s="47" t="n"/>
      <c r="AQ1311" s="47" t="n"/>
      <c r="AR1311" s="47" t="n"/>
      <c r="AS1311" s="47" t="n"/>
      <c r="AT1311" s="47" t="n"/>
      <c r="AU1311" s="47" t="n"/>
      <c r="AV1311" s="47" t="n"/>
      <c r="AW1311" s="52" t="n"/>
    </row>
    <row r="1312">
      <c r="A1312" s="48" t="n"/>
      <c r="B1312" s="52" t="n"/>
      <c r="C1312" s="47">
        <f>IF(B1312="","",IFERROR(INDEX('隊員マスタ'!$B$5:$B$204,MATCH(B1312&amp;"",'隊員マスタ'!$F$5:$F$204,0)),IF(AK1312="","番号なし",AK1312)))</f>
        <v/>
      </c>
      <c r="D1312" s="47" t="n"/>
      <c r="E1312" s="47" t="n"/>
      <c r="F1312" s="47" t="n"/>
      <c r="G1312" s="47" t="n"/>
      <c r="H1312" s="47" t="n"/>
      <c r="I1312" s="47" t="n"/>
      <c r="J1312" s="47" t="n"/>
      <c r="K1312" s="47" t="n"/>
      <c r="L1312" s="47" t="n"/>
      <c r="M1312" s="47" t="n"/>
      <c r="N1312" s="47" t="n"/>
      <c r="O1312" s="47" t="n"/>
      <c r="P1312" s="47" t="n"/>
      <c r="Q1312" s="47" t="n"/>
      <c r="R1312" s="47" t="n"/>
      <c r="S1312" s="47" t="n"/>
      <c r="T1312" s="47" t="n"/>
      <c r="U1312" s="53" t="n"/>
      <c r="V1312" s="53" t="n"/>
      <c r="W1312" s="47" t="n"/>
      <c r="X1312" s="47" t="n"/>
      <c r="Y1312" s="47" t="n"/>
      <c r="Z1312" s="47" t="n"/>
      <c r="AA1312" s="47" t="n"/>
      <c r="AB1312" s="47" t="n"/>
      <c r="AC1312" s="47" t="n"/>
      <c r="AD1312" s="47" t="n"/>
      <c r="AE1312" s="47" t="n"/>
      <c r="AF1312" s="20">
        <f>IF(A1312="","",YEAR(EDATE(A1312,-3)))</f>
        <v/>
      </c>
      <c r="AG1312" s="20">
        <f>IF(OR(B1312="",'経歴簿'!$C$4=""),"",IF(B1312&amp;""='経歴簿'!$C$4&amp;"",MAX($AG$4:AG1311)+1,""))</f>
        <v/>
      </c>
      <c r="AH1312" s="20">
        <f>IF(A1312="",0,IF(AND(OR('CSV抽出'!$C$4="",A1312&gt;='CSV抽出'!$C$4),OR('CSV抽出'!$C$5="",A1312&lt;='CSV抽出'!$C$5),OR('CSV抽出'!$C$6="すべて",'CSV抽出'!$C$6="",D1312='CSV抽出'!$C$6),OR('CSV抽出'!$C$7="",B1312&amp;""='CSV抽出'!$C$7&amp;"")),1,0))</f>
        <v/>
      </c>
      <c r="AI1312" s="20">
        <f>IF(AH1312=1,SUM($AH$5:AH1312),"")</f>
        <v/>
      </c>
      <c r="AJ1312" s="20">
        <f>IF(OR(S1312="",'報告書'!$C$4=""),"",IF(S1312&amp;""='報告書'!$C$4&amp;"",COUNTIF($S$5:S1312,'報告書'!$C$4),""))</f>
        <v/>
      </c>
      <c r="AK1312" s="20" t="n"/>
      <c r="AL1312" s="47" t="n"/>
      <c r="AM1312" s="47" t="n"/>
      <c r="AN1312" s="53" t="n"/>
      <c r="AO1312" s="47" t="n"/>
      <c r="AP1312" s="47" t="n"/>
      <c r="AQ1312" s="47" t="n"/>
      <c r="AR1312" s="47" t="n"/>
      <c r="AS1312" s="47" t="n"/>
      <c r="AT1312" s="47" t="n"/>
      <c r="AU1312" s="47" t="n"/>
      <c r="AV1312" s="47" t="n"/>
      <c r="AW1312" s="52" t="n"/>
    </row>
    <row r="1313">
      <c r="A1313" s="48" t="n"/>
      <c r="B1313" s="52" t="n"/>
      <c r="C1313" s="47">
        <f>IF(B1313="","",IFERROR(INDEX('隊員マスタ'!$B$5:$B$204,MATCH(B1313&amp;"",'隊員マスタ'!$F$5:$F$204,0)),IF(AK1313="","番号なし",AK1313)))</f>
        <v/>
      </c>
      <c r="D1313" s="47" t="n"/>
      <c r="E1313" s="47" t="n"/>
      <c r="F1313" s="47" t="n"/>
      <c r="G1313" s="47" t="n"/>
      <c r="H1313" s="47" t="n"/>
      <c r="I1313" s="47" t="n"/>
      <c r="J1313" s="47" t="n"/>
      <c r="K1313" s="47" t="n"/>
      <c r="L1313" s="47" t="n"/>
      <c r="M1313" s="47" t="n"/>
      <c r="N1313" s="47" t="n"/>
      <c r="O1313" s="47" t="n"/>
      <c r="P1313" s="47" t="n"/>
      <c r="Q1313" s="47" t="n"/>
      <c r="R1313" s="47" t="n"/>
      <c r="S1313" s="47" t="n"/>
      <c r="T1313" s="47" t="n"/>
      <c r="U1313" s="53" t="n"/>
      <c r="V1313" s="53" t="n"/>
      <c r="W1313" s="47" t="n"/>
      <c r="X1313" s="47" t="n"/>
      <c r="Y1313" s="47" t="n"/>
      <c r="Z1313" s="47" t="n"/>
      <c r="AA1313" s="47" t="n"/>
      <c r="AB1313" s="47" t="n"/>
      <c r="AC1313" s="47" t="n"/>
      <c r="AD1313" s="47" t="n"/>
      <c r="AE1313" s="47" t="n"/>
      <c r="AF1313" s="20">
        <f>IF(A1313="","",YEAR(EDATE(A1313,-3)))</f>
        <v/>
      </c>
      <c r="AG1313" s="20">
        <f>IF(OR(B1313="",'経歴簿'!$C$4=""),"",IF(B1313&amp;""='経歴簿'!$C$4&amp;"",MAX($AG$4:AG1312)+1,""))</f>
        <v/>
      </c>
      <c r="AH1313" s="20">
        <f>IF(A1313="",0,IF(AND(OR('CSV抽出'!$C$4="",A1313&gt;='CSV抽出'!$C$4),OR('CSV抽出'!$C$5="",A1313&lt;='CSV抽出'!$C$5),OR('CSV抽出'!$C$6="すべて",'CSV抽出'!$C$6="",D1313='CSV抽出'!$C$6),OR('CSV抽出'!$C$7="",B1313&amp;""='CSV抽出'!$C$7&amp;"")),1,0))</f>
        <v/>
      </c>
      <c r="AI1313" s="20">
        <f>IF(AH1313=1,SUM($AH$5:AH1313),"")</f>
        <v/>
      </c>
      <c r="AJ1313" s="20">
        <f>IF(OR(S1313="",'報告書'!$C$4=""),"",IF(S1313&amp;""='報告書'!$C$4&amp;"",COUNTIF($S$5:S1313,'報告書'!$C$4),""))</f>
        <v/>
      </c>
      <c r="AK1313" s="20" t="n"/>
      <c r="AL1313" s="47" t="n"/>
      <c r="AM1313" s="47" t="n"/>
      <c r="AN1313" s="53" t="n"/>
      <c r="AO1313" s="47" t="n"/>
      <c r="AP1313" s="47" t="n"/>
      <c r="AQ1313" s="47" t="n"/>
      <c r="AR1313" s="47" t="n"/>
      <c r="AS1313" s="47" t="n"/>
      <c r="AT1313" s="47" t="n"/>
      <c r="AU1313" s="47" t="n"/>
      <c r="AV1313" s="47" t="n"/>
      <c r="AW1313" s="52" t="n"/>
    </row>
    <row r="1314">
      <c r="A1314" s="48" t="n"/>
      <c r="B1314" s="52" t="n"/>
      <c r="C1314" s="47">
        <f>IF(B1314="","",IFERROR(INDEX('隊員マスタ'!$B$5:$B$204,MATCH(B1314&amp;"",'隊員マスタ'!$F$5:$F$204,0)),IF(AK1314="","番号なし",AK1314)))</f>
        <v/>
      </c>
      <c r="D1314" s="47" t="n"/>
      <c r="E1314" s="47" t="n"/>
      <c r="F1314" s="47" t="n"/>
      <c r="G1314" s="47" t="n"/>
      <c r="H1314" s="47" t="n"/>
      <c r="I1314" s="47" t="n"/>
      <c r="J1314" s="47" t="n"/>
      <c r="K1314" s="47" t="n"/>
      <c r="L1314" s="47" t="n"/>
      <c r="M1314" s="47" t="n"/>
      <c r="N1314" s="47" t="n"/>
      <c r="O1314" s="47" t="n"/>
      <c r="P1314" s="47" t="n"/>
      <c r="Q1314" s="47" t="n"/>
      <c r="R1314" s="47" t="n"/>
      <c r="S1314" s="47" t="n"/>
      <c r="T1314" s="47" t="n"/>
      <c r="U1314" s="53" t="n"/>
      <c r="V1314" s="53" t="n"/>
      <c r="W1314" s="47" t="n"/>
      <c r="X1314" s="47" t="n"/>
      <c r="Y1314" s="47" t="n"/>
      <c r="Z1314" s="47" t="n"/>
      <c r="AA1314" s="47" t="n"/>
      <c r="AB1314" s="47" t="n"/>
      <c r="AC1314" s="47" t="n"/>
      <c r="AD1314" s="47" t="n"/>
      <c r="AE1314" s="47" t="n"/>
      <c r="AF1314" s="20">
        <f>IF(A1314="","",YEAR(EDATE(A1314,-3)))</f>
        <v/>
      </c>
      <c r="AG1314" s="20">
        <f>IF(OR(B1314="",'経歴簿'!$C$4=""),"",IF(B1314&amp;""='経歴簿'!$C$4&amp;"",MAX($AG$4:AG1313)+1,""))</f>
        <v/>
      </c>
      <c r="AH1314" s="20">
        <f>IF(A1314="",0,IF(AND(OR('CSV抽出'!$C$4="",A1314&gt;='CSV抽出'!$C$4),OR('CSV抽出'!$C$5="",A1314&lt;='CSV抽出'!$C$5),OR('CSV抽出'!$C$6="すべて",'CSV抽出'!$C$6="",D1314='CSV抽出'!$C$6),OR('CSV抽出'!$C$7="",B1314&amp;""='CSV抽出'!$C$7&amp;"")),1,0))</f>
        <v/>
      </c>
      <c r="AI1314" s="20">
        <f>IF(AH1314=1,SUM($AH$5:AH1314),"")</f>
        <v/>
      </c>
      <c r="AJ1314" s="20">
        <f>IF(OR(S1314="",'報告書'!$C$4=""),"",IF(S1314&amp;""='報告書'!$C$4&amp;"",COUNTIF($S$5:S1314,'報告書'!$C$4),""))</f>
        <v/>
      </c>
      <c r="AK1314" s="20" t="n"/>
      <c r="AL1314" s="47" t="n"/>
      <c r="AM1314" s="47" t="n"/>
      <c r="AN1314" s="53" t="n"/>
      <c r="AO1314" s="47" t="n"/>
      <c r="AP1314" s="47" t="n"/>
      <c r="AQ1314" s="47" t="n"/>
      <c r="AR1314" s="47" t="n"/>
      <c r="AS1314" s="47" t="n"/>
      <c r="AT1314" s="47" t="n"/>
      <c r="AU1314" s="47" t="n"/>
      <c r="AV1314" s="47" t="n"/>
      <c r="AW1314" s="52" t="n"/>
    </row>
    <row r="1315">
      <c r="A1315" s="48" t="n"/>
      <c r="B1315" s="52" t="n"/>
      <c r="C1315" s="47">
        <f>IF(B1315="","",IFERROR(INDEX('隊員マスタ'!$B$5:$B$204,MATCH(B1315&amp;"",'隊員マスタ'!$F$5:$F$204,0)),IF(AK1315="","番号なし",AK1315)))</f>
        <v/>
      </c>
      <c r="D1315" s="47" t="n"/>
      <c r="E1315" s="47" t="n"/>
      <c r="F1315" s="47" t="n"/>
      <c r="G1315" s="47" t="n"/>
      <c r="H1315" s="47" t="n"/>
      <c r="I1315" s="47" t="n"/>
      <c r="J1315" s="47" t="n"/>
      <c r="K1315" s="47" t="n"/>
      <c r="L1315" s="47" t="n"/>
      <c r="M1315" s="47" t="n"/>
      <c r="N1315" s="47" t="n"/>
      <c r="O1315" s="47" t="n"/>
      <c r="P1315" s="47" t="n"/>
      <c r="Q1315" s="47" t="n"/>
      <c r="R1315" s="47" t="n"/>
      <c r="S1315" s="47" t="n"/>
      <c r="T1315" s="47" t="n"/>
      <c r="U1315" s="53" t="n"/>
      <c r="V1315" s="53" t="n"/>
      <c r="W1315" s="47" t="n"/>
      <c r="X1315" s="47" t="n"/>
      <c r="Y1315" s="47" t="n"/>
      <c r="Z1315" s="47" t="n"/>
      <c r="AA1315" s="47" t="n"/>
      <c r="AB1315" s="47" t="n"/>
      <c r="AC1315" s="47" t="n"/>
      <c r="AD1315" s="47" t="n"/>
      <c r="AE1315" s="47" t="n"/>
      <c r="AF1315" s="20">
        <f>IF(A1315="","",YEAR(EDATE(A1315,-3)))</f>
        <v/>
      </c>
      <c r="AG1315" s="20">
        <f>IF(OR(B1315="",'経歴簿'!$C$4=""),"",IF(B1315&amp;""='経歴簿'!$C$4&amp;"",MAX($AG$4:AG1314)+1,""))</f>
        <v/>
      </c>
      <c r="AH1315" s="20">
        <f>IF(A1315="",0,IF(AND(OR('CSV抽出'!$C$4="",A1315&gt;='CSV抽出'!$C$4),OR('CSV抽出'!$C$5="",A1315&lt;='CSV抽出'!$C$5),OR('CSV抽出'!$C$6="すべて",'CSV抽出'!$C$6="",D1315='CSV抽出'!$C$6),OR('CSV抽出'!$C$7="",B1315&amp;""='CSV抽出'!$C$7&amp;"")),1,0))</f>
        <v/>
      </c>
      <c r="AI1315" s="20">
        <f>IF(AH1315=1,SUM($AH$5:AH1315),"")</f>
        <v/>
      </c>
      <c r="AJ1315" s="20">
        <f>IF(OR(S1315="",'報告書'!$C$4=""),"",IF(S1315&amp;""='報告書'!$C$4&amp;"",COUNTIF($S$5:S1315,'報告書'!$C$4),""))</f>
        <v/>
      </c>
      <c r="AK1315" s="20" t="n"/>
      <c r="AL1315" s="47" t="n"/>
      <c r="AM1315" s="47" t="n"/>
      <c r="AN1315" s="53" t="n"/>
      <c r="AO1315" s="47" t="n"/>
      <c r="AP1315" s="47" t="n"/>
      <c r="AQ1315" s="47" t="n"/>
      <c r="AR1315" s="47" t="n"/>
      <c r="AS1315" s="47" t="n"/>
      <c r="AT1315" s="47" t="n"/>
      <c r="AU1315" s="47" t="n"/>
      <c r="AV1315" s="47" t="n"/>
      <c r="AW1315" s="52" t="n"/>
    </row>
    <row r="1316">
      <c r="A1316" s="48" t="n"/>
      <c r="B1316" s="52" t="n"/>
      <c r="C1316" s="47">
        <f>IF(B1316="","",IFERROR(INDEX('隊員マスタ'!$B$5:$B$204,MATCH(B1316&amp;"",'隊員マスタ'!$F$5:$F$204,0)),IF(AK1316="","番号なし",AK1316)))</f>
        <v/>
      </c>
      <c r="D1316" s="47" t="n"/>
      <c r="E1316" s="47" t="n"/>
      <c r="F1316" s="47" t="n"/>
      <c r="G1316" s="47" t="n"/>
      <c r="H1316" s="47" t="n"/>
      <c r="I1316" s="47" t="n"/>
      <c r="J1316" s="47" t="n"/>
      <c r="K1316" s="47" t="n"/>
      <c r="L1316" s="47" t="n"/>
      <c r="M1316" s="47" t="n"/>
      <c r="N1316" s="47" t="n"/>
      <c r="O1316" s="47" t="n"/>
      <c r="P1316" s="47" t="n"/>
      <c r="Q1316" s="47" t="n"/>
      <c r="R1316" s="47" t="n"/>
      <c r="S1316" s="47" t="n"/>
      <c r="T1316" s="47" t="n"/>
      <c r="U1316" s="53" t="n"/>
      <c r="V1316" s="53" t="n"/>
      <c r="W1316" s="47" t="n"/>
      <c r="X1316" s="47" t="n"/>
      <c r="Y1316" s="47" t="n"/>
      <c r="Z1316" s="47" t="n"/>
      <c r="AA1316" s="47" t="n"/>
      <c r="AB1316" s="47" t="n"/>
      <c r="AC1316" s="47" t="n"/>
      <c r="AD1316" s="47" t="n"/>
      <c r="AE1316" s="47" t="n"/>
      <c r="AF1316" s="20">
        <f>IF(A1316="","",YEAR(EDATE(A1316,-3)))</f>
        <v/>
      </c>
      <c r="AG1316" s="20">
        <f>IF(OR(B1316="",'経歴簿'!$C$4=""),"",IF(B1316&amp;""='経歴簿'!$C$4&amp;"",MAX($AG$4:AG1315)+1,""))</f>
        <v/>
      </c>
      <c r="AH1316" s="20">
        <f>IF(A1316="",0,IF(AND(OR('CSV抽出'!$C$4="",A1316&gt;='CSV抽出'!$C$4),OR('CSV抽出'!$C$5="",A1316&lt;='CSV抽出'!$C$5),OR('CSV抽出'!$C$6="すべて",'CSV抽出'!$C$6="",D1316='CSV抽出'!$C$6),OR('CSV抽出'!$C$7="",B1316&amp;""='CSV抽出'!$C$7&amp;"")),1,0))</f>
        <v/>
      </c>
      <c r="AI1316" s="20">
        <f>IF(AH1316=1,SUM($AH$5:AH1316),"")</f>
        <v/>
      </c>
      <c r="AJ1316" s="20">
        <f>IF(OR(S1316="",'報告書'!$C$4=""),"",IF(S1316&amp;""='報告書'!$C$4&amp;"",COUNTIF($S$5:S1316,'報告書'!$C$4),""))</f>
        <v/>
      </c>
      <c r="AK1316" s="20" t="n"/>
      <c r="AL1316" s="47" t="n"/>
      <c r="AM1316" s="47" t="n"/>
      <c r="AN1316" s="53" t="n"/>
      <c r="AO1316" s="47" t="n"/>
      <c r="AP1316" s="47" t="n"/>
      <c r="AQ1316" s="47" t="n"/>
      <c r="AR1316" s="47" t="n"/>
      <c r="AS1316" s="47" t="n"/>
      <c r="AT1316" s="47" t="n"/>
      <c r="AU1316" s="47" t="n"/>
      <c r="AV1316" s="47" t="n"/>
      <c r="AW1316" s="52" t="n"/>
    </row>
    <row r="1317">
      <c r="A1317" s="48" t="n"/>
      <c r="B1317" s="52" t="n"/>
      <c r="C1317" s="47">
        <f>IF(B1317="","",IFERROR(INDEX('隊員マスタ'!$B$5:$B$204,MATCH(B1317&amp;"",'隊員マスタ'!$F$5:$F$204,0)),IF(AK1317="","番号なし",AK1317)))</f>
        <v/>
      </c>
      <c r="D1317" s="47" t="n"/>
      <c r="E1317" s="47" t="n"/>
      <c r="F1317" s="47" t="n"/>
      <c r="G1317" s="47" t="n"/>
      <c r="H1317" s="47" t="n"/>
      <c r="I1317" s="47" t="n"/>
      <c r="J1317" s="47" t="n"/>
      <c r="K1317" s="47" t="n"/>
      <c r="L1317" s="47" t="n"/>
      <c r="M1317" s="47" t="n"/>
      <c r="N1317" s="47" t="n"/>
      <c r="O1317" s="47" t="n"/>
      <c r="P1317" s="47" t="n"/>
      <c r="Q1317" s="47" t="n"/>
      <c r="R1317" s="47" t="n"/>
      <c r="S1317" s="47" t="n"/>
      <c r="T1317" s="47" t="n"/>
      <c r="U1317" s="53" t="n"/>
      <c r="V1317" s="53" t="n"/>
      <c r="W1317" s="47" t="n"/>
      <c r="X1317" s="47" t="n"/>
      <c r="Y1317" s="47" t="n"/>
      <c r="Z1317" s="47" t="n"/>
      <c r="AA1317" s="47" t="n"/>
      <c r="AB1317" s="47" t="n"/>
      <c r="AC1317" s="47" t="n"/>
      <c r="AD1317" s="47" t="n"/>
      <c r="AE1317" s="47" t="n"/>
      <c r="AF1317" s="20">
        <f>IF(A1317="","",YEAR(EDATE(A1317,-3)))</f>
        <v/>
      </c>
      <c r="AG1317" s="20">
        <f>IF(OR(B1317="",'経歴簿'!$C$4=""),"",IF(B1317&amp;""='経歴簿'!$C$4&amp;"",MAX($AG$4:AG1316)+1,""))</f>
        <v/>
      </c>
      <c r="AH1317" s="20">
        <f>IF(A1317="",0,IF(AND(OR('CSV抽出'!$C$4="",A1317&gt;='CSV抽出'!$C$4),OR('CSV抽出'!$C$5="",A1317&lt;='CSV抽出'!$C$5),OR('CSV抽出'!$C$6="すべて",'CSV抽出'!$C$6="",D1317='CSV抽出'!$C$6),OR('CSV抽出'!$C$7="",B1317&amp;""='CSV抽出'!$C$7&amp;"")),1,0))</f>
        <v/>
      </c>
      <c r="AI1317" s="20">
        <f>IF(AH1317=1,SUM($AH$5:AH1317),"")</f>
        <v/>
      </c>
      <c r="AJ1317" s="20">
        <f>IF(OR(S1317="",'報告書'!$C$4=""),"",IF(S1317&amp;""='報告書'!$C$4&amp;"",COUNTIF($S$5:S1317,'報告書'!$C$4),""))</f>
        <v/>
      </c>
      <c r="AK1317" s="20" t="n"/>
      <c r="AL1317" s="47" t="n"/>
      <c r="AM1317" s="47" t="n"/>
      <c r="AN1317" s="53" t="n"/>
      <c r="AO1317" s="47" t="n"/>
      <c r="AP1317" s="47" t="n"/>
      <c r="AQ1317" s="47" t="n"/>
      <c r="AR1317" s="47" t="n"/>
      <c r="AS1317" s="47" t="n"/>
      <c r="AT1317" s="47" t="n"/>
      <c r="AU1317" s="47" t="n"/>
      <c r="AV1317" s="47" t="n"/>
      <c r="AW1317" s="52" t="n"/>
    </row>
    <row r="1318">
      <c r="A1318" s="48" t="n"/>
      <c r="B1318" s="52" t="n"/>
      <c r="C1318" s="47">
        <f>IF(B1318="","",IFERROR(INDEX('隊員マスタ'!$B$5:$B$204,MATCH(B1318&amp;"",'隊員マスタ'!$F$5:$F$204,0)),IF(AK1318="","番号なし",AK1318)))</f>
        <v/>
      </c>
      <c r="D1318" s="47" t="n"/>
      <c r="E1318" s="47" t="n"/>
      <c r="F1318" s="47" t="n"/>
      <c r="G1318" s="47" t="n"/>
      <c r="H1318" s="47" t="n"/>
      <c r="I1318" s="47" t="n"/>
      <c r="J1318" s="47" t="n"/>
      <c r="K1318" s="47" t="n"/>
      <c r="L1318" s="47" t="n"/>
      <c r="M1318" s="47" t="n"/>
      <c r="N1318" s="47" t="n"/>
      <c r="O1318" s="47" t="n"/>
      <c r="P1318" s="47" t="n"/>
      <c r="Q1318" s="47" t="n"/>
      <c r="R1318" s="47" t="n"/>
      <c r="S1318" s="47" t="n"/>
      <c r="T1318" s="47" t="n"/>
      <c r="U1318" s="53" t="n"/>
      <c r="V1318" s="53" t="n"/>
      <c r="W1318" s="47" t="n"/>
      <c r="X1318" s="47" t="n"/>
      <c r="Y1318" s="47" t="n"/>
      <c r="Z1318" s="47" t="n"/>
      <c r="AA1318" s="47" t="n"/>
      <c r="AB1318" s="47" t="n"/>
      <c r="AC1318" s="47" t="n"/>
      <c r="AD1318" s="47" t="n"/>
      <c r="AE1318" s="47" t="n"/>
      <c r="AF1318" s="20">
        <f>IF(A1318="","",YEAR(EDATE(A1318,-3)))</f>
        <v/>
      </c>
      <c r="AG1318" s="20">
        <f>IF(OR(B1318="",'経歴簿'!$C$4=""),"",IF(B1318&amp;""='経歴簿'!$C$4&amp;"",MAX($AG$4:AG1317)+1,""))</f>
        <v/>
      </c>
      <c r="AH1318" s="20">
        <f>IF(A1318="",0,IF(AND(OR('CSV抽出'!$C$4="",A1318&gt;='CSV抽出'!$C$4),OR('CSV抽出'!$C$5="",A1318&lt;='CSV抽出'!$C$5),OR('CSV抽出'!$C$6="すべて",'CSV抽出'!$C$6="",D1318='CSV抽出'!$C$6),OR('CSV抽出'!$C$7="",B1318&amp;""='CSV抽出'!$C$7&amp;"")),1,0))</f>
        <v/>
      </c>
      <c r="AI1318" s="20">
        <f>IF(AH1318=1,SUM($AH$5:AH1318),"")</f>
        <v/>
      </c>
      <c r="AJ1318" s="20">
        <f>IF(OR(S1318="",'報告書'!$C$4=""),"",IF(S1318&amp;""='報告書'!$C$4&amp;"",COUNTIF($S$5:S1318,'報告書'!$C$4),""))</f>
        <v/>
      </c>
      <c r="AK1318" s="20" t="n"/>
      <c r="AL1318" s="47" t="n"/>
      <c r="AM1318" s="47" t="n"/>
      <c r="AN1318" s="53" t="n"/>
      <c r="AO1318" s="47" t="n"/>
      <c r="AP1318" s="47" t="n"/>
      <c r="AQ1318" s="47" t="n"/>
      <c r="AR1318" s="47" t="n"/>
      <c r="AS1318" s="47" t="n"/>
      <c r="AT1318" s="47" t="n"/>
      <c r="AU1318" s="47" t="n"/>
      <c r="AV1318" s="47" t="n"/>
      <c r="AW1318" s="52" t="n"/>
    </row>
    <row r="1319">
      <c r="A1319" s="48" t="n"/>
      <c r="B1319" s="52" t="n"/>
      <c r="C1319" s="47">
        <f>IF(B1319="","",IFERROR(INDEX('隊員マスタ'!$B$5:$B$204,MATCH(B1319&amp;"",'隊員マスタ'!$F$5:$F$204,0)),IF(AK1319="","番号なし",AK1319)))</f>
        <v/>
      </c>
      <c r="D1319" s="47" t="n"/>
      <c r="E1319" s="47" t="n"/>
      <c r="F1319" s="47" t="n"/>
      <c r="G1319" s="47" t="n"/>
      <c r="H1319" s="47" t="n"/>
      <c r="I1319" s="47" t="n"/>
      <c r="J1319" s="47" t="n"/>
      <c r="K1319" s="47" t="n"/>
      <c r="L1319" s="47" t="n"/>
      <c r="M1319" s="47" t="n"/>
      <c r="N1319" s="47" t="n"/>
      <c r="O1319" s="47" t="n"/>
      <c r="P1319" s="47" t="n"/>
      <c r="Q1319" s="47" t="n"/>
      <c r="R1319" s="47" t="n"/>
      <c r="S1319" s="47" t="n"/>
      <c r="T1319" s="47" t="n"/>
      <c r="U1319" s="53" t="n"/>
      <c r="V1319" s="53" t="n"/>
      <c r="W1319" s="47" t="n"/>
      <c r="X1319" s="47" t="n"/>
      <c r="Y1319" s="47" t="n"/>
      <c r="Z1319" s="47" t="n"/>
      <c r="AA1319" s="47" t="n"/>
      <c r="AB1319" s="47" t="n"/>
      <c r="AC1319" s="47" t="n"/>
      <c r="AD1319" s="47" t="n"/>
      <c r="AE1319" s="47" t="n"/>
      <c r="AF1319" s="20">
        <f>IF(A1319="","",YEAR(EDATE(A1319,-3)))</f>
        <v/>
      </c>
      <c r="AG1319" s="20">
        <f>IF(OR(B1319="",'経歴簿'!$C$4=""),"",IF(B1319&amp;""='経歴簿'!$C$4&amp;"",MAX($AG$4:AG1318)+1,""))</f>
        <v/>
      </c>
      <c r="AH1319" s="20">
        <f>IF(A1319="",0,IF(AND(OR('CSV抽出'!$C$4="",A1319&gt;='CSV抽出'!$C$4),OR('CSV抽出'!$C$5="",A1319&lt;='CSV抽出'!$C$5),OR('CSV抽出'!$C$6="すべて",'CSV抽出'!$C$6="",D1319='CSV抽出'!$C$6),OR('CSV抽出'!$C$7="",B1319&amp;""='CSV抽出'!$C$7&amp;"")),1,0))</f>
        <v/>
      </c>
      <c r="AI1319" s="20">
        <f>IF(AH1319=1,SUM($AH$5:AH1319),"")</f>
        <v/>
      </c>
      <c r="AJ1319" s="20">
        <f>IF(OR(S1319="",'報告書'!$C$4=""),"",IF(S1319&amp;""='報告書'!$C$4&amp;"",COUNTIF($S$5:S1319,'報告書'!$C$4),""))</f>
        <v/>
      </c>
      <c r="AK1319" s="20" t="n"/>
      <c r="AL1319" s="47" t="n"/>
      <c r="AM1319" s="47" t="n"/>
      <c r="AN1319" s="53" t="n"/>
      <c r="AO1319" s="47" t="n"/>
      <c r="AP1319" s="47" t="n"/>
      <c r="AQ1319" s="47" t="n"/>
      <c r="AR1319" s="47" t="n"/>
      <c r="AS1319" s="47" t="n"/>
      <c r="AT1319" s="47" t="n"/>
      <c r="AU1319" s="47" t="n"/>
      <c r="AV1319" s="47" t="n"/>
      <c r="AW1319" s="52" t="n"/>
    </row>
    <row r="1320">
      <c r="A1320" s="48" t="n"/>
      <c r="B1320" s="52" t="n"/>
      <c r="C1320" s="47">
        <f>IF(B1320="","",IFERROR(INDEX('隊員マスタ'!$B$5:$B$204,MATCH(B1320&amp;"",'隊員マスタ'!$F$5:$F$204,0)),IF(AK1320="","番号なし",AK1320)))</f>
        <v/>
      </c>
      <c r="D1320" s="47" t="n"/>
      <c r="E1320" s="47" t="n"/>
      <c r="F1320" s="47" t="n"/>
      <c r="G1320" s="47" t="n"/>
      <c r="H1320" s="47" t="n"/>
      <c r="I1320" s="47" t="n"/>
      <c r="J1320" s="47" t="n"/>
      <c r="K1320" s="47" t="n"/>
      <c r="L1320" s="47" t="n"/>
      <c r="M1320" s="47" t="n"/>
      <c r="N1320" s="47" t="n"/>
      <c r="O1320" s="47" t="n"/>
      <c r="P1320" s="47" t="n"/>
      <c r="Q1320" s="47" t="n"/>
      <c r="R1320" s="47" t="n"/>
      <c r="S1320" s="47" t="n"/>
      <c r="T1320" s="47" t="n"/>
      <c r="U1320" s="53" t="n"/>
      <c r="V1320" s="53" t="n"/>
      <c r="W1320" s="47" t="n"/>
      <c r="X1320" s="47" t="n"/>
      <c r="Y1320" s="47" t="n"/>
      <c r="Z1320" s="47" t="n"/>
      <c r="AA1320" s="47" t="n"/>
      <c r="AB1320" s="47" t="n"/>
      <c r="AC1320" s="47" t="n"/>
      <c r="AD1320" s="47" t="n"/>
      <c r="AE1320" s="47" t="n"/>
      <c r="AF1320" s="20">
        <f>IF(A1320="","",YEAR(EDATE(A1320,-3)))</f>
        <v/>
      </c>
      <c r="AG1320" s="20">
        <f>IF(OR(B1320="",'経歴簿'!$C$4=""),"",IF(B1320&amp;""='経歴簿'!$C$4&amp;"",MAX($AG$4:AG1319)+1,""))</f>
        <v/>
      </c>
      <c r="AH1320" s="20">
        <f>IF(A1320="",0,IF(AND(OR('CSV抽出'!$C$4="",A1320&gt;='CSV抽出'!$C$4),OR('CSV抽出'!$C$5="",A1320&lt;='CSV抽出'!$C$5),OR('CSV抽出'!$C$6="すべて",'CSV抽出'!$C$6="",D1320='CSV抽出'!$C$6),OR('CSV抽出'!$C$7="",B1320&amp;""='CSV抽出'!$C$7&amp;"")),1,0))</f>
        <v/>
      </c>
      <c r="AI1320" s="20">
        <f>IF(AH1320=1,SUM($AH$5:AH1320),"")</f>
        <v/>
      </c>
      <c r="AJ1320" s="20">
        <f>IF(OR(S1320="",'報告書'!$C$4=""),"",IF(S1320&amp;""='報告書'!$C$4&amp;"",COUNTIF($S$5:S1320,'報告書'!$C$4),""))</f>
        <v/>
      </c>
      <c r="AK1320" s="20" t="n"/>
      <c r="AL1320" s="47" t="n"/>
      <c r="AM1320" s="47" t="n"/>
      <c r="AN1320" s="53" t="n"/>
      <c r="AO1320" s="47" t="n"/>
      <c r="AP1320" s="47" t="n"/>
      <c r="AQ1320" s="47" t="n"/>
      <c r="AR1320" s="47" t="n"/>
      <c r="AS1320" s="47" t="n"/>
      <c r="AT1320" s="47" t="n"/>
      <c r="AU1320" s="47" t="n"/>
      <c r="AV1320" s="47" t="n"/>
      <c r="AW1320" s="52" t="n"/>
    </row>
    <row r="1321">
      <c r="A1321" s="48" t="n"/>
      <c r="B1321" s="52" t="n"/>
      <c r="C1321" s="47">
        <f>IF(B1321="","",IFERROR(INDEX('隊員マスタ'!$B$5:$B$204,MATCH(B1321&amp;"",'隊員マスタ'!$F$5:$F$204,0)),IF(AK1321="","番号なし",AK1321)))</f>
        <v/>
      </c>
      <c r="D1321" s="47" t="n"/>
      <c r="E1321" s="47" t="n"/>
      <c r="F1321" s="47" t="n"/>
      <c r="G1321" s="47" t="n"/>
      <c r="H1321" s="47" t="n"/>
      <c r="I1321" s="47" t="n"/>
      <c r="J1321" s="47" t="n"/>
      <c r="K1321" s="47" t="n"/>
      <c r="L1321" s="47" t="n"/>
      <c r="M1321" s="47" t="n"/>
      <c r="N1321" s="47" t="n"/>
      <c r="O1321" s="47" t="n"/>
      <c r="P1321" s="47" t="n"/>
      <c r="Q1321" s="47" t="n"/>
      <c r="R1321" s="47" t="n"/>
      <c r="S1321" s="47" t="n"/>
      <c r="T1321" s="47" t="n"/>
      <c r="U1321" s="53" t="n"/>
      <c r="V1321" s="53" t="n"/>
      <c r="W1321" s="47" t="n"/>
      <c r="X1321" s="47" t="n"/>
      <c r="Y1321" s="47" t="n"/>
      <c r="Z1321" s="47" t="n"/>
      <c r="AA1321" s="47" t="n"/>
      <c r="AB1321" s="47" t="n"/>
      <c r="AC1321" s="47" t="n"/>
      <c r="AD1321" s="47" t="n"/>
      <c r="AE1321" s="47" t="n"/>
      <c r="AF1321" s="20">
        <f>IF(A1321="","",YEAR(EDATE(A1321,-3)))</f>
        <v/>
      </c>
      <c r="AG1321" s="20">
        <f>IF(OR(B1321="",'経歴簿'!$C$4=""),"",IF(B1321&amp;""='経歴簿'!$C$4&amp;"",MAX($AG$4:AG1320)+1,""))</f>
        <v/>
      </c>
      <c r="AH1321" s="20">
        <f>IF(A1321="",0,IF(AND(OR('CSV抽出'!$C$4="",A1321&gt;='CSV抽出'!$C$4),OR('CSV抽出'!$C$5="",A1321&lt;='CSV抽出'!$C$5),OR('CSV抽出'!$C$6="すべて",'CSV抽出'!$C$6="",D1321='CSV抽出'!$C$6),OR('CSV抽出'!$C$7="",B1321&amp;""='CSV抽出'!$C$7&amp;"")),1,0))</f>
        <v/>
      </c>
      <c r="AI1321" s="20">
        <f>IF(AH1321=1,SUM($AH$5:AH1321),"")</f>
        <v/>
      </c>
      <c r="AJ1321" s="20">
        <f>IF(OR(S1321="",'報告書'!$C$4=""),"",IF(S1321&amp;""='報告書'!$C$4&amp;"",COUNTIF($S$5:S1321,'報告書'!$C$4),""))</f>
        <v/>
      </c>
      <c r="AK1321" s="20" t="n"/>
      <c r="AL1321" s="47" t="n"/>
      <c r="AM1321" s="47" t="n"/>
      <c r="AN1321" s="53" t="n"/>
      <c r="AO1321" s="47" t="n"/>
      <c r="AP1321" s="47" t="n"/>
      <c r="AQ1321" s="47" t="n"/>
      <c r="AR1321" s="47" t="n"/>
      <c r="AS1321" s="47" t="n"/>
      <c r="AT1321" s="47" t="n"/>
      <c r="AU1321" s="47" t="n"/>
      <c r="AV1321" s="47" t="n"/>
      <c r="AW1321" s="52" t="n"/>
    </row>
    <row r="1322">
      <c r="A1322" s="48" t="n"/>
      <c r="B1322" s="52" t="n"/>
      <c r="C1322" s="47">
        <f>IF(B1322="","",IFERROR(INDEX('隊員マスタ'!$B$5:$B$204,MATCH(B1322&amp;"",'隊員マスタ'!$F$5:$F$204,0)),IF(AK1322="","番号なし",AK1322)))</f>
        <v/>
      </c>
      <c r="D1322" s="47" t="n"/>
      <c r="E1322" s="47" t="n"/>
      <c r="F1322" s="47" t="n"/>
      <c r="G1322" s="47" t="n"/>
      <c r="H1322" s="47" t="n"/>
      <c r="I1322" s="47" t="n"/>
      <c r="J1322" s="47" t="n"/>
      <c r="K1322" s="47" t="n"/>
      <c r="L1322" s="47" t="n"/>
      <c r="M1322" s="47" t="n"/>
      <c r="N1322" s="47" t="n"/>
      <c r="O1322" s="47" t="n"/>
      <c r="P1322" s="47" t="n"/>
      <c r="Q1322" s="47" t="n"/>
      <c r="R1322" s="47" t="n"/>
      <c r="S1322" s="47" t="n"/>
      <c r="T1322" s="47" t="n"/>
      <c r="U1322" s="53" t="n"/>
      <c r="V1322" s="53" t="n"/>
      <c r="W1322" s="47" t="n"/>
      <c r="X1322" s="47" t="n"/>
      <c r="Y1322" s="47" t="n"/>
      <c r="Z1322" s="47" t="n"/>
      <c r="AA1322" s="47" t="n"/>
      <c r="AB1322" s="47" t="n"/>
      <c r="AC1322" s="47" t="n"/>
      <c r="AD1322" s="47" t="n"/>
      <c r="AE1322" s="47" t="n"/>
      <c r="AF1322" s="20">
        <f>IF(A1322="","",YEAR(EDATE(A1322,-3)))</f>
        <v/>
      </c>
      <c r="AG1322" s="20">
        <f>IF(OR(B1322="",'経歴簿'!$C$4=""),"",IF(B1322&amp;""='経歴簿'!$C$4&amp;"",MAX($AG$4:AG1321)+1,""))</f>
        <v/>
      </c>
      <c r="AH1322" s="20">
        <f>IF(A1322="",0,IF(AND(OR('CSV抽出'!$C$4="",A1322&gt;='CSV抽出'!$C$4),OR('CSV抽出'!$C$5="",A1322&lt;='CSV抽出'!$C$5),OR('CSV抽出'!$C$6="すべて",'CSV抽出'!$C$6="",D1322='CSV抽出'!$C$6),OR('CSV抽出'!$C$7="",B1322&amp;""='CSV抽出'!$C$7&amp;"")),1,0))</f>
        <v/>
      </c>
      <c r="AI1322" s="20">
        <f>IF(AH1322=1,SUM($AH$5:AH1322),"")</f>
        <v/>
      </c>
      <c r="AJ1322" s="20">
        <f>IF(OR(S1322="",'報告書'!$C$4=""),"",IF(S1322&amp;""='報告書'!$C$4&amp;"",COUNTIF($S$5:S1322,'報告書'!$C$4),""))</f>
        <v/>
      </c>
      <c r="AK1322" s="20" t="n"/>
      <c r="AL1322" s="47" t="n"/>
      <c r="AM1322" s="47" t="n"/>
      <c r="AN1322" s="53" t="n"/>
      <c r="AO1322" s="47" t="n"/>
      <c r="AP1322" s="47" t="n"/>
      <c r="AQ1322" s="47" t="n"/>
      <c r="AR1322" s="47" t="n"/>
      <c r="AS1322" s="47" t="n"/>
      <c r="AT1322" s="47" t="n"/>
      <c r="AU1322" s="47" t="n"/>
      <c r="AV1322" s="47" t="n"/>
      <c r="AW1322" s="52" t="n"/>
    </row>
    <row r="1323">
      <c r="A1323" s="48" t="n"/>
      <c r="B1323" s="52" t="n"/>
      <c r="C1323" s="47">
        <f>IF(B1323="","",IFERROR(INDEX('隊員マスタ'!$B$5:$B$204,MATCH(B1323&amp;"",'隊員マスタ'!$F$5:$F$204,0)),IF(AK1323="","番号なし",AK1323)))</f>
        <v/>
      </c>
      <c r="D1323" s="47" t="n"/>
      <c r="E1323" s="47" t="n"/>
      <c r="F1323" s="47" t="n"/>
      <c r="G1323" s="47" t="n"/>
      <c r="H1323" s="47" t="n"/>
      <c r="I1323" s="47" t="n"/>
      <c r="J1323" s="47" t="n"/>
      <c r="K1323" s="47" t="n"/>
      <c r="L1323" s="47" t="n"/>
      <c r="M1323" s="47" t="n"/>
      <c r="N1323" s="47" t="n"/>
      <c r="O1323" s="47" t="n"/>
      <c r="P1323" s="47" t="n"/>
      <c r="Q1323" s="47" t="n"/>
      <c r="R1323" s="47" t="n"/>
      <c r="S1323" s="47" t="n"/>
      <c r="T1323" s="47" t="n"/>
      <c r="U1323" s="53" t="n"/>
      <c r="V1323" s="53" t="n"/>
      <c r="W1323" s="47" t="n"/>
      <c r="X1323" s="47" t="n"/>
      <c r="Y1323" s="47" t="n"/>
      <c r="Z1323" s="47" t="n"/>
      <c r="AA1323" s="47" t="n"/>
      <c r="AB1323" s="47" t="n"/>
      <c r="AC1323" s="47" t="n"/>
      <c r="AD1323" s="47" t="n"/>
      <c r="AE1323" s="47" t="n"/>
      <c r="AF1323" s="20">
        <f>IF(A1323="","",YEAR(EDATE(A1323,-3)))</f>
        <v/>
      </c>
      <c r="AG1323" s="20">
        <f>IF(OR(B1323="",'経歴簿'!$C$4=""),"",IF(B1323&amp;""='経歴簿'!$C$4&amp;"",MAX($AG$4:AG1322)+1,""))</f>
        <v/>
      </c>
      <c r="AH1323" s="20">
        <f>IF(A1323="",0,IF(AND(OR('CSV抽出'!$C$4="",A1323&gt;='CSV抽出'!$C$4),OR('CSV抽出'!$C$5="",A1323&lt;='CSV抽出'!$C$5),OR('CSV抽出'!$C$6="すべて",'CSV抽出'!$C$6="",D1323='CSV抽出'!$C$6),OR('CSV抽出'!$C$7="",B1323&amp;""='CSV抽出'!$C$7&amp;"")),1,0))</f>
        <v/>
      </c>
      <c r="AI1323" s="20">
        <f>IF(AH1323=1,SUM($AH$5:AH1323),"")</f>
        <v/>
      </c>
      <c r="AJ1323" s="20">
        <f>IF(OR(S1323="",'報告書'!$C$4=""),"",IF(S1323&amp;""='報告書'!$C$4&amp;"",COUNTIF($S$5:S1323,'報告書'!$C$4),""))</f>
        <v/>
      </c>
      <c r="AK1323" s="20" t="n"/>
      <c r="AL1323" s="47" t="n"/>
      <c r="AM1323" s="47" t="n"/>
      <c r="AN1323" s="53" t="n"/>
      <c r="AO1323" s="47" t="n"/>
      <c r="AP1323" s="47" t="n"/>
      <c r="AQ1323" s="47" t="n"/>
      <c r="AR1323" s="47" t="n"/>
      <c r="AS1323" s="47" t="n"/>
      <c r="AT1323" s="47" t="n"/>
      <c r="AU1323" s="47" t="n"/>
      <c r="AV1323" s="47" t="n"/>
      <c r="AW1323" s="52" t="n"/>
    </row>
    <row r="1324">
      <c r="A1324" s="48" t="n"/>
      <c r="B1324" s="52" t="n"/>
      <c r="C1324" s="47">
        <f>IF(B1324="","",IFERROR(INDEX('隊員マスタ'!$B$5:$B$204,MATCH(B1324&amp;"",'隊員マスタ'!$F$5:$F$204,0)),IF(AK1324="","番号なし",AK1324)))</f>
        <v/>
      </c>
      <c r="D1324" s="47" t="n"/>
      <c r="E1324" s="47" t="n"/>
      <c r="F1324" s="47" t="n"/>
      <c r="G1324" s="47" t="n"/>
      <c r="H1324" s="47" t="n"/>
      <c r="I1324" s="47" t="n"/>
      <c r="J1324" s="47" t="n"/>
      <c r="K1324" s="47" t="n"/>
      <c r="L1324" s="47" t="n"/>
      <c r="M1324" s="47" t="n"/>
      <c r="N1324" s="47" t="n"/>
      <c r="O1324" s="47" t="n"/>
      <c r="P1324" s="47" t="n"/>
      <c r="Q1324" s="47" t="n"/>
      <c r="R1324" s="47" t="n"/>
      <c r="S1324" s="47" t="n"/>
      <c r="T1324" s="47" t="n"/>
      <c r="U1324" s="53" t="n"/>
      <c r="V1324" s="53" t="n"/>
      <c r="W1324" s="47" t="n"/>
      <c r="X1324" s="47" t="n"/>
      <c r="Y1324" s="47" t="n"/>
      <c r="Z1324" s="47" t="n"/>
      <c r="AA1324" s="47" t="n"/>
      <c r="AB1324" s="47" t="n"/>
      <c r="AC1324" s="47" t="n"/>
      <c r="AD1324" s="47" t="n"/>
      <c r="AE1324" s="47" t="n"/>
      <c r="AF1324" s="20">
        <f>IF(A1324="","",YEAR(EDATE(A1324,-3)))</f>
        <v/>
      </c>
      <c r="AG1324" s="20">
        <f>IF(OR(B1324="",'経歴簿'!$C$4=""),"",IF(B1324&amp;""='経歴簿'!$C$4&amp;"",MAX($AG$4:AG1323)+1,""))</f>
        <v/>
      </c>
      <c r="AH1324" s="20">
        <f>IF(A1324="",0,IF(AND(OR('CSV抽出'!$C$4="",A1324&gt;='CSV抽出'!$C$4),OR('CSV抽出'!$C$5="",A1324&lt;='CSV抽出'!$C$5),OR('CSV抽出'!$C$6="すべて",'CSV抽出'!$C$6="",D1324='CSV抽出'!$C$6),OR('CSV抽出'!$C$7="",B1324&amp;""='CSV抽出'!$C$7&amp;"")),1,0))</f>
        <v/>
      </c>
      <c r="AI1324" s="20">
        <f>IF(AH1324=1,SUM($AH$5:AH1324),"")</f>
        <v/>
      </c>
      <c r="AJ1324" s="20">
        <f>IF(OR(S1324="",'報告書'!$C$4=""),"",IF(S1324&amp;""='報告書'!$C$4&amp;"",COUNTIF($S$5:S1324,'報告書'!$C$4),""))</f>
        <v/>
      </c>
      <c r="AK1324" s="20" t="n"/>
      <c r="AL1324" s="47" t="n"/>
      <c r="AM1324" s="47" t="n"/>
      <c r="AN1324" s="53" t="n"/>
      <c r="AO1324" s="47" t="n"/>
      <c r="AP1324" s="47" t="n"/>
      <c r="AQ1324" s="47" t="n"/>
      <c r="AR1324" s="47" t="n"/>
      <c r="AS1324" s="47" t="n"/>
      <c r="AT1324" s="47" t="n"/>
      <c r="AU1324" s="47" t="n"/>
      <c r="AV1324" s="47" t="n"/>
      <c r="AW1324" s="52" t="n"/>
    </row>
    <row r="1325">
      <c r="A1325" s="48" t="n"/>
      <c r="B1325" s="52" t="n"/>
      <c r="C1325" s="47">
        <f>IF(B1325="","",IFERROR(INDEX('隊員マスタ'!$B$5:$B$204,MATCH(B1325&amp;"",'隊員マスタ'!$F$5:$F$204,0)),IF(AK1325="","番号なし",AK1325)))</f>
        <v/>
      </c>
      <c r="D1325" s="47" t="n"/>
      <c r="E1325" s="47" t="n"/>
      <c r="F1325" s="47" t="n"/>
      <c r="G1325" s="47" t="n"/>
      <c r="H1325" s="47" t="n"/>
      <c r="I1325" s="47" t="n"/>
      <c r="J1325" s="47" t="n"/>
      <c r="K1325" s="47" t="n"/>
      <c r="L1325" s="47" t="n"/>
      <c r="M1325" s="47" t="n"/>
      <c r="N1325" s="47" t="n"/>
      <c r="O1325" s="47" t="n"/>
      <c r="P1325" s="47" t="n"/>
      <c r="Q1325" s="47" t="n"/>
      <c r="R1325" s="47" t="n"/>
      <c r="S1325" s="47" t="n"/>
      <c r="T1325" s="47" t="n"/>
      <c r="U1325" s="53" t="n"/>
      <c r="V1325" s="53" t="n"/>
      <c r="W1325" s="47" t="n"/>
      <c r="X1325" s="47" t="n"/>
      <c r="Y1325" s="47" t="n"/>
      <c r="Z1325" s="47" t="n"/>
      <c r="AA1325" s="47" t="n"/>
      <c r="AB1325" s="47" t="n"/>
      <c r="AC1325" s="47" t="n"/>
      <c r="AD1325" s="47" t="n"/>
      <c r="AE1325" s="47" t="n"/>
      <c r="AF1325" s="20">
        <f>IF(A1325="","",YEAR(EDATE(A1325,-3)))</f>
        <v/>
      </c>
      <c r="AG1325" s="20">
        <f>IF(OR(B1325="",'経歴簿'!$C$4=""),"",IF(B1325&amp;""='経歴簿'!$C$4&amp;"",MAX($AG$4:AG1324)+1,""))</f>
        <v/>
      </c>
      <c r="AH1325" s="20">
        <f>IF(A1325="",0,IF(AND(OR('CSV抽出'!$C$4="",A1325&gt;='CSV抽出'!$C$4),OR('CSV抽出'!$C$5="",A1325&lt;='CSV抽出'!$C$5),OR('CSV抽出'!$C$6="すべて",'CSV抽出'!$C$6="",D1325='CSV抽出'!$C$6),OR('CSV抽出'!$C$7="",B1325&amp;""='CSV抽出'!$C$7&amp;"")),1,0))</f>
        <v/>
      </c>
      <c r="AI1325" s="20">
        <f>IF(AH1325=1,SUM($AH$5:AH1325),"")</f>
        <v/>
      </c>
      <c r="AJ1325" s="20">
        <f>IF(OR(S1325="",'報告書'!$C$4=""),"",IF(S1325&amp;""='報告書'!$C$4&amp;"",COUNTIF($S$5:S1325,'報告書'!$C$4),""))</f>
        <v/>
      </c>
      <c r="AK1325" s="20" t="n"/>
      <c r="AL1325" s="47" t="n"/>
      <c r="AM1325" s="47" t="n"/>
      <c r="AN1325" s="53" t="n"/>
      <c r="AO1325" s="47" t="n"/>
      <c r="AP1325" s="47" t="n"/>
      <c r="AQ1325" s="47" t="n"/>
      <c r="AR1325" s="47" t="n"/>
      <c r="AS1325" s="47" t="n"/>
      <c r="AT1325" s="47" t="n"/>
      <c r="AU1325" s="47" t="n"/>
      <c r="AV1325" s="47" t="n"/>
      <c r="AW1325" s="52" t="n"/>
    </row>
    <row r="1326">
      <c r="A1326" s="48" t="n"/>
      <c r="B1326" s="52" t="n"/>
      <c r="C1326" s="47">
        <f>IF(B1326="","",IFERROR(INDEX('隊員マスタ'!$B$5:$B$204,MATCH(B1326&amp;"",'隊員マスタ'!$F$5:$F$204,0)),IF(AK1326="","番号なし",AK1326)))</f>
        <v/>
      </c>
      <c r="D1326" s="47" t="n"/>
      <c r="E1326" s="47" t="n"/>
      <c r="F1326" s="47" t="n"/>
      <c r="G1326" s="47" t="n"/>
      <c r="H1326" s="47" t="n"/>
      <c r="I1326" s="47" t="n"/>
      <c r="J1326" s="47" t="n"/>
      <c r="K1326" s="47" t="n"/>
      <c r="L1326" s="47" t="n"/>
      <c r="M1326" s="47" t="n"/>
      <c r="N1326" s="47" t="n"/>
      <c r="O1326" s="47" t="n"/>
      <c r="P1326" s="47" t="n"/>
      <c r="Q1326" s="47" t="n"/>
      <c r="R1326" s="47" t="n"/>
      <c r="S1326" s="47" t="n"/>
      <c r="T1326" s="47" t="n"/>
      <c r="U1326" s="53" t="n"/>
      <c r="V1326" s="53" t="n"/>
      <c r="W1326" s="47" t="n"/>
      <c r="X1326" s="47" t="n"/>
      <c r="Y1326" s="47" t="n"/>
      <c r="Z1326" s="47" t="n"/>
      <c r="AA1326" s="47" t="n"/>
      <c r="AB1326" s="47" t="n"/>
      <c r="AC1326" s="47" t="n"/>
      <c r="AD1326" s="47" t="n"/>
      <c r="AE1326" s="47" t="n"/>
      <c r="AF1326" s="20">
        <f>IF(A1326="","",YEAR(EDATE(A1326,-3)))</f>
        <v/>
      </c>
      <c r="AG1326" s="20">
        <f>IF(OR(B1326="",'経歴簿'!$C$4=""),"",IF(B1326&amp;""='経歴簿'!$C$4&amp;"",MAX($AG$4:AG1325)+1,""))</f>
        <v/>
      </c>
      <c r="AH1326" s="20">
        <f>IF(A1326="",0,IF(AND(OR('CSV抽出'!$C$4="",A1326&gt;='CSV抽出'!$C$4),OR('CSV抽出'!$C$5="",A1326&lt;='CSV抽出'!$C$5),OR('CSV抽出'!$C$6="すべて",'CSV抽出'!$C$6="",D1326='CSV抽出'!$C$6),OR('CSV抽出'!$C$7="",B1326&amp;""='CSV抽出'!$C$7&amp;"")),1,0))</f>
        <v/>
      </c>
      <c r="AI1326" s="20">
        <f>IF(AH1326=1,SUM($AH$5:AH1326),"")</f>
        <v/>
      </c>
      <c r="AJ1326" s="20">
        <f>IF(OR(S1326="",'報告書'!$C$4=""),"",IF(S1326&amp;""='報告書'!$C$4&amp;"",COUNTIF($S$5:S1326,'報告書'!$C$4),""))</f>
        <v/>
      </c>
      <c r="AK1326" s="20" t="n"/>
      <c r="AL1326" s="47" t="n"/>
      <c r="AM1326" s="47" t="n"/>
      <c r="AN1326" s="53" t="n"/>
      <c r="AO1326" s="47" t="n"/>
      <c r="AP1326" s="47" t="n"/>
      <c r="AQ1326" s="47" t="n"/>
      <c r="AR1326" s="47" t="n"/>
      <c r="AS1326" s="47" t="n"/>
      <c r="AT1326" s="47" t="n"/>
      <c r="AU1326" s="47" t="n"/>
      <c r="AV1326" s="47" t="n"/>
      <c r="AW1326" s="52" t="n"/>
    </row>
    <row r="1327">
      <c r="A1327" s="48" t="n"/>
      <c r="B1327" s="52" t="n"/>
      <c r="C1327" s="47">
        <f>IF(B1327="","",IFERROR(INDEX('隊員マスタ'!$B$5:$B$204,MATCH(B1327&amp;"",'隊員マスタ'!$F$5:$F$204,0)),IF(AK1327="","番号なし",AK1327)))</f>
        <v/>
      </c>
      <c r="D1327" s="47" t="n"/>
      <c r="E1327" s="47" t="n"/>
      <c r="F1327" s="47" t="n"/>
      <c r="G1327" s="47" t="n"/>
      <c r="H1327" s="47" t="n"/>
      <c r="I1327" s="47" t="n"/>
      <c r="J1327" s="47" t="n"/>
      <c r="K1327" s="47" t="n"/>
      <c r="L1327" s="47" t="n"/>
      <c r="M1327" s="47" t="n"/>
      <c r="N1327" s="47" t="n"/>
      <c r="O1327" s="47" t="n"/>
      <c r="P1327" s="47" t="n"/>
      <c r="Q1327" s="47" t="n"/>
      <c r="R1327" s="47" t="n"/>
      <c r="S1327" s="47" t="n"/>
      <c r="T1327" s="47" t="n"/>
      <c r="U1327" s="53" t="n"/>
      <c r="V1327" s="53" t="n"/>
      <c r="W1327" s="47" t="n"/>
      <c r="X1327" s="47" t="n"/>
      <c r="Y1327" s="47" t="n"/>
      <c r="Z1327" s="47" t="n"/>
      <c r="AA1327" s="47" t="n"/>
      <c r="AB1327" s="47" t="n"/>
      <c r="AC1327" s="47" t="n"/>
      <c r="AD1327" s="47" t="n"/>
      <c r="AE1327" s="47" t="n"/>
      <c r="AF1327" s="20">
        <f>IF(A1327="","",YEAR(EDATE(A1327,-3)))</f>
        <v/>
      </c>
      <c r="AG1327" s="20">
        <f>IF(OR(B1327="",'経歴簿'!$C$4=""),"",IF(B1327&amp;""='経歴簿'!$C$4&amp;"",MAX($AG$4:AG1326)+1,""))</f>
        <v/>
      </c>
      <c r="AH1327" s="20">
        <f>IF(A1327="",0,IF(AND(OR('CSV抽出'!$C$4="",A1327&gt;='CSV抽出'!$C$4),OR('CSV抽出'!$C$5="",A1327&lt;='CSV抽出'!$C$5),OR('CSV抽出'!$C$6="すべて",'CSV抽出'!$C$6="",D1327='CSV抽出'!$C$6),OR('CSV抽出'!$C$7="",B1327&amp;""='CSV抽出'!$C$7&amp;"")),1,0))</f>
        <v/>
      </c>
      <c r="AI1327" s="20">
        <f>IF(AH1327=1,SUM($AH$5:AH1327),"")</f>
        <v/>
      </c>
      <c r="AJ1327" s="20">
        <f>IF(OR(S1327="",'報告書'!$C$4=""),"",IF(S1327&amp;""='報告書'!$C$4&amp;"",COUNTIF($S$5:S1327,'報告書'!$C$4),""))</f>
        <v/>
      </c>
      <c r="AK1327" s="20" t="n"/>
      <c r="AL1327" s="47" t="n"/>
      <c r="AM1327" s="47" t="n"/>
      <c r="AN1327" s="53" t="n"/>
      <c r="AO1327" s="47" t="n"/>
      <c r="AP1327" s="47" t="n"/>
      <c r="AQ1327" s="47" t="n"/>
      <c r="AR1327" s="47" t="n"/>
      <c r="AS1327" s="47" t="n"/>
      <c r="AT1327" s="47" t="n"/>
      <c r="AU1327" s="47" t="n"/>
      <c r="AV1327" s="47" t="n"/>
      <c r="AW1327" s="52" t="n"/>
    </row>
    <row r="1328">
      <c r="A1328" s="48" t="n"/>
      <c r="B1328" s="52" t="n"/>
      <c r="C1328" s="47">
        <f>IF(B1328="","",IFERROR(INDEX('隊員マスタ'!$B$5:$B$204,MATCH(B1328&amp;"",'隊員マスタ'!$F$5:$F$204,0)),IF(AK1328="","番号なし",AK1328)))</f>
        <v/>
      </c>
      <c r="D1328" s="47" t="n"/>
      <c r="E1328" s="47" t="n"/>
      <c r="F1328" s="47" t="n"/>
      <c r="G1328" s="47" t="n"/>
      <c r="H1328" s="47" t="n"/>
      <c r="I1328" s="47" t="n"/>
      <c r="J1328" s="47" t="n"/>
      <c r="K1328" s="47" t="n"/>
      <c r="L1328" s="47" t="n"/>
      <c r="M1328" s="47" t="n"/>
      <c r="N1328" s="47" t="n"/>
      <c r="O1328" s="47" t="n"/>
      <c r="P1328" s="47" t="n"/>
      <c r="Q1328" s="47" t="n"/>
      <c r="R1328" s="47" t="n"/>
      <c r="S1328" s="47" t="n"/>
      <c r="T1328" s="47" t="n"/>
      <c r="U1328" s="53" t="n"/>
      <c r="V1328" s="53" t="n"/>
      <c r="W1328" s="47" t="n"/>
      <c r="X1328" s="47" t="n"/>
      <c r="Y1328" s="47" t="n"/>
      <c r="Z1328" s="47" t="n"/>
      <c r="AA1328" s="47" t="n"/>
      <c r="AB1328" s="47" t="n"/>
      <c r="AC1328" s="47" t="n"/>
      <c r="AD1328" s="47" t="n"/>
      <c r="AE1328" s="47" t="n"/>
      <c r="AF1328" s="20">
        <f>IF(A1328="","",YEAR(EDATE(A1328,-3)))</f>
        <v/>
      </c>
      <c r="AG1328" s="20">
        <f>IF(OR(B1328="",'経歴簿'!$C$4=""),"",IF(B1328&amp;""='経歴簿'!$C$4&amp;"",MAX($AG$4:AG1327)+1,""))</f>
        <v/>
      </c>
      <c r="AH1328" s="20">
        <f>IF(A1328="",0,IF(AND(OR('CSV抽出'!$C$4="",A1328&gt;='CSV抽出'!$C$4),OR('CSV抽出'!$C$5="",A1328&lt;='CSV抽出'!$C$5),OR('CSV抽出'!$C$6="すべて",'CSV抽出'!$C$6="",D1328='CSV抽出'!$C$6),OR('CSV抽出'!$C$7="",B1328&amp;""='CSV抽出'!$C$7&amp;"")),1,0))</f>
        <v/>
      </c>
      <c r="AI1328" s="20">
        <f>IF(AH1328=1,SUM($AH$5:AH1328),"")</f>
        <v/>
      </c>
      <c r="AJ1328" s="20">
        <f>IF(OR(S1328="",'報告書'!$C$4=""),"",IF(S1328&amp;""='報告書'!$C$4&amp;"",COUNTIF($S$5:S1328,'報告書'!$C$4),""))</f>
        <v/>
      </c>
      <c r="AK1328" s="20" t="n"/>
      <c r="AL1328" s="47" t="n"/>
      <c r="AM1328" s="47" t="n"/>
      <c r="AN1328" s="53" t="n"/>
      <c r="AO1328" s="47" t="n"/>
      <c r="AP1328" s="47" t="n"/>
      <c r="AQ1328" s="47" t="n"/>
      <c r="AR1328" s="47" t="n"/>
      <c r="AS1328" s="47" t="n"/>
      <c r="AT1328" s="47" t="n"/>
      <c r="AU1328" s="47" t="n"/>
      <c r="AV1328" s="47" t="n"/>
      <c r="AW1328" s="52" t="n"/>
    </row>
    <row r="1329">
      <c r="A1329" s="48" t="n"/>
      <c r="B1329" s="52" t="n"/>
      <c r="C1329" s="47">
        <f>IF(B1329="","",IFERROR(INDEX('隊員マスタ'!$B$5:$B$204,MATCH(B1329&amp;"",'隊員マスタ'!$F$5:$F$204,0)),IF(AK1329="","番号なし",AK1329)))</f>
        <v/>
      </c>
      <c r="D1329" s="47" t="n"/>
      <c r="E1329" s="47" t="n"/>
      <c r="F1329" s="47" t="n"/>
      <c r="G1329" s="47" t="n"/>
      <c r="H1329" s="47" t="n"/>
      <c r="I1329" s="47" t="n"/>
      <c r="J1329" s="47" t="n"/>
      <c r="K1329" s="47" t="n"/>
      <c r="L1329" s="47" t="n"/>
      <c r="M1329" s="47" t="n"/>
      <c r="N1329" s="47" t="n"/>
      <c r="O1329" s="47" t="n"/>
      <c r="P1329" s="47" t="n"/>
      <c r="Q1329" s="47" t="n"/>
      <c r="R1329" s="47" t="n"/>
      <c r="S1329" s="47" t="n"/>
      <c r="T1329" s="47" t="n"/>
      <c r="U1329" s="53" t="n"/>
      <c r="V1329" s="53" t="n"/>
      <c r="W1329" s="47" t="n"/>
      <c r="X1329" s="47" t="n"/>
      <c r="Y1329" s="47" t="n"/>
      <c r="Z1329" s="47" t="n"/>
      <c r="AA1329" s="47" t="n"/>
      <c r="AB1329" s="47" t="n"/>
      <c r="AC1329" s="47" t="n"/>
      <c r="AD1329" s="47" t="n"/>
      <c r="AE1329" s="47" t="n"/>
      <c r="AF1329" s="20">
        <f>IF(A1329="","",YEAR(EDATE(A1329,-3)))</f>
        <v/>
      </c>
      <c r="AG1329" s="20">
        <f>IF(OR(B1329="",'経歴簿'!$C$4=""),"",IF(B1329&amp;""='経歴簿'!$C$4&amp;"",MAX($AG$4:AG1328)+1,""))</f>
        <v/>
      </c>
      <c r="AH1329" s="20">
        <f>IF(A1329="",0,IF(AND(OR('CSV抽出'!$C$4="",A1329&gt;='CSV抽出'!$C$4),OR('CSV抽出'!$C$5="",A1329&lt;='CSV抽出'!$C$5),OR('CSV抽出'!$C$6="すべて",'CSV抽出'!$C$6="",D1329='CSV抽出'!$C$6),OR('CSV抽出'!$C$7="",B1329&amp;""='CSV抽出'!$C$7&amp;"")),1,0))</f>
        <v/>
      </c>
      <c r="AI1329" s="20">
        <f>IF(AH1329=1,SUM($AH$5:AH1329),"")</f>
        <v/>
      </c>
      <c r="AJ1329" s="20">
        <f>IF(OR(S1329="",'報告書'!$C$4=""),"",IF(S1329&amp;""='報告書'!$C$4&amp;"",COUNTIF($S$5:S1329,'報告書'!$C$4),""))</f>
        <v/>
      </c>
      <c r="AK1329" s="20" t="n"/>
      <c r="AL1329" s="47" t="n"/>
      <c r="AM1329" s="47" t="n"/>
      <c r="AN1329" s="53" t="n"/>
      <c r="AO1329" s="47" t="n"/>
      <c r="AP1329" s="47" t="n"/>
      <c r="AQ1329" s="47" t="n"/>
      <c r="AR1329" s="47" t="n"/>
      <c r="AS1329" s="47" t="n"/>
      <c r="AT1329" s="47" t="n"/>
      <c r="AU1329" s="47" t="n"/>
      <c r="AV1329" s="47" t="n"/>
      <c r="AW1329" s="52" t="n"/>
    </row>
    <row r="1330">
      <c r="A1330" s="48" t="n"/>
      <c r="B1330" s="52" t="n"/>
      <c r="C1330" s="47">
        <f>IF(B1330="","",IFERROR(INDEX('隊員マスタ'!$B$5:$B$204,MATCH(B1330&amp;"",'隊員マスタ'!$F$5:$F$204,0)),IF(AK1330="","番号なし",AK1330)))</f>
        <v/>
      </c>
      <c r="D1330" s="47" t="n"/>
      <c r="E1330" s="47" t="n"/>
      <c r="F1330" s="47" t="n"/>
      <c r="G1330" s="47" t="n"/>
      <c r="H1330" s="47" t="n"/>
      <c r="I1330" s="47" t="n"/>
      <c r="J1330" s="47" t="n"/>
      <c r="K1330" s="47" t="n"/>
      <c r="L1330" s="47" t="n"/>
      <c r="M1330" s="47" t="n"/>
      <c r="N1330" s="47" t="n"/>
      <c r="O1330" s="47" t="n"/>
      <c r="P1330" s="47" t="n"/>
      <c r="Q1330" s="47" t="n"/>
      <c r="R1330" s="47" t="n"/>
      <c r="S1330" s="47" t="n"/>
      <c r="T1330" s="47" t="n"/>
      <c r="U1330" s="53" t="n"/>
      <c r="V1330" s="53" t="n"/>
      <c r="W1330" s="47" t="n"/>
      <c r="X1330" s="47" t="n"/>
      <c r="Y1330" s="47" t="n"/>
      <c r="Z1330" s="47" t="n"/>
      <c r="AA1330" s="47" t="n"/>
      <c r="AB1330" s="47" t="n"/>
      <c r="AC1330" s="47" t="n"/>
      <c r="AD1330" s="47" t="n"/>
      <c r="AE1330" s="47" t="n"/>
      <c r="AF1330" s="20">
        <f>IF(A1330="","",YEAR(EDATE(A1330,-3)))</f>
        <v/>
      </c>
      <c r="AG1330" s="20">
        <f>IF(OR(B1330="",'経歴簿'!$C$4=""),"",IF(B1330&amp;""='経歴簿'!$C$4&amp;"",MAX($AG$4:AG1329)+1,""))</f>
        <v/>
      </c>
      <c r="AH1330" s="20">
        <f>IF(A1330="",0,IF(AND(OR('CSV抽出'!$C$4="",A1330&gt;='CSV抽出'!$C$4),OR('CSV抽出'!$C$5="",A1330&lt;='CSV抽出'!$C$5),OR('CSV抽出'!$C$6="すべて",'CSV抽出'!$C$6="",D1330='CSV抽出'!$C$6),OR('CSV抽出'!$C$7="",B1330&amp;""='CSV抽出'!$C$7&amp;"")),1,0))</f>
        <v/>
      </c>
      <c r="AI1330" s="20">
        <f>IF(AH1330=1,SUM($AH$5:AH1330),"")</f>
        <v/>
      </c>
      <c r="AJ1330" s="20">
        <f>IF(OR(S1330="",'報告書'!$C$4=""),"",IF(S1330&amp;""='報告書'!$C$4&amp;"",COUNTIF($S$5:S1330,'報告書'!$C$4),""))</f>
        <v/>
      </c>
      <c r="AK1330" s="20" t="n"/>
      <c r="AL1330" s="47" t="n"/>
      <c r="AM1330" s="47" t="n"/>
      <c r="AN1330" s="53" t="n"/>
      <c r="AO1330" s="47" t="n"/>
      <c r="AP1330" s="47" t="n"/>
      <c r="AQ1330" s="47" t="n"/>
      <c r="AR1330" s="47" t="n"/>
      <c r="AS1330" s="47" t="n"/>
      <c r="AT1330" s="47" t="n"/>
      <c r="AU1330" s="47" t="n"/>
      <c r="AV1330" s="47" t="n"/>
      <c r="AW1330" s="52" t="n"/>
    </row>
    <row r="1331">
      <c r="A1331" s="48" t="n"/>
      <c r="B1331" s="52" t="n"/>
      <c r="C1331" s="47">
        <f>IF(B1331="","",IFERROR(INDEX('隊員マスタ'!$B$5:$B$204,MATCH(B1331&amp;"",'隊員マスタ'!$F$5:$F$204,0)),IF(AK1331="","番号なし",AK1331)))</f>
        <v/>
      </c>
      <c r="D1331" s="47" t="n"/>
      <c r="E1331" s="47" t="n"/>
      <c r="F1331" s="47" t="n"/>
      <c r="G1331" s="47" t="n"/>
      <c r="H1331" s="47" t="n"/>
      <c r="I1331" s="47" t="n"/>
      <c r="J1331" s="47" t="n"/>
      <c r="K1331" s="47" t="n"/>
      <c r="L1331" s="47" t="n"/>
      <c r="M1331" s="47" t="n"/>
      <c r="N1331" s="47" t="n"/>
      <c r="O1331" s="47" t="n"/>
      <c r="P1331" s="47" t="n"/>
      <c r="Q1331" s="47" t="n"/>
      <c r="R1331" s="47" t="n"/>
      <c r="S1331" s="47" t="n"/>
      <c r="T1331" s="47" t="n"/>
      <c r="U1331" s="53" t="n"/>
      <c r="V1331" s="53" t="n"/>
      <c r="W1331" s="47" t="n"/>
      <c r="X1331" s="47" t="n"/>
      <c r="Y1331" s="47" t="n"/>
      <c r="Z1331" s="47" t="n"/>
      <c r="AA1331" s="47" t="n"/>
      <c r="AB1331" s="47" t="n"/>
      <c r="AC1331" s="47" t="n"/>
      <c r="AD1331" s="47" t="n"/>
      <c r="AE1331" s="47" t="n"/>
      <c r="AF1331" s="20">
        <f>IF(A1331="","",YEAR(EDATE(A1331,-3)))</f>
        <v/>
      </c>
      <c r="AG1331" s="20">
        <f>IF(OR(B1331="",'経歴簿'!$C$4=""),"",IF(B1331&amp;""='経歴簿'!$C$4&amp;"",MAX($AG$4:AG1330)+1,""))</f>
        <v/>
      </c>
      <c r="AH1331" s="20">
        <f>IF(A1331="",0,IF(AND(OR('CSV抽出'!$C$4="",A1331&gt;='CSV抽出'!$C$4),OR('CSV抽出'!$C$5="",A1331&lt;='CSV抽出'!$C$5),OR('CSV抽出'!$C$6="すべて",'CSV抽出'!$C$6="",D1331='CSV抽出'!$C$6),OR('CSV抽出'!$C$7="",B1331&amp;""='CSV抽出'!$C$7&amp;"")),1,0))</f>
        <v/>
      </c>
      <c r="AI1331" s="20">
        <f>IF(AH1331=1,SUM($AH$5:AH1331),"")</f>
        <v/>
      </c>
      <c r="AJ1331" s="20">
        <f>IF(OR(S1331="",'報告書'!$C$4=""),"",IF(S1331&amp;""='報告書'!$C$4&amp;"",COUNTIF($S$5:S1331,'報告書'!$C$4),""))</f>
        <v/>
      </c>
      <c r="AK1331" s="20" t="n"/>
      <c r="AL1331" s="47" t="n"/>
      <c r="AM1331" s="47" t="n"/>
      <c r="AN1331" s="53" t="n"/>
      <c r="AO1331" s="47" t="n"/>
      <c r="AP1331" s="47" t="n"/>
      <c r="AQ1331" s="47" t="n"/>
      <c r="AR1331" s="47" t="n"/>
      <c r="AS1331" s="47" t="n"/>
      <c r="AT1331" s="47" t="n"/>
      <c r="AU1331" s="47" t="n"/>
      <c r="AV1331" s="47" t="n"/>
      <c r="AW1331" s="52" t="n"/>
    </row>
    <row r="1332">
      <c r="A1332" s="48" t="n"/>
      <c r="B1332" s="52" t="n"/>
      <c r="C1332" s="47">
        <f>IF(B1332="","",IFERROR(INDEX('隊員マスタ'!$B$5:$B$204,MATCH(B1332&amp;"",'隊員マスタ'!$F$5:$F$204,0)),IF(AK1332="","番号なし",AK1332)))</f>
        <v/>
      </c>
      <c r="D1332" s="47" t="n"/>
      <c r="E1332" s="47" t="n"/>
      <c r="F1332" s="47" t="n"/>
      <c r="G1332" s="47" t="n"/>
      <c r="H1332" s="47" t="n"/>
      <c r="I1332" s="47" t="n"/>
      <c r="J1332" s="47" t="n"/>
      <c r="K1332" s="47" t="n"/>
      <c r="L1332" s="47" t="n"/>
      <c r="M1332" s="47" t="n"/>
      <c r="N1332" s="47" t="n"/>
      <c r="O1332" s="47" t="n"/>
      <c r="P1332" s="47" t="n"/>
      <c r="Q1332" s="47" t="n"/>
      <c r="R1332" s="47" t="n"/>
      <c r="S1332" s="47" t="n"/>
      <c r="T1332" s="47" t="n"/>
      <c r="U1332" s="53" t="n"/>
      <c r="V1332" s="53" t="n"/>
      <c r="W1332" s="47" t="n"/>
      <c r="X1332" s="47" t="n"/>
      <c r="Y1332" s="47" t="n"/>
      <c r="Z1332" s="47" t="n"/>
      <c r="AA1332" s="47" t="n"/>
      <c r="AB1332" s="47" t="n"/>
      <c r="AC1332" s="47" t="n"/>
      <c r="AD1332" s="47" t="n"/>
      <c r="AE1332" s="47" t="n"/>
      <c r="AF1332" s="20">
        <f>IF(A1332="","",YEAR(EDATE(A1332,-3)))</f>
        <v/>
      </c>
      <c r="AG1332" s="20">
        <f>IF(OR(B1332="",'経歴簿'!$C$4=""),"",IF(B1332&amp;""='経歴簿'!$C$4&amp;"",MAX($AG$4:AG1331)+1,""))</f>
        <v/>
      </c>
      <c r="AH1332" s="20">
        <f>IF(A1332="",0,IF(AND(OR('CSV抽出'!$C$4="",A1332&gt;='CSV抽出'!$C$4),OR('CSV抽出'!$C$5="",A1332&lt;='CSV抽出'!$C$5),OR('CSV抽出'!$C$6="すべて",'CSV抽出'!$C$6="",D1332='CSV抽出'!$C$6),OR('CSV抽出'!$C$7="",B1332&amp;""='CSV抽出'!$C$7&amp;"")),1,0))</f>
        <v/>
      </c>
      <c r="AI1332" s="20">
        <f>IF(AH1332=1,SUM($AH$5:AH1332),"")</f>
        <v/>
      </c>
      <c r="AJ1332" s="20">
        <f>IF(OR(S1332="",'報告書'!$C$4=""),"",IF(S1332&amp;""='報告書'!$C$4&amp;"",COUNTIF($S$5:S1332,'報告書'!$C$4),""))</f>
        <v/>
      </c>
      <c r="AK1332" s="20" t="n"/>
      <c r="AL1332" s="47" t="n"/>
      <c r="AM1332" s="47" t="n"/>
      <c r="AN1332" s="53" t="n"/>
      <c r="AO1332" s="47" t="n"/>
      <c r="AP1332" s="47" t="n"/>
      <c r="AQ1332" s="47" t="n"/>
      <c r="AR1332" s="47" t="n"/>
      <c r="AS1332" s="47" t="n"/>
      <c r="AT1332" s="47" t="n"/>
      <c r="AU1332" s="47" t="n"/>
      <c r="AV1332" s="47" t="n"/>
      <c r="AW1332" s="52" t="n"/>
    </row>
    <row r="1333">
      <c r="A1333" s="48" t="n"/>
      <c r="B1333" s="52" t="n"/>
      <c r="C1333" s="47">
        <f>IF(B1333="","",IFERROR(INDEX('隊員マスタ'!$B$5:$B$204,MATCH(B1333&amp;"",'隊員マスタ'!$F$5:$F$204,0)),IF(AK1333="","番号なし",AK1333)))</f>
        <v/>
      </c>
      <c r="D1333" s="47" t="n"/>
      <c r="E1333" s="47" t="n"/>
      <c r="F1333" s="47" t="n"/>
      <c r="G1333" s="47" t="n"/>
      <c r="H1333" s="47" t="n"/>
      <c r="I1333" s="47" t="n"/>
      <c r="J1333" s="47" t="n"/>
      <c r="K1333" s="47" t="n"/>
      <c r="L1333" s="47" t="n"/>
      <c r="M1333" s="47" t="n"/>
      <c r="N1333" s="47" t="n"/>
      <c r="O1333" s="47" t="n"/>
      <c r="P1333" s="47" t="n"/>
      <c r="Q1333" s="47" t="n"/>
      <c r="R1333" s="47" t="n"/>
      <c r="S1333" s="47" t="n"/>
      <c r="T1333" s="47" t="n"/>
      <c r="U1333" s="53" t="n"/>
      <c r="V1333" s="53" t="n"/>
      <c r="W1333" s="47" t="n"/>
      <c r="X1333" s="47" t="n"/>
      <c r="Y1333" s="47" t="n"/>
      <c r="Z1333" s="47" t="n"/>
      <c r="AA1333" s="47" t="n"/>
      <c r="AB1333" s="47" t="n"/>
      <c r="AC1333" s="47" t="n"/>
      <c r="AD1333" s="47" t="n"/>
      <c r="AE1333" s="47" t="n"/>
      <c r="AF1333" s="20">
        <f>IF(A1333="","",YEAR(EDATE(A1333,-3)))</f>
        <v/>
      </c>
      <c r="AG1333" s="20">
        <f>IF(OR(B1333="",'経歴簿'!$C$4=""),"",IF(B1333&amp;""='経歴簿'!$C$4&amp;"",MAX($AG$4:AG1332)+1,""))</f>
        <v/>
      </c>
      <c r="AH1333" s="20">
        <f>IF(A1333="",0,IF(AND(OR('CSV抽出'!$C$4="",A1333&gt;='CSV抽出'!$C$4),OR('CSV抽出'!$C$5="",A1333&lt;='CSV抽出'!$C$5),OR('CSV抽出'!$C$6="すべて",'CSV抽出'!$C$6="",D1333='CSV抽出'!$C$6),OR('CSV抽出'!$C$7="",B1333&amp;""='CSV抽出'!$C$7&amp;"")),1,0))</f>
        <v/>
      </c>
      <c r="AI1333" s="20">
        <f>IF(AH1333=1,SUM($AH$5:AH1333),"")</f>
        <v/>
      </c>
      <c r="AJ1333" s="20">
        <f>IF(OR(S1333="",'報告書'!$C$4=""),"",IF(S1333&amp;""='報告書'!$C$4&amp;"",COUNTIF($S$5:S1333,'報告書'!$C$4),""))</f>
        <v/>
      </c>
      <c r="AK1333" s="20" t="n"/>
      <c r="AL1333" s="47" t="n"/>
      <c r="AM1333" s="47" t="n"/>
      <c r="AN1333" s="53" t="n"/>
      <c r="AO1333" s="47" t="n"/>
      <c r="AP1333" s="47" t="n"/>
      <c r="AQ1333" s="47" t="n"/>
      <c r="AR1333" s="47" t="n"/>
      <c r="AS1333" s="47" t="n"/>
      <c r="AT1333" s="47" t="n"/>
      <c r="AU1333" s="47" t="n"/>
      <c r="AV1333" s="47" t="n"/>
      <c r="AW1333" s="52" t="n"/>
    </row>
    <row r="1334">
      <c r="A1334" s="48" t="n"/>
      <c r="B1334" s="52" t="n"/>
      <c r="C1334" s="47">
        <f>IF(B1334="","",IFERROR(INDEX('隊員マスタ'!$B$5:$B$204,MATCH(B1334&amp;"",'隊員マスタ'!$F$5:$F$204,0)),IF(AK1334="","番号なし",AK1334)))</f>
        <v/>
      </c>
      <c r="D1334" s="47" t="n"/>
      <c r="E1334" s="47" t="n"/>
      <c r="F1334" s="47" t="n"/>
      <c r="G1334" s="47" t="n"/>
      <c r="H1334" s="47" t="n"/>
      <c r="I1334" s="47" t="n"/>
      <c r="J1334" s="47" t="n"/>
      <c r="K1334" s="47" t="n"/>
      <c r="L1334" s="47" t="n"/>
      <c r="M1334" s="47" t="n"/>
      <c r="N1334" s="47" t="n"/>
      <c r="O1334" s="47" t="n"/>
      <c r="P1334" s="47" t="n"/>
      <c r="Q1334" s="47" t="n"/>
      <c r="R1334" s="47" t="n"/>
      <c r="S1334" s="47" t="n"/>
      <c r="T1334" s="47" t="n"/>
      <c r="U1334" s="53" t="n"/>
      <c r="V1334" s="53" t="n"/>
      <c r="W1334" s="47" t="n"/>
      <c r="X1334" s="47" t="n"/>
      <c r="Y1334" s="47" t="n"/>
      <c r="Z1334" s="47" t="n"/>
      <c r="AA1334" s="47" t="n"/>
      <c r="AB1334" s="47" t="n"/>
      <c r="AC1334" s="47" t="n"/>
      <c r="AD1334" s="47" t="n"/>
      <c r="AE1334" s="47" t="n"/>
      <c r="AF1334" s="20">
        <f>IF(A1334="","",YEAR(EDATE(A1334,-3)))</f>
        <v/>
      </c>
      <c r="AG1334" s="20">
        <f>IF(OR(B1334="",'経歴簿'!$C$4=""),"",IF(B1334&amp;""='経歴簿'!$C$4&amp;"",MAX($AG$4:AG1333)+1,""))</f>
        <v/>
      </c>
      <c r="AH1334" s="20">
        <f>IF(A1334="",0,IF(AND(OR('CSV抽出'!$C$4="",A1334&gt;='CSV抽出'!$C$4),OR('CSV抽出'!$C$5="",A1334&lt;='CSV抽出'!$C$5),OR('CSV抽出'!$C$6="すべて",'CSV抽出'!$C$6="",D1334='CSV抽出'!$C$6),OR('CSV抽出'!$C$7="",B1334&amp;""='CSV抽出'!$C$7&amp;"")),1,0))</f>
        <v/>
      </c>
      <c r="AI1334" s="20">
        <f>IF(AH1334=1,SUM($AH$5:AH1334),"")</f>
        <v/>
      </c>
      <c r="AJ1334" s="20">
        <f>IF(OR(S1334="",'報告書'!$C$4=""),"",IF(S1334&amp;""='報告書'!$C$4&amp;"",COUNTIF($S$5:S1334,'報告書'!$C$4),""))</f>
        <v/>
      </c>
      <c r="AK1334" s="20" t="n"/>
      <c r="AL1334" s="47" t="n"/>
      <c r="AM1334" s="47" t="n"/>
      <c r="AN1334" s="53" t="n"/>
      <c r="AO1334" s="47" t="n"/>
      <c r="AP1334" s="47" t="n"/>
      <c r="AQ1334" s="47" t="n"/>
      <c r="AR1334" s="47" t="n"/>
      <c r="AS1334" s="47" t="n"/>
      <c r="AT1334" s="47" t="n"/>
      <c r="AU1334" s="47" t="n"/>
      <c r="AV1334" s="47" t="n"/>
      <c r="AW1334" s="52" t="n"/>
    </row>
    <row r="1335">
      <c r="A1335" s="48" t="n"/>
      <c r="B1335" s="52" t="n"/>
      <c r="C1335" s="47">
        <f>IF(B1335="","",IFERROR(INDEX('隊員マスタ'!$B$5:$B$204,MATCH(B1335&amp;"",'隊員マスタ'!$F$5:$F$204,0)),IF(AK1335="","番号なし",AK1335)))</f>
        <v/>
      </c>
      <c r="D1335" s="47" t="n"/>
      <c r="E1335" s="47" t="n"/>
      <c r="F1335" s="47" t="n"/>
      <c r="G1335" s="47" t="n"/>
      <c r="H1335" s="47" t="n"/>
      <c r="I1335" s="47" t="n"/>
      <c r="J1335" s="47" t="n"/>
      <c r="K1335" s="47" t="n"/>
      <c r="L1335" s="47" t="n"/>
      <c r="M1335" s="47" t="n"/>
      <c r="N1335" s="47" t="n"/>
      <c r="O1335" s="47" t="n"/>
      <c r="P1335" s="47" t="n"/>
      <c r="Q1335" s="47" t="n"/>
      <c r="R1335" s="47" t="n"/>
      <c r="S1335" s="47" t="n"/>
      <c r="T1335" s="47" t="n"/>
      <c r="U1335" s="53" t="n"/>
      <c r="V1335" s="53" t="n"/>
      <c r="W1335" s="47" t="n"/>
      <c r="X1335" s="47" t="n"/>
      <c r="Y1335" s="47" t="n"/>
      <c r="Z1335" s="47" t="n"/>
      <c r="AA1335" s="47" t="n"/>
      <c r="AB1335" s="47" t="n"/>
      <c r="AC1335" s="47" t="n"/>
      <c r="AD1335" s="47" t="n"/>
      <c r="AE1335" s="47" t="n"/>
      <c r="AF1335" s="20">
        <f>IF(A1335="","",YEAR(EDATE(A1335,-3)))</f>
        <v/>
      </c>
      <c r="AG1335" s="20">
        <f>IF(OR(B1335="",'経歴簿'!$C$4=""),"",IF(B1335&amp;""='経歴簿'!$C$4&amp;"",MAX($AG$4:AG1334)+1,""))</f>
        <v/>
      </c>
      <c r="AH1335" s="20">
        <f>IF(A1335="",0,IF(AND(OR('CSV抽出'!$C$4="",A1335&gt;='CSV抽出'!$C$4),OR('CSV抽出'!$C$5="",A1335&lt;='CSV抽出'!$C$5),OR('CSV抽出'!$C$6="すべて",'CSV抽出'!$C$6="",D1335='CSV抽出'!$C$6),OR('CSV抽出'!$C$7="",B1335&amp;""='CSV抽出'!$C$7&amp;"")),1,0))</f>
        <v/>
      </c>
      <c r="AI1335" s="20">
        <f>IF(AH1335=1,SUM($AH$5:AH1335),"")</f>
        <v/>
      </c>
      <c r="AJ1335" s="20">
        <f>IF(OR(S1335="",'報告書'!$C$4=""),"",IF(S1335&amp;""='報告書'!$C$4&amp;"",COUNTIF($S$5:S1335,'報告書'!$C$4),""))</f>
        <v/>
      </c>
      <c r="AK1335" s="20" t="n"/>
      <c r="AL1335" s="47" t="n"/>
      <c r="AM1335" s="47" t="n"/>
      <c r="AN1335" s="53" t="n"/>
      <c r="AO1335" s="47" t="n"/>
      <c r="AP1335" s="47" t="n"/>
      <c r="AQ1335" s="47" t="n"/>
      <c r="AR1335" s="47" t="n"/>
      <c r="AS1335" s="47" t="n"/>
      <c r="AT1335" s="47" t="n"/>
      <c r="AU1335" s="47" t="n"/>
      <c r="AV1335" s="47" t="n"/>
      <c r="AW1335" s="52" t="n"/>
    </row>
    <row r="1336">
      <c r="A1336" s="48" t="n"/>
      <c r="B1336" s="52" t="n"/>
      <c r="C1336" s="47">
        <f>IF(B1336="","",IFERROR(INDEX('隊員マスタ'!$B$5:$B$204,MATCH(B1336&amp;"",'隊員マスタ'!$F$5:$F$204,0)),IF(AK1336="","番号なし",AK1336)))</f>
        <v/>
      </c>
      <c r="D1336" s="47" t="n"/>
      <c r="E1336" s="47" t="n"/>
      <c r="F1336" s="47" t="n"/>
      <c r="G1336" s="47" t="n"/>
      <c r="H1336" s="47" t="n"/>
      <c r="I1336" s="47" t="n"/>
      <c r="J1336" s="47" t="n"/>
      <c r="K1336" s="47" t="n"/>
      <c r="L1336" s="47" t="n"/>
      <c r="M1336" s="47" t="n"/>
      <c r="N1336" s="47" t="n"/>
      <c r="O1336" s="47" t="n"/>
      <c r="P1336" s="47" t="n"/>
      <c r="Q1336" s="47" t="n"/>
      <c r="R1336" s="47" t="n"/>
      <c r="S1336" s="47" t="n"/>
      <c r="T1336" s="47" t="n"/>
      <c r="U1336" s="53" t="n"/>
      <c r="V1336" s="53" t="n"/>
      <c r="W1336" s="47" t="n"/>
      <c r="X1336" s="47" t="n"/>
      <c r="Y1336" s="47" t="n"/>
      <c r="Z1336" s="47" t="n"/>
      <c r="AA1336" s="47" t="n"/>
      <c r="AB1336" s="47" t="n"/>
      <c r="AC1336" s="47" t="n"/>
      <c r="AD1336" s="47" t="n"/>
      <c r="AE1336" s="47" t="n"/>
      <c r="AF1336" s="20">
        <f>IF(A1336="","",YEAR(EDATE(A1336,-3)))</f>
        <v/>
      </c>
      <c r="AG1336" s="20">
        <f>IF(OR(B1336="",'経歴簿'!$C$4=""),"",IF(B1336&amp;""='経歴簿'!$C$4&amp;"",MAX($AG$4:AG1335)+1,""))</f>
        <v/>
      </c>
      <c r="AH1336" s="20">
        <f>IF(A1336="",0,IF(AND(OR('CSV抽出'!$C$4="",A1336&gt;='CSV抽出'!$C$4),OR('CSV抽出'!$C$5="",A1336&lt;='CSV抽出'!$C$5),OR('CSV抽出'!$C$6="すべて",'CSV抽出'!$C$6="",D1336='CSV抽出'!$C$6),OR('CSV抽出'!$C$7="",B1336&amp;""='CSV抽出'!$C$7&amp;"")),1,0))</f>
        <v/>
      </c>
      <c r="AI1336" s="20">
        <f>IF(AH1336=1,SUM($AH$5:AH1336),"")</f>
        <v/>
      </c>
      <c r="AJ1336" s="20">
        <f>IF(OR(S1336="",'報告書'!$C$4=""),"",IF(S1336&amp;""='報告書'!$C$4&amp;"",COUNTIF($S$5:S1336,'報告書'!$C$4),""))</f>
        <v/>
      </c>
      <c r="AK1336" s="20" t="n"/>
      <c r="AL1336" s="47" t="n"/>
      <c r="AM1336" s="47" t="n"/>
      <c r="AN1336" s="53" t="n"/>
      <c r="AO1336" s="47" t="n"/>
      <c r="AP1336" s="47" t="n"/>
      <c r="AQ1336" s="47" t="n"/>
      <c r="AR1336" s="47" t="n"/>
      <c r="AS1336" s="47" t="n"/>
      <c r="AT1336" s="47" t="n"/>
      <c r="AU1336" s="47" t="n"/>
      <c r="AV1336" s="47" t="n"/>
      <c r="AW1336" s="52" t="n"/>
    </row>
    <row r="1337">
      <c r="A1337" s="48" t="n"/>
      <c r="B1337" s="52" t="n"/>
      <c r="C1337" s="47">
        <f>IF(B1337="","",IFERROR(INDEX('隊員マスタ'!$B$5:$B$204,MATCH(B1337&amp;"",'隊員マスタ'!$F$5:$F$204,0)),IF(AK1337="","番号なし",AK1337)))</f>
        <v/>
      </c>
      <c r="D1337" s="47" t="n"/>
      <c r="E1337" s="47" t="n"/>
      <c r="F1337" s="47" t="n"/>
      <c r="G1337" s="47" t="n"/>
      <c r="H1337" s="47" t="n"/>
      <c r="I1337" s="47" t="n"/>
      <c r="J1337" s="47" t="n"/>
      <c r="K1337" s="47" t="n"/>
      <c r="L1337" s="47" t="n"/>
      <c r="M1337" s="47" t="n"/>
      <c r="N1337" s="47" t="n"/>
      <c r="O1337" s="47" t="n"/>
      <c r="P1337" s="47" t="n"/>
      <c r="Q1337" s="47" t="n"/>
      <c r="R1337" s="47" t="n"/>
      <c r="S1337" s="47" t="n"/>
      <c r="T1337" s="47" t="n"/>
      <c r="U1337" s="53" t="n"/>
      <c r="V1337" s="53" t="n"/>
      <c r="W1337" s="47" t="n"/>
      <c r="X1337" s="47" t="n"/>
      <c r="Y1337" s="47" t="n"/>
      <c r="Z1337" s="47" t="n"/>
      <c r="AA1337" s="47" t="n"/>
      <c r="AB1337" s="47" t="n"/>
      <c r="AC1337" s="47" t="n"/>
      <c r="AD1337" s="47" t="n"/>
      <c r="AE1337" s="47" t="n"/>
      <c r="AF1337" s="20">
        <f>IF(A1337="","",YEAR(EDATE(A1337,-3)))</f>
        <v/>
      </c>
      <c r="AG1337" s="20">
        <f>IF(OR(B1337="",'経歴簿'!$C$4=""),"",IF(B1337&amp;""='経歴簿'!$C$4&amp;"",MAX($AG$4:AG1336)+1,""))</f>
        <v/>
      </c>
      <c r="AH1337" s="20">
        <f>IF(A1337="",0,IF(AND(OR('CSV抽出'!$C$4="",A1337&gt;='CSV抽出'!$C$4),OR('CSV抽出'!$C$5="",A1337&lt;='CSV抽出'!$C$5),OR('CSV抽出'!$C$6="すべて",'CSV抽出'!$C$6="",D1337='CSV抽出'!$C$6),OR('CSV抽出'!$C$7="",B1337&amp;""='CSV抽出'!$C$7&amp;"")),1,0))</f>
        <v/>
      </c>
      <c r="AI1337" s="20">
        <f>IF(AH1337=1,SUM($AH$5:AH1337),"")</f>
        <v/>
      </c>
      <c r="AJ1337" s="20">
        <f>IF(OR(S1337="",'報告書'!$C$4=""),"",IF(S1337&amp;""='報告書'!$C$4&amp;"",COUNTIF($S$5:S1337,'報告書'!$C$4),""))</f>
        <v/>
      </c>
      <c r="AK1337" s="20" t="n"/>
      <c r="AL1337" s="47" t="n"/>
      <c r="AM1337" s="47" t="n"/>
      <c r="AN1337" s="53" t="n"/>
      <c r="AO1337" s="47" t="n"/>
      <c r="AP1337" s="47" t="n"/>
      <c r="AQ1337" s="47" t="n"/>
      <c r="AR1337" s="47" t="n"/>
      <c r="AS1337" s="47" t="n"/>
      <c r="AT1337" s="47" t="n"/>
      <c r="AU1337" s="47" t="n"/>
      <c r="AV1337" s="47" t="n"/>
      <c r="AW1337" s="52" t="n"/>
    </row>
    <row r="1338">
      <c r="A1338" s="48" t="n"/>
      <c r="B1338" s="52" t="n"/>
      <c r="C1338" s="47">
        <f>IF(B1338="","",IFERROR(INDEX('隊員マスタ'!$B$5:$B$204,MATCH(B1338&amp;"",'隊員マスタ'!$F$5:$F$204,0)),IF(AK1338="","番号なし",AK1338)))</f>
        <v/>
      </c>
      <c r="D1338" s="47" t="n"/>
      <c r="E1338" s="47" t="n"/>
      <c r="F1338" s="47" t="n"/>
      <c r="G1338" s="47" t="n"/>
      <c r="H1338" s="47" t="n"/>
      <c r="I1338" s="47" t="n"/>
      <c r="J1338" s="47" t="n"/>
      <c r="K1338" s="47" t="n"/>
      <c r="L1338" s="47" t="n"/>
      <c r="M1338" s="47" t="n"/>
      <c r="N1338" s="47" t="n"/>
      <c r="O1338" s="47" t="n"/>
      <c r="P1338" s="47" t="n"/>
      <c r="Q1338" s="47" t="n"/>
      <c r="R1338" s="47" t="n"/>
      <c r="S1338" s="47" t="n"/>
      <c r="T1338" s="47" t="n"/>
      <c r="U1338" s="53" t="n"/>
      <c r="V1338" s="53" t="n"/>
      <c r="W1338" s="47" t="n"/>
      <c r="X1338" s="47" t="n"/>
      <c r="Y1338" s="47" t="n"/>
      <c r="Z1338" s="47" t="n"/>
      <c r="AA1338" s="47" t="n"/>
      <c r="AB1338" s="47" t="n"/>
      <c r="AC1338" s="47" t="n"/>
      <c r="AD1338" s="47" t="n"/>
      <c r="AE1338" s="47" t="n"/>
      <c r="AF1338" s="20">
        <f>IF(A1338="","",YEAR(EDATE(A1338,-3)))</f>
        <v/>
      </c>
      <c r="AG1338" s="20">
        <f>IF(OR(B1338="",'経歴簿'!$C$4=""),"",IF(B1338&amp;""='経歴簿'!$C$4&amp;"",MAX($AG$4:AG1337)+1,""))</f>
        <v/>
      </c>
      <c r="AH1338" s="20">
        <f>IF(A1338="",0,IF(AND(OR('CSV抽出'!$C$4="",A1338&gt;='CSV抽出'!$C$4),OR('CSV抽出'!$C$5="",A1338&lt;='CSV抽出'!$C$5),OR('CSV抽出'!$C$6="すべて",'CSV抽出'!$C$6="",D1338='CSV抽出'!$C$6),OR('CSV抽出'!$C$7="",B1338&amp;""='CSV抽出'!$C$7&amp;"")),1,0))</f>
        <v/>
      </c>
      <c r="AI1338" s="20">
        <f>IF(AH1338=1,SUM($AH$5:AH1338),"")</f>
        <v/>
      </c>
      <c r="AJ1338" s="20">
        <f>IF(OR(S1338="",'報告書'!$C$4=""),"",IF(S1338&amp;""='報告書'!$C$4&amp;"",COUNTIF($S$5:S1338,'報告書'!$C$4),""))</f>
        <v/>
      </c>
      <c r="AK1338" s="20" t="n"/>
      <c r="AL1338" s="47" t="n"/>
      <c r="AM1338" s="47" t="n"/>
      <c r="AN1338" s="53" t="n"/>
      <c r="AO1338" s="47" t="n"/>
      <c r="AP1338" s="47" t="n"/>
      <c r="AQ1338" s="47" t="n"/>
      <c r="AR1338" s="47" t="n"/>
      <c r="AS1338" s="47" t="n"/>
      <c r="AT1338" s="47" t="n"/>
      <c r="AU1338" s="47" t="n"/>
      <c r="AV1338" s="47" t="n"/>
      <c r="AW1338" s="52" t="n"/>
    </row>
    <row r="1339">
      <c r="A1339" s="48" t="n"/>
      <c r="B1339" s="52" t="n"/>
      <c r="C1339" s="47">
        <f>IF(B1339="","",IFERROR(INDEX('隊員マスタ'!$B$5:$B$204,MATCH(B1339&amp;"",'隊員マスタ'!$F$5:$F$204,0)),IF(AK1339="","番号なし",AK1339)))</f>
        <v/>
      </c>
      <c r="D1339" s="47" t="n"/>
      <c r="E1339" s="47" t="n"/>
      <c r="F1339" s="47" t="n"/>
      <c r="G1339" s="47" t="n"/>
      <c r="H1339" s="47" t="n"/>
      <c r="I1339" s="47" t="n"/>
      <c r="J1339" s="47" t="n"/>
      <c r="K1339" s="47" t="n"/>
      <c r="L1339" s="47" t="n"/>
      <c r="M1339" s="47" t="n"/>
      <c r="N1339" s="47" t="n"/>
      <c r="O1339" s="47" t="n"/>
      <c r="P1339" s="47" t="n"/>
      <c r="Q1339" s="47" t="n"/>
      <c r="R1339" s="47" t="n"/>
      <c r="S1339" s="47" t="n"/>
      <c r="T1339" s="47" t="n"/>
      <c r="U1339" s="53" t="n"/>
      <c r="V1339" s="53" t="n"/>
      <c r="W1339" s="47" t="n"/>
      <c r="X1339" s="47" t="n"/>
      <c r="Y1339" s="47" t="n"/>
      <c r="Z1339" s="47" t="n"/>
      <c r="AA1339" s="47" t="n"/>
      <c r="AB1339" s="47" t="n"/>
      <c r="AC1339" s="47" t="n"/>
      <c r="AD1339" s="47" t="n"/>
      <c r="AE1339" s="47" t="n"/>
      <c r="AF1339" s="20">
        <f>IF(A1339="","",YEAR(EDATE(A1339,-3)))</f>
        <v/>
      </c>
      <c r="AG1339" s="20">
        <f>IF(OR(B1339="",'経歴簿'!$C$4=""),"",IF(B1339&amp;""='経歴簿'!$C$4&amp;"",MAX($AG$4:AG1338)+1,""))</f>
        <v/>
      </c>
      <c r="AH1339" s="20">
        <f>IF(A1339="",0,IF(AND(OR('CSV抽出'!$C$4="",A1339&gt;='CSV抽出'!$C$4),OR('CSV抽出'!$C$5="",A1339&lt;='CSV抽出'!$C$5),OR('CSV抽出'!$C$6="すべて",'CSV抽出'!$C$6="",D1339='CSV抽出'!$C$6),OR('CSV抽出'!$C$7="",B1339&amp;""='CSV抽出'!$C$7&amp;"")),1,0))</f>
        <v/>
      </c>
      <c r="AI1339" s="20">
        <f>IF(AH1339=1,SUM($AH$5:AH1339),"")</f>
        <v/>
      </c>
      <c r="AJ1339" s="20">
        <f>IF(OR(S1339="",'報告書'!$C$4=""),"",IF(S1339&amp;""='報告書'!$C$4&amp;"",COUNTIF($S$5:S1339,'報告書'!$C$4),""))</f>
        <v/>
      </c>
      <c r="AK1339" s="20" t="n"/>
      <c r="AL1339" s="47" t="n"/>
      <c r="AM1339" s="47" t="n"/>
      <c r="AN1339" s="53" t="n"/>
      <c r="AO1339" s="47" t="n"/>
      <c r="AP1339" s="47" t="n"/>
      <c r="AQ1339" s="47" t="n"/>
      <c r="AR1339" s="47" t="n"/>
      <c r="AS1339" s="47" t="n"/>
      <c r="AT1339" s="47" t="n"/>
      <c r="AU1339" s="47" t="n"/>
      <c r="AV1339" s="47" t="n"/>
      <c r="AW1339" s="52" t="n"/>
    </row>
    <row r="1340">
      <c r="A1340" s="48" t="n"/>
      <c r="B1340" s="52" t="n"/>
      <c r="C1340" s="47">
        <f>IF(B1340="","",IFERROR(INDEX('隊員マスタ'!$B$5:$B$204,MATCH(B1340&amp;"",'隊員マスタ'!$F$5:$F$204,0)),IF(AK1340="","番号なし",AK1340)))</f>
        <v/>
      </c>
      <c r="D1340" s="47" t="n"/>
      <c r="E1340" s="47" t="n"/>
      <c r="F1340" s="47" t="n"/>
      <c r="G1340" s="47" t="n"/>
      <c r="H1340" s="47" t="n"/>
      <c r="I1340" s="47" t="n"/>
      <c r="J1340" s="47" t="n"/>
      <c r="K1340" s="47" t="n"/>
      <c r="L1340" s="47" t="n"/>
      <c r="M1340" s="47" t="n"/>
      <c r="N1340" s="47" t="n"/>
      <c r="O1340" s="47" t="n"/>
      <c r="P1340" s="47" t="n"/>
      <c r="Q1340" s="47" t="n"/>
      <c r="R1340" s="47" t="n"/>
      <c r="S1340" s="47" t="n"/>
      <c r="T1340" s="47" t="n"/>
      <c r="U1340" s="53" t="n"/>
      <c r="V1340" s="53" t="n"/>
      <c r="W1340" s="47" t="n"/>
      <c r="X1340" s="47" t="n"/>
      <c r="Y1340" s="47" t="n"/>
      <c r="Z1340" s="47" t="n"/>
      <c r="AA1340" s="47" t="n"/>
      <c r="AB1340" s="47" t="n"/>
      <c r="AC1340" s="47" t="n"/>
      <c r="AD1340" s="47" t="n"/>
      <c r="AE1340" s="47" t="n"/>
      <c r="AF1340" s="20">
        <f>IF(A1340="","",YEAR(EDATE(A1340,-3)))</f>
        <v/>
      </c>
      <c r="AG1340" s="20">
        <f>IF(OR(B1340="",'経歴簿'!$C$4=""),"",IF(B1340&amp;""='経歴簿'!$C$4&amp;"",MAX($AG$4:AG1339)+1,""))</f>
        <v/>
      </c>
      <c r="AH1340" s="20">
        <f>IF(A1340="",0,IF(AND(OR('CSV抽出'!$C$4="",A1340&gt;='CSV抽出'!$C$4),OR('CSV抽出'!$C$5="",A1340&lt;='CSV抽出'!$C$5),OR('CSV抽出'!$C$6="すべて",'CSV抽出'!$C$6="",D1340='CSV抽出'!$C$6),OR('CSV抽出'!$C$7="",B1340&amp;""='CSV抽出'!$C$7&amp;"")),1,0))</f>
        <v/>
      </c>
      <c r="AI1340" s="20">
        <f>IF(AH1340=1,SUM($AH$5:AH1340),"")</f>
        <v/>
      </c>
      <c r="AJ1340" s="20">
        <f>IF(OR(S1340="",'報告書'!$C$4=""),"",IF(S1340&amp;""='報告書'!$C$4&amp;"",COUNTIF($S$5:S1340,'報告書'!$C$4),""))</f>
        <v/>
      </c>
      <c r="AK1340" s="20" t="n"/>
      <c r="AL1340" s="47" t="n"/>
      <c r="AM1340" s="47" t="n"/>
      <c r="AN1340" s="53" t="n"/>
      <c r="AO1340" s="47" t="n"/>
      <c r="AP1340" s="47" t="n"/>
      <c r="AQ1340" s="47" t="n"/>
      <c r="AR1340" s="47" t="n"/>
      <c r="AS1340" s="47" t="n"/>
      <c r="AT1340" s="47" t="n"/>
      <c r="AU1340" s="47" t="n"/>
      <c r="AV1340" s="47" t="n"/>
      <c r="AW1340" s="52" t="n"/>
    </row>
    <row r="1341">
      <c r="A1341" s="48" t="n"/>
      <c r="B1341" s="52" t="n"/>
      <c r="C1341" s="47">
        <f>IF(B1341="","",IFERROR(INDEX('隊員マスタ'!$B$5:$B$204,MATCH(B1341&amp;"",'隊員マスタ'!$F$5:$F$204,0)),IF(AK1341="","番号なし",AK1341)))</f>
        <v/>
      </c>
      <c r="D1341" s="47" t="n"/>
      <c r="E1341" s="47" t="n"/>
      <c r="F1341" s="47" t="n"/>
      <c r="G1341" s="47" t="n"/>
      <c r="H1341" s="47" t="n"/>
      <c r="I1341" s="47" t="n"/>
      <c r="J1341" s="47" t="n"/>
      <c r="K1341" s="47" t="n"/>
      <c r="L1341" s="47" t="n"/>
      <c r="M1341" s="47" t="n"/>
      <c r="N1341" s="47" t="n"/>
      <c r="O1341" s="47" t="n"/>
      <c r="P1341" s="47" t="n"/>
      <c r="Q1341" s="47" t="n"/>
      <c r="R1341" s="47" t="n"/>
      <c r="S1341" s="47" t="n"/>
      <c r="T1341" s="47" t="n"/>
      <c r="U1341" s="53" t="n"/>
      <c r="V1341" s="53" t="n"/>
      <c r="W1341" s="47" t="n"/>
      <c r="X1341" s="47" t="n"/>
      <c r="Y1341" s="47" t="n"/>
      <c r="Z1341" s="47" t="n"/>
      <c r="AA1341" s="47" t="n"/>
      <c r="AB1341" s="47" t="n"/>
      <c r="AC1341" s="47" t="n"/>
      <c r="AD1341" s="47" t="n"/>
      <c r="AE1341" s="47" t="n"/>
      <c r="AF1341" s="20">
        <f>IF(A1341="","",YEAR(EDATE(A1341,-3)))</f>
        <v/>
      </c>
      <c r="AG1341" s="20">
        <f>IF(OR(B1341="",'経歴簿'!$C$4=""),"",IF(B1341&amp;""='経歴簿'!$C$4&amp;"",MAX($AG$4:AG1340)+1,""))</f>
        <v/>
      </c>
      <c r="AH1341" s="20">
        <f>IF(A1341="",0,IF(AND(OR('CSV抽出'!$C$4="",A1341&gt;='CSV抽出'!$C$4),OR('CSV抽出'!$C$5="",A1341&lt;='CSV抽出'!$C$5),OR('CSV抽出'!$C$6="すべて",'CSV抽出'!$C$6="",D1341='CSV抽出'!$C$6),OR('CSV抽出'!$C$7="",B1341&amp;""='CSV抽出'!$C$7&amp;"")),1,0))</f>
        <v/>
      </c>
      <c r="AI1341" s="20">
        <f>IF(AH1341=1,SUM($AH$5:AH1341),"")</f>
        <v/>
      </c>
      <c r="AJ1341" s="20">
        <f>IF(OR(S1341="",'報告書'!$C$4=""),"",IF(S1341&amp;""='報告書'!$C$4&amp;"",COUNTIF($S$5:S1341,'報告書'!$C$4),""))</f>
        <v/>
      </c>
      <c r="AK1341" s="20" t="n"/>
      <c r="AL1341" s="47" t="n"/>
      <c r="AM1341" s="47" t="n"/>
      <c r="AN1341" s="53" t="n"/>
      <c r="AO1341" s="47" t="n"/>
      <c r="AP1341" s="47" t="n"/>
      <c r="AQ1341" s="47" t="n"/>
      <c r="AR1341" s="47" t="n"/>
      <c r="AS1341" s="47" t="n"/>
      <c r="AT1341" s="47" t="n"/>
      <c r="AU1341" s="47" t="n"/>
      <c r="AV1341" s="47" t="n"/>
      <c r="AW1341" s="52" t="n"/>
    </row>
    <row r="1342">
      <c r="A1342" s="48" t="n"/>
      <c r="B1342" s="52" t="n"/>
      <c r="C1342" s="47">
        <f>IF(B1342="","",IFERROR(INDEX('隊員マスタ'!$B$5:$B$204,MATCH(B1342&amp;"",'隊員マスタ'!$F$5:$F$204,0)),IF(AK1342="","番号なし",AK1342)))</f>
        <v/>
      </c>
      <c r="D1342" s="47" t="n"/>
      <c r="E1342" s="47" t="n"/>
      <c r="F1342" s="47" t="n"/>
      <c r="G1342" s="47" t="n"/>
      <c r="H1342" s="47" t="n"/>
      <c r="I1342" s="47" t="n"/>
      <c r="J1342" s="47" t="n"/>
      <c r="K1342" s="47" t="n"/>
      <c r="L1342" s="47" t="n"/>
      <c r="M1342" s="47" t="n"/>
      <c r="N1342" s="47" t="n"/>
      <c r="O1342" s="47" t="n"/>
      <c r="P1342" s="47" t="n"/>
      <c r="Q1342" s="47" t="n"/>
      <c r="R1342" s="47" t="n"/>
      <c r="S1342" s="47" t="n"/>
      <c r="T1342" s="47" t="n"/>
      <c r="U1342" s="53" t="n"/>
      <c r="V1342" s="53" t="n"/>
      <c r="W1342" s="47" t="n"/>
      <c r="X1342" s="47" t="n"/>
      <c r="Y1342" s="47" t="n"/>
      <c r="Z1342" s="47" t="n"/>
      <c r="AA1342" s="47" t="n"/>
      <c r="AB1342" s="47" t="n"/>
      <c r="AC1342" s="47" t="n"/>
      <c r="AD1342" s="47" t="n"/>
      <c r="AE1342" s="47" t="n"/>
      <c r="AF1342" s="20">
        <f>IF(A1342="","",YEAR(EDATE(A1342,-3)))</f>
        <v/>
      </c>
      <c r="AG1342" s="20">
        <f>IF(OR(B1342="",'経歴簿'!$C$4=""),"",IF(B1342&amp;""='経歴簿'!$C$4&amp;"",MAX($AG$4:AG1341)+1,""))</f>
        <v/>
      </c>
      <c r="AH1342" s="20">
        <f>IF(A1342="",0,IF(AND(OR('CSV抽出'!$C$4="",A1342&gt;='CSV抽出'!$C$4),OR('CSV抽出'!$C$5="",A1342&lt;='CSV抽出'!$C$5),OR('CSV抽出'!$C$6="すべて",'CSV抽出'!$C$6="",D1342='CSV抽出'!$C$6),OR('CSV抽出'!$C$7="",B1342&amp;""='CSV抽出'!$C$7&amp;"")),1,0))</f>
        <v/>
      </c>
      <c r="AI1342" s="20">
        <f>IF(AH1342=1,SUM($AH$5:AH1342),"")</f>
        <v/>
      </c>
      <c r="AJ1342" s="20">
        <f>IF(OR(S1342="",'報告書'!$C$4=""),"",IF(S1342&amp;""='報告書'!$C$4&amp;"",COUNTIF($S$5:S1342,'報告書'!$C$4),""))</f>
        <v/>
      </c>
      <c r="AK1342" s="20" t="n"/>
      <c r="AL1342" s="47" t="n"/>
      <c r="AM1342" s="47" t="n"/>
      <c r="AN1342" s="53" t="n"/>
      <c r="AO1342" s="47" t="n"/>
      <c r="AP1342" s="47" t="n"/>
      <c r="AQ1342" s="47" t="n"/>
      <c r="AR1342" s="47" t="n"/>
      <c r="AS1342" s="47" t="n"/>
      <c r="AT1342" s="47" t="n"/>
      <c r="AU1342" s="47" t="n"/>
      <c r="AV1342" s="47" t="n"/>
      <c r="AW1342" s="52" t="n"/>
    </row>
    <row r="1343">
      <c r="A1343" s="48" t="n"/>
      <c r="B1343" s="52" t="n"/>
      <c r="C1343" s="47">
        <f>IF(B1343="","",IFERROR(INDEX('隊員マスタ'!$B$5:$B$204,MATCH(B1343&amp;"",'隊員マスタ'!$F$5:$F$204,0)),IF(AK1343="","番号なし",AK1343)))</f>
        <v/>
      </c>
      <c r="D1343" s="47" t="n"/>
      <c r="E1343" s="47" t="n"/>
      <c r="F1343" s="47" t="n"/>
      <c r="G1343" s="47" t="n"/>
      <c r="H1343" s="47" t="n"/>
      <c r="I1343" s="47" t="n"/>
      <c r="J1343" s="47" t="n"/>
      <c r="K1343" s="47" t="n"/>
      <c r="L1343" s="47" t="n"/>
      <c r="M1343" s="47" t="n"/>
      <c r="N1343" s="47" t="n"/>
      <c r="O1343" s="47" t="n"/>
      <c r="P1343" s="47" t="n"/>
      <c r="Q1343" s="47" t="n"/>
      <c r="R1343" s="47" t="n"/>
      <c r="S1343" s="47" t="n"/>
      <c r="T1343" s="47" t="n"/>
      <c r="U1343" s="53" t="n"/>
      <c r="V1343" s="53" t="n"/>
      <c r="W1343" s="47" t="n"/>
      <c r="X1343" s="47" t="n"/>
      <c r="Y1343" s="47" t="n"/>
      <c r="Z1343" s="47" t="n"/>
      <c r="AA1343" s="47" t="n"/>
      <c r="AB1343" s="47" t="n"/>
      <c r="AC1343" s="47" t="n"/>
      <c r="AD1343" s="47" t="n"/>
      <c r="AE1343" s="47" t="n"/>
      <c r="AF1343" s="20">
        <f>IF(A1343="","",YEAR(EDATE(A1343,-3)))</f>
        <v/>
      </c>
      <c r="AG1343" s="20">
        <f>IF(OR(B1343="",'経歴簿'!$C$4=""),"",IF(B1343&amp;""='経歴簿'!$C$4&amp;"",MAX($AG$4:AG1342)+1,""))</f>
        <v/>
      </c>
      <c r="AH1343" s="20">
        <f>IF(A1343="",0,IF(AND(OR('CSV抽出'!$C$4="",A1343&gt;='CSV抽出'!$C$4),OR('CSV抽出'!$C$5="",A1343&lt;='CSV抽出'!$C$5),OR('CSV抽出'!$C$6="すべて",'CSV抽出'!$C$6="",D1343='CSV抽出'!$C$6),OR('CSV抽出'!$C$7="",B1343&amp;""='CSV抽出'!$C$7&amp;"")),1,0))</f>
        <v/>
      </c>
      <c r="AI1343" s="20">
        <f>IF(AH1343=1,SUM($AH$5:AH1343),"")</f>
        <v/>
      </c>
      <c r="AJ1343" s="20">
        <f>IF(OR(S1343="",'報告書'!$C$4=""),"",IF(S1343&amp;""='報告書'!$C$4&amp;"",COUNTIF($S$5:S1343,'報告書'!$C$4),""))</f>
        <v/>
      </c>
      <c r="AK1343" s="20" t="n"/>
      <c r="AL1343" s="47" t="n"/>
      <c r="AM1343" s="47" t="n"/>
      <c r="AN1343" s="53" t="n"/>
      <c r="AO1343" s="47" t="n"/>
      <c r="AP1343" s="47" t="n"/>
      <c r="AQ1343" s="47" t="n"/>
      <c r="AR1343" s="47" t="n"/>
      <c r="AS1343" s="47" t="n"/>
      <c r="AT1343" s="47" t="n"/>
      <c r="AU1343" s="47" t="n"/>
      <c r="AV1343" s="47" t="n"/>
      <c r="AW1343" s="52" t="n"/>
    </row>
    <row r="1344">
      <c r="A1344" s="48" t="n"/>
      <c r="B1344" s="52" t="n"/>
      <c r="C1344" s="47">
        <f>IF(B1344="","",IFERROR(INDEX('隊員マスタ'!$B$5:$B$204,MATCH(B1344&amp;"",'隊員マスタ'!$F$5:$F$204,0)),IF(AK1344="","番号なし",AK1344)))</f>
        <v/>
      </c>
      <c r="D1344" s="47" t="n"/>
      <c r="E1344" s="47" t="n"/>
      <c r="F1344" s="47" t="n"/>
      <c r="G1344" s="47" t="n"/>
      <c r="H1344" s="47" t="n"/>
      <c r="I1344" s="47" t="n"/>
      <c r="J1344" s="47" t="n"/>
      <c r="K1344" s="47" t="n"/>
      <c r="L1344" s="47" t="n"/>
      <c r="M1344" s="47" t="n"/>
      <c r="N1344" s="47" t="n"/>
      <c r="O1344" s="47" t="n"/>
      <c r="P1344" s="47" t="n"/>
      <c r="Q1344" s="47" t="n"/>
      <c r="R1344" s="47" t="n"/>
      <c r="S1344" s="47" t="n"/>
      <c r="T1344" s="47" t="n"/>
      <c r="U1344" s="53" t="n"/>
      <c r="V1344" s="53" t="n"/>
      <c r="W1344" s="47" t="n"/>
      <c r="X1344" s="47" t="n"/>
      <c r="Y1344" s="47" t="n"/>
      <c r="Z1344" s="47" t="n"/>
      <c r="AA1344" s="47" t="n"/>
      <c r="AB1344" s="47" t="n"/>
      <c r="AC1344" s="47" t="n"/>
      <c r="AD1344" s="47" t="n"/>
      <c r="AE1344" s="47" t="n"/>
      <c r="AF1344" s="20">
        <f>IF(A1344="","",YEAR(EDATE(A1344,-3)))</f>
        <v/>
      </c>
      <c r="AG1344" s="20">
        <f>IF(OR(B1344="",'経歴簿'!$C$4=""),"",IF(B1344&amp;""='経歴簿'!$C$4&amp;"",MAX($AG$4:AG1343)+1,""))</f>
        <v/>
      </c>
      <c r="AH1344" s="20">
        <f>IF(A1344="",0,IF(AND(OR('CSV抽出'!$C$4="",A1344&gt;='CSV抽出'!$C$4),OR('CSV抽出'!$C$5="",A1344&lt;='CSV抽出'!$C$5),OR('CSV抽出'!$C$6="すべて",'CSV抽出'!$C$6="",D1344='CSV抽出'!$C$6),OR('CSV抽出'!$C$7="",B1344&amp;""='CSV抽出'!$C$7&amp;"")),1,0))</f>
        <v/>
      </c>
      <c r="AI1344" s="20">
        <f>IF(AH1344=1,SUM($AH$5:AH1344),"")</f>
        <v/>
      </c>
      <c r="AJ1344" s="20">
        <f>IF(OR(S1344="",'報告書'!$C$4=""),"",IF(S1344&amp;""='報告書'!$C$4&amp;"",COUNTIF($S$5:S1344,'報告書'!$C$4),""))</f>
        <v/>
      </c>
      <c r="AK1344" s="20" t="n"/>
      <c r="AL1344" s="47" t="n"/>
      <c r="AM1344" s="47" t="n"/>
      <c r="AN1344" s="53" t="n"/>
      <c r="AO1344" s="47" t="n"/>
      <c r="AP1344" s="47" t="n"/>
      <c r="AQ1344" s="47" t="n"/>
      <c r="AR1344" s="47" t="n"/>
      <c r="AS1344" s="47" t="n"/>
      <c r="AT1344" s="47" t="n"/>
      <c r="AU1344" s="47" t="n"/>
      <c r="AV1344" s="47" t="n"/>
      <c r="AW1344" s="52" t="n"/>
    </row>
    <row r="1345">
      <c r="A1345" s="48" t="n"/>
      <c r="B1345" s="52" t="n"/>
      <c r="C1345" s="47">
        <f>IF(B1345="","",IFERROR(INDEX('隊員マスタ'!$B$5:$B$204,MATCH(B1345&amp;"",'隊員マスタ'!$F$5:$F$204,0)),IF(AK1345="","番号なし",AK1345)))</f>
        <v/>
      </c>
      <c r="D1345" s="47" t="n"/>
      <c r="E1345" s="47" t="n"/>
      <c r="F1345" s="47" t="n"/>
      <c r="G1345" s="47" t="n"/>
      <c r="H1345" s="47" t="n"/>
      <c r="I1345" s="47" t="n"/>
      <c r="J1345" s="47" t="n"/>
      <c r="K1345" s="47" t="n"/>
      <c r="L1345" s="47" t="n"/>
      <c r="M1345" s="47" t="n"/>
      <c r="N1345" s="47" t="n"/>
      <c r="O1345" s="47" t="n"/>
      <c r="P1345" s="47" t="n"/>
      <c r="Q1345" s="47" t="n"/>
      <c r="R1345" s="47" t="n"/>
      <c r="S1345" s="47" t="n"/>
      <c r="T1345" s="47" t="n"/>
      <c r="U1345" s="53" t="n"/>
      <c r="V1345" s="53" t="n"/>
      <c r="W1345" s="47" t="n"/>
      <c r="X1345" s="47" t="n"/>
      <c r="Y1345" s="47" t="n"/>
      <c r="Z1345" s="47" t="n"/>
      <c r="AA1345" s="47" t="n"/>
      <c r="AB1345" s="47" t="n"/>
      <c r="AC1345" s="47" t="n"/>
      <c r="AD1345" s="47" t="n"/>
      <c r="AE1345" s="47" t="n"/>
      <c r="AF1345" s="20">
        <f>IF(A1345="","",YEAR(EDATE(A1345,-3)))</f>
        <v/>
      </c>
      <c r="AG1345" s="20">
        <f>IF(OR(B1345="",'経歴簿'!$C$4=""),"",IF(B1345&amp;""='経歴簿'!$C$4&amp;"",MAX($AG$4:AG1344)+1,""))</f>
        <v/>
      </c>
      <c r="AH1345" s="20">
        <f>IF(A1345="",0,IF(AND(OR('CSV抽出'!$C$4="",A1345&gt;='CSV抽出'!$C$4),OR('CSV抽出'!$C$5="",A1345&lt;='CSV抽出'!$C$5),OR('CSV抽出'!$C$6="すべて",'CSV抽出'!$C$6="",D1345='CSV抽出'!$C$6),OR('CSV抽出'!$C$7="",B1345&amp;""='CSV抽出'!$C$7&amp;"")),1,0))</f>
        <v/>
      </c>
      <c r="AI1345" s="20">
        <f>IF(AH1345=1,SUM($AH$5:AH1345),"")</f>
        <v/>
      </c>
      <c r="AJ1345" s="20">
        <f>IF(OR(S1345="",'報告書'!$C$4=""),"",IF(S1345&amp;""='報告書'!$C$4&amp;"",COUNTIF($S$5:S1345,'報告書'!$C$4),""))</f>
        <v/>
      </c>
      <c r="AK1345" s="20" t="n"/>
      <c r="AL1345" s="47" t="n"/>
      <c r="AM1345" s="47" t="n"/>
      <c r="AN1345" s="53" t="n"/>
      <c r="AO1345" s="47" t="n"/>
      <c r="AP1345" s="47" t="n"/>
      <c r="AQ1345" s="47" t="n"/>
      <c r="AR1345" s="47" t="n"/>
      <c r="AS1345" s="47" t="n"/>
      <c r="AT1345" s="47" t="n"/>
      <c r="AU1345" s="47" t="n"/>
      <c r="AV1345" s="47" t="n"/>
      <c r="AW1345" s="52" t="n"/>
    </row>
    <row r="1346">
      <c r="A1346" s="48" t="n"/>
      <c r="B1346" s="52" t="n"/>
      <c r="C1346" s="47">
        <f>IF(B1346="","",IFERROR(INDEX('隊員マスタ'!$B$5:$B$204,MATCH(B1346&amp;"",'隊員マスタ'!$F$5:$F$204,0)),IF(AK1346="","番号なし",AK1346)))</f>
        <v/>
      </c>
      <c r="D1346" s="47" t="n"/>
      <c r="E1346" s="47" t="n"/>
      <c r="F1346" s="47" t="n"/>
      <c r="G1346" s="47" t="n"/>
      <c r="H1346" s="47" t="n"/>
      <c r="I1346" s="47" t="n"/>
      <c r="J1346" s="47" t="n"/>
      <c r="K1346" s="47" t="n"/>
      <c r="L1346" s="47" t="n"/>
      <c r="M1346" s="47" t="n"/>
      <c r="N1346" s="47" t="n"/>
      <c r="O1346" s="47" t="n"/>
      <c r="P1346" s="47" t="n"/>
      <c r="Q1346" s="47" t="n"/>
      <c r="R1346" s="47" t="n"/>
      <c r="S1346" s="47" t="n"/>
      <c r="T1346" s="47" t="n"/>
      <c r="U1346" s="53" t="n"/>
      <c r="V1346" s="53" t="n"/>
      <c r="W1346" s="47" t="n"/>
      <c r="X1346" s="47" t="n"/>
      <c r="Y1346" s="47" t="n"/>
      <c r="Z1346" s="47" t="n"/>
      <c r="AA1346" s="47" t="n"/>
      <c r="AB1346" s="47" t="n"/>
      <c r="AC1346" s="47" t="n"/>
      <c r="AD1346" s="47" t="n"/>
      <c r="AE1346" s="47" t="n"/>
      <c r="AF1346" s="20">
        <f>IF(A1346="","",YEAR(EDATE(A1346,-3)))</f>
        <v/>
      </c>
      <c r="AG1346" s="20">
        <f>IF(OR(B1346="",'経歴簿'!$C$4=""),"",IF(B1346&amp;""='経歴簿'!$C$4&amp;"",MAX($AG$4:AG1345)+1,""))</f>
        <v/>
      </c>
      <c r="AH1346" s="20">
        <f>IF(A1346="",0,IF(AND(OR('CSV抽出'!$C$4="",A1346&gt;='CSV抽出'!$C$4),OR('CSV抽出'!$C$5="",A1346&lt;='CSV抽出'!$C$5),OR('CSV抽出'!$C$6="すべて",'CSV抽出'!$C$6="",D1346='CSV抽出'!$C$6),OR('CSV抽出'!$C$7="",B1346&amp;""='CSV抽出'!$C$7&amp;"")),1,0))</f>
        <v/>
      </c>
      <c r="AI1346" s="20">
        <f>IF(AH1346=1,SUM($AH$5:AH1346),"")</f>
        <v/>
      </c>
      <c r="AJ1346" s="20">
        <f>IF(OR(S1346="",'報告書'!$C$4=""),"",IF(S1346&amp;""='報告書'!$C$4&amp;"",COUNTIF($S$5:S1346,'報告書'!$C$4),""))</f>
        <v/>
      </c>
      <c r="AK1346" s="20" t="n"/>
      <c r="AL1346" s="47" t="n"/>
      <c r="AM1346" s="47" t="n"/>
      <c r="AN1346" s="53" t="n"/>
      <c r="AO1346" s="47" t="n"/>
      <c r="AP1346" s="47" t="n"/>
      <c r="AQ1346" s="47" t="n"/>
      <c r="AR1346" s="47" t="n"/>
      <c r="AS1346" s="47" t="n"/>
      <c r="AT1346" s="47" t="n"/>
      <c r="AU1346" s="47" t="n"/>
      <c r="AV1346" s="47" t="n"/>
      <c r="AW1346" s="52" t="n"/>
    </row>
    <row r="1347">
      <c r="A1347" s="48" t="n"/>
      <c r="B1347" s="52" t="n"/>
      <c r="C1347" s="47">
        <f>IF(B1347="","",IFERROR(INDEX('隊員マスタ'!$B$5:$B$204,MATCH(B1347&amp;"",'隊員マスタ'!$F$5:$F$204,0)),IF(AK1347="","番号なし",AK1347)))</f>
        <v/>
      </c>
      <c r="D1347" s="47" t="n"/>
      <c r="E1347" s="47" t="n"/>
      <c r="F1347" s="47" t="n"/>
      <c r="G1347" s="47" t="n"/>
      <c r="H1347" s="47" t="n"/>
      <c r="I1347" s="47" t="n"/>
      <c r="J1347" s="47" t="n"/>
      <c r="K1347" s="47" t="n"/>
      <c r="L1347" s="47" t="n"/>
      <c r="M1347" s="47" t="n"/>
      <c r="N1347" s="47" t="n"/>
      <c r="O1347" s="47" t="n"/>
      <c r="P1347" s="47" t="n"/>
      <c r="Q1347" s="47" t="n"/>
      <c r="R1347" s="47" t="n"/>
      <c r="S1347" s="47" t="n"/>
      <c r="T1347" s="47" t="n"/>
      <c r="U1347" s="53" t="n"/>
      <c r="V1347" s="53" t="n"/>
      <c r="W1347" s="47" t="n"/>
      <c r="X1347" s="47" t="n"/>
      <c r="Y1347" s="47" t="n"/>
      <c r="Z1347" s="47" t="n"/>
      <c r="AA1347" s="47" t="n"/>
      <c r="AB1347" s="47" t="n"/>
      <c r="AC1347" s="47" t="n"/>
      <c r="AD1347" s="47" t="n"/>
      <c r="AE1347" s="47" t="n"/>
      <c r="AF1347" s="20">
        <f>IF(A1347="","",YEAR(EDATE(A1347,-3)))</f>
        <v/>
      </c>
      <c r="AG1347" s="20">
        <f>IF(OR(B1347="",'経歴簿'!$C$4=""),"",IF(B1347&amp;""='経歴簿'!$C$4&amp;"",MAX($AG$4:AG1346)+1,""))</f>
        <v/>
      </c>
      <c r="AH1347" s="20">
        <f>IF(A1347="",0,IF(AND(OR('CSV抽出'!$C$4="",A1347&gt;='CSV抽出'!$C$4),OR('CSV抽出'!$C$5="",A1347&lt;='CSV抽出'!$C$5),OR('CSV抽出'!$C$6="すべて",'CSV抽出'!$C$6="",D1347='CSV抽出'!$C$6),OR('CSV抽出'!$C$7="",B1347&amp;""='CSV抽出'!$C$7&amp;"")),1,0))</f>
        <v/>
      </c>
      <c r="AI1347" s="20">
        <f>IF(AH1347=1,SUM($AH$5:AH1347),"")</f>
        <v/>
      </c>
      <c r="AJ1347" s="20">
        <f>IF(OR(S1347="",'報告書'!$C$4=""),"",IF(S1347&amp;""='報告書'!$C$4&amp;"",COUNTIF($S$5:S1347,'報告書'!$C$4),""))</f>
        <v/>
      </c>
      <c r="AK1347" s="20" t="n"/>
      <c r="AL1347" s="47" t="n"/>
      <c r="AM1347" s="47" t="n"/>
      <c r="AN1347" s="53" t="n"/>
      <c r="AO1347" s="47" t="n"/>
      <c r="AP1347" s="47" t="n"/>
      <c r="AQ1347" s="47" t="n"/>
      <c r="AR1347" s="47" t="n"/>
      <c r="AS1347" s="47" t="n"/>
      <c r="AT1347" s="47" t="n"/>
      <c r="AU1347" s="47" t="n"/>
      <c r="AV1347" s="47" t="n"/>
      <c r="AW1347" s="52" t="n"/>
    </row>
    <row r="1348">
      <c r="A1348" s="48" t="n"/>
      <c r="B1348" s="52" t="n"/>
      <c r="C1348" s="47">
        <f>IF(B1348="","",IFERROR(INDEX('隊員マスタ'!$B$5:$B$204,MATCH(B1348&amp;"",'隊員マスタ'!$F$5:$F$204,0)),IF(AK1348="","番号なし",AK1348)))</f>
        <v/>
      </c>
      <c r="D1348" s="47" t="n"/>
      <c r="E1348" s="47" t="n"/>
      <c r="F1348" s="47" t="n"/>
      <c r="G1348" s="47" t="n"/>
      <c r="H1348" s="47" t="n"/>
      <c r="I1348" s="47" t="n"/>
      <c r="J1348" s="47" t="n"/>
      <c r="K1348" s="47" t="n"/>
      <c r="L1348" s="47" t="n"/>
      <c r="M1348" s="47" t="n"/>
      <c r="N1348" s="47" t="n"/>
      <c r="O1348" s="47" t="n"/>
      <c r="P1348" s="47" t="n"/>
      <c r="Q1348" s="47" t="n"/>
      <c r="R1348" s="47" t="n"/>
      <c r="S1348" s="47" t="n"/>
      <c r="T1348" s="47" t="n"/>
      <c r="U1348" s="53" t="n"/>
      <c r="V1348" s="53" t="n"/>
      <c r="W1348" s="47" t="n"/>
      <c r="X1348" s="47" t="n"/>
      <c r="Y1348" s="47" t="n"/>
      <c r="Z1348" s="47" t="n"/>
      <c r="AA1348" s="47" t="n"/>
      <c r="AB1348" s="47" t="n"/>
      <c r="AC1348" s="47" t="n"/>
      <c r="AD1348" s="47" t="n"/>
      <c r="AE1348" s="47" t="n"/>
      <c r="AF1348" s="20">
        <f>IF(A1348="","",YEAR(EDATE(A1348,-3)))</f>
        <v/>
      </c>
      <c r="AG1348" s="20">
        <f>IF(OR(B1348="",'経歴簿'!$C$4=""),"",IF(B1348&amp;""='経歴簿'!$C$4&amp;"",MAX($AG$4:AG1347)+1,""))</f>
        <v/>
      </c>
      <c r="AH1348" s="20">
        <f>IF(A1348="",0,IF(AND(OR('CSV抽出'!$C$4="",A1348&gt;='CSV抽出'!$C$4),OR('CSV抽出'!$C$5="",A1348&lt;='CSV抽出'!$C$5),OR('CSV抽出'!$C$6="すべて",'CSV抽出'!$C$6="",D1348='CSV抽出'!$C$6),OR('CSV抽出'!$C$7="",B1348&amp;""='CSV抽出'!$C$7&amp;"")),1,0))</f>
        <v/>
      </c>
      <c r="AI1348" s="20">
        <f>IF(AH1348=1,SUM($AH$5:AH1348),"")</f>
        <v/>
      </c>
      <c r="AJ1348" s="20">
        <f>IF(OR(S1348="",'報告書'!$C$4=""),"",IF(S1348&amp;""='報告書'!$C$4&amp;"",COUNTIF($S$5:S1348,'報告書'!$C$4),""))</f>
        <v/>
      </c>
      <c r="AK1348" s="20" t="n"/>
      <c r="AL1348" s="47" t="n"/>
      <c r="AM1348" s="47" t="n"/>
      <c r="AN1348" s="53" t="n"/>
      <c r="AO1348" s="47" t="n"/>
      <c r="AP1348" s="47" t="n"/>
      <c r="AQ1348" s="47" t="n"/>
      <c r="AR1348" s="47" t="n"/>
      <c r="AS1348" s="47" t="n"/>
      <c r="AT1348" s="47" t="n"/>
      <c r="AU1348" s="47" t="n"/>
      <c r="AV1348" s="47" t="n"/>
      <c r="AW1348" s="52" t="n"/>
    </row>
    <row r="1349">
      <c r="A1349" s="48" t="n"/>
      <c r="B1349" s="52" t="n"/>
      <c r="C1349" s="47">
        <f>IF(B1349="","",IFERROR(INDEX('隊員マスタ'!$B$5:$B$204,MATCH(B1349&amp;"",'隊員マスタ'!$F$5:$F$204,0)),IF(AK1349="","番号なし",AK1349)))</f>
        <v/>
      </c>
      <c r="D1349" s="47" t="n"/>
      <c r="E1349" s="47" t="n"/>
      <c r="F1349" s="47" t="n"/>
      <c r="G1349" s="47" t="n"/>
      <c r="H1349" s="47" t="n"/>
      <c r="I1349" s="47" t="n"/>
      <c r="J1349" s="47" t="n"/>
      <c r="K1349" s="47" t="n"/>
      <c r="L1349" s="47" t="n"/>
      <c r="M1349" s="47" t="n"/>
      <c r="N1349" s="47" t="n"/>
      <c r="O1349" s="47" t="n"/>
      <c r="P1349" s="47" t="n"/>
      <c r="Q1349" s="47" t="n"/>
      <c r="R1349" s="47" t="n"/>
      <c r="S1349" s="47" t="n"/>
      <c r="T1349" s="47" t="n"/>
      <c r="U1349" s="53" t="n"/>
      <c r="V1349" s="53" t="n"/>
      <c r="W1349" s="47" t="n"/>
      <c r="X1349" s="47" t="n"/>
      <c r="Y1349" s="47" t="n"/>
      <c r="Z1349" s="47" t="n"/>
      <c r="AA1349" s="47" t="n"/>
      <c r="AB1349" s="47" t="n"/>
      <c r="AC1349" s="47" t="n"/>
      <c r="AD1349" s="47" t="n"/>
      <c r="AE1349" s="47" t="n"/>
      <c r="AF1349" s="20">
        <f>IF(A1349="","",YEAR(EDATE(A1349,-3)))</f>
        <v/>
      </c>
      <c r="AG1349" s="20">
        <f>IF(OR(B1349="",'経歴簿'!$C$4=""),"",IF(B1349&amp;""='経歴簿'!$C$4&amp;"",MAX($AG$4:AG1348)+1,""))</f>
        <v/>
      </c>
      <c r="AH1349" s="20">
        <f>IF(A1349="",0,IF(AND(OR('CSV抽出'!$C$4="",A1349&gt;='CSV抽出'!$C$4),OR('CSV抽出'!$C$5="",A1349&lt;='CSV抽出'!$C$5),OR('CSV抽出'!$C$6="すべて",'CSV抽出'!$C$6="",D1349='CSV抽出'!$C$6),OR('CSV抽出'!$C$7="",B1349&amp;""='CSV抽出'!$C$7&amp;"")),1,0))</f>
        <v/>
      </c>
      <c r="AI1349" s="20">
        <f>IF(AH1349=1,SUM($AH$5:AH1349),"")</f>
        <v/>
      </c>
      <c r="AJ1349" s="20">
        <f>IF(OR(S1349="",'報告書'!$C$4=""),"",IF(S1349&amp;""='報告書'!$C$4&amp;"",COUNTIF($S$5:S1349,'報告書'!$C$4),""))</f>
        <v/>
      </c>
      <c r="AK1349" s="20" t="n"/>
      <c r="AL1349" s="47" t="n"/>
      <c r="AM1349" s="47" t="n"/>
      <c r="AN1349" s="53" t="n"/>
      <c r="AO1349" s="47" t="n"/>
      <c r="AP1349" s="47" t="n"/>
      <c r="AQ1349" s="47" t="n"/>
      <c r="AR1349" s="47" t="n"/>
      <c r="AS1349" s="47" t="n"/>
      <c r="AT1349" s="47" t="n"/>
      <c r="AU1349" s="47" t="n"/>
      <c r="AV1349" s="47" t="n"/>
      <c r="AW1349" s="52" t="n"/>
    </row>
    <row r="1350">
      <c r="A1350" s="48" t="n"/>
      <c r="B1350" s="52" t="n"/>
      <c r="C1350" s="47">
        <f>IF(B1350="","",IFERROR(INDEX('隊員マスタ'!$B$5:$B$204,MATCH(B1350&amp;"",'隊員マスタ'!$F$5:$F$204,0)),IF(AK1350="","番号なし",AK1350)))</f>
        <v/>
      </c>
      <c r="D1350" s="47" t="n"/>
      <c r="E1350" s="47" t="n"/>
      <c r="F1350" s="47" t="n"/>
      <c r="G1350" s="47" t="n"/>
      <c r="H1350" s="47" t="n"/>
      <c r="I1350" s="47" t="n"/>
      <c r="J1350" s="47" t="n"/>
      <c r="K1350" s="47" t="n"/>
      <c r="L1350" s="47" t="n"/>
      <c r="M1350" s="47" t="n"/>
      <c r="N1350" s="47" t="n"/>
      <c r="O1350" s="47" t="n"/>
      <c r="P1350" s="47" t="n"/>
      <c r="Q1350" s="47" t="n"/>
      <c r="R1350" s="47" t="n"/>
      <c r="S1350" s="47" t="n"/>
      <c r="T1350" s="47" t="n"/>
      <c r="U1350" s="53" t="n"/>
      <c r="V1350" s="53" t="n"/>
      <c r="W1350" s="47" t="n"/>
      <c r="X1350" s="47" t="n"/>
      <c r="Y1350" s="47" t="n"/>
      <c r="Z1350" s="47" t="n"/>
      <c r="AA1350" s="47" t="n"/>
      <c r="AB1350" s="47" t="n"/>
      <c r="AC1350" s="47" t="n"/>
      <c r="AD1350" s="47" t="n"/>
      <c r="AE1350" s="47" t="n"/>
      <c r="AF1350" s="20">
        <f>IF(A1350="","",YEAR(EDATE(A1350,-3)))</f>
        <v/>
      </c>
      <c r="AG1350" s="20">
        <f>IF(OR(B1350="",'経歴簿'!$C$4=""),"",IF(B1350&amp;""='経歴簿'!$C$4&amp;"",MAX($AG$4:AG1349)+1,""))</f>
        <v/>
      </c>
      <c r="AH1350" s="20">
        <f>IF(A1350="",0,IF(AND(OR('CSV抽出'!$C$4="",A1350&gt;='CSV抽出'!$C$4),OR('CSV抽出'!$C$5="",A1350&lt;='CSV抽出'!$C$5),OR('CSV抽出'!$C$6="すべて",'CSV抽出'!$C$6="",D1350='CSV抽出'!$C$6),OR('CSV抽出'!$C$7="",B1350&amp;""='CSV抽出'!$C$7&amp;"")),1,0))</f>
        <v/>
      </c>
      <c r="AI1350" s="20">
        <f>IF(AH1350=1,SUM($AH$5:AH1350),"")</f>
        <v/>
      </c>
      <c r="AJ1350" s="20">
        <f>IF(OR(S1350="",'報告書'!$C$4=""),"",IF(S1350&amp;""='報告書'!$C$4&amp;"",COUNTIF($S$5:S1350,'報告書'!$C$4),""))</f>
        <v/>
      </c>
      <c r="AK1350" s="20" t="n"/>
      <c r="AL1350" s="47" t="n"/>
      <c r="AM1350" s="47" t="n"/>
      <c r="AN1350" s="53" t="n"/>
      <c r="AO1350" s="47" t="n"/>
      <c r="AP1350" s="47" t="n"/>
      <c r="AQ1350" s="47" t="n"/>
      <c r="AR1350" s="47" t="n"/>
      <c r="AS1350" s="47" t="n"/>
      <c r="AT1350" s="47" t="n"/>
      <c r="AU1350" s="47" t="n"/>
      <c r="AV1350" s="47" t="n"/>
      <c r="AW1350" s="52" t="n"/>
    </row>
    <row r="1351">
      <c r="A1351" s="48" t="n"/>
      <c r="B1351" s="52" t="n"/>
      <c r="C1351" s="47">
        <f>IF(B1351="","",IFERROR(INDEX('隊員マスタ'!$B$5:$B$204,MATCH(B1351&amp;"",'隊員マスタ'!$F$5:$F$204,0)),IF(AK1351="","番号なし",AK1351)))</f>
        <v/>
      </c>
      <c r="D1351" s="47" t="n"/>
      <c r="E1351" s="47" t="n"/>
      <c r="F1351" s="47" t="n"/>
      <c r="G1351" s="47" t="n"/>
      <c r="H1351" s="47" t="n"/>
      <c r="I1351" s="47" t="n"/>
      <c r="J1351" s="47" t="n"/>
      <c r="K1351" s="47" t="n"/>
      <c r="L1351" s="47" t="n"/>
      <c r="M1351" s="47" t="n"/>
      <c r="N1351" s="47" t="n"/>
      <c r="O1351" s="47" t="n"/>
      <c r="P1351" s="47" t="n"/>
      <c r="Q1351" s="47" t="n"/>
      <c r="R1351" s="47" t="n"/>
      <c r="S1351" s="47" t="n"/>
      <c r="T1351" s="47" t="n"/>
      <c r="U1351" s="53" t="n"/>
      <c r="V1351" s="53" t="n"/>
      <c r="W1351" s="47" t="n"/>
      <c r="X1351" s="47" t="n"/>
      <c r="Y1351" s="47" t="n"/>
      <c r="Z1351" s="47" t="n"/>
      <c r="AA1351" s="47" t="n"/>
      <c r="AB1351" s="47" t="n"/>
      <c r="AC1351" s="47" t="n"/>
      <c r="AD1351" s="47" t="n"/>
      <c r="AE1351" s="47" t="n"/>
      <c r="AF1351" s="20">
        <f>IF(A1351="","",YEAR(EDATE(A1351,-3)))</f>
        <v/>
      </c>
      <c r="AG1351" s="20">
        <f>IF(OR(B1351="",'経歴簿'!$C$4=""),"",IF(B1351&amp;""='経歴簿'!$C$4&amp;"",MAX($AG$4:AG1350)+1,""))</f>
        <v/>
      </c>
      <c r="AH1351" s="20">
        <f>IF(A1351="",0,IF(AND(OR('CSV抽出'!$C$4="",A1351&gt;='CSV抽出'!$C$4),OR('CSV抽出'!$C$5="",A1351&lt;='CSV抽出'!$C$5),OR('CSV抽出'!$C$6="すべて",'CSV抽出'!$C$6="",D1351='CSV抽出'!$C$6),OR('CSV抽出'!$C$7="",B1351&amp;""='CSV抽出'!$C$7&amp;"")),1,0))</f>
        <v/>
      </c>
      <c r="AI1351" s="20">
        <f>IF(AH1351=1,SUM($AH$5:AH1351),"")</f>
        <v/>
      </c>
      <c r="AJ1351" s="20">
        <f>IF(OR(S1351="",'報告書'!$C$4=""),"",IF(S1351&amp;""='報告書'!$C$4&amp;"",COUNTIF($S$5:S1351,'報告書'!$C$4),""))</f>
        <v/>
      </c>
      <c r="AK1351" s="20" t="n"/>
      <c r="AL1351" s="47" t="n"/>
      <c r="AM1351" s="47" t="n"/>
      <c r="AN1351" s="53" t="n"/>
      <c r="AO1351" s="47" t="n"/>
      <c r="AP1351" s="47" t="n"/>
      <c r="AQ1351" s="47" t="n"/>
      <c r="AR1351" s="47" t="n"/>
      <c r="AS1351" s="47" t="n"/>
      <c r="AT1351" s="47" t="n"/>
      <c r="AU1351" s="47" t="n"/>
      <c r="AV1351" s="47" t="n"/>
      <c r="AW1351" s="52" t="n"/>
    </row>
    <row r="1352">
      <c r="A1352" s="48" t="n"/>
      <c r="B1352" s="52" t="n"/>
      <c r="C1352" s="47">
        <f>IF(B1352="","",IFERROR(INDEX('隊員マスタ'!$B$5:$B$204,MATCH(B1352&amp;"",'隊員マスタ'!$F$5:$F$204,0)),IF(AK1352="","番号なし",AK1352)))</f>
        <v/>
      </c>
      <c r="D1352" s="47" t="n"/>
      <c r="E1352" s="47" t="n"/>
      <c r="F1352" s="47" t="n"/>
      <c r="G1352" s="47" t="n"/>
      <c r="H1352" s="47" t="n"/>
      <c r="I1352" s="47" t="n"/>
      <c r="J1352" s="47" t="n"/>
      <c r="K1352" s="47" t="n"/>
      <c r="L1352" s="47" t="n"/>
      <c r="M1352" s="47" t="n"/>
      <c r="N1352" s="47" t="n"/>
      <c r="O1352" s="47" t="n"/>
      <c r="P1352" s="47" t="n"/>
      <c r="Q1352" s="47" t="n"/>
      <c r="R1352" s="47" t="n"/>
      <c r="S1352" s="47" t="n"/>
      <c r="T1352" s="47" t="n"/>
      <c r="U1352" s="53" t="n"/>
      <c r="V1352" s="53" t="n"/>
      <c r="W1352" s="47" t="n"/>
      <c r="X1352" s="47" t="n"/>
      <c r="Y1352" s="47" t="n"/>
      <c r="Z1352" s="47" t="n"/>
      <c r="AA1352" s="47" t="n"/>
      <c r="AB1352" s="47" t="n"/>
      <c r="AC1352" s="47" t="n"/>
      <c r="AD1352" s="47" t="n"/>
      <c r="AE1352" s="47" t="n"/>
      <c r="AF1352" s="20">
        <f>IF(A1352="","",YEAR(EDATE(A1352,-3)))</f>
        <v/>
      </c>
      <c r="AG1352" s="20">
        <f>IF(OR(B1352="",'経歴簿'!$C$4=""),"",IF(B1352&amp;""='経歴簿'!$C$4&amp;"",MAX($AG$4:AG1351)+1,""))</f>
        <v/>
      </c>
      <c r="AH1352" s="20">
        <f>IF(A1352="",0,IF(AND(OR('CSV抽出'!$C$4="",A1352&gt;='CSV抽出'!$C$4),OR('CSV抽出'!$C$5="",A1352&lt;='CSV抽出'!$C$5),OR('CSV抽出'!$C$6="すべて",'CSV抽出'!$C$6="",D1352='CSV抽出'!$C$6),OR('CSV抽出'!$C$7="",B1352&amp;""='CSV抽出'!$C$7&amp;"")),1,0))</f>
        <v/>
      </c>
      <c r="AI1352" s="20">
        <f>IF(AH1352=1,SUM($AH$5:AH1352),"")</f>
        <v/>
      </c>
      <c r="AJ1352" s="20">
        <f>IF(OR(S1352="",'報告書'!$C$4=""),"",IF(S1352&amp;""='報告書'!$C$4&amp;"",COUNTIF($S$5:S1352,'報告書'!$C$4),""))</f>
        <v/>
      </c>
      <c r="AK1352" s="20" t="n"/>
      <c r="AL1352" s="47" t="n"/>
      <c r="AM1352" s="47" t="n"/>
      <c r="AN1352" s="53" t="n"/>
      <c r="AO1352" s="47" t="n"/>
      <c r="AP1352" s="47" t="n"/>
      <c r="AQ1352" s="47" t="n"/>
      <c r="AR1352" s="47" t="n"/>
      <c r="AS1352" s="47" t="n"/>
      <c r="AT1352" s="47" t="n"/>
      <c r="AU1352" s="47" t="n"/>
      <c r="AV1352" s="47" t="n"/>
      <c r="AW1352" s="52" t="n"/>
    </row>
    <row r="1353">
      <c r="A1353" s="48" t="n"/>
      <c r="B1353" s="52" t="n"/>
      <c r="C1353" s="47">
        <f>IF(B1353="","",IFERROR(INDEX('隊員マスタ'!$B$5:$B$204,MATCH(B1353&amp;"",'隊員マスタ'!$F$5:$F$204,0)),IF(AK1353="","番号なし",AK1353)))</f>
        <v/>
      </c>
      <c r="D1353" s="47" t="n"/>
      <c r="E1353" s="47" t="n"/>
      <c r="F1353" s="47" t="n"/>
      <c r="G1353" s="47" t="n"/>
      <c r="H1353" s="47" t="n"/>
      <c r="I1353" s="47" t="n"/>
      <c r="J1353" s="47" t="n"/>
      <c r="K1353" s="47" t="n"/>
      <c r="L1353" s="47" t="n"/>
      <c r="M1353" s="47" t="n"/>
      <c r="N1353" s="47" t="n"/>
      <c r="O1353" s="47" t="n"/>
      <c r="P1353" s="47" t="n"/>
      <c r="Q1353" s="47" t="n"/>
      <c r="R1353" s="47" t="n"/>
      <c r="S1353" s="47" t="n"/>
      <c r="T1353" s="47" t="n"/>
      <c r="U1353" s="53" t="n"/>
      <c r="V1353" s="53" t="n"/>
      <c r="W1353" s="47" t="n"/>
      <c r="X1353" s="47" t="n"/>
      <c r="Y1353" s="47" t="n"/>
      <c r="Z1353" s="47" t="n"/>
      <c r="AA1353" s="47" t="n"/>
      <c r="AB1353" s="47" t="n"/>
      <c r="AC1353" s="47" t="n"/>
      <c r="AD1353" s="47" t="n"/>
      <c r="AE1353" s="47" t="n"/>
      <c r="AF1353" s="20">
        <f>IF(A1353="","",YEAR(EDATE(A1353,-3)))</f>
        <v/>
      </c>
      <c r="AG1353" s="20">
        <f>IF(OR(B1353="",'経歴簿'!$C$4=""),"",IF(B1353&amp;""='経歴簿'!$C$4&amp;"",MAX($AG$4:AG1352)+1,""))</f>
        <v/>
      </c>
      <c r="AH1353" s="20">
        <f>IF(A1353="",0,IF(AND(OR('CSV抽出'!$C$4="",A1353&gt;='CSV抽出'!$C$4),OR('CSV抽出'!$C$5="",A1353&lt;='CSV抽出'!$C$5),OR('CSV抽出'!$C$6="すべて",'CSV抽出'!$C$6="",D1353='CSV抽出'!$C$6),OR('CSV抽出'!$C$7="",B1353&amp;""='CSV抽出'!$C$7&amp;"")),1,0))</f>
        <v/>
      </c>
      <c r="AI1353" s="20">
        <f>IF(AH1353=1,SUM($AH$5:AH1353),"")</f>
        <v/>
      </c>
      <c r="AJ1353" s="20">
        <f>IF(OR(S1353="",'報告書'!$C$4=""),"",IF(S1353&amp;""='報告書'!$C$4&amp;"",COUNTIF($S$5:S1353,'報告書'!$C$4),""))</f>
        <v/>
      </c>
      <c r="AK1353" s="20" t="n"/>
      <c r="AL1353" s="47" t="n"/>
      <c r="AM1353" s="47" t="n"/>
      <c r="AN1353" s="53" t="n"/>
      <c r="AO1353" s="47" t="n"/>
      <c r="AP1353" s="47" t="n"/>
      <c r="AQ1353" s="47" t="n"/>
      <c r="AR1353" s="47" t="n"/>
      <c r="AS1353" s="47" t="n"/>
      <c r="AT1353" s="47" t="n"/>
      <c r="AU1353" s="47" t="n"/>
      <c r="AV1353" s="47" t="n"/>
      <c r="AW1353" s="52" t="n"/>
    </row>
    <row r="1354">
      <c r="A1354" s="48" t="n"/>
      <c r="B1354" s="52" t="n"/>
      <c r="C1354" s="47">
        <f>IF(B1354="","",IFERROR(INDEX('隊員マスタ'!$B$5:$B$204,MATCH(B1354&amp;"",'隊員マスタ'!$F$5:$F$204,0)),IF(AK1354="","番号なし",AK1354)))</f>
        <v/>
      </c>
      <c r="D1354" s="47" t="n"/>
      <c r="E1354" s="47" t="n"/>
      <c r="F1354" s="47" t="n"/>
      <c r="G1354" s="47" t="n"/>
      <c r="H1354" s="47" t="n"/>
      <c r="I1354" s="47" t="n"/>
      <c r="J1354" s="47" t="n"/>
      <c r="K1354" s="47" t="n"/>
      <c r="L1354" s="47" t="n"/>
      <c r="M1354" s="47" t="n"/>
      <c r="N1354" s="47" t="n"/>
      <c r="O1354" s="47" t="n"/>
      <c r="P1354" s="47" t="n"/>
      <c r="Q1354" s="47" t="n"/>
      <c r="R1354" s="47" t="n"/>
      <c r="S1354" s="47" t="n"/>
      <c r="T1354" s="47" t="n"/>
      <c r="U1354" s="53" t="n"/>
      <c r="V1354" s="53" t="n"/>
      <c r="W1354" s="47" t="n"/>
      <c r="X1354" s="47" t="n"/>
      <c r="Y1354" s="47" t="n"/>
      <c r="Z1354" s="47" t="n"/>
      <c r="AA1354" s="47" t="n"/>
      <c r="AB1354" s="47" t="n"/>
      <c r="AC1354" s="47" t="n"/>
      <c r="AD1354" s="47" t="n"/>
      <c r="AE1354" s="47" t="n"/>
      <c r="AF1354" s="20">
        <f>IF(A1354="","",YEAR(EDATE(A1354,-3)))</f>
        <v/>
      </c>
      <c r="AG1354" s="20">
        <f>IF(OR(B1354="",'経歴簿'!$C$4=""),"",IF(B1354&amp;""='経歴簿'!$C$4&amp;"",MAX($AG$4:AG1353)+1,""))</f>
        <v/>
      </c>
      <c r="AH1354" s="20">
        <f>IF(A1354="",0,IF(AND(OR('CSV抽出'!$C$4="",A1354&gt;='CSV抽出'!$C$4),OR('CSV抽出'!$C$5="",A1354&lt;='CSV抽出'!$C$5),OR('CSV抽出'!$C$6="すべて",'CSV抽出'!$C$6="",D1354='CSV抽出'!$C$6),OR('CSV抽出'!$C$7="",B1354&amp;""='CSV抽出'!$C$7&amp;"")),1,0))</f>
        <v/>
      </c>
      <c r="AI1354" s="20">
        <f>IF(AH1354=1,SUM($AH$5:AH1354),"")</f>
        <v/>
      </c>
      <c r="AJ1354" s="20">
        <f>IF(OR(S1354="",'報告書'!$C$4=""),"",IF(S1354&amp;""='報告書'!$C$4&amp;"",COUNTIF($S$5:S1354,'報告書'!$C$4),""))</f>
        <v/>
      </c>
      <c r="AK1354" s="20" t="n"/>
      <c r="AL1354" s="47" t="n"/>
      <c r="AM1354" s="47" t="n"/>
      <c r="AN1354" s="53" t="n"/>
      <c r="AO1354" s="47" t="n"/>
      <c r="AP1354" s="47" t="n"/>
      <c r="AQ1354" s="47" t="n"/>
      <c r="AR1354" s="47" t="n"/>
      <c r="AS1354" s="47" t="n"/>
      <c r="AT1354" s="47" t="n"/>
      <c r="AU1354" s="47" t="n"/>
      <c r="AV1354" s="47" t="n"/>
      <c r="AW1354" s="52" t="n"/>
    </row>
    <row r="1355">
      <c r="A1355" s="48" t="n"/>
      <c r="B1355" s="52" t="n"/>
      <c r="C1355" s="47">
        <f>IF(B1355="","",IFERROR(INDEX('隊員マスタ'!$B$5:$B$204,MATCH(B1355&amp;"",'隊員マスタ'!$F$5:$F$204,0)),IF(AK1355="","番号なし",AK1355)))</f>
        <v/>
      </c>
      <c r="D1355" s="47" t="n"/>
      <c r="E1355" s="47" t="n"/>
      <c r="F1355" s="47" t="n"/>
      <c r="G1355" s="47" t="n"/>
      <c r="H1355" s="47" t="n"/>
      <c r="I1355" s="47" t="n"/>
      <c r="J1355" s="47" t="n"/>
      <c r="K1355" s="47" t="n"/>
      <c r="L1355" s="47" t="n"/>
      <c r="M1355" s="47" t="n"/>
      <c r="N1355" s="47" t="n"/>
      <c r="O1355" s="47" t="n"/>
      <c r="P1355" s="47" t="n"/>
      <c r="Q1355" s="47" t="n"/>
      <c r="R1355" s="47" t="n"/>
      <c r="S1355" s="47" t="n"/>
      <c r="T1355" s="47" t="n"/>
      <c r="U1355" s="53" t="n"/>
      <c r="V1355" s="53" t="n"/>
      <c r="W1355" s="47" t="n"/>
      <c r="X1355" s="47" t="n"/>
      <c r="Y1355" s="47" t="n"/>
      <c r="Z1355" s="47" t="n"/>
      <c r="AA1355" s="47" t="n"/>
      <c r="AB1355" s="47" t="n"/>
      <c r="AC1355" s="47" t="n"/>
      <c r="AD1355" s="47" t="n"/>
      <c r="AE1355" s="47" t="n"/>
      <c r="AF1355" s="20">
        <f>IF(A1355="","",YEAR(EDATE(A1355,-3)))</f>
        <v/>
      </c>
      <c r="AG1355" s="20">
        <f>IF(OR(B1355="",'経歴簿'!$C$4=""),"",IF(B1355&amp;""='経歴簿'!$C$4&amp;"",MAX($AG$4:AG1354)+1,""))</f>
        <v/>
      </c>
      <c r="AH1355" s="20">
        <f>IF(A1355="",0,IF(AND(OR('CSV抽出'!$C$4="",A1355&gt;='CSV抽出'!$C$4),OR('CSV抽出'!$C$5="",A1355&lt;='CSV抽出'!$C$5),OR('CSV抽出'!$C$6="すべて",'CSV抽出'!$C$6="",D1355='CSV抽出'!$C$6),OR('CSV抽出'!$C$7="",B1355&amp;""='CSV抽出'!$C$7&amp;"")),1,0))</f>
        <v/>
      </c>
      <c r="AI1355" s="20">
        <f>IF(AH1355=1,SUM($AH$5:AH1355),"")</f>
        <v/>
      </c>
      <c r="AJ1355" s="20">
        <f>IF(OR(S1355="",'報告書'!$C$4=""),"",IF(S1355&amp;""='報告書'!$C$4&amp;"",COUNTIF($S$5:S1355,'報告書'!$C$4),""))</f>
        <v/>
      </c>
      <c r="AK1355" s="20" t="n"/>
      <c r="AL1355" s="47" t="n"/>
      <c r="AM1355" s="47" t="n"/>
      <c r="AN1355" s="53" t="n"/>
      <c r="AO1355" s="47" t="n"/>
      <c r="AP1355" s="47" t="n"/>
      <c r="AQ1355" s="47" t="n"/>
      <c r="AR1355" s="47" t="n"/>
      <c r="AS1355" s="47" t="n"/>
      <c r="AT1355" s="47" t="n"/>
      <c r="AU1355" s="47" t="n"/>
      <c r="AV1355" s="47" t="n"/>
      <c r="AW1355" s="52" t="n"/>
    </row>
    <row r="1356">
      <c r="A1356" s="48" t="n"/>
      <c r="B1356" s="52" t="n"/>
      <c r="C1356" s="47">
        <f>IF(B1356="","",IFERROR(INDEX('隊員マスタ'!$B$5:$B$204,MATCH(B1356&amp;"",'隊員マスタ'!$F$5:$F$204,0)),IF(AK1356="","番号なし",AK1356)))</f>
        <v/>
      </c>
      <c r="D1356" s="47" t="n"/>
      <c r="E1356" s="47" t="n"/>
      <c r="F1356" s="47" t="n"/>
      <c r="G1356" s="47" t="n"/>
      <c r="H1356" s="47" t="n"/>
      <c r="I1356" s="47" t="n"/>
      <c r="J1356" s="47" t="n"/>
      <c r="K1356" s="47" t="n"/>
      <c r="L1356" s="47" t="n"/>
      <c r="M1356" s="47" t="n"/>
      <c r="N1356" s="47" t="n"/>
      <c r="O1356" s="47" t="n"/>
      <c r="P1356" s="47" t="n"/>
      <c r="Q1356" s="47" t="n"/>
      <c r="R1356" s="47" t="n"/>
      <c r="S1356" s="47" t="n"/>
      <c r="T1356" s="47" t="n"/>
      <c r="U1356" s="53" t="n"/>
      <c r="V1356" s="53" t="n"/>
      <c r="W1356" s="47" t="n"/>
      <c r="X1356" s="47" t="n"/>
      <c r="Y1356" s="47" t="n"/>
      <c r="Z1356" s="47" t="n"/>
      <c r="AA1356" s="47" t="n"/>
      <c r="AB1356" s="47" t="n"/>
      <c r="AC1356" s="47" t="n"/>
      <c r="AD1356" s="47" t="n"/>
      <c r="AE1356" s="47" t="n"/>
      <c r="AF1356" s="20">
        <f>IF(A1356="","",YEAR(EDATE(A1356,-3)))</f>
        <v/>
      </c>
      <c r="AG1356" s="20">
        <f>IF(OR(B1356="",'経歴簿'!$C$4=""),"",IF(B1356&amp;""='経歴簿'!$C$4&amp;"",MAX($AG$4:AG1355)+1,""))</f>
        <v/>
      </c>
      <c r="AH1356" s="20">
        <f>IF(A1356="",0,IF(AND(OR('CSV抽出'!$C$4="",A1356&gt;='CSV抽出'!$C$4),OR('CSV抽出'!$C$5="",A1356&lt;='CSV抽出'!$C$5),OR('CSV抽出'!$C$6="すべて",'CSV抽出'!$C$6="",D1356='CSV抽出'!$C$6),OR('CSV抽出'!$C$7="",B1356&amp;""='CSV抽出'!$C$7&amp;"")),1,0))</f>
        <v/>
      </c>
      <c r="AI1356" s="20">
        <f>IF(AH1356=1,SUM($AH$5:AH1356),"")</f>
        <v/>
      </c>
      <c r="AJ1356" s="20">
        <f>IF(OR(S1356="",'報告書'!$C$4=""),"",IF(S1356&amp;""='報告書'!$C$4&amp;"",COUNTIF($S$5:S1356,'報告書'!$C$4),""))</f>
        <v/>
      </c>
      <c r="AK1356" s="20" t="n"/>
      <c r="AL1356" s="47" t="n"/>
      <c r="AM1356" s="47" t="n"/>
      <c r="AN1356" s="53" t="n"/>
      <c r="AO1356" s="47" t="n"/>
      <c r="AP1356" s="47" t="n"/>
      <c r="AQ1356" s="47" t="n"/>
      <c r="AR1356" s="47" t="n"/>
      <c r="AS1356" s="47" t="n"/>
      <c r="AT1356" s="47" t="n"/>
      <c r="AU1356" s="47" t="n"/>
      <c r="AV1356" s="47" t="n"/>
      <c r="AW1356" s="52" t="n"/>
    </row>
    <row r="1357">
      <c r="A1357" s="48" t="n"/>
      <c r="B1357" s="52" t="n"/>
      <c r="C1357" s="47">
        <f>IF(B1357="","",IFERROR(INDEX('隊員マスタ'!$B$5:$B$204,MATCH(B1357&amp;"",'隊員マスタ'!$F$5:$F$204,0)),IF(AK1357="","番号なし",AK1357)))</f>
        <v/>
      </c>
      <c r="D1357" s="47" t="n"/>
      <c r="E1357" s="47" t="n"/>
      <c r="F1357" s="47" t="n"/>
      <c r="G1357" s="47" t="n"/>
      <c r="H1357" s="47" t="n"/>
      <c r="I1357" s="47" t="n"/>
      <c r="J1357" s="47" t="n"/>
      <c r="K1357" s="47" t="n"/>
      <c r="L1357" s="47" t="n"/>
      <c r="M1357" s="47" t="n"/>
      <c r="N1357" s="47" t="n"/>
      <c r="O1357" s="47" t="n"/>
      <c r="P1357" s="47" t="n"/>
      <c r="Q1357" s="47" t="n"/>
      <c r="R1357" s="47" t="n"/>
      <c r="S1357" s="47" t="n"/>
      <c r="T1357" s="47" t="n"/>
      <c r="U1357" s="53" t="n"/>
      <c r="V1357" s="53" t="n"/>
      <c r="W1357" s="47" t="n"/>
      <c r="X1357" s="47" t="n"/>
      <c r="Y1357" s="47" t="n"/>
      <c r="Z1357" s="47" t="n"/>
      <c r="AA1357" s="47" t="n"/>
      <c r="AB1357" s="47" t="n"/>
      <c r="AC1357" s="47" t="n"/>
      <c r="AD1357" s="47" t="n"/>
      <c r="AE1357" s="47" t="n"/>
      <c r="AF1357" s="20">
        <f>IF(A1357="","",YEAR(EDATE(A1357,-3)))</f>
        <v/>
      </c>
      <c r="AG1357" s="20">
        <f>IF(OR(B1357="",'経歴簿'!$C$4=""),"",IF(B1357&amp;""='経歴簿'!$C$4&amp;"",MAX($AG$4:AG1356)+1,""))</f>
        <v/>
      </c>
      <c r="AH1357" s="20">
        <f>IF(A1357="",0,IF(AND(OR('CSV抽出'!$C$4="",A1357&gt;='CSV抽出'!$C$4),OR('CSV抽出'!$C$5="",A1357&lt;='CSV抽出'!$C$5),OR('CSV抽出'!$C$6="すべて",'CSV抽出'!$C$6="",D1357='CSV抽出'!$C$6),OR('CSV抽出'!$C$7="",B1357&amp;""='CSV抽出'!$C$7&amp;"")),1,0))</f>
        <v/>
      </c>
      <c r="AI1357" s="20">
        <f>IF(AH1357=1,SUM($AH$5:AH1357),"")</f>
        <v/>
      </c>
      <c r="AJ1357" s="20">
        <f>IF(OR(S1357="",'報告書'!$C$4=""),"",IF(S1357&amp;""='報告書'!$C$4&amp;"",COUNTIF($S$5:S1357,'報告書'!$C$4),""))</f>
        <v/>
      </c>
      <c r="AK1357" s="20" t="n"/>
      <c r="AL1357" s="47" t="n"/>
      <c r="AM1357" s="47" t="n"/>
      <c r="AN1357" s="53" t="n"/>
      <c r="AO1357" s="47" t="n"/>
      <c r="AP1357" s="47" t="n"/>
      <c r="AQ1357" s="47" t="n"/>
      <c r="AR1357" s="47" t="n"/>
      <c r="AS1357" s="47" t="n"/>
      <c r="AT1357" s="47" t="n"/>
      <c r="AU1357" s="47" t="n"/>
      <c r="AV1357" s="47" t="n"/>
      <c r="AW1357" s="52" t="n"/>
    </row>
    <row r="1358">
      <c r="A1358" s="48" t="n"/>
      <c r="B1358" s="52" t="n"/>
      <c r="C1358" s="47">
        <f>IF(B1358="","",IFERROR(INDEX('隊員マスタ'!$B$5:$B$204,MATCH(B1358&amp;"",'隊員マスタ'!$F$5:$F$204,0)),IF(AK1358="","番号なし",AK1358)))</f>
        <v/>
      </c>
      <c r="D1358" s="47" t="n"/>
      <c r="E1358" s="47" t="n"/>
      <c r="F1358" s="47" t="n"/>
      <c r="G1358" s="47" t="n"/>
      <c r="H1358" s="47" t="n"/>
      <c r="I1358" s="47" t="n"/>
      <c r="J1358" s="47" t="n"/>
      <c r="K1358" s="47" t="n"/>
      <c r="L1358" s="47" t="n"/>
      <c r="M1358" s="47" t="n"/>
      <c r="N1358" s="47" t="n"/>
      <c r="O1358" s="47" t="n"/>
      <c r="P1358" s="47" t="n"/>
      <c r="Q1358" s="47" t="n"/>
      <c r="R1358" s="47" t="n"/>
      <c r="S1358" s="47" t="n"/>
      <c r="T1358" s="47" t="n"/>
      <c r="U1358" s="53" t="n"/>
      <c r="V1358" s="53" t="n"/>
      <c r="W1358" s="47" t="n"/>
      <c r="X1358" s="47" t="n"/>
      <c r="Y1358" s="47" t="n"/>
      <c r="Z1358" s="47" t="n"/>
      <c r="AA1358" s="47" t="n"/>
      <c r="AB1358" s="47" t="n"/>
      <c r="AC1358" s="47" t="n"/>
      <c r="AD1358" s="47" t="n"/>
      <c r="AE1358" s="47" t="n"/>
      <c r="AF1358" s="20">
        <f>IF(A1358="","",YEAR(EDATE(A1358,-3)))</f>
        <v/>
      </c>
      <c r="AG1358" s="20">
        <f>IF(OR(B1358="",'経歴簿'!$C$4=""),"",IF(B1358&amp;""='経歴簿'!$C$4&amp;"",MAX($AG$4:AG1357)+1,""))</f>
        <v/>
      </c>
      <c r="AH1358" s="20">
        <f>IF(A1358="",0,IF(AND(OR('CSV抽出'!$C$4="",A1358&gt;='CSV抽出'!$C$4),OR('CSV抽出'!$C$5="",A1358&lt;='CSV抽出'!$C$5),OR('CSV抽出'!$C$6="すべて",'CSV抽出'!$C$6="",D1358='CSV抽出'!$C$6),OR('CSV抽出'!$C$7="",B1358&amp;""='CSV抽出'!$C$7&amp;"")),1,0))</f>
        <v/>
      </c>
      <c r="AI1358" s="20">
        <f>IF(AH1358=1,SUM($AH$5:AH1358),"")</f>
        <v/>
      </c>
      <c r="AJ1358" s="20">
        <f>IF(OR(S1358="",'報告書'!$C$4=""),"",IF(S1358&amp;""='報告書'!$C$4&amp;"",COUNTIF($S$5:S1358,'報告書'!$C$4),""))</f>
        <v/>
      </c>
      <c r="AK1358" s="20" t="n"/>
      <c r="AL1358" s="47" t="n"/>
      <c r="AM1358" s="47" t="n"/>
      <c r="AN1358" s="53" t="n"/>
      <c r="AO1358" s="47" t="n"/>
      <c r="AP1358" s="47" t="n"/>
      <c r="AQ1358" s="47" t="n"/>
      <c r="AR1358" s="47" t="n"/>
      <c r="AS1358" s="47" t="n"/>
      <c r="AT1358" s="47" t="n"/>
      <c r="AU1358" s="47" t="n"/>
      <c r="AV1358" s="47" t="n"/>
      <c r="AW1358" s="52" t="n"/>
    </row>
    <row r="1359">
      <c r="A1359" s="48" t="n"/>
      <c r="B1359" s="52" t="n"/>
      <c r="C1359" s="47">
        <f>IF(B1359="","",IFERROR(INDEX('隊員マスタ'!$B$5:$B$204,MATCH(B1359&amp;"",'隊員マスタ'!$F$5:$F$204,0)),IF(AK1359="","番号なし",AK1359)))</f>
        <v/>
      </c>
      <c r="D1359" s="47" t="n"/>
      <c r="E1359" s="47" t="n"/>
      <c r="F1359" s="47" t="n"/>
      <c r="G1359" s="47" t="n"/>
      <c r="H1359" s="47" t="n"/>
      <c r="I1359" s="47" t="n"/>
      <c r="J1359" s="47" t="n"/>
      <c r="K1359" s="47" t="n"/>
      <c r="L1359" s="47" t="n"/>
      <c r="M1359" s="47" t="n"/>
      <c r="N1359" s="47" t="n"/>
      <c r="O1359" s="47" t="n"/>
      <c r="P1359" s="47" t="n"/>
      <c r="Q1359" s="47" t="n"/>
      <c r="R1359" s="47" t="n"/>
      <c r="S1359" s="47" t="n"/>
      <c r="T1359" s="47" t="n"/>
      <c r="U1359" s="53" t="n"/>
      <c r="V1359" s="53" t="n"/>
      <c r="W1359" s="47" t="n"/>
      <c r="X1359" s="47" t="n"/>
      <c r="Y1359" s="47" t="n"/>
      <c r="Z1359" s="47" t="n"/>
      <c r="AA1359" s="47" t="n"/>
      <c r="AB1359" s="47" t="n"/>
      <c r="AC1359" s="47" t="n"/>
      <c r="AD1359" s="47" t="n"/>
      <c r="AE1359" s="47" t="n"/>
      <c r="AF1359" s="20">
        <f>IF(A1359="","",YEAR(EDATE(A1359,-3)))</f>
        <v/>
      </c>
      <c r="AG1359" s="20">
        <f>IF(OR(B1359="",'経歴簿'!$C$4=""),"",IF(B1359&amp;""='経歴簿'!$C$4&amp;"",MAX($AG$4:AG1358)+1,""))</f>
        <v/>
      </c>
      <c r="AH1359" s="20">
        <f>IF(A1359="",0,IF(AND(OR('CSV抽出'!$C$4="",A1359&gt;='CSV抽出'!$C$4),OR('CSV抽出'!$C$5="",A1359&lt;='CSV抽出'!$C$5),OR('CSV抽出'!$C$6="すべて",'CSV抽出'!$C$6="",D1359='CSV抽出'!$C$6),OR('CSV抽出'!$C$7="",B1359&amp;""='CSV抽出'!$C$7&amp;"")),1,0))</f>
        <v/>
      </c>
      <c r="AI1359" s="20">
        <f>IF(AH1359=1,SUM($AH$5:AH1359),"")</f>
        <v/>
      </c>
      <c r="AJ1359" s="20">
        <f>IF(OR(S1359="",'報告書'!$C$4=""),"",IF(S1359&amp;""='報告書'!$C$4&amp;"",COUNTIF($S$5:S1359,'報告書'!$C$4),""))</f>
        <v/>
      </c>
      <c r="AK1359" s="20" t="n"/>
      <c r="AL1359" s="47" t="n"/>
      <c r="AM1359" s="47" t="n"/>
      <c r="AN1359" s="53" t="n"/>
      <c r="AO1359" s="47" t="n"/>
      <c r="AP1359" s="47" t="n"/>
      <c r="AQ1359" s="47" t="n"/>
      <c r="AR1359" s="47" t="n"/>
      <c r="AS1359" s="47" t="n"/>
      <c r="AT1359" s="47" t="n"/>
      <c r="AU1359" s="47" t="n"/>
      <c r="AV1359" s="47" t="n"/>
      <c r="AW1359" s="52" t="n"/>
    </row>
    <row r="1360">
      <c r="A1360" s="48" t="n"/>
      <c r="B1360" s="52" t="n"/>
      <c r="C1360" s="47">
        <f>IF(B1360="","",IFERROR(INDEX('隊員マスタ'!$B$5:$B$204,MATCH(B1360&amp;"",'隊員マスタ'!$F$5:$F$204,0)),IF(AK1360="","番号なし",AK1360)))</f>
        <v/>
      </c>
      <c r="D1360" s="47" t="n"/>
      <c r="E1360" s="47" t="n"/>
      <c r="F1360" s="47" t="n"/>
      <c r="G1360" s="47" t="n"/>
      <c r="H1360" s="47" t="n"/>
      <c r="I1360" s="47" t="n"/>
      <c r="J1360" s="47" t="n"/>
      <c r="K1360" s="47" t="n"/>
      <c r="L1360" s="47" t="n"/>
      <c r="M1360" s="47" t="n"/>
      <c r="N1360" s="47" t="n"/>
      <c r="O1360" s="47" t="n"/>
      <c r="P1360" s="47" t="n"/>
      <c r="Q1360" s="47" t="n"/>
      <c r="R1360" s="47" t="n"/>
      <c r="S1360" s="47" t="n"/>
      <c r="T1360" s="47" t="n"/>
      <c r="U1360" s="53" t="n"/>
      <c r="V1360" s="53" t="n"/>
      <c r="W1360" s="47" t="n"/>
      <c r="X1360" s="47" t="n"/>
      <c r="Y1360" s="47" t="n"/>
      <c r="Z1360" s="47" t="n"/>
      <c r="AA1360" s="47" t="n"/>
      <c r="AB1360" s="47" t="n"/>
      <c r="AC1360" s="47" t="n"/>
      <c r="AD1360" s="47" t="n"/>
      <c r="AE1360" s="47" t="n"/>
      <c r="AF1360" s="20">
        <f>IF(A1360="","",YEAR(EDATE(A1360,-3)))</f>
        <v/>
      </c>
      <c r="AG1360" s="20">
        <f>IF(OR(B1360="",'経歴簿'!$C$4=""),"",IF(B1360&amp;""='経歴簿'!$C$4&amp;"",MAX($AG$4:AG1359)+1,""))</f>
        <v/>
      </c>
      <c r="AH1360" s="20">
        <f>IF(A1360="",0,IF(AND(OR('CSV抽出'!$C$4="",A1360&gt;='CSV抽出'!$C$4),OR('CSV抽出'!$C$5="",A1360&lt;='CSV抽出'!$C$5),OR('CSV抽出'!$C$6="すべて",'CSV抽出'!$C$6="",D1360='CSV抽出'!$C$6),OR('CSV抽出'!$C$7="",B1360&amp;""='CSV抽出'!$C$7&amp;"")),1,0))</f>
        <v/>
      </c>
      <c r="AI1360" s="20">
        <f>IF(AH1360=1,SUM($AH$5:AH1360),"")</f>
        <v/>
      </c>
      <c r="AJ1360" s="20">
        <f>IF(OR(S1360="",'報告書'!$C$4=""),"",IF(S1360&amp;""='報告書'!$C$4&amp;"",COUNTIF($S$5:S1360,'報告書'!$C$4),""))</f>
        <v/>
      </c>
      <c r="AK1360" s="20" t="n"/>
      <c r="AL1360" s="47" t="n"/>
      <c r="AM1360" s="47" t="n"/>
      <c r="AN1360" s="53" t="n"/>
      <c r="AO1360" s="47" t="n"/>
      <c r="AP1360" s="47" t="n"/>
      <c r="AQ1360" s="47" t="n"/>
      <c r="AR1360" s="47" t="n"/>
      <c r="AS1360" s="47" t="n"/>
      <c r="AT1360" s="47" t="n"/>
      <c r="AU1360" s="47" t="n"/>
      <c r="AV1360" s="47" t="n"/>
      <c r="AW1360" s="52" t="n"/>
    </row>
    <row r="1361">
      <c r="A1361" s="48" t="n"/>
      <c r="B1361" s="52" t="n"/>
      <c r="C1361" s="47">
        <f>IF(B1361="","",IFERROR(INDEX('隊員マスタ'!$B$5:$B$204,MATCH(B1361&amp;"",'隊員マスタ'!$F$5:$F$204,0)),IF(AK1361="","番号なし",AK1361)))</f>
        <v/>
      </c>
      <c r="D1361" s="47" t="n"/>
      <c r="E1361" s="47" t="n"/>
      <c r="F1361" s="47" t="n"/>
      <c r="G1361" s="47" t="n"/>
      <c r="H1361" s="47" t="n"/>
      <c r="I1361" s="47" t="n"/>
      <c r="J1361" s="47" t="n"/>
      <c r="K1361" s="47" t="n"/>
      <c r="L1361" s="47" t="n"/>
      <c r="M1361" s="47" t="n"/>
      <c r="N1361" s="47" t="n"/>
      <c r="O1361" s="47" t="n"/>
      <c r="P1361" s="47" t="n"/>
      <c r="Q1361" s="47" t="n"/>
      <c r="R1361" s="47" t="n"/>
      <c r="S1361" s="47" t="n"/>
      <c r="T1361" s="47" t="n"/>
      <c r="U1361" s="53" t="n"/>
      <c r="V1361" s="53" t="n"/>
      <c r="W1361" s="47" t="n"/>
      <c r="X1361" s="47" t="n"/>
      <c r="Y1361" s="47" t="n"/>
      <c r="Z1361" s="47" t="n"/>
      <c r="AA1361" s="47" t="n"/>
      <c r="AB1361" s="47" t="n"/>
      <c r="AC1361" s="47" t="n"/>
      <c r="AD1361" s="47" t="n"/>
      <c r="AE1361" s="47" t="n"/>
      <c r="AF1361" s="20">
        <f>IF(A1361="","",YEAR(EDATE(A1361,-3)))</f>
        <v/>
      </c>
      <c r="AG1361" s="20">
        <f>IF(OR(B1361="",'経歴簿'!$C$4=""),"",IF(B1361&amp;""='経歴簿'!$C$4&amp;"",MAX($AG$4:AG1360)+1,""))</f>
        <v/>
      </c>
      <c r="AH1361" s="20">
        <f>IF(A1361="",0,IF(AND(OR('CSV抽出'!$C$4="",A1361&gt;='CSV抽出'!$C$4),OR('CSV抽出'!$C$5="",A1361&lt;='CSV抽出'!$C$5),OR('CSV抽出'!$C$6="すべて",'CSV抽出'!$C$6="",D1361='CSV抽出'!$C$6),OR('CSV抽出'!$C$7="",B1361&amp;""='CSV抽出'!$C$7&amp;"")),1,0))</f>
        <v/>
      </c>
      <c r="AI1361" s="20">
        <f>IF(AH1361=1,SUM($AH$5:AH1361),"")</f>
        <v/>
      </c>
      <c r="AJ1361" s="20">
        <f>IF(OR(S1361="",'報告書'!$C$4=""),"",IF(S1361&amp;""='報告書'!$C$4&amp;"",COUNTIF($S$5:S1361,'報告書'!$C$4),""))</f>
        <v/>
      </c>
      <c r="AK1361" s="20" t="n"/>
      <c r="AL1361" s="47" t="n"/>
      <c r="AM1361" s="47" t="n"/>
      <c r="AN1361" s="53" t="n"/>
      <c r="AO1361" s="47" t="n"/>
      <c r="AP1361" s="47" t="n"/>
      <c r="AQ1361" s="47" t="n"/>
      <c r="AR1361" s="47" t="n"/>
      <c r="AS1361" s="47" t="n"/>
      <c r="AT1361" s="47" t="n"/>
      <c r="AU1361" s="47" t="n"/>
      <c r="AV1361" s="47" t="n"/>
      <c r="AW1361" s="52" t="n"/>
    </row>
    <row r="1362">
      <c r="A1362" s="48" t="n"/>
      <c r="B1362" s="52" t="n"/>
      <c r="C1362" s="47">
        <f>IF(B1362="","",IFERROR(INDEX('隊員マスタ'!$B$5:$B$204,MATCH(B1362&amp;"",'隊員マスタ'!$F$5:$F$204,0)),IF(AK1362="","番号なし",AK1362)))</f>
        <v/>
      </c>
      <c r="D1362" s="47" t="n"/>
      <c r="E1362" s="47" t="n"/>
      <c r="F1362" s="47" t="n"/>
      <c r="G1362" s="47" t="n"/>
      <c r="H1362" s="47" t="n"/>
      <c r="I1362" s="47" t="n"/>
      <c r="J1362" s="47" t="n"/>
      <c r="K1362" s="47" t="n"/>
      <c r="L1362" s="47" t="n"/>
      <c r="M1362" s="47" t="n"/>
      <c r="N1362" s="47" t="n"/>
      <c r="O1362" s="47" t="n"/>
      <c r="P1362" s="47" t="n"/>
      <c r="Q1362" s="47" t="n"/>
      <c r="R1362" s="47" t="n"/>
      <c r="S1362" s="47" t="n"/>
      <c r="T1362" s="47" t="n"/>
      <c r="U1362" s="53" t="n"/>
      <c r="V1362" s="53" t="n"/>
      <c r="W1362" s="47" t="n"/>
      <c r="X1362" s="47" t="n"/>
      <c r="Y1362" s="47" t="n"/>
      <c r="Z1362" s="47" t="n"/>
      <c r="AA1362" s="47" t="n"/>
      <c r="AB1362" s="47" t="n"/>
      <c r="AC1362" s="47" t="n"/>
      <c r="AD1362" s="47" t="n"/>
      <c r="AE1362" s="47" t="n"/>
      <c r="AF1362" s="20">
        <f>IF(A1362="","",YEAR(EDATE(A1362,-3)))</f>
        <v/>
      </c>
      <c r="AG1362" s="20">
        <f>IF(OR(B1362="",'経歴簿'!$C$4=""),"",IF(B1362&amp;""='経歴簿'!$C$4&amp;"",MAX($AG$4:AG1361)+1,""))</f>
        <v/>
      </c>
      <c r="AH1362" s="20">
        <f>IF(A1362="",0,IF(AND(OR('CSV抽出'!$C$4="",A1362&gt;='CSV抽出'!$C$4),OR('CSV抽出'!$C$5="",A1362&lt;='CSV抽出'!$C$5),OR('CSV抽出'!$C$6="すべて",'CSV抽出'!$C$6="",D1362='CSV抽出'!$C$6),OR('CSV抽出'!$C$7="",B1362&amp;""='CSV抽出'!$C$7&amp;"")),1,0))</f>
        <v/>
      </c>
      <c r="AI1362" s="20">
        <f>IF(AH1362=1,SUM($AH$5:AH1362),"")</f>
        <v/>
      </c>
      <c r="AJ1362" s="20">
        <f>IF(OR(S1362="",'報告書'!$C$4=""),"",IF(S1362&amp;""='報告書'!$C$4&amp;"",COUNTIF($S$5:S1362,'報告書'!$C$4),""))</f>
        <v/>
      </c>
      <c r="AK1362" s="20" t="n"/>
      <c r="AL1362" s="47" t="n"/>
      <c r="AM1362" s="47" t="n"/>
      <c r="AN1362" s="53" t="n"/>
      <c r="AO1362" s="47" t="n"/>
      <c r="AP1362" s="47" t="n"/>
      <c r="AQ1362" s="47" t="n"/>
      <c r="AR1362" s="47" t="n"/>
      <c r="AS1362" s="47" t="n"/>
      <c r="AT1362" s="47" t="n"/>
      <c r="AU1362" s="47" t="n"/>
      <c r="AV1362" s="47" t="n"/>
      <c r="AW1362" s="52" t="n"/>
    </row>
    <row r="1363">
      <c r="A1363" s="48" t="n"/>
      <c r="B1363" s="52" t="n"/>
      <c r="C1363" s="47">
        <f>IF(B1363="","",IFERROR(INDEX('隊員マスタ'!$B$5:$B$204,MATCH(B1363&amp;"",'隊員マスタ'!$F$5:$F$204,0)),IF(AK1363="","番号なし",AK1363)))</f>
        <v/>
      </c>
      <c r="D1363" s="47" t="n"/>
      <c r="E1363" s="47" t="n"/>
      <c r="F1363" s="47" t="n"/>
      <c r="G1363" s="47" t="n"/>
      <c r="H1363" s="47" t="n"/>
      <c r="I1363" s="47" t="n"/>
      <c r="J1363" s="47" t="n"/>
      <c r="K1363" s="47" t="n"/>
      <c r="L1363" s="47" t="n"/>
      <c r="M1363" s="47" t="n"/>
      <c r="N1363" s="47" t="n"/>
      <c r="O1363" s="47" t="n"/>
      <c r="P1363" s="47" t="n"/>
      <c r="Q1363" s="47" t="n"/>
      <c r="R1363" s="47" t="n"/>
      <c r="S1363" s="47" t="n"/>
      <c r="T1363" s="47" t="n"/>
      <c r="U1363" s="53" t="n"/>
      <c r="V1363" s="53" t="n"/>
      <c r="W1363" s="47" t="n"/>
      <c r="X1363" s="47" t="n"/>
      <c r="Y1363" s="47" t="n"/>
      <c r="Z1363" s="47" t="n"/>
      <c r="AA1363" s="47" t="n"/>
      <c r="AB1363" s="47" t="n"/>
      <c r="AC1363" s="47" t="n"/>
      <c r="AD1363" s="47" t="n"/>
      <c r="AE1363" s="47" t="n"/>
      <c r="AF1363" s="20">
        <f>IF(A1363="","",YEAR(EDATE(A1363,-3)))</f>
        <v/>
      </c>
      <c r="AG1363" s="20">
        <f>IF(OR(B1363="",'経歴簿'!$C$4=""),"",IF(B1363&amp;""='経歴簿'!$C$4&amp;"",MAX($AG$4:AG1362)+1,""))</f>
        <v/>
      </c>
      <c r="AH1363" s="20">
        <f>IF(A1363="",0,IF(AND(OR('CSV抽出'!$C$4="",A1363&gt;='CSV抽出'!$C$4),OR('CSV抽出'!$C$5="",A1363&lt;='CSV抽出'!$C$5),OR('CSV抽出'!$C$6="すべて",'CSV抽出'!$C$6="",D1363='CSV抽出'!$C$6),OR('CSV抽出'!$C$7="",B1363&amp;""='CSV抽出'!$C$7&amp;"")),1,0))</f>
        <v/>
      </c>
      <c r="AI1363" s="20">
        <f>IF(AH1363=1,SUM($AH$5:AH1363),"")</f>
        <v/>
      </c>
      <c r="AJ1363" s="20">
        <f>IF(OR(S1363="",'報告書'!$C$4=""),"",IF(S1363&amp;""='報告書'!$C$4&amp;"",COUNTIF($S$5:S1363,'報告書'!$C$4),""))</f>
        <v/>
      </c>
      <c r="AK1363" s="20" t="n"/>
      <c r="AL1363" s="47" t="n"/>
      <c r="AM1363" s="47" t="n"/>
      <c r="AN1363" s="53" t="n"/>
      <c r="AO1363" s="47" t="n"/>
      <c r="AP1363" s="47" t="n"/>
      <c r="AQ1363" s="47" t="n"/>
      <c r="AR1363" s="47" t="n"/>
      <c r="AS1363" s="47" t="n"/>
      <c r="AT1363" s="47" t="n"/>
      <c r="AU1363" s="47" t="n"/>
      <c r="AV1363" s="47" t="n"/>
      <c r="AW1363" s="52" t="n"/>
    </row>
    <row r="1364">
      <c r="A1364" s="48" t="n"/>
      <c r="B1364" s="52" t="n"/>
      <c r="C1364" s="47">
        <f>IF(B1364="","",IFERROR(INDEX('隊員マスタ'!$B$5:$B$204,MATCH(B1364&amp;"",'隊員マスタ'!$F$5:$F$204,0)),IF(AK1364="","番号なし",AK1364)))</f>
        <v/>
      </c>
      <c r="D1364" s="47" t="n"/>
      <c r="E1364" s="47" t="n"/>
      <c r="F1364" s="47" t="n"/>
      <c r="G1364" s="47" t="n"/>
      <c r="H1364" s="47" t="n"/>
      <c r="I1364" s="47" t="n"/>
      <c r="J1364" s="47" t="n"/>
      <c r="K1364" s="47" t="n"/>
      <c r="L1364" s="47" t="n"/>
      <c r="M1364" s="47" t="n"/>
      <c r="N1364" s="47" t="n"/>
      <c r="O1364" s="47" t="n"/>
      <c r="P1364" s="47" t="n"/>
      <c r="Q1364" s="47" t="n"/>
      <c r="R1364" s="47" t="n"/>
      <c r="S1364" s="47" t="n"/>
      <c r="T1364" s="47" t="n"/>
      <c r="U1364" s="53" t="n"/>
      <c r="V1364" s="53" t="n"/>
      <c r="W1364" s="47" t="n"/>
      <c r="X1364" s="47" t="n"/>
      <c r="Y1364" s="47" t="n"/>
      <c r="Z1364" s="47" t="n"/>
      <c r="AA1364" s="47" t="n"/>
      <c r="AB1364" s="47" t="n"/>
      <c r="AC1364" s="47" t="n"/>
      <c r="AD1364" s="47" t="n"/>
      <c r="AE1364" s="47" t="n"/>
      <c r="AF1364" s="20">
        <f>IF(A1364="","",YEAR(EDATE(A1364,-3)))</f>
        <v/>
      </c>
      <c r="AG1364" s="20">
        <f>IF(OR(B1364="",'経歴簿'!$C$4=""),"",IF(B1364&amp;""='経歴簿'!$C$4&amp;"",MAX($AG$4:AG1363)+1,""))</f>
        <v/>
      </c>
      <c r="AH1364" s="20">
        <f>IF(A1364="",0,IF(AND(OR('CSV抽出'!$C$4="",A1364&gt;='CSV抽出'!$C$4),OR('CSV抽出'!$C$5="",A1364&lt;='CSV抽出'!$C$5),OR('CSV抽出'!$C$6="すべて",'CSV抽出'!$C$6="",D1364='CSV抽出'!$C$6),OR('CSV抽出'!$C$7="",B1364&amp;""='CSV抽出'!$C$7&amp;"")),1,0))</f>
        <v/>
      </c>
      <c r="AI1364" s="20">
        <f>IF(AH1364=1,SUM($AH$5:AH1364),"")</f>
        <v/>
      </c>
      <c r="AJ1364" s="20">
        <f>IF(OR(S1364="",'報告書'!$C$4=""),"",IF(S1364&amp;""='報告書'!$C$4&amp;"",COUNTIF($S$5:S1364,'報告書'!$C$4),""))</f>
        <v/>
      </c>
      <c r="AK1364" s="20" t="n"/>
      <c r="AL1364" s="47" t="n"/>
      <c r="AM1364" s="47" t="n"/>
      <c r="AN1364" s="53" t="n"/>
      <c r="AO1364" s="47" t="n"/>
      <c r="AP1364" s="47" t="n"/>
      <c r="AQ1364" s="47" t="n"/>
      <c r="AR1364" s="47" t="n"/>
      <c r="AS1364" s="47" t="n"/>
      <c r="AT1364" s="47" t="n"/>
      <c r="AU1364" s="47" t="n"/>
      <c r="AV1364" s="47" t="n"/>
      <c r="AW1364" s="52" t="n"/>
    </row>
    <row r="1365">
      <c r="A1365" s="48" t="n"/>
      <c r="B1365" s="52" t="n"/>
      <c r="C1365" s="47">
        <f>IF(B1365="","",IFERROR(INDEX('隊員マスタ'!$B$5:$B$204,MATCH(B1365&amp;"",'隊員マスタ'!$F$5:$F$204,0)),IF(AK1365="","番号なし",AK1365)))</f>
        <v/>
      </c>
      <c r="D1365" s="47" t="n"/>
      <c r="E1365" s="47" t="n"/>
      <c r="F1365" s="47" t="n"/>
      <c r="G1365" s="47" t="n"/>
      <c r="H1365" s="47" t="n"/>
      <c r="I1365" s="47" t="n"/>
      <c r="J1365" s="47" t="n"/>
      <c r="K1365" s="47" t="n"/>
      <c r="L1365" s="47" t="n"/>
      <c r="M1365" s="47" t="n"/>
      <c r="N1365" s="47" t="n"/>
      <c r="O1365" s="47" t="n"/>
      <c r="P1365" s="47" t="n"/>
      <c r="Q1365" s="47" t="n"/>
      <c r="R1365" s="47" t="n"/>
      <c r="S1365" s="47" t="n"/>
      <c r="T1365" s="47" t="n"/>
      <c r="U1365" s="53" t="n"/>
      <c r="V1365" s="53" t="n"/>
      <c r="W1365" s="47" t="n"/>
      <c r="X1365" s="47" t="n"/>
      <c r="Y1365" s="47" t="n"/>
      <c r="Z1365" s="47" t="n"/>
      <c r="AA1365" s="47" t="n"/>
      <c r="AB1365" s="47" t="n"/>
      <c r="AC1365" s="47" t="n"/>
      <c r="AD1365" s="47" t="n"/>
      <c r="AE1365" s="47" t="n"/>
      <c r="AF1365" s="20">
        <f>IF(A1365="","",YEAR(EDATE(A1365,-3)))</f>
        <v/>
      </c>
      <c r="AG1365" s="20">
        <f>IF(OR(B1365="",'経歴簿'!$C$4=""),"",IF(B1365&amp;""='経歴簿'!$C$4&amp;"",MAX($AG$4:AG1364)+1,""))</f>
        <v/>
      </c>
      <c r="AH1365" s="20">
        <f>IF(A1365="",0,IF(AND(OR('CSV抽出'!$C$4="",A1365&gt;='CSV抽出'!$C$4),OR('CSV抽出'!$C$5="",A1365&lt;='CSV抽出'!$C$5),OR('CSV抽出'!$C$6="すべて",'CSV抽出'!$C$6="",D1365='CSV抽出'!$C$6),OR('CSV抽出'!$C$7="",B1365&amp;""='CSV抽出'!$C$7&amp;"")),1,0))</f>
        <v/>
      </c>
      <c r="AI1365" s="20">
        <f>IF(AH1365=1,SUM($AH$5:AH1365),"")</f>
        <v/>
      </c>
      <c r="AJ1365" s="20">
        <f>IF(OR(S1365="",'報告書'!$C$4=""),"",IF(S1365&amp;""='報告書'!$C$4&amp;"",COUNTIF($S$5:S1365,'報告書'!$C$4),""))</f>
        <v/>
      </c>
      <c r="AK1365" s="20" t="n"/>
      <c r="AL1365" s="47" t="n"/>
      <c r="AM1365" s="47" t="n"/>
      <c r="AN1365" s="53" t="n"/>
      <c r="AO1365" s="47" t="n"/>
      <c r="AP1365" s="47" t="n"/>
      <c r="AQ1365" s="47" t="n"/>
      <c r="AR1365" s="47" t="n"/>
      <c r="AS1365" s="47" t="n"/>
      <c r="AT1365" s="47" t="n"/>
      <c r="AU1365" s="47" t="n"/>
      <c r="AV1365" s="47" t="n"/>
      <c r="AW1365" s="52" t="n"/>
    </row>
    <row r="1366">
      <c r="A1366" s="48" t="n"/>
      <c r="B1366" s="52" t="n"/>
      <c r="C1366" s="47">
        <f>IF(B1366="","",IFERROR(INDEX('隊員マスタ'!$B$5:$B$204,MATCH(B1366&amp;"",'隊員マスタ'!$F$5:$F$204,0)),IF(AK1366="","番号なし",AK1366)))</f>
        <v/>
      </c>
      <c r="D1366" s="47" t="n"/>
      <c r="E1366" s="47" t="n"/>
      <c r="F1366" s="47" t="n"/>
      <c r="G1366" s="47" t="n"/>
      <c r="H1366" s="47" t="n"/>
      <c r="I1366" s="47" t="n"/>
      <c r="J1366" s="47" t="n"/>
      <c r="K1366" s="47" t="n"/>
      <c r="L1366" s="47" t="n"/>
      <c r="M1366" s="47" t="n"/>
      <c r="N1366" s="47" t="n"/>
      <c r="O1366" s="47" t="n"/>
      <c r="P1366" s="47" t="n"/>
      <c r="Q1366" s="47" t="n"/>
      <c r="R1366" s="47" t="n"/>
      <c r="S1366" s="47" t="n"/>
      <c r="T1366" s="47" t="n"/>
      <c r="U1366" s="53" t="n"/>
      <c r="V1366" s="53" t="n"/>
      <c r="W1366" s="47" t="n"/>
      <c r="X1366" s="47" t="n"/>
      <c r="Y1366" s="47" t="n"/>
      <c r="Z1366" s="47" t="n"/>
      <c r="AA1366" s="47" t="n"/>
      <c r="AB1366" s="47" t="n"/>
      <c r="AC1366" s="47" t="n"/>
      <c r="AD1366" s="47" t="n"/>
      <c r="AE1366" s="47" t="n"/>
      <c r="AF1366" s="20">
        <f>IF(A1366="","",YEAR(EDATE(A1366,-3)))</f>
        <v/>
      </c>
      <c r="AG1366" s="20">
        <f>IF(OR(B1366="",'経歴簿'!$C$4=""),"",IF(B1366&amp;""='経歴簿'!$C$4&amp;"",MAX($AG$4:AG1365)+1,""))</f>
        <v/>
      </c>
      <c r="AH1366" s="20">
        <f>IF(A1366="",0,IF(AND(OR('CSV抽出'!$C$4="",A1366&gt;='CSV抽出'!$C$4),OR('CSV抽出'!$C$5="",A1366&lt;='CSV抽出'!$C$5),OR('CSV抽出'!$C$6="すべて",'CSV抽出'!$C$6="",D1366='CSV抽出'!$C$6),OR('CSV抽出'!$C$7="",B1366&amp;""='CSV抽出'!$C$7&amp;"")),1,0))</f>
        <v/>
      </c>
      <c r="AI1366" s="20">
        <f>IF(AH1366=1,SUM($AH$5:AH1366),"")</f>
        <v/>
      </c>
      <c r="AJ1366" s="20">
        <f>IF(OR(S1366="",'報告書'!$C$4=""),"",IF(S1366&amp;""='報告書'!$C$4&amp;"",COUNTIF($S$5:S1366,'報告書'!$C$4),""))</f>
        <v/>
      </c>
      <c r="AK1366" s="20" t="n"/>
      <c r="AL1366" s="47" t="n"/>
      <c r="AM1366" s="47" t="n"/>
      <c r="AN1366" s="53" t="n"/>
      <c r="AO1366" s="47" t="n"/>
      <c r="AP1366" s="47" t="n"/>
      <c r="AQ1366" s="47" t="n"/>
      <c r="AR1366" s="47" t="n"/>
      <c r="AS1366" s="47" t="n"/>
      <c r="AT1366" s="47" t="n"/>
      <c r="AU1366" s="47" t="n"/>
      <c r="AV1366" s="47" t="n"/>
      <c r="AW1366" s="52" t="n"/>
    </row>
    <row r="1367">
      <c r="A1367" s="48" t="n"/>
      <c r="B1367" s="52" t="n"/>
      <c r="C1367" s="47">
        <f>IF(B1367="","",IFERROR(INDEX('隊員マスタ'!$B$5:$B$204,MATCH(B1367&amp;"",'隊員マスタ'!$F$5:$F$204,0)),IF(AK1367="","番号なし",AK1367)))</f>
        <v/>
      </c>
      <c r="D1367" s="47" t="n"/>
      <c r="E1367" s="47" t="n"/>
      <c r="F1367" s="47" t="n"/>
      <c r="G1367" s="47" t="n"/>
      <c r="H1367" s="47" t="n"/>
      <c r="I1367" s="47" t="n"/>
      <c r="J1367" s="47" t="n"/>
      <c r="K1367" s="47" t="n"/>
      <c r="L1367" s="47" t="n"/>
      <c r="M1367" s="47" t="n"/>
      <c r="N1367" s="47" t="n"/>
      <c r="O1367" s="47" t="n"/>
      <c r="P1367" s="47" t="n"/>
      <c r="Q1367" s="47" t="n"/>
      <c r="R1367" s="47" t="n"/>
      <c r="S1367" s="47" t="n"/>
      <c r="T1367" s="47" t="n"/>
      <c r="U1367" s="53" t="n"/>
      <c r="V1367" s="53" t="n"/>
      <c r="W1367" s="47" t="n"/>
      <c r="X1367" s="47" t="n"/>
      <c r="Y1367" s="47" t="n"/>
      <c r="Z1367" s="47" t="n"/>
      <c r="AA1367" s="47" t="n"/>
      <c r="AB1367" s="47" t="n"/>
      <c r="AC1367" s="47" t="n"/>
      <c r="AD1367" s="47" t="n"/>
      <c r="AE1367" s="47" t="n"/>
      <c r="AF1367" s="20">
        <f>IF(A1367="","",YEAR(EDATE(A1367,-3)))</f>
        <v/>
      </c>
      <c r="AG1367" s="20">
        <f>IF(OR(B1367="",'経歴簿'!$C$4=""),"",IF(B1367&amp;""='経歴簿'!$C$4&amp;"",MAX($AG$4:AG1366)+1,""))</f>
        <v/>
      </c>
      <c r="AH1367" s="20">
        <f>IF(A1367="",0,IF(AND(OR('CSV抽出'!$C$4="",A1367&gt;='CSV抽出'!$C$4),OR('CSV抽出'!$C$5="",A1367&lt;='CSV抽出'!$C$5),OR('CSV抽出'!$C$6="すべて",'CSV抽出'!$C$6="",D1367='CSV抽出'!$C$6),OR('CSV抽出'!$C$7="",B1367&amp;""='CSV抽出'!$C$7&amp;"")),1,0))</f>
        <v/>
      </c>
      <c r="AI1367" s="20">
        <f>IF(AH1367=1,SUM($AH$5:AH1367),"")</f>
        <v/>
      </c>
      <c r="AJ1367" s="20">
        <f>IF(OR(S1367="",'報告書'!$C$4=""),"",IF(S1367&amp;""='報告書'!$C$4&amp;"",COUNTIF($S$5:S1367,'報告書'!$C$4),""))</f>
        <v/>
      </c>
      <c r="AK1367" s="20" t="n"/>
      <c r="AL1367" s="47" t="n"/>
      <c r="AM1367" s="47" t="n"/>
      <c r="AN1367" s="53" t="n"/>
      <c r="AO1367" s="47" t="n"/>
      <c r="AP1367" s="47" t="n"/>
      <c r="AQ1367" s="47" t="n"/>
      <c r="AR1367" s="47" t="n"/>
      <c r="AS1367" s="47" t="n"/>
      <c r="AT1367" s="47" t="n"/>
      <c r="AU1367" s="47" t="n"/>
      <c r="AV1367" s="47" t="n"/>
      <c r="AW1367" s="52" t="n"/>
    </row>
    <row r="1368">
      <c r="A1368" s="48" t="n"/>
      <c r="B1368" s="52" t="n"/>
      <c r="C1368" s="47">
        <f>IF(B1368="","",IFERROR(INDEX('隊員マスタ'!$B$5:$B$204,MATCH(B1368&amp;"",'隊員マスタ'!$F$5:$F$204,0)),IF(AK1368="","番号なし",AK1368)))</f>
        <v/>
      </c>
      <c r="D1368" s="47" t="n"/>
      <c r="E1368" s="47" t="n"/>
      <c r="F1368" s="47" t="n"/>
      <c r="G1368" s="47" t="n"/>
      <c r="H1368" s="47" t="n"/>
      <c r="I1368" s="47" t="n"/>
      <c r="J1368" s="47" t="n"/>
      <c r="K1368" s="47" t="n"/>
      <c r="L1368" s="47" t="n"/>
      <c r="M1368" s="47" t="n"/>
      <c r="N1368" s="47" t="n"/>
      <c r="O1368" s="47" t="n"/>
      <c r="P1368" s="47" t="n"/>
      <c r="Q1368" s="47" t="n"/>
      <c r="R1368" s="47" t="n"/>
      <c r="S1368" s="47" t="n"/>
      <c r="T1368" s="47" t="n"/>
      <c r="U1368" s="53" t="n"/>
      <c r="V1368" s="53" t="n"/>
      <c r="W1368" s="47" t="n"/>
      <c r="X1368" s="47" t="n"/>
      <c r="Y1368" s="47" t="n"/>
      <c r="Z1368" s="47" t="n"/>
      <c r="AA1368" s="47" t="n"/>
      <c r="AB1368" s="47" t="n"/>
      <c r="AC1368" s="47" t="n"/>
      <c r="AD1368" s="47" t="n"/>
      <c r="AE1368" s="47" t="n"/>
      <c r="AF1368" s="20">
        <f>IF(A1368="","",YEAR(EDATE(A1368,-3)))</f>
        <v/>
      </c>
      <c r="AG1368" s="20">
        <f>IF(OR(B1368="",'経歴簿'!$C$4=""),"",IF(B1368&amp;""='経歴簿'!$C$4&amp;"",MAX($AG$4:AG1367)+1,""))</f>
        <v/>
      </c>
      <c r="AH1368" s="20">
        <f>IF(A1368="",0,IF(AND(OR('CSV抽出'!$C$4="",A1368&gt;='CSV抽出'!$C$4),OR('CSV抽出'!$C$5="",A1368&lt;='CSV抽出'!$C$5),OR('CSV抽出'!$C$6="すべて",'CSV抽出'!$C$6="",D1368='CSV抽出'!$C$6),OR('CSV抽出'!$C$7="",B1368&amp;""='CSV抽出'!$C$7&amp;"")),1,0))</f>
        <v/>
      </c>
      <c r="AI1368" s="20">
        <f>IF(AH1368=1,SUM($AH$5:AH1368),"")</f>
        <v/>
      </c>
      <c r="AJ1368" s="20">
        <f>IF(OR(S1368="",'報告書'!$C$4=""),"",IF(S1368&amp;""='報告書'!$C$4&amp;"",COUNTIF($S$5:S1368,'報告書'!$C$4),""))</f>
        <v/>
      </c>
      <c r="AK1368" s="20" t="n"/>
      <c r="AL1368" s="47" t="n"/>
      <c r="AM1368" s="47" t="n"/>
      <c r="AN1368" s="53" t="n"/>
      <c r="AO1368" s="47" t="n"/>
      <c r="AP1368" s="47" t="n"/>
      <c r="AQ1368" s="47" t="n"/>
      <c r="AR1368" s="47" t="n"/>
      <c r="AS1368" s="47" t="n"/>
      <c r="AT1368" s="47" t="n"/>
      <c r="AU1368" s="47" t="n"/>
      <c r="AV1368" s="47" t="n"/>
      <c r="AW1368" s="52" t="n"/>
    </row>
    <row r="1369">
      <c r="A1369" s="48" t="n"/>
      <c r="B1369" s="52" t="n"/>
      <c r="C1369" s="47">
        <f>IF(B1369="","",IFERROR(INDEX('隊員マスタ'!$B$5:$B$204,MATCH(B1369&amp;"",'隊員マスタ'!$F$5:$F$204,0)),IF(AK1369="","番号なし",AK1369)))</f>
        <v/>
      </c>
      <c r="D1369" s="47" t="n"/>
      <c r="E1369" s="47" t="n"/>
      <c r="F1369" s="47" t="n"/>
      <c r="G1369" s="47" t="n"/>
      <c r="H1369" s="47" t="n"/>
      <c r="I1369" s="47" t="n"/>
      <c r="J1369" s="47" t="n"/>
      <c r="K1369" s="47" t="n"/>
      <c r="L1369" s="47" t="n"/>
      <c r="M1369" s="47" t="n"/>
      <c r="N1369" s="47" t="n"/>
      <c r="O1369" s="47" t="n"/>
      <c r="P1369" s="47" t="n"/>
      <c r="Q1369" s="47" t="n"/>
      <c r="R1369" s="47" t="n"/>
      <c r="S1369" s="47" t="n"/>
      <c r="T1369" s="47" t="n"/>
      <c r="U1369" s="53" t="n"/>
      <c r="V1369" s="53" t="n"/>
      <c r="W1369" s="47" t="n"/>
      <c r="X1369" s="47" t="n"/>
      <c r="Y1369" s="47" t="n"/>
      <c r="Z1369" s="47" t="n"/>
      <c r="AA1369" s="47" t="n"/>
      <c r="AB1369" s="47" t="n"/>
      <c r="AC1369" s="47" t="n"/>
      <c r="AD1369" s="47" t="n"/>
      <c r="AE1369" s="47" t="n"/>
      <c r="AF1369" s="20">
        <f>IF(A1369="","",YEAR(EDATE(A1369,-3)))</f>
        <v/>
      </c>
      <c r="AG1369" s="20">
        <f>IF(OR(B1369="",'経歴簿'!$C$4=""),"",IF(B1369&amp;""='経歴簿'!$C$4&amp;"",MAX($AG$4:AG1368)+1,""))</f>
        <v/>
      </c>
      <c r="AH1369" s="20">
        <f>IF(A1369="",0,IF(AND(OR('CSV抽出'!$C$4="",A1369&gt;='CSV抽出'!$C$4),OR('CSV抽出'!$C$5="",A1369&lt;='CSV抽出'!$C$5),OR('CSV抽出'!$C$6="すべて",'CSV抽出'!$C$6="",D1369='CSV抽出'!$C$6),OR('CSV抽出'!$C$7="",B1369&amp;""='CSV抽出'!$C$7&amp;"")),1,0))</f>
        <v/>
      </c>
      <c r="AI1369" s="20">
        <f>IF(AH1369=1,SUM($AH$5:AH1369),"")</f>
        <v/>
      </c>
      <c r="AJ1369" s="20">
        <f>IF(OR(S1369="",'報告書'!$C$4=""),"",IF(S1369&amp;""='報告書'!$C$4&amp;"",COUNTIF($S$5:S1369,'報告書'!$C$4),""))</f>
        <v/>
      </c>
      <c r="AK1369" s="20" t="n"/>
      <c r="AL1369" s="47" t="n"/>
      <c r="AM1369" s="47" t="n"/>
      <c r="AN1369" s="53" t="n"/>
      <c r="AO1369" s="47" t="n"/>
      <c r="AP1369" s="47" t="n"/>
      <c r="AQ1369" s="47" t="n"/>
      <c r="AR1369" s="47" t="n"/>
      <c r="AS1369" s="47" t="n"/>
      <c r="AT1369" s="47" t="n"/>
      <c r="AU1369" s="47" t="n"/>
      <c r="AV1369" s="47" t="n"/>
      <c r="AW1369" s="52" t="n"/>
    </row>
    <row r="1370">
      <c r="A1370" s="48" t="n"/>
      <c r="B1370" s="52" t="n"/>
      <c r="C1370" s="47">
        <f>IF(B1370="","",IFERROR(INDEX('隊員マスタ'!$B$5:$B$204,MATCH(B1370&amp;"",'隊員マスタ'!$F$5:$F$204,0)),IF(AK1370="","番号なし",AK1370)))</f>
        <v/>
      </c>
      <c r="D1370" s="47" t="n"/>
      <c r="E1370" s="47" t="n"/>
      <c r="F1370" s="47" t="n"/>
      <c r="G1370" s="47" t="n"/>
      <c r="H1370" s="47" t="n"/>
      <c r="I1370" s="47" t="n"/>
      <c r="J1370" s="47" t="n"/>
      <c r="K1370" s="47" t="n"/>
      <c r="L1370" s="47" t="n"/>
      <c r="M1370" s="47" t="n"/>
      <c r="N1370" s="47" t="n"/>
      <c r="O1370" s="47" t="n"/>
      <c r="P1370" s="47" t="n"/>
      <c r="Q1370" s="47" t="n"/>
      <c r="R1370" s="47" t="n"/>
      <c r="S1370" s="47" t="n"/>
      <c r="T1370" s="47" t="n"/>
      <c r="U1370" s="53" t="n"/>
      <c r="V1370" s="53" t="n"/>
      <c r="W1370" s="47" t="n"/>
      <c r="X1370" s="47" t="n"/>
      <c r="Y1370" s="47" t="n"/>
      <c r="Z1370" s="47" t="n"/>
      <c r="AA1370" s="47" t="n"/>
      <c r="AB1370" s="47" t="n"/>
      <c r="AC1370" s="47" t="n"/>
      <c r="AD1370" s="47" t="n"/>
      <c r="AE1370" s="47" t="n"/>
      <c r="AF1370" s="20">
        <f>IF(A1370="","",YEAR(EDATE(A1370,-3)))</f>
        <v/>
      </c>
      <c r="AG1370" s="20">
        <f>IF(OR(B1370="",'経歴簿'!$C$4=""),"",IF(B1370&amp;""='経歴簿'!$C$4&amp;"",MAX($AG$4:AG1369)+1,""))</f>
        <v/>
      </c>
      <c r="AH1370" s="20">
        <f>IF(A1370="",0,IF(AND(OR('CSV抽出'!$C$4="",A1370&gt;='CSV抽出'!$C$4),OR('CSV抽出'!$C$5="",A1370&lt;='CSV抽出'!$C$5),OR('CSV抽出'!$C$6="すべて",'CSV抽出'!$C$6="",D1370='CSV抽出'!$C$6),OR('CSV抽出'!$C$7="",B1370&amp;""='CSV抽出'!$C$7&amp;"")),1,0))</f>
        <v/>
      </c>
      <c r="AI1370" s="20">
        <f>IF(AH1370=1,SUM($AH$5:AH1370),"")</f>
        <v/>
      </c>
      <c r="AJ1370" s="20">
        <f>IF(OR(S1370="",'報告書'!$C$4=""),"",IF(S1370&amp;""='報告書'!$C$4&amp;"",COUNTIF($S$5:S1370,'報告書'!$C$4),""))</f>
        <v/>
      </c>
      <c r="AK1370" s="20" t="n"/>
      <c r="AL1370" s="47" t="n"/>
      <c r="AM1370" s="47" t="n"/>
      <c r="AN1370" s="53" t="n"/>
      <c r="AO1370" s="47" t="n"/>
      <c r="AP1370" s="47" t="n"/>
      <c r="AQ1370" s="47" t="n"/>
      <c r="AR1370" s="47" t="n"/>
      <c r="AS1370" s="47" t="n"/>
      <c r="AT1370" s="47" t="n"/>
      <c r="AU1370" s="47" t="n"/>
      <c r="AV1370" s="47" t="n"/>
      <c r="AW1370" s="52" t="n"/>
    </row>
    <row r="1371">
      <c r="A1371" s="48" t="n"/>
      <c r="B1371" s="52" t="n"/>
      <c r="C1371" s="47">
        <f>IF(B1371="","",IFERROR(INDEX('隊員マスタ'!$B$5:$B$204,MATCH(B1371&amp;"",'隊員マスタ'!$F$5:$F$204,0)),IF(AK1371="","番号なし",AK1371)))</f>
        <v/>
      </c>
      <c r="D1371" s="47" t="n"/>
      <c r="E1371" s="47" t="n"/>
      <c r="F1371" s="47" t="n"/>
      <c r="G1371" s="47" t="n"/>
      <c r="H1371" s="47" t="n"/>
      <c r="I1371" s="47" t="n"/>
      <c r="J1371" s="47" t="n"/>
      <c r="K1371" s="47" t="n"/>
      <c r="L1371" s="47" t="n"/>
      <c r="M1371" s="47" t="n"/>
      <c r="N1371" s="47" t="n"/>
      <c r="O1371" s="47" t="n"/>
      <c r="P1371" s="47" t="n"/>
      <c r="Q1371" s="47" t="n"/>
      <c r="R1371" s="47" t="n"/>
      <c r="S1371" s="47" t="n"/>
      <c r="T1371" s="47" t="n"/>
      <c r="U1371" s="53" t="n"/>
      <c r="V1371" s="53" t="n"/>
      <c r="W1371" s="47" t="n"/>
      <c r="X1371" s="47" t="n"/>
      <c r="Y1371" s="47" t="n"/>
      <c r="Z1371" s="47" t="n"/>
      <c r="AA1371" s="47" t="n"/>
      <c r="AB1371" s="47" t="n"/>
      <c r="AC1371" s="47" t="n"/>
      <c r="AD1371" s="47" t="n"/>
      <c r="AE1371" s="47" t="n"/>
      <c r="AF1371" s="20">
        <f>IF(A1371="","",YEAR(EDATE(A1371,-3)))</f>
        <v/>
      </c>
      <c r="AG1371" s="20">
        <f>IF(OR(B1371="",'経歴簿'!$C$4=""),"",IF(B1371&amp;""='経歴簿'!$C$4&amp;"",MAX($AG$4:AG1370)+1,""))</f>
        <v/>
      </c>
      <c r="AH1371" s="20">
        <f>IF(A1371="",0,IF(AND(OR('CSV抽出'!$C$4="",A1371&gt;='CSV抽出'!$C$4),OR('CSV抽出'!$C$5="",A1371&lt;='CSV抽出'!$C$5),OR('CSV抽出'!$C$6="すべて",'CSV抽出'!$C$6="",D1371='CSV抽出'!$C$6),OR('CSV抽出'!$C$7="",B1371&amp;""='CSV抽出'!$C$7&amp;"")),1,0))</f>
        <v/>
      </c>
      <c r="AI1371" s="20">
        <f>IF(AH1371=1,SUM($AH$5:AH1371),"")</f>
        <v/>
      </c>
      <c r="AJ1371" s="20">
        <f>IF(OR(S1371="",'報告書'!$C$4=""),"",IF(S1371&amp;""='報告書'!$C$4&amp;"",COUNTIF($S$5:S1371,'報告書'!$C$4),""))</f>
        <v/>
      </c>
      <c r="AK1371" s="20" t="n"/>
      <c r="AL1371" s="47" t="n"/>
      <c r="AM1371" s="47" t="n"/>
      <c r="AN1371" s="53" t="n"/>
      <c r="AO1371" s="47" t="n"/>
      <c r="AP1371" s="47" t="n"/>
      <c r="AQ1371" s="47" t="n"/>
      <c r="AR1371" s="47" t="n"/>
      <c r="AS1371" s="47" t="n"/>
      <c r="AT1371" s="47" t="n"/>
      <c r="AU1371" s="47" t="n"/>
      <c r="AV1371" s="47" t="n"/>
      <c r="AW1371" s="52" t="n"/>
    </row>
    <row r="1372">
      <c r="A1372" s="48" t="n"/>
      <c r="B1372" s="52" t="n"/>
      <c r="C1372" s="47">
        <f>IF(B1372="","",IFERROR(INDEX('隊員マスタ'!$B$5:$B$204,MATCH(B1372&amp;"",'隊員マスタ'!$F$5:$F$204,0)),IF(AK1372="","番号なし",AK1372)))</f>
        <v/>
      </c>
      <c r="D1372" s="47" t="n"/>
      <c r="E1372" s="47" t="n"/>
      <c r="F1372" s="47" t="n"/>
      <c r="G1372" s="47" t="n"/>
      <c r="H1372" s="47" t="n"/>
      <c r="I1372" s="47" t="n"/>
      <c r="J1372" s="47" t="n"/>
      <c r="K1372" s="47" t="n"/>
      <c r="L1372" s="47" t="n"/>
      <c r="M1372" s="47" t="n"/>
      <c r="N1372" s="47" t="n"/>
      <c r="O1372" s="47" t="n"/>
      <c r="P1372" s="47" t="n"/>
      <c r="Q1372" s="47" t="n"/>
      <c r="R1372" s="47" t="n"/>
      <c r="S1372" s="47" t="n"/>
      <c r="T1372" s="47" t="n"/>
      <c r="U1372" s="53" t="n"/>
      <c r="V1372" s="53" t="n"/>
      <c r="W1372" s="47" t="n"/>
      <c r="X1372" s="47" t="n"/>
      <c r="Y1372" s="47" t="n"/>
      <c r="Z1372" s="47" t="n"/>
      <c r="AA1372" s="47" t="n"/>
      <c r="AB1372" s="47" t="n"/>
      <c r="AC1372" s="47" t="n"/>
      <c r="AD1372" s="47" t="n"/>
      <c r="AE1372" s="47" t="n"/>
      <c r="AF1372" s="20">
        <f>IF(A1372="","",YEAR(EDATE(A1372,-3)))</f>
        <v/>
      </c>
      <c r="AG1372" s="20">
        <f>IF(OR(B1372="",'経歴簿'!$C$4=""),"",IF(B1372&amp;""='経歴簿'!$C$4&amp;"",MAX($AG$4:AG1371)+1,""))</f>
        <v/>
      </c>
      <c r="AH1372" s="20">
        <f>IF(A1372="",0,IF(AND(OR('CSV抽出'!$C$4="",A1372&gt;='CSV抽出'!$C$4),OR('CSV抽出'!$C$5="",A1372&lt;='CSV抽出'!$C$5),OR('CSV抽出'!$C$6="すべて",'CSV抽出'!$C$6="",D1372='CSV抽出'!$C$6),OR('CSV抽出'!$C$7="",B1372&amp;""='CSV抽出'!$C$7&amp;"")),1,0))</f>
        <v/>
      </c>
      <c r="AI1372" s="20">
        <f>IF(AH1372=1,SUM($AH$5:AH1372),"")</f>
        <v/>
      </c>
      <c r="AJ1372" s="20">
        <f>IF(OR(S1372="",'報告書'!$C$4=""),"",IF(S1372&amp;""='報告書'!$C$4&amp;"",COUNTIF($S$5:S1372,'報告書'!$C$4),""))</f>
        <v/>
      </c>
      <c r="AK1372" s="20" t="n"/>
      <c r="AL1372" s="47" t="n"/>
      <c r="AM1372" s="47" t="n"/>
      <c r="AN1372" s="53" t="n"/>
      <c r="AO1372" s="47" t="n"/>
      <c r="AP1372" s="47" t="n"/>
      <c r="AQ1372" s="47" t="n"/>
      <c r="AR1372" s="47" t="n"/>
      <c r="AS1372" s="47" t="n"/>
      <c r="AT1372" s="47" t="n"/>
      <c r="AU1372" s="47" t="n"/>
      <c r="AV1372" s="47" t="n"/>
      <c r="AW1372" s="52" t="n"/>
    </row>
    <row r="1373">
      <c r="A1373" s="48" t="n"/>
      <c r="B1373" s="52" t="n"/>
      <c r="C1373" s="47">
        <f>IF(B1373="","",IFERROR(INDEX('隊員マスタ'!$B$5:$B$204,MATCH(B1373&amp;"",'隊員マスタ'!$F$5:$F$204,0)),IF(AK1373="","番号なし",AK1373)))</f>
        <v/>
      </c>
      <c r="D1373" s="47" t="n"/>
      <c r="E1373" s="47" t="n"/>
      <c r="F1373" s="47" t="n"/>
      <c r="G1373" s="47" t="n"/>
      <c r="H1373" s="47" t="n"/>
      <c r="I1373" s="47" t="n"/>
      <c r="J1373" s="47" t="n"/>
      <c r="K1373" s="47" t="n"/>
      <c r="L1373" s="47" t="n"/>
      <c r="M1373" s="47" t="n"/>
      <c r="N1373" s="47" t="n"/>
      <c r="O1373" s="47" t="n"/>
      <c r="P1373" s="47" t="n"/>
      <c r="Q1373" s="47" t="n"/>
      <c r="R1373" s="47" t="n"/>
      <c r="S1373" s="47" t="n"/>
      <c r="T1373" s="47" t="n"/>
      <c r="U1373" s="53" t="n"/>
      <c r="V1373" s="53" t="n"/>
      <c r="W1373" s="47" t="n"/>
      <c r="X1373" s="47" t="n"/>
      <c r="Y1373" s="47" t="n"/>
      <c r="Z1373" s="47" t="n"/>
      <c r="AA1373" s="47" t="n"/>
      <c r="AB1373" s="47" t="n"/>
      <c r="AC1373" s="47" t="n"/>
      <c r="AD1373" s="47" t="n"/>
      <c r="AE1373" s="47" t="n"/>
      <c r="AF1373" s="20">
        <f>IF(A1373="","",YEAR(EDATE(A1373,-3)))</f>
        <v/>
      </c>
      <c r="AG1373" s="20">
        <f>IF(OR(B1373="",'経歴簿'!$C$4=""),"",IF(B1373&amp;""='経歴簿'!$C$4&amp;"",MAX($AG$4:AG1372)+1,""))</f>
        <v/>
      </c>
      <c r="AH1373" s="20">
        <f>IF(A1373="",0,IF(AND(OR('CSV抽出'!$C$4="",A1373&gt;='CSV抽出'!$C$4),OR('CSV抽出'!$C$5="",A1373&lt;='CSV抽出'!$C$5),OR('CSV抽出'!$C$6="すべて",'CSV抽出'!$C$6="",D1373='CSV抽出'!$C$6),OR('CSV抽出'!$C$7="",B1373&amp;""='CSV抽出'!$C$7&amp;"")),1,0))</f>
        <v/>
      </c>
      <c r="AI1373" s="20">
        <f>IF(AH1373=1,SUM($AH$5:AH1373),"")</f>
        <v/>
      </c>
      <c r="AJ1373" s="20">
        <f>IF(OR(S1373="",'報告書'!$C$4=""),"",IF(S1373&amp;""='報告書'!$C$4&amp;"",COUNTIF($S$5:S1373,'報告書'!$C$4),""))</f>
        <v/>
      </c>
      <c r="AK1373" s="20" t="n"/>
      <c r="AL1373" s="47" t="n"/>
      <c r="AM1373" s="47" t="n"/>
      <c r="AN1373" s="53" t="n"/>
      <c r="AO1373" s="47" t="n"/>
      <c r="AP1373" s="47" t="n"/>
      <c r="AQ1373" s="47" t="n"/>
      <c r="AR1373" s="47" t="n"/>
      <c r="AS1373" s="47" t="n"/>
      <c r="AT1373" s="47" t="n"/>
      <c r="AU1373" s="47" t="n"/>
      <c r="AV1373" s="47" t="n"/>
      <c r="AW1373" s="52" t="n"/>
    </row>
    <row r="1374">
      <c r="A1374" s="48" t="n"/>
      <c r="B1374" s="52" t="n"/>
      <c r="C1374" s="47">
        <f>IF(B1374="","",IFERROR(INDEX('隊員マスタ'!$B$5:$B$204,MATCH(B1374&amp;"",'隊員マスタ'!$F$5:$F$204,0)),IF(AK1374="","番号なし",AK1374)))</f>
        <v/>
      </c>
      <c r="D1374" s="47" t="n"/>
      <c r="E1374" s="47" t="n"/>
      <c r="F1374" s="47" t="n"/>
      <c r="G1374" s="47" t="n"/>
      <c r="H1374" s="47" t="n"/>
      <c r="I1374" s="47" t="n"/>
      <c r="J1374" s="47" t="n"/>
      <c r="K1374" s="47" t="n"/>
      <c r="L1374" s="47" t="n"/>
      <c r="M1374" s="47" t="n"/>
      <c r="N1374" s="47" t="n"/>
      <c r="O1374" s="47" t="n"/>
      <c r="P1374" s="47" t="n"/>
      <c r="Q1374" s="47" t="n"/>
      <c r="R1374" s="47" t="n"/>
      <c r="S1374" s="47" t="n"/>
      <c r="T1374" s="47" t="n"/>
      <c r="U1374" s="53" t="n"/>
      <c r="V1374" s="53" t="n"/>
      <c r="W1374" s="47" t="n"/>
      <c r="X1374" s="47" t="n"/>
      <c r="Y1374" s="47" t="n"/>
      <c r="Z1374" s="47" t="n"/>
      <c r="AA1374" s="47" t="n"/>
      <c r="AB1374" s="47" t="n"/>
      <c r="AC1374" s="47" t="n"/>
      <c r="AD1374" s="47" t="n"/>
      <c r="AE1374" s="47" t="n"/>
      <c r="AF1374" s="20">
        <f>IF(A1374="","",YEAR(EDATE(A1374,-3)))</f>
        <v/>
      </c>
      <c r="AG1374" s="20">
        <f>IF(OR(B1374="",'経歴簿'!$C$4=""),"",IF(B1374&amp;""='経歴簿'!$C$4&amp;"",MAX($AG$4:AG1373)+1,""))</f>
        <v/>
      </c>
      <c r="AH1374" s="20">
        <f>IF(A1374="",0,IF(AND(OR('CSV抽出'!$C$4="",A1374&gt;='CSV抽出'!$C$4),OR('CSV抽出'!$C$5="",A1374&lt;='CSV抽出'!$C$5),OR('CSV抽出'!$C$6="すべて",'CSV抽出'!$C$6="",D1374='CSV抽出'!$C$6),OR('CSV抽出'!$C$7="",B1374&amp;""='CSV抽出'!$C$7&amp;"")),1,0))</f>
        <v/>
      </c>
      <c r="AI1374" s="20">
        <f>IF(AH1374=1,SUM($AH$5:AH1374),"")</f>
        <v/>
      </c>
      <c r="AJ1374" s="20">
        <f>IF(OR(S1374="",'報告書'!$C$4=""),"",IF(S1374&amp;""='報告書'!$C$4&amp;"",COUNTIF($S$5:S1374,'報告書'!$C$4),""))</f>
        <v/>
      </c>
      <c r="AK1374" s="20" t="n"/>
      <c r="AL1374" s="47" t="n"/>
      <c r="AM1374" s="47" t="n"/>
      <c r="AN1374" s="53" t="n"/>
      <c r="AO1374" s="47" t="n"/>
      <c r="AP1374" s="47" t="n"/>
      <c r="AQ1374" s="47" t="n"/>
      <c r="AR1374" s="47" t="n"/>
      <c r="AS1374" s="47" t="n"/>
      <c r="AT1374" s="47" t="n"/>
      <c r="AU1374" s="47" t="n"/>
      <c r="AV1374" s="47" t="n"/>
      <c r="AW1374" s="52" t="n"/>
    </row>
    <row r="1375">
      <c r="A1375" s="48" t="n"/>
      <c r="B1375" s="52" t="n"/>
      <c r="C1375" s="47">
        <f>IF(B1375="","",IFERROR(INDEX('隊員マスタ'!$B$5:$B$204,MATCH(B1375&amp;"",'隊員マスタ'!$F$5:$F$204,0)),IF(AK1375="","番号なし",AK1375)))</f>
        <v/>
      </c>
      <c r="D1375" s="47" t="n"/>
      <c r="E1375" s="47" t="n"/>
      <c r="F1375" s="47" t="n"/>
      <c r="G1375" s="47" t="n"/>
      <c r="H1375" s="47" t="n"/>
      <c r="I1375" s="47" t="n"/>
      <c r="J1375" s="47" t="n"/>
      <c r="K1375" s="47" t="n"/>
      <c r="L1375" s="47" t="n"/>
      <c r="M1375" s="47" t="n"/>
      <c r="N1375" s="47" t="n"/>
      <c r="O1375" s="47" t="n"/>
      <c r="P1375" s="47" t="n"/>
      <c r="Q1375" s="47" t="n"/>
      <c r="R1375" s="47" t="n"/>
      <c r="S1375" s="47" t="n"/>
      <c r="T1375" s="47" t="n"/>
      <c r="U1375" s="53" t="n"/>
      <c r="V1375" s="53" t="n"/>
      <c r="W1375" s="47" t="n"/>
      <c r="X1375" s="47" t="n"/>
      <c r="Y1375" s="47" t="n"/>
      <c r="Z1375" s="47" t="n"/>
      <c r="AA1375" s="47" t="n"/>
      <c r="AB1375" s="47" t="n"/>
      <c r="AC1375" s="47" t="n"/>
      <c r="AD1375" s="47" t="n"/>
      <c r="AE1375" s="47" t="n"/>
      <c r="AF1375" s="20">
        <f>IF(A1375="","",YEAR(EDATE(A1375,-3)))</f>
        <v/>
      </c>
      <c r="AG1375" s="20">
        <f>IF(OR(B1375="",'経歴簿'!$C$4=""),"",IF(B1375&amp;""='経歴簿'!$C$4&amp;"",MAX($AG$4:AG1374)+1,""))</f>
        <v/>
      </c>
      <c r="AH1375" s="20">
        <f>IF(A1375="",0,IF(AND(OR('CSV抽出'!$C$4="",A1375&gt;='CSV抽出'!$C$4),OR('CSV抽出'!$C$5="",A1375&lt;='CSV抽出'!$C$5),OR('CSV抽出'!$C$6="すべて",'CSV抽出'!$C$6="",D1375='CSV抽出'!$C$6),OR('CSV抽出'!$C$7="",B1375&amp;""='CSV抽出'!$C$7&amp;"")),1,0))</f>
        <v/>
      </c>
      <c r="AI1375" s="20">
        <f>IF(AH1375=1,SUM($AH$5:AH1375),"")</f>
        <v/>
      </c>
      <c r="AJ1375" s="20">
        <f>IF(OR(S1375="",'報告書'!$C$4=""),"",IF(S1375&amp;""='報告書'!$C$4&amp;"",COUNTIF($S$5:S1375,'報告書'!$C$4),""))</f>
        <v/>
      </c>
      <c r="AK1375" s="20" t="n"/>
      <c r="AL1375" s="47" t="n"/>
      <c r="AM1375" s="47" t="n"/>
      <c r="AN1375" s="53" t="n"/>
      <c r="AO1375" s="47" t="n"/>
      <c r="AP1375" s="47" t="n"/>
      <c r="AQ1375" s="47" t="n"/>
      <c r="AR1375" s="47" t="n"/>
      <c r="AS1375" s="47" t="n"/>
      <c r="AT1375" s="47" t="n"/>
      <c r="AU1375" s="47" t="n"/>
      <c r="AV1375" s="47" t="n"/>
      <c r="AW1375" s="52" t="n"/>
    </row>
    <row r="1376">
      <c r="A1376" s="48" t="n"/>
      <c r="B1376" s="52" t="n"/>
      <c r="C1376" s="47">
        <f>IF(B1376="","",IFERROR(INDEX('隊員マスタ'!$B$5:$B$204,MATCH(B1376&amp;"",'隊員マスタ'!$F$5:$F$204,0)),IF(AK1376="","番号なし",AK1376)))</f>
        <v/>
      </c>
      <c r="D1376" s="47" t="n"/>
      <c r="E1376" s="47" t="n"/>
      <c r="F1376" s="47" t="n"/>
      <c r="G1376" s="47" t="n"/>
      <c r="H1376" s="47" t="n"/>
      <c r="I1376" s="47" t="n"/>
      <c r="J1376" s="47" t="n"/>
      <c r="K1376" s="47" t="n"/>
      <c r="L1376" s="47" t="n"/>
      <c r="M1376" s="47" t="n"/>
      <c r="N1376" s="47" t="n"/>
      <c r="O1376" s="47" t="n"/>
      <c r="P1376" s="47" t="n"/>
      <c r="Q1376" s="47" t="n"/>
      <c r="R1376" s="47" t="n"/>
      <c r="S1376" s="47" t="n"/>
      <c r="T1376" s="47" t="n"/>
      <c r="U1376" s="53" t="n"/>
      <c r="V1376" s="53" t="n"/>
      <c r="W1376" s="47" t="n"/>
      <c r="X1376" s="47" t="n"/>
      <c r="Y1376" s="47" t="n"/>
      <c r="Z1376" s="47" t="n"/>
      <c r="AA1376" s="47" t="n"/>
      <c r="AB1376" s="47" t="n"/>
      <c r="AC1376" s="47" t="n"/>
      <c r="AD1376" s="47" t="n"/>
      <c r="AE1376" s="47" t="n"/>
      <c r="AF1376" s="20">
        <f>IF(A1376="","",YEAR(EDATE(A1376,-3)))</f>
        <v/>
      </c>
      <c r="AG1376" s="20">
        <f>IF(OR(B1376="",'経歴簿'!$C$4=""),"",IF(B1376&amp;""='経歴簿'!$C$4&amp;"",MAX($AG$4:AG1375)+1,""))</f>
        <v/>
      </c>
      <c r="AH1376" s="20">
        <f>IF(A1376="",0,IF(AND(OR('CSV抽出'!$C$4="",A1376&gt;='CSV抽出'!$C$4),OR('CSV抽出'!$C$5="",A1376&lt;='CSV抽出'!$C$5),OR('CSV抽出'!$C$6="すべて",'CSV抽出'!$C$6="",D1376='CSV抽出'!$C$6),OR('CSV抽出'!$C$7="",B1376&amp;""='CSV抽出'!$C$7&amp;"")),1,0))</f>
        <v/>
      </c>
      <c r="AI1376" s="20">
        <f>IF(AH1376=1,SUM($AH$5:AH1376),"")</f>
        <v/>
      </c>
      <c r="AJ1376" s="20">
        <f>IF(OR(S1376="",'報告書'!$C$4=""),"",IF(S1376&amp;""='報告書'!$C$4&amp;"",COUNTIF($S$5:S1376,'報告書'!$C$4),""))</f>
        <v/>
      </c>
      <c r="AK1376" s="20" t="n"/>
      <c r="AL1376" s="47" t="n"/>
      <c r="AM1376" s="47" t="n"/>
      <c r="AN1376" s="53" t="n"/>
      <c r="AO1376" s="47" t="n"/>
      <c r="AP1376" s="47" t="n"/>
      <c r="AQ1376" s="47" t="n"/>
      <c r="AR1376" s="47" t="n"/>
      <c r="AS1376" s="47" t="n"/>
      <c r="AT1376" s="47" t="n"/>
      <c r="AU1376" s="47" t="n"/>
      <c r="AV1376" s="47" t="n"/>
      <c r="AW1376" s="52" t="n"/>
    </row>
    <row r="1377">
      <c r="A1377" s="48" t="n"/>
      <c r="B1377" s="52" t="n"/>
      <c r="C1377" s="47">
        <f>IF(B1377="","",IFERROR(INDEX('隊員マスタ'!$B$5:$B$204,MATCH(B1377&amp;"",'隊員マスタ'!$F$5:$F$204,0)),IF(AK1377="","番号なし",AK1377)))</f>
        <v/>
      </c>
      <c r="D1377" s="47" t="n"/>
      <c r="E1377" s="47" t="n"/>
      <c r="F1377" s="47" t="n"/>
      <c r="G1377" s="47" t="n"/>
      <c r="H1377" s="47" t="n"/>
      <c r="I1377" s="47" t="n"/>
      <c r="J1377" s="47" t="n"/>
      <c r="K1377" s="47" t="n"/>
      <c r="L1377" s="47" t="n"/>
      <c r="M1377" s="47" t="n"/>
      <c r="N1377" s="47" t="n"/>
      <c r="O1377" s="47" t="n"/>
      <c r="P1377" s="47" t="n"/>
      <c r="Q1377" s="47" t="n"/>
      <c r="R1377" s="47" t="n"/>
      <c r="S1377" s="47" t="n"/>
      <c r="T1377" s="47" t="n"/>
      <c r="U1377" s="53" t="n"/>
      <c r="V1377" s="53" t="n"/>
      <c r="W1377" s="47" t="n"/>
      <c r="X1377" s="47" t="n"/>
      <c r="Y1377" s="47" t="n"/>
      <c r="Z1377" s="47" t="n"/>
      <c r="AA1377" s="47" t="n"/>
      <c r="AB1377" s="47" t="n"/>
      <c r="AC1377" s="47" t="n"/>
      <c r="AD1377" s="47" t="n"/>
      <c r="AE1377" s="47" t="n"/>
      <c r="AF1377" s="20">
        <f>IF(A1377="","",YEAR(EDATE(A1377,-3)))</f>
        <v/>
      </c>
      <c r="AG1377" s="20">
        <f>IF(OR(B1377="",'経歴簿'!$C$4=""),"",IF(B1377&amp;""='経歴簿'!$C$4&amp;"",MAX($AG$4:AG1376)+1,""))</f>
        <v/>
      </c>
      <c r="AH1377" s="20">
        <f>IF(A1377="",0,IF(AND(OR('CSV抽出'!$C$4="",A1377&gt;='CSV抽出'!$C$4),OR('CSV抽出'!$C$5="",A1377&lt;='CSV抽出'!$C$5),OR('CSV抽出'!$C$6="すべて",'CSV抽出'!$C$6="",D1377='CSV抽出'!$C$6),OR('CSV抽出'!$C$7="",B1377&amp;""='CSV抽出'!$C$7&amp;"")),1,0))</f>
        <v/>
      </c>
      <c r="AI1377" s="20">
        <f>IF(AH1377=1,SUM($AH$5:AH1377),"")</f>
        <v/>
      </c>
      <c r="AJ1377" s="20">
        <f>IF(OR(S1377="",'報告書'!$C$4=""),"",IF(S1377&amp;""='報告書'!$C$4&amp;"",COUNTIF($S$5:S1377,'報告書'!$C$4),""))</f>
        <v/>
      </c>
      <c r="AK1377" s="20" t="n"/>
      <c r="AL1377" s="47" t="n"/>
      <c r="AM1377" s="47" t="n"/>
      <c r="AN1377" s="53" t="n"/>
      <c r="AO1377" s="47" t="n"/>
      <c r="AP1377" s="47" t="n"/>
      <c r="AQ1377" s="47" t="n"/>
      <c r="AR1377" s="47" t="n"/>
      <c r="AS1377" s="47" t="n"/>
      <c r="AT1377" s="47" t="n"/>
      <c r="AU1377" s="47" t="n"/>
      <c r="AV1377" s="47" t="n"/>
      <c r="AW1377" s="52" t="n"/>
    </row>
    <row r="1378">
      <c r="A1378" s="48" t="n"/>
      <c r="B1378" s="52" t="n"/>
      <c r="C1378" s="47">
        <f>IF(B1378="","",IFERROR(INDEX('隊員マスタ'!$B$5:$B$204,MATCH(B1378&amp;"",'隊員マスタ'!$F$5:$F$204,0)),IF(AK1378="","番号なし",AK1378)))</f>
        <v/>
      </c>
      <c r="D1378" s="47" t="n"/>
      <c r="E1378" s="47" t="n"/>
      <c r="F1378" s="47" t="n"/>
      <c r="G1378" s="47" t="n"/>
      <c r="H1378" s="47" t="n"/>
      <c r="I1378" s="47" t="n"/>
      <c r="J1378" s="47" t="n"/>
      <c r="K1378" s="47" t="n"/>
      <c r="L1378" s="47" t="n"/>
      <c r="M1378" s="47" t="n"/>
      <c r="N1378" s="47" t="n"/>
      <c r="O1378" s="47" t="n"/>
      <c r="P1378" s="47" t="n"/>
      <c r="Q1378" s="47" t="n"/>
      <c r="R1378" s="47" t="n"/>
      <c r="S1378" s="47" t="n"/>
      <c r="T1378" s="47" t="n"/>
      <c r="U1378" s="53" t="n"/>
      <c r="V1378" s="53" t="n"/>
      <c r="W1378" s="47" t="n"/>
      <c r="X1378" s="47" t="n"/>
      <c r="Y1378" s="47" t="n"/>
      <c r="Z1378" s="47" t="n"/>
      <c r="AA1378" s="47" t="n"/>
      <c r="AB1378" s="47" t="n"/>
      <c r="AC1378" s="47" t="n"/>
      <c r="AD1378" s="47" t="n"/>
      <c r="AE1378" s="47" t="n"/>
      <c r="AF1378" s="20">
        <f>IF(A1378="","",YEAR(EDATE(A1378,-3)))</f>
        <v/>
      </c>
      <c r="AG1378" s="20">
        <f>IF(OR(B1378="",'経歴簿'!$C$4=""),"",IF(B1378&amp;""='経歴簿'!$C$4&amp;"",MAX($AG$4:AG1377)+1,""))</f>
        <v/>
      </c>
      <c r="AH1378" s="20">
        <f>IF(A1378="",0,IF(AND(OR('CSV抽出'!$C$4="",A1378&gt;='CSV抽出'!$C$4),OR('CSV抽出'!$C$5="",A1378&lt;='CSV抽出'!$C$5),OR('CSV抽出'!$C$6="すべて",'CSV抽出'!$C$6="",D1378='CSV抽出'!$C$6),OR('CSV抽出'!$C$7="",B1378&amp;""='CSV抽出'!$C$7&amp;"")),1,0))</f>
        <v/>
      </c>
      <c r="AI1378" s="20">
        <f>IF(AH1378=1,SUM($AH$5:AH1378),"")</f>
        <v/>
      </c>
      <c r="AJ1378" s="20">
        <f>IF(OR(S1378="",'報告書'!$C$4=""),"",IF(S1378&amp;""='報告書'!$C$4&amp;"",COUNTIF($S$5:S1378,'報告書'!$C$4),""))</f>
        <v/>
      </c>
      <c r="AK1378" s="20" t="n"/>
      <c r="AL1378" s="47" t="n"/>
      <c r="AM1378" s="47" t="n"/>
      <c r="AN1378" s="53" t="n"/>
      <c r="AO1378" s="47" t="n"/>
      <c r="AP1378" s="47" t="n"/>
      <c r="AQ1378" s="47" t="n"/>
      <c r="AR1378" s="47" t="n"/>
      <c r="AS1378" s="47" t="n"/>
      <c r="AT1378" s="47" t="n"/>
      <c r="AU1378" s="47" t="n"/>
      <c r="AV1378" s="47" t="n"/>
      <c r="AW1378" s="52" t="n"/>
    </row>
    <row r="1379">
      <c r="A1379" s="48" t="n"/>
      <c r="B1379" s="52" t="n"/>
      <c r="C1379" s="47">
        <f>IF(B1379="","",IFERROR(INDEX('隊員マスタ'!$B$5:$B$204,MATCH(B1379&amp;"",'隊員マスタ'!$F$5:$F$204,0)),IF(AK1379="","番号なし",AK1379)))</f>
        <v/>
      </c>
      <c r="D1379" s="47" t="n"/>
      <c r="E1379" s="47" t="n"/>
      <c r="F1379" s="47" t="n"/>
      <c r="G1379" s="47" t="n"/>
      <c r="H1379" s="47" t="n"/>
      <c r="I1379" s="47" t="n"/>
      <c r="J1379" s="47" t="n"/>
      <c r="K1379" s="47" t="n"/>
      <c r="L1379" s="47" t="n"/>
      <c r="M1379" s="47" t="n"/>
      <c r="N1379" s="47" t="n"/>
      <c r="O1379" s="47" t="n"/>
      <c r="P1379" s="47" t="n"/>
      <c r="Q1379" s="47" t="n"/>
      <c r="R1379" s="47" t="n"/>
      <c r="S1379" s="47" t="n"/>
      <c r="T1379" s="47" t="n"/>
      <c r="U1379" s="53" t="n"/>
      <c r="V1379" s="53" t="n"/>
      <c r="W1379" s="47" t="n"/>
      <c r="X1379" s="47" t="n"/>
      <c r="Y1379" s="47" t="n"/>
      <c r="Z1379" s="47" t="n"/>
      <c r="AA1379" s="47" t="n"/>
      <c r="AB1379" s="47" t="n"/>
      <c r="AC1379" s="47" t="n"/>
      <c r="AD1379" s="47" t="n"/>
      <c r="AE1379" s="47" t="n"/>
      <c r="AF1379" s="20">
        <f>IF(A1379="","",YEAR(EDATE(A1379,-3)))</f>
        <v/>
      </c>
      <c r="AG1379" s="20">
        <f>IF(OR(B1379="",'経歴簿'!$C$4=""),"",IF(B1379&amp;""='経歴簿'!$C$4&amp;"",MAX($AG$4:AG1378)+1,""))</f>
        <v/>
      </c>
      <c r="AH1379" s="20">
        <f>IF(A1379="",0,IF(AND(OR('CSV抽出'!$C$4="",A1379&gt;='CSV抽出'!$C$4),OR('CSV抽出'!$C$5="",A1379&lt;='CSV抽出'!$C$5),OR('CSV抽出'!$C$6="すべて",'CSV抽出'!$C$6="",D1379='CSV抽出'!$C$6),OR('CSV抽出'!$C$7="",B1379&amp;""='CSV抽出'!$C$7&amp;"")),1,0))</f>
        <v/>
      </c>
      <c r="AI1379" s="20">
        <f>IF(AH1379=1,SUM($AH$5:AH1379),"")</f>
        <v/>
      </c>
      <c r="AJ1379" s="20">
        <f>IF(OR(S1379="",'報告書'!$C$4=""),"",IF(S1379&amp;""='報告書'!$C$4&amp;"",COUNTIF($S$5:S1379,'報告書'!$C$4),""))</f>
        <v/>
      </c>
      <c r="AK1379" s="20" t="n"/>
      <c r="AL1379" s="47" t="n"/>
      <c r="AM1379" s="47" t="n"/>
      <c r="AN1379" s="53" t="n"/>
      <c r="AO1379" s="47" t="n"/>
      <c r="AP1379" s="47" t="n"/>
      <c r="AQ1379" s="47" t="n"/>
      <c r="AR1379" s="47" t="n"/>
      <c r="AS1379" s="47" t="n"/>
      <c r="AT1379" s="47" t="n"/>
      <c r="AU1379" s="47" t="n"/>
      <c r="AV1379" s="47" t="n"/>
      <c r="AW1379" s="52" t="n"/>
    </row>
    <row r="1380">
      <c r="A1380" s="48" t="n"/>
      <c r="B1380" s="52" t="n"/>
      <c r="C1380" s="47">
        <f>IF(B1380="","",IFERROR(INDEX('隊員マスタ'!$B$5:$B$204,MATCH(B1380&amp;"",'隊員マスタ'!$F$5:$F$204,0)),IF(AK1380="","番号なし",AK1380)))</f>
        <v/>
      </c>
      <c r="D1380" s="47" t="n"/>
      <c r="E1380" s="47" t="n"/>
      <c r="F1380" s="47" t="n"/>
      <c r="G1380" s="47" t="n"/>
      <c r="H1380" s="47" t="n"/>
      <c r="I1380" s="47" t="n"/>
      <c r="J1380" s="47" t="n"/>
      <c r="K1380" s="47" t="n"/>
      <c r="L1380" s="47" t="n"/>
      <c r="M1380" s="47" t="n"/>
      <c r="N1380" s="47" t="n"/>
      <c r="O1380" s="47" t="n"/>
      <c r="P1380" s="47" t="n"/>
      <c r="Q1380" s="47" t="n"/>
      <c r="R1380" s="47" t="n"/>
      <c r="S1380" s="47" t="n"/>
      <c r="T1380" s="47" t="n"/>
      <c r="U1380" s="53" t="n"/>
      <c r="V1380" s="53" t="n"/>
      <c r="W1380" s="47" t="n"/>
      <c r="X1380" s="47" t="n"/>
      <c r="Y1380" s="47" t="n"/>
      <c r="Z1380" s="47" t="n"/>
      <c r="AA1380" s="47" t="n"/>
      <c r="AB1380" s="47" t="n"/>
      <c r="AC1380" s="47" t="n"/>
      <c r="AD1380" s="47" t="n"/>
      <c r="AE1380" s="47" t="n"/>
      <c r="AF1380" s="20">
        <f>IF(A1380="","",YEAR(EDATE(A1380,-3)))</f>
        <v/>
      </c>
      <c r="AG1380" s="20">
        <f>IF(OR(B1380="",'経歴簿'!$C$4=""),"",IF(B1380&amp;""='経歴簿'!$C$4&amp;"",MAX($AG$4:AG1379)+1,""))</f>
        <v/>
      </c>
      <c r="AH1380" s="20">
        <f>IF(A1380="",0,IF(AND(OR('CSV抽出'!$C$4="",A1380&gt;='CSV抽出'!$C$4),OR('CSV抽出'!$C$5="",A1380&lt;='CSV抽出'!$C$5),OR('CSV抽出'!$C$6="すべて",'CSV抽出'!$C$6="",D1380='CSV抽出'!$C$6),OR('CSV抽出'!$C$7="",B1380&amp;""='CSV抽出'!$C$7&amp;"")),1,0))</f>
        <v/>
      </c>
      <c r="AI1380" s="20">
        <f>IF(AH1380=1,SUM($AH$5:AH1380),"")</f>
        <v/>
      </c>
      <c r="AJ1380" s="20">
        <f>IF(OR(S1380="",'報告書'!$C$4=""),"",IF(S1380&amp;""='報告書'!$C$4&amp;"",COUNTIF($S$5:S1380,'報告書'!$C$4),""))</f>
        <v/>
      </c>
      <c r="AK1380" s="20" t="n"/>
      <c r="AL1380" s="47" t="n"/>
      <c r="AM1380" s="47" t="n"/>
      <c r="AN1380" s="53" t="n"/>
      <c r="AO1380" s="47" t="n"/>
      <c r="AP1380" s="47" t="n"/>
      <c r="AQ1380" s="47" t="n"/>
      <c r="AR1380" s="47" t="n"/>
      <c r="AS1380" s="47" t="n"/>
      <c r="AT1380" s="47" t="n"/>
      <c r="AU1380" s="47" t="n"/>
      <c r="AV1380" s="47" t="n"/>
      <c r="AW1380" s="52" t="n"/>
    </row>
    <row r="1381">
      <c r="A1381" s="48" t="n"/>
      <c r="B1381" s="52" t="n"/>
      <c r="C1381" s="47">
        <f>IF(B1381="","",IFERROR(INDEX('隊員マスタ'!$B$5:$B$204,MATCH(B1381&amp;"",'隊員マスタ'!$F$5:$F$204,0)),IF(AK1381="","番号なし",AK1381)))</f>
        <v/>
      </c>
      <c r="D1381" s="47" t="n"/>
      <c r="E1381" s="47" t="n"/>
      <c r="F1381" s="47" t="n"/>
      <c r="G1381" s="47" t="n"/>
      <c r="H1381" s="47" t="n"/>
      <c r="I1381" s="47" t="n"/>
      <c r="J1381" s="47" t="n"/>
      <c r="K1381" s="47" t="n"/>
      <c r="L1381" s="47" t="n"/>
      <c r="M1381" s="47" t="n"/>
      <c r="N1381" s="47" t="n"/>
      <c r="O1381" s="47" t="n"/>
      <c r="P1381" s="47" t="n"/>
      <c r="Q1381" s="47" t="n"/>
      <c r="R1381" s="47" t="n"/>
      <c r="S1381" s="47" t="n"/>
      <c r="T1381" s="47" t="n"/>
      <c r="U1381" s="53" t="n"/>
      <c r="V1381" s="53" t="n"/>
      <c r="W1381" s="47" t="n"/>
      <c r="X1381" s="47" t="n"/>
      <c r="Y1381" s="47" t="n"/>
      <c r="Z1381" s="47" t="n"/>
      <c r="AA1381" s="47" t="n"/>
      <c r="AB1381" s="47" t="n"/>
      <c r="AC1381" s="47" t="n"/>
      <c r="AD1381" s="47" t="n"/>
      <c r="AE1381" s="47" t="n"/>
      <c r="AF1381" s="20">
        <f>IF(A1381="","",YEAR(EDATE(A1381,-3)))</f>
        <v/>
      </c>
      <c r="AG1381" s="20">
        <f>IF(OR(B1381="",'経歴簿'!$C$4=""),"",IF(B1381&amp;""='経歴簿'!$C$4&amp;"",MAX($AG$4:AG1380)+1,""))</f>
        <v/>
      </c>
      <c r="AH1381" s="20">
        <f>IF(A1381="",0,IF(AND(OR('CSV抽出'!$C$4="",A1381&gt;='CSV抽出'!$C$4),OR('CSV抽出'!$C$5="",A1381&lt;='CSV抽出'!$C$5),OR('CSV抽出'!$C$6="すべて",'CSV抽出'!$C$6="",D1381='CSV抽出'!$C$6),OR('CSV抽出'!$C$7="",B1381&amp;""='CSV抽出'!$C$7&amp;"")),1,0))</f>
        <v/>
      </c>
      <c r="AI1381" s="20">
        <f>IF(AH1381=1,SUM($AH$5:AH1381),"")</f>
        <v/>
      </c>
      <c r="AJ1381" s="20">
        <f>IF(OR(S1381="",'報告書'!$C$4=""),"",IF(S1381&amp;""='報告書'!$C$4&amp;"",COUNTIF($S$5:S1381,'報告書'!$C$4),""))</f>
        <v/>
      </c>
      <c r="AK1381" s="20" t="n"/>
      <c r="AL1381" s="47" t="n"/>
      <c r="AM1381" s="47" t="n"/>
      <c r="AN1381" s="53" t="n"/>
      <c r="AO1381" s="47" t="n"/>
      <c r="AP1381" s="47" t="n"/>
      <c r="AQ1381" s="47" t="n"/>
      <c r="AR1381" s="47" t="n"/>
      <c r="AS1381" s="47" t="n"/>
      <c r="AT1381" s="47" t="n"/>
      <c r="AU1381" s="47" t="n"/>
      <c r="AV1381" s="47" t="n"/>
      <c r="AW1381" s="52" t="n"/>
    </row>
    <row r="1382">
      <c r="A1382" s="48" t="n"/>
      <c r="B1382" s="52" t="n"/>
      <c r="C1382" s="47">
        <f>IF(B1382="","",IFERROR(INDEX('隊員マスタ'!$B$5:$B$204,MATCH(B1382&amp;"",'隊員マスタ'!$F$5:$F$204,0)),IF(AK1382="","番号なし",AK1382)))</f>
        <v/>
      </c>
      <c r="D1382" s="47" t="n"/>
      <c r="E1382" s="47" t="n"/>
      <c r="F1382" s="47" t="n"/>
      <c r="G1382" s="47" t="n"/>
      <c r="H1382" s="47" t="n"/>
      <c r="I1382" s="47" t="n"/>
      <c r="J1382" s="47" t="n"/>
      <c r="K1382" s="47" t="n"/>
      <c r="L1382" s="47" t="n"/>
      <c r="M1382" s="47" t="n"/>
      <c r="N1382" s="47" t="n"/>
      <c r="O1382" s="47" t="n"/>
      <c r="P1382" s="47" t="n"/>
      <c r="Q1382" s="47" t="n"/>
      <c r="R1382" s="47" t="n"/>
      <c r="S1382" s="47" t="n"/>
      <c r="T1382" s="47" t="n"/>
      <c r="U1382" s="53" t="n"/>
      <c r="V1382" s="53" t="n"/>
      <c r="W1382" s="47" t="n"/>
      <c r="X1382" s="47" t="n"/>
      <c r="Y1382" s="47" t="n"/>
      <c r="Z1382" s="47" t="n"/>
      <c r="AA1382" s="47" t="n"/>
      <c r="AB1382" s="47" t="n"/>
      <c r="AC1382" s="47" t="n"/>
      <c r="AD1382" s="47" t="n"/>
      <c r="AE1382" s="47" t="n"/>
      <c r="AF1382" s="20">
        <f>IF(A1382="","",YEAR(EDATE(A1382,-3)))</f>
        <v/>
      </c>
      <c r="AG1382" s="20">
        <f>IF(OR(B1382="",'経歴簿'!$C$4=""),"",IF(B1382&amp;""='経歴簿'!$C$4&amp;"",MAX($AG$4:AG1381)+1,""))</f>
        <v/>
      </c>
      <c r="AH1382" s="20">
        <f>IF(A1382="",0,IF(AND(OR('CSV抽出'!$C$4="",A1382&gt;='CSV抽出'!$C$4),OR('CSV抽出'!$C$5="",A1382&lt;='CSV抽出'!$C$5),OR('CSV抽出'!$C$6="すべて",'CSV抽出'!$C$6="",D1382='CSV抽出'!$C$6),OR('CSV抽出'!$C$7="",B1382&amp;""='CSV抽出'!$C$7&amp;"")),1,0))</f>
        <v/>
      </c>
      <c r="AI1382" s="20">
        <f>IF(AH1382=1,SUM($AH$5:AH1382),"")</f>
        <v/>
      </c>
      <c r="AJ1382" s="20">
        <f>IF(OR(S1382="",'報告書'!$C$4=""),"",IF(S1382&amp;""='報告書'!$C$4&amp;"",COUNTIF($S$5:S1382,'報告書'!$C$4),""))</f>
        <v/>
      </c>
      <c r="AK1382" s="20" t="n"/>
      <c r="AL1382" s="47" t="n"/>
      <c r="AM1382" s="47" t="n"/>
      <c r="AN1382" s="53" t="n"/>
      <c r="AO1382" s="47" t="n"/>
      <c r="AP1382" s="47" t="n"/>
      <c r="AQ1382" s="47" t="n"/>
      <c r="AR1382" s="47" t="n"/>
      <c r="AS1382" s="47" t="n"/>
      <c r="AT1382" s="47" t="n"/>
      <c r="AU1382" s="47" t="n"/>
      <c r="AV1382" s="47" t="n"/>
      <c r="AW1382" s="52" t="n"/>
    </row>
    <row r="1383">
      <c r="A1383" s="48" t="n"/>
      <c r="B1383" s="52" t="n"/>
      <c r="C1383" s="47">
        <f>IF(B1383="","",IFERROR(INDEX('隊員マスタ'!$B$5:$B$204,MATCH(B1383&amp;"",'隊員マスタ'!$F$5:$F$204,0)),IF(AK1383="","番号なし",AK1383)))</f>
        <v/>
      </c>
      <c r="D1383" s="47" t="n"/>
      <c r="E1383" s="47" t="n"/>
      <c r="F1383" s="47" t="n"/>
      <c r="G1383" s="47" t="n"/>
      <c r="H1383" s="47" t="n"/>
      <c r="I1383" s="47" t="n"/>
      <c r="J1383" s="47" t="n"/>
      <c r="K1383" s="47" t="n"/>
      <c r="L1383" s="47" t="n"/>
      <c r="M1383" s="47" t="n"/>
      <c r="N1383" s="47" t="n"/>
      <c r="O1383" s="47" t="n"/>
      <c r="P1383" s="47" t="n"/>
      <c r="Q1383" s="47" t="n"/>
      <c r="R1383" s="47" t="n"/>
      <c r="S1383" s="47" t="n"/>
      <c r="T1383" s="47" t="n"/>
      <c r="U1383" s="53" t="n"/>
      <c r="V1383" s="53" t="n"/>
      <c r="W1383" s="47" t="n"/>
      <c r="X1383" s="47" t="n"/>
      <c r="Y1383" s="47" t="n"/>
      <c r="Z1383" s="47" t="n"/>
      <c r="AA1383" s="47" t="n"/>
      <c r="AB1383" s="47" t="n"/>
      <c r="AC1383" s="47" t="n"/>
      <c r="AD1383" s="47" t="n"/>
      <c r="AE1383" s="47" t="n"/>
      <c r="AF1383" s="20">
        <f>IF(A1383="","",YEAR(EDATE(A1383,-3)))</f>
        <v/>
      </c>
      <c r="AG1383" s="20">
        <f>IF(OR(B1383="",'経歴簿'!$C$4=""),"",IF(B1383&amp;""='経歴簿'!$C$4&amp;"",MAX($AG$4:AG1382)+1,""))</f>
        <v/>
      </c>
      <c r="AH1383" s="20">
        <f>IF(A1383="",0,IF(AND(OR('CSV抽出'!$C$4="",A1383&gt;='CSV抽出'!$C$4),OR('CSV抽出'!$C$5="",A1383&lt;='CSV抽出'!$C$5),OR('CSV抽出'!$C$6="すべて",'CSV抽出'!$C$6="",D1383='CSV抽出'!$C$6),OR('CSV抽出'!$C$7="",B1383&amp;""='CSV抽出'!$C$7&amp;"")),1,0))</f>
        <v/>
      </c>
      <c r="AI1383" s="20">
        <f>IF(AH1383=1,SUM($AH$5:AH1383),"")</f>
        <v/>
      </c>
      <c r="AJ1383" s="20">
        <f>IF(OR(S1383="",'報告書'!$C$4=""),"",IF(S1383&amp;""='報告書'!$C$4&amp;"",COUNTIF($S$5:S1383,'報告書'!$C$4),""))</f>
        <v/>
      </c>
      <c r="AK1383" s="20" t="n"/>
      <c r="AL1383" s="47" t="n"/>
      <c r="AM1383" s="47" t="n"/>
      <c r="AN1383" s="53" t="n"/>
      <c r="AO1383" s="47" t="n"/>
      <c r="AP1383" s="47" t="n"/>
      <c r="AQ1383" s="47" t="n"/>
      <c r="AR1383" s="47" t="n"/>
      <c r="AS1383" s="47" t="n"/>
      <c r="AT1383" s="47" t="n"/>
      <c r="AU1383" s="47" t="n"/>
      <c r="AV1383" s="47" t="n"/>
      <c r="AW1383" s="52" t="n"/>
    </row>
    <row r="1384">
      <c r="A1384" s="48" t="n"/>
      <c r="B1384" s="52" t="n"/>
      <c r="C1384" s="47">
        <f>IF(B1384="","",IFERROR(INDEX('隊員マスタ'!$B$5:$B$204,MATCH(B1384&amp;"",'隊員マスタ'!$F$5:$F$204,0)),IF(AK1384="","番号なし",AK1384)))</f>
        <v/>
      </c>
      <c r="D1384" s="47" t="n"/>
      <c r="E1384" s="47" t="n"/>
      <c r="F1384" s="47" t="n"/>
      <c r="G1384" s="47" t="n"/>
      <c r="H1384" s="47" t="n"/>
      <c r="I1384" s="47" t="n"/>
      <c r="J1384" s="47" t="n"/>
      <c r="K1384" s="47" t="n"/>
      <c r="L1384" s="47" t="n"/>
      <c r="M1384" s="47" t="n"/>
      <c r="N1384" s="47" t="n"/>
      <c r="O1384" s="47" t="n"/>
      <c r="P1384" s="47" t="n"/>
      <c r="Q1384" s="47" t="n"/>
      <c r="R1384" s="47" t="n"/>
      <c r="S1384" s="47" t="n"/>
      <c r="T1384" s="47" t="n"/>
      <c r="U1384" s="53" t="n"/>
      <c r="V1384" s="53" t="n"/>
      <c r="W1384" s="47" t="n"/>
      <c r="X1384" s="47" t="n"/>
      <c r="Y1384" s="47" t="n"/>
      <c r="Z1384" s="47" t="n"/>
      <c r="AA1384" s="47" t="n"/>
      <c r="AB1384" s="47" t="n"/>
      <c r="AC1384" s="47" t="n"/>
      <c r="AD1384" s="47" t="n"/>
      <c r="AE1384" s="47" t="n"/>
      <c r="AF1384" s="20">
        <f>IF(A1384="","",YEAR(EDATE(A1384,-3)))</f>
        <v/>
      </c>
      <c r="AG1384" s="20">
        <f>IF(OR(B1384="",'経歴簿'!$C$4=""),"",IF(B1384&amp;""='経歴簿'!$C$4&amp;"",MAX($AG$4:AG1383)+1,""))</f>
        <v/>
      </c>
      <c r="AH1384" s="20">
        <f>IF(A1384="",0,IF(AND(OR('CSV抽出'!$C$4="",A1384&gt;='CSV抽出'!$C$4),OR('CSV抽出'!$C$5="",A1384&lt;='CSV抽出'!$C$5),OR('CSV抽出'!$C$6="すべて",'CSV抽出'!$C$6="",D1384='CSV抽出'!$C$6),OR('CSV抽出'!$C$7="",B1384&amp;""='CSV抽出'!$C$7&amp;"")),1,0))</f>
        <v/>
      </c>
      <c r="AI1384" s="20">
        <f>IF(AH1384=1,SUM($AH$5:AH1384),"")</f>
        <v/>
      </c>
      <c r="AJ1384" s="20">
        <f>IF(OR(S1384="",'報告書'!$C$4=""),"",IF(S1384&amp;""='報告書'!$C$4&amp;"",COUNTIF($S$5:S1384,'報告書'!$C$4),""))</f>
        <v/>
      </c>
      <c r="AK1384" s="20" t="n"/>
      <c r="AL1384" s="47" t="n"/>
      <c r="AM1384" s="47" t="n"/>
      <c r="AN1384" s="53" t="n"/>
      <c r="AO1384" s="47" t="n"/>
      <c r="AP1384" s="47" t="n"/>
      <c r="AQ1384" s="47" t="n"/>
      <c r="AR1384" s="47" t="n"/>
      <c r="AS1384" s="47" t="n"/>
      <c r="AT1384" s="47" t="n"/>
      <c r="AU1384" s="47" t="n"/>
      <c r="AV1384" s="47" t="n"/>
      <c r="AW1384" s="52" t="n"/>
    </row>
    <row r="1385">
      <c r="A1385" s="48" t="n"/>
      <c r="B1385" s="52" t="n"/>
      <c r="C1385" s="47">
        <f>IF(B1385="","",IFERROR(INDEX('隊員マスタ'!$B$5:$B$204,MATCH(B1385&amp;"",'隊員マスタ'!$F$5:$F$204,0)),IF(AK1385="","番号なし",AK1385)))</f>
        <v/>
      </c>
      <c r="D1385" s="47" t="n"/>
      <c r="E1385" s="47" t="n"/>
      <c r="F1385" s="47" t="n"/>
      <c r="G1385" s="47" t="n"/>
      <c r="H1385" s="47" t="n"/>
      <c r="I1385" s="47" t="n"/>
      <c r="J1385" s="47" t="n"/>
      <c r="K1385" s="47" t="n"/>
      <c r="L1385" s="47" t="n"/>
      <c r="M1385" s="47" t="n"/>
      <c r="N1385" s="47" t="n"/>
      <c r="O1385" s="47" t="n"/>
      <c r="P1385" s="47" t="n"/>
      <c r="Q1385" s="47" t="n"/>
      <c r="R1385" s="47" t="n"/>
      <c r="S1385" s="47" t="n"/>
      <c r="T1385" s="47" t="n"/>
      <c r="U1385" s="53" t="n"/>
      <c r="V1385" s="53" t="n"/>
      <c r="W1385" s="47" t="n"/>
      <c r="X1385" s="47" t="n"/>
      <c r="Y1385" s="47" t="n"/>
      <c r="Z1385" s="47" t="n"/>
      <c r="AA1385" s="47" t="n"/>
      <c r="AB1385" s="47" t="n"/>
      <c r="AC1385" s="47" t="n"/>
      <c r="AD1385" s="47" t="n"/>
      <c r="AE1385" s="47" t="n"/>
      <c r="AF1385" s="20">
        <f>IF(A1385="","",YEAR(EDATE(A1385,-3)))</f>
        <v/>
      </c>
      <c r="AG1385" s="20">
        <f>IF(OR(B1385="",'経歴簿'!$C$4=""),"",IF(B1385&amp;""='経歴簿'!$C$4&amp;"",MAX($AG$4:AG1384)+1,""))</f>
        <v/>
      </c>
      <c r="AH1385" s="20">
        <f>IF(A1385="",0,IF(AND(OR('CSV抽出'!$C$4="",A1385&gt;='CSV抽出'!$C$4),OR('CSV抽出'!$C$5="",A1385&lt;='CSV抽出'!$C$5),OR('CSV抽出'!$C$6="すべて",'CSV抽出'!$C$6="",D1385='CSV抽出'!$C$6),OR('CSV抽出'!$C$7="",B1385&amp;""='CSV抽出'!$C$7&amp;"")),1,0))</f>
        <v/>
      </c>
      <c r="AI1385" s="20">
        <f>IF(AH1385=1,SUM($AH$5:AH1385),"")</f>
        <v/>
      </c>
      <c r="AJ1385" s="20">
        <f>IF(OR(S1385="",'報告書'!$C$4=""),"",IF(S1385&amp;""='報告書'!$C$4&amp;"",COUNTIF($S$5:S1385,'報告書'!$C$4),""))</f>
        <v/>
      </c>
      <c r="AK1385" s="20" t="n"/>
      <c r="AL1385" s="47" t="n"/>
      <c r="AM1385" s="47" t="n"/>
      <c r="AN1385" s="53" t="n"/>
      <c r="AO1385" s="47" t="n"/>
      <c r="AP1385" s="47" t="n"/>
      <c r="AQ1385" s="47" t="n"/>
      <c r="AR1385" s="47" t="n"/>
      <c r="AS1385" s="47" t="n"/>
      <c r="AT1385" s="47" t="n"/>
      <c r="AU1385" s="47" t="n"/>
      <c r="AV1385" s="47" t="n"/>
      <c r="AW1385" s="52" t="n"/>
    </row>
    <row r="1386">
      <c r="A1386" s="48" t="n"/>
      <c r="B1386" s="52" t="n"/>
      <c r="C1386" s="47">
        <f>IF(B1386="","",IFERROR(INDEX('隊員マスタ'!$B$5:$B$204,MATCH(B1386&amp;"",'隊員マスタ'!$F$5:$F$204,0)),IF(AK1386="","番号なし",AK1386)))</f>
        <v/>
      </c>
      <c r="D1386" s="47" t="n"/>
      <c r="E1386" s="47" t="n"/>
      <c r="F1386" s="47" t="n"/>
      <c r="G1386" s="47" t="n"/>
      <c r="H1386" s="47" t="n"/>
      <c r="I1386" s="47" t="n"/>
      <c r="J1386" s="47" t="n"/>
      <c r="K1386" s="47" t="n"/>
      <c r="L1386" s="47" t="n"/>
      <c r="M1386" s="47" t="n"/>
      <c r="N1386" s="47" t="n"/>
      <c r="O1386" s="47" t="n"/>
      <c r="P1386" s="47" t="n"/>
      <c r="Q1386" s="47" t="n"/>
      <c r="R1386" s="47" t="n"/>
      <c r="S1386" s="47" t="n"/>
      <c r="T1386" s="47" t="n"/>
      <c r="U1386" s="53" t="n"/>
      <c r="V1386" s="53" t="n"/>
      <c r="W1386" s="47" t="n"/>
      <c r="X1386" s="47" t="n"/>
      <c r="Y1386" s="47" t="n"/>
      <c r="Z1386" s="47" t="n"/>
      <c r="AA1386" s="47" t="n"/>
      <c r="AB1386" s="47" t="n"/>
      <c r="AC1386" s="47" t="n"/>
      <c r="AD1386" s="47" t="n"/>
      <c r="AE1386" s="47" t="n"/>
      <c r="AF1386" s="20">
        <f>IF(A1386="","",YEAR(EDATE(A1386,-3)))</f>
        <v/>
      </c>
      <c r="AG1386" s="20">
        <f>IF(OR(B1386="",'経歴簿'!$C$4=""),"",IF(B1386&amp;""='経歴簿'!$C$4&amp;"",MAX($AG$4:AG1385)+1,""))</f>
        <v/>
      </c>
      <c r="AH1386" s="20">
        <f>IF(A1386="",0,IF(AND(OR('CSV抽出'!$C$4="",A1386&gt;='CSV抽出'!$C$4),OR('CSV抽出'!$C$5="",A1386&lt;='CSV抽出'!$C$5),OR('CSV抽出'!$C$6="すべて",'CSV抽出'!$C$6="",D1386='CSV抽出'!$C$6),OR('CSV抽出'!$C$7="",B1386&amp;""='CSV抽出'!$C$7&amp;"")),1,0))</f>
        <v/>
      </c>
      <c r="AI1386" s="20">
        <f>IF(AH1386=1,SUM($AH$5:AH1386),"")</f>
        <v/>
      </c>
      <c r="AJ1386" s="20">
        <f>IF(OR(S1386="",'報告書'!$C$4=""),"",IF(S1386&amp;""='報告書'!$C$4&amp;"",COUNTIF($S$5:S1386,'報告書'!$C$4),""))</f>
        <v/>
      </c>
      <c r="AK1386" s="20" t="n"/>
      <c r="AL1386" s="47" t="n"/>
      <c r="AM1386" s="47" t="n"/>
      <c r="AN1386" s="53" t="n"/>
      <c r="AO1386" s="47" t="n"/>
      <c r="AP1386" s="47" t="n"/>
      <c r="AQ1386" s="47" t="n"/>
      <c r="AR1386" s="47" t="n"/>
      <c r="AS1386" s="47" t="n"/>
      <c r="AT1386" s="47" t="n"/>
      <c r="AU1386" s="47" t="n"/>
      <c r="AV1386" s="47" t="n"/>
      <c r="AW1386" s="52" t="n"/>
    </row>
    <row r="1387">
      <c r="A1387" s="48" t="n"/>
      <c r="B1387" s="52" t="n"/>
      <c r="C1387" s="47">
        <f>IF(B1387="","",IFERROR(INDEX('隊員マスタ'!$B$5:$B$204,MATCH(B1387&amp;"",'隊員マスタ'!$F$5:$F$204,0)),IF(AK1387="","番号なし",AK1387)))</f>
        <v/>
      </c>
      <c r="D1387" s="47" t="n"/>
      <c r="E1387" s="47" t="n"/>
      <c r="F1387" s="47" t="n"/>
      <c r="G1387" s="47" t="n"/>
      <c r="H1387" s="47" t="n"/>
      <c r="I1387" s="47" t="n"/>
      <c r="J1387" s="47" t="n"/>
      <c r="K1387" s="47" t="n"/>
      <c r="L1387" s="47" t="n"/>
      <c r="M1387" s="47" t="n"/>
      <c r="N1387" s="47" t="n"/>
      <c r="O1387" s="47" t="n"/>
      <c r="P1387" s="47" t="n"/>
      <c r="Q1387" s="47" t="n"/>
      <c r="R1387" s="47" t="n"/>
      <c r="S1387" s="47" t="n"/>
      <c r="T1387" s="47" t="n"/>
      <c r="U1387" s="53" t="n"/>
      <c r="V1387" s="53" t="n"/>
      <c r="W1387" s="47" t="n"/>
      <c r="X1387" s="47" t="n"/>
      <c r="Y1387" s="47" t="n"/>
      <c r="Z1387" s="47" t="n"/>
      <c r="AA1387" s="47" t="n"/>
      <c r="AB1387" s="47" t="n"/>
      <c r="AC1387" s="47" t="n"/>
      <c r="AD1387" s="47" t="n"/>
      <c r="AE1387" s="47" t="n"/>
      <c r="AF1387" s="20">
        <f>IF(A1387="","",YEAR(EDATE(A1387,-3)))</f>
        <v/>
      </c>
      <c r="AG1387" s="20">
        <f>IF(OR(B1387="",'経歴簿'!$C$4=""),"",IF(B1387&amp;""='経歴簿'!$C$4&amp;"",MAX($AG$4:AG1386)+1,""))</f>
        <v/>
      </c>
      <c r="AH1387" s="20">
        <f>IF(A1387="",0,IF(AND(OR('CSV抽出'!$C$4="",A1387&gt;='CSV抽出'!$C$4),OR('CSV抽出'!$C$5="",A1387&lt;='CSV抽出'!$C$5),OR('CSV抽出'!$C$6="すべて",'CSV抽出'!$C$6="",D1387='CSV抽出'!$C$6),OR('CSV抽出'!$C$7="",B1387&amp;""='CSV抽出'!$C$7&amp;"")),1,0))</f>
        <v/>
      </c>
      <c r="AI1387" s="20">
        <f>IF(AH1387=1,SUM($AH$5:AH1387),"")</f>
        <v/>
      </c>
      <c r="AJ1387" s="20">
        <f>IF(OR(S1387="",'報告書'!$C$4=""),"",IF(S1387&amp;""='報告書'!$C$4&amp;"",COUNTIF($S$5:S1387,'報告書'!$C$4),""))</f>
        <v/>
      </c>
      <c r="AK1387" s="20" t="n"/>
      <c r="AL1387" s="47" t="n"/>
      <c r="AM1387" s="47" t="n"/>
      <c r="AN1387" s="53" t="n"/>
      <c r="AO1387" s="47" t="n"/>
      <c r="AP1387" s="47" t="n"/>
      <c r="AQ1387" s="47" t="n"/>
      <c r="AR1387" s="47" t="n"/>
      <c r="AS1387" s="47" t="n"/>
      <c r="AT1387" s="47" t="n"/>
      <c r="AU1387" s="47" t="n"/>
      <c r="AV1387" s="47" t="n"/>
      <c r="AW1387" s="52" t="n"/>
    </row>
    <row r="1388">
      <c r="A1388" s="48" t="n"/>
      <c r="B1388" s="52" t="n"/>
      <c r="C1388" s="47">
        <f>IF(B1388="","",IFERROR(INDEX('隊員マスタ'!$B$5:$B$204,MATCH(B1388&amp;"",'隊員マスタ'!$F$5:$F$204,0)),IF(AK1388="","番号なし",AK1388)))</f>
        <v/>
      </c>
      <c r="D1388" s="47" t="n"/>
      <c r="E1388" s="47" t="n"/>
      <c r="F1388" s="47" t="n"/>
      <c r="G1388" s="47" t="n"/>
      <c r="H1388" s="47" t="n"/>
      <c r="I1388" s="47" t="n"/>
      <c r="J1388" s="47" t="n"/>
      <c r="K1388" s="47" t="n"/>
      <c r="L1388" s="47" t="n"/>
      <c r="M1388" s="47" t="n"/>
      <c r="N1388" s="47" t="n"/>
      <c r="O1388" s="47" t="n"/>
      <c r="P1388" s="47" t="n"/>
      <c r="Q1388" s="47" t="n"/>
      <c r="R1388" s="47" t="n"/>
      <c r="S1388" s="47" t="n"/>
      <c r="T1388" s="47" t="n"/>
      <c r="U1388" s="53" t="n"/>
      <c r="V1388" s="53" t="n"/>
      <c r="W1388" s="47" t="n"/>
      <c r="X1388" s="47" t="n"/>
      <c r="Y1388" s="47" t="n"/>
      <c r="Z1388" s="47" t="n"/>
      <c r="AA1388" s="47" t="n"/>
      <c r="AB1388" s="47" t="n"/>
      <c r="AC1388" s="47" t="n"/>
      <c r="AD1388" s="47" t="n"/>
      <c r="AE1388" s="47" t="n"/>
      <c r="AF1388" s="20">
        <f>IF(A1388="","",YEAR(EDATE(A1388,-3)))</f>
        <v/>
      </c>
      <c r="AG1388" s="20">
        <f>IF(OR(B1388="",'経歴簿'!$C$4=""),"",IF(B1388&amp;""='経歴簿'!$C$4&amp;"",MAX($AG$4:AG1387)+1,""))</f>
        <v/>
      </c>
      <c r="AH1388" s="20">
        <f>IF(A1388="",0,IF(AND(OR('CSV抽出'!$C$4="",A1388&gt;='CSV抽出'!$C$4),OR('CSV抽出'!$C$5="",A1388&lt;='CSV抽出'!$C$5),OR('CSV抽出'!$C$6="すべて",'CSV抽出'!$C$6="",D1388='CSV抽出'!$C$6),OR('CSV抽出'!$C$7="",B1388&amp;""='CSV抽出'!$C$7&amp;"")),1,0))</f>
        <v/>
      </c>
      <c r="AI1388" s="20">
        <f>IF(AH1388=1,SUM($AH$5:AH1388),"")</f>
        <v/>
      </c>
      <c r="AJ1388" s="20">
        <f>IF(OR(S1388="",'報告書'!$C$4=""),"",IF(S1388&amp;""='報告書'!$C$4&amp;"",COUNTIF($S$5:S1388,'報告書'!$C$4),""))</f>
        <v/>
      </c>
      <c r="AK1388" s="20" t="n"/>
      <c r="AL1388" s="47" t="n"/>
      <c r="AM1388" s="47" t="n"/>
      <c r="AN1388" s="53" t="n"/>
      <c r="AO1388" s="47" t="n"/>
      <c r="AP1388" s="47" t="n"/>
      <c r="AQ1388" s="47" t="n"/>
      <c r="AR1388" s="47" t="n"/>
      <c r="AS1388" s="47" t="n"/>
      <c r="AT1388" s="47" t="n"/>
      <c r="AU1388" s="47" t="n"/>
      <c r="AV1388" s="47" t="n"/>
      <c r="AW1388" s="52" t="n"/>
    </row>
    <row r="1389">
      <c r="A1389" s="48" t="n"/>
      <c r="B1389" s="52" t="n"/>
      <c r="C1389" s="47">
        <f>IF(B1389="","",IFERROR(INDEX('隊員マスタ'!$B$5:$B$204,MATCH(B1389&amp;"",'隊員マスタ'!$F$5:$F$204,0)),IF(AK1389="","番号なし",AK1389)))</f>
        <v/>
      </c>
      <c r="D1389" s="47" t="n"/>
      <c r="E1389" s="47" t="n"/>
      <c r="F1389" s="47" t="n"/>
      <c r="G1389" s="47" t="n"/>
      <c r="H1389" s="47" t="n"/>
      <c r="I1389" s="47" t="n"/>
      <c r="J1389" s="47" t="n"/>
      <c r="K1389" s="47" t="n"/>
      <c r="L1389" s="47" t="n"/>
      <c r="M1389" s="47" t="n"/>
      <c r="N1389" s="47" t="n"/>
      <c r="O1389" s="47" t="n"/>
      <c r="P1389" s="47" t="n"/>
      <c r="Q1389" s="47" t="n"/>
      <c r="R1389" s="47" t="n"/>
      <c r="S1389" s="47" t="n"/>
      <c r="T1389" s="47" t="n"/>
      <c r="U1389" s="53" t="n"/>
      <c r="V1389" s="53" t="n"/>
      <c r="W1389" s="47" t="n"/>
      <c r="X1389" s="47" t="n"/>
      <c r="Y1389" s="47" t="n"/>
      <c r="Z1389" s="47" t="n"/>
      <c r="AA1389" s="47" t="n"/>
      <c r="AB1389" s="47" t="n"/>
      <c r="AC1389" s="47" t="n"/>
      <c r="AD1389" s="47" t="n"/>
      <c r="AE1389" s="47" t="n"/>
      <c r="AF1389" s="20">
        <f>IF(A1389="","",YEAR(EDATE(A1389,-3)))</f>
        <v/>
      </c>
      <c r="AG1389" s="20">
        <f>IF(OR(B1389="",'経歴簿'!$C$4=""),"",IF(B1389&amp;""='経歴簿'!$C$4&amp;"",MAX($AG$4:AG1388)+1,""))</f>
        <v/>
      </c>
      <c r="AH1389" s="20">
        <f>IF(A1389="",0,IF(AND(OR('CSV抽出'!$C$4="",A1389&gt;='CSV抽出'!$C$4),OR('CSV抽出'!$C$5="",A1389&lt;='CSV抽出'!$C$5),OR('CSV抽出'!$C$6="すべて",'CSV抽出'!$C$6="",D1389='CSV抽出'!$C$6),OR('CSV抽出'!$C$7="",B1389&amp;""='CSV抽出'!$C$7&amp;"")),1,0))</f>
        <v/>
      </c>
      <c r="AI1389" s="20">
        <f>IF(AH1389=1,SUM($AH$5:AH1389),"")</f>
        <v/>
      </c>
      <c r="AJ1389" s="20">
        <f>IF(OR(S1389="",'報告書'!$C$4=""),"",IF(S1389&amp;""='報告書'!$C$4&amp;"",COUNTIF($S$5:S1389,'報告書'!$C$4),""))</f>
        <v/>
      </c>
      <c r="AK1389" s="20" t="n"/>
      <c r="AL1389" s="47" t="n"/>
      <c r="AM1389" s="47" t="n"/>
      <c r="AN1389" s="53" t="n"/>
      <c r="AO1389" s="47" t="n"/>
      <c r="AP1389" s="47" t="n"/>
      <c r="AQ1389" s="47" t="n"/>
      <c r="AR1389" s="47" t="n"/>
      <c r="AS1389" s="47" t="n"/>
      <c r="AT1389" s="47" t="n"/>
      <c r="AU1389" s="47" t="n"/>
      <c r="AV1389" s="47" t="n"/>
      <c r="AW1389" s="52" t="n"/>
    </row>
    <row r="1390">
      <c r="A1390" s="48" t="n"/>
      <c r="B1390" s="52" t="n"/>
      <c r="C1390" s="47">
        <f>IF(B1390="","",IFERROR(INDEX('隊員マスタ'!$B$5:$B$204,MATCH(B1390&amp;"",'隊員マスタ'!$F$5:$F$204,0)),IF(AK1390="","番号なし",AK1390)))</f>
        <v/>
      </c>
      <c r="D1390" s="47" t="n"/>
      <c r="E1390" s="47" t="n"/>
      <c r="F1390" s="47" t="n"/>
      <c r="G1390" s="47" t="n"/>
      <c r="H1390" s="47" t="n"/>
      <c r="I1390" s="47" t="n"/>
      <c r="J1390" s="47" t="n"/>
      <c r="K1390" s="47" t="n"/>
      <c r="L1390" s="47" t="n"/>
      <c r="M1390" s="47" t="n"/>
      <c r="N1390" s="47" t="n"/>
      <c r="O1390" s="47" t="n"/>
      <c r="P1390" s="47" t="n"/>
      <c r="Q1390" s="47" t="n"/>
      <c r="R1390" s="47" t="n"/>
      <c r="S1390" s="47" t="n"/>
      <c r="T1390" s="47" t="n"/>
      <c r="U1390" s="53" t="n"/>
      <c r="V1390" s="53" t="n"/>
      <c r="W1390" s="47" t="n"/>
      <c r="X1390" s="47" t="n"/>
      <c r="Y1390" s="47" t="n"/>
      <c r="Z1390" s="47" t="n"/>
      <c r="AA1390" s="47" t="n"/>
      <c r="AB1390" s="47" t="n"/>
      <c r="AC1390" s="47" t="n"/>
      <c r="AD1390" s="47" t="n"/>
      <c r="AE1390" s="47" t="n"/>
      <c r="AF1390" s="20">
        <f>IF(A1390="","",YEAR(EDATE(A1390,-3)))</f>
        <v/>
      </c>
      <c r="AG1390" s="20">
        <f>IF(OR(B1390="",'経歴簿'!$C$4=""),"",IF(B1390&amp;""='経歴簿'!$C$4&amp;"",MAX($AG$4:AG1389)+1,""))</f>
        <v/>
      </c>
      <c r="AH1390" s="20">
        <f>IF(A1390="",0,IF(AND(OR('CSV抽出'!$C$4="",A1390&gt;='CSV抽出'!$C$4),OR('CSV抽出'!$C$5="",A1390&lt;='CSV抽出'!$C$5),OR('CSV抽出'!$C$6="すべて",'CSV抽出'!$C$6="",D1390='CSV抽出'!$C$6),OR('CSV抽出'!$C$7="",B1390&amp;""='CSV抽出'!$C$7&amp;"")),1,0))</f>
        <v/>
      </c>
      <c r="AI1390" s="20">
        <f>IF(AH1390=1,SUM($AH$5:AH1390),"")</f>
        <v/>
      </c>
      <c r="AJ1390" s="20">
        <f>IF(OR(S1390="",'報告書'!$C$4=""),"",IF(S1390&amp;""='報告書'!$C$4&amp;"",COUNTIF($S$5:S1390,'報告書'!$C$4),""))</f>
        <v/>
      </c>
      <c r="AK1390" s="20" t="n"/>
      <c r="AL1390" s="47" t="n"/>
      <c r="AM1390" s="47" t="n"/>
      <c r="AN1390" s="53" t="n"/>
      <c r="AO1390" s="47" t="n"/>
      <c r="AP1390" s="47" t="n"/>
      <c r="AQ1390" s="47" t="n"/>
      <c r="AR1390" s="47" t="n"/>
      <c r="AS1390" s="47" t="n"/>
      <c r="AT1390" s="47" t="n"/>
      <c r="AU1390" s="47" t="n"/>
      <c r="AV1390" s="47" t="n"/>
      <c r="AW1390" s="52" t="n"/>
    </row>
    <row r="1391">
      <c r="A1391" s="48" t="n"/>
      <c r="B1391" s="52" t="n"/>
      <c r="C1391" s="47">
        <f>IF(B1391="","",IFERROR(INDEX('隊員マスタ'!$B$5:$B$204,MATCH(B1391&amp;"",'隊員マスタ'!$F$5:$F$204,0)),IF(AK1391="","番号なし",AK1391)))</f>
        <v/>
      </c>
      <c r="D1391" s="47" t="n"/>
      <c r="E1391" s="47" t="n"/>
      <c r="F1391" s="47" t="n"/>
      <c r="G1391" s="47" t="n"/>
      <c r="H1391" s="47" t="n"/>
      <c r="I1391" s="47" t="n"/>
      <c r="J1391" s="47" t="n"/>
      <c r="K1391" s="47" t="n"/>
      <c r="L1391" s="47" t="n"/>
      <c r="M1391" s="47" t="n"/>
      <c r="N1391" s="47" t="n"/>
      <c r="O1391" s="47" t="n"/>
      <c r="P1391" s="47" t="n"/>
      <c r="Q1391" s="47" t="n"/>
      <c r="R1391" s="47" t="n"/>
      <c r="S1391" s="47" t="n"/>
      <c r="T1391" s="47" t="n"/>
      <c r="U1391" s="53" t="n"/>
      <c r="V1391" s="53" t="n"/>
      <c r="W1391" s="47" t="n"/>
      <c r="X1391" s="47" t="n"/>
      <c r="Y1391" s="47" t="n"/>
      <c r="Z1391" s="47" t="n"/>
      <c r="AA1391" s="47" t="n"/>
      <c r="AB1391" s="47" t="n"/>
      <c r="AC1391" s="47" t="n"/>
      <c r="AD1391" s="47" t="n"/>
      <c r="AE1391" s="47" t="n"/>
      <c r="AF1391" s="20">
        <f>IF(A1391="","",YEAR(EDATE(A1391,-3)))</f>
        <v/>
      </c>
      <c r="AG1391" s="20">
        <f>IF(OR(B1391="",'経歴簿'!$C$4=""),"",IF(B1391&amp;""='経歴簿'!$C$4&amp;"",MAX($AG$4:AG1390)+1,""))</f>
        <v/>
      </c>
      <c r="AH1391" s="20">
        <f>IF(A1391="",0,IF(AND(OR('CSV抽出'!$C$4="",A1391&gt;='CSV抽出'!$C$4),OR('CSV抽出'!$C$5="",A1391&lt;='CSV抽出'!$C$5),OR('CSV抽出'!$C$6="すべて",'CSV抽出'!$C$6="",D1391='CSV抽出'!$C$6),OR('CSV抽出'!$C$7="",B1391&amp;""='CSV抽出'!$C$7&amp;"")),1,0))</f>
        <v/>
      </c>
      <c r="AI1391" s="20">
        <f>IF(AH1391=1,SUM($AH$5:AH1391),"")</f>
        <v/>
      </c>
      <c r="AJ1391" s="20">
        <f>IF(OR(S1391="",'報告書'!$C$4=""),"",IF(S1391&amp;""='報告書'!$C$4&amp;"",COUNTIF($S$5:S1391,'報告書'!$C$4),""))</f>
        <v/>
      </c>
      <c r="AK1391" s="20" t="n"/>
      <c r="AL1391" s="47" t="n"/>
      <c r="AM1391" s="47" t="n"/>
      <c r="AN1391" s="53" t="n"/>
      <c r="AO1391" s="47" t="n"/>
      <c r="AP1391" s="47" t="n"/>
      <c r="AQ1391" s="47" t="n"/>
      <c r="AR1391" s="47" t="n"/>
      <c r="AS1391" s="47" t="n"/>
      <c r="AT1391" s="47" t="n"/>
      <c r="AU1391" s="47" t="n"/>
      <c r="AV1391" s="47" t="n"/>
      <c r="AW1391" s="52" t="n"/>
    </row>
    <row r="1392">
      <c r="A1392" s="48" t="n"/>
      <c r="B1392" s="52" t="n"/>
      <c r="C1392" s="47">
        <f>IF(B1392="","",IFERROR(INDEX('隊員マスタ'!$B$5:$B$204,MATCH(B1392&amp;"",'隊員マスタ'!$F$5:$F$204,0)),IF(AK1392="","番号なし",AK1392)))</f>
        <v/>
      </c>
      <c r="D1392" s="47" t="n"/>
      <c r="E1392" s="47" t="n"/>
      <c r="F1392" s="47" t="n"/>
      <c r="G1392" s="47" t="n"/>
      <c r="H1392" s="47" t="n"/>
      <c r="I1392" s="47" t="n"/>
      <c r="J1392" s="47" t="n"/>
      <c r="K1392" s="47" t="n"/>
      <c r="L1392" s="47" t="n"/>
      <c r="M1392" s="47" t="n"/>
      <c r="N1392" s="47" t="n"/>
      <c r="O1392" s="47" t="n"/>
      <c r="P1392" s="47" t="n"/>
      <c r="Q1392" s="47" t="n"/>
      <c r="R1392" s="47" t="n"/>
      <c r="S1392" s="47" t="n"/>
      <c r="T1392" s="47" t="n"/>
      <c r="U1392" s="53" t="n"/>
      <c r="V1392" s="53" t="n"/>
      <c r="W1392" s="47" t="n"/>
      <c r="X1392" s="47" t="n"/>
      <c r="Y1392" s="47" t="n"/>
      <c r="Z1392" s="47" t="n"/>
      <c r="AA1392" s="47" t="n"/>
      <c r="AB1392" s="47" t="n"/>
      <c r="AC1392" s="47" t="n"/>
      <c r="AD1392" s="47" t="n"/>
      <c r="AE1392" s="47" t="n"/>
      <c r="AF1392" s="20">
        <f>IF(A1392="","",YEAR(EDATE(A1392,-3)))</f>
        <v/>
      </c>
      <c r="AG1392" s="20">
        <f>IF(OR(B1392="",'経歴簿'!$C$4=""),"",IF(B1392&amp;""='経歴簿'!$C$4&amp;"",MAX($AG$4:AG1391)+1,""))</f>
        <v/>
      </c>
      <c r="AH1392" s="20">
        <f>IF(A1392="",0,IF(AND(OR('CSV抽出'!$C$4="",A1392&gt;='CSV抽出'!$C$4),OR('CSV抽出'!$C$5="",A1392&lt;='CSV抽出'!$C$5),OR('CSV抽出'!$C$6="すべて",'CSV抽出'!$C$6="",D1392='CSV抽出'!$C$6),OR('CSV抽出'!$C$7="",B1392&amp;""='CSV抽出'!$C$7&amp;"")),1,0))</f>
        <v/>
      </c>
      <c r="AI1392" s="20">
        <f>IF(AH1392=1,SUM($AH$5:AH1392),"")</f>
        <v/>
      </c>
      <c r="AJ1392" s="20">
        <f>IF(OR(S1392="",'報告書'!$C$4=""),"",IF(S1392&amp;""='報告書'!$C$4&amp;"",COUNTIF($S$5:S1392,'報告書'!$C$4),""))</f>
        <v/>
      </c>
      <c r="AK1392" s="20" t="n"/>
      <c r="AL1392" s="47" t="n"/>
      <c r="AM1392" s="47" t="n"/>
      <c r="AN1392" s="53" t="n"/>
      <c r="AO1392" s="47" t="n"/>
      <c r="AP1392" s="47" t="n"/>
      <c r="AQ1392" s="47" t="n"/>
      <c r="AR1392" s="47" t="n"/>
      <c r="AS1392" s="47" t="n"/>
      <c r="AT1392" s="47" t="n"/>
      <c r="AU1392" s="47" t="n"/>
      <c r="AV1392" s="47" t="n"/>
      <c r="AW1392" s="52" t="n"/>
    </row>
    <row r="1393">
      <c r="A1393" s="48" t="n"/>
      <c r="B1393" s="52" t="n"/>
      <c r="C1393" s="47">
        <f>IF(B1393="","",IFERROR(INDEX('隊員マスタ'!$B$5:$B$204,MATCH(B1393&amp;"",'隊員マスタ'!$F$5:$F$204,0)),IF(AK1393="","番号なし",AK1393)))</f>
        <v/>
      </c>
      <c r="D1393" s="47" t="n"/>
      <c r="E1393" s="47" t="n"/>
      <c r="F1393" s="47" t="n"/>
      <c r="G1393" s="47" t="n"/>
      <c r="H1393" s="47" t="n"/>
      <c r="I1393" s="47" t="n"/>
      <c r="J1393" s="47" t="n"/>
      <c r="K1393" s="47" t="n"/>
      <c r="L1393" s="47" t="n"/>
      <c r="M1393" s="47" t="n"/>
      <c r="N1393" s="47" t="n"/>
      <c r="O1393" s="47" t="n"/>
      <c r="P1393" s="47" t="n"/>
      <c r="Q1393" s="47" t="n"/>
      <c r="R1393" s="47" t="n"/>
      <c r="S1393" s="47" t="n"/>
      <c r="T1393" s="47" t="n"/>
      <c r="U1393" s="53" t="n"/>
      <c r="V1393" s="53" t="n"/>
      <c r="W1393" s="47" t="n"/>
      <c r="X1393" s="47" t="n"/>
      <c r="Y1393" s="47" t="n"/>
      <c r="Z1393" s="47" t="n"/>
      <c r="AA1393" s="47" t="n"/>
      <c r="AB1393" s="47" t="n"/>
      <c r="AC1393" s="47" t="n"/>
      <c r="AD1393" s="47" t="n"/>
      <c r="AE1393" s="47" t="n"/>
      <c r="AF1393" s="20">
        <f>IF(A1393="","",YEAR(EDATE(A1393,-3)))</f>
        <v/>
      </c>
      <c r="AG1393" s="20">
        <f>IF(OR(B1393="",'経歴簿'!$C$4=""),"",IF(B1393&amp;""='経歴簿'!$C$4&amp;"",MAX($AG$4:AG1392)+1,""))</f>
        <v/>
      </c>
      <c r="AH1393" s="20">
        <f>IF(A1393="",0,IF(AND(OR('CSV抽出'!$C$4="",A1393&gt;='CSV抽出'!$C$4),OR('CSV抽出'!$C$5="",A1393&lt;='CSV抽出'!$C$5),OR('CSV抽出'!$C$6="すべて",'CSV抽出'!$C$6="",D1393='CSV抽出'!$C$6),OR('CSV抽出'!$C$7="",B1393&amp;""='CSV抽出'!$C$7&amp;"")),1,0))</f>
        <v/>
      </c>
      <c r="AI1393" s="20">
        <f>IF(AH1393=1,SUM($AH$5:AH1393),"")</f>
        <v/>
      </c>
      <c r="AJ1393" s="20">
        <f>IF(OR(S1393="",'報告書'!$C$4=""),"",IF(S1393&amp;""='報告書'!$C$4&amp;"",COUNTIF($S$5:S1393,'報告書'!$C$4),""))</f>
        <v/>
      </c>
      <c r="AK1393" s="20" t="n"/>
      <c r="AL1393" s="47" t="n"/>
      <c r="AM1393" s="47" t="n"/>
      <c r="AN1393" s="53" t="n"/>
      <c r="AO1393" s="47" t="n"/>
      <c r="AP1393" s="47" t="n"/>
      <c r="AQ1393" s="47" t="n"/>
      <c r="AR1393" s="47" t="n"/>
      <c r="AS1393" s="47" t="n"/>
      <c r="AT1393" s="47" t="n"/>
      <c r="AU1393" s="47" t="n"/>
      <c r="AV1393" s="47" t="n"/>
      <c r="AW1393" s="52" t="n"/>
    </row>
    <row r="1394">
      <c r="A1394" s="48" t="n"/>
      <c r="B1394" s="52" t="n"/>
      <c r="C1394" s="47">
        <f>IF(B1394="","",IFERROR(INDEX('隊員マスタ'!$B$5:$B$204,MATCH(B1394&amp;"",'隊員マスタ'!$F$5:$F$204,0)),IF(AK1394="","番号なし",AK1394)))</f>
        <v/>
      </c>
      <c r="D1394" s="47" t="n"/>
      <c r="E1394" s="47" t="n"/>
      <c r="F1394" s="47" t="n"/>
      <c r="G1394" s="47" t="n"/>
      <c r="H1394" s="47" t="n"/>
      <c r="I1394" s="47" t="n"/>
      <c r="J1394" s="47" t="n"/>
      <c r="K1394" s="47" t="n"/>
      <c r="L1394" s="47" t="n"/>
      <c r="M1394" s="47" t="n"/>
      <c r="N1394" s="47" t="n"/>
      <c r="O1394" s="47" t="n"/>
      <c r="P1394" s="47" t="n"/>
      <c r="Q1394" s="47" t="n"/>
      <c r="R1394" s="47" t="n"/>
      <c r="S1394" s="47" t="n"/>
      <c r="T1394" s="47" t="n"/>
      <c r="U1394" s="53" t="n"/>
      <c r="V1394" s="53" t="n"/>
      <c r="W1394" s="47" t="n"/>
      <c r="X1394" s="47" t="n"/>
      <c r="Y1394" s="47" t="n"/>
      <c r="Z1394" s="47" t="n"/>
      <c r="AA1394" s="47" t="n"/>
      <c r="AB1394" s="47" t="n"/>
      <c r="AC1394" s="47" t="n"/>
      <c r="AD1394" s="47" t="n"/>
      <c r="AE1394" s="47" t="n"/>
      <c r="AF1394" s="20">
        <f>IF(A1394="","",YEAR(EDATE(A1394,-3)))</f>
        <v/>
      </c>
      <c r="AG1394" s="20">
        <f>IF(OR(B1394="",'経歴簿'!$C$4=""),"",IF(B1394&amp;""='経歴簿'!$C$4&amp;"",MAX($AG$4:AG1393)+1,""))</f>
        <v/>
      </c>
      <c r="AH1394" s="20">
        <f>IF(A1394="",0,IF(AND(OR('CSV抽出'!$C$4="",A1394&gt;='CSV抽出'!$C$4),OR('CSV抽出'!$C$5="",A1394&lt;='CSV抽出'!$C$5),OR('CSV抽出'!$C$6="すべて",'CSV抽出'!$C$6="",D1394='CSV抽出'!$C$6),OR('CSV抽出'!$C$7="",B1394&amp;""='CSV抽出'!$C$7&amp;"")),1,0))</f>
        <v/>
      </c>
      <c r="AI1394" s="20">
        <f>IF(AH1394=1,SUM($AH$5:AH1394),"")</f>
        <v/>
      </c>
      <c r="AJ1394" s="20">
        <f>IF(OR(S1394="",'報告書'!$C$4=""),"",IF(S1394&amp;""='報告書'!$C$4&amp;"",COUNTIF($S$5:S1394,'報告書'!$C$4),""))</f>
        <v/>
      </c>
      <c r="AK1394" s="20" t="n"/>
      <c r="AL1394" s="47" t="n"/>
      <c r="AM1394" s="47" t="n"/>
      <c r="AN1394" s="53" t="n"/>
      <c r="AO1394" s="47" t="n"/>
      <c r="AP1394" s="47" t="n"/>
      <c r="AQ1394" s="47" t="n"/>
      <c r="AR1394" s="47" t="n"/>
      <c r="AS1394" s="47" t="n"/>
      <c r="AT1394" s="47" t="n"/>
      <c r="AU1394" s="47" t="n"/>
      <c r="AV1394" s="47" t="n"/>
      <c r="AW1394" s="52" t="n"/>
    </row>
    <row r="1395">
      <c r="A1395" s="48" t="n"/>
      <c r="B1395" s="52" t="n"/>
      <c r="C1395" s="47">
        <f>IF(B1395="","",IFERROR(INDEX('隊員マスタ'!$B$5:$B$204,MATCH(B1395&amp;"",'隊員マスタ'!$F$5:$F$204,0)),IF(AK1395="","番号なし",AK1395)))</f>
        <v/>
      </c>
      <c r="D1395" s="47" t="n"/>
      <c r="E1395" s="47" t="n"/>
      <c r="F1395" s="47" t="n"/>
      <c r="G1395" s="47" t="n"/>
      <c r="H1395" s="47" t="n"/>
      <c r="I1395" s="47" t="n"/>
      <c r="J1395" s="47" t="n"/>
      <c r="K1395" s="47" t="n"/>
      <c r="L1395" s="47" t="n"/>
      <c r="M1395" s="47" t="n"/>
      <c r="N1395" s="47" t="n"/>
      <c r="O1395" s="47" t="n"/>
      <c r="P1395" s="47" t="n"/>
      <c r="Q1395" s="47" t="n"/>
      <c r="R1395" s="47" t="n"/>
      <c r="S1395" s="47" t="n"/>
      <c r="T1395" s="47" t="n"/>
      <c r="U1395" s="53" t="n"/>
      <c r="V1395" s="53" t="n"/>
      <c r="W1395" s="47" t="n"/>
      <c r="X1395" s="47" t="n"/>
      <c r="Y1395" s="47" t="n"/>
      <c r="Z1395" s="47" t="n"/>
      <c r="AA1395" s="47" t="n"/>
      <c r="AB1395" s="47" t="n"/>
      <c r="AC1395" s="47" t="n"/>
      <c r="AD1395" s="47" t="n"/>
      <c r="AE1395" s="47" t="n"/>
      <c r="AF1395" s="20">
        <f>IF(A1395="","",YEAR(EDATE(A1395,-3)))</f>
        <v/>
      </c>
      <c r="AG1395" s="20">
        <f>IF(OR(B1395="",'経歴簿'!$C$4=""),"",IF(B1395&amp;""='経歴簿'!$C$4&amp;"",MAX($AG$4:AG1394)+1,""))</f>
        <v/>
      </c>
      <c r="AH1395" s="20">
        <f>IF(A1395="",0,IF(AND(OR('CSV抽出'!$C$4="",A1395&gt;='CSV抽出'!$C$4),OR('CSV抽出'!$C$5="",A1395&lt;='CSV抽出'!$C$5),OR('CSV抽出'!$C$6="すべて",'CSV抽出'!$C$6="",D1395='CSV抽出'!$C$6),OR('CSV抽出'!$C$7="",B1395&amp;""='CSV抽出'!$C$7&amp;"")),1,0))</f>
        <v/>
      </c>
      <c r="AI1395" s="20">
        <f>IF(AH1395=1,SUM($AH$5:AH1395),"")</f>
        <v/>
      </c>
      <c r="AJ1395" s="20">
        <f>IF(OR(S1395="",'報告書'!$C$4=""),"",IF(S1395&amp;""='報告書'!$C$4&amp;"",COUNTIF($S$5:S1395,'報告書'!$C$4),""))</f>
        <v/>
      </c>
      <c r="AK1395" s="20" t="n"/>
      <c r="AL1395" s="47" t="n"/>
      <c r="AM1395" s="47" t="n"/>
      <c r="AN1395" s="53" t="n"/>
      <c r="AO1395" s="47" t="n"/>
      <c r="AP1395" s="47" t="n"/>
      <c r="AQ1395" s="47" t="n"/>
      <c r="AR1395" s="47" t="n"/>
      <c r="AS1395" s="47" t="n"/>
      <c r="AT1395" s="47" t="n"/>
      <c r="AU1395" s="47" t="n"/>
      <c r="AV1395" s="47" t="n"/>
      <c r="AW1395" s="52" t="n"/>
    </row>
    <row r="1396">
      <c r="A1396" s="48" t="n"/>
      <c r="B1396" s="52" t="n"/>
      <c r="C1396" s="47">
        <f>IF(B1396="","",IFERROR(INDEX('隊員マスタ'!$B$5:$B$204,MATCH(B1396&amp;"",'隊員マスタ'!$F$5:$F$204,0)),IF(AK1396="","番号なし",AK1396)))</f>
        <v/>
      </c>
      <c r="D1396" s="47" t="n"/>
      <c r="E1396" s="47" t="n"/>
      <c r="F1396" s="47" t="n"/>
      <c r="G1396" s="47" t="n"/>
      <c r="H1396" s="47" t="n"/>
      <c r="I1396" s="47" t="n"/>
      <c r="J1396" s="47" t="n"/>
      <c r="K1396" s="47" t="n"/>
      <c r="L1396" s="47" t="n"/>
      <c r="M1396" s="47" t="n"/>
      <c r="N1396" s="47" t="n"/>
      <c r="O1396" s="47" t="n"/>
      <c r="P1396" s="47" t="n"/>
      <c r="Q1396" s="47" t="n"/>
      <c r="R1396" s="47" t="n"/>
      <c r="S1396" s="47" t="n"/>
      <c r="T1396" s="47" t="n"/>
      <c r="U1396" s="53" t="n"/>
      <c r="V1396" s="53" t="n"/>
      <c r="W1396" s="47" t="n"/>
      <c r="X1396" s="47" t="n"/>
      <c r="Y1396" s="47" t="n"/>
      <c r="Z1396" s="47" t="n"/>
      <c r="AA1396" s="47" t="n"/>
      <c r="AB1396" s="47" t="n"/>
      <c r="AC1396" s="47" t="n"/>
      <c r="AD1396" s="47" t="n"/>
      <c r="AE1396" s="47" t="n"/>
      <c r="AF1396" s="20">
        <f>IF(A1396="","",YEAR(EDATE(A1396,-3)))</f>
        <v/>
      </c>
      <c r="AG1396" s="20">
        <f>IF(OR(B1396="",'経歴簿'!$C$4=""),"",IF(B1396&amp;""='経歴簿'!$C$4&amp;"",MAX($AG$4:AG1395)+1,""))</f>
        <v/>
      </c>
      <c r="AH1396" s="20">
        <f>IF(A1396="",0,IF(AND(OR('CSV抽出'!$C$4="",A1396&gt;='CSV抽出'!$C$4),OR('CSV抽出'!$C$5="",A1396&lt;='CSV抽出'!$C$5),OR('CSV抽出'!$C$6="すべて",'CSV抽出'!$C$6="",D1396='CSV抽出'!$C$6),OR('CSV抽出'!$C$7="",B1396&amp;""='CSV抽出'!$C$7&amp;"")),1,0))</f>
        <v/>
      </c>
      <c r="AI1396" s="20">
        <f>IF(AH1396=1,SUM($AH$5:AH1396),"")</f>
        <v/>
      </c>
      <c r="AJ1396" s="20">
        <f>IF(OR(S1396="",'報告書'!$C$4=""),"",IF(S1396&amp;""='報告書'!$C$4&amp;"",COUNTIF($S$5:S1396,'報告書'!$C$4),""))</f>
        <v/>
      </c>
      <c r="AK1396" s="20" t="n"/>
      <c r="AL1396" s="47" t="n"/>
      <c r="AM1396" s="47" t="n"/>
      <c r="AN1396" s="53" t="n"/>
      <c r="AO1396" s="47" t="n"/>
      <c r="AP1396" s="47" t="n"/>
      <c r="AQ1396" s="47" t="n"/>
      <c r="AR1396" s="47" t="n"/>
      <c r="AS1396" s="47" t="n"/>
      <c r="AT1396" s="47" t="n"/>
      <c r="AU1396" s="47" t="n"/>
      <c r="AV1396" s="47" t="n"/>
      <c r="AW1396" s="52" t="n"/>
    </row>
    <row r="1397">
      <c r="A1397" s="48" t="n"/>
      <c r="B1397" s="52" t="n"/>
      <c r="C1397" s="47">
        <f>IF(B1397="","",IFERROR(INDEX('隊員マスタ'!$B$5:$B$204,MATCH(B1397&amp;"",'隊員マスタ'!$F$5:$F$204,0)),IF(AK1397="","番号なし",AK1397)))</f>
        <v/>
      </c>
      <c r="D1397" s="47" t="n"/>
      <c r="E1397" s="47" t="n"/>
      <c r="F1397" s="47" t="n"/>
      <c r="G1397" s="47" t="n"/>
      <c r="H1397" s="47" t="n"/>
      <c r="I1397" s="47" t="n"/>
      <c r="J1397" s="47" t="n"/>
      <c r="K1397" s="47" t="n"/>
      <c r="L1397" s="47" t="n"/>
      <c r="M1397" s="47" t="n"/>
      <c r="N1397" s="47" t="n"/>
      <c r="O1397" s="47" t="n"/>
      <c r="P1397" s="47" t="n"/>
      <c r="Q1397" s="47" t="n"/>
      <c r="R1397" s="47" t="n"/>
      <c r="S1397" s="47" t="n"/>
      <c r="T1397" s="47" t="n"/>
      <c r="U1397" s="53" t="n"/>
      <c r="V1397" s="53" t="n"/>
      <c r="W1397" s="47" t="n"/>
      <c r="X1397" s="47" t="n"/>
      <c r="Y1397" s="47" t="n"/>
      <c r="Z1397" s="47" t="n"/>
      <c r="AA1397" s="47" t="n"/>
      <c r="AB1397" s="47" t="n"/>
      <c r="AC1397" s="47" t="n"/>
      <c r="AD1397" s="47" t="n"/>
      <c r="AE1397" s="47" t="n"/>
      <c r="AF1397" s="20">
        <f>IF(A1397="","",YEAR(EDATE(A1397,-3)))</f>
        <v/>
      </c>
      <c r="AG1397" s="20">
        <f>IF(OR(B1397="",'経歴簿'!$C$4=""),"",IF(B1397&amp;""='経歴簿'!$C$4&amp;"",MAX($AG$4:AG1396)+1,""))</f>
        <v/>
      </c>
      <c r="AH1397" s="20">
        <f>IF(A1397="",0,IF(AND(OR('CSV抽出'!$C$4="",A1397&gt;='CSV抽出'!$C$4),OR('CSV抽出'!$C$5="",A1397&lt;='CSV抽出'!$C$5),OR('CSV抽出'!$C$6="すべて",'CSV抽出'!$C$6="",D1397='CSV抽出'!$C$6),OR('CSV抽出'!$C$7="",B1397&amp;""='CSV抽出'!$C$7&amp;"")),1,0))</f>
        <v/>
      </c>
      <c r="AI1397" s="20">
        <f>IF(AH1397=1,SUM($AH$5:AH1397),"")</f>
        <v/>
      </c>
      <c r="AJ1397" s="20">
        <f>IF(OR(S1397="",'報告書'!$C$4=""),"",IF(S1397&amp;""='報告書'!$C$4&amp;"",COUNTIF($S$5:S1397,'報告書'!$C$4),""))</f>
        <v/>
      </c>
      <c r="AK1397" s="20" t="n"/>
      <c r="AL1397" s="47" t="n"/>
      <c r="AM1397" s="47" t="n"/>
      <c r="AN1397" s="53" t="n"/>
      <c r="AO1397" s="47" t="n"/>
      <c r="AP1397" s="47" t="n"/>
      <c r="AQ1397" s="47" t="n"/>
      <c r="AR1397" s="47" t="n"/>
      <c r="AS1397" s="47" t="n"/>
      <c r="AT1397" s="47" t="n"/>
      <c r="AU1397" s="47" t="n"/>
      <c r="AV1397" s="47" t="n"/>
      <c r="AW1397" s="52" t="n"/>
    </row>
    <row r="1398">
      <c r="A1398" s="48" t="n"/>
      <c r="B1398" s="52" t="n"/>
      <c r="C1398" s="47">
        <f>IF(B1398="","",IFERROR(INDEX('隊員マスタ'!$B$5:$B$204,MATCH(B1398&amp;"",'隊員マスタ'!$F$5:$F$204,0)),IF(AK1398="","番号なし",AK1398)))</f>
        <v/>
      </c>
      <c r="D1398" s="47" t="n"/>
      <c r="E1398" s="47" t="n"/>
      <c r="F1398" s="47" t="n"/>
      <c r="G1398" s="47" t="n"/>
      <c r="H1398" s="47" t="n"/>
      <c r="I1398" s="47" t="n"/>
      <c r="J1398" s="47" t="n"/>
      <c r="K1398" s="47" t="n"/>
      <c r="L1398" s="47" t="n"/>
      <c r="M1398" s="47" t="n"/>
      <c r="N1398" s="47" t="n"/>
      <c r="O1398" s="47" t="n"/>
      <c r="P1398" s="47" t="n"/>
      <c r="Q1398" s="47" t="n"/>
      <c r="R1398" s="47" t="n"/>
      <c r="S1398" s="47" t="n"/>
      <c r="T1398" s="47" t="n"/>
      <c r="U1398" s="53" t="n"/>
      <c r="V1398" s="53" t="n"/>
      <c r="W1398" s="47" t="n"/>
      <c r="X1398" s="47" t="n"/>
      <c r="Y1398" s="47" t="n"/>
      <c r="Z1398" s="47" t="n"/>
      <c r="AA1398" s="47" t="n"/>
      <c r="AB1398" s="47" t="n"/>
      <c r="AC1398" s="47" t="n"/>
      <c r="AD1398" s="47" t="n"/>
      <c r="AE1398" s="47" t="n"/>
      <c r="AF1398" s="20">
        <f>IF(A1398="","",YEAR(EDATE(A1398,-3)))</f>
        <v/>
      </c>
      <c r="AG1398" s="20">
        <f>IF(OR(B1398="",'経歴簿'!$C$4=""),"",IF(B1398&amp;""='経歴簿'!$C$4&amp;"",MAX($AG$4:AG1397)+1,""))</f>
        <v/>
      </c>
      <c r="AH1398" s="20">
        <f>IF(A1398="",0,IF(AND(OR('CSV抽出'!$C$4="",A1398&gt;='CSV抽出'!$C$4),OR('CSV抽出'!$C$5="",A1398&lt;='CSV抽出'!$C$5),OR('CSV抽出'!$C$6="すべて",'CSV抽出'!$C$6="",D1398='CSV抽出'!$C$6),OR('CSV抽出'!$C$7="",B1398&amp;""='CSV抽出'!$C$7&amp;"")),1,0))</f>
        <v/>
      </c>
      <c r="AI1398" s="20">
        <f>IF(AH1398=1,SUM($AH$5:AH1398),"")</f>
        <v/>
      </c>
      <c r="AJ1398" s="20">
        <f>IF(OR(S1398="",'報告書'!$C$4=""),"",IF(S1398&amp;""='報告書'!$C$4&amp;"",COUNTIF($S$5:S1398,'報告書'!$C$4),""))</f>
        <v/>
      </c>
      <c r="AK1398" s="20" t="n"/>
      <c r="AL1398" s="47" t="n"/>
      <c r="AM1398" s="47" t="n"/>
      <c r="AN1398" s="53" t="n"/>
      <c r="AO1398" s="47" t="n"/>
      <c r="AP1398" s="47" t="n"/>
      <c r="AQ1398" s="47" t="n"/>
      <c r="AR1398" s="47" t="n"/>
      <c r="AS1398" s="47" t="n"/>
      <c r="AT1398" s="47" t="n"/>
      <c r="AU1398" s="47" t="n"/>
      <c r="AV1398" s="47" t="n"/>
      <c r="AW1398" s="52" t="n"/>
    </row>
    <row r="1399">
      <c r="A1399" s="48" t="n"/>
      <c r="B1399" s="52" t="n"/>
      <c r="C1399" s="47">
        <f>IF(B1399="","",IFERROR(INDEX('隊員マスタ'!$B$5:$B$204,MATCH(B1399&amp;"",'隊員マスタ'!$F$5:$F$204,0)),IF(AK1399="","番号なし",AK1399)))</f>
        <v/>
      </c>
      <c r="D1399" s="47" t="n"/>
      <c r="E1399" s="47" t="n"/>
      <c r="F1399" s="47" t="n"/>
      <c r="G1399" s="47" t="n"/>
      <c r="H1399" s="47" t="n"/>
      <c r="I1399" s="47" t="n"/>
      <c r="J1399" s="47" t="n"/>
      <c r="K1399" s="47" t="n"/>
      <c r="L1399" s="47" t="n"/>
      <c r="M1399" s="47" t="n"/>
      <c r="N1399" s="47" t="n"/>
      <c r="O1399" s="47" t="n"/>
      <c r="P1399" s="47" t="n"/>
      <c r="Q1399" s="47" t="n"/>
      <c r="R1399" s="47" t="n"/>
      <c r="S1399" s="47" t="n"/>
      <c r="T1399" s="47" t="n"/>
      <c r="U1399" s="53" t="n"/>
      <c r="V1399" s="53" t="n"/>
      <c r="W1399" s="47" t="n"/>
      <c r="X1399" s="47" t="n"/>
      <c r="Y1399" s="47" t="n"/>
      <c r="Z1399" s="47" t="n"/>
      <c r="AA1399" s="47" t="n"/>
      <c r="AB1399" s="47" t="n"/>
      <c r="AC1399" s="47" t="n"/>
      <c r="AD1399" s="47" t="n"/>
      <c r="AE1399" s="47" t="n"/>
      <c r="AF1399" s="20">
        <f>IF(A1399="","",YEAR(EDATE(A1399,-3)))</f>
        <v/>
      </c>
      <c r="AG1399" s="20">
        <f>IF(OR(B1399="",'経歴簿'!$C$4=""),"",IF(B1399&amp;""='経歴簿'!$C$4&amp;"",MAX($AG$4:AG1398)+1,""))</f>
        <v/>
      </c>
      <c r="AH1399" s="20">
        <f>IF(A1399="",0,IF(AND(OR('CSV抽出'!$C$4="",A1399&gt;='CSV抽出'!$C$4),OR('CSV抽出'!$C$5="",A1399&lt;='CSV抽出'!$C$5),OR('CSV抽出'!$C$6="すべて",'CSV抽出'!$C$6="",D1399='CSV抽出'!$C$6),OR('CSV抽出'!$C$7="",B1399&amp;""='CSV抽出'!$C$7&amp;"")),1,0))</f>
        <v/>
      </c>
      <c r="AI1399" s="20">
        <f>IF(AH1399=1,SUM($AH$5:AH1399),"")</f>
        <v/>
      </c>
      <c r="AJ1399" s="20">
        <f>IF(OR(S1399="",'報告書'!$C$4=""),"",IF(S1399&amp;""='報告書'!$C$4&amp;"",COUNTIF($S$5:S1399,'報告書'!$C$4),""))</f>
        <v/>
      </c>
      <c r="AK1399" s="20" t="n"/>
      <c r="AL1399" s="47" t="n"/>
      <c r="AM1399" s="47" t="n"/>
      <c r="AN1399" s="53" t="n"/>
      <c r="AO1399" s="47" t="n"/>
      <c r="AP1399" s="47" t="n"/>
      <c r="AQ1399" s="47" t="n"/>
      <c r="AR1399" s="47" t="n"/>
      <c r="AS1399" s="47" t="n"/>
      <c r="AT1399" s="47" t="n"/>
      <c r="AU1399" s="47" t="n"/>
      <c r="AV1399" s="47" t="n"/>
      <c r="AW1399" s="52" t="n"/>
    </row>
    <row r="1400">
      <c r="A1400" s="48" t="n"/>
      <c r="B1400" s="52" t="n"/>
      <c r="C1400" s="47">
        <f>IF(B1400="","",IFERROR(INDEX('隊員マスタ'!$B$5:$B$204,MATCH(B1400&amp;"",'隊員マスタ'!$F$5:$F$204,0)),IF(AK1400="","番号なし",AK1400)))</f>
        <v/>
      </c>
      <c r="D1400" s="47" t="n"/>
      <c r="E1400" s="47" t="n"/>
      <c r="F1400" s="47" t="n"/>
      <c r="G1400" s="47" t="n"/>
      <c r="H1400" s="47" t="n"/>
      <c r="I1400" s="47" t="n"/>
      <c r="J1400" s="47" t="n"/>
      <c r="K1400" s="47" t="n"/>
      <c r="L1400" s="47" t="n"/>
      <c r="M1400" s="47" t="n"/>
      <c r="N1400" s="47" t="n"/>
      <c r="O1400" s="47" t="n"/>
      <c r="P1400" s="47" t="n"/>
      <c r="Q1400" s="47" t="n"/>
      <c r="R1400" s="47" t="n"/>
      <c r="S1400" s="47" t="n"/>
      <c r="T1400" s="47" t="n"/>
      <c r="U1400" s="53" t="n"/>
      <c r="V1400" s="53" t="n"/>
      <c r="W1400" s="47" t="n"/>
      <c r="X1400" s="47" t="n"/>
      <c r="Y1400" s="47" t="n"/>
      <c r="Z1400" s="47" t="n"/>
      <c r="AA1400" s="47" t="n"/>
      <c r="AB1400" s="47" t="n"/>
      <c r="AC1400" s="47" t="n"/>
      <c r="AD1400" s="47" t="n"/>
      <c r="AE1400" s="47" t="n"/>
      <c r="AF1400" s="20">
        <f>IF(A1400="","",YEAR(EDATE(A1400,-3)))</f>
        <v/>
      </c>
      <c r="AG1400" s="20">
        <f>IF(OR(B1400="",'経歴簿'!$C$4=""),"",IF(B1400&amp;""='経歴簿'!$C$4&amp;"",MAX($AG$4:AG1399)+1,""))</f>
        <v/>
      </c>
      <c r="AH1400" s="20">
        <f>IF(A1400="",0,IF(AND(OR('CSV抽出'!$C$4="",A1400&gt;='CSV抽出'!$C$4),OR('CSV抽出'!$C$5="",A1400&lt;='CSV抽出'!$C$5),OR('CSV抽出'!$C$6="すべて",'CSV抽出'!$C$6="",D1400='CSV抽出'!$C$6),OR('CSV抽出'!$C$7="",B1400&amp;""='CSV抽出'!$C$7&amp;"")),1,0))</f>
        <v/>
      </c>
      <c r="AI1400" s="20">
        <f>IF(AH1400=1,SUM($AH$5:AH1400),"")</f>
        <v/>
      </c>
      <c r="AJ1400" s="20">
        <f>IF(OR(S1400="",'報告書'!$C$4=""),"",IF(S1400&amp;""='報告書'!$C$4&amp;"",COUNTIF($S$5:S1400,'報告書'!$C$4),""))</f>
        <v/>
      </c>
      <c r="AK1400" s="20" t="n"/>
      <c r="AL1400" s="47" t="n"/>
      <c r="AM1400" s="47" t="n"/>
      <c r="AN1400" s="53" t="n"/>
      <c r="AO1400" s="47" t="n"/>
      <c r="AP1400" s="47" t="n"/>
      <c r="AQ1400" s="47" t="n"/>
      <c r="AR1400" s="47" t="n"/>
      <c r="AS1400" s="47" t="n"/>
      <c r="AT1400" s="47" t="n"/>
      <c r="AU1400" s="47" t="n"/>
      <c r="AV1400" s="47" t="n"/>
      <c r="AW1400" s="52" t="n"/>
    </row>
    <row r="1401">
      <c r="A1401" s="48" t="n"/>
      <c r="B1401" s="52" t="n"/>
      <c r="C1401" s="47">
        <f>IF(B1401="","",IFERROR(INDEX('隊員マスタ'!$B$5:$B$204,MATCH(B1401&amp;"",'隊員マスタ'!$F$5:$F$204,0)),IF(AK1401="","番号なし",AK1401)))</f>
        <v/>
      </c>
      <c r="D1401" s="47" t="n"/>
      <c r="E1401" s="47" t="n"/>
      <c r="F1401" s="47" t="n"/>
      <c r="G1401" s="47" t="n"/>
      <c r="H1401" s="47" t="n"/>
      <c r="I1401" s="47" t="n"/>
      <c r="J1401" s="47" t="n"/>
      <c r="K1401" s="47" t="n"/>
      <c r="L1401" s="47" t="n"/>
      <c r="M1401" s="47" t="n"/>
      <c r="N1401" s="47" t="n"/>
      <c r="O1401" s="47" t="n"/>
      <c r="P1401" s="47" t="n"/>
      <c r="Q1401" s="47" t="n"/>
      <c r="R1401" s="47" t="n"/>
      <c r="S1401" s="47" t="n"/>
      <c r="T1401" s="47" t="n"/>
      <c r="U1401" s="53" t="n"/>
      <c r="V1401" s="53" t="n"/>
      <c r="W1401" s="47" t="n"/>
      <c r="X1401" s="47" t="n"/>
      <c r="Y1401" s="47" t="n"/>
      <c r="Z1401" s="47" t="n"/>
      <c r="AA1401" s="47" t="n"/>
      <c r="AB1401" s="47" t="n"/>
      <c r="AC1401" s="47" t="n"/>
      <c r="AD1401" s="47" t="n"/>
      <c r="AE1401" s="47" t="n"/>
      <c r="AF1401" s="20">
        <f>IF(A1401="","",YEAR(EDATE(A1401,-3)))</f>
        <v/>
      </c>
      <c r="AG1401" s="20">
        <f>IF(OR(B1401="",'経歴簿'!$C$4=""),"",IF(B1401&amp;""='経歴簿'!$C$4&amp;"",MAX($AG$4:AG1400)+1,""))</f>
        <v/>
      </c>
      <c r="AH1401" s="20">
        <f>IF(A1401="",0,IF(AND(OR('CSV抽出'!$C$4="",A1401&gt;='CSV抽出'!$C$4),OR('CSV抽出'!$C$5="",A1401&lt;='CSV抽出'!$C$5),OR('CSV抽出'!$C$6="すべて",'CSV抽出'!$C$6="",D1401='CSV抽出'!$C$6),OR('CSV抽出'!$C$7="",B1401&amp;""='CSV抽出'!$C$7&amp;"")),1,0))</f>
        <v/>
      </c>
      <c r="AI1401" s="20">
        <f>IF(AH1401=1,SUM($AH$5:AH1401),"")</f>
        <v/>
      </c>
      <c r="AJ1401" s="20">
        <f>IF(OR(S1401="",'報告書'!$C$4=""),"",IF(S1401&amp;""='報告書'!$C$4&amp;"",COUNTIF($S$5:S1401,'報告書'!$C$4),""))</f>
        <v/>
      </c>
      <c r="AK1401" s="20" t="n"/>
      <c r="AL1401" s="47" t="n"/>
      <c r="AM1401" s="47" t="n"/>
      <c r="AN1401" s="53" t="n"/>
      <c r="AO1401" s="47" t="n"/>
      <c r="AP1401" s="47" t="n"/>
      <c r="AQ1401" s="47" t="n"/>
      <c r="AR1401" s="47" t="n"/>
      <c r="AS1401" s="47" t="n"/>
      <c r="AT1401" s="47" t="n"/>
      <c r="AU1401" s="47" t="n"/>
      <c r="AV1401" s="47" t="n"/>
      <c r="AW1401" s="52" t="n"/>
    </row>
    <row r="1402">
      <c r="A1402" s="48" t="n"/>
      <c r="B1402" s="52" t="n"/>
      <c r="C1402" s="47">
        <f>IF(B1402="","",IFERROR(INDEX('隊員マスタ'!$B$5:$B$204,MATCH(B1402&amp;"",'隊員マスタ'!$F$5:$F$204,0)),IF(AK1402="","番号なし",AK1402)))</f>
        <v/>
      </c>
      <c r="D1402" s="47" t="n"/>
      <c r="E1402" s="47" t="n"/>
      <c r="F1402" s="47" t="n"/>
      <c r="G1402" s="47" t="n"/>
      <c r="H1402" s="47" t="n"/>
      <c r="I1402" s="47" t="n"/>
      <c r="J1402" s="47" t="n"/>
      <c r="K1402" s="47" t="n"/>
      <c r="L1402" s="47" t="n"/>
      <c r="M1402" s="47" t="n"/>
      <c r="N1402" s="47" t="n"/>
      <c r="O1402" s="47" t="n"/>
      <c r="P1402" s="47" t="n"/>
      <c r="Q1402" s="47" t="n"/>
      <c r="R1402" s="47" t="n"/>
      <c r="S1402" s="47" t="n"/>
      <c r="T1402" s="47" t="n"/>
      <c r="U1402" s="53" t="n"/>
      <c r="V1402" s="53" t="n"/>
      <c r="W1402" s="47" t="n"/>
      <c r="X1402" s="47" t="n"/>
      <c r="Y1402" s="47" t="n"/>
      <c r="Z1402" s="47" t="n"/>
      <c r="AA1402" s="47" t="n"/>
      <c r="AB1402" s="47" t="n"/>
      <c r="AC1402" s="47" t="n"/>
      <c r="AD1402" s="47" t="n"/>
      <c r="AE1402" s="47" t="n"/>
      <c r="AF1402" s="20">
        <f>IF(A1402="","",YEAR(EDATE(A1402,-3)))</f>
        <v/>
      </c>
      <c r="AG1402" s="20">
        <f>IF(OR(B1402="",'経歴簿'!$C$4=""),"",IF(B1402&amp;""='経歴簿'!$C$4&amp;"",MAX($AG$4:AG1401)+1,""))</f>
        <v/>
      </c>
      <c r="AH1402" s="20">
        <f>IF(A1402="",0,IF(AND(OR('CSV抽出'!$C$4="",A1402&gt;='CSV抽出'!$C$4),OR('CSV抽出'!$C$5="",A1402&lt;='CSV抽出'!$C$5),OR('CSV抽出'!$C$6="すべて",'CSV抽出'!$C$6="",D1402='CSV抽出'!$C$6),OR('CSV抽出'!$C$7="",B1402&amp;""='CSV抽出'!$C$7&amp;"")),1,0))</f>
        <v/>
      </c>
      <c r="AI1402" s="20">
        <f>IF(AH1402=1,SUM($AH$5:AH1402),"")</f>
        <v/>
      </c>
      <c r="AJ1402" s="20">
        <f>IF(OR(S1402="",'報告書'!$C$4=""),"",IF(S1402&amp;""='報告書'!$C$4&amp;"",COUNTIF($S$5:S1402,'報告書'!$C$4),""))</f>
        <v/>
      </c>
      <c r="AK1402" s="20" t="n"/>
      <c r="AL1402" s="47" t="n"/>
      <c r="AM1402" s="47" t="n"/>
      <c r="AN1402" s="53" t="n"/>
      <c r="AO1402" s="47" t="n"/>
      <c r="AP1402" s="47" t="n"/>
      <c r="AQ1402" s="47" t="n"/>
      <c r="AR1402" s="47" t="n"/>
      <c r="AS1402" s="47" t="n"/>
      <c r="AT1402" s="47" t="n"/>
      <c r="AU1402" s="47" t="n"/>
      <c r="AV1402" s="47" t="n"/>
      <c r="AW1402" s="52" t="n"/>
    </row>
    <row r="1403">
      <c r="A1403" s="48" t="n"/>
      <c r="B1403" s="52" t="n"/>
      <c r="C1403" s="47">
        <f>IF(B1403="","",IFERROR(INDEX('隊員マスタ'!$B$5:$B$204,MATCH(B1403&amp;"",'隊員マスタ'!$F$5:$F$204,0)),IF(AK1403="","番号なし",AK1403)))</f>
        <v/>
      </c>
      <c r="D1403" s="47" t="n"/>
      <c r="E1403" s="47" t="n"/>
      <c r="F1403" s="47" t="n"/>
      <c r="G1403" s="47" t="n"/>
      <c r="H1403" s="47" t="n"/>
      <c r="I1403" s="47" t="n"/>
      <c r="J1403" s="47" t="n"/>
      <c r="K1403" s="47" t="n"/>
      <c r="L1403" s="47" t="n"/>
      <c r="M1403" s="47" t="n"/>
      <c r="N1403" s="47" t="n"/>
      <c r="O1403" s="47" t="n"/>
      <c r="P1403" s="47" t="n"/>
      <c r="Q1403" s="47" t="n"/>
      <c r="R1403" s="47" t="n"/>
      <c r="S1403" s="47" t="n"/>
      <c r="T1403" s="47" t="n"/>
      <c r="U1403" s="53" t="n"/>
      <c r="V1403" s="53" t="n"/>
      <c r="W1403" s="47" t="n"/>
      <c r="X1403" s="47" t="n"/>
      <c r="Y1403" s="47" t="n"/>
      <c r="Z1403" s="47" t="n"/>
      <c r="AA1403" s="47" t="n"/>
      <c r="AB1403" s="47" t="n"/>
      <c r="AC1403" s="47" t="n"/>
      <c r="AD1403" s="47" t="n"/>
      <c r="AE1403" s="47" t="n"/>
      <c r="AF1403" s="20">
        <f>IF(A1403="","",YEAR(EDATE(A1403,-3)))</f>
        <v/>
      </c>
      <c r="AG1403" s="20">
        <f>IF(OR(B1403="",'経歴簿'!$C$4=""),"",IF(B1403&amp;""='経歴簿'!$C$4&amp;"",MAX($AG$4:AG1402)+1,""))</f>
        <v/>
      </c>
      <c r="AH1403" s="20">
        <f>IF(A1403="",0,IF(AND(OR('CSV抽出'!$C$4="",A1403&gt;='CSV抽出'!$C$4),OR('CSV抽出'!$C$5="",A1403&lt;='CSV抽出'!$C$5),OR('CSV抽出'!$C$6="すべて",'CSV抽出'!$C$6="",D1403='CSV抽出'!$C$6),OR('CSV抽出'!$C$7="",B1403&amp;""='CSV抽出'!$C$7&amp;"")),1,0))</f>
        <v/>
      </c>
      <c r="AI1403" s="20">
        <f>IF(AH1403=1,SUM($AH$5:AH1403),"")</f>
        <v/>
      </c>
      <c r="AJ1403" s="20">
        <f>IF(OR(S1403="",'報告書'!$C$4=""),"",IF(S1403&amp;""='報告書'!$C$4&amp;"",COUNTIF($S$5:S1403,'報告書'!$C$4),""))</f>
        <v/>
      </c>
      <c r="AK1403" s="20" t="n"/>
      <c r="AL1403" s="47" t="n"/>
      <c r="AM1403" s="47" t="n"/>
      <c r="AN1403" s="53" t="n"/>
      <c r="AO1403" s="47" t="n"/>
      <c r="AP1403" s="47" t="n"/>
      <c r="AQ1403" s="47" t="n"/>
      <c r="AR1403" s="47" t="n"/>
      <c r="AS1403" s="47" t="n"/>
      <c r="AT1403" s="47" t="n"/>
      <c r="AU1403" s="47" t="n"/>
      <c r="AV1403" s="47" t="n"/>
      <c r="AW1403" s="52" t="n"/>
    </row>
    <row r="1404">
      <c r="A1404" s="48" t="n"/>
      <c r="B1404" s="52" t="n"/>
      <c r="C1404" s="47">
        <f>IF(B1404="","",IFERROR(INDEX('隊員マスタ'!$B$5:$B$204,MATCH(B1404&amp;"",'隊員マスタ'!$F$5:$F$204,0)),IF(AK1404="","番号なし",AK1404)))</f>
        <v/>
      </c>
      <c r="D1404" s="47" t="n"/>
      <c r="E1404" s="47" t="n"/>
      <c r="F1404" s="47" t="n"/>
      <c r="G1404" s="47" t="n"/>
      <c r="H1404" s="47" t="n"/>
      <c r="I1404" s="47" t="n"/>
      <c r="J1404" s="47" t="n"/>
      <c r="K1404" s="47" t="n"/>
      <c r="L1404" s="47" t="n"/>
      <c r="M1404" s="47" t="n"/>
      <c r="N1404" s="47" t="n"/>
      <c r="O1404" s="47" t="n"/>
      <c r="P1404" s="47" t="n"/>
      <c r="Q1404" s="47" t="n"/>
      <c r="R1404" s="47" t="n"/>
      <c r="S1404" s="47" t="n"/>
      <c r="T1404" s="47" t="n"/>
      <c r="U1404" s="53" t="n"/>
      <c r="V1404" s="53" t="n"/>
      <c r="W1404" s="47" t="n"/>
      <c r="X1404" s="47" t="n"/>
      <c r="Y1404" s="47" t="n"/>
      <c r="Z1404" s="47" t="n"/>
      <c r="AA1404" s="47" t="n"/>
      <c r="AB1404" s="47" t="n"/>
      <c r="AC1404" s="47" t="n"/>
      <c r="AD1404" s="47" t="n"/>
      <c r="AE1404" s="47" t="n"/>
      <c r="AF1404" s="20">
        <f>IF(A1404="","",YEAR(EDATE(A1404,-3)))</f>
        <v/>
      </c>
      <c r="AG1404" s="20">
        <f>IF(OR(B1404="",'経歴簿'!$C$4=""),"",IF(B1404&amp;""='経歴簿'!$C$4&amp;"",MAX($AG$4:AG1403)+1,""))</f>
        <v/>
      </c>
      <c r="AH1404" s="20">
        <f>IF(A1404="",0,IF(AND(OR('CSV抽出'!$C$4="",A1404&gt;='CSV抽出'!$C$4),OR('CSV抽出'!$C$5="",A1404&lt;='CSV抽出'!$C$5),OR('CSV抽出'!$C$6="すべて",'CSV抽出'!$C$6="",D1404='CSV抽出'!$C$6),OR('CSV抽出'!$C$7="",B1404&amp;""='CSV抽出'!$C$7&amp;"")),1,0))</f>
        <v/>
      </c>
      <c r="AI1404" s="20">
        <f>IF(AH1404=1,SUM($AH$5:AH1404),"")</f>
        <v/>
      </c>
      <c r="AJ1404" s="20">
        <f>IF(OR(S1404="",'報告書'!$C$4=""),"",IF(S1404&amp;""='報告書'!$C$4&amp;"",COUNTIF($S$5:S1404,'報告書'!$C$4),""))</f>
        <v/>
      </c>
      <c r="AK1404" s="20" t="n"/>
      <c r="AL1404" s="47" t="n"/>
      <c r="AM1404" s="47" t="n"/>
      <c r="AN1404" s="53" t="n"/>
      <c r="AO1404" s="47" t="n"/>
      <c r="AP1404" s="47" t="n"/>
      <c r="AQ1404" s="47" t="n"/>
      <c r="AR1404" s="47" t="n"/>
      <c r="AS1404" s="47" t="n"/>
      <c r="AT1404" s="47" t="n"/>
      <c r="AU1404" s="47" t="n"/>
      <c r="AV1404" s="47" t="n"/>
      <c r="AW1404" s="52" t="n"/>
    </row>
    <row r="1405">
      <c r="A1405" s="48" t="n"/>
      <c r="B1405" s="52" t="n"/>
      <c r="C1405" s="47">
        <f>IF(B1405="","",IFERROR(INDEX('隊員マスタ'!$B$5:$B$204,MATCH(B1405&amp;"",'隊員マスタ'!$F$5:$F$204,0)),IF(AK1405="","番号なし",AK1405)))</f>
        <v/>
      </c>
      <c r="D1405" s="47" t="n"/>
      <c r="E1405" s="47" t="n"/>
      <c r="F1405" s="47" t="n"/>
      <c r="G1405" s="47" t="n"/>
      <c r="H1405" s="47" t="n"/>
      <c r="I1405" s="47" t="n"/>
      <c r="J1405" s="47" t="n"/>
      <c r="K1405" s="47" t="n"/>
      <c r="L1405" s="47" t="n"/>
      <c r="M1405" s="47" t="n"/>
      <c r="N1405" s="47" t="n"/>
      <c r="O1405" s="47" t="n"/>
      <c r="P1405" s="47" t="n"/>
      <c r="Q1405" s="47" t="n"/>
      <c r="R1405" s="47" t="n"/>
      <c r="S1405" s="47" t="n"/>
      <c r="T1405" s="47" t="n"/>
      <c r="U1405" s="53" t="n"/>
      <c r="V1405" s="53" t="n"/>
      <c r="W1405" s="47" t="n"/>
      <c r="X1405" s="47" t="n"/>
      <c r="Y1405" s="47" t="n"/>
      <c r="Z1405" s="47" t="n"/>
      <c r="AA1405" s="47" t="n"/>
      <c r="AB1405" s="47" t="n"/>
      <c r="AC1405" s="47" t="n"/>
      <c r="AD1405" s="47" t="n"/>
      <c r="AE1405" s="47" t="n"/>
      <c r="AF1405" s="20">
        <f>IF(A1405="","",YEAR(EDATE(A1405,-3)))</f>
        <v/>
      </c>
      <c r="AG1405" s="20">
        <f>IF(OR(B1405="",'経歴簿'!$C$4=""),"",IF(B1405&amp;""='経歴簿'!$C$4&amp;"",MAX($AG$4:AG1404)+1,""))</f>
        <v/>
      </c>
      <c r="AH1405" s="20">
        <f>IF(A1405="",0,IF(AND(OR('CSV抽出'!$C$4="",A1405&gt;='CSV抽出'!$C$4),OR('CSV抽出'!$C$5="",A1405&lt;='CSV抽出'!$C$5),OR('CSV抽出'!$C$6="すべて",'CSV抽出'!$C$6="",D1405='CSV抽出'!$C$6),OR('CSV抽出'!$C$7="",B1405&amp;""='CSV抽出'!$C$7&amp;"")),1,0))</f>
        <v/>
      </c>
      <c r="AI1405" s="20">
        <f>IF(AH1405=1,SUM($AH$5:AH1405),"")</f>
        <v/>
      </c>
      <c r="AJ1405" s="20">
        <f>IF(OR(S1405="",'報告書'!$C$4=""),"",IF(S1405&amp;""='報告書'!$C$4&amp;"",COUNTIF($S$5:S1405,'報告書'!$C$4),""))</f>
        <v/>
      </c>
      <c r="AK1405" s="20" t="n"/>
      <c r="AL1405" s="47" t="n"/>
      <c r="AM1405" s="47" t="n"/>
      <c r="AN1405" s="53" t="n"/>
      <c r="AO1405" s="47" t="n"/>
      <c r="AP1405" s="47" t="n"/>
      <c r="AQ1405" s="47" t="n"/>
      <c r="AR1405" s="47" t="n"/>
      <c r="AS1405" s="47" t="n"/>
      <c r="AT1405" s="47" t="n"/>
      <c r="AU1405" s="47" t="n"/>
      <c r="AV1405" s="47" t="n"/>
      <c r="AW1405" s="52" t="n"/>
    </row>
    <row r="1406">
      <c r="A1406" s="48" t="n"/>
      <c r="B1406" s="52" t="n"/>
      <c r="C1406" s="47">
        <f>IF(B1406="","",IFERROR(INDEX('隊員マスタ'!$B$5:$B$204,MATCH(B1406&amp;"",'隊員マスタ'!$F$5:$F$204,0)),IF(AK1406="","番号なし",AK1406)))</f>
        <v/>
      </c>
      <c r="D1406" s="47" t="n"/>
      <c r="E1406" s="47" t="n"/>
      <c r="F1406" s="47" t="n"/>
      <c r="G1406" s="47" t="n"/>
      <c r="H1406" s="47" t="n"/>
      <c r="I1406" s="47" t="n"/>
      <c r="J1406" s="47" t="n"/>
      <c r="K1406" s="47" t="n"/>
      <c r="L1406" s="47" t="n"/>
      <c r="M1406" s="47" t="n"/>
      <c r="N1406" s="47" t="n"/>
      <c r="O1406" s="47" t="n"/>
      <c r="P1406" s="47" t="n"/>
      <c r="Q1406" s="47" t="n"/>
      <c r="R1406" s="47" t="n"/>
      <c r="S1406" s="47" t="n"/>
      <c r="T1406" s="47" t="n"/>
      <c r="U1406" s="53" t="n"/>
      <c r="V1406" s="53" t="n"/>
      <c r="W1406" s="47" t="n"/>
      <c r="X1406" s="47" t="n"/>
      <c r="Y1406" s="47" t="n"/>
      <c r="Z1406" s="47" t="n"/>
      <c r="AA1406" s="47" t="n"/>
      <c r="AB1406" s="47" t="n"/>
      <c r="AC1406" s="47" t="n"/>
      <c r="AD1406" s="47" t="n"/>
      <c r="AE1406" s="47" t="n"/>
      <c r="AF1406" s="20">
        <f>IF(A1406="","",YEAR(EDATE(A1406,-3)))</f>
        <v/>
      </c>
      <c r="AG1406" s="20">
        <f>IF(OR(B1406="",'経歴簿'!$C$4=""),"",IF(B1406&amp;""='経歴簿'!$C$4&amp;"",MAX($AG$4:AG1405)+1,""))</f>
        <v/>
      </c>
      <c r="AH1406" s="20">
        <f>IF(A1406="",0,IF(AND(OR('CSV抽出'!$C$4="",A1406&gt;='CSV抽出'!$C$4),OR('CSV抽出'!$C$5="",A1406&lt;='CSV抽出'!$C$5),OR('CSV抽出'!$C$6="すべて",'CSV抽出'!$C$6="",D1406='CSV抽出'!$C$6),OR('CSV抽出'!$C$7="",B1406&amp;""='CSV抽出'!$C$7&amp;"")),1,0))</f>
        <v/>
      </c>
      <c r="AI1406" s="20">
        <f>IF(AH1406=1,SUM($AH$5:AH1406),"")</f>
        <v/>
      </c>
      <c r="AJ1406" s="20">
        <f>IF(OR(S1406="",'報告書'!$C$4=""),"",IF(S1406&amp;""='報告書'!$C$4&amp;"",COUNTIF($S$5:S1406,'報告書'!$C$4),""))</f>
        <v/>
      </c>
      <c r="AK1406" s="20" t="n"/>
      <c r="AL1406" s="47" t="n"/>
      <c r="AM1406" s="47" t="n"/>
      <c r="AN1406" s="53" t="n"/>
      <c r="AO1406" s="47" t="n"/>
      <c r="AP1406" s="47" t="n"/>
      <c r="AQ1406" s="47" t="n"/>
      <c r="AR1406" s="47" t="n"/>
      <c r="AS1406" s="47" t="n"/>
      <c r="AT1406" s="47" t="n"/>
      <c r="AU1406" s="47" t="n"/>
      <c r="AV1406" s="47" t="n"/>
      <c r="AW1406" s="52" t="n"/>
    </row>
    <row r="1407">
      <c r="A1407" s="48" t="n"/>
      <c r="B1407" s="52" t="n"/>
      <c r="C1407" s="47">
        <f>IF(B1407="","",IFERROR(INDEX('隊員マスタ'!$B$5:$B$204,MATCH(B1407&amp;"",'隊員マスタ'!$F$5:$F$204,0)),IF(AK1407="","番号なし",AK1407)))</f>
        <v/>
      </c>
      <c r="D1407" s="47" t="n"/>
      <c r="E1407" s="47" t="n"/>
      <c r="F1407" s="47" t="n"/>
      <c r="G1407" s="47" t="n"/>
      <c r="H1407" s="47" t="n"/>
      <c r="I1407" s="47" t="n"/>
      <c r="J1407" s="47" t="n"/>
      <c r="K1407" s="47" t="n"/>
      <c r="L1407" s="47" t="n"/>
      <c r="M1407" s="47" t="n"/>
      <c r="N1407" s="47" t="n"/>
      <c r="O1407" s="47" t="n"/>
      <c r="P1407" s="47" t="n"/>
      <c r="Q1407" s="47" t="n"/>
      <c r="R1407" s="47" t="n"/>
      <c r="S1407" s="47" t="n"/>
      <c r="T1407" s="47" t="n"/>
      <c r="U1407" s="53" t="n"/>
      <c r="V1407" s="53" t="n"/>
      <c r="W1407" s="47" t="n"/>
      <c r="X1407" s="47" t="n"/>
      <c r="Y1407" s="47" t="n"/>
      <c r="Z1407" s="47" t="n"/>
      <c r="AA1407" s="47" t="n"/>
      <c r="AB1407" s="47" t="n"/>
      <c r="AC1407" s="47" t="n"/>
      <c r="AD1407" s="47" t="n"/>
      <c r="AE1407" s="47" t="n"/>
      <c r="AF1407" s="20">
        <f>IF(A1407="","",YEAR(EDATE(A1407,-3)))</f>
        <v/>
      </c>
      <c r="AG1407" s="20">
        <f>IF(OR(B1407="",'経歴簿'!$C$4=""),"",IF(B1407&amp;""='経歴簿'!$C$4&amp;"",MAX($AG$4:AG1406)+1,""))</f>
        <v/>
      </c>
      <c r="AH1407" s="20">
        <f>IF(A1407="",0,IF(AND(OR('CSV抽出'!$C$4="",A1407&gt;='CSV抽出'!$C$4),OR('CSV抽出'!$C$5="",A1407&lt;='CSV抽出'!$C$5),OR('CSV抽出'!$C$6="すべて",'CSV抽出'!$C$6="",D1407='CSV抽出'!$C$6),OR('CSV抽出'!$C$7="",B1407&amp;""='CSV抽出'!$C$7&amp;"")),1,0))</f>
        <v/>
      </c>
      <c r="AI1407" s="20">
        <f>IF(AH1407=1,SUM($AH$5:AH1407),"")</f>
        <v/>
      </c>
      <c r="AJ1407" s="20">
        <f>IF(OR(S1407="",'報告書'!$C$4=""),"",IF(S1407&amp;""='報告書'!$C$4&amp;"",COUNTIF($S$5:S1407,'報告書'!$C$4),""))</f>
        <v/>
      </c>
      <c r="AK1407" s="20" t="n"/>
      <c r="AL1407" s="47" t="n"/>
      <c r="AM1407" s="47" t="n"/>
      <c r="AN1407" s="53" t="n"/>
      <c r="AO1407" s="47" t="n"/>
      <c r="AP1407" s="47" t="n"/>
      <c r="AQ1407" s="47" t="n"/>
      <c r="AR1407" s="47" t="n"/>
      <c r="AS1407" s="47" t="n"/>
      <c r="AT1407" s="47" t="n"/>
      <c r="AU1407" s="47" t="n"/>
      <c r="AV1407" s="47" t="n"/>
      <c r="AW1407" s="52" t="n"/>
    </row>
    <row r="1408">
      <c r="A1408" s="48" t="n"/>
      <c r="B1408" s="52" t="n"/>
      <c r="C1408" s="47">
        <f>IF(B1408="","",IFERROR(INDEX('隊員マスタ'!$B$5:$B$204,MATCH(B1408&amp;"",'隊員マスタ'!$F$5:$F$204,0)),IF(AK1408="","番号なし",AK1408)))</f>
        <v/>
      </c>
      <c r="D1408" s="47" t="n"/>
      <c r="E1408" s="47" t="n"/>
      <c r="F1408" s="47" t="n"/>
      <c r="G1408" s="47" t="n"/>
      <c r="H1408" s="47" t="n"/>
      <c r="I1408" s="47" t="n"/>
      <c r="J1408" s="47" t="n"/>
      <c r="K1408" s="47" t="n"/>
      <c r="L1408" s="47" t="n"/>
      <c r="M1408" s="47" t="n"/>
      <c r="N1408" s="47" t="n"/>
      <c r="O1408" s="47" t="n"/>
      <c r="P1408" s="47" t="n"/>
      <c r="Q1408" s="47" t="n"/>
      <c r="R1408" s="47" t="n"/>
      <c r="S1408" s="47" t="n"/>
      <c r="T1408" s="47" t="n"/>
      <c r="U1408" s="53" t="n"/>
      <c r="V1408" s="53" t="n"/>
      <c r="W1408" s="47" t="n"/>
      <c r="X1408" s="47" t="n"/>
      <c r="Y1408" s="47" t="n"/>
      <c r="Z1408" s="47" t="n"/>
      <c r="AA1408" s="47" t="n"/>
      <c r="AB1408" s="47" t="n"/>
      <c r="AC1408" s="47" t="n"/>
      <c r="AD1408" s="47" t="n"/>
      <c r="AE1408" s="47" t="n"/>
      <c r="AF1408" s="20">
        <f>IF(A1408="","",YEAR(EDATE(A1408,-3)))</f>
        <v/>
      </c>
      <c r="AG1408" s="20">
        <f>IF(OR(B1408="",'経歴簿'!$C$4=""),"",IF(B1408&amp;""='経歴簿'!$C$4&amp;"",MAX($AG$4:AG1407)+1,""))</f>
        <v/>
      </c>
      <c r="AH1408" s="20">
        <f>IF(A1408="",0,IF(AND(OR('CSV抽出'!$C$4="",A1408&gt;='CSV抽出'!$C$4),OR('CSV抽出'!$C$5="",A1408&lt;='CSV抽出'!$C$5),OR('CSV抽出'!$C$6="すべて",'CSV抽出'!$C$6="",D1408='CSV抽出'!$C$6),OR('CSV抽出'!$C$7="",B1408&amp;""='CSV抽出'!$C$7&amp;"")),1,0))</f>
        <v/>
      </c>
      <c r="AI1408" s="20">
        <f>IF(AH1408=1,SUM($AH$5:AH1408),"")</f>
        <v/>
      </c>
      <c r="AJ1408" s="20">
        <f>IF(OR(S1408="",'報告書'!$C$4=""),"",IF(S1408&amp;""='報告書'!$C$4&amp;"",COUNTIF($S$5:S1408,'報告書'!$C$4),""))</f>
        <v/>
      </c>
      <c r="AK1408" s="20" t="n"/>
      <c r="AL1408" s="47" t="n"/>
      <c r="AM1408" s="47" t="n"/>
      <c r="AN1408" s="53" t="n"/>
      <c r="AO1408" s="47" t="n"/>
      <c r="AP1408" s="47" t="n"/>
      <c r="AQ1408" s="47" t="n"/>
      <c r="AR1408" s="47" t="n"/>
      <c r="AS1408" s="47" t="n"/>
      <c r="AT1408" s="47" t="n"/>
      <c r="AU1408" s="47" t="n"/>
      <c r="AV1408" s="47" t="n"/>
      <c r="AW1408" s="52" t="n"/>
    </row>
    <row r="1409">
      <c r="A1409" s="48" t="n"/>
      <c r="B1409" s="52" t="n"/>
      <c r="C1409" s="47">
        <f>IF(B1409="","",IFERROR(INDEX('隊員マスタ'!$B$5:$B$204,MATCH(B1409&amp;"",'隊員マスタ'!$F$5:$F$204,0)),IF(AK1409="","番号なし",AK1409)))</f>
        <v/>
      </c>
      <c r="D1409" s="47" t="n"/>
      <c r="E1409" s="47" t="n"/>
      <c r="F1409" s="47" t="n"/>
      <c r="G1409" s="47" t="n"/>
      <c r="H1409" s="47" t="n"/>
      <c r="I1409" s="47" t="n"/>
      <c r="J1409" s="47" t="n"/>
      <c r="K1409" s="47" t="n"/>
      <c r="L1409" s="47" t="n"/>
      <c r="M1409" s="47" t="n"/>
      <c r="N1409" s="47" t="n"/>
      <c r="O1409" s="47" t="n"/>
      <c r="P1409" s="47" t="n"/>
      <c r="Q1409" s="47" t="n"/>
      <c r="R1409" s="47" t="n"/>
      <c r="S1409" s="47" t="n"/>
      <c r="T1409" s="47" t="n"/>
      <c r="U1409" s="53" t="n"/>
      <c r="V1409" s="53" t="n"/>
      <c r="W1409" s="47" t="n"/>
      <c r="X1409" s="47" t="n"/>
      <c r="Y1409" s="47" t="n"/>
      <c r="Z1409" s="47" t="n"/>
      <c r="AA1409" s="47" t="n"/>
      <c r="AB1409" s="47" t="n"/>
      <c r="AC1409" s="47" t="n"/>
      <c r="AD1409" s="47" t="n"/>
      <c r="AE1409" s="47" t="n"/>
      <c r="AF1409" s="20">
        <f>IF(A1409="","",YEAR(EDATE(A1409,-3)))</f>
        <v/>
      </c>
      <c r="AG1409" s="20">
        <f>IF(OR(B1409="",'経歴簿'!$C$4=""),"",IF(B1409&amp;""='経歴簿'!$C$4&amp;"",MAX($AG$4:AG1408)+1,""))</f>
        <v/>
      </c>
      <c r="AH1409" s="20">
        <f>IF(A1409="",0,IF(AND(OR('CSV抽出'!$C$4="",A1409&gt;='CSV抽出'!$C$4),OR('CSV抽出'!$C$5="",A1409&lt;='CSV抽出'!$C$5),OR('CSV抽出'!$C$6="すべて",'CSV抽出'!$C$6="",D1409='CSV抽出'!$C$6),OR('CSV抽出'!$C$7="",B1409&amp;""='CSV抽出'!$C$7&amp;"")),1,0))</f>
        <v/>
      </c>
      <c r="AI1409" s="20">
        <f>IF(AH1409=1,SUM($AH$5:AH1409),"")</f>
        <v/>
      </c>
      <c r="AJ1409" s="20">
        <f>IF(OR(S1409="",'報告書'!$C$4=""),"",IF(S1409&amp;""='報告書'!$C$4&amp;"",COUNTIF($S$5:S1409,'報告書'!$C$4),""))</f>
        <v/>
      </c>
      <c r="AK1409" s="20" t="n"/>
      <c r="AL1409" s="47" t="n"/>
      <c r="AM1409" s="47" t="n"/>
      <c r="AN1409" s="53" t="n"/>
      <c r="AO1409" s="47" t="n"/>
      <c r="AP1409" s="47" t="n"/>
      <c r="AQ1409" s="47" t="n"/>
      <c r="AR1409" s="47" t="n"/>
      <c r="AS1409" s="47" t="n"/>
      <c r="AT1409" s="47" t="n"/>
      <c r="AU1409" s="47" t="n"/>
      <c r="AV1409" s="47" t="n"/>
      <c r="AW1409" s="52" t="n"/>
    </row>
    <row r="1410">
      <c r="A1410" s="48" t="n"/>
      <c r="B1410" s="52" t="n"/>
      <c r="C1410" s="47">
        <f>IF(B1410="","",IFERROR(INDEX('隊員マスタ'!$B$5:$B$204,MATCH(B1410&amp;"",'隊員マスタ'!$F$5:$F$204,0)),IF(AK1410="","番号なし",AK1410)))</f>
        <v/>
      </c>
      <c r="D1410" s="47" t="n"/>
      <c r="E1410" s="47" t="n"/>
      <c r="F1410" s="47" t="n"/>
      <c r="G1410" s="47" t="n"/>
      <c r="H1410" s="47" t="n"/>
      <c r="I1410" s="47" t="n"/>
      <c r="J1410" s="47" t="n"/>
      <c r="K1410" s="47" t="n"/>
      <c r="L1410" s="47" t="n"/>
      <c r="M1410" s="47" t="n"/>
      <c r="N1410" s="47" t="n"/>
      <c r="O1410" s="47" t="n"/>
      <c r="P1410" s="47" t="n"/>
      <c r="Q1410" s="47" t="n"/>
      <c r="R1410" s="47" t="n"/>
      <c r="S1410" s="47" t="n"/>
      <c r="T1410" s="47" t="n"/>
      <c r="U1410" s="53" t="n"/>
      <c r="V1410" s="53" t="n"/>
      <c r="W1410" s="47" t="n"/>
      <c r="X1410" s="47" t="n"/>
      <c r="Y1410" s="47" t="n"/>
      <c r="Z1410" s="47" t="n"/>
      <c r="AA1410" s="47" t="n"/>
      <c r="AB1410" s="47" t="n"/>
      <c r="AC1410" s="47" t="n"/>
      <c r="AD1410" s="47" t="n"/>
      <c r="AE1410" s="47" t="n"/>
      <c r="AF1410" s="20">
        <f>IF(A1410="","",YEAR(EDATE(A1410,-3)))</f>
        <v/>
      </c>
      <c r="AG1410" s="20">
        <f>IF(OR(B1410="",'経歴簿'!$C$4=""),"",IF(B1410&amp;""='経歴簿'!$C$4&amp;"",MAX($AG$4:AG1409)+1,""))</f>
        <v/>
      </c>
      <c r="AH1410" s="20">
        <f>IF(A1410="",0,IF(AND(OR('CSV抽出'!$C$4="",A1410&gt;='CSV抽出'!$C$4),OR('CSV抽出'!$C$5="",A1410&lt;='CSV抽出'!$C$5),OR('CSV抽出'!$C$6="すべて",'CSV抽出'!$C$6="",D1410='CSV抽出'!$C$6),OR('CSV抽出'!$C$7="",B1410&amp;""='CSV抽出'!$C$7&amp;"")),1,0))</f>
        <v/>
      </c>
      <c r="AI1410" s="20">
        <f>IF(AH1410=1,SUM($AH$5:AH1410),"")</f>
        <v/>
      </c>
      <c r="AJ1410" s="20">
        <f>IF(OR(S1410="",'報告書'!$C$4=""),"",IF(S1410&amp;""='報告書'!$C$4&amp;"",COUNTIF($S$5:S1410,'報告書'!$C$4),""))</f>
        <v/>
      </c>
      <c r="AK1410" s="20" t="n"/>
      <c r="AL1410" s="47" t="n"/>
      <c r="AM1410" s="47" t="n"/>
      <c r="AN1410" s="53" t="n"/>
      <c r="AO1410" s="47" t="n"/>
      <c r="AP1410" s="47" t="n"/>
      <c r="AQ1410" s="47" t="n"/>
      <c r="AR1410" s="47" t="n"/>
      <c r="AS1410" s="47" t="n"/>
      <c r="AT1410" s="47" t="n"/>
      <c r="AU1410" s="47" t="n"/>
      <c r="AV1410" s="47" t="n"/>
      <c r="AW1410" s="52" t="n"/>
    </row>
    <row r="1411">
      <c r="A1411" s="48" t="n"/>
      <c r="B1411" s="52" t="n"/>
      <c r="C1411" s="47">
        <f>IF(B1411="","",IFERROR(INDEX('隊員マスタ'!$B$5:$B$204,MATCH(B1411&amp;"",'隊員マスタ'!$F$5:$F$204,0)),IF(AK1411="","番号なし",AK1411)))</f>
        <v/>
      </c>
      <c r="D1411" s="47" t="n"/>
      <c r="E1411" s="47" t="n"/>
      <c r="F1411" s="47" t="n"/>
      <c r="G1411" s="47" t="n"/>
      <c r="H1411" s="47" t="n"/>
      <c r="I1411" s="47" t="n"/>
      <c r="J1411" s="47" t="n"/>
      <c r="K1411" s="47" t="n"/>
      <c r="L1411" s="47" t="n"/>
      <c r="M1411" s="47" t="n"/>
      <c r="N1411" s="47" t="n"/>
      <c r="O1411" s="47" t="n"/>
      <c r="P1411" s="47" t="n"/>
      <c r="Q1411" s="47" t="n"/>
      <c r="R1411" s="47" t="n"/>
      <c r="S1411" s="47" t="n"/>
      <c r="T1411" s="47" t="n"/>
      <c r="U1411" s="53" t="n"/>
      <c r="V1411" s="53" t="n"/>
      <c r="W1411" s="47" t="n"/>
      <c r="X1411" s="47" t="n"/>
      <c r="Y1411" s="47" t="n"/>
      <c r="Z1411" s="47" t="n"/>
      <c r="AA1411" s="47" t="n"/>
      <c r="AB1411" s="47" t="n"/>
      <c r="AC1411" s="47" t="n"/>
      <c r="AD1411" s="47" t="n"/>
      <c r="AE1411" s="47" t="n"/>
      <c r="AF1411" s="20">
        <f>IF(A1411="","",YEAR(EDATE(A1411,-3)))</f>
        <v/>
      </c>
      <c r="AG1411" s="20">
        <f>IF(OR(B1411="",'経歴簿'!$C$4=""),"",IF(B1411&amp;""='経歴簿'!$C$4&amp;"",MAX($AG$4:AG1410)+1,""))</f>
        <v/>
      </c>
      <c r="AH1411" s="20">
        <f>IF(A1411="",0,IF(AND(OR('CSV抽出'!$C$4="",A1411&gt;='CSV抽出'!$C$4),OR('CSV抽出'!$C$5="",A1411&lt;='CSV抽出'!$C$5),OR('CSV抽出'!$C$6="すべて",'CSV抽出'!$C$6="",D1411='CSV抽出'!$C$6),OR('CSV抽出'!$C$7="",B1411&amp;""='CSV抽出'!$C$7&amp;"")),1,0))</f>
        <v/>
      </c>
      <c r="AI1411" s="20">
        <f>IF(AH1411=1,SUM($AH$5:AH1411),"")</f>
        <v/>
      </c>
      <c r="AJ1411" s="20">
        <f>IF(OR(S1411="",'報告書'!$C$4=""),"",IF(S1411&amp;""='報告書'!$C$4&amp;"",COUNTIF($S$5:S1411,'報告書'!$C$4),""))</f>
        <v/>
      </c>
      <c r="AK1411" s="20" t="n"/>
      <c r="AL1411" s="47" t="n"/>
      <c r="AM1411" s="47" t="n"/>
      <c r="AN1411" s="53" t="n"/>
      <c r="AO1411" s="47" t="n"/>
      <c r="AP1411" s="47" t="n"/>
      <c r="AQ1411" s="47" t="n"/>
      <c r="AR1411" s="47" t="n"/>
      <c r="AS1411" s="47" t="n"/>
      <c r="AT1411" s="47" t="n"/>
      <c r="AU1411" s="47" t="n"/>
      <c r="AV1411" s="47" t="n"/>
      <c r="AW1411" s="52" t="n"/>
    </row>
    <row r="1412">
      <c r="A1412" s="48" t="n"/>
      <c r="B1412" s="52" t="n"/>
      <c r="C1412" s="47">
        <f>IF(B1412="","",IFERROR(INDEX('隊員マスタ'!$B$5:$B$204,MATCH(B1412&amp;"",'隊員マスタ'!$F$5:$F$204,0)),IF(AK1412="","番号なし",AK1412)))</f>
        <v/>
      </c>
      <c r="D1412" s="47" t="n"/>
      <c r="E1412" s="47" t="n"/>
      <c r="F1412" s="47" t="n"/>
      <c r="G1412" s="47" t="n"/>
      <c r="H1412" s="47" t="n"/>
      <c r="I1412" s="47" t="n"/>
      <c r="J1412" s="47" t="n"/>
      <c r="K1412" s="47" t="n"/>
      <c r="L1412" s="47" t="n"/>
      <c r="M1412" s="47" t="n"/>
      <c r="N1412" s="47" t="n"/>
      <c r="O1412" s="47" t="n"/>
      <c r="P1412" s="47" t="n"/>
      <c r="Q1412" s="47" t="n"/>
      <c r="R1412" s="47" t="n"/>
      <c r="S1412" s="47" t="n"/>
      <c r="T1412" s="47" t="n"/>
      <c r="U1412" s="53" t="n"/>
      <c r="V1412" s="53" t="n"/>
      <c r="W1412" s="47" t="n"/>
      <c r="X1412" s="47" t="n"/>
      <c r="Y1412" s="47" t="n"/>
      <c r="Z1412" s="47" t="n"/>
      <c r="AA1412" s="47" t="n"/>
      <c r="AB1412" s="47" t="n"/>
      <c r="AC1412" s="47" t="n"/>
      <c r="AD1412" s="47" t="n"/>
      <c r="AE1412" s="47" t="n"/>
      <c r="AF1412" s="20">
        <f>IF(A1412="","",YEAR(EDATE(A1412,-3)))</f>
        <v/>
      </c>
      <c r="AG1412" s="20">
        <f>IF(OR(B1412="",'経歴簿'!$C$4=""),"",IF(B1412&amp;""='経歴簿'!$C$4&amp;"",MAX($AG$4:AG1411)+1,""))</f>
        <v/>
      </c>
      <c r="AH1412" s="20">
        <f>IF(A1412="",0,IF(AND(OR('CSV抽出'!$C$4="",A1412&gt;='CSV抽出'!$C$4),OR('CSV抽出'!$C$5="",A1412&lt;='CSV抽出'!$C$5),OR('CSV抽出'!$C$6="すべて",'CSV抽出'!$C$6="",D1412='CSV抽出'!$C$6),OR('CSV抽出'!$C$7="",B1412&amp;""='CSV抽出'!$C$7&amp;"")),1,0))</f>
        <v/>
      </c>
      <c r="AI1412" s="20">
        <f>IF(AH1412=1,SUM($AH$5:AH1412),"")</f>
        <v/>
      </c>
      <c r="AJ1412" s="20">
        <f>IF(OR(S1412="",'報告書'!$C$4=""),"",IF(S1412&amp;""='報告書'!$C$4&amp;"",COUNTIF($S$5:S1412,'報告書'!$C$4),""))</f>
        <v/>
      </c>
      <c r="AK1412" s="20" t="n"/>
      <c r="AL1412" s="47" t="n"/>
      <c r="AM1412" s="47" t="n"/>
      <c r="AN1412" s="53" t="n"/>
      <c r="AO1412" s="47" t="n"/>
      <c r="AP1412" s="47" t="n"/>
      <c r="AQ1412" s="47" t="n"/>
      <c r="AR1412" s="47" t="n"/>
      <c r="AS1412" s="47" t="n"/>
      <c r="AT1412" s="47" t="n"/>
      <c r="AU1412" s="47" t="n"/>
      <c r="AV1412" s="47" t="n"/>
      <c r="AW1412" s="52" t="n"/>
    </row>
    <row r="1413">
      <c r="A1413" s="48" t="n"/>
      <c r="B1413" s="52" t="n"/>
      <c r="C1413" s="47">
        <f>IF(B1413="","",IFERROR(INDEX('隊員マスタ'!$B$5:$B$204,MATCH(B1413&amp;"",'隊員マスタ'!$F$5:$F$204,0)),IF(AK1413="","番号なし",AK1413)))</f>
        <v/>
      </c>
      <c r="D1413" s="47" t="n"/>
      <c r="E1413" s="47" t="n"/>
      <c r="F1413" s="47" t="n"/>
      <c r="G1413" s="47" t="n"/>
      <c r="H1413" s="47" t="n"/>
      <c r="I1413" s="47" t="n"/>
      <c r="J1413" s="47" t="n"/>
      <c r="K1413" s="47" t="n"/>
      <c r="L1413" s="47" t="n"/>
      <c r="M1413" s="47" t="n"/>
      <c r="N1413" s="47" t="n"/>
      <c r="O1413" s="47" t="n"/>
      <c r="P1413" s="47" t="n"/>
      <c r="Q1413" s="47" t="n"/>
      <c r="R1413" s="47" t="n"/>
      <c r="S1413" s="47" t="n"/>
      <c r="T1413" s="47" t="n"/>
      <c r="U1413" s="53" t="n"/>
      <c r="V1413" s="53" t="n"/>
      <c r="W1413" s="47" t="n"/>
      <c r="X1413" s="47" t="n"/>
      <c r="Y1413" s="47" t="n"/>
      <c r="Z1413" s="47" t="n"/>
      <c r="AA1413" s="47" t="n"/>
      <c r="AB1413" s="47" t="n"/>
      <c r="AC1413" s="47" t="n"/>
      <c r="AD1413" s="47" t="n"/>
      <c r="AE1413" s="47" t="n"/>
      <c r="AF1413" s="20">
        <f>IF(A1413="","",YEAR(EDATE(A1413,-3)))</f>
        <v/>
      </c>
      <c r="AG1413" s="20">
        <f>IF(OR(B1413="",'経歴簿'!$C$4=""),"",IF(B1413&amp;""='経歴簿'!$C$4&amp;"",MAX($AG$4:AG1412)+1,""))</f>
        <v/>
      </c>
      <c r="AH1413" s="20">
        <f>IF(A1413="",0,IF(AND(OR('CSV抽出'!$C$4="",A1413&gt;='CSV抽出'!$C$4),OR('CSV抽出'!$C$5="",A1413&lt;='CSV抽出'!$C$5),OR('CSV抽出'!$C$6="すべて",'CSV抽出'!$C$6="",D1413='CSV抽出'!$C$6),OR('CSV抽出'!$C$7="",B1413&amp;""='CSV抽出'!$C$7&amp;"")),1,0))</f>
        <v/>
      </c>
      <c r="AI1413" s="20">
        <f>IF(AH1413=1,SUM($AH$5:AH1413),"")</f>
        <v/>
      </c>
      <c r="AJ1413" s="20">
        <f>IF(OR(S1413="",'報告書'!$C$4=""),"",IF(S1413&amp;""='報告書'!$C$4&amp;"",COUNTIF($S$5:S1413,'報告書'!$C$4),""))</f>
        <v/>
      </c>
      <c r="AK1413" s="20" t="n"/>
      <c r="AL1413" s="47" t="n"/>
      <c r="AM1413" s="47" t="n"/>
      <c r="AN1413" s="53" t="n"/>
      <c r="AO1413" s="47" t="n"/>
      <c r="AP1413" s="47" t="n"/>
      <c r="AQ1413" s="47" t="n"/>
      <c r="AR1413" s="47" t="n"/>
      <c r="AS1413" s="47" t="n"/>
      <c r="AT1413" s="47" t="n"/>
      <c r="AU1413" s="47" t="n"/>
      <c r="AV1413" s="47" t="n"/>
      <c r="AW1413" s="52" t="n"/>
    </row>
    <row r="1414">
      <c r="A1414" s="48" t="n"/>
      <c r="B1414" s="52" t="n"/>
      <c r="C1414" s="47">
        <f>IF(B1414="","",IFERROR(INDEX('隊員マスタ'!$B$5:$B$204,MATCH(B1414&amp;"",'隊員マスタ'!$F$5:$F$204,0)),IF(AK1414="","番号なし",AK1414)))</f>
        <v/>
      </c>
      <c r="D1414" s="47" t="n"/>
      <c r="E1414" s="47" t="n"/>
      <c r="F1414" s="47" t="n"/>
      <c r="G1414" s="47" t="n"/>
      <c r="H1414" s="47" t="n"/>
      <c r="I1414" s="47" t="n"/>
      <c r="J1414" s="47" t="n"/>
      <c r="K1414" s="47" t="n"/>
      <c r="L1414" s="47" t="n"/>
      <c r="M1414" s="47" t="n"/>
      <c r="N1414" s="47" t="n"/>
      <c r="O1414" s="47" t="n"/>
      <c r="P1414" s="47" t="n"/>
      <c r="Q1414" s="47" t="n"/>
      <c r="R1414" s="47" t="n"/>
      <c r="S1414" s="47" t="n"/>
      <c r="T1414" s="47" t="n"/>
      <c r="U1414" s="53" t="n"/>
      <c r="V1414" s="53" t="n"/>
      <c r="W1414" s="47" t="n"/>
      <c r="X1414" s="47" t="n"/>
      <c r="Y1414" s="47" t="n"/>
      <c r="Z1414" s="47" t="n"/>
      <c r="AA1414" s="47" t="n"/>
      <c r="AB1414" s="47" t="n"/>
      <c r="AC1414" s="47" t="n"/>
      <c r="AD1414" s="47" t="n"/>
      <c r="AE1414" s="47" t="n"/>
      <c r="AF1414" s="20">
        <f>IF(A1414="","",YEAR(EDATE(A1414,-3)))</f>
        <v/>
      </c>
      <c r="AG1414" s="20">
        <f>IF(OR(B1414="",'経歴簿'!$C$4=""),"",IF(B1414&amp;""='経歴簿'!$C$4&amp;"",MAX($AG$4:AG1413)+1,""))</f>
        <v/>
      </c>
      <c r="AH1414" s="20">
        <f>IF(A1414="",0,IF(AND(OR('CSV抽出'!$C$4="",A1414&gt;='CSV抽出'!$C$4),OR('CSV抽出'!$C$5="",A1414&lt;='CSV抽出'!$C$5),OR('CSV抽出'!$C$6="すべて",'CSV抽出'!$C$6="",D1414='CSV抽出'!$C$6),OR('CSV抽出'!$C$7="",B1414&amp;""='CSV抽出'!$C$7&amp;"")),1,0))</f>
        <v/>
      </c>
      <c r="AI1414" s="20">
        <f>IF(AH1414=1,SUM($AH$5:AH1414),"")</f>
        <v/>
      </c>
      <c r="AJ1414" s="20">
        <f>IF(OR(S1414="",'報告書'!$C$4=""),"",IF(S1414&amp;""='報告書'!$C$4&amp;"",COUNTIF($S$5:S1414,'報告書'!$C$4),""))</f>
        <v/>
      </c>
      <c r="AK1414" s="20" t="n"/>
      <c r="AL1414" s="47" t="n"/>
      <c r="AM1414" s="47" t="n"/>
      <c r="AN1414" s="53" t="n"/>
      <c r="AO1414" s="47" t="n"/>
      <c r="AP1414" s="47" t="n"/>
      <c r="AQ1414" s="47" t="n"/>
      <c r="AR1414" s="47" t="n"/>
      <c r="AS1414" s="47" t="n"/>
      <c r="AT1414" s="47" t="n"/>
      <c r="AU1414" s="47" t="n"/>
      <c r="AV1414" s="47" t="n"/>
      <c r="AW1414" s="52" t="n"/>
    </row>
    <row r="1415">
      <c r="A1415" s="48" t="n"/>
      <c r="B1415" s="52" t="n"/>
      <c r="C1415" s="47">
        <f>IF(B1415="","",IFERROR(INDEX('隊員マスタ'!$B$5:$B$204,MATCH(B1415&amp;"",'隊員マスタ'!$F$5:$F$204,0)),IF(AK1415="","番号なし",AK1415)))</f>
        <v/>
      </c>
      <c r="D1415" s="47" t="n"/>
      <c r="E1415" s="47" t="n"/>
      <c r="F1415" s="47" t="n"/>
      <c r="G1415" s="47" t="n"/>
      <c r="H1415" s="47" t="n"/>
      <c r="I1415" s="47" t="n"/>
      <c r="J1415" s="47" t="n"/>
      <c r="K1415" s="47" t="n"/>
      <c r="L1415" s="47" t="n"/>
      <c r="M1415" s="47" t="n"/>
      <c r="N1415" s="47" t="n"/>
      <c r="O1415" s="47" t="n"/>
      <c r="P1415" s="47" t="n"/>
      <c r="Q1415" s="47" t="n"/>
      <c r="R1415" s="47" t="n"/>
      <c r="S1415" s="47" t="n"/>
      <c r="T1415" s="47" t="n"/>
      <c r="U1415" s="53" t="n"/>
      <c r="V1415" s="53" t="n"/>
      <c r="W1415" s="47" t="n"/>
      <c r="X1415" s="47" t="n"/>
      <c r="Y1415" s="47" t="n"/>
      <c r="Z1415" s="47" t="n"/>
      <c r="AA1415" s="47" t="n"/>
      <c r="AB1415" s="47" t="n"/>
      <c r="AC1415" s="47" t="n"/>
      <c r="AD1415" s="47" t="n"/>
      <c r="AE1415" s="47" t="n"/>
      <c r="AF1415" s="20">
        <f>IF(A1415="","",YEAR(EDATE(A1415,-3)))</f>
        <v/>
      </c>
      <c r="AG1415" s="20">
        <f>IF(OR(B1415="",'経歴簿'!$C$4=""),"",IF(B1415&amp;""='経歴簿'!$C$4&amp;"",MAX($AG$4:AG1414)+1,""))</f>
        <v/>
      </c>
      <c r="AH1415" s="20">
        <f>IF(A1415="",0,IF(AND(OR('CSV抽出'!$C$4="",A1415&gt;='CSV抽出'!$C$4),OR('CSV抽出'!$C$5="",A1415&lt;='CSV抽出'!$C$5),OR('CSV抽出'!$C$6="すべて",'CSV抽出'!$C$6="",D1415='CSV抽出'!$C$6),OR('CSV抽出'!$C$7="",B1415&amp;""='CSV抽出'!$C$7&amp;"")),1,0))</f>
        <v/>
      </c>
      <c r="AI1415" s="20">
        <f>IF(AH1415=1,SUM($AH$5:AH1415),"")</f>
        <v/>
      </c>
      <c r="AJ1415" s="20">
        <f>IF(OR(S1415="",'報告書'!$C$4=""),"",IF(S1415&amp;""='報告書'!$C$4&amp;"",COUNTIF($S$5:S1415,'報告書'!$C$4),""))</f>
        <v/>
      </c>
      <c r="AK1415" s="20" t="n"/>
      <c r="AL1415" s="47" t="n"/>
      <c r="AM1415" s="47" t="n"/>
      <c r="AN1415" s="53" t="n"/>
      <c r="AO1415" s="47" t="n"/>
      <c r="AP1415" s="47" t="n"/>
      <c r="AQ1415" s="47" t="n"/>
      <c r="AR1415" s="47" t="n"/>
      <c r="AS1415" s="47" t="n"/>
      <c r="AT1415" s="47" t="n"/>
      <c r="AU1415" s="47" t="n"/>
      <c r="AV1415" s="47" t="n"/>
      <c r="AW1415" s="52" t="n"/>
    </row>
    <row r="1416">
      <c r="A1416" s="48" t="n"/>
      <c r="B1416" s="52" t="n"/>
      <c r="C1416" s="47">
        <f>IF(B1416="","",IFERROR(INDEX('隊員マスタ'!$B$5:$B$204,MATCH(B1416&amp;"",'隊員マスタ'!$F$5:$F$204,0)),IF(AK1416="","番号なし",AK1416)))</f>
        <v/>
      </c>
      <c r="D1416" s="47" t="n"/>
      <c r="E1416" s="47" t="n"/>
      <c r="F1416" s="47" t="n"/>
      <c r="G1416" s="47" t="n"/>
      <c r="H1416" s="47" t="n"/>
      <c r="I1416" s="47" t="n"/>
      <c r="J1416" s="47" t="n"/>
      <c r="K1416" s="47" t="n"/>
      <c r="L1416" s="47" t="n"/>
      <c r="M1416" s="47" t="n"/>
      <c r="N1416" s="47" t="n"/>
      <c r="O1416" s="47" t="n"/>
      <c r="P1416" s="47" t="n"/>
      <c r="Q1416" s="47" t="n"/>
      <c r="R1416" s="47" t="n"/>
      <c r="S1416" s="47" t="n"/>
      <c r="T1416" s="47" t="n"/>
      <c r="U1416" s="53" t="n"/>
      <c r="V1416" s="53" t="n"/>
      <c r="W1416" s="47" t="n"/>
      <c r="X1416" s="47" t="n"/>
      <c r="Y1416" s="47" t="n"/>
      <c r="Z1416" s="47" t="n"/>
      <c r="AA1416" s="47" t="n"/>
      <c r="AB1416" s="47" t="n"/>
      <c r="AC1416" s="47" t="n"/>
      <c r="AD1416" s="47" t="n"/>
      <c r="AE1416" s="47" t="n"/>
      <c r="AF1416" s="20">
        <f>IF(A1416="","",YEAR(EDATE(A1416,-3)))</f>
        <v/>
      </c>
      <c r="AG1416" s="20">
        <f>IF(OR(B1416="",'経歴簿'!$C$4=""),"",IF(B1416&amp;""='経歴簿'!$C$4&amp;"",MAX($AG$4:AG1415)+1,""))</f>
        <v/>
      </c>
      <c r="AH1416" s="20">
        <f>IF(A1416="",0,IF(AND(OR('CSV抽出'!$C$4="",A1416&gt;='CSV抽出'!$C$4),OR('CSV抽出'!$C$5="",A1416&lt;='CSV抽出'!$C$5),OR('CSV抽出'!$C$6="すべて",'CSV抽出'!$C$6="",D1416='CSV抽出'!$C$6),OR('CSV抽出'!$C$7="",B1416&amp;""='CSV抽出'!$C$7&amp;"")),1,0))</f>
        <v/>
      </c>
      <c r="AI1416" s="20">
        <f>IF(AH1416=1,SUM($AH$5:AH1416),"")</f>
        <v/>
      </c>
      <c r="AJ1416" s="20">
        <f>IF(OR(S1416="",'報告書'!$C$4=""),"",IF(S1416&amp;""='報告書'!$C$4&amp;"",COUNTIF($S$5:S1416,'報告書'!$C$4),""))</f>
        <v/>
      </c>
      <c r="AK1416" s="20" t="n"/>
      <c r="AL1416" s="47" t="n"/>
      <c r="AM1416" s="47" t="n"/>
      <c r="AN1416" s="53" t="n"/>
      <c r="AO1416" s="47" t="n"/>
      <c r="AP1416" s="47" t="n"/>
      <c r="AQ1416" s="47" t="n"/>
      <c r="AR1416" s="47" t="n"/>
      <c r="AS1416" s="47" t="n"/>
      <c r="AT1416" s="47" t="n"/>
      <c r="AU1416" s="47" t="n"/>
      <c r="AV1416" s="47" t="n"/>
      <c r="AW1416" s="52" t="n"/>
    </row>
    <row r="1417">
      <c r="A1417" s="48" t="n"/>
      <c r="B1417" s="52" t="n"/>
      <c r="C1417" s="47">
        <f>IF(B1417="","",IFERROR(INDEX('隊員マスタ'!$B$5:$B$204,MATCH(B1417&amp;"",'隊員マスタ'!$F$5:$F$204,0)),IF(AK1417="","番号なし",AK1417)))</f>
        <v/>
      </c>
      <c r="D1417" s="47" t="n"/>
      <c r="E1417" s="47" t="n"/>
      <c r="F1417" s="47" t="n"/>
      <c r="G1417" s="47" t="n"/>
      <c r="H1417" s="47" t="n"/>
      <c r="I1417" s="47" t="n"/>
      <c r="J1417" s="47" t="n"/>
      <c r="K1417" s="47" t="n"/>
      <c r="L1417" s="47" t="n"/>
      <c r="M1417" s="47" t="n"/>
      <c r="N1417" s="47" t="n"/>
      <c r="O1417" s="47" t="n"/>
      <c r="P1417" s="47" t="n"/>
      <c r="Q1417" s="47" t="n"/>
      <c r="R1417" s="47" t="n"/>
      <c r="S1417" s="47" t="n"/>
      <c r="T1417" s="47" t="n"/>
      <c r="U1417" s="53" t="n"/>
      <c r="V1417" s="53" t="n"/>
      <c r="W1417" s="47" t="n"/>
      <c r="X1417" s="47" t="n"/>
      <c r="Y1417" s="47" t="n"/>
      <c r="Z1417" s="47" t="n"/>
      <c r="AA1417" s="47" t="n"/>
      <c r="AB1417" s="47" t="n"/>
      <c r="AC1417" s="47" t="n"/>
      <c r="AD1417" s="47" t="n"/>
      <c r="AE1417" s="47" t="n"/>
      <c r="AF1417" s="20">
        <f>IF(A1417="","",YEAR(EDATE(A1417,-3)))</f>
        <v/>
      </c>
      <c r="AG1417" s="20">
        <f>IF(OR(B1417="",'経歴簿'!$C$4=""),"",IF(B1417&amp;""='経歴簿'!$C$4&amp;"",MAX($AG$4:AG1416)+1,""))</f>
        <v/>
      </c>
      <c r="AH1417" s="20">
        <f>IF(A1417="",0,IF(AND(OR('CSV抽出'!$C$4="",A1417&gt;='CSV抽出'!$C$4),OR('CSV抽出'!$C$5="",A1417&lt;='CSV抽出'!$C$5),OR('CSV抽出'!$C$6="すべて",'CSV抽出'!$C$6="",D1417='CSV抽出'!$C$6),OR('CSV抽出'!$C$7="",B1417&amp;""='CSV抽出'!$C$7&amp;"")),1,0))</f>
        <v/>
      </c>
      <c r="AI1417" s="20">
        <f>IF(AH1417=1,SUM($AH$5:AH1417),"")</f>
        <v/>
      </c>
      <c r="AJ1417" s="20">
        <f>IF(OR(S1417="",'報告書'!$C$4=""),"",IF(S1417&amp;""='報告書'!$C$4&amp;"",COUNTIF($S$5:S1417,'報告書'!$C$4),""))</f>
        <v/>
      </c>
      <c r="AK1417" s="20" t="n"/>
      <c r="AL1417" s="47" t="n"/>
      <c r="AM1417" s="47" t="n"/>
      <c r="AN1417" s="53" t="n"/>
      <c r="AO1417" s="47" t="n"/>
      <c r="AP1417" s="47" t="n"/>
      <c r="AQ1417" s="47" t="n"/>
      <c r="AR1417" s="47" t="n"/>
      <c r="AS1417" s="47" t="n"/>
      <c r="AT1417" s="47" t="n"/>
      <c r="AU1417" s="47" t="n"/>
      <c r="AV1417" s="47" t="n"/>
      <c r="AW1417" s="52" t="n"/>
    </row>
    <row r="1418">
      <c r="A1418" s="48" t="n"/>
      <c r="B1418" s="52" t="n"/>
      <c r="C1418" s="47">
        <f>IF(B1418="","",IFERROR(INDEX('隊員マスタ'!$B$5:$B$204,MATCH(B1418&amp;"",'隊員マスタ'!$F$5:$F$204,0)),IF(AK1418="","番号なし",AK1418)))</f>
        <v/>
      </c>
      <c r="D1418" s="47" t="n"/>
      <c r="E1418" s="47" t="n"/>
      <c r="F1418" s="47" t="n"/>
      <c r="G1418" s="47" t="n"/>
      <c r="H1418" s="47" t="n"/>
      <c r="I1418" s="47" t="n"/>
      <c r="J1418" s="47" t="n"/>
      <c r="K1418" s="47" t="n"/>
      <c r="L1418" s="47" t="n"/>
      <c r="M1418" s="47" t="n"/>
      <c r="N1418" s="47" t="n"/>
      <c r="O1418" s="47" t="n"/>
      <c r="P1418" s="47" t="n"/>
      <c r="Q1418" s="47" t="n"/>
      <c r="R1418" s="47" t="n"/>
      <c r="S1418" s="47" t="n"/>
      <c r="T1418" s="47" t="n"/>
      <c r="U1418" s="53" t="n"/>
      <c r="V1418" s="53" t="n"/>
      <c r="W1418" s="47" t="n"/>
      <c r="X1418" s="47" t="n"/>
      <c r="Y1418" s="47" t="n"/>
      <c r="Z1418" s="47" t="n"/>
      <c r="AA1418" s="47" t="n"/>
      <c r="AB1418" s="47" t="n"/>
      <c r="AC1418" s="47" t="n"/>
      <c r="AD1418" s="47" t="n"/>
      <c r="AE1418" s="47" t="n"/>
      <c r="AF1418" s="20">
        <f>IF(A1418="","",YEAR(EDATE(A1418,-3)))</f>
        <v/>
      </c>
      <c r="AG1418" s="20">
        <f>IF(OR(B1418="",'経歴簿'!$C$4=""),"",IF(B1418&amp;""='経歴簿'!$C$4&amp;"",MAX($AG$4:AG1417)+1,""))</f>
        <v/>
      </c>
      <c r="AH1418" s="20">
        <f>IF(A1418="",0,IF(AND(OR('CSV抽出'!$C$4="",A1418&gt;='CSV抽出'!$C$4),OR('CSV抽出'!$C$5="",A1418&lt;='CSV抽出'!$C$5),OR('CSV抽出'!$C$6="すべて",'CSV抽出'!$C$6="",D1418='CSV抽出'!$C$6),OR('CSV抽出'!$C$7="",B1418&amp;""='CSV抽出'!$C$7&amp;"")),1,0))</f>
        <v/>
      </c>
      <c r="AI1418" s="20">
        <f>IF(AH1418=1,SUM($AH$5:AH1418),"")</f>
        <v/>
      </c>
      <c r="AJ1418" s="20">
        <f>IF(OR(S1418="",'報告書'!$C$4=""),"",IF(S1418&amp;""='報告書'!$C$4&amp;"",COUNTIF($S$5:S1418,'報告書'!$C$4),""))</f>
        <v/>
      </c>
      <c r="AK1418" s="20" t="n"/>
      <c r="AL1418" s="47" t="n"/>
      <c r="AM1418" s="47" t="n"/>
      <c r="AN1418" s="53" t="n"/>
      <c r="AO1418" s="47" t="n"/>
      <c r="AP1418" s="47" t="n"/>
      <c r="AQ1418" s="47" t="n"/>
      <c r="AR1418" s="47" t="n"/>
      <c r="AS1418" s="47" t="n"/>
      <c r="AT1418" s="47" t="n"/>
      <c r="AU1418" s="47" t="n"/>
      <c r="AV1418" s="47" t="n"/>
      <c r="AW1418" s="52" t="n"/>
    </row>
    <row r="1419">
      <c r="A1419" s="48" t="n"/>
      <c r="B1419" s="52" t="n"/>
      <c r="C1419" s="47">
        <f>IF(B1419="","",IFERROR(INDEX('隊員マスタ'!$B$5:$B$204,MATCH(B1419&amp;"",'隊員マスタ'!$F$5:$F$204,0)),IF(AK1419="","番号なし",AK1419)))</f>
        <v/>
      </c>
      <c r="D1419" s="47" t="n"/>
      <c r="E1419" s="47" t="n"/>
      <c r="F1419" s="47" t="n"/>
      <c r="G1419" s="47" t="n"/>
      <c r="H1419" s="47" t="n"/>
      <c r="I1419" s="47" t="n"/>
      <c r="J1419" s="47" t="n"/>
      <c r="K1419" s="47" t="n"/>
      <c r="L1419" s="47" t="n"/>
      <c r="M1419" s="47" t="n"/>
      <c r="N1419" s="47" t="n"/>
      <c r="O1419" s="47" t="n"/>
      <c r="P1419" s="47" t="n"/>
      <c r="Q1419" s="47" t="n"/>
      <c r="R1419" s="47" t="n"/>
      <c r="S1419" s="47" t="n"/>
      <c r="T1419" s="47" t="n"/>
      <c r="U1419" s="53" t="n"/>
      <c r="V1419" s="53" t="n"/>
      <c r="W1419" s="47" t="n"/>
      <c r="X1419" s="47" t="n"/>
      <c r="Y1419" s="47" t="n"/>
      <c r="Z1419" s="47" t="n"/>
      <c r="AA1419" s="47" t="n"/>
      <c r="AB1419" s="47" t="n"/>
      <c r="AC1419" s="47" t="n"/>
      <c r="AD1419" s="47" t="n"/>
      <c r="AE1419" s="47" t="n"/>
      <c r="AF1419" s="20">
        <f>IF(A1419="","",YEAR(EDATE(A1419,-3)))</f>
        <v/>
      </c>
      <c r="AG1419" s="20">
        <f>IF(OR(B1419="",'経歴簿'!$C$4=""),"",IF(B1419&amp;""='経歴簿'!$C$4&amp;"",MAX($AG$4:AG1418)+1,""))</f>
        <v/>
      </c>
      <c r="AH1419" s="20">
        <f>IF(A1419="",0,IF(AND(OR('CSV抽出'!$C$4="",A1419&gt;='CSV抽出'!$C$4),OR('CSV抽出'!$C$5="",A1419&lt;='CSV抽出'!$C$5),OR('CSV抽出'!$C$6="すべて",'CSV抽出'!$C$6="",D1419='CSV抽出'!$C$6),OR('CSV抽出'!$C$7="",B1419&amp;""='CSV抽出'!$C$7&amp;"")),1,0))</f>
        <v/>
      </c>
      <c r="AI1419" s="20">
        <f>IF(AH1419=1,SUM($AH$5:AH1419),"")</f>
        <v/>
      </c>
      <c r="AJ1419" s="20">
        <f>IF(OR(S1419="",'報告書'!$C$4=""),"",IF(S1419&amp;""='報告書'!$C$4&amp;"",COUNTIF($S$5:S1419,'報告書'!$C$4),""))</f>
        <v/>
      </c>
      <c r="AK1419" s="20" t="n"/>
      <c r="AL1419" s="47" t="n"/>
      <c r="AM1419" s="47" t="n"/>
      <c r="AN1419" s="53" t="n"/>
      <c r="AO1419" s="47" t="n"/>
      <c r="AP1419" s="47" t="n"/>
      <c r="AQ1419" s="47" t="n"/>
      <c r="AR1419" s="47" t="n"/>
      <c r="AS1419" s="47" t="n"/>
      <c r="AT1419" s="47" t="n"/>
      <c r="AU1419" s="47" t="n"/>
      <c r="AV1419" s="47" t="n"/>
      <c r="AW1419" s="52" t="n"/>
    </row>
    <row r="1420">
      <c r="A1420" s="48" t="n"/>
      <c r="B1420" s="52" t="n"/>
      <c r="C1420" s="47">
        <f>IF(B1420="","",IFERROR(INDEX('隊員マスタ'!$B$5:$B$204,MATCH(B1420&amp;"",'隊員マスタ'!$F$5:$F$204,0)),IF(AK1420="","番号なし",AK1420)))</f>
        <v/>
      </c>
      <c r="D1420" s="47" t="n"/>
      <c r="E1420" s="47" t="n"/>
      <c r="F1420" s="47" t="n"/>
      <c r="G1420" s="47" t="n"/>
      <c r="H1420" s="47" t="n"/>
      <c r="I1420" s="47" t="n"/>
      <c r="J1420" s="47" t="n"/>
      <c r="K1420" s="47" t="n"/>
      <c r="L1420" s="47" t="n"/>
      <c r="M1420" s="47" t="n"/>
      <c r="N1420" s="47" t="n"/>
      <c r="O1420" s="47" t="n"/>
      <c r="P1420" s="47" t="n"/>
      <c r="Q1420" s="47" t="n"/>
      <c r="R1420" s="47" t="n"/>
      <c r="S1420" s="47" t="n"/>
      <c r="T1420" s="47" t="n"/>
      <c r="U1420" s="53" t="n"/>
      <c r="V1420" s="53" t="n"/>
      <c r="W1420" s="47" t="n"/>
      <c r="X1420" s="47" t="n"/>
      <c r="Y1420" s="47" t="n"/>
      <c r="Z1420" s="47" t="n"/>
      <c r="AA1420" s="47" t="n"/>
      <c r="AB1420" s="47" t="n"/>
      <c r="AC1420" s="47" t="n"/>
      <c r="AD1420" s="47" t="n"/>
      <c r="AE1420" s="47" t="n"/>
      <c r="AF1420" s="20">
        <f>IF(A1420="","",YEAR(EDATE(A1420,-3)))</f>
        <v/>
      </c>
      <c r="AG1420" s="20">
        <f>IF(OR(B1420="",'経歴簿'!$C$4=""),"",IF(B1420&amp;""='経歴簿'!$C$4&amp;"",MAX($AG$4:AG1419)+1,""))</f>
        <v/>
      </c>
      <c r="AH1420" s="20">
        <f>IF(A1420="",0,IF(AND(OR('CSV抽出'!$C$4="",A1420&gt;='CSV抽出'!$C$4),OR('CSV抽出'!$C$5="",A1420&lt;='CSV抽出'!$C$5),OR('CSV抽出'!$C$6="すべて",'CSV抽出'!$C$6="",D1420='CSV抽出'!$C$6),OR('CSV抽出'!$C$7="",B1420&amp;""='CSV抽出'!$C$7&amp;"")),1,0))</f>
        <v/>
      </c>
      <c r="AI1420" s="20">
        <f>IF(AH1420=1,SUM($AH$5:AH1420),"")</f>
        <v/>
      </c>
      <c r="AJ1420" s="20">
        <f>IF(OR(S1420="",'報告書'!$C$4=""),"",IF(S1420&amp;""='報告書'!$C$4&amp;"",COUNTIF($S$5:S1420,'報告書'!$C$4),""))</f>
        <v/>
      </c>
      <c r="AK1420" s="20" t="n"/>
      <c r="AL1420" s="47" t="n"/>
      <c r="AM1420" s="47" t="n"/>
      <c r="AN1420" s="53" t="n"/>
      <c r="AO1420" s="47" t="n"/>
      <c r="AP1420" s="47" t="n"/>
      <c r="AQ1420" s="47" t="n"/>
      <c r="AR1420" s="47" t="n"/>
      <c r="AS1420" s="47" t="n"/>
      <c r="AT1420" s="47" t="n"/>
      <c r="AU1420" s="47" t="n"/>
      <c r="AV1420" s="47" t="n"/>
      <c r="AW1420" s="52" t="n"/>
    </row>
    <row r="1421">
      <c r="A1421" s="48" t="n"/>
      <c r="B1421" s="52" t="n"/>
      <c r="C1421" s="47">
        <f>IF(B1421="","",IFERROR(INDEX('隊員マスタ'!$B$5:$B$204,MATCH(B1421&amp;"",'隊員マスタ'!$F$5:$F$204,0)),IF(AK1421="","番号なし",AK1421)))</f>
        <v/>
      </c>
      <c r="D1421" s="47" t="n"/>
      <c r="E1421" s="47" t="n"/>
      <c r="F1421" s="47" t="n"/>
      <c r="G1421" s="47" t="n"/>
      <c r="H1421" s="47" t="n"/>
      <c r="I1421" s="47" t="n"/>
      <c r="J1421" s="47" t="n"/>
      <c r="K1421" s="47" t="n"/>
      <c r="L1421" s="47" t="n"/>
      <c r="M1421" s="47" t="n"/>
      <c r="N1421" s="47" t="n"/>
      <c r="O1421" s="47" t="n"/>
      <c r="P1421" s="47" t="n"/>
      <c r="Q1421" s="47" t="n"/>
      <c r="R1421" s="47" t="n"/>
      <c r="S1421" s="47" t="n"/>
      <c r="T1421" s="47" t="n"/>
      <c r="U1421" s="53" t="n"/>
      <c r="V1421" s="53" t="n"/>
      <c r="W1421" s="47" t="n"/>
      <c r="X1421" s="47" t="n"/>
      <c r="Y1421" s="47" t="n"/>
      <c r="Z1421" s="47" t="n"/>
      <c r="AA1421" s="47" t="n"/>
      <c r="AB1421" s="47" t="n"/>
      <c r="AC1421" s="47" t="n"/>
      <c r="AD1421" s="47" t="n"/>
      <c r="AE1421" s="47" t="n"/>
      <c r="AF1421" s="20">
        <f>IF(A1421="","",YEAR(EDATE(A1421,-3)))</f>
        <v/>
      </c>
      <c r="AG1421" s="20">
        <f>IF(OR(B1421="",'経歴簿'!$C$4=""),"",IF(B1421&amp;""='経歴簿'!$C$4&amp;"",MAX($AG$4:AG1420)+1,""))</f>
        <v/>
      </c>
      <c r="AH1421" s="20">
        <f>IF(A1421="",0,IF(AND(OR('CSV抽出'!$C$4="",A1421&gt;='CSV抽出'!$C$4),OR('CSV抽出'!$C$5="",A1421&lt;='CSV抽出'!$C$5),OR('CSV抽出'!$C$6="すべて",'CSV抽出'!$C$6="",D1421='CSV抽出'!$C$6),OR('CSV抽出'!$C$7="",B1421&amp;""='CSV抽出'!$C$7&amp;"")),1,0))</f>
        <v/>
      </c>
      <c r="AI1421" s="20">
        <f>IF(AH1421=1,SUM($AH$5:AH1421),"")</f>
        <v/>
      </c>
      <c r="AJ1421" s="20">
        <f>IF(OR(S1421="",'報告書'!$C$4=""),"",IF(S1421&amp;""='報告書'!$C$4&amp;"",COUNTIF($S$5:S1421,'報告書'!$C$4),""))</f>
        <v/>
      </c>
      <c r="AK1421" s="20" t="n"/>
      <c r="AL1421" s="47" t="n"/>
      <c r="AM1421" s="47" t="n"/>
      <c r="AN1421" s="53" t="n"/>
      <c r="AO1421" s="47" t="n"/>
      <c r="AP1421" s="47" t="n"/>
      <c r="AQ1421" s="47" t="n"/>
      <c r="AR1421" s="47" t="n"/>
      <c r="AS1421" s="47" t="n"/>
      <c r="AT1421" s="47" t="n"/>
      <c r="AU1421" s="47" t="n"/>
      <c r="AV1421" s="47" t="n"/>
      <c r="AW1421" s="52" t="n"/>
    </row>
    <row r="1422">
      <c r="A1422" s="48" t="n"/>
      <c r="B1422" s="52" t="n"/>
      <c r="C1422" s="47">
        <f>IF(B1422="","",IFERROR(INDEX('隊員マスタ'!$B$5:$B$204,MATCH(B1422&amp;"",'隊員マスタ'!$F$5:$F$204,0)),IF(AK1422="","番号なし",AK1422)))</f>
        <v/>
      </c>
      <c r="D1422" s="47" t="n"/>
      <c r="E1422" s="47" t="n"/>
      <c r="F1422" s="47" t="n"/>
      <c r="G1422" s="47" t="n"/>
      <c r="H1422" s="47" t="n"/>
      <c r="I1422" s="47" t="n"/>
      <c r="J1422" s="47" t="n"/>
      <c r="K1422" s="47" t="n"/>
      <c r="L1422" s="47" t="n"/>
      <c r="M1422" s="47" t="n"/>
      <c r="N1422" s="47" t="n"/>
      <c r="O1422" s="47" t="n"/>
      <c r="P1422" s="47" t="n"/>
      <c r="Q1422" s="47" t="n"/>
      <c r="R1422" s="47" t="n"/>
      <c r="S1422" s="47" t="n"/>
      <c r="T1422" s="47" t="n"/>
      <c r="U1422" s="53" t="n"/>
      <c r="V1422" s="53" t="n"/>
      <c r="W1422" s="47" t="n"/>
      <c r="X1422" s="47" t="n"/>
      <c r="Y1422" s="47" t="n"/>
      <c r="Z1422" s="47" t="n"/>
      <c r="AA1422" s="47" t="n"/>
      <c r="AB1422" s="47" t="n"/>
      <c r="AC1422" s="47" t="n"/>
      <c r="AD1422" s="47" t="n"/>
      <c r="AE1422" s="47" t="n"/>
      <c r="AF1422" s="20">
        <f>IF(A1422="","",YEAR(EDATE(A1422,-3)))</f>
        <v/>
      </c>
      <c r="AG1422" s="20">
        <f>IF(OR(B1422="",'経歴簿'!$C$4=""),"",IF(B1422&amp;""='経歴簿'!$C$4&amp;"",MAX($AG$4:AG1421)+1,""))</f>
        <v/>
      </c>
      <c r="AH1422" s="20">
        <f>IF(A1422="",0,IF(AND(OR('CSV抽出'!$C$4="",A1422&gt;='CSV抽出'!$C$4),OR('CSV抽出'!$C$5="",A1422&lt;='CSV抽出'!$C$5),OR('CSV抽出'!$C$6="すべて",'CSV抽出'!$C$6="",D1422='CSV抽出'!$C$6),OR('CSV抽出'!$C$7="",B1422&amp;""='CSV抽出'!$C$7&amp;"")),1,0))</f>
        <v/>
      </c>
      <c r="AI1422" s="20">
        <f>IF(AH1422=1,SUM($AH$5:AH1422),"")</f>
        <v/>
      </c>
      <c r="AJ1422" s="20">
        <f>IF(OR(S1422="",'報告書'!$C$4=""),"",IF(S1422&amp;""='報告書'!$C$4&amp;"",COUNTIF($S$5:S1422,'報告書'!$C$4),""))</f>
        <v/>
      </c>
      <c r="AK1422" s="20" t="n"/>
      <c r="AL1422" s="47" t="n"/>
      <c r="AM1422" s="47" t="n"/>
      <c r="AN1422" s="53" t="n"/>
      <c r="AO1422" s="47" t="n"/>
      <c r="AP1422" s="47" t="n"/>
      <c r="AQ1422" s="47" t="n"/>
      <c r="AR1422" s="47" t="n"/>
      <c r="AS1422" s="47" t="n"/>
      <c r="AT1422" s="47" t="n"/>
      <c r="AU1422" s="47" t="n"/>
      <c r="AV1422" s="47" t="n"/>
      <c r="AW1422" s="52" t="n"/>
    </row>
    <row r="1423">
      <c r="A1423" s="48" t="n"/>
      <c r="B1423" s="52" t="n"/>
      <c r="C1423" s="47">
        <f>IF(B1423="","",IFERROR(INDEX('隊員マスタ'!$B$5:$B$204,MATCH(B1423&amp;"",'隊員マスタ'!$F$5:$F$204,0)),IF(AK1423="","番号なし",AK1423)))</f>
        <v/>
      </c>
      <c r="D1423" s="47" t="n"/>
      <c r="E1423" s="47" t="n"/>
      <c r="F1423" s="47" t="n"/>
      <c r="G1423" s="47" t="n"/>
      <c r="H1423" s="47" t="n"/>
      <c r="I1423" s="47" t="n"/>
      <c r="J1423" s="47" t="n"/>
      <c r="K1423" s="47" t="n"/>
      <c r="L1423" s="47" t="n"/>
      <c r="M1423" s="47" t="n"/>
      <c r="N1423" s="47" t="n"/>
      <c r="O1423" s="47" t="n"/>
      <c r="P1423" s="47" t="n"/>
      <c r="Q1423" s="47" t="n"/>
      <c r="R1423" s="47" t="n"/>
      <c r="S1423" s="47" t="n"/>
      <c r="T1423" s="47" t="n"/>
      <c r="U1423" s="53" t="n"/>
      <c r="V1423" s="53" t="n"/>
      <c r="W1423" s="47" t="n"/>
      <c r="X1423" s="47" t="n"/>
      <c r="Y1423" s="47" t="n"/>
      <c r="Z1423" s="47" t="n"/>
      <c r="AA1423" s="47" t="n"/>
      <c r="AB1423" s="47" t="n"/>
      <c r="AC1423" s="47" t="n"/>
      <c r="AD1423" s="47" t="n"/>
      <c r="AE1423" s="47" t="n"/>
      <c r="AF1423" s="20">
        <f>IF(A1423="","",YEAR(EDATE(A1423,-3)))</f>
        <v/>
      </c>
      <c r="AG1423" s="20">
        <f>IF(OR(B1423="",'経歴簿'!$C$4=""),"",IF(B1423&amp;""='経歴簿'!$C$4&amp;"",MAX($AG$4:AG1422)+1,""))</f>
        <v/>
      </c>
      <c r="AH1423" s="20">
        <f>IF(A1423="",0,IF(AND(OR('CSV抽出'!$C$4="",A1423&gt;='CSV抽出'!$C$4),OR('CSV抽出'!$C$5="",A1423&lt;='CSV抽出'!$C$5),OR('CSV抽出'!$C$6="すべて",'CSV抽出'!$C$6="",D1423='CSV抽出'!$C$6),OR('CSV抽出'!$C$7="",B1423&amp;""='CSV抽出'!$C$7&amp;"")),1,0))</f>
        <v/>
      </c>
      <c r="AI1423" s="20">
        <f>IF(AH1423=1,SUM($AH$5:AH1423),"")</f>
        <v/>
      </c>
      <c r="AJ1423" s="20">
        <f>IF(OR(S1423="",'報告書'!$C$4=""),"",IF(S1423&amp;""='報告書'!$C$4&amp;"",COUNTIF($S$5:S1423,'報告書'!$C$4),""))</f>
        <v/>
      </c>
      <c r="AK1423" s="20" t="n"/>
      <c r="AL1423" s="47" t="n"/>
      <c r="AM1423" s="47" t="n"/>
      <c r="AN1423" s="53" t="n"/>
      <c r="AO1423" s="47" t="n"/>
      <c r="AP1423" s="47" t="n"/>
      <c r="AQ1423" s="47" t="n"/>
      <c r="AR1423" s="47" t="n"/>
      <c r="AS1423" s="47" t="n"/>
      <c r="AT1423" s="47" t="n"/>
      <c r="AU1423" s="47" t="n"/>
      <c r="AV1423" s="47" t="n"/>
      <c r="AW1423" s="52" t="n"/>
    </row>
    <row r="1424">
      <c r="A1424" s="48" t="n"/>
      <c r="B1424" s="52" t="n"/>
      <c r="C1424" s="47">
        <f>IF(B1424="","",IFERROR(INDEX('隊員マスタ'!$B$5:$B$204,MATCH(B1424&amp;"",'隊員マスタ'!$F$5:$F$204,0)),IF(AK1424="","番号なし",AK1424)))</f>
        <v/>
      </c>
      <c r="D1424" s="47" t="n"/>
      <c r="E1424" s="47" t="n"/>
      <c r="F1424" s="47" t="n"/>
      <c r="G1424" s="47" t="n"/>
      <c r="H1424" s="47" t="n"/>
      <c r="I1424" s="47" t="n"/>
      <c r="J1424" s="47" t="n"/>
      <c r="K1424" s="47" t="n"/>
      <c r="L1424" s="47" t="n"/>
      <c r="M1424" s="47" t="n"/>
      <c r="N1424" s="47" t="n"/>
      <c r="O1424" s="47" t="n"/>
      <c r="P1424" s="47" t="n"/>
      <c r="Q1424" s="47" t="n"/>
      <c r="R1424" s="47" t="n"/>
      <c r="S1424" s="47" t="n"/>
      <c r="T1424" s="47" t="n"/>
      <c r="U1424" s="53" t="n"/>
      <c r="V1424" s="53" t="n"/>
      <c r="W1424" s="47" t="n"/>
      <c r="X1424" s="47" t="n"/>
      <c r="Y1424" s="47" t="n"/>
      <c r="Z1424" s="47" t="n"/>
      <c r="AA1424" s="47" t="n"/>
      <c r="AB1424" s="47" t="n"/>
      <c r="AC1424" s="47" t="n"/>
      <c r="AD1424" s="47" t="n"/>
      <c r="AE1424" s="47" t="n"/>
      <c r="AF1424" s="20">
        <f>IF(A1424="","",YEAR(EDATE(A1424,-3)))</f>
        <v/>
      </c>
      <c r="AG1424" s="20">
        <f>IF(OR(B1424="",'経歴簿'!$C$4=""),"",IF(B1424&amp;""='経歴簿'!$C$4&amp;"",MAX($AG$4:AG1423)+1,""))</f>
        <v/>
      </c>
      <c r="AH1424" s="20">
        <f>IF(A1424="",0,IF(AND(OR('CSV抽出'!$C$4="",A1424&gt;='CSV抽出'!$C$4),OR('CSV抽出'!$C$5="",A1424&lt;='CSV抽出'!$C$5),OR('CSV抽出'!$C$6="すべて",'CSV抽出'!$C$6="",D1424='CSV抽出'!$C$6),OR('CSV抽出'!$C$7="",B1424&amp;""='CSV抽出'!$C$7&amp;"")),1,0))</f>
        <v/>
      </c>
      <c r="AI1424" s="20">
        <f>IF(AH1424=1,SUM($AH$5:AH1424),"")</f>
        <v/>
      </c>
      <c r="AJ1424" s="20">
        <f>IF(OR(S1424="",'報告書'!$C$4=""),"",IF(S1424&amp;""='報告書'!$C$4&amp;"",COUNTIF($S$5:S1424,'報告書'!$C$4),""))</f>
        <v/>
      </c>
      <c r="AK1424" s="20" t="n"/>
      <c r="AL1424" s="47" t="n"/>
      <c r="AM1424" s="47" t="n"/>
      <c r="AN1424" s="53" t="n"/>
      <c r="AO1424" s="47" t="n"/>
      <c r="AP1424" s="47" t="n"/>
      <c r="AQ1424" s="47" t="n"/>
      <c r="AR1424" s="47" t="n"/>
      <c r="AS1424" s="47" t="n"/>
      <c r="AT1424" s="47" t="n"/>
      <c r="AU1424" s="47" t="n"/>
      <c r="AV1424" s="47" t="n"/>
      <c r="AW1424" s="52" t="n"/>
    </row>
    <row r="1425">
      <c r="A1425" s="48" t="n"/>
      <c r="B1425" s="52" t="n"/>
      <c r="C1425" s="47">
        <f>IF(B1425="","",IFERROR(INDEX('隊員マスタ'!$B$5:$B$204,MATCH(B1425&amp;"",'隊員マスタ'!$F$5:$F$204,0)),IF(AK1425="","番号なし",AK1425)))</f>
        <v/>
      </c>
      <c r="D1425" s="47" t="n"/>
      <c r="E1425" s="47" t="n"/>
      <c r="F1425" s="47" t="n"/>
      <c r="G1425" s="47" t="n"/>
      <c r="H1425" s="47" t="n"/>
      <c r="I1425" s="47" t="n"/>
      <c r="J1425" s="47" t="n"/>
      <c r="K1425" s="47" t="n"/>
      <c r="L1425" s="47" t="n"/>
      <c r="M1425" s="47" t="n"/>
      <c r="N1425" s="47" t="n"/>
      <c r="O1425" s="47" t="n"/>
      <c r="P1425" s="47" t="n"/>
      <c r="Q1425" s="47" t="n"/>
      <c r="R1425" s="47" t="n"/>
      <c r="S1425" s="47" t="n"/>
      <c r="T1425" s="47" t="n"/>
      <c r="U1425" s="53" t="n"/>
      <c r="V1425" s="53" t="n"/>
      <c r="W1425" s="47" t="n"/>
      <c r="X1425" s="47" t="n"/>
      <c r="Y1425" s="47" t="n"/>
      <c r="Z1425" s="47" t="n"/>
      <c r="AA1425" s="47" t="n"/>
      <c r="AB1425" s="47" t="n"/>
      <c r="AC1425" s="47" t="n"/>
      <c r="AD1425" s="47" t="n"/>
      <c r="AE1425" s="47" t="n"/>
      <c r="AF1425" s="20">
        <f>IF(A1425="","",YEAR(EDATE(A1425,-3)))</f>
        <v/>
      </c>
      <c r="AG1425" s="20">
        <f>IF(OR(B1425="",'経歴簿'!$C$4=""),"",IF(B1425&amp;""='経歴簿'!$C$4&amp;"",MAX($AG$4:AG1424)+1,""))</f>
        <v/>
      </c>
      <c r="AH1425" s="20">
        <f>IF(A1425="",0,IF(AND(OR('CSV抽出'!$C$4="",A1425&gt;='CSV抽出'!$C$4),OR('CSV抽出'!$C$5="",A1425&lt;='CSV抽出'!$C$5),OR('CSV抽出'!$C$6="すべて",'CSV抽出'!$C$6="",D1425='CSV抽出'!$C$6),OR('CSV抽出'!$C$7="",B1425&amp;""='CSV抽出'!$C$7&amp;"")),1,0))</f>
        <v/>
      </c>
      <c r="AI1425" s="20">
        <f>IF(AH1425=1,SUM($AH$5:AH1425),"")</f>
        <v/>
      </c>
      <c r="AJ1425" s="20">
        <f>IF(OR(S1425="",'報告書'!$C$4=""),"",IF(S1425&amp;""='報告書'!$C$4&amp;"",COUNTIF($S$5:S1425,'報告書'!$C$4),""))</f>
        <v/>
      </c>
      <c r="AK1425" s="20" t="n"/>
      <c r="AL1425" s="47" t="n"/>
      <c r="AM1425" s="47" t="n"/>
      <c r="AN1425" s="53" t="n"/>
      <c r="AO1425" s="47" t="n"/>
      <c r="AP1425" s="47" t="n"/>
      <c r="AQ1425" s="47" t="n"/>
      <c r="AR1425" s="47" t="n"/>
      <c r="AS1425" s="47" t="n"/>
      <c r="AT1425" s="47" t="n"/>
      <c r="AU1425" s="47" t="n"/>
      <c r="AV1425" s="47" t="n"/>
      <c r="AW1425" s="52" t="n"/>
    </row>
    <row r="1426">
      <c r="A1426" s="48" t="n"/>
      <c r="B1426" s="52" t="n"/>
      <c r="C1426" s="47">
        <f>IF(B1426="","",IFERROR(INDEX('隊員マスタ'!$B$5:$B$204,MATCH(B1426&amp;"",'隊員マスタ'!$F$5:$F$204,0)),IF(AK1426="","番号なし",AK1426)))</f>
        <v/>
      </c>
      <c r="D1426" s="47" t="n"/>
      <c r="E1426" s="47" t="n"/>
      <c r="F1426" s="47" t="n"/>
      <c r="G1426" s="47" t="n"/>
      <c r="H1426" s="47" t="n"/>
      <c r="I1426" s="47" t="n"/>
      <c r="J1426" s="47" t="n"/>
      <c r="K1426" s="47" t="n"/>
      <c r="L1426" s="47" t="n"/>
      <c r="M1426" s="47" t="n"/>
      <c r="N1426" s="47" t="n"/>
      <c r="O1426" s="47" t="n"/>
      <c r="P1426" s="47" t="n"/>
      <c r="Q1426" s="47" t="n"/>
      <c r="R1426" s="47" t="n"/>
      <c r="S1426" s="47" t="n"/>
      <c r="T1426" s="47" t="n"/>
      <c r="U1426" s="53" t="n"/>
      <c r="V1426" s="53" t="n"/>
      <c r="W1426" s="47" t="n"/>
      <c r="X1426" s="47" t="n"/>
      <c r="Y1426" s="47" t="n"/>
      <c r="Z1426" s="47" t="n"/>
      <c r="AA1426" s="47" t="n"/>
      <c r="AB1426" s="47" t="n"/>
      <c r="AC1426" s="47" t="n"/>
      <c r="AD1426" s="47" t="n"/>
      <c r="AE1426" s="47" t="n"/>
      <c r="AF1426" s="20">
        <f>IF(A1426="","",YEAR(EDATE(A1426,-3)))</f>
        <v/>
      </c>
      <c r="AG1426" s="20">
        <f>IF(OR(B1426="",'経歴簿'!$C$4=""),"",IF(B1426&amp;""='経歴簿'!$C$4&amp;"",MAX($AG$4:AG1425)+1,""))</f>
        <v/>
      </c>
      <c r="AH1426" s="20">
        <f>IF(A1426="",0,IF(AND(OR('CSV抽出'!$C$4="",A1426&gt;='CSV抽出'!$C$4),OR('CSV抽出'!$C$5="",A1426&lt;='CSV抽出'!$C$5),OR('CSV抽出'!$C$6="すべて",'CSV抽出'!$C$6="",D1426='CSV抽出'!$C$6),OR('CSV抽出'!$C$7="",B1426&amp;""='CSV抽出'!$C$7&amp;"")),1,0))</f>
        <v/>
      </c>
      <c r="AI1426" s="20">
        <f>IF(AH1426=1,SUM($AH$5:AH1426),"")</f>
        <v/>
      </c>
      <c r="AJ1426" s="20">
        <f>IF(OR(S1426="",'報告書'!$C$4=""),"",IF(S1426&amp;""='報告書'!$C$4&amp;"",COUNTIF($S$5:S1426,'報告書'!$C$4),""))</f>
        <v/>
      </c>
      <c r="AK1426" s="20" t="n"/>
      <c r="AL1426" s="47" t="n"/>
      <c r="AM1426" s="47" t="n"/>
      <c r="AN1426" s="53" t="n"/>
      <c r="AO1426" s="47" t="n"/>
      <c r="AP1426" s="47" t="n"/>
      <c r="AQ1426" s="47" t="n"/>
      <c r="AR1426" s="47" t="n"/>
      <c r="AS1426" s="47" t="n"/>
      <c r="AT1426" s="47" t="n"/>
      <c r="AU1426" s="47" t="n"/>
      <c r="AV1426" s="47" t="n"/>
      <c r="AW1426" s="52" t="n"/>
    </row>
    <row r="1427">
      <c r="A1427" s="48" t="n"/>
      <c r="B1427" s="52" t="n"/>
      <c r="C1427" s="47">
        <f>IF(B1427="","",IFERROR(INDEX('隊員マスタ'!$B$5:$B$204,MATCH(B1427&amp;"",'隊員マスタ'!$F$5:$F$204,0)),IF(AK1427="","番号なし",AK1427)))</f>
        <v/>
      </c>
      <c r="D1427" s="47" t="n"/>
      <c r="E1427" s="47" t="n"/>
      <c r="F1427" s="47" t="n"/>
      <c r="G1427" s="47" t="n"/>
      <c r="H1427" s="47" t="n"/>
      <c r="I1427" s="47" t="n"/>
      <c r="J1427" s="47" t="n"/>
      <c r="K1427" s="47" t="n"/>
      <c r="L1427" s="47" t="n"/>
      <c r="M1427" s="47" t="n"/>
      <c r="N1427" s="47" t="n"/>
      <c r="O1427" s="47" t="n"/>
      <c r="P1427" s="47" t="n"/>
      <c r="Q1427" s="47" t="n"/>
      <c r="R1427" s="47" t="n"/>
      <c r="S1427" s="47" t="n"/>
      <c r="T1427" s="47" t="n"/>
      <c r="U1427" s="53" t="n"/>
      <c r="V1427" s="53" t="n"/>
      <c r="W1427" s="47" t="n"/>
      <c r="X1427" s="47" t="n"/>
      <c r="Y1427" s="47" t="n"/>
      <c r="Z1427" s="47" t="n"/>
      <c r="AA1427" s="47" t="n"/>
      <c r="AB1427" s="47" t="n"/>
      <c r="AC1427" s="47" t="n"/>
      <c r="AD1427" s="47" t="n"/>
      <c r="AE1427" s="47" t="n"/>
      <c r="AF1427" s="20">
        <f>IF(A1427="","",YEAR(EDATE(A1427,-3)))</f>
        <v/>
      </c>
      <c r="AG1427" s="20">
        <f>IF(OR(B1427="",'経歴簿'!$C$4=""),"",IF(B1427&amp;""='経歴簿'!$C$4&amp;"",MAX($AG$4:AG1426)+1,""))</f>
        <v/>
      </c>
      <c r="AH1427" s="20">
        <f>IF(A1427="",0,IF(AND(OR('CSV抽出'!$C$4="",A1427&gt;='CSV抽出'!$C$4),OR('CSV抽出'!$C$5="",A1427&lt;='CSV抽出'!$C$5),OR('CSV抽出'!$C$6="すべて",'CSV抽出'!$C$6="",D1427='CSV抽出'!$C$6),OR('CSV抽出'!$C$7="",B1427&amp;""='CSV抽出'!$C$7&amp;"")),1,0))</f>
        <v/>
      </c>
      <c r="AI1427" s="20">
        <f>IF(AH1427=1,SUM($AH$5:AH1427),"")</f>
        <v/>
      </c>
      <c r="AJ1427" s="20">
        <f>IF(OR(S1427="",'報告書'!$C$4=""),"",IF(S1427&amp;""='報告書'!$C$4&amp;"",COUNTIF($S$5:S1427,'報告書'!$C$4),""))</f>
        <v/>
      </c>
      <c r="AK1427" s="20" t="n"/>
      <c r="AL1427" s="47" t="n"/>
      <c r="AM1427" s="47" t="n"/>
      <c r="AN1427" s="53" t="n"/>
      <c r="AO1427" s="47" t="n"/>
      <c r="AP1427" s="47" t="n"/>
      <c r="AQ1427" s="47" t="n"/>
      <c r="AR1427" s="47" t="n"/>
      <c r="AS1427" s="47" t="n"/>
      <c r="AT1427" s="47" t="n"/>
      <c r="AU1427" s="47" t="n"/>
      <c r="AV1427" s="47" t="n"/>
      <c r="AW1427" s="52" t="n"/>
    </row>
    <row r="1428">
      <c r="A1428" s="48" t="n"/>
      <c r="B1428" s="52" t="n"/>
      <c r="C1428" s="47">
        <f>IF(B1428="","",IFERROR(INDEX('隊員マスタ'!$B$5:$B$204,MATCH(B1428&amp;"",'隊員マスタ'!$F$5:$F$204,0)),IF(AK1428="","番号なし",AK1428)))</f>
        <v/>
      </c>
      <c r="D1428" s="47" t="n"/>
      <c r="E1428" s="47" t="n"/>
      <c r="F1428" s="47" t="n"/>
      <c r="G1428" s="47" t="n"/>
      <c r="H1428" s="47" t="n"/>
      <c r="I1428" s="47" t="n"/>
      <c r="J1428" s="47" t="n"/>
      <c r="K1428" s="47" t="n"/>
      <c r="L1428" s="47" t="n"/>
      <c r="M1428" s="47" t="n"/>
      <c r="N1428" s="47" t="n"/>
      <c r="O1428" s="47" t="n"/>
      <c r="P1428" s="47" t="n"/>
      <c r="Q1428" s="47" t="n"/>
      <c r="R1428" s="47" t="n"/>
      <c r="S1428" s="47" t="n"/>
      <c r="T1428" s="47" t="n"/>
      <c r="U1428" s="53" t="n"/>
      <c r="V1428" s="53" t="n"/>
      <c r="W1428" s="47" t="n"/>
      <c r="X1428" s="47" t="n"/>
      <c r="Y1428" s="47" t="n"/>
      <c r="Z1428" s="47" t="n"/>
      <c r="AA1428" s="47" t="n"/>
      <c r="AB1428" s="47" t="n"/>
      <c r="AC1428" s="47" t="n"/>
      <c r="AD1428" s="47" t="n"/>
      <c r="AE1428" s="47" t="n"/>
      <c r="AF1428" s="20">
        <f>IF(A1428="","",YEAR(EDATE(A1428,-3)))</f>
        <v/>
      </c>
      <c r="AG1428" s="20">
        <f>IF(OR(B1428="",'経歴簿'!$C$4=""),"",IF(B1428&amp;""='経歴簿'!$C$4&amp;"",MAX($AG$4:AG1427)+1,""))</f>
        <v/>
      </c>
      <c r="AH1428" s="20">
        <f>IF(A1428="",0,IF(AND(OR('CSV抽出'!$C$4="",A1428&gt;='CSV抽出'!$C$4),OR('CSV抽出'!$C$5="",A1428&lt;='CSV抽出'!$C$5),OR('CSV抽出'!$C$6="すべて",'CSV抽出'!$C$6="",D1428='CSV抽出'!$C$6),OR('CSV抽出'!$C$7="",B1428&amp;""='CSV抽出'!$C$7&amp;"")),1,0))</f>
        <v/>
      </c>
      <c r="AI1428" s="20">
        <f>IF(AH1428=1,SUM($AH$5:AH1428),"")</f>
        <v/>
      </c>
      <c r="AJ1428" s="20">
        <f>IF(OR(S1428="",'報告書'!$C$4=""),"",IF(S1428&amp;""='報告書'!$C$4&amp;"",COUNTIF($S$5:S1428,'報告書'!$C$4),""))</f>
        <v/>
      </c>
      <c r="AK1428" s="20" t="n"/>
      <c r="AL1428" s="47" t="n"/>
      <c r="AM1428" s="47" t="n"/>
      <c r="AN1428" s="53" t="n"/>
      <c r="AO1428" s="47" t="n"/>
      <c r="AP1428" s="47" t="n"/>
      <c r="AQ1428" s="47" t="n"/>
      <c r="AR1428" s="47" t="n"/>
      <c r="AS1428" s="47" t="n"/>
      <c r="AT1428" s="47" t="n"/>
      <c r="AU1428" s="47" t="n"/>
      <c r="AV1428" s="47" t="n"/>
      <c r="AW1428" s="52" t="n"/>
    </row>
    <row r="1429">
      <c r="A1429" s="48" t="n"/>
      <c r="B1429" s="52" t="n"/>
      <c r="C1429" s="47">
        <f>IF(B1429="","",IFERROR(INDEX('隊員マスタ'!$B$5:$B$204,MATCH(B1429&amp;"",'隊員マスタ'!$F$5:$F$204,0)),IF(AK1429="","番号なし",AK1429)))</f>
        <v/>
      </c>
      <c r="D1429" s="47" t="n"/>
      <c r="E1429" s="47" t="n"/>
      <c r="F1429" s="47" t="n"/>
      <c r="G1429" s="47" t="n"/>
      <c r="H1429" s="47" t="n"/>
      <c r="I1429" s="47" t="n"/>
      <c r="J1429" s="47" t="n"/>
      <c r="K1429" s="47" t="n"/>
      <c r="L1429" s="47" t="n"/>
      <c r="M1429" s="47" t="n"/>
      <c r="N1429" s="47" t="n"/>
      <c r="O1429" s="47" t="n"/>
      <c r="P1429" s="47" t="n"/>
      <c r="Q1429" s="47" t="n"/>
      <c r="R1429" s="47" t="n"/>
      <c r="S1429" s="47" t="n"/>
      <c r="T1429" s="47" t="n"/>
      <c r="U1429" s="53" t="n"/>
      <c r="V1429" s="53" t="n"/>
      <c r="W1429" s="47" t="n"/>
      <c r="X1429" s="47" t="n"/>
      <c r="Y1429" s="47" t="n"/>
      <c r="Z1429" s="47" t="n"/>
      <c r="AA1429" s="47" t="n"/>
      <c r="AB1429" s="47" t="n"/>
      <c r="AC1429" s="47" t="n"/>
      <c r="AD1429" s="47" t="n"/>
      <c r="AE1429" s="47" t="n"/>
      <c r="AF1429" s="20">
        <f>IF(A1429="","",YEAR(EDATE(A1429,-3)))</f>
        <v/>
      </c>
      <c r="AG1429" s="20">
        <f>IF(OR(B1429="",'経歴簿'!$C$4=""),"",IF(B1429&amp;""='経歴簿'!$C$4&amp;"",MAX($AG$4:AG1428)+1,""))</f>
        <v/>
      </c>
      <c r="AH1429" s="20">
        <f>IF(A1429="",0,IF(AND(OR('CSV抽出'!$C$4="",A1429&gt;='CSV抽出'!$C$4),OR('CSV抽出'!$C$5="",A1429&lt;='CSV抽出'!$C$5),OR('CSV抽出'!$C$6="すべて",'CSV抽出'!$C$6="",D1429='CSV抽出'!$C$6),OR('CSV抽出'!$C$7="",B1429&amp;""='CSV抽出'!$C$7&amp;"")),1,0))</f>
        <v/>
      </c>
      <c r="AI1429" s="20">
        <f>IF(AH1429=1,SUM($AH$5:AH1429),"")</f>
        <v/>
      </c>
      <c r="AJ1429" s="20">
        <f>IF(OR(S1429="",'報告書'!$C$4=""),"",IF(S1429&amp;""='報告書'!$C$4&amp;"",COUNTIF($S$5:S1429,'報告書'!$C$4),""))</f>
        <v/>
      </c>
      <c r="AK1429" s="20" t="n"/>
      <c r="AL1429" s="47" t="n"/>
      <c r="AM1429" s="47" t="n"/>
      <c r="AN1429" s="53" t="n"/>
      <c r="AO1429" s="47" t="n"/>
      <c r="AP1429" s="47" t="n"/>
      <c r="AQ1429" s="47" t="n"/>
      <c r="AR1429" s="47" t="n"/>
      <c r="AS1429" s="47" t="n"/>
      <c r="AT1429" s="47" t="n"/>
      <c r="AU1429" s="47" t="n"/>
      <c r="AV1429" s="47" t="n"/>
      <c r="AW1429" s="52" t="n"/>
    </row>
    <row r="1430">
      <c r="A1430" s="48" t="n"/>
      <c r="B1430" s="52" t="n"/>
      <c r="C1430" s="47">
        <f>IF(B1430="","",IFERROR(INDEX('隊員マスタ'!$B$5:$B$204,MATCH(B1430&amp;"",'隊員マスタ'!$F$5:$F$204,0)),IF(AK1430="","番号なし",AK1430)))</f>
        <v/>
      </c>
      <c r="D1430" s="47" t="n"/>
      <c r="E1430" s="47" t="n"/>
      <c r="F1430" s="47" t="n"/>
      <c r="G1430" s="47" t="n"/>
      <c r="H1430" s="47" t="n"/>
      <c r="I1430" s="47" t="n"/>
      <c r="J1430" s="47" t="n"/>
      <c r="K1430" s="47" t="n"/>
      <c r="L1430" s="47" t="n"/>
      <c r="M1430" s="47" t="n"/>
      <c r="N1430" s="47" t="n"/>
      <c r="O1430" s="47" t="n"/>
      <c r="P1430" s="47" t="n"/>
      <c r="Q1430" s="47" t="n"/>
      <c r="R1430" s="47" t="n"/>
      <c r="S1430" s="47" t="n"/>
      <c r="T1430" s="47" t="n"/>
      <c r="U1430" s="53" t="n"/>
      <c r="V1430" s="53" t="n"/>
      <c r="W1430" s="47" t="n"/>
      <c r="X1430" s="47" t="n"/>
      <c r="Y1430" s="47" t="n"/>
      <c r="Z1430" s="47" t="n"/>
      <c r="AA1430" s="47" t="n"/>
      <c r="AB1430" s="47" t="n"/>
      <c r="AC1430" s="47" t="n"/>
      <c r="AD1430" s="47" t="n"/>
      <c r="AE1430" s="47" t="n"/>
      <c r="AF1430" s="20">
        <f>IF(A1430="","",YEAR(EDATE(A1430,-3)))</f>
        <v/>
      </c>
      <c r="AG1430" s="20">
        <f>IF(OR(B1430="",'経歴簿'!$C$4=""),"",IF(B1430&amp;""='経歴簿'!$C$4&amp;"",MAX($AG$4:AG1429)+1,""))</f>
        <v/>
      </c>
      <c r="AH1430" s="20">
        <f>IF(A1430="",0,IF(AND(OR('CSV抽出'!$C$4="",A1430&gt;='CSV抽出'!$C$4),OR('CSV抽出'!$C$5="",A1430&lt;='CSV抽出'!$C$5),OR('CSV抽出'!$C$6="すべて",'CSV抽出'!$C$6="",D1430='CSV抽出'!$C$6),OR('CSV抽出'!$C$7="",B1430&amp;""='CSV抽出'!$C$7&amp;"")),1,0))</f>
        <v/>
      </c>
      <c r="AI1430" s="20">
        <f>IF(AH1430=1,SUM($AH$5:AH1430),"")</f>
        <v/>
      </c>
      <c r="AJ1430" s="20">
        <f>IF(OR(S1430="",'報告書'!$C$4=""),"",IF(S1430&amp;""='報告書'!$C$4&amp;"",COUNTIF($S$5:S1430,'報告書'!$C$4),""))</f>
        <v/>
      </c>
      <c r="AK1430" s="20" t="n"/>
      <c r="AL1430" s="47" t="n"/>
      <c r="AM1430" s="47" t="n"/>
      <c r="AN1430" s="53" t="n"/>
      <c r="AO1430" s="47" t="n"/>
      <c r="AP1430" s="47" t="n"/>
      <c r="AQ1430" s="47" t="n"/>
      <c r="AR1430" s="47" t="n"/>
      <c r="AS1430" s="47" t="n"/>
      <c r="AT1430" s="47" t="n"/>
      <c r="AU1430" s="47" t="n"/>
      <c r="AV1430" s="47" t="n"/>
      <c r="AW1430" s="52" t="n"/>
    </row>
    <row r="1431">
      <c r="A1431" s="48" t="n"/>
      <c r="B1431" s="52" t="n"/>
      <c r="C1431" s="47">
        <f>IF(B1431="","",IFERROR(INDEX('隊員マスタ'!$B$5:$B$204,MATCH(B1431&amp;"",'隊員マスタ'!$F$5:$F$204,0)),IF(AK1431="","番号なし",AK1431)))</f>
        <v/>
      </c>
      <c r="D1431" s="47" t="n"/>
      <c r="E1431" s="47" t="n"/>
      <c r="F1431" s="47" t="n"/>
      <c r="G1431" s="47" t="n"/>
      <c r="H1431" s="47" t="n"/>
      <c r="I1431" s="47" t="n"/>
      <c r="J1431" s="47" t="n"/>
      <c r="K1431" s="47" t="n"/>
      <c r="L1431" s="47" t="n"/>
      <c r="M1431" s="47" t="n"/>
      <c r="N1431" s="47" t="n"/>
      <c r="O1431" s="47" t="n"/>
      <c r="P1431" s="47" t="n"/>
      <c r="Q1431" s="47" t="n"/>
      <c r="R1431" s="47" t="n"/>
      <c r="S1431" s="47" t="n"/>
      <c r="T1431" s="47" t="n"/>
      <c r="U1431" s="53" t="n"/>
      <c r="V1431" s="53" t="n"/>
      <c r="W1431" s="47" t="n"/>
      <c r="X1431" s="47" t="n"/>
      <c r="Y1431" s="47" t="n"/>
      <c r="Z1431" s="47" t="n"/>
      <c r="AA1431" s="47" t="n"/>
      <c r="AB1431" s="47" t="n"/>
      <c r="AC1431" s="47" t="n"/>
      <c r="AD1431" s="47" t="n"/>
      <c r="AE1431" s="47" t="n"/>
      <c r="AF1431" s="20">
        <f>IF(A1431="","",YEAR(EDATE(A1431,-3)))</f>
        <v/>
      </c>
      <c r="AG1431" s="20">
        <f>IF(OR(B1431="",'経歴簿'!$C$4=""),"",IF(B1431&amp;""='経歴簿'!$C$4&amp;"",MAX($AG$4:AG1430)+1,""))</f>
        <v/>
      </c>
      <c r="AH1431" s="20">
        <f>IF(A1431="",0,IF(AND(OR('CSV抽出'!$C$4="",A1431&gt;='CSV抽出'!$C$4),OR('CSV抽出'!$C$5="",A1431&lt;='CSV抽出'!$C$5),OR('CSV抽出'!$C$6="すべて",'CSV抽出'!$C$6="",D1431='CSV抽出'!$C$6),OR('CSV抽出'!$C$7="",B1431&amp;""='CSV抽出'!$C$7&amp;"")),1,0))</f>
        <v/>
      </c>
      <c r="AI1431" s="20">
        <f>IF(AH1431=1,SUM($AH$5:AH1431),"")</f>
        <v/>
      </c>
      <c r="AJ1431" s="20">
        <f>IF(OR(S1431="",'報告書'!$C$4=""),"",IF(S1431&amp;""='報告書'!$C$4&amp;"",COUNTIF($S$5:S1431,'報告書'!$C$4),""))</f>
        <v/>
      </c>
      <c r="AK1431" s="20" t="n"/>
      <c r="AL1431" s="47" t="n"/>
      <c r="AM1431" s="47" t="n"/>
      <c r="AN1431" s="53" t="n"/>
      <c r="AO1431" s="47" t="n"/>
      <c r="AP1431" s="47" t="n"/>
      <c r="AQ1431" s="47" t="n"/>
      <c r="AR1431" s="47" t="n"/>
      <c r="AS1431" s="47" t="n"/>
      <c r="AT1431" s="47" t="n"/>
      <c r="AU1431" s="47" t="n"/>
      <c r="AV1431" s="47" t="n"/>
      <c r="AW1431" s="52" t="n"/>
    </row>
    <row r="1432">
      <c r="A1432" s="48" t="n"/>
      <c r="B1432" s="52" t="n"/>
      <c r="C1432" s="47">
        <f>IF(B1432="","",IFERROR(INDEX('隊員マスタ'!$B$5:$B$204,MATCH(B1432&amp;"",'隊員マスタ'!$F$5:$F$204,0)),IF(AK1432="","番号なし",AK1432)))</f>
        <v/>
      </c>
      <c r="D1432" s="47" t="n"/>
      <c r="E1432" s="47" t="n"/>
      <c r="F1432" s="47" t="n"/>
      <c r="G1432" s="47" t="n"/>
      <c r="H1432" s="47" t="n"/>
      <c r="I1432" s="47" t="n"/>
      <c r="J1432" s="47" t="n"/>
      <c r="K1432" s="47" t="n"/>
      <c r="L1432" s="47" t="n"/>
      <c r="M1432" s="47" t="n"/>
      <c r="N1432" s="47" t="n"/>
      <c r="O1432" s="47" t="n"/>
      <c r="P1432" s="47" t="n"/>
      <c r="Q1432" s="47" t="n"/>
      <c r="R1432" s="47" t="n"/>
      <c r="S1432" s="47" t="n"/>
      <c r="T1432" s="47" t="n"/>
      <c r="U1432" s="53" t="n"/>
      <c r="V1432" s="53" t="n"/>
      <c r="W1432" s="47" t="n"/>
      <c r="X1432" s="47" t="n"/>
      <c r="Y1432" s="47" t="n"/>
      <c r="Z1432" s="47" t="n"/>
      <c r="AA1432" s="47" t="n"/>
      <c r="AB1432" s="47" t="n"/>
      <c r="AC1432" s="47" t="n"/>
      <c r="AD1432" s="47" t="n"/>
      <c r="AE1432" s="47" t="n"/>
      <c r="AF1432" s="20">
        <f>IF(A1432="","",YEAR(EDATE(A1432,-3)))</f>
        <v/>
      </c>
      <c r="AG1432" s="20">
        <f>IF(OR(B1432="",'経歴簿'!$C$4=""),"",IF(B1432&amp;""='経歴簿'!$C$4&amp;"",MAX($AG$4:AG1431)+1,""))</f>
        <v/>
      </c>
      <c r="AH1432" s="20">
        <f>IF(A1432="",0,IF(AND(OR('CSV抽出'!$C$4="",A1432&gt;='CSV抽出'!$C$4),OR('CSV抽出'!$C$5="",A1432&lt;='CSV抽出'!$C$5),OR('CSV抽出'!$C$6="すべて",'CSV抽出'!$C$6="",D1432='CSV抽出'!$C$6),OR('CSV抽出'!$C$7="",B1432&amp;""='CSV抽出'!$C$7&amp;"")),1,0))</f>
        <v/>
      </c>
      <c r="AI1432" s="20">
        <f>IF(AH1432=1,SUM($AH$5:AH1432),"")</f>
        <v/>
      </c>
      <c r="AJ1432" s="20">
        <f>IF(OR(S1432="",'報告書'!$C$4=""),"",IF(S1432&amp;""='報告書'!$C$4&amp;"",COUNTIF($S$5:S1432,'報告書'!$C$4),""))</f>
        <v/>
      </c>
      <c r="AK1432" s="20" t="n"/>
      <c r="AL1432" s="47" t="n"/>
      <c r="AM1432" s="47" t="n"/>
      <c r="AN1432" s="53" t="n"/>
      <c r="AO1432" s="47" t="n"/>
      <c r="AP1432" s="47" t="n"/>
      <c r="AQ1432" s="47" t="n"/>
      <c r="AR1432" s="47" t="n"/>
      <c r="AS1432" s="47" t="n"/>
      <c r="AT1432" s="47" t="n"/>
      <c r="AU1432" s="47" t="n"/>
      <c r="AV1432" s="47" t="n"/>
      <c r="AW1432" s="52" t="n"/>
    </row>
    <row r="1433">
      <c r="A1433" s="48" t="n"/>
      <c r="B1433" s="52" t="n"/>
      <c r="C1433" s="47">
        <f>IF(B1433="","",IFERROR(INDEX('隊員マスタ'!$B$5:$B$204,MATCH(B1433&amp;"",'隊員マスタ'!$F$5:$F$204,0)),IF(AK1433="","番号なし",AK1433)))</f>
        <v/>
      </c>
      <c r="D1433" s="47" t="n"/>
      <c r="E1433" s="47" t="n"/>
      <c r="F1433" s="47" t="n"/>
      <c r="G1433" s="47" t="n"/>
      <c r="H1433" s="47" t="n"/>
      <c r="I1433" s="47" t="n"/>
      <c r="J1433" s="47" t="n"/>
      <c r="K1433" s="47" t="n"/>
      <c r="L1433" s="47" t="n"/>
      <c r="M1433" s="47" t="n"/>
      <c r="N1433" s="47" t="n"/>
      <c r="O1433" s="47" t="n"/>
      <c r="P1433" s="47" t="n"/>
      <c r="Q1433" s="47" t="n"/>
      <c r="R1433" s="47" t="n"/>
      <c r="S1433" s="47" t="n"/>
      <c r="T1433" s="47" t="n"/>
      <c r="U1433" s="53" t="n"/>
      <c r="V1433" s="53" t="n"/>
      <c r="W1433" s="47" t="n"/>
      <c r="X1433" s="47" t="n"/>
      <c r="Y1433" s="47" t="n"/>
      <c r="Z1433" s="47" t="n"/>
      <c r="AA1433" s="47" t="n"/>
      <c r="AB1433" s="47" t="n"/>
      <c r="AC1433" s="47" t="n"/>
      <c r="AD1433" s="47" t="n"/>
      <c r="AE1433" s="47" t="n"/>
      <c r="AF1433" s="20">
        <f>IF(A1433="","",YEAR(EDATE(A1433,-3)))</f>
        <v/>
      </c>
      <c r="AG1433" s="20">
        <f>IF(OR(B1433="",'経歴簿'!$C$4=""),"",IF(B1433&amp;""='経歴簿'!$C$4&amp;"",MAX($AG$4:AG1432)+1,""))</f>
        <v/>
      </c>
      <c r="AH1433" s="20">
        <f>IF(A1433="",0,IF(AND(OR('CSV抽出'!$C$4="",A1433&gt;='CSV抽出'!$C$4),OR('CSV抽出'!$C$5="",A1433&lt;='CSV抽出'!$C$5),OR('CSV抽出'!$C$6="すべて",'CSV抽出'!$C$6="",D1433='CSV抽出'!$C$6),OR('CSV抽出'!$C$7="",B1433&amp;""='CSV抽出'!$C$7&amp;"")),1,0))</f>
        <v/>
      </c>
      <c r="AI1433" s="20">
        <f>IF(AH1433=1,SUM($AH$5:AH1433),"")</f>
        <v/>
      </c>
      <c r="AJ1433" s="20">
        <f>IF(OR(S1433="",'報告書'!$C$4=""),"",IF(S1433&amp;""='報告書'!$C$4&amp;"",COUNTIF($S$5:S1433,'報告書'!$C$4),""))</f>
        <v/>
      </c>
      <c r="AK1433" s="20" t="n"/>
      <c r="AL1433" s="47" t="n"/>
      <c r="AM1433" s="47" t="n"/>
      <c r="AN1433" s="53" t="n"/>
      <c r="AO1433" s="47" t="n"/>
      <c r="AP1433" s="47" t="n"/>
      <c r="AQ1433" s="47" t="n"/>
      <c r="AR1433" s="47" t="n"/>
      <c r="AS1433" s="47" t="n"/>
      <c r="AT1433" s="47" t="n"/>
      <c r="AU1433" s="47" t="n"/>
      <c r="AV1433" s="47" t="n"/>
      <c r="AW1433" s="52" t="n"/>
    </row>
    <row r="1434">
      <c r="A1434" s="48" t="n"/>
      <c r="B1434" s="52" t="n"/>
      <c r="C1434" s="47">
        <f>IF(B1434="","",IFERROR(INDEX('隊員マスタ'!$B$5:$B$204,MATCH(B1434&amp;"",'隊員マスタ'!$F$5:$F$204,0)),IF(AK1434="","番号なし",AK1434)))</f>
        <v/>
      </c>
      <c r="D1434" s="47" t="n"/>
      <c r="E1434" s="47" t="n"/>
      <c r="F1434" s="47" t="n"/>
      <c r="G1434" s="47" t="n"/>
      <c r="H1434" s="47" t="n"/>
      <c r="I1434" s="47" t="n"/>
      <c r="J1434" s="47" t="n"/>
      <c r="K1434" s="47" t="n"/>
      <c r="L1434" s="47" t="n"/>
      <c r="M1434" s="47" t="n"/>
      <c r="N1434" s="47" t="n"/>
      <c r="O1434" s="47" t="n"/>
      <c r="P1434" s="47" t="n"/>
      <c r="Q1434" s="47" t="n"/>
      <c r="R1434" s="47" t="n"/>
      <c r="S1434" s="47" t="n"/>
      <c r="T1434" s="47" t="n"/>
      <c r="U1434" s="53" t="n"/>
      <c r="V1434" s="53" t="n"/>
      <c r="W1434" s="47" t="n"/>
      <c r="X1434" s="47" t="n"/>
      <c r="Y1434" s="47" t="n"/>
      <c r="Z1434" s="47" t="n"/>
      <c r="AA1434" s="47" t="n"/>
      <c r="AB1434" s="47" t="n"/>
      <c r="AC1434" s="47" t="n"/>
      <c r="AD1434" s="47" t="n"/>
      <c r="AE1434" s="47" t="n"/>
      <c r="AF1434" s="20">
        <f>IF(A1434="","",YEAR(EDATE(A1434,-3)))</f>
        <v/>
      </c>
      <c r="AG1434" s="20">
        <f>IF(OR(B1434="",'経歴簿'!$C$4=""),"",IF(B1434&amp;""='経歴簿'!$C$4&amp;"",MAX($AG$4:AG1433)+1,""))</f>
        <v/>
      </c>
      <c r="AH1434" s="20">
        <f>IF(A1434="",0,IF(AND(OR('CSV抽出'!$C$4="",A1434&gt;='CSV抽出'!$C$4),OR('CSV抽出'!$C$5="",A1434&lt;='CSV抽出'!$C$5),OR('CSV抽出'!$C$6="すべて",'CSV抽出'!$C$6="",D1434='CSV抽出'!$C$6),OR('CSV抽出'!$C$7="",B1434&amp;""='CSV抽出'!$C$7&amp;"")),1,0))</f>
        <v/>
      </c>
      <c r="AI1434" s="20">
        <f>IF(AH1434=1,SUM($AH$5:AH1434),"")</f>
        <v/>
      </c>
      <c r="AJ1434" s="20">
        <f>IF(OR(S1434="",'報告書'!$C$4=""),"",IF(S1434&amp;""='報告書'!$C$4&amp;"",COUNTIF($S$5:S1434,'報告書'!$C$4),""))</f>
        <v/>
      </c>
      <c r="AK1434" s="20" t="n"/>
      <c r="AL1434" s="47" t="n"/>
      <c r="AM1434" s="47" t="n"/>
      <c r="AN1434" s="53" t="n"/>
      <c r="AO1434" s="47" t="n"/>
      <c r="AP1434" s="47" t="n"/>
      <c r="AQ1434" s="47" t="n"/>
      <c r="AR1434" s="47" t="n"/>
      <c r="AS1434" s="47" t="n"/>
      <c r="AT1434" s="47" t="n"/>
      <c r="AU1434" s="47" t="n"/>
      <c r="AV1434" s="47" t="n"/>
      <c r="AW1434" s="52" t="n"/>
    </row>
    <row r="1435">
      <c r="A1435" s="48" t="n"/>
      <c r="B1435" s="52" t="n"/>
      <c r="C1435" s="47">
        <f>IF(B1435="","",IFERROR(INDEX('隊員マスタ'!$B$5:$B$204,MATCH(B1435&amp;"",'隊員マスタ'!$F$5:$F$204,0)),IF(AK1435="","番号なし",AK1435)))</f>
        <v/>
      </c>
      <c r="D1435" s="47" t="n"/>
      <c r="E1435" s="47" t="n"/>
      <c r="F1435" s="47" t="n"/>
      <c r="G1435" s="47" t="n"/>
      <c r="H1435" s="47" t="n"/>
      <c r="I1435" s="47" t="n"/>
      <c r="J1435" s="47" t="n"/>
      <c r="K1435" s="47" t="n"/>
      <c r="L1435" s="47" t="n"/>
      <c r="M1435" s="47" t="n"/>
      <c r="N1435" s="47" t="n"/>
      <c r="O1435" s="47" t="n"/>
      <c r="P1435" s="47" t="n"/>
      <c r="Q1435" s="47" t="n"/>
      <c r="R1435" s="47" t="n"/>
      <c r="S1435" s="47" t="n"/>
      <c r="T1435" s="47" t="n"/>
      <c r="U1435" s="53" t="n"/>
      <c r="V1435" s="53" t="n"/>
      <c r="W1435" s="47" t="n"/>
      <c r="X1435" s="47" t="n"/>
      <c r="Y1435" s="47" t="n"/>
      <c r="Z1435" s="47" t="n"/>
      <c r="AA1435" s="47" t="n"/>
      <c r="AB1435" s="47" t="n"/>
      <c r="AC1435" s="47" t="n"/>
      <c r="AD1435" s="47" t="n"/>
      <c r="AE1435" s="47" t="n"/>
      <c r="AF1435" s="20">
        <f>IF(A1435="","",YEAR(EDATE(A1435,-3)))</f>
        <v/>
      </c>
      <c r="AG1435" s="20">
        <f>IF(OR(B1435="",'経歴簿'!$C$4=""),"",IF(B1435&amp;""='経歴簿'!$C$4&amp;"",MAX($AG$4:AG1434)+1,""))</f>
        <v/>
      </c>
      <c r="AH1435" s="20">
        <f>IF(A1435="",0,IF(AND(OR('CSV抽出'!$C$4="",A1435&gt;='CSV抽出'!$C$4),OR('CSV抽出'!$C$5="",A1435&lt;='CSV抽出'!$C$5),OR('CSV抽出'!$C$6="すべて",'CSV抽出'!$C$6="",D1435='CSV抽出'!$C$6),OR('CSV抽出'!$C$7="",B1435&amp;""='CSV抽出'!$C$7&amp;"")),1,0))</f>
        <v/>
      </c>
      <c r="AI1435" s="20">
        <f>IF(AH1435=1,SUM($AH$5:AH1435),"")</f>
        <v/>
      </c>
      <c r="AJ1435" s="20">
        <f>IF(OR(S1435="",'報告書'!$C$4=""),"",IF(S1435&amp;""='報告書'!$C$4&amp;"",COUNTIF($S$5:S1435,'報告書'!$C$4),""))</f>
        <v/>
      </c>
      <c r="AK1435" s="20" t="n"/>
      <c r="AL1435" s="47" t="n"/>
      <c r="AM1435" s="47" t="n"/>
      <c r="AN1435" s="53" t="n"/>
      <c r="AO1435" s="47" t="n"/>
      <c r="AP1435" s="47" t="n"/>
      <c r="AQ1435" s="47" t="n"/>
      <c r="AR1435" s="47" t="n"/>
      <c r="AS1435" s="47" t="n"/>
      <c r="AT1435" s="47" t="n"/>
      <c r="AU1435" s="47" t="n"/>
      <c r="AV1435" s="47" t="n"/>
      <c r="AW1435" s="52" t="n"/>
    </row>
    <row r="1436">
      <c r="A1436" s="48" t="n"/>
      <c r="B1436" s="52" t="n"/>
      <c r="C1436" s="47">
        <f>IF(B1436="","",IFERROR(INDEX('隊員マスタ'!$B$5:$B$204,MATCH(B1436&amp;"",'隊員マスタ'!$F$5:$F$204,0)),IF(AK1436="","番号なし",AK1436)))</f>
        <v/>
      </c>
      <c r="D1436" s="47" t="n"/>
      <c r="E1436" s="47" t="n"/>
      <c r="F1436" s="47" t="n"/>
      <c r="G1436" s="47" t="n"/>
      <c r="H1436" s="47" t="n"/>
      <c r="I1436" s="47" t="n"/>
      <c r="J1436" s="47" t="n"/>
      <c r="K1436" s="47" t="n"/>
      <c r="L1436" s="47" t="n"/>
      <c r="M1436" s="47" t="n"/>
      <c r="N1436" s="47" t="n"/>
      <c r="O1436" s="47" t="n"/>
      <c r="P1436" s="47" t="n"/>
      <c r="Q1436" s="47" t="n"/>
      <c r="R1436" s="47" t="n"/>
      <c r="S1436" s="47" t="n"/>
      <c r="T1436" s="47" t="n"/>
      <c r="U1436" s="53" t="n"/>
      <c r="V1436" s="53" t="n"/>
      <c r="W1436" s="47" t="n"/>
      <c r="X1436" s="47" t="n"/>
      <c r="Y1436" s="47" t="n"/>
      <c r="Z1436" s="47" t="n"/>
      <c r="AA1436" s="47" t="n"/>
      <c r="AB1436" s="47" t="n"/>
      <c r="AC1436" s="47" t="n"/>
      <c r="AD1436" s="47" t="n"/>
      <c r="AE1436" s="47" t="n"/>
      <c r="AF1436" s="20">
        <f>IF(A1436="","",YEAR(EDATE(A1436,-3)))</f>
        <v/>
      </c>
      <c r="AG1436" s="20">
        <f>IF(OR(B1436="",'経歴簿'!$C$4=""),"",IF(B1436&amp;""='経歴簿'!$C$4&amp;"",MAX($AG$4:AG1435)+1,""))</f>
        <v/>
      </c>
      <c r="AH1436" s="20">
        <f>IF(A1436="",0,IF(AND(OR('CSV抽出'!$C$4="",A1436&gt;='CSV抽出'!$C$4),OR('CSV抽出'!$C$5="",A1436&lt;='CSV抽出'!$C$5),OR('CSV抽出'!$C$6="すべて",'CSV抽出'!$C$6="",D1436='CSV抽出'!$C$6),OR('CSV抽出'!$C$7="",B1436&amp;""='CSV抽出'!$C$7&amp;"")),1,0))</f>
        <v/>
      </c>
      <c r="AI1436" s="20">
        <f>IF(AH1436=1,SUM($AH$5:AH1436),"")</f>
        <v/>
      </c>
      <c r="AJ1436" s="20">
        <f>IF(OR(S1436="",'報告書'!$C$4=""),"",IF(S1436&amp;""='報告書'!$C$4&amp;"",COUNTIF($S$5:S1436,'報告書'!$C$4),""))</f>
        <v/>
      </c>
      <c r="AK1436" s="20" t="n"/>
      <c r="AL1436" s="47" t="n"/>
      <c r="AM1436" s="47" t="n"/>
      <c r="AN1436" s="53" t="n"/>
      <c r="AO1436" s="47" t="n"/>
      <c r="AP1436" s="47" t="n"/>
      <c r="AQ1436" s="47" t="n"/>
      <c r="AR1436" s="47" t="n"/>
      <c r="AS1436" s="47" t="n"/>
      <c r="AT1436" s="47" t="n"/>
      <c r="AU1436" s="47" t="n"/>
      <c r="AV1436" s="47" t="n"/>
      <c r="AW1436" s="52" t="n"/>
    </row>
    <row r="1437">
      <c r="A1437" s="48" t="n"/>
      <c r="B1437" s="52" t="n"/>
      <c r="C1437" s="47">
        <f>IF(B1437="","",IFERROR(INDEX('隊員マスタ'!$B$5:$B$204,MATCH(B1437&amp;"",'隊員マスタ'!$F$5:$F$204,0)),IF(AK1437="","番号なし",AK1437)))</f>
        <v/>
      </c>
      <c r="D1437" s="47" t="n"/>
      <c r="E1437" s="47" t="n"/>
      <c r="F1437" s="47" t="n"/>
      <c r="G1437" s="47" t="n"/>
      <c r="H1437" s="47" t="n"/>
      <c r="I1437" s="47" t="n"/>
      <c r="J1437" s="47" t="n"/>
      <c r="K1437" s="47" t="n"/>
      <c r="L1437" s="47" t="n"/>
      <c r="M1437" s="47" t="n"/>
      <c r="N1437" s="47" t="n"/>
      <c r="O1437" s="47" t="n"/>
      <c r="P1437" s="47" t="n"/>
      <c r="Q1437" s="47" t="n"/>
      <c r="R1437" s="47" t="n"/>
      <c r="S1437" s="47" t="n"/>
      <c r="T1437" s="47" t="n"/>
      <c r="U1437" s="53" t="n"/>
      <c r="V1437" s="53" t="n"/>
      <c r="W1437" s="47" t="n"/>
      <c r="X1437" s="47" t="n"/>
      <c r="Y1437" s="47" t="n"/>
      <c r="Z1437" s="47" t="n"/>
      <c r="AA1437" s="47" t="n"/>
      <c r="AB1437" s="47" t="n"/>
      <c r="AC1437" s="47" t="n"/>
      <c r="AD1437" s="47" t="n"/>
      <c r="AE1437" s="47" t="n"/>
      <c r="AF1437" s="20">
        <f>IF(A1437="","",YEAR(EDATE(A1437,-3)))</f>
        <v/>
      </c>
      <c r="AG1437" s="20">
        <f>IF(OR(B1437="",'経歴簿'!$C$4=""),"",IF(B1437&amp;""='経歴簿'!$C$4&amp;"",MAX($AG$4:AG1436)+1,""))</f>
        <v/>
      </c>
      <c r="AH1437" s="20">
        <f>IF(A1437="",0,IF(AND(OR('CSV抽出'!$C$4="",A1437&gt;='CSV抽出'!$C$4),OR('CSV抽出'!$C$5="",A1437&lt;='CSV抽出'!$C$5),OR('CSV抽出'!$C$6="すべて",'CSV抽出'!$C$6="",D1437='CSV抽出'!$C$6),OR('CSV抽出'!$C$7="",B1437&amp;""='CSV抽出'!$C$7&amp;"")),1,0))</f>
        <v/>
      </c>
      <c r="AI1437" s="20">
        <f>IF(AH1437=1,SUM($AH$5:AH1437),"")</f>
        <v/>
      </c>
      <c r="AJ1437" s="20">
        <f>IF(OR(S1437="",'報告書'!$C$4=""),"",IF(S1437&amp;""='報告書'!$C$4&amp;"",COUNTIF($S$5:S1437,'報告書'!$C$4),""))</f>
        <v/>
      </c>
      <c r="AK1437" s="20" t="n"/>
      <c r="AL1437" s="47" t="n"/>
      <c r="AM1437" s="47" t="n"/>
      <c r="AN1437" s="53" t="n"/>
      <c r="AO1437" s="47" t="n"/>
      <c r="AP1437" s="47" t="n"/>
      <c r="AQ1437" s="47" t="n"/>
      <c r="AR1437" s="47" t="n"/>
      <c r="AS1437" s="47" t="n"/>
      <c r="AT1437" s="47" t="n"/>
      <c r="AU1437" s="47" t="n"/>
      <c r="AV1437" s="47" t="n"/>
      <c r="AW1437" s="52" t="n"/>
    </row>
    <row r="1438">
      <c r="A1438" s="48" t="n"/>
      <c r="B1438" s="52" t="n"/>
      <c r="C1438" s="47">
        <f>IF(B1438="","",IFERROR(INDEX('隊員マスタ'!$B$5:$B$204,MATCH(B1438&amp;"",'隊員マスタ'!$F$5:$F$204,0)),IF(AK1438="","番号なし",AK1438)))</f>
        <v/>
      </c>
      <c r="D1438" s="47" t="n"/>
      <c r="E1438" s="47" t="n"/>
      <c r="F1438" s="47" t="n"/>
      <c r="G1438" s="47" t="n"/>
      <c r="H1438" s="47" t="n"/>
      <c r="I1438" s="47" t="n"/>
      <c r="J1438" s="47" t="n"/>
      <c r="K1438" s="47" t="n"/>
      <c r="L1438" s="47" t="n"/>
      <c r="M1438" s="47" t="n"/>
      <c r="N1438" s="47" t="n"/>
      <c r="O1438" s="47" t="n"/>
      <c r="P1438" s="47" t="n"/>
      <c r="Q1438" s="47" t="n"/>
      <c r="R1438" s="47" t="n"/>
      <c r="S1438" s="47" t="n"/>
      <c r="T1438" s="47" t="n"/>
      <c r="U1438" s="53" t="n"/>
      <c r="V1438" s="53" t="n"/>
      <c r="W1438" s="47" t="n"/>
      <c r="X1438" s="47" t="n"/>
      <c r="Y1438" s="47" t="n"/>
      <c r="Z1438" s="47" t="n"/>
      <c r="AA1438" s="47" t="n"/>
      <c r="AB1438" s="47" t="n"/>
      <c r="AC1438" s="47" t="n"/>
      <c r="AD1438" s="47" t="n"/>
      <c r="AE1438" s="47" t="n"/>
      <c r="AF1438" s="20">
        <f>IF(A1438="","",YEAR(EDATE(A1438,-3)))</f>
        <v/>
      </c>
      <c r="AG1438" s="20">
        <f>IF(OR(B1438="",'経歴簿'!$C$4=""),"",IF(B1438&amp;""='経歴簿'!$C$4&amp;"",MAX($AG$4:AG1437)+1,""))</f>
        <v/>
      </c>
      <c r="AH1438" s="20">
        <f>IF(A1438="",0,IF(AND(OR('CSV抽出'!$C$4="",A1438&gt;='CSV抽出'!$C$4),OR('CSV抽出'!$C$5="",A1438&lt;='CSV抽出'!$C$5),OR('CSV抽出'!$C$6="すべて",'CSV抽出'!$C$6="",D1438='CSV抽出'!$C$6),OR('CSV抽出'!$C$7="",B1438&amp;""='CSV抽出'!$C$7&amp;"")),1,0))</f>
        <v/>
      </c>
      <c r="AI1438" s="20">
        <f>IF(AH1438=1,SUM($AH$5:AH1438),"")</f>
        <v/>
      </c>
      <c r="AJ1438" s="20">
        <f>IF(OR(S1438="",'報告書'!$C$4=""),"",IF(S1438&amp;""='報告書'!$C$4&amp;"",COUNTIF($S$5:S1438,'報告書'!$C$4),""))</f>
        <v/>
      </c>
      <c r="AK1438" s="20" t="n"/>
      <c r="AL1438" s="47" t="n"/>
      <c r="AM1438" s="47" t="n"/>
      <c r="AN1438" s="53" t="n"/>
      <c r="AO1438" s="47" t="n"/>
      <c r="AP1438" s="47" t="n"/>
      <c r="AQ1438" s="47" t="n"/>
      <c r="AR1438" s="47" t="n"/>
      <c r="AS1438" s="47" t="n"/>
      <c r="AT1438" s="47" t="n"/>
      <c r="AU1438" s="47" t="n"/>
      <c r="AV1438" s="47" t="n"/>
      <c r="AW1438" s="52" t="n"/>
    </row>
    <row r="1439">
      <c r="A1439" s="48" t="n"/>
      <c r="B1439" s="52" t="n"/>
      <c r="C1439" s="47">
        <f>IF(B1439="","",IFERROR(INDEX('隊員マスタ'!$B$5:$B$204,MATCH(B1439&amp;"",'隊員マスタ'!$F$5:$F$204,0)),IF(AK1439="","番号なし",AK1439)))</f>
        <v/>
      </c>
      <c r="D1439" s="47" t="n"/>
      <c r="E1439" s="47" t="n"/>
      <c r="F1439" s="47" t="n"/>
      <c r="G1439" s="47" t="n"/>
      <c r="H1439" s="47" t="n"/>
      <c r="I1439" s="47" t="n"/>
      <c r="J1439" s="47" t="n"/>
      <c r="K1439" s="47" t="n"/>
      <c r="L1439" s="47" t="n"/>
      <c r="M1439" s="47" t="n"/>
      <c r="N1439" s="47" t="n"/>
      <c r="O1439" s="47" t="n"/>
      <c r="P1439" s="47" t="n"/>
      <c r="Q1439" s="47" t="n"/>
      <c r="R1439" s="47" t="n"/>
      <c r="S1439" s="47" t="n"/>
      <c r="T1439" s="47" t="n"/>
      <c r="U1439" s="53" t="n"/>
      <c r="V1439" s="53" t="n"/>
      <c r="W1439" s="47" t="n"/>
      <c r="X1439" s="47" t="n"/>
      <c r="Y1439" s="47" t="n"/>
      <c r="Z1439" s="47" t="n"/>
      <c r="AA1439" s="47" t="n"/>
      <c r="AB1439" s="47" t="n"/>
      <c r="AC1439" s="47" t="n"/>
      <c r="AD1439" s="47" t="n"/>
      <c r="AE1439" s="47" t="n"/>
      <c r="AF1439" s="20">
        <f>IF(A1439="","",YEAR(EDATE(A1439,-3)))</f>
        <v/>
      </c>
      <c r="AG1439" s="20">
        <f>IF(OR(B1439="",'経歴簿'!$C$4=""),"",IF(B1439&amp;""='経歴簿'!$C$4&amp;"",MAX($AG$4:AG1438)+1,""))</f>
        <v/>
      </c>
      <c r="AH1439" s="20">
        <f>IF(A1439="",0,IF(AND(OR('CSV抽出'!$C$4="",A1439&gt;='CSV抽出'!$C$4),OR('CSV抽出'!$C$5="",A1439&lt;='CSV抽出'!$C$5),OR('CSV抽出'!$C$6="すべて",'CSV抽出'!$C$6="",D1439='CSV抽出'!$C$6),OR('CSV抽出'!$C$7="",B1439&amp;""='CSV抽出'!$C$7&amp;"")),1,0))</f>
        <v/>
      </c>
      <c r="AI1439" s="20">
        <f>IF(AH1439=1,SUM($AH$5:AH1439),"")</f>
        <v/>
      </c>
      <c r="AJ1439" s="20">
        <f>IF(OR(S1439="",'報告書'!$C$4=""),"",IF(S1439&amp;""='報告書'!$C$4&amp;"",COUNTIF($S$5:S1439,'報告書'!$C$4),""))</f>
        <v/>
      </c>
      <c r="AK1439" s="20" t="n"/>
      <c r="AL1439" s="47" t="n"/>
      <c r="AM1439" s="47" t="n"/>
      <c r="AN1439" s="53" t="n"/>
      <c r="AO1439" s="47" t="n"/>
      <c r="AP1439" s="47" t="n"/>
      <c r="AQ1439" s="47" t="n"/>
      <c r="AR1439" s="47" t="n"/>
      <c r="AS1439" s="47" t="n"/>
      <c r="AT1439" s="47" t="n"/>
      <c r="AU1439" s="47" t="n"/>
      <c r="AV1439" s="47" t="n"/>
      <c r="AW1439" s="52" t="n"/>
    </row>
    <row r="1440">
      <c r="A1440" s="48" t="n"/>
      <c r="B1440" s="52" t="n"/>
      <c r="C1440" s="47">
        <f>IF(B1440="","",IFERROR(INDEX('隊員マスタ'!$B$5:$B$204,MATCH(B1440&amp;"",'隊員マスタ'!$F$5:$F$204,0)),IF(AK1440="","番号なし",AK1440)))</f>
        <v/>
      </c>
      <c r="D1440" s="47" t="n"/>
      <c r="E1440" s="47" t="n"/>
      <c r="F1440" s="47" t="n"/>
      <c r="G1440" s="47" t="n"/>
      <c r="H1440" s="47" t="n"/>
      <c r="I1440" s="47" t="n"/>
      <c r="J1440" s="47" t="n"/>
      <c r="K1440" s="47" t="n"/>
      <c r="L1440" s="47" t="n"/>
      <c r="M1440" s="47" t="n"/>
      <c r="N1440" s="47" t="n"/>
      <c r="O1440" s="47" t="n"/>
      <c r="P1440" s="47" t="n"/>
      <c r="Q1440" s="47" t="n"/>
      <c r="R1440" s="47" t="n"/>
      <c r="S1440" s="47" t="n"/>
      <c r="T1440" s="47" t="n"/>
      <c r="U1440" s="53" t="n"/>
      <c r="V1440" s="53" t="n"/>
      <c r="W1440" s="47" t="n"/>
      <c r="X1440" s="47" t="n"/>
      <c r="Y1440" s="47" t="n"/>
      <c r="Z1440" s="47" t="n"/>
      <c r="AA1440" s="47" t="n"/>
      <c r="AB1440" s="47" t="n"/>
      <c r="AC1440" s="47" t="n"/>
      <c r="AD1440" s="47" t="n"/>
      <c r="AE1440" s="47" t="n"/>
      <c r="AF1440" s="20">
        <f>IF(A1440="","",YEAR(EDATE(A1440,-3)))</f>
        <v/>
      </c>
      <c r="AG1440" s="20">
        <f>IF(OR(B1440="",'経歴簿'!$C$4=""),"",IF(B1440&amp;""='経歴簿'!$C$4&amp;"",MAX($AG$4:AG1439)+1,""))</f>
        <v/>
      </c>
      <c r="AH1440" s="20">
        <f>IF(A1440="",0,IF(AND(OR('CSV抽出'!$C$4="",A1440&gt;='CSV抽出'!$C$4),OR('CSV抽出'!$C$5="",A1440&lt;='CSV抽出'!$C$5),OR('CSV抽出'!$C$6="すべて",'CSV抽出'!$C$6="",D1440='CSV抽出'!$C$6),OR('CSV抽出'!$C$7="",B1440&amp;""='CSV抽出'!$C$7&amp;"")),1,0))</f>
        <v/>
      </c>
      <c r="AI1440" s="20">
        <f>IF(AH1440=1,SUM($AH$5:AH1440),"")</f>
        <v/>
      </c>
      <c r="AJ1440" s="20">
        <f>IF(OR(S1440="",'報告書'!$C$4=""),"",IF(S1440&amp;""='報告書'!$C$4&amp;"",COUNTIF($S$5:S1440,'報告書'!$C$4),""))</f>
        <v/>
      </c>
      <c r="AK1440" s="20" t="n"/>
      <c r="AL1440" s="47" t="n"/>
      <c r="AM1440" s="47" t="n"/>
      <c r="AN1440" s="53" t="n"/>
      <c r="AO1440" s="47" t="n"/>
      <c r="AP1440" s="47" t="n"/>
      <c r="AQ1440" s="47" t="n"/>
      <c r="AR1440" s="47" t="n"/>
      <c r="AS1440" s="47" t="n"/>
      <c r="AT1440" s="47" t="n"/>
      <c r="AU1440" s="47" t="n"/>
      <c r="AV1440" s="47" t="n"/>
      <c r="AW1440" s="52" t="n"/>
    </row>
    <row r="1441">
      <c r="A1441" s="48" t="n"/>
      <c r="B1441" s="52" t="n"/>
      <c r="C1441" s="47">
        <f>IF(B1441="","",IFERROR(INDEX('隊員マスタ'!$B$5:$B$204,MATCH(B1441&amp;"",'隊員マスタ'!$F$5:$F$204,0)),IF(AK1441="","番号なし",AK1441)))</f>
        <v/>
      </c>
      <c r="D1441" s="47" t="n"/>
      <c r="E1441" s="47" t="n"/>
      <c r="F1441" s="47" t="n"/>
      <c r="G1441" s="47" t="n"/>
      <c r="H1441" s="47" t="n"/>
      <c r="I1441" s="47" t="n"/>
      <c r="J1441" s="47" t="n"/>
      <c r="K1441" s="47" t="n"/>
      <c r="L1441" s="47" t="n"/>
      <c r="M1441" s="47" t="n"/>
      <c r="N1441" s="47" t="n"/>
      <c r="O1441" s="47" t="n"/>
      <c r="P1441" s="47" t="n"/>
      <c r="Q1441" s="47" t="n"/>
      <c r="R1441" s="47" t="n"/>
      <c r="S1441" s="47" t="n"/>
      <c r="T1441" s="47" t="n"/>
      <c r="U1441" s="53" t="n"/>
      <c r="V1441" s="53" t="n"/>
      <c r="W1441" s="47" t="n"/>
      <c r="X1441" s="47" t="n"/>
      <c r="Y1441" s="47" t="n"/>
      <c r="Z1441" s="47" t="n"/>
      <c r="AA1441" s="47" t="n"/>
      <c r="AB1441" s="47" t="n"/>
      <c r="AC1441" s="47" t="n"/>
      <c r="AD1441" s="47" t="n"/>
      <c r="AE1441" s="47" t="n"/>
      <c r="AF1441" s="20">
        <f>IF(A1441="","",YEAR(EDATE(A1441,-3)))</f>
        <v/>
      </c>
      <c r="AG1441" s="20">
        <f>IF(OR(B1441="",'経歴簿'!$C$4=""),"",IF(B1441&amp;""='経歴簿'!$C$4&amp;"",MAX($AG$4:AG1440)+1,""))</f>
        <v/>
      </c>
      <c r="AH1441" s="20">
        <f>IF(A1441="",0,IF(AND(OR('CSV抽出'!$C$4="",A1441&gt;='CSV抽出'!$C$4),OR('CSV抽出'!$C$5="",A1441&lt;='CSV抽出'!$C$5),OR('CSV抽出'!$C$6="すべて",'CSV抽出'!$C$6="",D1441='CSV抽出'!$C$6),OR('CSV抽出'!$C$7="",B1441&amp;""='CSV抽出'!$C$7&amp;"")),1,0))</f>
        <v/>
      </c>
      <c r="AI1441" s="20">
        <f>IF(AH1441=1,SUM($AH$5:AH1441),"")</f>
        <v/>
      </c>
      <c r="AJ1441" s="20">
        <f>IF(OR(S1441="",'報告書'!$C$4=""),"",IF(S1441&amp;""='報告書'!$C$4&amp;"",COUNTIF($S$5:S1441,'報告書'!$C$4),""))</f>
        <v/>
      </c>
      <c r="AK1441" s="20" t="n"/>
      <c r="AL1441" s="47" t="n"/>
      <c r="AM1441" s="47" t="n"/>
      <c r="AN1441" s="53" t="n"/>
      <c r="AO1441" s="47" t="n"/>
      <c r="AP1441" s="47" t="n"/>
      <c r="AQ1441" s="47" t="n"/>
      <c r="AR1441" s="47" t="n"/>
      <c r="AS1441" s="47" t="n"/>
      <c r="AT1441" s="47" t="n"/>
      <c r="AU1441" s="47" t="n"/>
      <c r="AV1441" s="47" t="n"/>
      <c r="AW1441" s="52" t="n"/>
    </row>
    <row r="1442">
      <c r="A1442" s="48" t="n"/>
      <c r="B1442" s="52" t="n"/>
      <c r="C1442" s="47">
        <f>IF(B1442="","",IFERROR(INDEX('隊員マスタ'!$B$5:$B$204,MATCH(B1442&amp;"",'隊員マスタ'!$F$5:$F$204,0)),IF(AK1442="","番号なし",AK1442)))</f>
        <v/>
      </c>
      <c r="D1442" s="47" t="n"/>
      <c r="E1442" s="47" t="n"/>
      <c r="F1442" s="47" t="n"/>
      <c r="G1442" s="47" t="n"/>
      <c r="H1442" s="47" t="n"/>
      <c r="I1442" s="47" t="n"/>
      <c r="J1442" s="47" t="n"/>
      <c r="K1442" s="47" t="n"/>
      <c r="L1442" s="47" t="n"/>
      <c r="M1442" s="47" t="n"/>
      <c r="N1442" s="47" t="n"/>
      <c r="O1442" s="47" t="n"/>
      <c r="P1442" s="47" t="n"/>
      <c r="Q1442" s="47" t="n"/>
      <c r="R1442" s="47" t="n"/>
      <c r="S1442" s="47" t="n"/>
      <c r="T1442" s="47" t="n"/>
      <c r="U1442" s="53" t="n"/>
      <c r="V1442" s="53" t="n"/>
      <c r="W1442" s="47" t="n"/>
      <c r="X1442" s="47" t="n"/>
      <c r="Y1442" s="47" t="n"/>
      <c r="Z1442" s="47" t="n"/>
      <c r="AA1442" s="47" t="n"/>
      <c r="AB1442" s="47" t="n"/>
      <c r="AC1442" s="47" t="n"/>
      <c r="AD1442" s="47" t="n"/>
      <c r="AE1442" s="47" t="n"/>
      <c r="AF1442" s="20">
        <f>IF(A1442="","",YEAR(EDATE(A1442,-3)))</f>
        <v/>
      </c>
      <c r="AG1442" s="20">
        <f>IF(OR(B1442="",'経歴簿'!$C$4=""),"",IF(B1442&amp;""='経歴簿'!$C$4&amp;"",MAX($AG$4:AG1441)+1,""))</f>
        <v/>
      </c>
      <c r="AH1442" s="20">
        <f>IF(A1442="",0,IF(AND(OR('CSV抽出'!$C$4="",A1442&gt;='CSV抽出'!$C$4),OR('CSV抽出'!$C$5="",A1442&lt;='CSV抽出'!$C$5),OR('CSV抽出'!$C$6="すべて",'CSV抽出'!$C$6="",D1442='CSV抽出'!$C$6),OR('CSV抽出'!$C$7="",B1442&amp;""='CSV抽出'!$C$7&amp;"")),1,0))</f>
        <v/>
      </c>
      <c r="AI1442" s="20">
        <f>IF(AH1442=1,SUM($AH$5:AH1442),"")</f>
        <v/>
      </c>
      <c r="AJ1442" s="20">
        <f>IF(OR(S1442="",'報告書'!$C$4=""),"",IF(S1442&amp;""='報告書'!$C$4&amp;"",COUNTIF($S$5:S1442,'報告書'!$C$4),""))</f>
        <v/>
      </c>
      <c r="AK1442" s="20" t="n"/>
      <c r="AL1442" s="47" t="n"/>
      <c r="AM1442" s="47" t="n"/>
      <c r="AN1442" s="53" t="n"/>
      <c r="AO1442" s="47" t="n"/>
      <c r="AP1442" s="47" t="n"/>
      <c r="AQ1442" s="47" t="n"/>
      <c r="AR1442" s="47" t="n"/>
      <c r="AS1442" s="47" t="n"/>
      <c r="AT1442" s="47" t="n"/>
      <c r="AU1442" s="47" t="n"/>
      <c r="AV1442" s="47" t="n"/>
      <c r="AW1442" s="52" t="n"/>
    </row>
    <row r="1443">
      <c r="A1443" s="48" t="n"/>
      <c r="B1443" s="52" t="n"/>
      <c r="C1443" s="47">
        <f>IF(B1443="","",IFERROR(INDEX('隊員マスタ'!$B$5:$B$204,MATCH(B1443&amp;"",'隊員マスタ'!$F$5:$F$204,0)),IF(AK1443="","番号なし",AK1443)))</f>
        <v/>
      </c>
      <c r="D1443" s="47" t="n"/>
      <c r="E1443" s="47" t="n"/>
      <c r="F1443" s="47" t="n"/>
      <c r="G1443" s="47" t="n"/>
      <c r="H1443" s="47" t="n"/>
      <c r="I1443" s="47" t="n"/>
      <c r="J1443" s="47" t="n"/>
      <c r="K1443" s="47" t="n"/>
      <c r="L1443" s="47" t="n"/>
      <c r="M1443" s="47" t="n"/>
      <c r="N1443" s="47" t="n"/>
      <c r="O1443" s="47" t="n"/>
      <c r="P1443" s="47" t="n"/>
      <c r="Q1443" s="47" t="n"/>
      <c r="R1443" s="47" t="n"/>
      <c r="S1443" s="47" t="n"/>
      <c r="T1443" s="47" t="n"/>
      <c r="U1443" s="53" t="n"/>
      <c r="V1443" s="53" t="n"/>
      <c r="W1443" s="47" t="n"/>
      <c r="X1443" s="47" t="n"/>
      <c r="Y1443" s="47" t="n"/>
      <c r="Z1443" s="47" t="n"/>
      <c r="AA1443" s="47" t="n"/>
      <c r="AB1443" s="47" t="n"/>
      <c r="AC1443" s="47" t="n"/>
      <c r="AD1443" s="47" t="n"/>
      <c r="AE1443" s="47" t="n"/>
      <c r="AF1443" s="20">
        <f>IF(A1443="","",YEAR(EDATE(A1443,-3)))</f>
        <v/>
      </c>
      <c r="AG1443" s="20">
        <f>IF(OR(B1443="",'経歴簿'!$C$4=""),"",IF(B1443&amp;""='経歴簿'!$C$4&amp;"",MAX($AG$4:AG1442)+1,""))</f>
        <v/>
      </c>
      <c r="AH1443" s="20">
        <f>IF(A1443="",0,IF(AND(OR('CSV抽出'!$C$4="",A1443&gt;='CSV抽出'!$C$4),OR('CSV抽出'!$C$5="",A1443&lt;='CSV抽出'!$C$5),OR('CSV抽出'!$C$6="すべて",'CSV抽出'!$C$6="",D1443='CSV抽出'!$C$6),OR('CSV抽出'!$C$7="",B1443&amp;""='CSV抽出'!$C$7&amp;"")),1,0))</f>
        <v/>
      </c>
      <c r="AI1443" s="20">
        <f>IF(AH1443=1,SUM($AH$5:AH1443),"")</f>
        <v/>
      </c>
      <c r="AJ1443" s="20">
        <f>IF(OR(S1443="",'報告書'!$C$4=""),"",IF(S1443&amp;""='報告書'!$C$4&amp;"",COUNTIF($S$5:S1443,'報告書'!$C$4),""))</f>
        <v/>
      </c>
      <c r="AK1443" s="20" t="n"/>
      <c r="AL1443" s="47" t="n"/>
      <c r="AM1443" s="47" t="n"/>
      <c r="AN1443" s="53" t="n"/>
      <c r="AO1443" s="47" t="n"/>
      <c r="AP1443" s="47" t="n"/>
      <c r="AQ1443" s="47" t="n"/>
      <c r="AR1443" s="47" t="n"/>
      <c r="AS1443" s="47" t="n"/>
      <c r="AT1443" s="47" t="n"/>
      <c r="AU1443" s="47" t="n"/>
      <c r="AV1443" s="47" t="n"/>
      <c r="AW1443" s="52" t="n"/>
    </row>
    <row r="1444">
      <c r="A1444" s="48" t="n"/>
      <c r="B1444" s="52" t="n"/>
      <c r="C1444" s="47">
        <f>IF(B1444="","",IFERROR(INDEX('隊員マスタ'!$B$5:$B$204,MATCH(B1444&amp;"",'隊員マスタ'!$F$5:$F$204,0)),IF(AK1444="","番号なし",AK1444)))</f>
        <v/>
      </c>
      <c r="D1444" s="47" t="n"/>
      <c r="E1444" s="47" t="n"/>
      <c r="F1444" s="47" t="n"/>
      <c r="G1444" s="47" t="n"/>
      <c r="H1444" s="47" t="n"/>
      <c r="I1444" s="47" t="n"/>
      <c r="J1444" s="47" t="n"/>
      <c r="K1444" s="47" t="n"/>
      <c r="L1444" s="47" t="n"/>
      <c r="M1444" s="47" t="n"/>
      <c r="N1444" s="47" t="n"/>
      <c r="O1444" s="47" t="n"/>
      <c r="P1444" s="47" t="n"/>
      <c r="Q1444" s="47" t="n"/>
      <c r="R1444" s="47" t="n"/>
      <c r="S1444" s="47" t="n"/>
      <c r="T1444" s="47" t="n"/>
      <c r="U1444" s="53" t="n"/>
      <c r="V1444" s="53" t="n"/>
      <c r="W1444" s="47" t="n"/>
      <c r="X1444" s="47" t="n"/>
      <c r="Y1444" s="47" t="n"/>
      <c r="Z1444" s="47" t="n"/>
      <c r="AA1444" s="47" t="n"/>
      <c r="AB1444" s="47" t="n"/>
      <c r="AC1444" s="47" t="n"/>
      <c r="AD1444" s="47" t="n"/>
      <c r="AE1444" s="47" t="n"/>
      <c r="AF1444" s="20">
        <f>IF(A1444="","",YEAR(EDATE(A1444,-3)))</f>
        <v/>
      </c>
      <c r="AG1444" s="20">
        <f>IF(OR(B1444="",'経歴簿'!$C$4=""),"",IF(B1444&amp;""='経歴簿'!$C$4&amp;"",MAX($AG$4:AG1443)+1,""))</f>
        <v/>
      </c>
      <c r="AH1444" s="20">
        <f>IF(A1444="",0,IF(AND(OR('CSV抽出'!$C$4="",A1444&gt;='CSV抽出'!$C$4),OR('CSV抽出'!$C$5="",A1444&lt;='CSV抽出'!$C$5),OR('CSV抽出'!$C$6="すべて",'CSV抽出'!$C$6="",D1444='CSV抽出'!$C$6),OR('CSV抽出'!$C$7="",B1444&amp;""='CSV抽出'!$C$7&amp;"")),1,0))</f>
        <v/>
      </c>
      <c r="AI1444" s="20">
        <f>IF(AH1444=1,SUM($AH$5:AH1444),"")</f>
        <v/>
      </c>
      <c r="AJ1444" s="20">
        <f>IF(OR(S1444="",'報告書'!$C$4=""),"",IF(S1444&amp;""='報告書'!$C$4&amp;"",COUNTIF($S$5:S1444,'報告書'!$C$4),""))</f>
        <v/>
      </c>
      <c r="AK1444" s="20" t="n"/>
      <c r="AL1444" s="47" t="n"/>
      <c r="AM1444" s="47" t="n"/>
      <c r="AN1444" s="53" t="n"/>
      <c r="AO1444" s="47" t="n"/>
      <c r="AP1444" s="47" t="n"/>
      <c r="AQ1444" s="47" t="n"/>
      <c r="AR1444" s="47" t="n"/>
      <c r="AS1444" s="47" t="n"/>
      <c r="AT1444" s="47" t="n"/>
      <c r="AU1444" s="47" t="n"/>
      <c r="AV1444" s="47" t="n"/>
      <c r="AW1444" s="52" t="n"/>
    </row>
    <row r="1445">
      <c r="A1445" s="48" t="n"/>
      <c r="B1445" s="52" t="n"/>
      <c r="C1445" s="47">
        <f>IF(B1445="","",IFERROR(INDEX('隊員マスタ'!$B$5:$B$204,MATCH(B1445&amp;"",'隊員マスタ'!$F$5:$F$204,0)),IF(AK1445="","番号なし",AK1445)))</f>
        <v/>
      </c>
      <c r="D1445" s="47" t="n"/>
      <c r="E1445" s="47" t="n"/>
      <c r="F1445" s="47" t="n"/>
      <c r="G1445" s="47" t="n"/>
      <c r="H1445" s="47" t="n"/>
      <c r="I1445" s="47" t="n"/>
      <c r="J1445" s="47" t="n"/>
      <c r="K1445" s="47" t="n"/>
      <c r="L1445" s="47" t="n"/>
      <c r="M1445" s="47" t="n"/>
      <c r="N1445" s="47" t="n"/>
      <c r="O1445" s="47" t="n"/>
      <c r="P1445" s="47" t="n"/>
      <c r="Q1445" s="47" t="n"/>
      <c r="R1445" s="47" t="n"/>
      <c r="S1445" s="47" t="n"/>
      <c r="T1445" s="47" t="n"/>
      <c r="U1445" s="53" t="n"/>
      <c r="V1445" s="53" t="n"/>
      <c r="W1445" s="47" t="n"/>
      <c r="X1445" s="47" t="n"/>
      <c r="Y1445" s="47" t="n"/>
      <c r="Z1445" s="47" t="n"/>
      <c r="AA1445" s="47" t="n"/>
      <c r="AB1445" s="47" t="n"/>
      <c r="AC1445" s="47" t="n"/>
      <c r="AD1445" s="47" t="n"/>
      <c r="AE1445" s="47" t="n"/>
      <c r="AF1445" s="20">
        <f>IF(A1445="","",YEAR(EDATE(A1445,-3)))</f>
        <v/>
      </c>
      <c r="AG1445" s="20">
        <f>IF(OR(B1445="",'経歴簿'!$C$4=""),"",IF(B1445&amp;""='経歴簿'!$C$4&amp;"",MAX($AG$4:AG1444)+1,""))</f>
        <v/>
      </c>
      <c r="AH1445" s="20">
        <f>IF(A1445="",0,IF(AND(OR('CSV抽出'!$C$4="",A1445&gt;='CSV抽出'!$C$4),OR('CSV抽出'!$C$5="",A1445&lt;='CSV抽出'!$C$5),OR('CSV抽出'!$C$6="すべて",'CSV抽出'!$C$6="",D1445='CSV抽出'!$C$6),OR('CSV抽出'!$C$7="",B1445&amp;""='CSV抽出'!$C$7&amp;"")),1,0))</f>
        <v/>
      </c>
      <c r="AI1445" s="20">
        <f>IF(AH1445=1,SUM($AH$5:AH1445),"")</f>
        <v/>
      </c>
      <c r="AJ1445" s="20">
        <f>IF(OR(S1445="",'報告書'!$C$4=""),"",IF(S1445&amp;""='報告書'!$C$4&amp;"",COUNTIF($S$5:S1445,'報告書'!$C$4),""))</f>
        <v/>
      </c>
      <c r="AK1445" s="20" t="n"/>
      <c r="AL1445" s="47" t="n"/>
      <c r="AM1445" s="47" t="n"/>
      <c r="AN1445" s="53" t="n"/>
      <c r="AO1445" s="47" t="n"/>
      <c r="AP1445" s="47" t="n"/>
      <c r="AQ1445" s="47" t="n"/>
      <c r="AR1445" s="47" t="n"/>
      <c r="AS1445" s="47" t="n"/>
      <c r="AT1445" s="47" t="n"/>
      <c r="AU1445" s="47" t="n"/>
      <c r="AV1445" s="47" t="n"/>
      <c r="AW1445" s="52" t="n"/>
    </row>
    <row r="1446">
      <c r="A1446" s="48" t="n"/>
      <c r="B1446" s="52" t="n"/>
      <c r="C1446" s="47">
        <f>IF(B1446="","",IFERROR(INDEX('隊員マスタ'!$B$5:$B$204,MATCH(B1446&amp;"",'隊員マスタ'!$F$5:$F$204,0)),IF(AK1446="","番号なし",AK1446)))</f>
        <v/>
      </c>
      <c r="D1446" s="47" t="n"/>
      <c r="E1446" s="47" t="n"/>
      <c r="F1446" s="47" t="n"/>
      <c r="G1446" s="47" t="n"/>
      <c r="H1446" s="47" t="n"/>
      <c r="I1446" s="47" t="n"/>
      <c r="J1446" s="47" t="n"/>
      <c r="K1446" s="47" t="n"/>
      <c r="L1446" s="47" t="n"/>
      <c r="M1446" s="47" t="n"/>
      <c r="N1446" s="47" t="n"/>
      <c r="O1446" s="47" t="n"/>
      <c r="P1446" s="47" t="n"/>
      <c r="Q1446" s="47" t="n"/>
      <c r="R1446" s="47" t="n"/>
      <c r="S1446" s="47" t="n"/>
      <c r="T1446" s="47" t="n"/>
      <c r="U1446" s="53" t="n"/>
      <c r="V1446" s="53" t="n"/>
      <c r="W1446" s="47" t="n"/>
      <c r="X1446" s="47" t="n"/>
      <c r="Y1446" s="47" t="n"/>
      <c r="Z1446" s="47" t="n"/>
      <c r="AA1446" s="47" t="n"/>
      <c r="AB1446" s="47" t="n"/>
      <c r="AC1446" s="47" t="n"/>
      <c r="AD1446" s="47" t="n"/>
      <c r="AE1446" s="47" t="n"/>
      <c r="AF1446" s="20">
        <f>IF(A1446="","",YEAR(EDATE(A1446,-3)))</f>
        <v/>
      </c>
      <c r="AG1446" s="20">
        <f>IF(OR(B1446="",'経歴簿'!$C$4=""),"",IF(B1446&amp;""='経歴簿'!$C$4&amp;"",MAX($AG$4:AG1445)+1,""))</f>
        <v/>
      </c>
      <c r="AH1446" s="20">
        <f>IF(A1446="",0,IF(AND(OR('CSV抽出'!$C$4="",A1446&gt;='CSV抽出'!$C$4),OR('CSV抽出'!$C$5="",A1446&lt;='CSV抽出'!$C$5),OR('CSV抽出'!$C$6="すべて",'CSV抽出'!$C$6="",D1446='CSV抽出'!$C$6),OR('CSV抽出'!$C$7="",B1446&amp;""='CSV抽出'!$C$7&amp;"")),1,0))</f>
        <v/>
      </c>
      <c r="AI1446" s="20">
        <f>IF(AH1446=1,SUM($AH$5:AH1446),"")</f>
        <v/>
      </c>
      <c r="AJ1446" s="20">
        <f>IF(OR(S1446="",'報告書'!$C$4=""),"",IF(S1446&amp;""='報告書'!$C$4&amp;"",COUNTIF($S$5:S1446,'報告書'!$C$4),""))</f>
        <v/>
      </c>
      <c r="AK1446" s="20" t="n"/>
      <c r="AL1446" s="47" t="n"/>
      <c r="AM1446" s="47" t="n"/>
      <c r="AN1446" s="53" t="n"/>
      <c r="AO1446" s="47" t="n"/>
      <c r="AP1446" s="47" t="n"/>
      <c r="AQ1446" s="47" t="n"/>
      <c r="AR1446" s="47" t="n"/>
      <c r="AS1446" s="47" t="n"/>
      <c r="AT1446" s="47" t="n"/>
      <c r="AU1446" s="47" t="n"/>
      <c r="AV1446" s="47" t="n"/>
      <c r="AW1446" s="52" t="n"/>
    </row>
    <row r="1447">
      <c r="A1447" s="48" t="n"/>
      <c r="B1447" s="52" t="n"/>
      <c r="C1447" s="47">
        <f>IF(B1447="","",IFERROR(INDEX('隊員マスタ'!$B$5:$B$204,MATCH(B1447&amp;"",'隊員マスタ'!$F$5:$F$204,0)),IF(AK1447="","番号なし",AK1447)))</f>
        <v/>
      </c>
      <c r="D1447" s="47" t="n"/>
      <c r="E1447" s="47" t="n"/>
      <c r="F1447" s="47" t="n"/>
      <c r="G1447" s="47" t="n"/>
      <c r="H1447" s="47" t="n"/>
      <c r="I1447" s="47" t="n"/>
      <c r="J1447" s="47" t="n"/>
      <c r="K1447" s="47" t="n"/>
      <c r="L1447" s="47" t="n"/>
      <c r="M1447" s="47" t="n"/>
      <c r="N1447" s="47" t="n"/>
      <c r="O1447" s="47" t="n"/>
      <c r="P1447" s="47" t="n"/>
      <c r="Q1447" s="47" t="n"/>
      <c r="R1447" s="47" t="n"/>
      <c r="S1447" s="47" t="n"/>
      <c r="T1447" s="47" t="n"/>
      <c r="U1447" s="53" t="n"/>
      <c r="V1447" s="53" t="n"/>
      <c r="W1447" s="47" t="n"/>
      <c r="X1447" s="47" t="n"/>
      <c r="Y1447" s="47" t="n"/>
      <c r="Z1447" s="47" t="n"/>
      <c r="AA1447" s="47" t="n"/>
      <c r="AB1447" s="47" t="n"/>
      <c r="AC1447" s="47" t="n"/>
      <c r="AD1447" s="47" t="n"/>
      <c r="AE1447" s="47" t="n"/>
      <c r="AF1447" s="20">
        <f>IF(A1447="","",YEAR(EDATE(A1447,-3)))</f>
        <v/>
      </c>
      <c r="AG1447" s="20">
        <f>IF(OR(B1447="",'経歴簿'!$C$4=""),"",IF(B1447&amp;""='経歴簿'!$C$4&amp;"",MAX($AG$4:AG1446)+1,""))</f>
        <v/>
      </c>
      <c r="AH1447" s="20">
        <f>IF(A1447="",0,IF(AND(OR('CSV抽出'!$C$4="",A1447&gt;='CSV抽出'!$C$4),OR('CSV抽出'!$C$5="",A1447&lt;='CSV抽出'!$C$5),OR('CSV抽出'!$C$6="すべて",'CSV抽出'!$C$6="",D1447='CSV抽出'!$C$6),OR('CSV抽出'!$C$7="",B1447&amp;""='CSV抽出'!$C$7&amp;"")),1,0))</f>
        <v/>
      </c>
      <c r="AI1447" s="20">
        <f>IF(AH1447=1,SUM($AH$5:AH1447),"")</f>
        <v/>
      </c>
      <c r="AJ1447" s="20">
        <f>IF(OR(S1447="",'報告書'!$C$4=""),"",IF(S1447&amp;""='報告書'!$C$4&amp;"",COUNTIF($S$5:S1447,'報告書'!$C$4),""))</f>
        <v/>
      </c>
      <c r="AK1447" s="20" t="n"/>
      <c r="AL1447" s="47" t="n"/>
      <c r="AM1447" s="47" t="n"/>
      <c r="AN1447" s="53" t="n"/>
      <c r="AO1447" s="47" t="n"/>
      <c r="AP1447" s="47" t="n"/>
      <c r="AQ1447" s="47" t="n"/>
      <c r="AR1447" s="47" t="n"/>
      <c r="AS1447" s="47" t="n"/>
      <c r="AT1447" s="47" t="n"/>
      <c r="AU1447" s="47" t="n"/>
      <c r="AV1447" s="47" t="n"/>
      <c r="AW1447" s="52" t="n"/>
    </row>
    <row r="1448">
      <c r="A1448" s="48" t="n"/>
      <c r="B1448" s="52" t="n"/>
      <c r="C1448" s="47">
        <f>IF(B1448="","",IFERROR(INDEX('隊員マスタ'!$B$5:$B$204,MATCH(B1448&amp;"",'隊員マスタ'!$F$5:$F$204,0)),IF(AK1448="","番号なし",AK1448)))</f>
        <v/>
      </c>
      <c r="D1448" s="47" t="n"/>
      <c r="E1448" s="47" t="n"/>
      <c r="F1448" s="47" t="n"/>
      <c r="G1448" s="47" t="n"/>
      <c r="H1448" s="47" t="n"/>
      <c r="I1448" s="47" t="n"/>
      <c r="J1448" s="47" t="n"/>
      <c r="K1448" s="47" t="n"/>
      <c r="L1448" s="47" t="n"/>
      <c r="M1448" s="47" t="n"/>
      <c r="N1448" s="47" t="n"/>
      <c r="O1448" s="47" t="n"/>
      <c r="P1448" s="47" t="n"/>
      <c r="Q1448" s="47" t="n"/>
      <c r="R1448" s="47" t="n"/>
      <c r="S1448" s="47" t="n"/>
      <c r="T1448" s="47" t="n"/>
      <c r="U1448" s="53" t="n"/>
      <c r="V1448" s="53" t="n"/>
      <c r="W1448" s="47" t="n"/>
      <c r="X1448" s="47" t="n"/>
      <c r="Y1448" s="47" t="n"/>
      <c r="Z1448" s="47" t="n"/>
      <c r="AA1448" s="47" t="n"/>
      <c r="AB1448" s="47" t="n"/>
      <c r="AC1448" s="47" t="n"/>
      <c r="AD1448" s="47" t="n"/>
      <c r="AE1448" s="47" t="n"/>
      <c r="AF1448" s="20">
        <f>IF(A1448="","",YEAR(EDATE(A1448,-3)))</f>
        <v/>
      </c>
      <c r="AG1448" s="20">
        <f>IF(OR(B1448="",'経歴簿'!$C$4=""),"",IF(B1448&amp;""='経歴簿'!$C$4&amp;"",MAX($AG$4:AG1447)+1,""))</f>
        <v/>
      </c>
      <c r="AH1448" s="20">
        <f>IF(A1448="",0,IF(AND(OR('CSV抽出'!$C$4="",A1448&gt;='CSV抽出'!$C$4),OR('CSV抽出'!$C$5="",A1448&lt;='CSV抽出'!$C$5),OR('CSV抽出'!$C$6="すべて",'CSV抽出'!$C$6="",D1448='CSV抽出'!$C$6),OR('CSV抽出'!$C$7="",B1448&amp;""='CSV抽出'!$C$7&amp;"")),1,0))</f>
        <v/>
      </c>
      <c r="AI1448" s="20">
        <f>IF(AH1448=1,SUM($AH$5:AH1448),"")</f>
        <v/>
      </c>
      <c r="AJ1448" s="20">
        <f>IF(OR(S1448="",'報告書'!$C$4=""),"",IF(S1448&amp;""='報告書'!$C$4&amp;"",COUNTIF($S$5:S1448,'報告書'!$C$4),""))</f>
        <v/>
      </c>
      <c r="AK1448" s="20" t="n"/>
      <c r="AL1448" s="47" t="n"/>
      <c r="AM1448" s="47" t="n"/>
      <c r="AN1448" s="53" t="n"/>
      <c r="AO1448" s="47" t="n"/>
      <c r="AP1448" s="47" t="n"/>
      <c r="AQ1448" s="47" t="n"/>
      <c r="AR1448" s="47" t="n"/>
      <c r="AS1448" s="47" t="n"/>
      <c r="AT1448" s="47" t="n"/>
      <c r="AU1448" s="47" t="n"/>
      <c r="AV1448" s="47" t="n"/>
      <c r="AW1448" s="52" t="n"/>
    </row>
    <row r="1449">
      <c r="A1449" s="48" t="n"/>
      <c r="B1449" s="52" t="n"/>
      <c r="C1449" s="47">
        <f>IF(B1449="","",IFERROR(INDEX('隊員マスタ'!$B$5:$B$204,MATCH(B1449&amp;"",'隊員マスタ'!$F$5:$F$204,0)),IF(AK1449="","番号なし",AK1449)))</f>
        <v/>
      </c>
      <c r="D1449" s="47" t="n"/>
      <c r="E1449" s="47" t="n"/>
      <c r="F1449" s="47" t="n"/>
      <c r="G1449" s="47" t="n"/>
      <c r="H1449" s="47" t="n"/>
      <c r="I1449" s="47" t="n"/>
      <c r="J1449" s="47" t="n"/>
      <c r="K1449" s="47" t="n"/>
      <c r="L1449" s="47" t="n"/>
      <c r="M1449" s="47" t="n"/>
      <c r="N1449" s="47" t="n"/>
      <c r="O1449" s="47" t="n"/>
      <c r="P1449" s="47" t="n"/>
      <c r="Q1449" s="47" t="n"/>
      <c r="R1449" s="47" t="n"/>
      <c r="S1449" s="47" t="n"/>
      <c r="T1449" s="47" t="n"/>
      <c r="U1449" s="53" t="n"/>
      <c r="V1449" s="53" t="n"/>
      <c r="W1449" s="47" t="n"/>
      <c r="X1449" s="47" t="n"/>
      <c r="Y1449" s="47" t="n"/>
      <c r="Z1449" s="47" t="n"/>
      <c r="AA1449" s="47" t="n"/>
      <c r="AB1449" s="47" t="n"/>
      <c r="AC1449" s="47" t="n"/>
      <c r="AD1449" s="47" t="n"/>
      <c r="AE1449" s="47" t="n"/>
      <c r="AF1449" s="20">
        <f>IF(A1449="","",YEAR(EDATE(A1449,-3)))</f>
        <v/>
      </c>
      <c r="AG1449" s="20">
        <f>IF(OR(B1449="",'経歴簿'!$C$4=""),"",IF(B1449&amp;""='経歴簿'!$C$4&amp;"",MAX($AG$4:AG1448)+1,""))</f>
        <v/>
      </c>
      <c r="AH1449" s="20">
        <f>IF(A1449="",0,IF(AND(OR('CSV抽出'!$C$4="",A1449&gt;='CSV抽出'!$C$4),OR('CSV抽出'!$C$5="",A1449&lt;='CSV抽出'!$C$5),OR('CSV抽出'!$C$6="すべて",'CSV抽出'!$C$6="",D1449='CSV抽出'!$C$6),OR('CSV抽出'!$C$7="",B1449&amp;""='CSV抽出'!$C$7&amp;"")),1,0))</f>
        <v/>
      </c>
      <c r="AI1449" s="20">
        <f>IF(AH1449=1,SUM($AH$5:AH1449),"")</f>
        <v/>
      </c>
      <c r="AJ1449" s="20">
        <f>IF(OR(S1449="",'報告書'!$C$4=""),"",IF(S1449&amp;""='報告書'!$C$4&amp;"",COUNTIF($S$5:S1449,'報告書'!$C$4),""))</f>
        <v/>
      </c>
      <c r="AK1449" s="20" t="n"/>
      <c r="AL1449" s="47" t="n"/>
      <c r="AM1449" s="47" t="n"/>
      <c r="AN1449" s="53" t="n"/>
      <c r="AO1449" s="47" t="n"/>
      <c r="AP1449" s="47" t="n"/>
      <c r="AQ1449" s="47" t="n"/>
      <c r="AR1449" s="47" t="n"/>
      <c r="AS1449" s="47" t="n"/>
      <c r="AT1449" s="47" t="n"/>
      <c r="AU1449" s="47" t="n"/>
      <c r="AV1449" s="47" t="n"/>
      <c r="AW1449" s="52" t="n"/>
    </row>
    <row r="1450">
      <c r="A1450" s="48" t="n"/>
      <c r="B1450" s="52" t="n"/>
      <c r="C1450" s="47">
        <f>IF(B1450="","",IFERROR(INDEX('隊員マスタ'!$B$5:$B$204,MATCH(B1450&amp;"",'隊員マスタ'!$F$5:$F$204,0)),IF(AK1450="","番号なし",AK1450)))</f>
        <v/>
      </c>
      <c r="D1450" s="47" t="n"/>
      <c r="E1450" s="47" t="n"/>
      <c r="F1450" s="47" t="n"/>
      <c r="G1450" s="47" t="n"/>
      <c r="H1450" s="47" t="n"/>
      <c r="I1450" s="47" t="n"/>
      <c r="J1450" s="47" t="n"/>
      <c r="K1450" s="47" t="n"/>
      <c r="L1450" s="47" t="n"/>
      <c r="M1450" s="47" t="n"/>
      <c r="N1450" s="47" t="n"/>
      <c r="O1450" s="47" t="n"/>
      <c r="P1450" s="47" t="n"/>
      <c r="Q1450" s="47" t="n"/>
      <c r="R1450" s="47" t="n"/>
      <c r="S1450" s="47" t="n"/>
      <c r="T1450" s="47" t="n"/>
      <c r="U1450" s="53" t="n"/>
      <c r="V1450" s="53" t="n"/>
      <c r="W1450" s="47" t="n"/>
      <c r="X1450" s="47" t="n"/>
      <c r="Y1450" s="47" t="n"/>
      <c r="Z1450" s="47" t="n"/>
      <c r="AA1450" s="47" t="n"/>
      <c r="AB1450" s="47" t="n"/>
      <c r="AC1450" s="47" t="n"/>
      <c r="AD1450" s="47" t="n"/>
      <c r="AE1450" s="47" t="n"/>
      <c r="AF1450" s="20">
        <f>IF(A1450="","",YEAR(EDATE(A1450,-3)))</f>
        <v/>
      </c>
      <c r="AG1450" s="20">
        <f>IF(OR(B1450="",'経歴簿'!$C$4=""),"",IF(B1450&amp;""='経歴簿'!$C$4&amp;"",MAX($AG$4:AG1449)+1,""))</f>
        <v/>
      </c>
      <c r="AH1450" s="20">
        <f>IF(A1450="",0,IF(AND(OR('CSV抽出'!$C$4="",A1450&gt;='CSV抽出'!$C$4),OR('CSV抽出'!$C$5="",A1450&lt;='CSV抽出'!$C$5),OR('CSV抽出'!$C$6="すべて",'CSV抽出'!$C$6="",D1450='CSV抽出'!$C$6),OR('CSV抽出'!$C$7="",B1450&amp;""='CSV抽出'!$C$7&amp;"")),1,0))</f>
        <v/>
      </c>
      <c r="AI1450" s="20">
        <f>IF(AH1450=1,SUM($AH$5:AH1450),"")</f>
        <v/>
      </c>
      <c r="AJ1450" s="20">
        <f>IF(OR(S1450="",'報告書'!$C$4=""),"",IF(S1450&amp;""='報告書'!$C$4&amp;"",COUNTIF($S$5:S1450,'報告書'!$C$4),""))</f>
        <v/>
      </c>
      <c r="AK1450" s="20" t="n"/>
      <c r="AL1450" s="47" t="n"/>
      <c r="AM1450" s="47" t="n"/>
      <c r="AN1450" s="53" t="n"/>
      <c r="AO1450" s="47" t="n"/>
      <c r="AP1450" s="47" t="n"/>
      <c r="AQ1450" s="47" t="n"/>
      <c r="AR1450" s="47" t="n"/>
      <c r="AS1450" s="47" t="n"/>
      <c r="AT1450" s="47" t="n"/>
      <c r="AU1450" s="47" t="n"/>
      <c r="AV1450" s="47" t="n"/>
      <c r="AW1450" s="52" t="n"/>
    </row>
    <row r="1451">
      <c r="A1451" s="48" t="n"/>
      <c r="B1451" s="52" t="n"/>
      <c r="C1451" s="47">
        <f>IF(B1451="","",IFERROR(INDEX('隊員マスタ'!$B$5:$B$204,MATCH(B1451&amp;"",'隊員マスタ'!$F$5:$F$204,0)),IF(AK1451="","番号なし",AK1451)))</f>
        <v/>
      </c>
      <c r="D1451" s="47" t="n"/>
      <c r="E1451" s="47" t="n"/>
      <c r="F1451" s="47" t="n"/>
      <c r="G1451" s="47" t="n"/>
      <c r="H1451" s="47" t="n"/>
      <c r="I1451" s="47" t="n"/>
      <c r="J1451" s="47" t="n"/>
      <c r="K1451" s="47" t="n"/>
      <c r="L1451" s="47" t="n"/>
      <c r="M1451" s="47" t="n"/>
      <c r="N1451" s="47" t="n"/>
      <c r="O1451" s="47" t="n"/>
      <c r="P1451" s="47" t="n"/>
      <c r="Q1451" s="47" t="n"/>
      <c r="R1451" s="47" t="n"/>
      <c r="S1451" s="47" t="n"/>
      <c r="T1451" s="47" t="n"/>
      <c r="U1451" s="53" t="n"/>
      <c r="V1451" s="53" t="n"/>
      <c r="W1451" s="47" t="n"/>
      <c r="X1451" s="47" t="n"/>
      <c r="Y1451" s="47" t="n"/>
      <c r="Z1451" s="47" t="n"/>
      <c r="AA1451" s="47" t="n"/>
      <c r="AB1451" s="47" t="n"/>
      <c r="AC1451" s="47" t="n"/>
      <c r="AD1451" s="47" t="n"/>
      <c r="AE1451" s="47" t="n"/>
      <c r="AF1451" s="20">
        <f>IF(A1451="","",YEAR(EDATE(A1451,-3)))</f>
        <v/>
      </c>
      <c r="AG1451" s="20">
        <f>IF(OR(B1451="",'経歴簿'!$C$4=""),"",IF(B1451&amp;""='経歴簿'!$C$4&amp;"",MAX($AG$4:AG1450)+1,""))</f>
        <v/>
      </c>
      <c r="AH1451" s="20">
        <f>IF(A1451="",0,IF(AND(OR('CSV抽出'!$C$4="",A1451&gt;='CSV抽出'!$C$4),OR('CSV抽出'!$C$5="",A1451&lt;='CSV抽出'!$C$5),OR('CSV抽出'!$C$6="すべて",'CSV抽出'!$C$6="",D1451='CSV抽出'!$C$6),OR('CSV抽出'!$C$7="",B1451&amp;""='CSV抽出'!$C$7&amp;"")),1,0))</f>
        <v/>
      </c>
      <c r="AI1451" s="20">
        <f>IF(AH1451=1,SUM($AH$5:AH1451),"")</f>
        <v/>
      </c>
      <c r="AJ1451" s="20">
        <f>IF(OR(S1451="",'報告書'!$C$4=""),"",IF(S1451&amp;""='報告書'!$C$4&amp;"",COUNTIF($S$5:S1451,'報告書'!$C$4),""))</f>
        <v/>
      </c>
      <c r="AK1451" s="20" t="n"/>
      <c r="AL1451" s="47" t="n"/>
      <c r="AM1451" s="47" t="n"/>
      <c r="AN1451" s="53" t="n"/>
      <c r="AO1451" s="47" t="n"/>
      <c r="AP1451" s="47" t="n"/>
      <c r="AQ1451" s="47" t="n"/>
      <c r="AR1451" s="47" t="n"/>
      <c r="AS1451" s="47" t="n"/>
      <c r="AT1451" s="47" t="n"/>
      <c r="AU1451" s="47" t="n"/>
      <c r="AV1451" s="47" t="n"/>
      <c r="AW1451" s="52" t="n"/>
    </row>
    <row r="1452">
      <c r="A1452" s="48" t="n"/>
      <c r="B1452" s="52" t="n"/>
      <c r="C1452" s="47">
        <f>IF(B1452="","",IFERROR(INDEX('隊員マスタ'!$B$5:$B$204,MATCH(B1452&amp;"",'隊員マスタ'!$F$5:$F$204,0)),IF(AK1452="","番号なし",AK1452)))</f>
        <v/>
      </c>
      <c r="D1452" s="47" t="n"/>
      <c r="E1452" s="47" t="n"/>
      <c r="F1452" s="47" t="n"/>
      <c r="G1452" s="47" t="n"/>
      <c r="H1452" s="47" t="n"/>
      <c r="I1452" s="47" t="n"/>
      <c r="J1452" s="47" t="n"/>
      <c r="K1452" s="47" t="n"/>
      <c r="L1452" s="47" t="n"/>
      <c r="M1452" s="47" t="n"/>
      <c r="N1452" s="47" t="n"/>
      <c r="O1452" s="47" t="n"/>
      <c r="P1452" s="47" t="n"/>
      <c r="Q1452" s="47" t="n"/>
      <c r="R1452" s="47" t="n"/>
      <c r="S1452" s="47" t="n"/>
      <c r="T1452" s="47" t="n"/>
      <c r="U1452" s="53" t="n"/>
      <c r="V1452" s="53" t="n"/>
      <c r="W1452" s="47" t="n"/>
      <c r="X1452" s="47" t="n"/>
      <c r="Y1452" s="47" t="n"/>
      <c r="Z1452" s="47" t="n"/>
      <c r="AA1452" s="47" t="n"/>
      <c r="AB1452" s="47" t="n"/>
      <c r="AC1452" s="47" t="n"/>
      <c r="AD1452" s="47" t="n"/>
      <c r="AE1452" s="47" t="n"/>
      <c r="AF1452" s="20">
        <f>IF(A1452="","",YEAR(EDATE(A1452,-3)))</f>
        <v/>
      </c>
      <c r="AG1452" s="20">
        <f>IF(OR(B1452="",'経歴簿'!$C$4=""),"",IF(B1452&amp;""='経歴簿'!$C$4&amp;"",MAX($AG$4:AG1451)+1,""))</f>
        <v/>
      </c>
      <c r="AH1452" s="20">
        <f>IF(A1452="",0,IF(AND(OR('CSV抽出'!$C$4="",A1452&gt;='CSV抽出'!$C$4),OR('CSV抽出'!$C$5="",A1452&lt;='CSV抽出'!$C$5),OR('CSV抽出'!$C$6="すべて",'CSV抽出'!$C$6="",D1452='CSV抽出'!$C$6),OR('CSV抽出'!$C$7="",B1452&amp;""='CSV抽出'!$C$7&amp;"")),1,0))</f>
        <v/>
      </c>
      <c r="AI1452" s="20">
        <f>IF(AH1452=1,SUM($AH$5:AH1452),"")</f>
        <v/>
      </c>
      <c r="AJ1452" s="20">
        <f>IF(OR(S1452="",'報告書'!$C$4=""),"",IF(S1452&amp;""='報告書'!$C$4&amp;"",COUNTIF($S$5:S1452,'報告書'!$C$4),""))</f>
        <v/>
      </c>
      <c r="AK1452" s="20" t="n"/>
      <c r="AL1452" s="47" t="n"/>
      <c r="AM1452" s="47" t="n"/>
      <c r="AN1452" s="53" t="n"/>
      <c r="AO1452" s="47" t="n"/>
      <c r="AP1452" s="47" t="n"/>
      <c r="AQ1452" s="47" t="n"/>
      <c r="AR1452" s="47" t="n"/>
      <c r="AS1452" s="47" t="n"/>
      <c r="AT1452" s="47" t="n"/>
      <c r="AU1452" s="47" t="n"/>
      <c r="AV1452" s="47" t="n"/>
      <c r="AW1452" s="52" t="n"/>
    </row>
    <row r="1453">
      <c r="A1453" s="48" t="n"/>
      <c r="B1453" s="52" t="n"/>
      <c r="C1453" s="47">
        <f>IF(B1453="","",IFERROR(INDEX('隊員マスタ'!$B$5:$B$204,MATCH(B1453&amp;"",'隊員マスタ'!$F$5:$F$204,0)),IF(AK1453="","番号なし",AK1453)))</f>
        <v/>
      </c>
      <c r="D1453" s="47" t="n"/>
      <c r="E1453" s="47" t="n"/>
      <c r="F1453" s="47" t="n"/>
      <c r="G1453" s="47" t="n"/>
      <c r="H1453" s="47" t="n"/>
      <c r="I1453" s="47" t="n"/>
      <c r="J1453" s="47" t="n"/>
      <c r="K1453" s="47" t="n"/>
      <c r="L1453" s="47" t="n"/>
      <c r="M1453" s="47" t="n"/>
      <c r="N1453" s="47" t="n"/>
      <c r="O1453" s="47" t="n"/>
      <c r="P1453" s="47" t="n"/>
      <c r="Q1453" s="47" t="n"/>
      <c r="R1453" s="47" t="n"/>
      <c r="S1453" s="47" t="n"/>
      <c r="T1453" s="47" t="n"/>
      <c r="U1453" s="53" t="n"/>
      <c r="V1453" s="53" t="n"/>
      <c r="W1453" s="47" t="n"/>
      <c r="X1453" s="47" t="n"/>
      <c r="Y1453" s="47" t="n"/>
      <c r="Z1453" s="47" t="n"/>
      <c r="AA1453" s="47" t="n"/>
      <c r="AB1453" s="47" t="n"/>
      <c r="AC1453" s="47" t="n"/>
      <c r="AD1453" s="47" t="n"/>
      <c r="AE1453" s="47" t="n"/>
      <c r="AF1453" s="20">
        <f>IF(A1453="","",YEAR(EDATE(A1453,-3)))</f>
        <v/>
      </c>
      <c r="AG1453" s="20">
        <f>IF(OR(B1453="",'経歴簿'!$C$4=""),"",IF(B1453&amp;""='経歴簿'!$C$4&amp;"",MAX($AG$4:AG1452)+1,""))</f>
        <v/>
      </c>
      <c r="AH1453" s="20">
        <f>IF(A1453="",0,IF(AND(OR('CSV抽出'!$C$4="",A1453&gt;='CSV抽出'!$C$4),OR('CSV抽出'!$C$5="",A1453&lt;='CSV抽出'!$C$5),OR('CSV抽出'!$C$6="すべて",'CSV抽出'!$C$6="",D1453='CSV抽出'!$C$6),OR('CSV抽出'!$C$7="",B1453&amp;""='CSV抽出'!$C$7&amp;"")),1,0))</f>
        <v/>
      </c>
      <c r="AI1453" s="20">
        <f>IF(AH1453=1,SUM($AH$5:AH1453),"")</f>
        <v/>
      </c>
      <c r="AJ1453" s="20">
        <f>IF(OR(S1453="",'報告書'!$C$4=""),"",IF(S1453&amp;""='報告書'!$C$4&amp;"",COUNTIF($S$5:S1453,'報告書'!$C$4),""))</f>
        <v/>
      </c>
      <c r="AK1453" s="20" t="n"/>
      <c r="AL1453" s="47" t="n"/>
      <c r="AM1453" s="47" t="n"/>
      <c r="AN1453" s="53" t="n"/>
      <c r="AO1453" s="47" t="n"/>
      <c r="AP1453" s="47" t="n"/>
      <c r="AQ1453" s="47" t="n"/>
      <c r="AR1453" s="47" t="n"/>
      <c r="AS1453" s="47" t="n"/>
      <c r="AT1453" s="47" t="n"/>
      <c r="AU1453" s="47" t="n"/>
      <c r="AV1453" s="47" t="n"/>
      <c r="AW1453" s="52" t="n"/>
    </row>
    <row r="1454">
      <c r="A1454" s="48" t="n"/>
      <c r="B1454" s="52" t="n"/>
      <c r="C1454" s="47">
        <f>IF(B1454="","",IFERROR(INDEX('隊員マスタ'!$B$5:$B$204,MATCH(B1454&amp;"",'隊員マスタ'!$F$5:$F$204,0)),IF(AK1454="","番号なし",AK1454)))</f>
        <v/>
      </c>
      <c r="D1454" s="47" t="n"/>
      <c r="E1454" s="47" t="n"/>
      <c r="F1454" s="47" t="n"/>
      <c r="G1454" s="47" t="n"/>
      <c r="H1454" s="47" t="n"/>
      <c r="I1454" s="47" t="n"/>
      <c r="J1454" s="47" t="n"/>
      <c r="K1454" s="47" t="n"/>
      <c r="L1454" s="47" t="n"/>
      <c r="M1454" s="47" t="n"/>
      <c r="N1454" s="47" t="n"/>
      <c r="O1454" s="47" t="n"/>
      <c r="P1454" s="47" t="n"/>
      <c r="Q1454" s="47" t="n"/>
      <c r="R1454" s="47" t="n"/>
      <c r="S1454" s="47" t="n"/>
      <c r="T1454" s="47" t="n"/>
      <c r="U1454" s="53" t="n"/>
      <c r="V1454" s="53" t="n"/>
      <c r="W1454" s="47" t="n"/>
      <c r="X1454" s="47" t="n"/>
      <c r="Y1454" s="47" t="n"/>
      <c r="Z1454" s="47" t="n"/>
      <c r="AA1454" s="47" t="n"/>
      <c r="AB1454" s="47" t="n"/>
      <c r="AC1454" s="47" t="n"/>
      <c r="AD1454" s="47" t="n"/>
      <c r="AE1454" s="47" t="n"/>
      <c r="AF1454" s="20">
        <f>IF(A1454="","",YEAR(EDATE(A1454,-3)))</f>
        <v/>
      </c>
      <c r="AG1454" s="20">
        <f>IF(OR(B1454="",'経歴簿'!$C$4=""),"",IF(B1454&amp;""='経歴簿'!$C$4&amp;"",MAX($AG$4:AG1453)+1,""))</f>
        <v/>
      </c>
      <c r="AH1454" s="20">
        <f>IF(A1454="",0,IF(AND(OR('CSV抽出'!$C$4="",A1454&gt;='CSV抽出'!$C$4),OR('CSV抽出'!$C$5="",A1454&lt;='CSV抽出'!$C$5),OR('CSV抽出'!$C$6="すべて",'CSV抽出'!$C$6="",D1454='CSV抽出'!$C$6),OR('CSV抽出'!$C$7="",B1454&amp;""='CSV抽出'!$C$7&amp;"")),1,0))</f>
        <v/>
      </c>
      <c r="AI1454" s="20">
        <f>IF(AH1454=1,SUM($AH$5:AH1454),"")</f>
        <v/>
      </c>
      <c r="AJ1454" s="20">
        <f>IF(OR(S1454="",'報告書'!$C$4=""),"",IF(S1454&amp;""='報告書'!$C$4&amp;"",COUNTIF($S$5:S1454,'報告書'!$C$4),""))</f>
        <v/>
      </c>
      <c r="AK1454" s="20" t="n"/>
      <c r="AL1454" s="47" t="n"/>
      <c r="AM1454" s="47" t="n"/>
      <c r="AN1454" s="53" t="n"/>
      <c r="AO1454" s="47" t="n"/>
      <c r="AP1454" s="47" t="n"/>
      <c r="AQ1454" s="47" t="n"/>
      <c r="AR1454" s="47" t="n"/>
      <c r="AS1454" s="47" t="n"/>
      <c r="AT1454" s="47" t="n"/>
      <c r="AU1454" s="47" t="n"/>
      <c r="AV1454" s="47" t="n"/>
      <c r="AW1454" s="52" t="n"/>
    </row>
    <row r="1455">
      <c r="A1455" s="48" t="n"/>
      <c r="B1455" s="52" t="n"/>
      <c r="C1455" s="47">
        <f>IF(B1455="","",IFERROR(INDEX('隊員マスタ'!$B$5:$B$204,MATCH(B1455&amp;"",'隊員マスタ'!$F$5:$F$204,0)),IF(AK1455="","番号なし",AK1455)))</f>
        <v/>
      </c>
      <c r="D1455" s="47" t="n"/>
      <c r="E1455" s="47" t="n"/>
      <c r="F1455" s="47" t="n"/>
      <c r="G1455" s="47" t="n"/>
      <c r="H1455" s="47" t="n"/>
      <c r="I1455" s="47" t="n"/>
      <c r="J1455" s="47" t="n"/>
      <c r="K1455" s="47" t="n"/>
      <c r="L1455" s="47" t="n"/>
      <c r="M1455" s="47" t="n"/>
      <c r="N1455" s="47" t="n"/>
      <c r="O1455" s="47" t="n"/>
      <c r="P1455" s="47" t="n"/>
      <c r="Q1455" s="47" t="n"/>
      <c r="R1455" s="47" t="n"/>
      <c r="S1455" s="47" t="n"/>
      <c r="T1455" s="47" t="n"/>
      <c r="U1455" s="53" t="n"/>
      <c r="V1455" s="53" t="n"/>
      <c r="W1455" s="47" t="n"/>
      <c r="X1455" s="47" t="n"/>
      <c r="Y1455" s="47" t="n"/>
      <c r="Z1455" s="47" t="n"/>
      <c r="AA1455" s="47" t="n"/>
      <c r="AB1455" s="47" t="n"/>
      <c r="AC1455" s="47" t="n"/>
      <c r="AD1455" s="47" t="n"/>
      <c r="AE1455" s="47" t="n"/>
      <c r="AF1455" s="20">
        <f>IF(A1455="","",YEAR(EDATE(A1455,-3)))</f>
        <v/>
      </c>
      <c r="AG1455" s="20">
        <f>IF(OR(B1455="",'経歴簿'!$C$4=""),"",IF(B1455&amp;""='経歴簿'!$C$4&amp;"",MAX($AG$4:AG1454)+1,""))</f>
        <v/>
      </c>
      <c r="AH1455" s="20">
        <f>IF(A1455="",0,IF(AND(OR('CSV抽出'!$C$4="",A1455&gt;='CSV抽出'!$C$4),OR('CSV抽出'!$C$5="",A1455&lt;='CSV抽出'!$C$5),OR('CSV抽出'!$C$6="すべて",'CSV抽出'!$C$6="",D1455='CSV抽出'!$C$6),OR('CSV抽出'!$C$7="",B1455&amp;""='CSV抽出'!$C$7&amp;"")),1,0))</f>
        <v/>
      </c>
      <c r="AI1455" s="20">
        <f>IF(AH1455=1,SUM($AH$5:AH1455),"")</f>
        <v/>
      </c>
      <c r="AJ1455" s="20">
        <f>IF(OR(S1455="",'報告書'!$C$4=""),"",IF(S1455&amp;""='報告書'!$C$4&amp;"",COUNTIF($S$5:S1455,'報告書'!$C$4),""))</f>
        <v/>
      </c>
      <c r="AK1455" s="20" t="n"/>
      <c r="AL1455" s="47" t="n"/>
      <c r="AM1455" s="47" t="n"/>
      <c r="AN1455" s="53" t="n"/>
      <c r="AO1455" s="47" t="n"/>
      <c r="AP1455" s="47" t="n"/>
      <c r="AQ1455" s="47" t="n"/>
      <c r="AR1455" s="47" t="n"/>
      <c r="AS1455" s="47" t="n"/>
      <c r="AT1455" s="47" t="n"/>
      <c r="AU1455" s="47" t="n"/>
      <c r="AV1455" s="47" t="n"/>
      <c r="AW1455" s="52" t="n"/>
    </row>
    <row r="1456">
      <c r="A1456" s="48" t="n"/>
      <c r="B1456" s="52" t="n"/>
      <c r="C1456" s="47">
        <f>IF(B1456="","",IFERROR(INDEX('隊員マスタ'!$B$5:$B$204,MATCH(B1456&amp;"",'隊員マスタ'!$F$5:$F$204,0)),IF(AK1456="","番号なし",AK1456)))</f>
        <v/>
      </c>
      <c r="D1456" s="47" t="n"/>
      <c r="E1456" s="47" t="n"/>
      <c r="F1456" s="47" t="n"/>
      <c r="G1456" s="47" t="n"/>
      <c r="H1456" s="47" t="n"/>
      <c r="I1456" s="47" t="n"/>
      <c r="J1456" s="47" t="n"/>
      <c r="K1456" s="47" t="n"/>
      <c r="L1456" s="47" t="n"/>
      <c r="M1456" s="47" t="n"/>
      <c r="N1456" s="47" t="n"/>
      <c r="O1456" s="47" t="n"/>
      <c r="P1456" s="47" t="n"/>
      <c r="Q1456" s="47" t="n"/>
      <c r="R1456" s="47" t="n"/>
      <c r="S1456" s="47" t="n"/>
      <c r="T1456" s="47" t="n"/>
      <c r="U1456" s="53" t="n"/>
      <c r="V1456" s="53" t="n"/>
      <c r="W1456" s="47" t="n"/>
      <c r="X1456" s="47" t="n"/>
      <c r="Y1456" s="47" t="n"/>
      <c r="Z1456" s="47" t="n"/>
      <c r="AA1456" s="47" t="n"/>
      <c r="AB1456" s="47" t="n"/>
      <c r="AC1456" s="47" t="n"/>
      <c r="AD1456" s="47" t="n"/>
      <c r="AE1456" s="47" t="n"/>
      <c r="AF1456" s="20">
        <f>IF(A1456="","",YEAR(EDATE(A1456,-3)))</f>
        <v/>
      </c>
      <c r="AG1456" s="20">
        <f>IF(OR(B1456="",'経歴簿'!$C$4=""),"",IF(B1456&amp;""='経歴簿'!$C$4&amp;"",MAX($AG$4:AG1455)+1,""))</f>
        <v/>
      </c>
      <c r="AH1456" s="20">
        <f>IF(A1456="",0,IF(AND(OR('CSV抽出'!$C$4="",A1456&gt;='CSV抽出'!$C$4),OR('CSV抽出'!$C$5="",A1456&lt;='CSV抽出'!$C$5),OR('CSV抽出'!$C$6="すべて",'CSV抽出'!$C$6="",D1456='CSV抽出'!$C$6),OR('CSV抽出'!$C$7="",B1456&amp;""='CSV抽出'!$C$7&amp;"")),1,0))</f>
        <v/>
      </c>
      <c r="AI1456" s="20">
        <f>IF(AH1456=1,SUM($AH$5:AH1456),"")</f>
        <v/>
      </c>
      <c r="AJ1456" s="20">
        <f>IF(OR(S1456="",'報告書'!$C$4=""),"",IF(S1456&amp;""='報告書'!$C$4&amp;"",COUNTIF($S$5:S1456,'報告書'!$C$4),""))</f>
        <v/>
      </c>
      <c r="AK1456" s="20" t="n"/>
      <c r="AL1456" s="47" t="n"/>
      <c r="AM1456" s="47" t="n"/>
      <c r="AN1456" s="53" t="n"/>
      <c r="AO1456" s="47" t="n"/>
      <c r="AP1456" s="47" t="n"/>
      <c r="AQ1456" s="47" t="n"/>
      <c r="AR1456" s="47" t="n"/>
      <c r="AS1456" s="47" t="n"/>
      <c r="AT1456" s="47" t="n"/>
      <c r="AU1456" s="47" t="n"/>
      <c r="AV1456" s="47" t="n"/>
      <c r="AW1456" s="52" t="n"/>
    </row>
    <row r="1457">
      <c r="A1457" s="48" t="n"/>
      <c r="B1457" s="52" t="n"/>
      <c r="C1457" s="47">
        <f>IF(B1457="","",IFERROR(INDEX('隊員マスタ'!$B$5:$B$204,MATCH(B1457&amp;"",'隊員マスタ'!$F$5:$F$204,0)),IF(AK1457="","番号なし",AK1457)))</f>
        <v/>
      </c>
      <c r="D1457" s="47" t="n"/>
      <c r="E1457" s="47" t="n"/>
      <c r="F1457" s="47" t="n"/>
      <c r="G1457" s="47" t="n"/>
      <c r="H1457" s="47" t="n"/>
      <c r="I1457" s="47" t="n"/>
      <c r="J1457" s="47" t="n"/>
      <c r="K1457" s="47" t="n"/>
      <c r="L1457" s="47" t="n"/>
      <c r="M1457" s="47" t="n"/>
      <c r="N1457" s="47" t="n"/>
      <c r="O1457" s="47" t="n"/>
      <c r="P1457" s="47" t="n"/>
      <c r="Q1457" s="47" t="n"/>
      <c r="R1457" s="47" t="n"/>
      <c r="S1457" s="47" t="n"/>
      <c r="T1457" s="47" t="n"/>
      <c r="U1457" s="53" t="n"/>
      <c r="V1457" s="53" t="n"/>
      <c r="W1457" s="47" t="n"/>
      <c r="X1457" s="47" t="n"/>
      <c r="Y1457" s="47" t="n"/>
      <c r="Z1457" s="47" t="n"/>
      <c r="AA1457" s="47" t="n"/>
      <c r="AB1457" s="47" t="n"/>
      <c r="AC1457" s="47" t="n"/>
      <c r="AD1457" s="47" t="n"/>
      <c r="AE1457" s="47" t="n"/>
      <c r="AF1457" s="20">
        <f>IF(A1457="","",YEAR(EDATE(A1457,-3)))</f>
        <v/>
      </c>
      <c r="AG1457" s="20">
        <f>IF(OR(B1457="",'経歴簿'!$C$4=""),"",IF(B1457&amp;""='経歴簿'!$C$4&amp;"",MAX($AG$4:AG1456)+1,""))</f>
        <v/>
      </c>
      <c r="AH1457" s="20">
        <f>IF(A1457="",0,IF(AND(OR('CSV抽出'!$C$4="",A1457&gt;='CSV抽出'!$C$4),OR('CSV抽出'!$C$5="",A1457&lt;='CSV抽出'!$C$5),OR('CSV抽出'!$C$6="すべて",'CSV抽出'!$C$6="",D1457='CSV抽出'!$C$6),OR('CSV抽出'!$C$7="",B1457&amp;""='CSV抽出'!$C$7&amp;"")),1,0))</f>
        <v/>
      </c>
      <c r="AI1457" s="20">
        <f>IF(AH1457=1,SUM($AH$5:AH1457),"")</f>
        <v/>
      </c>
      <c r="AJ1457" s="20">
        <f>IF(OR(S1457="",'報告書'!$C$4=""),"",IF(S1457&amp;""='報告書'!$C$4&amp;"",COUNTIF($S$5:S1457,'報告書'!$C$4),""))</f>
        <v/>
      </c>
      <c r="AK1457" s="20" t="n"/>
      <c r="AL1457" s="47" t="n"/>
      <c r="AM1457" s="47" t="n"/>
      <c r="AN1457" s="53" t="n"/>
      <c r="AO1457" s="47" t="n"/>
      <c r="AP1457" s="47" t="n"/>
      <c r="AQ1457" s="47" t="n"/>
      <c r="AR1457" s="47" t="n"/>
      <c r="AS1457" s="47" t="n"/>
      <c r="AT1457" s="47" t="n"/>
      <c r="AU1457" s="47" t="n"/>
      <c r="AV1457" s="47" t="n"/>
      <c r="AW1457" s="52" t="n"/>
    </row>
    <row r="1458">
      <c r="A1458" s="48" t="n"/>
      <c r="B1458" s="52" t="n"/>
      <c r="C1458" s="47">
        <f>IF(B1458="","",IFERROR(INDEX('隊員マスタ'!$B$5:$B$204,MATCH(B1458&amp;"",'隊員マスタ'!$F$5:$F$204,0)),IF(AK1458="","番号なし",AK1458)))</f>
        <v/>
      </c>
      <c r="D1458" s="47" t="n"/>
      <c r="E1458" s="47" t="n"/>
      <c r="F1458" s="47" t="n"/>
      <c r="G1458" s="47" t="n"/>
      <c r="H1458" s="47" t="n"/>
      <c r="I1458" s="47" t="n"/>
      <c r="J1458" s="47" t="n"/>
      <c r="K1458" s="47" t="n"/>
      <c r="L1458" s="47" t="n"/>
      <c r="M1458" s="47" t="n"/>
      <c r="N1458" s="47" t="n"/>
      <c r="O1458" s="47" t="n"/>
      <c r="P1458" s="47" t="n"/>
      <c r="Q1458" s="47" t="n"/>
      <c r="R1458" s="47" t="n"/>
      <c r="S1458" s="47" t="n"/>
      <c r="T1458" s="47" t="n"/>
      <c r="U1458" s="53" t="n"/>
      <c r="V1458" s="53" t="n"/>
      <c r="W1458" s="47" t="n"/>
      <c r="X1458" s="47" t="n"/>
      <c r="Y1458" s="47" t="n"/>
      <c r="Z1458" s="47" t="n"/>
      <c r="AA1458" s="47" t="n"/>
      <c r="AB1458" s="47" t="n"/>
      <c r="AC1458" s="47" t="n"/>
      <c r="AD1458" s="47" t="n"/>
      <c r="AE1458" s="47" t="n"/>
      <c r="AF1458" s="20">
        <f>IF(A1458="","",YEAR(EDATE(A1458,-3)))</f>
        <v/>
      </c>
      <c r="AG1458" s="20">
        <f>IF(OR(B1458="",'経歴簿'!$C$4=""),"",IF(B1458&amp;""='経歴簿'!$C$4&amp;"",MAX($AG$4:AG1457)+1,""))</f>
        <v/>
      </c>
      <c r="AH1458" s="20">
        <f>IF(A1458="",0,IF(AND(OR('CSV抽出'!$C$4="",A1458&gt;='CSV抽出'!$C$4),OR('CSV抽出'!$C$5="",A1458&lt;='CSV抽出'!$C$5),OR('CSV抽出'!$C$6="すべて",'CSV抽出'!$C$6="",D1458='CSV抽出'!$C$6),OR('CSV抽出'!$C$7="",B1458&amp;""='CSV抽出'!$C$7&amp;"")),1,0))</f>
        <v/>
      </c>
      <c r="AI1458" s="20">
        <f>IF(AH1458=1,SUM($AH$5:AH1458),"")</f>
        <v/>
      </c>
      <c r="AJ1458" s="20">
        <f>IF(OR(S1458="",'報告書'!$C$4=""),"",IF(S1458&amp;""='報告書'!$C$4&amp;"",COUNTIF($S$5:S1458,'報告書'!$C$4),""))</f>
        <v/>
      </c>
      <c r="AK1458" s="20" t="n"/>
      <c r="AL1458" s="47" t="n"/>
      <c r="AM1458" s="47" t="n"/>
      <c r="AN1458" s="53" t="n"/>
      <c r="AO1458" s="47" t="n"/>
      <c r="AP1458" s="47" t="n"/>
      <c r="AQ1458" s="47" t="n"/>
      <c r="AR1458" s="47" t="n"/>
      <c r="AS1458" s="47" t="n"/>
      <c r="AT1458" s="47" t="n"/>
      <c r="AU1458" s="47" t="n"/>
      <c r="AV1458" s="47" t="n"/>
      <c r="AW1458" s="52" t="n"/>
    </row>
    <row r="1459">
      <c r="A1459" s="48" t="n"/>
      <c r="B1459" s="52" t="n"/>
      <c r="C1459" s="47">
        <f>IF(B1459="","",IFERROR(INDEX('隊員マスタ'!$B$5:$B$204,MATCH(B1459&amp;"",'隊員マスタ'!$F$5:$F$204,0)),IF(AK1459="","番号なし",AK1459)))</f>
        <v/>
      </c>
      <c r="D1459" s="47" t="n"/>
      <c r="E1459" s="47" t="n"/>
      <c r="F1459" s="47" t="n"/>
      <c r="G1459" s="47" t="n"/>
      <c r="H1459" s="47" t="n"/>
      <c r="I1459" s="47" t="n"/>
      <c r="J1459" s="47" t="n"/>
      <c r="K1459" s="47" t="n"/>
      <c r="L1459" s="47" t="n"/>
      <c r="M1459" s="47" t="n"/>
      <c r="N1459" s="47" t="n"/>
      <c r="O1459" s="47" t="n"/>
      <c r="P1459" s="47" t="n"/>
      <c r="Q1459" s="47" t="n"/>
      <c r="R1459" s="47" t="n"/>
      <c r="S1459" s="47" t="n"/>
      <c r="T1459" s="47" t="n"/>
      <c r="U1459" s="53" t="n"/>
      <c r="V1459" s="53" t="n"/>
      <c r="W1459" s="47" t="n"/>
      <c r="X1459" s="47" t="n"/>
      <c r="Y1459" s="47" t="n"/>
      <c r="Z1459" s="47" t="n"/>
      <c r="AA1459" s="47" t="n"/>
      <c r="AB1459" s="47" t="n"/>
      <c r="AC1459" s="47" t="n"/>
      <c r="AD1459" s="47" t="n"/>
      <c r="AE1459" s="47" t="n"/>
      <c r="AF1459" s="20">
        <f>IF(A1459="","",YEAR(EDATE(A1459,-3)))</f>
        <v/>
      </c>
      <c r="AG1459" s="20">
        <f>IF(OR(B1459="",'経歴簿'!$C$4=""),"",IF(B1459&amp;""='経歴簿'!$C$4&amp;"",MAX($AG$4:AG1458)+1,""))</f>
        <v/>
      </c>
      <c r="AH1459" s="20">
        <f>IF(A1459="",0,IF(AND(OR('CSV抽出'!$C$4="",A1459&gt;='CSV抽出'!$C$4),OR('CSV抽出'!$C$5="",A1459&lt;='CSV抽出'!$C$5),OR('CSV抽出'!$C$6="すべて",'CSV抽出'!$C$6="",D1459='CSV抽出'!$C$6),OR('CSV抽出'!$C$7="",B1459&amp;""='CSV抽出'!$C$7&amp;"")),1,0))</f>
        <v/>
      </c>
      <c r="AI1459" s="20">
        <f>IF(AH1459=1,SUM($AH$5:AH1459),"")</f>
        <v/>
      </c>
      <c r="AJ1459" s="20">
        <f>IF(OR(S1459="",'報告書'!$C$4=""),"",IF(S1459&amp;""='報告書'!$C$4&amp;"",COUNTIF($S$5:S1459,'報告書'!$C$4),""))</f>
        <v/>
      </c>
      <c r="AK1459" s="20" t="n"/>
      <c r="AL1459" s="47" t="n"/>
      <c r="AM1459" s="47" t="n"/>
      <c r="AN1459" s="53" t="n"/>
      <c r="AO1459" s="47" t="n"/>
      <c r="AP1459" s="47" t="n"/>
      <c r="AQ1459" s="47" t="n"/>
      <c r="AR1459" s="47" t="n"/>
      <c r="AS1459" s="47" t="n"/>
      <c r="AT1459" s="47" t="n"/>
      <c r="AU1459" s="47" t="n"/>
      <c r="AV1459" s="47" t="n"/>
      <c r="AW1459" s="52" t="n"/>
    </row>
    <row r="1460">
      <c r="A1460" s="48" t="n"/>
      <c r="B1460" s="52" t="n"/>
      <c r="C1460" s="47">
        <f>IF(B1460="","",IFERROR(INDEX('隊員マスタ'!$B$5:$B$204,MATCH(B1460&amp;"",'隊員マスタ'!$F$5:$F$204,0)),IF(AK1460="","番号なし",AK1460)))</f>
        <v/>
      </c>
      <c r="D1460" s="47" t="n"/>
      <c r="E1460" s="47" t="n"/>
      <c r="F1460" s="47" t="n"/>
      <c r="G1460" s="47" t="n"/>
      <c r="H1460" s="47" t="n"/>
      <c r="I1460" s="47" t="n"/>
      <c r="J1460" s="47" t="n"/>
      <c r="K1460" s="47" t="n"/>
      <c r="L1460" s="47" t="n"/>
      <c r="M1460" s="47" t="n"/>
      <c r="N1460" s="47" t="n"/>
      <c r="O1460" s="47" t="n"/>
      <c r="P1460" s="47" t="n"/>
      <c r="Q1460" s="47" t="n"/>
      <c r="R1460" s="47" t="n"/>
      <c r="S1460" s="47" t="n"/>
      <c r="T1460" s="47" t="n"/>
      <c r="U1460" s="53" t="n"/>
      <c r="V1460" s="53" t="n"/>
      <c r="W1460" s="47" t="n"/>
      <c r="X1460" s="47" t="n"/>
      <c r="Y1460" s="47" t="n"/>
      <c r="Z1460" s="47" t="n"/>
      <c r="AA1460" s="47" t="n"/>
      <c r="AB1460" s="47" t="n"/>
      <c r="AC1460" s="47" t="n"/>
      <c r="AD1460" s="47" t="n"/>
      <c r="AE1460" s="47" t="n"/>
      <c r="AF1460" s="20">
        <f>IF(A1460="","",YEAR(EDATE(A1460,-3)))</f>
        <v/>
      </c>
      <c r="AG1460" s="20">
        <f>IF(OR(B1460="",'経歴簿'!$C$4=""),"",IF(B1460&amp;""='経歴簿'!$C$4&amp;"",MAX($AG$4:AG1459)+1,""))</f>
        <v/>
      </c>
      <c r="AH1460" s="20">
        <f>IF(A1460="",0,IF(AND(OR('CSV抽出'!$C$4="",A1460&gt;='CSV抽出'!$C$4),OR('CSV抽出'!$C$5="",A1460&lt;='CSV抽出'!$C$5),OR('CSV抽出'!$C$6="すべて",'CSV抽出'!$C$6="",D1460='CSV抽出'!$C$6),OR('CSV抽出'!$C$7="",B1460&amp;""='CSV抽出'!$C$7&amp;"")),1,0))</f>
        <v/>
      </c>
      <c r="AI1460" s="20">
        <f>IF(AH1460=1,SUM($AH$5:AH1460),"")</f>
        <v/>
      </c>
      <c r="AJ1460" s="20">
        <f>IF(OR(S1460="",'報告書'!$C$4=""),"",IF(S1460&amp;""='報告書'!$C$4&amp;"",COUNTIF($S$5:S1460,'報告書'!$C$4),""))</f>
        <v/>
      </c>
      <c r="AK1460" s="20" t="n"/>
      <c r="AL1460" s="47" t="n"/>
      <c r="AM1460" s="47" t="n"/>
      <c r="AN1460" s="53" t="n"/>
      <c r="AO1460" s="47" t="n"/>
      <c r="AP1460" s="47" t="n"/>
      <c r="AQ1460" s="47" t="n"/>
      <c r="AR1460" s="47" t="n"/>
      <c r="AS1460" s="47" t="n"/>
      <c r="AT1460" s="47" t="n"/>
      <c r="AU1460" s="47" t="n"/>
      <c r="AV1460" s="47" t="n"/>
      <c r="AW1460" s="52" t="n"/>
    </row>
    <row r="1461">
      <c r="A1461" s="48" t="n"/>
      <c r="B1461" s="52" t="n"/>
      <c r="C1461" s="47">
        <f>IF(B1461="","",IFERROR(INDEX('隊員マスタ'!$B$5:$B$204,MATCH(B1461&amp;"",'隊員マスタ'!$F$5:$F$204,0)),IF(AK1461="","番号なし",AK1461)))</f>
        <v/>
      </c>
      <c r="D1461" s="47" t="n"/>
      <c r="E1461" s="47" t="n"/>
      <c r="F1461" s="47" t="n"/>
      <c r="G1461" s="47" t="n"/>
      <c r="H1461" s="47" t="n"/>
      <c r="I1461" s="47" t="n"/>
      <c r="J1461" s="47" t="n"/>
      <c r="K1461" s="47" t="n"/>
      <c r="L1461" s="47" t="n"/>
      <c r="M1461" s="47" t="n"/>
      <c r="N1461" s="47" t="n"/>
      <c r="O1461" s="47" t="n"/>
      <c r="P1461" s="47" t="n"/>
      <c r="Q1461" s="47" t="n"/>
      <c r="R1461" s="47" t="n"/>
      <c r="S1461" s="47" t="n"/>
      <c r="T1461" s="47" t="n"/>
      <c r="U1461" s="53" t="n"/>
      <c r="V1461" s="53" t="n"/>
      <c r="W1461" s="47" t="n"/>
      <c r="X1461" s="47" t="n"/>
      <c r="Y1461" s="47" t="n"/>
      <c r="Z1461" s="47" t="n"/>
      <c r="AA1461" s="47" t="n"/>
      <c r="AB1461" s="47" t="n"/>
      <c r="AC1461" s="47" t="n"/>
      <c r="AD1461" s="47" t="n"/>
      <c r="AE1461" s="47" t="n"/>
      <c r="AF1461" s="20">
        <f>IF(A1461="","",YEAR(EDATE(A1461,-3)))</f>
        <v/>
      </c>
      <c r="AG1461" s="20">
        <f>IF(OR(B1461="",'経歴簿'!$C$4=""),"",IF(B1461&amp;""='経歴簿'!$C$4&amp;"",MAX($AG$4:AG1460)+1,""))</f>
        <v/>
      </c>
      <c r="AH1461" s="20">
        <f>IF(A1461="",0,IF(AND(OR('CSV抽出'!$C$4="",A1461&gt;='CSV抽出'!$C$4),OR('CSV抽出'!$C$5="",A1461&lt;='CSV抽出'!$C$5),OR('CSV抽出'!$C$6="すべて",'CSV抽出'!$C$6="",D1461='CSV抽出'!$C$6),OR('CSV抽出'!$C$7="",B1461&amp;""='CSV抽出'!$C$7&amp;"")),1,0))</f>
        <v/>
      </c>
      <c r="AI1461" s="20">
        <f>IF(AH1461=1,SUM($AH$5:AH1461),"")</f>
        <v/>
      </c>
      <c r="AJ1461" s="20">
        <f>IF(OR(S1461="",'報告書'!$C$4=""),"",IF(S1461&amp;""='報告書'!$C$4&amp;"",COUNTIF($S$5:S1461,'報告書'!$C$4),""))</f>
        <v/>
      </c>
      <c r="AK1461" s="20" t="n"/>
      <c r="AL1461" s="47" t="n"/>
      <c r="AM1461" s="47" t="n"/>
      <c r="AN1461" s="53" t="n"/>
      <c r="AO1461" s="47" t="n"/>
      <c r="AP1461" s="47" t="n"/>
      <c r="AQ1461" s="47" t="n"/>
      <c r="AR1461" s="47" t="n"/>
      <c r="AS1461" s="47" t="n"/>
      <c r="AT1461" s="47" t="n"/>
      <c r="AU1461" s="47" t="n"/>
      <c r="AV1461" s="47" t="n"/>
      <c r="AW1461" s="52" t="n"/>
    </row>
    <row r="1462">
      <c r="A1462" s="48" t="n"/>
      <c r="B1462" s="52" t="n"/>
      <c r="C1462" s="47">
        <f>IF(B1462="","",IFERROR(INDEX('隊員マスタ'!$B$5:$B$204,MATCH(B1462&amp;"",'隊員マスタ'!$F$5:$F$204,0)),IF(AK1462="","番号なし",AK1462)))</f>
        <v/>
      </c>
      <c r="D1462" s="47" t="n"/>
      <c r="E1462" s="47" t="n"/>
      <c r="F1462" s="47" t="n"/>
      <c r="G1462" s="47" t="n"/>
      <c r="H1462" s="47" t="n"/>
      <c r="I1462" s="47" t="n"/>
      <c r="J1462" s="47" t="n"/>
      <c r="K1462" s="47" t="n"/>
      <c r="L1462" s="47" t="n"/>
      <c r="M1462" s="47" t="n"/>
      <c r="N1462" s="47" t="n"/>
      <c r="O1462" s="47" t="n"/>
      <c r="P1462" s="47" t="n"/>
      <c r="Q1462" s="47" t="n"/>
      <c r="R1462" s="47" t="n"/>
      <c r="S1462" s="47" t="n"/>
      <c r="T1462" s="47" t="n"/>
      <c r="U1462" s="53" t="n"/>
      <c r="V1462" s="53" t="n"/>
      <c r="W1462" s="47" t="n"/>
      <c r="X1462" s="47" t="n"/>
      <c r="Y1462" s="47" t="n"/>
      <c r="Z1462" s="47" t="n"/>
      <c r="AA1462" s="47" t="n"/>
      <c r="AB1462" s="47" t="n"/>
      <c r="AC1462" s="47" t="n"/>
      <c r="AD1462" s="47" t="n"/>
      <c r="AE1462" s="47" t="n"/>
      <c r="AF1462" s="20">
        <f>IF(A1462="","",YEAR(EDATE(A1462,-3)))</f>
        <v/>
      </c>
      <c r="AG1462" s="20">
        <f>IF(OR(B1462="",'経歴簿'!$C$4=""),"",IF(B1462&amp;""='経歴簿'!$C$4&amp;"",MAX($AG$4:AG1461)+1,""))</f>
        <v/>
      </c>
      <c r="AH1462" s="20">
        <f>IF(A1462="",0,IF(AND(OR('CSV抽出'!$C$4="",A1462&gt;='CSV抽出'!$C$4),OR('CSV抽出'!$C$5="",A1462&lt;='CSV抽出'!$C$5),OR('CSV抽出'!$C$6="すべて",'CSV抽出'!$C$6="",D1462='CSV抽出'!$C$6),OR('CSV抽出'!$C$7="",B1462&amp;""='CSV抽出'!$C$7&amp;"")),1,0))</f>
        <v/>
      </c>
      <c r="AI1462" s="20">
        <f>IF(AH1462=1,SUM($AH$5:AH1462),"")</f>
        <v/>
      </c>
      <c r="AJ1462" s="20">
        <f>IF(OR(S1462="",'報告書'!$C$4=""),"",IF(S1462&amp;""='報告書'!$C$4&amp;"",COUNTIF($S$5:S1462,'報告書'!$C$4),""))</f>
        <v/>
      </c>
      <c r="AK1462" s="20" t="n"/>
      <c r="AL1462" s="47" t="n"/>
      <c r="AM1462" s="47" t="n"/>
      <c r="AN1462" s="53" t="n"/>
      <c r="AO1462" s="47" t="n"/>
      <c r="AP1462" s="47" t="n"/>
      <c r="AQ1462" s="47" t="n"/>
      <c r="AR1462" s="47" t="n"/>
      <c r="AS1462" s="47" t="n"/>
      <c r="AT1462" s="47" t="n"/>
      <c r="AU1462" s="47" t="n"/>
      <c r="AV1462" s="47" t="n"/>
      <c r="AW1462" s="52" t="n"/>
    </row>
    <row r="1463">
      <c r="A1463" s="48" t="n"/>
      <c r="B1463" s="52" t="n"/>
      <c r="C1463" s="47">
        <f>IF(B1463="","",IFERROR(INDEX('隊員マスタ'!$B$5:$B$204,MATCH(B1463&amp;"",'隊員マスタ'!$F$5:$F$204,0)),IF(AK1463="","番号なし",AK1463)))</f>
        <v/>
      </c>
      <c r="D1463" s="47" t="n"/>
      <c r="E1463" s="47" t="n"/>
      <c r="F1463" s="47" t="n"/>
      <c r="G1463" s="47" t="n"/>
      <c r="H1463" s="47" t="n"/>
      <c r="I1463" s="47" t="n"/>
      <c r="J1463" s="47" t="n"/>
      <c r="K1463" s="47" t="n"/>
      <c r="L1463" s="47" t="n"/>
      <c r="M1463" s="47" t="n"/>
      <c r="N1463" s="47" t="n"/>
      <c r="O1463" s="47" t="n"/>
      <c r="P1463" s="47" t="n"/>
      <c r="Q1463" s="47" t="n"/>
      <c r="R1463" s="47" t="n"/>
      <c r="S1463" s="47" t="n"/>
      <c r="T1463" s="47" t="n"/>
      <c r="U1463" s="53" t="n"/>
      <c r="V1463" s="53" t="n"/>
      <c r="W1463" s="47" t="n"/>
      <c r="X1463" s="47" t="n"/>
      <c r="Y1463" s="47" t="n"/>
      <c r="Z1463" s="47" t="n"/>
      <c r="AA1463" s="47" t="n"/>
      <c r="AB1463" s="47" t="n"/>
      <c r="AC1463" s="47" t="n"/>
      <c r="AD1463" s="47" t="n"/>
      <c r="AE1463" s="47" t="n"/>
      <c r="AF1463" s="20">
        <f>IF(A1463="","",YEAR(EDATE(A1463,-3)))</f>
        <v/>
      </c>
      <c r="AG1463" s="20">
        <f>IF(OR(B1463="",'経歴簿'!$C$4=""),"",IF(B1463&amp;""='経歴簿'!$C$4&amp;"",MAX($AG$4:AG1462)+1,""))</f>
        <v/>
      </c>
      <c r="AH1463" s="20">
        <f>IF(A1463="",0,IF(AND(OR('CSV抽出'!$C$4="",A1463&gt;='CSV抽出'!$C$4),OR('CSV抽出'!$C$5="",A1463&lt;='CSV抽出'!$C$5),OR('CSV抽出'!$C$6="すべて",'CSV抽出'!$C$6="",D1463='CSV抽出'!$C$6),OR('CSV抽出'!$C$7="",B1463&amp;""='CSV抽出'!$C$7&amp;"")),1,0))</f>
        <v/>
      </c>
      <c r="AI1463" s="20">
        <f>IF(AH1463=1,SUM($AH$5:AH1463),"")</f>
        <v/>
      </c>
      <c r="AJ1463" s="20">
        <f>IF(OR(S1463="",'報告書'!$C$4=""),"",IF(S1463&amp;""='報告書'!$C$4&amp;"",COUNTIF($S$5:S1463,'報告書'!$C$4),""))</f>
        <v/>
      </c>
      <c r="AK1463" s="20" t="n"/>
      <c r="AL1463" s="47" t="n"/>
      <c r="AM1463" s="47" t="n"/>
      <c r="AN1463" s="53" t="n"/>
      <c r="AO1463" s="47" t="n"/>
      <c r="AP1463" s="47" t="n"/>
      <c r="AQ1463" s="47" t="n"/>
      <c r="AR1463" s="47" t="n"/>
      <c r="AS1463" s="47" t="n"/>
      <c r="AT1463" s="47" t="n"/>
      <c r="AU1463" s="47" t="n"/>
      <c r="AV1463" s="47" t="n"/>
      <c r="AW1463" s="52" t="n"/>
    </row>
    <row r="1464">
      <c r="A1464" s="48" t="n"/>
      <c r="B1464" s="52" t="n"/>
      <c r="C1464" s="47">
        <f>IF(B1464="","",IFERROR(INDEX('隊員マスタ'!$B$5:$B$204,MATCH(B1464&amp;"",'隊員マスタ'!$F$5:$F$204,0)),IF(AK1464="","番号なし",AK1464)))</f>
        <v/>
      </c>
      <c r="D1464" s="47" t="n"/>
      <c r="E1464" s="47" t="n"/>
      <c r="F1464" s="47" t="n"/>
      <c r="G1464" s="47" t="n"/>
      <c r="H1464" s="47" t="n"/>
      <c r="I1464" s="47" t="n"/>
      <c r="J1464" s="47" t="n"/>
      <c r="K1464" s="47" t="n"/>
      <c r="L1464" s="47" t="n"/>
      <c r="M1464" s="47" t="n"/>
      <c r="N1464" s="47" t="n"/>
      <c r="O1464" s="47" t="n"/>
      <c r="P1464" s="47" t="n"/>
      <c r="Q1464" s="47" t="n"/>
      <c r="R1464" s="47" t="n"/>
      <c r="S1464" s="47" t="n"/>
      <c r="T1464" s="47" t="n"/>
      <c r="U1464" s="53" t="n"/>
      <c r="V1464" s="53" t="n"/>
      <c r="W1464" s="47" t="n"/>
      <c r="X1464" s="47" t="n"/>
      <c r="Y1464" s="47" t="n"/>
      <c r="Z1464" s="47" t="n"/>
      <c r="AA1464" s="47" t="n"/>
      <c r="AB1464" s="47" t="n"/>
      <c r="AC1464" s="47" t="n"/>
      <c r="AD1464" s="47" t="n"/>
      <c r="AE1464" s="47" t="n"/>
      <c r="AF1464" s="20">
        <f>IF(A1464="","",YEAR(EDATE(A1464,-3)))</f>
        <v/>
      </c>
      <c r="AG1464" s="20">
        <f>IF(OR(B1464="",'経歴簿'!$C$4=""),"",IF(B1464&amp;""='経歴簿'!$C$4&amp;"",MAX($AG$4:AG1463)+1,""))</f>
        <v/>
      </c>
      <c r="AH1464" s="20">
        <f>IF(A1464="",0,IF(AND(OR('CSV抽出'!$C$4="",A1464&gt;='CSV抽出'!$C$4),OR('CSV抽出'!$C$5="",A1464&lt;='CSV抽出'!$C$5),OR('CSV抽出'!$C$6="すべて",'CSV抽出'!$C$6="",D1464='CSV抽出'!$C$6),OR('CSV抽出'!$C$7="",B1464&amp;""='CSV抽出'!$C$7&amp;"")),1,0))</f>
        <v/>
      </c>
      <c r="AI1464" s="20">
        <f>IF(AH1464=1,SUM($AH$5:AH1464),"")</f>
        <v/>
      </c>
      <c r="AJ1464" s="20">
        <f>IF(OR(S1464="",'報告書'!$C$4=""),"",IF(S1464&amp;""='報告書'!$C$4&amp;"",COUNTIF($S$5:S1464,'報告書'!$C$4),""))</f>
        <v/>
      </c>
      <c r="AK1464" s="20" t="n"/>
      <c r="AL1464" s="47" t="n"/>
      <c r="AM1464" s="47" t="n"/>
      <c r="AN1464" s="53" t="n"/>
      <c r="AO1464" s="47" t="n"/>
      <c r="AP1464" s="47" t="n"/>
      <c r="AQ1464" s="47" t="n"/>
      <c r="AR1464" s="47" t="n"/>
      <c r="AS1464" s="47" t="n"/>
      <c r="AT1464" s="47" t="n"/>
      <c r="AU1464" s="47" t="n"/>
      <c r="AV1464" s="47" t="n"/>
      <c r="AW1464" s="52" t="n"/>
    </row>
    <row r="1465">
      <c r="A1465" s="48" t="n"/>
      <c r="B1465" s="52" t="n"/>
      <c r="C1465" s="47">
        <f>IF(B1465="","",IFERROR(INDEX('隊員マスタ'!$B$5:$B$204,MATCH(B1465&amp;"",'隊員マスタ'!$F$5:$F$204,0)),IF(AK1465="","番号なし",AK1465)))</f>
        <v/>
      </c>
      <c r="D1465" s="47" t="n"/>
      <c r="E1465" s="47" t="n"/>
      <c r="F1465" s="47" t="n"/>
      <c r="G1465" s="47" t="n"/>
      <c r="H1465" s="47" t="n"/>
      <c r="I1465" s="47" t="n"/>
      <c r="J1465" s="47" t="n"/>
      <c r="K1465" s="47" t="n"/>
      <c r="L1465" s="47" t="n"/>
      <c r="M1465" s="47" t="n"/>
      <c r="N1465" s="47" t="n"/>
      <c r="O1465" s="47" t="n"/>
      <c r="P1465" s="47" t="n"/>
      <c r="Q1465" s="47" t="n"/>
      <c r="R1465" s="47" t="n"/>
      <c r="S1465" s="47" t="n"/>
      <c r="T1465" s="47" t="n"/>
      <c r="U1465" s="53" t="n"/>
      <c r="V1465" s="53" t="n"/>
      <c r="W1465" s="47" t="n"/>
      <c r="X1465" s="47" t="n"/>
      <c r="Y1465" s="47" t="n"/>
      <c r="Z1465" s="47" t="n"/>
      <c r="AA1465" s="47" t="n"/>
      <c r="AB1465" s="47" t="n"/>
      <c r="AC1465" s="47" t="n"/>
      <c r="AD1465" s="47" t="n"/>
      <c r="AE1465" s="47" t="n"/>
      <c r="AF1465" s="20">
        <f>IF(A1465="","",YEAR(EDATE(A1465,-3)))</f>
        <v/>
      </c>
      <c r="AG1465" s="20">
        <f>IF(OR(B1465="",'経歴簿'!$C$4=""),"",IF(B1465&amp;""='経歴簿'!$C$4&amp;"",MAX($AG$4:AG1464)+1,""))</f>
        <v/>
      </c>
      <c r="AH1465" s="20">
        <f>IF(A1465="",0,IF(AND(OR('CSV抽出'!$C$4="",A1465&gt;='CSV抽出'!$C$4),OR('CSV抽出'!$C$5="",A1465&lt;='CSV抽出'!$C$5),OR('CSV抽出'!$C$6="すべて",'CSV抽出'!$C$6="",D1465='CSV抽出'!$C$6),OR('CSV抽出'!$C$7="",B1465&amp;""='CSV抽出'!$C$7&amp;"")),1,0))</f>
        <v/>
      </c>
      <c r="AI1465" s="20">
        <f>IF(AH1465=1,SUM($AH$5:AH1465),"")</f>
        <v/>
      </c>
      <c r="AJ1465" s="20">
        <f>IF(OR(S1465="",'報告書'!$C$4=""),"",IF(S1465&amp;""='報告書'!$C$4&amp;"",COUNTIF($S$5:S1465,'報告書'!$C$4),""))</f>
        <v/>
      </c>
      <c r="AK1465" s="20" t="n"/>
      <c r="AL1465" s="47" t="n"/>
      <c r="AM1465" s="47" t="n"/>
      <c r="AN1465" s="53" t="n"/>
      <c r="AO1465" s="47" t="n"/>
      <c r="AP1465" s="47" t="n"/>
      <c r="AQ1465" s="47" t="n"/>
      <c r="AR1465" s="47" t="n"/>
      <c r="AS1465" s="47" t="n"/>
      <c r="AT1465" s="47" t="n"/>
      <c r="AU1465" s="47" t="n"/>
      <c r="AV1465" s="47" t="n"/>
      <c r="AW1465" s="52" t="n"/>
    </row>
    <row r="1466">
      <c r="A1466" s="48" t="n"/>
      <c r="B1466" s="52" t="n"/>
      <c r="C1466" s="47">
        <f>IF(B1466="","",IFERROR(INDEX('隊員マスタ'!$B$5:$B$204,MATCH(B1466&amp;"",'隊員マスタ'!$F$5:$F$204,0)),IF(AK1466="","番号なし",AK1466)))</f>
        <v/>
      </c>
      <c r="D1466" s="47" t="n"/>
      <c r="E1466" s="47" t="n"/>
      <c r="F1466" s="47" t="n"/>
      <c r="G1466" s="47" t="n"/>
      <c r="H1466" s="47" t="n"/>
      <c r="I1466" s="47" t="n"/>
      <c r="J1466" s="47" t="n"/>
      <c r="K1466" s="47" t="n"/>
      <c r="L1466" s="47" t="n"/>
      <c r="M1466" s="47" t="n"/>
      <c r="N1466" s="47" t="n"/>
      <c r="O1466" s="47" t="n"/>
      <c r="P1466" s="47" t="n"/>
      <c r="Q1466" s="47" t="n"/>
      <c r="R1466" s="47" t="n"/>
      <c r="S1466" s="47" t="n"/>
      <c r="T1466" s="47" t="n"/>
      <c r="U1466" s="53" t="n"/>
      <c r="V1466" s="53" t="n"/>
      <c r="W1466" s="47" t="n"/>
      <c r="X1466" s="47" t="n"/>
      <c r="Y1466" s="47" t="n"/>
      <c r="Z1466" s="47" t="n"/>
      <c r="AA1466" s="47" t="n"/>
      <c r="AB1466" s="47" t="n"/>
      <c r="AC1466" s="47" t="n"/>
      <c r="AD1466" s="47" t="n"/>
      <c r="AE1466" s="47" t="n"/>
      <c r="AF1466" s="20">
        <f>IF(A1466="","",YEAR(EDATE(A1466,-3)))</f>
        <v/>
      </c>
      <c r="AG1466" s="20">
        <f>IF(OR(B1466="",'経歴簿'!$C$4=""),"",IF(B1466&amp;""='経歴簿'!$C$4&amp;"",MAX($AG$4:AG1465)+1,""))</f>
        <v/>
      </c>
      <c r="AH1466" s="20">
        <f>IF(A1466="",0,IF(AND(OR('CSV抽出'!$C$4="",A1466&gt;='CSV抽出'!$C$4),OR('CSV抽出'!$C$5="",A1466&lt;='CSV抽出'!$C$5),OR('CSV抽出'!$C$6="すべて",'CSV抽出'!$C$6="",D1466='CSV抽出'!$C$6),OR('CSV抽出'!$C$7="",B1466&amp;""='CSV抽出'!$C$7&amp;"")),1,0))</f>
        <v/>
      </c>
      <c r="AI1466" s="20">
        <f>IF(AH1466=1,SUM($AH$5:AH1466),"")</f>
        <v/>
      </c>
      <c r="AJ1466" s="20">
        <f>IF(OR(S1466="",'報告書'!$C$4=""),"",IF(S1466&amp;""='報告書'!$C$4&amp;"",COUNTIF($S$5:S1466,'報告書'!$C$4),""))</f>
        <v/>
      </c>
      <c r="AK1466" s="20" t="n"/>
      <c r="AL1466" s="47" t="n"/>
      <c r="AM1466" s="47" t="n"/>
      <c r="AN1466" s="53" t="n"/>
      <c r="AO1466" s="47" t="n"/>
      <c r="AP1466" s="47" t="n"/>
      <c r="AQ1466" s="47" t="n"/>
      <c r="AR1466" s="47" t="n"/>
      <c r="AS1466" s="47" t="n"/>
      <c r="AT1466" s="47" t="n"/>
      <c r="AU1466" s="47" t="n"/>
      <c r="AV1466" s="47" t="n"/>
      <c r="AW1466" s="52" t="n"/>
    </row>
    <row r="1467">
      <c r="A1467" s="48" t="n"/>
      <c r="B1467" s="52" t="n"/>
      <c r="C1467" s="47">
        <f>IF(B1467="","",IFERROR(INDEX('隊員マスタ'!$B$5:$B$204,MATCH(B1467&amp;"",'隊員マスタ'!$F$5:$F$204,0)),IF(AK1467="","番号なし",AK1467)))</f>
        <v/>
      </c>
      <c r="D1467" s="47" t="n"/>
      <c r="E1467" s="47" t="n"/>
      <c r="F1467" s="47" t="n"/>
      <c r="G1467" s="47" t="n"/>
      <c r="H1467" s="47" t="n"/>
      <c r="I1467" s="47" t="n"/>
      <c r="J1467" s="47" t="n"/>
      <c r="K1467" s="47" t="n"/>
      <c r="L1467" s="47" t="n"/>
      <c r="M1467" s="47" t="n"/>
      <c r="N1467" s="47" t="n"/>
      <c r="O1467" s="47" t="n"/>
      <c r="P1467" s="47" t="n"/>
      <c r="Q1467" s="47" t="n"/>
      <c r="R1467" s="47" t="n"/>
      <c r="S1467" s="47" t="n"/>
      <c r="T1467" s="47" t="n"/>
      <c r="U1467" s="53" t="n"/>
      <c r="V1467" s="53" t="n"/>
      <c r="W1467" s="47" t="n"/>
      <c r="X1467" s="47" t="n"/>
      <c r="Y1467" s="47" t="n"/>
      <c r="Z1467" s="47" t="n"/>
      <c r="AA1467" s="47" t="n"/>
      <c r="AB1467" s="47" t="n"/>
      <c r="AC1467" s="47" t="n"/>
      <c r="AD1467" s="47" t="n"/>
      <c r="AE1467" s="47" t="n"/>
      <c r="AF1467" s="20">
        <f>IF(A1467="","",YEAR(EDATE(A1467,-3)))</f>
        <v/>
      </c>
      <c r="AG1467" s="20">
        <f>IF(OR(B1467="",'経歴簿'!$C$4=""),"",IF(B1467&amp;""='経歴簿'!$C$4&amp;"",MAX($AG$4:AG1466)+1,""))</f>
        <v/>
      </c>
      <c r="AH1467" s="20">
        <f>IF(A1467="",0,IF(AND(OR('CSV抽出'!$C$4="",A1467&gt;='CSV抽出'!$C$4),OR('CSV抽出'!$C$5="",A1467&lt;='CSV抽出'!$C$5),OR('CSV抽出'!$C$6="すべて",'CSV抽出'!$C$6="",D1467='CSV抽出'!$C$6),OR('CSV抽出'!$C$7="",B1467&amp;""='CSV抽出'!$C$7&amp;"")),1,0))</f>
        <v/>
      </c>
      <c r="AI1467" s="20">
        <f>IF(AH1467=1,SUM($AH$5:AH1467),"")</f>
        <v/>
      </c>
      <c r="AJ1467" s="20">
        <f>IF(OR(S1467="",'報告書'!$C$4=""),"",IF(S1467&amp;""='報告書'!$C$4&amp;"",COUNTIF($S$5:S1467,'報告書'!$C$4),""))</f>
        <v/>
      </c>
      <c r="AK1467" s="20" t="n"/>
      <c r="AL1467" s="47" t="n"/>
      <c r="AM1467" s="47" t="n"/>
      <c r="AN1467" s="53" t="n"/>
      <c r="AO1467" s="47" t="n"/>
      <c r="AP1467" s="47" t="n"/>
      <c r="AQ1467" s="47" t="n"/>
      <c r="AR1467" s="47" t="n"/>
      <c r="AS1467" s="47" t="n"/>
      <c r="AT1467" s="47" t="n"/>
      <c r="AU1467" s="47" t="n"/>
      <c r="AV1467" s="47" t="n"/>
      <c r="AW1467" s="52" t="n"/>
    </row>
    <row r="1468">
      <c r="A1468" s="48" t="n"/>
      <c r="B1468" s="52" t="n"/>
      <c r="C1468" s="47">
        <f>IF(B1468="","",IFERROR(INDEX('隊員マスタ'!$B$5:$B$204,MATCH(B1468&amp;"",'隊員マスタ'!$F$5:$F$204,0)),IF(AK1468="","番号なし",AK1468)))</f>
        <v/>
      </c>
      <c r="D1468" s="47" t="n"/>
      <c r="E1468" s="47" t="n"/>
      <c r="F1468" s="47" t="n"/>
      <c r="G1468" s="47" t="n"/>
      <c r="H1468" s="47" t="n"/>
      <c r="I1468" s="47" t="n"/>
      <c r="J1468" s="47" t="n"/>
      <c r="K1468" s="47" t="n"/>
      <c r="L1468" s="47" t="n"/>
      <c r="M1468" s="47" t="n"/>
      <c r="N1468" s="47" t="n"/>
      <c r="O1468" s="47" t="n"/>
      <c r="P1468" s="47" t="n"/>
      <c r="Q1468" s="47" t="n"/>
      <c r="R1468" s="47" t="n"/>
      <c r="S1468" s="47" t="n"/>
      <c r="T1468" s="47" t="n"/>
      <c r="U1468" s="53" t="n"/>
      <c r="V1468" s="53" t="n"/>
      <c r="W1468" s="47" t="n"/>
      <c r="X1468" s="47" t="n"/>
      <c r="Y1468" s="47" t="n"/>
      <c r="Z1468" s="47" t="n"/>
      <c r="AA1468" s="47" t="n"/>
      <c r="AB1468" s="47" t="n"/>
      <c r="AC1468" s="47" t="n"/>
      <c r="AD1468" s="47" t="n"/>
      <c r="AE1468" s="47" t="n"/>
      <c r="AF1468" s="20">
        <f>IF(A1468="","",YEAR(EDATE(A1468,-3)))</f>
        <v/>
      </c>
      <c r="AG1468" s="20">
        <f>IF(OR(B1468="",'経歴簿'!$C$4=""),"",IF(B1468&amp;""='経歴簿'!$C$4&amp;"",MAX($AG$4:AG1467)+1,""))</f>
        <v/>
      </c>
      <c r="AH1468" s="20">
        <f>IF(A1468="",0,IF(AND(OR('CSV抽出'!$C$4="",A1468&gt;='CSV抽出'!$C$4),OR('CSV抽出'!$C$5="",A1468&lt;='CSV抽出'!$C$5),OR('CSV抽出'!$C$6="すべて",'CSV抽出'!$C$6="",D1468='CSV抽出'!$C$6),OR('CSV抽出'!$C$7="",B1468&amp;""='CSV抽出'!$C$7&amp;"")),1,0))</f>
        <v/>
      </c>
      <c r="AI1468" s="20">
        <f>IF(AH1468=1,SUM($AH$5:AH1468),"")</f>
        <v/>
      </c>
      <c r="AJ1468" s="20">
        <f>IF(OR(S1468="",'報告書'!$C$4=""),"",IF(S1468&amp;""='報告書'!$C$4&amp;"",COUNTIF($S$5:S1468,'報告書'!$C$4),""))</f>
        <v/>
      </c>
      <c r="AK1468" s="20" t="n"/>
      <c r="AL1468" s="47" t="n"/>
      <c r="AM1468" s="47" t="n"/>
      <c r="AN1468" s="53" t="n"/>
      <c r="AO1468" s="47" t="n"/>
      <c r="AP1468" s="47" t="n"/>
      <c r="AQ1468" s="47" t="n"/>
      <c r="AR1468" s="47" t="n"/>
      <c r="AS1468" s="47" t="n"/>
      <c r="AT1468" s="47" t="n"/>
      <c r="AU1468" s="47" t="n"/>
      <c r="AV1468" s="47" t="n"/>
      <c r="AW1468" s="52" t="n"/>
    </row>
    <row r="1469">
      <c r="A1469" s="48" t="n"/>
      <c r="B1469" s="52" t="n"/>
      <c r="C1469" s="47">
        <f>IF(B1469="","",IFERROR(INDEX('隊員マスタ'!$B$5:$B$204,MATCH(B1469&amp;"",'隊員マスタ'!$F$5:$F$204,0)),IF(AK1469="","番号なし",AK1469)))</f>
        <v/>
      </c>
      <c r="D1469" s="47" t="n"/>
      <c r="E1469" s="47" t="n"/>
      <c r="F1469" s="47" t="n"/>
      <c r="G1469" s="47" t="n"/>
      <c r="H1469" s="47" t="n"/>
      <c r="I1469" s="47" t="n"/>
      <c r="J1469" s="47" t="n"/>
      <c r="K1469" s="47" t="n"/>
      <c r="L1469" s="47" t="n"/>
      <c r="M1469" s="47" t="n"/>
      <c r="N1469" s="47" t="n"/>
      <c r="O1469" s="47" t="n"/>
      <c r="P1469" s="47" t="n"/>
      <c r="Q1469" s="47" t="n"/>
      <c r="R1469" s="47" t="n"/>
      <c r="S1469" s="47" t="n"/>
      <c r="T1469" s="47" t="n"/>
      <c r="U1469" s="53" t="n"/>
      <c r="V1469" s="53" t="n"/>
      <c r="W1469" s="47" t="n"/>
      <c r="X1469" s="47" t="n"/>
      <c r="Y1469" s="47" t="n"/>
      <c r="Z1469" s="47" t="n"/>
      <c r="AA1469" s="47" t="n"/>
      <c r="AB1469" s="47" t="n"/>
      <c r="AC1469" s="47" t="n"/>
      <c r="AD1469" s="47" t="n"/>
      <c r="AE1469" s="47" t="n"/>
      <c r="AF1469" s="20">
        <f>IF(A1469="","",YEAR(EDATE(A1469,-3)))</f>
        <v/>
      </c>
      <c r="AG1469" s="20">
        <f>IF(OR(B1469="",'経歴簿'!$C$4=""),"",IF(B1469&amp;""='経歴簿'!$C$4&amp;"",MAX($AG$4:AG1468)+1,""))</f>
        <v/>
      </c>
      <c r="AH1469" s="20">
        <f>IF(A1469="",0,IF(AND(OR('CSV抽出'!$C$4="",A1469&gt;='CSV抽出'!$C$4),OR('CSV抽出'!$C$5="",A1469&lt;='CSV抽出'!$C$5),OR('CSV抽出'!$C$6="すべて",'CSV抽出'!$C$6="",D1469='CSV抽出'!$C$6),OR('CSV抽出'!$C$7="",B1469&amp;""='CSV抽出'!$C$7&amp;"")),1,0))</f>
        <v/>
      </c>
      <c r="AI1469" s="20">
        <f>IF(AH1469=1,SUM($AH$5:AH1469),"")</f>
        <v/>
      </c>
      <c r="AJ1469" s="20">
        <f>IF(OR(S1469="",'報告書'!$C$4=""),"",IF(S1469&amp;""='報告書'!$C$4&amp;"",COUNTIF($S$5:S1469,'報告書'!$C$4),""))</f>
        <v/>
      </c>
      <c r="AK1469" s="20" t="n"/>
      <c r="AL1469" s="47" t="n"/>
      <c r="AM1469" s="47" t="n"/>
      <c r="AN1469" s="53" t="n"/>
      <c r="AO1469" s="47" t="n"/>
      <c r="AP1469" s="47" t="n"/>
      <c r="AQ1469" s="47" t="n"/>
      <c r="AR1469" s="47" t="n"/>
      <c r="AS1469" s="47" t="n"/>
      <c r="AT1469" s="47" t="n"/>
      <c r="AU1469" s="47" t="n"/>
      <c r="AV1469" s="47" t="n"/>
      <c r="AW1469" s="52" t="n"/>
    </row>
    <row r="1470">
      <c r="A1470" s="48" t="n"/>
      <c r="B1470" s="52" t="n"/>
      <c r="C1470" s="47">
        <f>IF(B1470="","",IFERROR(INDEX('隊員マスタ'!$B$5:$B$204,MATCH(B1470&amp;"",'隊員マスタ'!$F$5:$F$204,0)),IF(AK1470="","番号なし",AK1470)))</f>
        <v/>
      </c>
      <c r="D1470" s="47" t="n"/>
      <c r="E1470" s="47" t="n"/>
      <c r="F1470" s="47" t="n"/>
      <c r="G1470" s="47" t="n"/>
      <c r="H1470" s="47" t="n"/>
      <c r="I1470" s="47" t="n"/>
      <c r="J1470" s="47" t="n"/>
      <c r="K1470" s="47" t="n"/>
      <c r="L1470" s="47" t="n"/>
      <c r="M1470" s="47" t="n"/>
      <c r="N1470" s="47" t="n"/>
      <c r="O1470" s="47" t="n"/>
      <c r="P1470" s="47" t="n"/>
      <c r="Q1470" s="47" t="n"/>
      <c r="R1470" s="47" t="n"/>
      <c r="S1470" s="47" t="n"/>
      <c r="T1470" s="47" t="n"/>
      <c r="U1470" s="53" t="n"/>
      <c r="V1470" s="53" t="n"/>
      <c r="W1470" s="47" t="n"/>
      <c r="X1470" s="47" t="n"/>
      <c r="Y1470" s="47" t="n"/>
      <c r="Z1470" s="47" t="n"/>
      <c r="AA1470" s="47" t="n"/>
      <c r="AB1470" s="47" t="n"/>
      <c r="AC1470" s="47" t="n"/>
      <c r="AD1470" s="47" t="n"/>
      <c r="AE1470" s="47" t="n"/>
      <c r="AF1470" s="20">
        <f>IF(A1470="","",YEAR(EDATE(A1470,-3)))</f>
        <v/>
      </c>
      <c r="AG1470" s="20">
        <f>IF(OR(B1470="",'経歴簿'!$C$4=""),"",IF(B1470&amp;""='経歴簿'!$C$4&amp;"",MAX($AG$4:AG1469)+1,""))</f>
        <v/>
      </c>
      <c r="AH1470" s="20">
        <f>IF(A1470="",0,IF(AND(OR('CSV抽出'!$C$4="",A1470&gt;='CSV抽出'!$C$4),OR('CSV抽出'!$C$5="",A1470&lt;='CSV抽出'!$C$5),OR('CSV抽出'!$C$6="すべて",'CSV抽出'!$C$6="",D1470='CSV抽出'!$C$6),OR('CSV抽出'!$C$7="",B1470&amp;""='CSV抽出'!$C$7&amp;"")),1,0))</f>
        <v/>
      </c>
      <c r="AI1470" s="20">
        <f>IF(AH1470=1,SUM($AH$5:AH1470),"")</f>
        <v/>
      </c>
      <c r="AJ1470" s="20">
        <f>IF(OR(S1470="",'報告書'!$C$4=""),"",IF(S1470&amp;""='報告書'!$C$4&amp;"",COUNTIF($S$5:S1470,'報告書'!$C$4),""))</f>
        <v/>
      </c>
      <c r="AK1470" s="20" t="n"/>
      <c r="AL1470" s="47" t="n"/>
      <c r="AM1470" s="47" t="n"/>
      <c r="AN1470" s="53" t="n"/>
      <c r="AO1470" s="47" t="n"/>
      <c r="AP1470" s="47" t="n"/>
      <c r="AQ1470" s="47" t="n"/>
      <c r="AR1470" s="47" t="n"/>
      <c r="AS1470" s="47" t="n"/>
      <c r="AT1470" s="47" t="n"/>
      <c r="AU1470" s="47" t="n"/>
      <c r="AV1470" s="47" t="n"/>
      <c r="AW1470" s="52" t="n"/>
    </row>
    <row r="1471">
      <c r="A1471" s="48" t="n"/>
      <c r="B1471" s="52" t="n"/>
      <c r="C1471" s="47">
        <f>IF(B1471="","",IFERROR(INDEX('隊員マスタ'!$B$5:$B$204,MATCH(B1471&amp;"",'隊員マスタ'!$F$5:$F$204,0)),IF(AK1471="","番号なし",AK1471)))</f>
        <v/>
      </c>
      <c r="D1471" s="47" t="n"/>
      <c r="E1471" s="47" t="n"/>
      <c r="F1471" s="47" t="n"/>
      <c r="G1471" s="47" t="n"/>
      <c r="H1471" s="47" t="n"/>
      <c r="I1471" s="47" t="n"/>
      <c r="J1471" s="47" t="n"/>
      <c r="K1471" s="47" t="n"/>
      <c r="L1471" s="47" t="n"/>
      <c r="M1471" s="47" t="n"/>
      <c r="N1471" s="47" t="n"/>
      <c r="O1471" s="47" t="n"/>
      <c r="P1471" s="47" t="n"/>
      <c r="Q1471" s="47" t="n"/>
      <c r="R1471" s="47" t="n"/>
      <c r="S1471" s="47" t="n"/>
      <c r="T1471" s="47" t="n"/>
      <c r="U1471" s="53" t="n"/>
      <c r="V1471" s="53" t="n"/>
      <c r="W1471" s="47" t="n"/>
      <c r="X1471" s="47" t="n"/>
      <c r="Y1471" s="47" t="n"/>
      <c r="Z1471" s="47" t="n"/>
      <c r="AA1471" s="47" t="n"/>
      <c r="AB1471" s="47" t="n"/>
      <c r="AC1471" s="47" t="n"/>
      <c r="AD1471" s="47" t="n"/>
      <c r="AE1471" s="47" t="n"/>
      <c r="AF1471" s="20">
        <f>IF(A1471="","",YEAR(EDATE(A1471,-3)))</f>
        <v/>
      </c>
      <c r="AG1471" s="20">
        <f>IF(OR(B1471="",'経歴簿'!$C$4=""),"",IF(B1471&amp;""='経歴簿'!$C$4&amp;"",MAX($AG$4:AG1470)+1,""))</f>
        <v/>
      </c>
      <c r="AH1471" s="20">
        <f>IF(A1471="",0,IF(AND(OR('CSV抽出'!$C$4="",A1471&gt;='CSV抽出'!$C$4),OR('CSV抽出'!$C$5="",A1471&lt;='CSV抽出'!$C$5),OR('CSV抽出'!$C$6="すべて",'CSV抽出'!$C$6="",D1471='CSV抽出'!$C$6),OR('CSV抽出'!$C$7="",B1471&amp;""='CSV抽出'!$C$7&amp;"")),1,0))</f>
        <v/>
      </c>
      <c r="AI1471" s="20">
        <f>IF(AH1471=1,SUM($AH$5:AH1471),"")</f>
        <v/>
      </c>
      <c r="AJ1471" s="20">
        <f>IF(OR(S1471="",'報告書'!$C$4=""),"",IF(S1471&amp;""='報告書'!$C$4&amp;"",COUNTIF($S$5:S1471,'報告書'!$C$4),""))</f>
        <v/>
      </c>
      <c r="AK1471" s="20" t="n"/>
      <c r="AL1471" s="47" t="n"/>
      <c r="AM1471" s="47" t="n"/>
      <c r="AN1471" s="53" t="n"/>
      <c r="AO1471" s="47" t="n"/>
      <c r="AP1471" s="47" t="n"/>
      <c r="AQ1471" s="47" t="n"/>
      <c r="AR1471" s="47" t="n"/>
      <c r="AS1471" s="47" t="n"/>
      <c r="AT1471" s="47" t="n"/>
      <c r="AU1471" s="47" t="n"/>
      <c r="AV1471" s="47" t="n"/>
      <c r="AW1471" s="52" t="n"/>
    </row>
    <row r="1472">
      <c r="A1472" s="48" t="n"/>
      <c r="B1472" s="52" t="n"/>
      <c r="C1472" s="47">
        <f>IF(B1472="","",IFERROR(INDEX('隊員マスタ'!$B$5:$B$204,MATCH(B1472&amp;"",'隊員マスタ'!$F$5:$F$204,0)),IF(AK1472="","番号なし",AK1472)))</f>
        <v/>
      </c>
      <c r="D1472" s="47" t="n"/>
      <c r="E1472" s="47" t="n"/>
      <c r="F1472" s="47" t="n"/>
      <c r="G1472" s="47" t="n"/>
      <c r="H1472" s="47" t="n"/>
      <c r="I1472" s="47" t="n"/>
      <c r="J1472" s="47" t="n"/>
      <c r="K1472" s="47" t="n"/>
      <c r="L1472" s="47" t="n"/>
      <c r="M1472" s="47" t="n"/>
      <c r="N1472" s="47" t="n"/>
      <c r="O1472" s="47" t="n"/>
      <c r="P1472" s="47" t="n"/>
      <c r="Q1472" s="47" t="n"/>
      <c r="R1472" s="47" t="n"/>
      <c r="S1472" s="47" t="n"/>
      <c r="T1472" s="47" t="n"/>
      <c r="U1472" s="53" t="n"/>
      <c r="V1472" s="53" t="n"/>
      <c r="W1472" s="47" t="n"/>
      <c r="X1472" s="47" t="n"/>
      <c r="Y1472" s="47" t="n"/>
      <c r="Z1472" s="47" t="n"/>
      <c r="AA1472" s="47" t="n"/>
      <c r="AB1472" s="47" t="n"/>
      <c r="AC1472" s="47" t="n"/>
      <c r="AD1472" s="47" t="n"/>
      <c r="AE1472" s="47" t="n"/>
      <c r="AF1472" s="20">
        <f>IF(A1472="","",YEAR(EDATE(A1472,-3)))</f>
        <v/>
      </c>
      <c r="AG1472" s="20">
        <f>IF(OR(B1472="",'経歴簿'!$C$4=""),"",IF(B1472&amp;""='経歴簿'!$C$4&amp;"",MAX($AG$4:AG1471)+1,""))</f>
        <v/>
      </c>
      <c r="AH1472" s="20">
        <f>IF(A1472="",0,IF(AND(OR('CSV抽出'!$C$4="",A1472&gt;='CSV抽出'!$C$4),OR('CSV抽出'!$C$5="",A1472&lt;='CSV抽出'!$C$5),OR('CSV抽出'!$C$6="すべて",'CSV抽出'!$C$6="",D1472='CSV抽出'!$C$6),OR('CSV抽出'!$C$7="",B1472&amp;""='CSV抽出'!$C$7&amp;"")),1,0))</f>
        <v/>
      </c>
      <c r="AI1472" s="20">
        <f>IF(AH1472=1,SUM($AH$5:AH1472),"")</f>
        <v/>
      </c>
      <c r="AJ1472" s="20">
        <f>IF(OR(S1472="",'報告書'!$C$4=""),"",IF(S1472&amp;""='報告書'!$C$4&amp;"",COUNTIF($S$5:S1472,'報告書'!$C$4),""))</f>
        <v/>
      </c>
      <c r="AK1472" s="20" t="n"/>
      <c r="AL1472" s="47" t="n"/>
      <c r="AM1472" s="47" t="n"/>
      <c r="AN1472" s="53" t="n"/>
      <c r="AO1472" s="47" t="n"/>
      <c r="AP1472" s="47" t="n"/>
      <c r="AQ1472" s="47" t="n"/>
      <c r="AR1472" s="47" t="n"/>
      <c r="AS1472" s="47" t="n"/>
      <c r="AT1472" s="47" t="n"/>
      <c r="AU1472" s="47" t="n"/>
      <c r="AV1472" s="47" t="n"/>
      <c r="AW1472" s="52" t="n"/>
    </row>
    <row r="1473">
      <c r="A1473" s="48" t="n"/>
      <c r="B1473" s="52" t="n"/>
      <c r="C1473" s="47">
        <f>IF(B1473="","",IFERROR(INDEX('隊員マスタ'!$B$5:$B$204,MATCH(B1473&amp;"",'隊員マスタ'!$F$5:$F$204,0)),IF(AK1473="","番号なし",AK1473)))</f>
        <v/>
      </c>
      <c r="D1473" s="47" t="n"/>
      <c r="E1473" s="47" t="n"/>
      <c r="F1473" s="47" t="n"/>
      <c r="G1473" s="47" t="n"/>
      <c r="H1473" s="47" t="n"/>
      <c r="I1473" s="47" t="n"/>
      <c r="J1473" s="47" t="n"/>
      <c r="K1473" s="47" t="n"/>
      <c r="L1473" s="47" t="n"/>
      <c r="M1473" s="47" t="n"/>
      <c r="N1473" s="47" t="n"/>
      <c r="O1473" s="47" t="n"/>
      <c r="P1473" s="47" t="n"/>
      <c r="Q1473" s="47" t="n"/>
      <c r="R1473" s="47" t="n"/>
      <c r="S1473" s="47" t="n"/>
      <c r="T1473" s="47" t="n"/>
      <c r="U1473" s="53" t="n"/>
      <c r="V1473" s="53" t="n"/>
      <c r="W1473" s="47" t="n"/>
      <c r="X1473" s="47" t="n"/>
      <c r="Y1473" s="47" t="n"/>
      <c r="Z1473" s="47" t="n"/>
      <c r="AA1473" s="47" t="n"/>
      <c r="AB1473" s="47" t="n"/>
      <c r="AC1473" s="47" t="n"/>
      <c r="AD1473" s="47" t="n"/>
      <c r="AE1473" s="47" t="n"/>
      <c r="AF1473" s="20">
        <f>IF(A1473="","",YEAR(EDATE(A1473,-3)))</f>
        <v/>
      </c>
      <c r="AG1473" s="20">
        <f>IF(OR(B1473="",'経歴簿'!$C$4=""),"",IF(B1473&amp;""='経歴簿'!$C$4&amp;"",MAX($AG$4:AG1472)+1,""))</f>
        <v/>
      </c>
      <c r="AH1473" s="20">
        <f>IF(A1473="",0,IF(AND(OR('CSV抽出'!$C$4="",A1473&gt;='CSV抽出'!$C$4),OR('CSV抽出'!$C$5="",A1473&lt;='CSV抽出'!$C$5),OR('CSV抽出'!$C$6="すべて",'CSV抽出'!$C$6="",D1473='CSV抽出'!$C$6),OR('CSV抽出'!$C$7="",B1473&amp;""='CSV抽出'!$C$7&amp;"")),1,0))</f>
        <v/>
      </c>
      <c r="AI1473" s="20">
        <f>IF(AH1473=1,SUM($AH$5:AH1473),"")</f>
        <v/>
      </c>
      <c r="AJ1473" s="20">
        <f>IF(OR(S1473="",'報告書'!$C$4=""),"",IF(S1473&amp;""='報告書'!$C$4&amp;"",COUNTIF($S$5:S1473,'報告書'!$C$4),""))</f>
        <v/>
      </c>
      <c r="AK1473" s="20" t="n"/>
      <c r="AL1473" s="47" t="n"/>
      <c r="AM1473" s="47" t="n"/>
      <c r="AN1473" s="53" t="n"/>
      <c r="AO1473" s="47" t="n"/>
      <c r="AP1473" s="47" t="n"/>
      <c r="AQ1473" s="47" t="n"/>
      <c r="AR1473" s="47" t="n"/>
      <c r="AS1473" s="47" t="n"/>
      <c r="AT1473" s="47" t="n"/>
      <c r="AU1473" s="47" t="n"/>
      <c r="AV1473" s="47" t="n"/>
      <c r="AW1473" s="52" t="n"/>
    </row>
    <row r="1474">
      <c r="A1474" s="48" t="n"/>
      <c r="B1474" s="52" t="n"/>
      <c r="C1474" s="47">
        <f>IF(B1474="","",IFERROR(INDEX('隊員マスタ'!$B$5:$B$204,MATCH(B1474&amp;"",'隊員マスタ'!$F$5:$F$204,0)),IF(AK1474="","番号なし",AK1474)))</f>
        <v/>
      </c>
      <c r="D1474" s="47" t="n"/>
      <c r="E1474" s="47" t="n"/>
      <c r="F1474" s="47" t="n"/>
      <c r="G1474" s="47" t="n"/>
      <c r="H1474" s="47" t="n"/>
      <c r="I1474" s="47" t="n"/>
      <c r="J1474" s="47" t="n"/>
      <c r="K1474" s="47" t="n"/>
      <c r="L1474" s="47" t="n"/>
      <c r="M1474" s="47" t="n"/>
      <c r="N1474" s="47" t="n"/>
      <c r="O1474" s="47" t="n"/>
      <c r="P1474" s="47" t="n"/>
      <c r="Q1474" s="47" t="n"/>
      <c r="R1474" s="47" t="n"/>
      <c r="S1474" s="47" t="n"/>
      <c r="T1474" s="47" t="n"/>
      <c r="U1474" s="53" t="n"/>
      <c r="V1474" s="53" t="n"/>
      <c r="W1474" s="47" t="n"/>
      <c r="X1474" s="47" t="n"/>
      <c r="Y1474" s="47" t="n"/>
      <c r="Z1474" s="47" t="n"/>
      <c r="AA1474" s="47" t="n"/>
      <c r="AB1474" s="47" t="n"/>
      <c r="AC1474" s="47" t="n"/>
      <c r="AD1474" s="47" t="n"/>
      <c r="AE1474" s="47" t="n"/>
      <c r="AF1474" s="20">
        <f>IF(A1474="","",YEAR(EDATE(A1474,-3)))</f>
        <v/>
      </c>
      <c r="AG1474" s="20">
        <f>IF(OR(B1474="",'経歴簿'!$C$4=""),"",IF(B1474&amp;""='経歴簿'!$C$4&amp;"",MAX($AG$4:AG1473)+1,""))</f>
        <v/>
      </c>
      <c r="AH1474" s="20">
        <f>IF(A1474="",0,IF(AND(OR('CSV抽出'!$C$4="",A1474&gt;='CSV抽出'!$C$4),OR('CSV抽出'!$C$5="",A1474&lt;='CSV抽出'!$C$5),OR('CSV抽出'!$C$6="すべて",'CSV抽出'!$C$6="",D1474='CSV抽出'!$C$6),OR('CSV抽出'!$C$7="",B1474&amp;""='CSV抽出'!$C$7&amp;"")),1,0))</f>
        <v/>
      </c>
      <c r="AI1474" s="20">
        <f>IF(AH1474=1,SUM($AH$5:AH1474),"")</f>
        <v/>
      </c>
      <c r="AJ1474" s="20">
        <f>IF(OR(S1474="",'報告書'!$C$4=""),"",IF(S1474&amp;""='報告書'!$C$4&amp;"",COUNTIF($S$5:S1474,'報告書'!$C$4),""))</f>
        <v/>
      </c>
      <c r="AK1474" s="20" t="n"/>
      <c r="AL1474" s="47" t="n"/>
      <c r="AM1474" s="47" t="n"/>
      <c r="AN1474" s="53" t="n"/>
      <c r="AO1474" s="47" t="n"/>
      <c r="AP1474" s="47" t="n"/>
      <c r="AQ1474" s="47" t="n"/>
      <c r="AR1474" s="47" t="n"/>
      <c r="AS1474" s="47" t="n"/>
      <c r="AT1474" s="47" t="n"/>
      <c r="AU1474" s="47" t="n"/>
      <c r="AV1474" s="47" t="n"/>
      <c r="AW1474" s="52" t="n"/>
    </row>
    <row r="1475">
      <c r="A1475" s="48" t="n"/>
      <c r="B1475" s="52" t="n"/>
      <c r="C1475" s="47">
        <f>IF(B1475="","",IFERROR(INDEX('隊員マスタ'!$B$5:$B$204,MATCH(B1475&amp;"",'隊員マスタ'!$F$5:$F$204,0)),IF(AK1475="","番号なし",AK1475)))</f>
        <v/>
      </c>
      <c r="D1475" s="47" t="n"/>
      <c r="E1475" s="47" t="n"/>
      <c r="F1475" s="47" t="n"/>
      <c r="G1475" s="47" t="n"/>
      <c r="H1475" s="47" t="n"/>
      <c r="I1475" s="47" t="n"/>
      <c r="J1475" s="47" t="n"/>
      <c r="K1475" s="47" t="n"/>
      <c r="L1475" s="47" t="n"/>
      <c r="M1475" s="47" t="n"/>
      <c r="N1475" s="47" t="n"/>
      <c r="O1475" s="47" t="n"/>
      <c r="P1475" s="47" t="n"/>
      <c r="Q1475" s="47" t="n"/>
      <c r="R1475" s="47" t="n"/>
      <c r="S1475" s="47" t="n"/>
      <c r="T1475" s="47" t="n"/>
      <c r="U1475" s="53" t="n"/>
      <c r="V1475" s="53" t="n"/>
      <c r="W1475" s="47" t="n"/>
      <c r="X1475" s="47" t="n"/>
      <c r="Y1475" s="47" t="n"/>
      <c r="Z1475" s="47" t="n"/>
      <c r="AA1475" s="47" t="n"/>
      <c r="AB1475" s="47" t="n"/>
      <c r="AC1475" s="47" t="n"/>
      <c r="AD1475" s="47" t="n"/>
      <c r="AE1475" s="47" t="n"/>
      <c r="AF1475" s="20">
        <f>IF(A1475="","",YEAR(EDATE(A1475,-3)))</f>
        <v/>
      </c>
      <c r="AG1475" s="20">
        <f>IF(OR(B1475="",'経歴簿'!$C$4=""),"",IF(B1475&amp;""='経歴簿'!$C$4&amp;"",MAX($AG$4:AG1474)+1,""))</f>
        <v/>
      </c>
      <c r="AH1475" s="20">
        <f>IF(A1475="",0,IF(AND(OR('CSV抽出'!$C$4="",A1475&gt;='CSV抽出'!$C$4),OR('CSV抽出'!$C$5="",A1475&lt;='CSV抽出'!$C$5),OR('CSV抽出'!$C$6="すべて",'CSV抽出'!$C$6="",D1475='CSV抽出'!$C$6),OR('CSV抽出'!$C$7="",B1475&amp;""='CSV抽出'!$C$7&amp;"")),1,0))</f>
        <v/>
      </c>
      <c r="AI1475" s="20">
        <f>IF(AH1475=1,SUM($AH$5:AH1475),"")</f>
        <v/>
      </c>
      <c r="AJ1475" s="20">
        <f>IF(OR(S1475="",'報告書'!$C$4=""),"",IF(S1475&amp;""='報告書'!$C$4&amp;"",COUNTIF($S$5:S1475,'報告書'!$C$4),""))</f>
        <v/>
      </c>
      <c r="AK1475" s="20" t="n"/>
      <c r="AL1475" s="47" t="n"/>
      <c r="AM1475" s="47" t="n"/>
      <c r="AN1475" s="53" t="n"/>
      <c r="AO1475" s="47" t="n"/>
      <c r="AP1475" s="47" t="n"/>
      <c r="AQ1475" s="47" t="n"/>
      <c r="AR1475" s="47" t="n"/>
      <c r="AS1475" s="47" t="n"/>
      <c r="AT1475" s="47" t="n"/>
      <c r="AU1475" s="47" t="n"/>
      <c r="AV1475" s="47" t="n"/>
      <c r="AW1475" s="52" t="n"/>
    </row>
    <row r="1476">
      <c r="A1476" s="48" t="n"/>
      <c r="B1476" s="52" t="n"/>
      <c r="C1476" s="47">
        <f>IF(B1476="","",IFERROR(INDEX('隊員マスタ'!$B$5:$B$204,MATCH(B1476&amp;"",'隊員マスタ'!$F$5:$F$204,0)),IF(AK1476="","番号なし",AK1476)))</f>
        <v/>
      </c>
      <c r="D1476" s="47" t="n"/>
      <c r="E1476" s="47" t="n"/>
      <c r="F1476" s="47" t="n"/>
      <c r="G1476" s="47" t="n"/>
      <c r="H1476" s="47" t="n"/>
      <c r="I1476" s="47" t="n"/>
      <c r="J1476" s="47" t="n"/>
      <c r="K1476" s="47" t="n"/>
      <c r="L1476" s="47" t="n"/>
      <c r="M1476" s="47" t="n"/>
      <c r="N1476" s="47" t="n"/>
      <c r="O1476" s="47" t="n"/>
      <c r="P1476" s="47" t="n"/>
      <c r="Q1476" s="47" t="n"/>
      <c r="R1476" s="47" t="n"/>
      <c r="S1476" s="47" t="n"/>
      <c r="T1476" s="47" t="n"/>
      <c r="U1476" s="53" t="n"/>
      <c r="V1476" s="53" t="n"/>
      <c r="W1476" s="47" t="n"/>
      <c r="X1476" s="47" t="n"/>
      <c r="Y1476" s="47" t="n"/>
      <c r="Z1476" s="47" t="n"/>
      <c r="AA1476" s="47" t="n"/>
      <c r="AB1476" s="47" t="n"/>
      <c r="AC1476" s="47" t="n"/>
      <c r="AD1476" s="47" t="n"/>
      <c r="AE1476" s="47" t="n"/>
      <c r="AF1476" s="20">
        <f>IF(A1476="","",YEAR(EDATE(A1476,-3)))</f>
        <v/>
      </c>
      <c r="AG1476" s="20">
        <f>IF(OR(B1476="",'経歴簿'!$C$4=""),"",IF(B1476&amp;""='経歴簿'!$C$4&amp;"",MAX($AG$4:AG1475)+1,""))</f>
        <v/>
      </c>
      <c r="AH1476" s="20">
        <f>IF(A1476="",0,IF(AND(OR('CSV抽出'!$C$4="",A1476&gt;='CSV抽出'!$C$4),OR('CSV抽出'!$C$5="",A1476&lt;='CSV抽出'!$C$5),OR('CSV抽出'!$C$6="すべて",'CSV抽出'!$C$6="",D1476='CSV抽出'!$C$6),OR('CSV抽出'!$C$7="",B1476&amp;""='CSV抽出'!$C$7&amp;"")),1,0))</f>
        <v/>
      </c>
      <c r="AI1476" s="20">
        <f>IF(AH1476=1,SUM($AH$5:AH1476),"")</f>
        <v/>
      </c>
      <c r="AJ1476" s="20">
        <f>IF(OR(S1476="",'報告書'!$C$4=""),"",IF(S1476&amp;""='報告書'!$C$4&amp;"",COUNTIF($S$5:S1476,'報告書'!$C$4),""))</f>
        <v/>
      </c>
      <c r="AK1476" s="20" t="n"/>
      <c r="AL1476" s="47" t="n"/>
      <c r="AM1476" s="47" t="n"/>
      <c r="AN1476" s="53" t="n"/>
      <c r="AO1476" s="47" t="n"/>
      <c r="AP1476" s="47" t="n"/>
      <c r="AQ1476" s="47" t="n"/>
      <c r="AR1476" s="47" t="n"/>
      <c r="AS1476" s="47" t="n"/>
      <c r="AT1476" s="47" t="n"/>
      <c r="AU1476" s="47" t="n"/>
      <c r="AV1476" s="47" t="n"/>
      <c r="AW1476" s="52" t="n"/>
    </row>
    <row r="1477">
      <c r="A1477" s="48" t="n"/>
      <c r="B1477" s="52" t="n"/>
      <c r="C1477" s="47">
        <f>IF(B1477="","",IFERROR(INDEX('隊員マスタ'!$B$5:$B$204,MATCH(B1477&amp;"",'隊員マスタ'!$F$5:$F$204,0)),IF(AK1477="","番号なし",AK1477)))</f>
        <v/>
      </c>
      <c r="D1477" s="47" t="n"/>
      <c r="E1477" s="47" t="n"/>
      <c r="F1477" s="47" t="n"/>
      <c r="G1477" s="47" t="n"/>
      <c r="H1477" s="47" t="n"/>
      <c r="I1477" s="47" t="n"/>
      <c r="J1477" s="47" t="n"/>
      <c r="K1477" s="47" t="n"/>
      <c r="L1477" s="47" t="n"/>
      <c r="M1477" s="47" t="n"/>
      <c r="N1477" s="47" t="n"/>
      <c r="O1477" s="47" t="n"/>
      <c r="P1477" s="47" t="n"/>
      <c r="Q1477" s="47" t="n"/>
      <c r="R1477" s="47" t="n"/>
      <c r="S1477" s="47" t="n"/>
      <c r="T1477" s="47" t="n"/>
      <c r="U1477" s="53" t="n"/>
      <c r="V1477" s="53" t="n"/>
      <c r="W1477" s="47" t="n"/>
      <c r="X1477" s="47" t="n"/>
      <c r="Y1477" s="47" t="n"/>
      <c r="Z1477" s="47" t="n"/>
      <c r="AA1477" s="47" t="n"/>
      <c r="AB1477" s="47" t="n"/>
      <c r="AC1477" s="47" t="n"/>
      <c r="AD1477" s="47" t="n"/>
      <c r="AE1477" s="47" t="n"/>
      <c r="AF1477" s="20">
        <f>IF(A1477="","",YEAR(EDATE(A1477,-3)))</f>
        <v/>
      </c>
      <c r="AG1477" s="20">
        <f>IF(OR(B1477="",'経歴簿'!$C$4=""),"",IF(B1477&amp;""='経歴簿'!$C$4&amp;"",MAX($AG$4:AG1476)+1,""))</f>
        <v/>
      </c>
      <c r="AH1477" s="20">
        <f>IF(A1477="",0,IF(AND(OR('CSV抽出'!$C$4="",A1477&gt;='CSV抽出'!$C$4),OR('CSV抽出'!$C$5="",A1477&lt;='CSV抽出'!$C$5),OR('CSV抽出'!$C$6="すべて",'CSV抽出'!$C$6="",D1477='CSV抽出'!$C$6),OR('CSV抽出'!$C$7="",B1477&amp;""='CSV抽出'!$C$7&amp;"")),1,0))</f>
        <v/>
      </c>
      <c r="AI1477" s="20">
        <f>IF(AH1477=1,SUM($AH$5:AH1477),"")</f>
        <v/>
      </c>
      <c r="AJ1477" s="20">
        <f>IF(OR(S1477="",'報告書'!$C$4=""),"",IF(S1477&amp;""='報告書'!$C$4&amp;"",COUNTIF($S$5:S1477,'報告書'!$C$4),""))</f>
        <v/>
      </c>
      <c r="AK1477" s="20" t="n"/>
      <c r="AL1477" s="47" t="n"/>
      <c r="AM1477" s="47" t="n"/>
      <c r="AN1477" s="53" t="n"/>
      <c r="AO1477" s="47" t="n"/>
      <c r="AP1477" s="47" t="n"/>
      <c r="AQ1477" s="47" t="n"/>
      <c r="AR1477" s="47" t="n"/>
      <c r="AS1477" s="47" t="n"/>
      <c r="AT1477" s="47" t="n"/>
      <c r="AU1477" s="47" t="n"/>
      <c r="AV1477" s="47" t="n"/>
      <c r="AW1477" s="52" t="n"/>
    </row>
    <row r="1478">
      <c r="A1478" s="48" t="n"/>
      <c r="B1478" s="52" t="n"/>
      <c r="C1478" s="47">
        <f>IF(B1478="","",IFERROR(INDEX('隊員マスタ'!$B$5:$B$204,MATCH(B1478&amp;"",'隊員マスタ'!$F$5:$F$204,0)),IF(AK1478="","番号なし",AK1478)))</f>
        <v/>
      </c>
      <c r="D1478" s="47" t="n"/>
      <c r="E1478" s="47" t="n"/>
      <c r="F1478" s="47" t="n"/>
      <c r="G1478" s="47" t="n"/>
      <c r="H1478" s="47" t="n"/>
      <c r="I1478" s="47" t="n"/>
      <c r="J1478" s="47" t="n"/>
      <c r="K1478" s="47" t="n"/>
      <c r="L1478" s="47" t="n"/>
      <c r="M1478" s="47" t="n"/>
      <c r="N1478" s="47" t="n"/>
      <c r="O1478" s="47" t="n"/>
      <c r="P1478" s="47" t="n"/>
      <c r="Q1478" s="47" t="n"/>
      <c r="R1478" s="47" t="n"/>
      <c r="S1478" s="47" t="n"/>
      <c r="T1478" s="47" t="n"/>
      <c r="U1478" s="53" t="n"/>
      <c r="V1478" s="53" t="n"/>
      <c r="W1478" s="47" t="n"/>
      <c r="X1478" s="47" t="n"/>
      <c r="Y1478" s="47" t="n"/>
      <c r="Z1478" s="47" t="n"/>
      <c r="AA1478" s="47" t="n"/>
      <c r="AB1478" s="47" t="n"/>
      <c r="AC1478" s="47" t="n"/>
      <c r="AD1478" s="47" t="n"/>
      <c r="AE1478" s="47" t="n"/>
      <c r="AF1478" s="20">
        <f>IF(A1478="","",YEAR(EDATE(A1478,-3)))</f>
        <v/>
      </c>
      <c r="AG1478" s="20">
        <f>IF(OR(B1478="",'経歴簿'!$C$4=""),"",IF(B1478&amp;""='経歴簿'!$C$4&amp;"",MAX($AG$4:AG1477)+1,""))</f>
        <v/>
      </c>
      <c r="AH1478" s="20">
        <f>IF(A1478="",0,IF(AND(OR('CSV抽出'!$C$4="",A1478&gt;='CSV抽出'!$C$4),OR('CSV抽出'!$C$5="",A1478&lt;='CSV抽出'!$C$5),OR('CSV抽出'!$C$6="すべて",'CSV抽出'!$C$6="",D1478='CSV抽出'!$C$6),OR('CSV抽出'!$C$7="",B1478&amp;""='CSV抽出'!$C$7&amp;"")),1,0))</f>
        <v/>
      </c>
      <c r="AI1478" s="20">
        <f>IF(AH1478=1,SUM($AH$5:AH1478),"")</f>
        <v/>
      </c>
      <c r="AJ1478" s="20">
        <f>IF(OR(S1478="",'報告書'!$C$4=""),"",IF(S1478&amp;""='報告書'!$C$4&amp;"",COUNTIF($S$5:S1478,'報告書'!$C$4),""))</f>
        <v/>
      </c>
      <c r="AK1478" s="20" t="n"/>
      <c r="AL1478" s="47" t="n"/>
      <c r="AM1478" s="47" t="n"/>
      <c r="AN1478" s="53" t="n"/>
      <c r="AO1478" s="47" t="n"/>
      <c r="AP1478" s="47" t="n"/>
      <c r="AQ1478" s="47" t="n"/>
      <c r="AR1478" s="47" t="n"/>
      <c r="AS1478" s="47" t="n"/>
      <c r="AT1478" s="47" t="n"/>
      <c r="AU1478" s="47" t="n"/>
      <c r="AV1478" s="47" t="n"/>
      <c r="AW1478" s="52" t="n"/>
    </row>
    <row r="1479">
      <c r="A1479" s="48" t="n"/>
      <c r="B1479" s="52" t="n"/>
      <c r="C1479" s="47">
        <f>IF(B1479="","",IFERROR(INDEX('隊員マスタ'!$B$5:$B$204,MATCH(B1479&amp;"",'隊員マスタ'!$F$5:$F$204,0)),IF(AK1479="","番号なし",AK1479)))</f>
        <v/>
      </c>
      <c r="D1479" s="47" t="n"/>
      <c r="E1479" s="47" t="n"/>
      <c r="F1479" s="47" t="n"/>
      <c r="G1479" s="47" t="n"/>
      <c r="H1479" s="47" t="n"/>
      <c r="I1479" s="47" t="n"/>
      <c r="J1479" s="47" t="n"/>
      <c r="K1479" s="47" t="n"/>
      <c r="L1479" s="47" t="n"/>
      <c r="M1479" s="47" t="n"/>
      <c r="N1479" s="47" t="n"/>
      <c r="O1479" s="47" t="n"/>
      <c r="P1479" s="47" t="n"/>
      <c r="Q1479" s="47" t="n"/>
      <c r="R1479" s="47" t="n"/>
      <c r="S1479" s="47" t="n"/>
      <c r="T1479" s="47" t="n"/>
      <c r="U1479" s="53" t="n"/>
      <c r="V1479" s="53" t="n"/>
      <c r="W1479" s="47" t="n"/>
      <c r="X1479" s="47" t="n"/>
      <c r="Y1479" s="47" t="n"/>
      <c r="Z1479" s="47" t="n"/>
      <c r="AA1479" s="47" t="n"/>
      <c r="AB1479" s="47" t="n"/>
      <c r="AC1479" s="47" t="n"/>
      <c r="AD1479" s="47" t="n"/>
      <c r="AE1479" s="47" t="n"/>
      <c r="AF1479" s="20">
        <f>IF(A1479="","",YEAR(EDATE(A1479,-3)))</f>
        <v/>
      </c>
      <c r="AG1479" s="20">
        <f>IF(OR(B1479="",'経歴簿'!$C$4=""),"",IF(B1479&amp;""='経歴簿'!$C$4&amp;"",MAX($AG$4:AG1478)+1,""))</f>
        <v/>
      </c>
      <c r="AH1479" s="20">
        <f>IF(A1479="",0,IF(AND(OR('CSV抽出'!$C$4="",A1479&gt;='CSV抽出'!$C$4),OR('CSV抽出'!$C$5="",A1479&lt;='CSV抽出'!$C$5),OR('CSV抽出'!$C$6="すべて",'CSV抽出'!$C$6="",D1479='CSV抽出'!$C$6),OR('CSV抽出'!$C$7="",B1479&amp;""='CSV抽出'!$C$7&amp;"")),1,0))</f>
        <v/>
      </c>
      <c r="AI1479" s="20">
        <f>IF(AH1479=1,SUM($AH$5:AH1479),"")</f>
        <v/>
      </c>
      <c r="AJ1479" s="20">
        <f>IF(OR(S1479="",'報告書'!$C$4=""),"",IF(S1479&amp;""='報告書'!$C$4&amp;"",COUNTIF($S$5:S1479,'報告書'!$C$4),""))</f>
        <v/>
      </c>
      <c r="AK1479" s="20" t="n"/>
      <c r="AL1479" s="47" t="n"/>
      <c r="AM1479" s="47" t="n"/>
      <c r="AN1479" s="53" t="n"/>
      <c r="AO1479" s="47" t="n"/>
      <c r="AP1479" s="47" t="n"/>
      <c r="AQ1479" s="47" t="n"/>
      <c r="AR1479" s="47" t="n"/>
      <c r="AS1479" s="47" t="n"/>
      <c r="AT1479" s="47" t="n"/>
      <c r="AU1479" s="47" t="n"/>
      <c r="AV1479" s="47" t="n"/>
      <c r="AW1479" s="52" t="n"/>
    </row>
    <row r="1480">
      <c r="A1480" s="48" t="n"/>
      <c r="B1480" s="52" t="n"/>
      <c r="C1480" s="47">
        <f>IF(B1480="","",IFERROR(INDEX('隊員マスタ'!$B$5:$B$204,MATCH(B1480&amp;"",'隊員マスタ'!$F$5:$F$204,0)),IF(AK1480="","番号なし",AK1480)))</f>
        <v/>
      </c>
      <c r="D1480" s="47" t="n"/>
      <c r="E1480" s="47" t="n"/>
      <c r="F1480" s="47" t="n"/>
      <c r="G1480" s="47" t="n"/>
      <c r="H1480" s="47" t="n"/>
      <c r="I1480" s="47" t="n"/>
      <c r="J1480" s="47" t="n"/>
      <c r="K1480" s="47" t="n"/>
      <c r="L1480" s="47" t="n"/>
      <c r="M1480" s="47" t="n"/>
      <c r="N1480" s="47" t="n"/>
      <c r="O1480" s="47" t="n"/>
      <c r="P1480" s="47" t="n"/>
      <c r="Q1480" s="47" t="n"/>
      <c r="R1480" s="47" t="n"/>
      <c r="S1480" s="47" t="n"/>
      <c r="T1480" s="47" t="n"/>
      <c r="U1480" s="53" t="n"/>
      <c r="V1480" s="53" t="n"/>
      <c r="W1480" s="47" t="n"/>
      <c r="X1480" s="47" t="n"/>
      <c r="Y1480" s="47" t="n"/>
      <c r="Z1480" s="47" t="n"/>
      <c r="AA1480" s="47" t="n"/>
      <c r="AB1480" s="47" t="n"/>
      <c r="AC1480" s="47" t="n"/>
      <c r="AD1480" s="47" t="n"/>
      <c r="AE1480" s="47" t="n"/>
      <c r="AF1480" s="20">
        <f>IF(A1480="","",YEAR(EDATE(A1480,-3)))</f>
        <v/>
      </c>
      <c r="AG1480" s="20">
        <f>IF(OR(B1480="",'経歴簿'!$C$4=""),"",IF(B1480&amp;""='経歴簿'!$C$4&amp;"",MAX($AG$4:AG1479)+1,""))</f>
        <v/>
      </c>
      <c r="AH1480" s="20">
        <f>IF(A1480="",0,IF(AND(OR('CSV抽出'!$C$4="",A1480&gt;='CSV抽出'!$C$4),OR('CSV抽出'!$C$5="",A1480&lt;='CSV抽出'!$C$5),OR('CSV抽出'!$C$6="すべて",'CSV抽出'!$C$6="",D1480='CSV抽出'!$C$6),OR('CSV抽出'!$C$7="",B1480&amp;""='CSV抽出'!$C$7&amp;"")),1,0))</f>
        <v/>
      </c>
      <c r="AI1480" s="20">
        <f>IF(AH1480=1,SUM($AH$5:AH1480),"")</f>
        <v/>
      </c>
      <c r="AJ1480" s="20">
        <f>IF(OR(S1480="",'報告書'!$C$4=""),"",IF(S1480&amp;""='報告書'!$C$4&amp;"",COUNTIF($S$5:S1480,'報告書'!$C$4),""))</f>
        <v/>
      </c>
      <c r="AK1480" s="20" t="n"/>
      <c r="AL1480" s="47" t="n"/>
      <c r="AM1480" s="47" t="n"/>
      <c r="AN1480" s="53" t="n"/>
      <c r="AO1480" s="47" t="n"/>
      <c r="AP1480" s="47" t="n"/>
      <c r="AQ1480" s="47" t="n"/>
      <c r="AR1480" s="47" t="n"/>
      <c r="AS1480" s="47" t="n"/>
      <c r="AT1480" s="47" t="n"/>
      <c r="AU1480" s="47" t="n"/>
      <c r="AV1480" s="47" t="n"/>
      <c r="AW1480" s="52" t="n"/>
    </row>
    <row r="1481">
      <c r="A1481" s="48" t="n"/>
      <c r="B1481" s="52" t="n"/>
      <c r="C1481" s="47">
        <f>IF(B1481="","",IFERROR(INDEX('隊員マスタ'!$B$5:$B$204,MATCH(B1481&amp;"",'隊員マスタ'!$F$5:$F$204,0)),IF(AK1481="","番号なし",AK1481)))</f>
        <v/>
      </c>
      <c r="D1481" s="47" t="n"/>
      <c r="E1481" s="47" t="n"/>
      <c r="F1481" s="47" t="n"/>
      <c r="G1481" s="47" t="n"/>
      <c r="H1481" s="47" t="n"/>
      <c r="I1481" s="47" t="n"/>
      <c r="J1481" s="47" t="n"/>
      <c r="K1481" s="47" t="n"/>
      <c r="L1481" s="47" t="n"/>
      <c r="M1481" s="47" t="n"/>
      <c r="N1481" s="47" t="n"/>
      <c r="O1481" s="47" t="n"/>
      <c r="P1481" s="47" t="n"/>
      <c r="Q1481" s="47" t="n"/>
      <c r="R1481" s="47" t="n"/>
      <c r="S1481" s="47" t="n"/>
      <c r="T1481" s="47" t="n"/>
      <c r="U1481" s="53" t="n"/>
      <c r="V1481" s="53" t="n"/>
      <c r="W1481" s="47" t="n"/>
      <c r="X1481" s="47" t="n"/>
      <c r="Y1481" s="47" t="n"/>
      <c r="Z1481" s="47" t="n"/>
      <c r="AA1481" s="47" t="n"/>
      <c r="AB1481" s="47" t="n"/>
      <c r="AC1481" s="47" t="n"/>
      <c r="AD1481" s="47" t="n"/>
      <c r="AE1481" s="47" t="n"/>
      <c r="AF1481" s="20">
        <f>IF(A1481="","",YEAR(EDATE(A1481,-3)))</f>
        <v/>
      </c>
      <c r="AG1481" s="20">
        <f>IF(OR(B1481="",'経歴簿'!$C$4=""),"",IF(B1481&amp;""='経歴簿'!$C$4&amp;"",MAX($AG$4:AG1480)+1,""))</f>
        <v/>
      </c>
      <c r="AH1481" s="20">
        <f>IF(A1481="",0,IF(AND(OR('CSV抽出'!$C$4="",A1481&gt;='CSV抽出'!$C$4),OR('CSV抽出'!$C$5="",A1481&lt;='CSV抽出'!$C$5),OR('CSV抽出'!$C$6="すべて",'CSV抽出'!$C$6="",D1481='CSV抽出'!$C$6),OR('CSV抽出'!$C$7="",B1481&amp;""='CSV抽出'!$C$7&amp;"")),1,0))</f>
        <v/>
      </c>
      <c r="AI1481" s="20">
        <f>IF(AH1481=1,SUM($AH$5:AH1481),"")</f>
        <v/>
      </c>
      <c r="AJ1481" s="20">
        <f>IF(OR(S1481="",'報告書'!$C$4=""),"",IF(S1481&amp;""='報告書'!$C$4&amp;"",COUNTIF($S$5:S1481,'報告書'!$C$4),""))</f>
        <v/>
      </c>
      <c r="AK1481" s="20" t="n"/>
      <c r="AL1481" s="47" t="n"/>
      <c r="AM1481" s="47" t="n"/>
      <c r="AN1481" s="53" t="n"/>
      <c r="AO1481" s="47" t="n"/>
      <c r="AP1481" s="47" t="n"/>
      <c r="AQ1481" s="47" t="n"/>
      <c r="AR1481" s="47" t="n"/>
      <c r="AS1481" s="47" t="n"/>
      <c r="AT1481" s="47" t="n"/>
      <c r="AU1481" s="47" t="n"/>
      <c r="AV1481" s="47" t="n"/>
      <c r="AW1481" s="52" t="n"/>
    </row>
    <row r="1482">
      <c r="A1482" s="48" t="n"/>
      <c r="B1482" s="52" t="n"/>
      <c r="C1482" s="47">
        <f>IF(B1482="","",IFERROR(INDEX('隊員マスタ'!$B$5:$B$204,MATCH(B1482&amp;"",'隊員マスタ'!$F$5:$F$204,0)),IF(AK1482="","番号なし",AK1482)))</f>
        <v/>
      </c>
      <c r="D1482" s="47" t="n"/>
      <c r="E1482" s="47" t="n"/>
      <c r="F1482" s="47" t="n"/>
      <c r="G1482" s="47" t="n"/>
      <c r="H1482" s="47" t="n"/>
      <c r="I1482" s="47" t="n"/>
      <c r="J1482" s="47" t="n"/>
      <c r="K1482" s="47" t="n"/>
      <c r="L1482" s="47" t="n"/>
      <c r="M1482" s="47" t="n"/>
      <c r="N1482" s="47" t="n"/>
      <c r="O1482" s="47" t="n"/>
      <c r="P1482" s="47" t="n"/>
      <c r="Q1482" s="47" t="n"/>
      <c r="R1482" s="47" t="n"/>
      <c r="S1482" s="47" t="n"/>
      <c r="T1482" s="47" t="n"/>
      <c r="U1482" s="53" t="n"/>
      <c r="V1482" s="53" t="n"/>
      <c r="W1482" s="47" t="n"/>
      <c r="X1482" s="47" t="n"/>
      <c r="Y1482" s="47" t="n"/>
      <c r="Z1482" s="47" t="n"/>
      <c r="AA1482" s="47" t="n"/>
      <c r="AB1482" s="47" t="n"/>
      <c r="AC1482" s="47" t="n"/>
      <c r="AD1482" s="47" t="n"/>
      <c r="AE1482" s="47" t="n"/>
      <c r="AF1482" s="20">
        <f>IF(A1482="","",YEAR(EDATE(A1482,-3)))</f>
        <v/>
      </c>
      <c r="AG1482" s="20">
        <f>IF(OR(B1482="",'経歴簿'!$C$4=""),"",IF(B1482&amp;""='経歴簿'!$C$4&amp;"",MAX($AG$4:AG1481)+1,""))</f>
        <v/>
      </c>
      <c r="AH1482" s="20">
        <f>IF(A1482="",0,IF(AND(OR('CSV抽出'!$C$4="",A1482&gt;='CSV抽出'!$C$4),OR('CSV抽出'!$C$5="",A1482&lt;='CSV抽出'!$C$5),OR('CSV抽出'!$C$6="すべて",'CSV抽出'!$C$6="",D1482='CSV抽出'!$C$6),OR('CSV抽出'!$C$7="",B1482&amp;""='CSV抽出'!$C$7&amp;"")),1,0))</f>
        <v/>
      </c>
      <c r="AI1482" s="20">
        <f>IF(AH1482=1,SUM($AH$5:AH1482),"")</f>
        <v/>
      </c>
      <c r="AJ1482" s="20">
        <f>IF(OR(S1482="",'報告書'!$C$4=""),"",IF(S1482&amp;""='報告書'!$C$4&amp;"",COUNTIF($S$5:S1482,'報告書'!$C$4),""))</f>
        <v/>
      </c>
      <c r="AK1482" s="20" t="n"/>
      <c r="AL1482" s="47" t="n"/>
      <c r="AM1482" s="47" t="n"/>
      <c r="AN1482" s="53" t="n"/>
      <c r="AO1482" s="47" t="n"/>
      <c r="AP1482" s="47" t="n"/>
      <c r="AQ1482" s="47" t="n"/>
      <c r="AR1482" s="47" t="n"/>
      <c r="AS1482" s="47" t="n"/>
      <c r="AT1482" s="47" t="n"/>
      <c r="AU1482" s="47" t="n"/>
      <c r="AV1482" s="47" t="n"/>
      <c r="AW1482" s="52" t="n"/>
    </row>
    <row r="1483">
      <c r="A1483" s="48" t="n"/>
      <c r="B1483" s="52" t="n"/>
      <c r="C1483" s="47">
        <f>IF(B1483="","",IFERROR(INDEX('隊員マスタ'!$B$5:$B$204,MATCH(B1483&amp;"",'隊員マスタ'!$F$5:$F$204,0)),IF(AK1483="","番号なし",AK1483)))</f>
        <v/>
      </c>
      <c r="D1483" s="47" t="n"/>
      <c r="E1483" s="47" t="n"/>
      <c r="F1483" s="47" t="n"/>
      <c r="G1483" s="47" t="n"/>
      <c r="H1483" s="47" t="n"/>
      <c r="I1483" s="47" t="n"/>
      <c r="J1483" s="47" t="n"/>
      <c r="K1483" s="47" t="n"/>
      <c r="L1483" s="47" t="n"/>
      <c r="M1483" s="47" t="n"/>
      <c r="N1483" s="47" t="n"/>
      <c r="O1483" s="47" t="n"/>
      <c r="P1483" s="47" t="n"/>
      <c r="Q1483" s="47" t="n"/>
      <c r="R1483" s="47" t="n"/>
      <c r="S1483" s="47" t="n"/>
      <c r="T1483" s="47" t="n"/>
      <c r="U1483" s="53" t="n"/>
      <c r="V1483" s="53" t="n"/>
      <c r="W1483" s="47" t="n"/>
      <c r="X1483" s="47" t="n"/>
      <c r="Y1483" s="47" t="n"/>
      <c r="Z1483" s="47" t="n"/>
      <c r="AA1483" s="47" t="n"/>
      <c r="AB1483" s="47" t="n"/>
      <c r="AC1483" s="47" t="n"/>
      <c r="AD1483" s="47" t="n"/>
      <c r="AE1483" s="47" t="n"/>
      <c r="AF1483" s="20">
        <f>IF(A1483="","",YEAR(EDATE(A1483,-3)))</f>
        <v/>
      </c>
      <c r="AG1483" s="20">
        <f>IF(OR(B1483="",'経歴簿'!$C$4=""),"",IF(B1483&amp;""='経歴簿'!$C$4&amp;"",MAX($AG$4:AG1482)+1,""))</f>
        <v/>
      </c>
      <c r="AH1483" s="20">
        <f>IF(A1483="",0,IF(AND(OR('CSV抽出'!$C$4="",A1483&gt;='CSV抽出'!$C$4),OR('CSV抽出'!$C$5="",A1483&lt;='CSV抽出'!$C$5),OR('CSV抽出'!$C$6="すべて",'CSV抽出'!$C$6="",D1483='CSV抽出'!$C$6),OR('CSV抽出'!$C$7="",B1483&amp;""='CSV抽出'!$C$7&amp;"")),1,0))</f>
        <v/>
      </c>
      <c r="AI1483" s="20">
        <f>IF(AH1483=1,SUM($AH$5:AH1483),"")</f>
        <v/>
      </c>
      <c r="AJ1483" s="20">
        <f>IF(OR(S1483="",'報告書'!$C$4=""),"",IF(S1483&amp;""='報告書'!$C$4&amp;"",COUNTIF($S$5:S1483,'報告書'!$C$4),""))</f>
        <v/>
      </c>
      <c r="AK1483" s="20" t="n"/>
      <c r="AL1483" s="47" t="n"/>
      <c r="AM1483" s="47" t="n"/>
      <c r="AN1483" s="53" t="n"/>
      <c r="AO1483" s="47" t="n"/>
      <c r="AP1483" s="47" t="n"/>
      <c r="AQ1483" s="47" t="n"/>
      <c r="AR1483" s="47" t="n"/>
      <c r="AS1483" s="47" t="n"/>
      <c r="AT1483" s="47" t="n"/>
      <c r="AU1483" s="47" t="n"/>
      <c r="AV1483" s="47" t="n"/>
      <c r="AW1483" s="52" t="n"/>
    </row>
    <row r="1484">
      <c r="A1484" s="48" t="n"/>
      <c r="B1484" s="52" t="n"/>
      <c r="C1484" s="47">
        <f>IF(B1484="","",IFERROR(INDEX('隊員マスタ'!$B$5:$B$204,MATCH(B1484&amp;"",'隊員マスタ'!$F$5:$F$204,0)),IF(AK1484="","番号なし",AK1484)))</f>
        <v/>
      </c>
      <c r="D1484" s="47" t="n"/>
      <c r="E1484" s="47" t="n"/>
      <c r="F1484" s="47" t="n"/>
      <c r="G1484" s="47" t="n"/>
      <c r="H1484" s="47" t="n"/>
      <c r="I1484" s="47" t="n"/>
      <c r="J1484" s="47" t="n"/>
      <c r="K1484" s="47" t="n"/>
      <c r="L1484" s="47" t="n"/>
      <c r="M1484" s="47" t="n"/>
      <c r="N1484" s="47" t="n"/>
      <c r="O1484" s="47" t="n"/>
      <c r="P1484" s="47" t="n"/>
      <c r="Q1484" s="47" t="n"/>
      <c r="R1484" s="47" t="n"/>
      <c r="S1484" s="47" t="n"/>
      <c r="T1484" s="47" t="n"/>
      <c r="U1484" s="53" t="n"/>
      <c r="V1484" s="53" t="n"/>
      <c r="W1484" s="47" t="n"/>
      <c r="X1484" s="47" t="n"/>
      <c r="Y1484" s="47" t="n"/>
      <c r="Z1484" s="47" t="n"/>
      <c r="AA1484" s="47" t="n"/>
      <c r="AB1484" s="47" t="n"/>
      <c r="AC1484" s="47" t="n"/>
      <c r="AD1484" s="47" t="n"/>
      <c r="AE1484" s="47" t="n"/>
      <c r="AF1484" s="20">
        <f>IF(A1484="","",YEAR(EDATE(A1484,-3)))</f>
        <v/>
      </c>
      <c r="AG1484" s="20">
        <f>IF(OR(B1484="",'経歴簿'!$C$4=""),"",IF(B1484&amp;""='経歴簿'!$C$4&amp;"",MAX($AG$4:AG1483)+1,""))</f>
        <v/>
      </c>
      <c r="AH1484" s="20">
        <f>IF(A1484="",0,IF(AND(OR('CSV抽出'!$C$4="",A1484&gt;='CSV抽出'!$C$4),OR('CSV抽出'!$C$5="",A1484&lt;='CSV抽出'!$C$5),OR('CSV抽出'!$C$6="すべて",'CSV抽出'!$C$6="",D1484='CSV抽出'!$C$6),OR('CSV抽出'!$C$7="",B1484&amp;""='CSV抽出'!$C$7&amp;"")),1,0))</f>
        <v/>
      </c>
      <c r="AI1484" s="20">
        <f>IF(AH1484=1,SUM($AH$5:AH1484),"")</f>
        <v/>
      </c>
      <c r="AJ1484" s="20">
        <f>IF(OR(S1484="",'報告書'!$C$4=""),"",IF(S1484&amp;""='報告書'!$C$4&amp;"",COUNTIF($S$5:S1484,'報告書'!$C$4),""))</f>
        <v/>
      </c>
      <c r="AK1484" s="20" t="n"/>
      <c r="AL1484" s="47" t="n"/>
      <c r="AM1484" s="47" t="n"/>
      <c r="AN1484" s="53" t="n"/>
      <c r="AO1484" s="47" t="n"/>
      <c r="AP1484" s="47" t="n"/>
      <c r="AQ1484" s="47" t="n"/>
      <c r="AR1484" s="47" t="n"/>
      <c r="AS1484" s="47" t="n"/>
      <c r="AT1484" s="47" t="n"/>
      <c r="AU1484" s="47" t="n"/>
      <c r="AV1484" s="47" t="n"/>
      <c r="AW1484" s="52" t="n"/>
    </row>
    <row r="1485">
      <c r="A1485" s="48" t="n"/>
      <c r="B1485" s="52" t="n"/>
      <c r="C1485" s="47">
        <f>IF(B1485="","",IFERROR(INDEX('隊員マスタ'!$B$5:$B$204,MATCH(B1485&amp;"",'隊員マスタ'!$F$5:$F$204,0)),IF(AK1485="","番号なし",AK1485)))</f>
        <v/>
      </c>
      <c r="D1485" s="47" t="n"/>
      <c r="E1485" s="47" t="n"/>
      <c r="F1485" s="47" t="n"/>
      <c r="G1485" s="47" t="n"/>
      <c r="H1485" s="47" t="n"/>
      <c r="I1485" s="47" t="n"/>
      <c r="J1485" s="47" t="n"/>
      <c r="K1485" s="47" t="n"/>
      <c r="L1485" s="47" t="n"/>
      <c r="M1485" s="47" t="n"/>
      <c r="N1485" s="47" t="n"/>
      <c r="O1485" s="47" t="n"/>
      <c r="P1485" s="47" t="n"/>
      <c r="Q1485" s="47" t="n"/>
      <c r="R1485" s="47" t="n"/>
      <c r="S1485" s="47" t="n"/>
      <c r="T1485" s="47" t="n"/>
      <c r="U1485" s="53" t="n"/>
      <c r="V1485" s="53" t="n"/>
      <c r="W1485" s="47" t="n"/>
      <c r="X1485" s="47" t="n"/>
      <c r="Y1485" s="47" t="n"/>
      <c r="Z1485" s="47" t="n"/>
      <c r="AA1485" s="47" t="n"/>
      <c r="AB1485" s="47" t="n"/>
      <c r="AC1485" s="47" t="n"/>
      <c r="AD1485" s="47" t="n"/>
      <c r="AE1485" s="47" t="n"/>
      <c r="AF1485" s="20">
        <f>IF(A1485="","",YEAR(EDATE(A1485,-3)))</f>
        <v/>
      </c>
      <c r="AG1485" s="20">
        <f>IF(OR(B1485="",'経歴簿'!$C$4=""),"",IF(B1485&amp;""='経歴簿'!$C$4&amp;"",MAX($AG$4:AG1484)+1,""))</f>
        <v/>
      </c>
      <c r="AH1485" s="20">
        <f>IF(A1485="",0,IF(AND(OR('CSV抽出'!$C$4="",A1485&gt;='CSV抽出'!$C$4),OR('CSV抽出'!$C$5="",A1485&lt;='CSV抽出'!$C$5),OR('CSV抽出'!$C$6="すべて",'CSV抽出'!$C$6="",D1485='CSV抽出'!$C$6),OR('CSV抽出'!$C$7="",B1485&amp;""='CSV抽出'!$C$7&amp;"")),1,0))</f>
        <v/>
      </c>
      <c r="AI1485" s="20">
        <f>IF(AH1485=1,SUM($AH$5:AH1485),"")</f>
        <v/>
      </c>
      <c r="AJ1485" s="20">
        <f>IF(OR(S1485="",'報告書'!$C$4=""),"",IF(S1485&amp;""='報告書'!$C$4&amp;"",COUNTIF($S$5:S1485,'報告書'!$C$4),""))</f>
        <v/>
      </c>
      <c r="AK1485" s="20" t="n"/>
      <c r="AL1485" s="47" t="n"/>
      <c r="AM1485" s="47" t="n"/>
      <c r="AN1485" s="53" t="n"/>
      <c r="AO1485" s="47" t="n"/>
      <c r="AP1485" s="47" t="n"/>
      <c r="AQ1485" s="47" t="n"/>
      <c r="AR1485" s="47" t="n"/>
      <c r="AS1485" s="47" t="n"/>
      <c r="AT1485" s="47" t="n"/>
      <c r="AU1485" s="47" t="n"/>
      <c r="AV1485" s="47" t="n"/>
      <c r="AW1485" s="52" t="n"/>
    </row>
    <row r="1486">
      <c r="A1486" s="48" t="n"/>
      <c r="B1486" s="52" t="n"/>
      <c r="C1486" s="47">
        <f>IF(B1486="","",IFERROR(INDEX('隊員マスタ'!$B$5:$B$204,MATCH(B1486&amp;"",'隊員マスタ'!$F$5:$F$204,0)),IF(AK1486="","番号なし",AK1486)))</f>
        <v/>
      </c>
      <c r="D1486" s="47" t="n"/>
      <c r="E1486" s="47" t="n"/>
      <c r="F1486" s="47" t="n"/>
      <c r="G1486" s="47" t="n"/>
      <c r="H1486" s="47" t="n"/>
      <c r="I1486" s="47" t="n"/>
      <c r="J1486" s="47" t="n"/>
      <c r="K1486" s="47" t="n"/>
      <c r="L1486" s="47" t="n"/>
      <c r="M1486" s="47" t="n"/>
      <c r="N1486" s="47" t="n"/>
      <c r="O1486" s="47" t="n"/>
      <c r="P1486" s="47" t="n"/>
      <c r="Q1486" s="47" t="n"/>
      <c r="R1486" s="47" t="n"/>
      <c r="S1486" s="47" t="n"/>
      <c r="T1486" s="47" t="n"/>
      <c r="U1486" s="53" t="n"/>
      <c r="V1486" s="53" t="n"/>
      <c r="W1486" s="47" t="n"/>
      <c r="X1486" s="47" t="n"/>
      <c r="Y1486" s="47" t="n"/>
      <c r="Z1486" s="47" t="n"/>
      <c r="AA1486" s="47" t="n"/>
      <c r="AB1486" s="47" t="n"/>
      <c r="AC1486" s="47" t="n"/>
      <c r="AD1486" s="47" t="n"/>
      <c r="AE1486" s="47" t="n"/>
      <c r="AF1486" s="20">
        <f>IF(A1486="","",YEAR(EDATE(A1486,-3)))</f>
        <v/>
      </c>
      <c r="AG1486" s="20">
        <f>IF(OR(B1486="",'経歴簿'!$C$4=""),"",IF(B1486&amp;""='経歴簿'!$C$4&amp;"",MAX($AG$4:AG1485)+1,""))</f>
        <v/>
      </c>
      <c r="AH1486" s="20">
        <f>IF(A1486="",0,IF(AND(OR('CSV抽出'!$C$4="",A1486&gt;='CSV抽出'!$C$4),OR('CSV抽出'!$C$5="",A1486&lt;='CSV抽出'!$C$5),OR('CSV抽出'!$C$6="すべて",'CSV抽出'!$C$6="",D1486='CSV抽出'!$C$6),OR('CSV抽出'!$C$7="",B1486&amp;""='CSV抽出'!$C$7&amp;"")),1,0))</f>
        <v/>
      </c>
      <c r="AI1486" s="20">
        <f>IF(AH1486=1,SUM($AH$5:AH1486),"")</f>
        <v/>
      </c>
      <c r="AJ1486" s="20">
        <f>IF(OR(S1486="",'報告書'!$C$4=""),"",IF(S1486&amp;""='報告書'!$C$4&amp;"",COUNTIF($S$5:S1486,'報告書'!$C$4),""))</f>
        <v/>
      </c>
      <c r="AK1486" s="20" t="n"/>
      <c r="AL1486" s="47" t="n"/>
      <c r="AM1486" s="47" t="n"/>
      <c r="AN1486" s="53" t="n"/>
      <c r="AO1486" s="47" t="n"/>
      <c r="AP1486" s="47" t="n"/>
      <c r="AQ1486" s="47" t="n"/>
      <c r="AR1486" s="47" t="n"/>
      <c r="AS1486" s="47" t="n"/>
      <c r="AT1486" s="47" t="n"/>
      <c r="AU1486" s="47" t="n"/>
      <c r="AV1486" s="47" t="n"/>
      <c r="AW1486" s="52" t="n"/>
    </row>
    <row r="1487">
      <c r="A1487" s="48" t="n"/>
      <c r="B1487" s="52" t="n"/>
      <c r="C1487" s="47">
        <f>IF(B1487="","",IFERROR(INDEX('隊員マスタ'!$B$5:$B$204,MATCH(B1487&amp;"",'隊員マスタ'!$F$5:$F$204,0)),IF(AK1487="","番号なし",AK1487)))</f>
        <v/>
      </c>
      <c r="D1487" s="47" t="n"/>
      <c r="E1487" s="47" t="n"/>
      <c r="F1487" s="47" t="n"/>
      <c r="G1487" s="47" t="n"/>
      <c r="H1487" s="47" t="n"/>
      <c r="I1487" s="47" t="n"/>
      <c r="J1487" s="47" t="n"/>
      <c r="K1487" s="47" t="n"/>
      <c r="L1487" s="47" t="n"/>
      <c r="M1487" s="47" t="n"/>
      <c r="N1487" s="47" t="n"/>
      <c r="O1487" s="47" t="n"/>
      <c r="P1487" s="47" t="n"/>
      <c r="Q1487" s="47" t="n"/>
      <c r="R1487" s="47" t="n"/>
      <c r="S1487" s="47" t="n"/>
      <c r="T1487" s="47" t="n"/>
      <c r="U1487" s="53" t="n"/>
      <c r="V1487" s="53" t="n"/>
      <c r="W1487" s="47" t="n"/>
      <c r="X1487" s="47" t="n"/>
      <c r="Y1487" s="47" t="n"/>
      <c r="Z1487" s="47" t="n"/>
      <c r="AA1487" s="47" t="n"/>
      <c r="AB1487" s="47" t="n"/>
      <c r="AC1487" s="47" t="n"/>
      <c r="AD1487" s="47" t="n"/>
      <c r="AE1487" s="47" t="n"/>
      <c r="AF1487" s="20">
        <f>IF(A1487="","",YEAR(EDATE(A1487,-3)))</f>
        <v/>
      </c>
      <c r="AG1487" s="20">
        <f>IF(OR(B1487="",'経歴簿'!$C$4=""),"",IF(B1487&amp;""='経歴簿'!$C$4&amp;"",MAX($AG$4:AG1486)+1,""))</f>
        <v/>
      </c>
      <c r="AH1487" s="20">
        <f>IF(A1487="",0,IF(AND(OR('CSV抽出'!$C$4="",A1487&gt;='CSV抽出'!$C$4),OR('CSV抽出'!$C$5="",A1487&lt;='CSV抽出'!$C$5),OR('CSV抽出'!$C$6="すべて",'CSV抽出'!$C$6="",D1487='CSV抽出'!$C$6),OR('CSV抽出'!$C$7="",B1487&amp;""='CSV抽出'!$C$7&amp;"")),1,0))</f>
        <v/>
      </c>
      <c r="AI1487" s="20">
        <f>IF(AH1487=1,SUM($AH$5:AH1487),"")</f>
        <v/>
      </c>
      <c r="AJ1487" s="20">
        <f>IF(OR(S1487="",'報告書'!$C$4=""),"",IF(S1487&amp;""='報告書'!$C$4&amp;"",COUNTIF($S$5:S1487,'報告書'!$C$4),""))</f>
        <v/>
      </c>
      <c r="AK1487" s="20" t="n"/>
      <c r="AL1487" s="47" t="n"/>
      <c r="AM1487" s="47" t="n"/>
      <c r="AN1487" s="53" t="n"/>
      <c r="AO1487" s="47" t="n"/>
      <c r="AP1487" s="47" t="n"/>
      <c r="AQ1487" s="47" t="n"/>
      <c r="AR1487" s="47" t="n"/>
      <c r="AS1487" s="47" t="n"/>
      <c r="AT1487" s="47" t="n"/>
      <c r="AU1487" s="47" t="n"/>
      <c r="AV1487" s="47" t="n"/>
      <c r="AW1487" s="52" t="n"/>
    </row>
    <row r="1488">
      <c r="A1488" s="48" t="n"/>
      <c r="B1488" s="52" t="n"/>
      <c r="C1488" s="47">
        <f>IF(B1488="","",IFERROR(INDEX('隊員マスタ'!$B$5:$B$204,MATCH(B1488&amp;"",'隊員マスタ'!$F$5:$F$204,0)),IF(AK1488="","番号なし",AK1488)))</f>
        <v/>
      </c>
      <c r="D1488" s="47" t="n"/>
      <c r="E1488" s="47" t="n"/>
      <c r="F1488" s="47" t="n"/>
      <c r="G1488" s="47" t="n"/>
      <c r="H1488" s="47" t="n"/>
      <c r="I1488" s="47" t="n"/>
      <c r="J1488" s="47" t="n"/>
      <c r="K1488" s="47" t="n"/>
      <c r="L1488" s="47" t="n"/>
      <c r="M1488" s="47" t="n"/>
      <c r="N1488" s="47" t="n"/>
      <c r="O1488" s="47" t="n"/>
      <c r="P1488" s="47" t="n"/>
      <c r="Q1488" s="47" t="n"/>
      <c r="R1488" s="47" t="n"/>
      <c r="S1488" s="47" t="n"/>
      <c r="T1488" s="47" t="n"/>
      <c r="U1488" s="53" t="n"/>
      <c r="V1488" s="53" t="n"/>
      <c r="W1488" s="47" t="n"/>
      <c r="X1488" s="47" t="n"/>
      <c r="Y1488" s="47" t="n"/>
      <c r="Z1488" s="47" t="n"/>
      <c r="AA1488" s="47" t="n"/>
      <c r="AB1488" s="47" t="n"/>
      <c r="AC1488" s="47" t="n"/>
      <c r="AD1488" s="47" t="n"/>
      <c r="AE1488" s="47" t="n"/>
      <c r="AF1488" s="20">
        <f>IF(A1488="","",YEAR(EDATE(A1488,-3)))</f>
        <v/>
      </c>
      <c r="AG1488" s="20">
        <f>IF(OR(B1488="",'経歴簿'!$C$4=""),"",IF(B1488&amp;""='経歴簿'!$C$4&amp;"",MAX($AG$4:AG1487)+1,""))</f>
        <v/>
      </c>
      <c r="AH1488" s="20">
        <f>IF(A1488="",0,IF(AND(OR('CSV抽出'!$C$4="",A1488&gt;='CSV抽出'!$C$4),OR('CSV抽出'!$C$5="",A1488&lt;='CSV抽出'!$C$5),OR('CSV抽出'!$C$6="すべて",'CSV抽出'!$C$6="",D1488='CSV抽出'!$C$6),OR('CSV抽出'!$C$7="",B1488&amp;""='CSV抽出'!$C$7&amp;"")),1,0))</f>
        <v/>
      </c>
      <c r="AI1488" s="20">
        <f>IF(AH1488=1,SUM($AH$5:AH1488),"")</f>
        <v/>
      </c>
      <c r="AJ1488" s="20">
        <f>IF(OR(S1488="",'報告書'!$C$4=""),"",IF(S1488&amp;""='報告書'!$C$4&amp;"",COUNTIF($S$5:S1488,'報告書'!$C$4),""))</f>
        <v/>
      </c>
      <c r="AK1488" s="20" t="n"/>
      <c r="AL1488" s="47" t="n"/>
      <c r="AM1488" s="47" t="n"/>
      <c r="AN1488" s="53" t="n"/>
      <c r="AO1488" s="47" t="n"/>
      <c r="AP1488" s="47" t="n"/>
      <c r="AQ1488" s="47" t="n"/>
      <c r="AR1488" s="47" t="n"/>
      <c r="AS1488" s="47" t="n"/>
      <c r="AT1488" s="47" t="n"/>
      <c r="AU1488" s="47" t="n"/>
      <c r="AV1488" s="47" t="n"/>
      <c r="AW1488" s="52" t="n"/>
    </row>
    <row r="1489">
      <c r="A1489" s="48" t="n"/>
      <c r="B1489" s="52" t="n"/>
      <c r="C1489" s="47">
        <f>IF(B1489="","",IFERROR(INDEX('隊員マスタ'!$B$5:$B$204,MATCH(B1489&amp;"",'隊員マスタ'!$F$5:$F$204,0)),IF(AK1489="","番号なし",AK1489)))</f>
        <v/>
      </c>
      <c r="D1489" s="47" t="n"/>
      <c r="E1489" s="47" t="n"/>
      <c r="F1489" s="47" t="n"/>
      <c r="G1489" s="47" t="n"/>
      <c r="H1489" s="47" t="n"/>
      <c r="I1489" s="47" t="n"/>
      <c r="J1489" s="47" t="n"/>
      <c r="K1489" s="47" t="n"/>
      <c r="L1489" s="47" t="n"/>
      <c r="M1489" s="47" t="n"/>
      <c r="N1489" s="47" t="n"/>
      <c r="O1489" s="47" t="n"/>
      <c r="P1489" s="47" t="n"/>
      <c r="Q1489" s="47" t="n"/>
      <c r="R1489" s="47" t="n"/>
      <c r="S1489" s="47" t="n"/>
      <c r="T1489" s="47" t="n"/>
      <c r="U1489" s="53" t="n"/>
      <c r="V1489" s="53" t="n"/>
      <c r="W1489" s="47" t="n"/>
      <c r="X1489" s="47" t="n"/>
      <c r="Y1489" s="47" t="n"/>
      <c r="Z1489" s="47" t="n"/>
      <c r="AA1489" s="47" t="n"/>
      <c r="AB1489" s="47" t="n"/>
      <c r="AC1489" s="47" t="n"/>
      <c r="AD1489" s="47" t="n"/>
      <c r="AE1489" s="47" t="n"/>
      <c r="AF1489" s="20">
        <f>IF(A1489="","",YEAR(EDATE(A1489,-3)))</f>
        <v/>
      </c>
      <c r="AG1489" s="20">
        <f>IF(OR(B1489="",'経歴簿'!$C$4=""),"",IF(B1489&amp;""='経歴簿'!$C$4&amp;"",MAX($AG$4:AG1488)+1,""))</f>
        <v/>
      </c>
      <c r="AH1489" s="20">
        <f>IF(A1489="",0,IF(AND(OR('CSV抽出'!$C$4="",A1489&gt;='CSV抽出'!$C$4),OR('CSV抽出'!$C$5="",A1489&lt;='CSV抽出'!$C$5),OR('CSV抽出'!$C$6="すべて",'CSV抽出'!$C$6="",D1489='CSV抽出'!$C$6),OR('CSV抽出'!$C$7="",B1489&amp;""='CSV抽出'!$C$7&amp;"")),1,0))</f>
        <v/>
      </c>
      <c r="AI1489" s="20">
        <f>IF(AH1489=1,SUM($AH$5:AH1489),"")</f>
        <v/>
      </c>
      <c r="AJ1489" s="20">
        <f>IF(OR(S1489="",'報告書'!$C$4=""),"",IF(S1489&amp;""='報告書'!$C$4&amp;"",COUNTIF($S$5:S1489,'報告書'!$C$4),""))</f>
        <v/>
      </c>
      <c r="AK1489" s="20" t="n"/>
      <c r="AL1489" s="47" t="n"/>
      <c r="AM1489" s="47" t="n"/>
      <c r="AN1489" s="53" t="n"/>
      <c r="AO1489" s="47" t="n"/>
      <c r="AP1489" s="47" t="n"/>
      <c r="AQ1489" s="47" t="n"/>
      <c r="AR1489" s="47" t="n"/>
      <c r="AS1489" s="47" t="n"/>
      <c r="AT1489" s="47" t="n"/>
      <c r="AU1489" s="47" t="n"/>
      <c r="AV1489" s="47" t="n"/>
      <c r="AW1489" s="52" t="n"/>
    </row>
    <row r="1490">
      <c r="A1490" s="48" t="n"/>
      <c r="B1490" s="52" t="n"/>
      <c r="C1490" s="47">
        <f>IF(B1490="","",IFERROR(INDEX('隊員マスタ'!$B$5:$B$204,MATCH(B1490&amp;"",'隊員マスタ'!$F$5:$F$204,0)),IF(AK1490="","番号なし",AK1490)))</f>
        <v/>
      </c>
      <c r="D1490" s="47" t="n"/>
      <c r="E1490" s="47" t="n"/>
      <c r="F1490" s="47" t="n"/>
      <c r="G1490" s="47" t="n"/>
      <c r="H1490" s="47" t="n"/>
      <c r="I1490" s="47" t="n"/>
      <c r="J1490" s="47" t="n"/>
      <c r="K1490" s="47" t="n"/>
      <c r="L1490" s="47" t="n"/>
      <c r="M1490" s="47" t="n"/>
      <c r="N1490" s="47" t="n"/>
      <c r="O1490" s="47" t="n"/>
      <c r="P1490" s="47" t="n"/>
      <c r="Q1490" s="47" t="n"/>
      <c r="R1490" s="47" t="n"/>
      <c r="S1490" s="47" t="n"/>
      <c r="T1490" s="47" t="n"/>
      <c r="U1490" s="53" t="n"/>
      <c r="V1490" s="53" t="n"/>
      <c r="W1490" s="47" t="n"/>
      <c r="X1490" s="47" t="n"/>
      <c r="Y1490" s="47" t="n"/>
      <c r="Z1490" s="47" t="n"/>
      <c r="AA1490" s="47" t="n"/>
      <c r="AB1490" s="47" t="n"/>
      <c r="AC1490" s="47" t="n"/>
      <c r="AD1490" s="47" t="n"/>
      <c r="AE1490" s="47" t="n"/>
      <c r="AF1490" s="20">
        <f>IF(A1490="","",YEAR(EDATE(A1490,-3)))</f>
        <v/>
      </c>
      <c r="AG1490" s="20">
        <f>IF(OR(B1490="",'経歴簿'!$C$4=""),"",IF(B1490&amp;""='経歴簿'!$C$4&amp;"",MAX($AG$4:AG1489)+1,""))</f>
        <v/>
      </c>
      <c r="AH1490" s="20">
        <f>IF(A1490="",0,IF(AND(OR('CSV抽出'!$C$4="",A1490&gt;='CSV抽出'!$C$4),OR('CSV抽出'!$C$5="",A1490&lt;='CSV抽出'!$C$5),OR('CSV抽出'!$C$6="すべて",'CSV抽出'!$C$6="",D1490='CSV抽出'!$C$6),OR('CSV抽出'!$C$7="",B1490&amp;""='CSV抽出'!$C$7&amp;"")),1,0))</f>
        <v/>
      </c>
      <c r="AI1490" s="20">
        <f>IF(AH1490=1,SUM($AH$5:AH1490),"")</f>
        <v/>
      </c>
      <c r="AJ1490" s="20">
        <f>IF(OR(S1490="",'報告書'!$C$4=""),"",IF(S1490&amp;""='報告書'!$C$4&amp;"",COUNTIF($S$5:S1490,'報告書'!$C$4),""))</f>
        <v/>
      </c>
      <c r="AK1490" s="20" t="n"/>
      <c r="AL1490" s="47" t="n"/>
      <c r="AM1490" s="47" t="n"/>
      <c r="AN1490" s="53" t="n"/>
      <c r="AO1490" s="47" t="n"/>
      <c r="AP1490" s="47" t="n"/>
      <c r="AQ1490" s="47" t="n"/>
      <c r="AR1490" s="47" t="n"/>
      <c r="AS1490" s="47" t="n"/>
      <c r="AT1490" s="47" t="n"/>
      <c r="AU1490" s="47" t="n"/>
      <c r="AV1490" s="47" t="n"/>
      <c r="AW1490" s="52" t="n"/>
    </row>
    <row r="1491">
      <c r="A1491" s="48" t="n"/>
      <c r="B1491" s="52" t="n"/>
      <c r="C1491" s="47">
        <f>IF(B1491="","",IFERROR(INDEX('隊員マスタ'!$B$5:$B$204,MATCH(B1491&amp;"",'隊員マスタ'!$F$5:$F$204,0)),IF(AK1491="","番号なし",AK1491)))</f>
        <v/>
      </c>
      <c r="D1491" s="47" t="n"/>
      <c r="E1491" s="47" t="n"/>
      <c r="F1491" s="47" t="n"/>
      <c r="G1491" s="47" t="n"/>
      <c r="H1491" s="47" t="n"/>
      <c r="I1491" s="47" t="n"/>
      <c r="J1491" s="47" t="n"/>
      <c r="K1491" s="47" t="n"/>
      <c r="L1491" s="47" t="n"/>
      <c r="M1491" s="47" t="n"/>
      <c r="N1491" s="47" t="n"/>
      <c r="O1491" s="47" t="n"/>
      <c r="P1491" s="47" t="n"/>
      <c r="Q1491" s="47" t="n"/>
      <c r="R1491" s="47" t="n"/>
      <c r="S1491" s="47" t="n"/>
      <c r="T1491" s="47" t="n"/>
      <c r="U1491" s="53" t="n"/>
      <c r="V1491" s="53" t="n"/>
      <c r="W1491" s="47" t="n"/>
      <c r="X1491" s="47" t="n"/>
      <c r="Y1491" s="47" t="n"/>
      <c r="Z1491" s="47" t="n"/>
      <c r="AA1491" s="47" t="n"/>
      <c r="AB1491" s="47" t="n"/>
      <c r="AC1491" s="47" t="n"/>
      <c r="AD1491" s="47" t="n"/>
      <c r="AE1491" s="47" t="n"/>
      <c r="AF1491" s="20">
        <f>IF(A1491="","",YEAR(EDATE(A1491,-3)))</f>
        <v/>
      </c>
      <c r="AG1491" s="20">
        <f>IF(OR(B1491="",'経歴簿'!$C$4=""),"",IF(B1491&amp;""='経歴簿'!$C$4&amp;"",MAX($AG$4:AG1490)+1,""))</f>
        <v/>
      </c>
      <c r="AH1491" s="20">
        <f>IF(A1491="",0,IF(AND(OR('CSV抽出'!$C$4="",A1491&gt;='CSV抽出'!$C$4),OR('CSV抽出'!$C$5="",A1491&lt;='CSV抽出'!$C$5),OR('CSV抽出'!$C$6="すべて",'CSV抽出'!$C$6="",D1491='CSV抽出'!$C$6),OR('CSV抽出'!$C$7="",B1491&amp;""='CSV抽出'!$C$7&amp;"")),1,0))</f>
        <v/>
      </c>
      <c r="AI1491" s="20">
        <f>IF(AH1491=1,SUM($AH$5:AH1491),"")</f>
        <v/>
      </c>
      <c r="AJ1491" s="20">
        <f>IF(OR(S1491="",'報告書'!$C$4=""),"",IF(S1491&amp;""='報告書'!$C$4&amp;"",COUNTIF($S$5:S1491,'報告書'!$C$4),""))</f>
        <v/>
      </c>
      <c r="AK1491" s="20" t="n"/>
      <c r="AL1491" s="47" t="n"/>
      <c r="AM1491" s="47" t="n"/>
      <c r="AN1491" s="53" t="n"/>
      <c r="AO1491" s="47" t="n"/>
      <c r="AP1491" s="47" t="n"/>
      <c r="AQ1491" s="47" t="n"/>
      <c r="AR1491" s="47" t="n"/>
      <c r="AS1491" s="47" t="n"/>
      <c r="AT1491" s="47" t="n"/>
      <c r="AU1491" s="47" t="n"/>
      <c r="AV1491" s="47" t="n"/>
      <c r="AW1491" s="52" t="n"/>
    </row>
    <row r="1492">
      <c r="A1492" s="48" t="n"/>
      <c r="B1492" s="52" t="n"/>
      <c r="C1492" s="47">
        <f>IF(B1492="","",IFERROR(INDEX('隊員マスタ'!$B$5:$B$204,MATCH(B1492&amp;"",'隊員マスタ'!$F$5:$F$204,0)),IF(AK1492="","番号なし",AK1492)))</f>
        <v/>
      </c>
      <c r="D1492" s="47" t="n"/>
      <c r="E1492" s="47" t="n"/>
      <c r="F1492" s="47" t="n"/>
      <c r="G1492" s="47" t="n"/>
      <c r="H1492" s="47" t="n"/>
      <c r="I1492" s="47" t="n"/>
      <c r="J1492" s="47" t="n"/>
      <c r="K1492" s="47" t="n"/>
      <c r="L1492" s="47" t="n"/>
      <c r="M1492" s="47" t="n"/>
      <c r="N1492" s="47" t="n"/>
      <c r="O1492" s="47" t="n"/>
      <c r="P1492" s="47" t="n"/>
      <c r="Q1492" s="47" t="n"/>
      <c r="R1492" s="47" t="n"/>
      <c r="S1492" s="47" t="n"/>
      <c r="T1492" s="47" t="n"/>
      <c r="U1492" s="53" t="n"/>
      <c r="V1492" s="53" t="n"/>
      <c r="W1492" s="47" t="n"/>
      <c r="X1492" s="47" t="n"/>
      <c r="Y1492" s="47" t="n"/>
      <c r="Z1492" s="47" t="n"/>
      <c r="AA1492" s="47" t="n"/>
      <c r="AB1492" s="47" t="n"/>
      <c r="AC1492" s="47" t="n"/>
      <c r="AD1492" s="47" t="n"/>
      <c r="AE1492" s="47" t="n"/>
      <c r="AF1492" s="20">
        <f>IF(A1492="","",YEAR(EDATE(A1492,-3)))</f>
        <v/>
      </c>
      <c r="AG1492" s="20">
        <f>IF(OR(B1492="",'経歴簿'!$C$4=""),"",IF(B1492&amp;""='経歴簿'!$C$4&amp;"",MAX($AG$4:AG1491)+1,""))</f>
        <v/>
      </c>
      <c r="AH1492" s="20">
        <f>IF(A1492="",0,IF(AND(OR('CSV抽出'!$C$4="",A1492&gt;='CSV抽出'!$C$4),OR('CSV抽出'!$C$5="",A1492&lt;='CSV抽出'!$C$5),OR('CSV抽出'!$C$6="すべて",'CSV抽出'!$C$6="",D1492='CSV抽出'!$C$6),OR('CSV抽出'!$C$7="",B1492&amp;""='CSV抽出'!$C$7&amp;"")),1,0))</f>
        <v/>
      </c>
      <c r="AI1492" s="20">
        <f>IF(AH1492=1,SUM($AH$5:AH1492),"")</f>
        <v/>
      </c>
      <c r="AJ1492" s="20">
        <f>IF(OR(S1492="",'報告書'!$C$4=""),"",IF(S1492&amp;""='報告書'!$C$4&amp;"",COUNTIF($S$5:S1492,'報告書'!$C$4),""))</f>
        <v/>
      </c>
      <c r="AK1492" s="20" t="n"/>
      <c r="AL1492" s="47" t="n"/>
      <c r="AM1492" s="47" t="n"/>
      <c r="AN1492" s="53" t="n"/>
      <c r="AO1492" s="47" t="n"/>
      <c r="AP1492" s="47" t="n"/>
      <c r="AQ1492" s="47" t="n"/>
      <c r="AR1492" s="47" t="n"/>
      <c r="AS1492" s="47" t="n"/>
      <c r="AT1492" s="47" t="n"/>
      <c r="AU1492" s="47" t="n"/>
      <c r="AV1492" s="47" t="n"/>
      <c r="AW1492" s="52" t="n"/>
    </row>
    <row r="1493">
      <c r="A1493" s="48" t="n"/>
      <c r="B1493" s="52" t="n"/>
      <c r="C1493" s="47">
        <f>IF(B1493="","",IFERROR(INDEX('隊員マスタ'!$B$5:$B$204,MATCH(B1493&amp;"",'隊員マスタ'!$F$5:$F$204,0)),IF(AK1493="","番号なし",AK1493)))</f>
        <v/>
      </c>
      <c r="D1493" s="47" t="n"/>
      <c r="E1493" s="47" t="n"/>
      <c r="F1493" s="47" t="n"/>
      <c r="G1493" s="47" t="n"/>
      <c r="H1493" s="47" t="n"/>
      <c r="I1493" s="47" t="n"/>
      <c r="J1493" s="47" t="n"/>
      <c r="K1493" s="47" t="n"/>
      <c r="L1493" s="47" t="n"/>
      <c r="M1493" s="47" t="n"/>
      <c r="N1493" s="47" t="n"/>
      <c r="O1493" s="47" t="n"/>
      <c r="P1493" s="47" t="n"/>
      <c r="Q1493" s="47" t="n"/>
      <c r="R1493" s="47" t="n"/>
      <c r="S1493" s="47" t="n"/>
      <c r="T1493" s="47" t="n"/>
      <c r="U1493" s="53" t="n"/>
      <c r="V1493" s="53" t="n"/>
      <c r="W1493" s="47" t="n"/>
      <c r="X1493" s="47" t="n"/>
      <c r="Y1493" s="47" t="n"/>
      <c r="Z1493" s="47" t="n"/>
      <c r="AA1493" s="47" t="n"/>
      <c r="AB1493" s="47" t="n"/>
      <c r="AC1493" s="47" t="n"/>
      <c r="AD1493" s="47" t="n"/>
      <c r="AE1493" s="47" t="n"/>
      <c r="AF1493" s="20">
        <f>IF(A1493="","",YEAR(EDATE(A1493,-3)))</f>
        <v/>
      </c>
      <c r="AG1493" s="20">
        <f>IF(OR(B1493="",'経歴簿'!$C$4=""),"",IF(B1493&amp;""='経歴簿'!$C$4&amp;"",MAX($AG$4:AG1492)+1,""))</f>
        <v/>
      </c>
      <c r="AH1493" s="20">
        <f>IF(A1493="",0,IF(AND(OR('CSV抽出'!$C$4="",A1493&gt;='CSV抽出'!$C$4),OR('CSV抽出'!$C$5="",A1493&lt;='CSV抽出'!$C$5),OR('CSV抽出'!$C$6="すべて",'CSV抽出'!$C$6="",D1493='CSV抽出'!$C$6),OR('CSV抽出'!$C$7="",B1493&amp;""='CSV抽出'!$C$7&amp;"")),1,0))</f>
        <v/>
      </c>
      <c r="AI1493" s="20">
        <f>IF(AH1493=1,SUM($AH$5:AH1493),"")</f>
        <v/>
      </c>
      <c r="AJ1493" s="20">
        <f>IF(OR(S1493="",'報告書'!$C$4=""),"",IF(S1493&amp;""='報告書'!$C$4&amp;"",COUNTIF($S$5:S1493,'報告書'!$C$4),""))</f>
        <v/>
      </c>
      <c r="AK1493" s="20" t="n"/>
      <c r="AL1493" s="47" t="n"/>
      <c r="AM1493" s="47" t="n"/>
      <c r="AN1493" s="53" t="n"/>
      <c r="AO1493" s="47" t="n"/>
      <c r="AP1493" s="47" t="n"/>
      <c r="AQ1493" s="47" t="n"/>
      <c r="AR1493" s="47" t="n"/>
      <c r="AS1493" s="47" t="n"/>
      <c r="AT1493" s="47" t="n"/>
      <c r="AU1493" s="47" t="n"/>
      <c r="AV1493" s="47" t="n"/>
      <c r="AW1493" s="52" t="n"/>
    </row>
    <row r="1494">
      <c r="A1494" s="48" t="n"/>
      <c r="B1494" s="52" t="n"/>
      <c r="C1494" s="47">
        <f>IF(B1494="","",IFERROR(INDEX('隊員マスタ'!$B$5:$B$204,MATCH(B1494&amp;"",'隊員マスタ'!$F$5:$F$204,0)),IF(AK1494="","番号なし",AK1494)))</f>
        <v/>
      </c>
      <c r="D1494" s="47" t="n"/>
      <c r="E1494" s="47" t="n"/>
      <c r="F1494" s="47" t="n"/>
      <c r="G1494" s="47" t="n"/>
      <c r="H1494" s="47" t="n"/>
      <c r="I1494" s="47" t="n"/>
      <c r="J1494" s="47" t="n"/>
      <c r="K1494" s="47" t="n"/>
      <c r="L1494" s="47" t="n"/>
      <c r="M1494" s="47" t="n"/>
      <c r="N1494" s="47" t="n"/>
      <c r="O1494" s="47" t="n"/>
      <c r="P1494" s="47" t="n"/>
      <c r="Q1494" s="47" t="n"/>
      <c r="R1494" s="47" t="n"/>
      <c r="S1494" s="47" t="n"/>
      <c r="T1494" s="47" t="n"/>
      <c r="U1494" s="53" t="n"/>
      <c r="V1494" s="53" t="n"/>
      <c r="W1494" s="47" t="n"/>
      <c r="X1494" s="47" t="n"/>
      <c r="Y1494" s="47" t="n"/>
      <c r="Z1494" s="47" t="n"/>
      <c r="AA1494" s="47" t="n"/>
      <c r="AB1494" s="47" t="n"/>
      <c r="AC1494" s="47" t="n"/>
      <c r="AD1494" s="47" t="n"/>
      <c r="AE1494" s="47" t="n"/>
      <c r="AF1494" s="20">
        <f>IF(A1494="","",YEAR(EDATE(A1494,-3)))</f>
        <v/>
      </c>
      <c r="AG1494" s="20">
        <f>IF(OR(B1494="",'経歴簿'!$C$4=""),"",IF(B1494&amp;""='経歴簿'!$C$4&amp;"",MAX($AG$4:AG1493)+1,""))</f>
        <v/>
      </c>
      <c r="AH1494" s="20">
        <f>IF(A1494="",0,IF(AND(OR('CSV抽出'!$C$4="",A1494&gt;='CSV抽出'!$C$4),OR('CSV抽出'!$C$5="",A1494&lt;='CSV抽出'!$C$5),OR('CSV抽出'!$C$6="すべて",'CSV抽出'!$C$6="",D1494='CSV抽出'!$C$6),OR('CSV抽出'!$C$7="",B1494&amp;""='CSV抽出'!$C$7&amp;"")),1,0))</f>
        <v/>
      </c>
      <c r="AI1494" s="20">
        <f>IF(AH1494=1,SUM($AH$5:AH1494),"")</f>
        <v/>
      </c>
      <c r="AJ1494" s="20">
        <f>IF(OR(S1494="",'報告書'!$C$4=""),"",IF(S1494&amp;""='報告書'!$C$4&amp;"",COUNTIF($S$5:S1494,'報告書'!$C$4),""))</f>
        <v/>
      </c>
      <c r="AK1494" s="20" t="n"/>
      <c r="AL1494" s="47" t="n"/>
      <c r="AM1494" s="47" t="n"/>
      <c r="AN1494" s="53" t="n"/>
      <c r="AO1494" s="47" t="n"/>
      <c r="AP1494" s="47" t="n"/>
      <c r="AQ1494" s="47" t="n"/>
      <c r="AR1494" s="47" t="n"/>
      <c r="AS1494" s="47" t="n"/>
      <c r="AT1494" s="47" t="n"/>
      <c r="AU1494" s="47" t="n"/>
      <c r="AV1494" s="47" t="n"/>
      <c r="AW1494" s="52" t="n"/>
    </row>
    <row r="1495">
      <c r="A1495" s="48" t="n"/>
      <c r="B1495" s="52" t="n"/>
      <c r="C1495" s="47">
        <f>IF(B1495="","",IFERROR(INDEX('隊員マスタ'!$B$5:$B$204,MATCH(B1495&amp;"",'隊員マスタ'!$F$5:$F$204,0)),IF(AK1495="","番号なし",AK1495)))</f>
        <v/>
      </c>
      <c r="D1495" s="47" t="n"/>
      <c r="E1495" s="47" t="n"/>
      <c r="F1495" s="47" t="n"/>
      <c r="G1495" s="47" t="n"/>
      <c r="H1495" s="47" t="n"/>
      <c r="I1495" s="47" t="n"/>
      <c r="J1495" s="47" t="n"/>
      <c r="K1495" s="47" t="n"/>
      <c r="L1495" s="47" t="n"/>
      <c r="M1495" s="47" t="n"/>
      <c r="N1495" s="47" t="n"/>
      <c r="O1495" s="47" t="n"/>
      <c r="P1495" s="47" t="n"/>
      <c r="Q1495" s="47" t="n"/>
      <c r="R1495" s="47" t="n"/>
      <c r="S1495" s="47" t="n"/>
      <c r="T1495" s="47" t="n"/>
      <c r="U1495" s="53" t="n"/>
      <c r="V1495" s="53" t="n"/>
      <c r="W1495" s="47" t="n"/>
      <c r="X1495" s="47" t="n"/>
      <c r="Y1495" s="47" t="n"/>
      <c r="Z1495" s="47" t="n"/>
      <c r="AA1495" s="47" t="n"/>
      <c r="AB1495" s="47" t="n"/>
      <c r="AC1495" s="47" t="n"/>
      <c r="AD1495" s="47" t="n"/>
      <c r="AE1495" s="47" t="n"/>
      <c r="AF1495" s="20">
        <f>IF(A1495="","",YEAR(EDATE(A1495,-3)))</f>
        <v/>
      </c>
      <c r="AG1495" s="20">
        <f>IF(OR(B1495="",'経歴簿'!$C$4=""),"",IF(B1495&amp;""='経歴簿'!$C$4&amp;"",MAX($AG$4:AG1494)+1,""))</f>
        <v/>
      </c>
      <c r="AH1495" s="20">
        <f>IF(A1495="",0,IF(AND(OR('CSV抽出'!$C$4="",A1495&gt;='CSV抽出'!$C$4),OR('CSV抽出'!$C$5="",A1495&lt;='CSV抽出'!$C$5),OR('CSV抽出'!$C$6="すべて",'CSV抽出'!$C$6="",D1495='CSV抽出'!$C$6),OR('CSV抽出'!$C$7="",B1495&amp;""='CSV抽出'!$C$7&amp;"")),1,0))</f>
        <v/>
      </c>
      <c r="AI1495" s="20">
        <f>IF(AH1495=1,SUM($AH$5:AH1495),"")</f>
        <v/>
      </c>
      <c r="AJ1495" s="20">
        <f>IF(OR(S1495="",'報告書'!$C$4=""),"",IF(S1495&amp;""='報告書'!$C$4&amp;"",COUNTIF($S$5:S1495,'報告書'!$C$4),""))</f>
        <v/>
      </c>
      <c r="AK1495" s="20" t="n"/>
      <c r="AL1495" s="47" t="n"/>
      <c r="AM1495" s="47" t="n"/>
      <c r="AN1495" s="53" t="n"/>
      <c r="AO1495" s="47" t="n"/>
      <c r="AP1495" s="47" t="n"/>
      <c r="AQ1495" s="47" t="n"/>
      <c r="AR1495" s="47" t="n"/>
      <c r="AS1495" s="47" t="n"/>
      <c r="AT1495" s="47" t="n"/>
      <c r="AU1495" s="47" t="n"/>
      <c r="AV1495" s="47" t="n"/>
      <c r="AW1495" s="52" t="n"/>
    </row>
    <row r="1496">
      <c r="A1496" s="48" t="n"/>
      <c r="B1496" s="52" t="n"/>
      <c r="C1496" s="47">
        <f>IF(B1496="","",IFERROR(INDEX('隊員マスタ'!$B$5:$B$204,MATCH(B1496&amp;"",'隊員マスタ'!$F$5:$F$204,0)),IF(AK1496="","番号なし",AK1496)))</f>
        <v/>
      </c>
      <c r="D1496" s="47" t="n"/>
      <c r="E1496" s="47" t="n"/>
      <c r="F1496" s="47" t="n"/>
      <c r="G1496" s="47" t="n"/>
      <c r="H1496" s="47" t="n"/>
      <c r="I1496" s="47" t="n"/>
      <c r="J1496" s="47" t="n"/>
      <c r="K1496" s="47" t="n"/>
      <c r="L1496" s="47" t="n"/>
      <c r="M1496" s="47" t="n"/>
      <c r="N1496" s="47" t="n"/>
      <c r="O1496" s="47" t="n"/>
      <c r="P1496" s="47" t="n"/>
      <c r="Q1496" s="47" t="n"/>
      <c r="R1496" s="47" t="n"/>
      <c r="S1496" s="47" t="n"/>
      <c r="T1496" s="47" t="n"/>
      <c r="U1496" s="53" t="n"/>
      <c r="V1496" s="53" t="n"/>
      <c r="W1496" s="47" t="n"/>
      <c r="X1496" s="47" t="n"/>
      <c r="Y1496" s="47" t="n"/>
      <c r="Z1496" s="47" t="n"/>
      <c r="AA1496" s="47" t="n"/>
      <c r="AB1496" s="47" t="n"/>
      <c r="AC1496" s="47" t="n"/>
      <c r="AD1496" s="47" t="n"/>
      <c r="AE1496" s="47" t="n"/>
      <c r="AF1496" s="20">
        <f>IF(A1496="","",YEAR(EDATE(A1496,-3)))</f>
        <v/>
      </c>
      <c r="AG1496" s="20">
        <f>IF(OR(B1496="",'経歴簿'!$C$4=""),"",IF(B1496&amp;""='経歴簿'!$C$4&amp;"",MAX($AG$4:AG1495)+1,""))</f>
        <v/>
      </c>
      <c r="AH1496" s="20">
        <f>IF(A1496="",0,IF(AND(OR('CSV抽出'!$C$4="",A1496&gt;='CSV抽出'!$C$4),OR('CSV抽出'!$C$5="",A1496&lt;='CSV抽出'!$C$5),OR('CSV抽出'!$C$6="すべて",'CSV抽出'!$C$6="",D1496='CSV抽出'!$C$6),OR('CSV抽出'!$C$7="",B1496&amp;""='CSV抽出'!$C$7&amp;"")),1,0))</f>
        <v/>
      </c>
      <c r="AI1496" s="20">
        <f>IF(AH1496=1,SUM($AH$5:AH1496),"")</f>
        <v/>
      </c>
      <c r="AJ1496" s="20">
        <f>IF(OR(S1496="",'報告書'!$C$4=""),"",IF(S1496&amp;""='報告書'!$C$4&amp;"",COUNTIF($S$5:S1496,'報告書'!$C$4),""))</f>
        <v/>
      </c>
      <c r="AK1496" s="20" t="n"/>
      <c r="AL1496" s="47" t="n"/>
      <c r="AM1496" s="47" t="n"/>
      <c r="AN1496" s="53" t="n"/>
      <c r="AO1496" s="47" t="n"/>
      <c r="AP1496" s="47" t="n"/>
      <c r="AQ1496" s="47" t="n"/>
      <c r="AR1496" s="47" t="n"/>
      <c r="AS1496" s="47" t="n"/>
      <c r="AT1496" s="47" t="n"/>
      <c r="AU1496" s="47" t="n"/>
      <c r="AV1496" s="47" t="n"/>
      <c r="AW1496" s="52" t="n"/>
    </row>
    <row r="1497">
      <c r="A1497" s="48" t="n"/>
      <c r="B1497" s="52" t="n"/>
      <c r="C1497" s="47">
        <f>IF(B1497="","",IFERROR(INDEX('隊員マスタ'!$B$5:$B$204,MATCH(B1497&amp;"",'隊員マスタ'!$F$5:$F$204,0)),IF(AK1497="","番号なし",AK1497)))</f>
        <v/>
      </c>
      <c r="D1497" s="47" t="n"/>
      <c r="E1497" s="47" t="n"/>
      <c r="F1497" s="47" t="n"/>
      <c r="G1497" s="47" t="n"/>
      <c r="H1497" s="47" t="n"/>
      <c r="I1497" s="47" t="n"/>
      <c r="J1497" s="47" t="n"/>
      <c r="K1497" s="47" t="n"/>
      <c r="L1497" s="47" t="n"/>
      <c r="M1497" s="47" t="n"/>
      <c r="N1497" s="47" t="n"/>
      <c r="O1497" s="47" t="n"/>
      <c r="P1497" s="47" t="n"/>
      <c r="Q1497" s="47" t="n"/>
      <c r="R1497" s="47" t="n"/>
      <c r="S1497" s="47" t="n"/>
      <c r="T1497" s="47" t="n"/>
      <c r="U1497" s="53" t="n"/>
      <c r="V1497" s="53" t="n"/>
      <c r="W1497" s="47" t="n"/>
      <c r="X1497" s="47" t="n"/>
      <c r="Y1497" s="47" t="n"/>
      <c r="Z1497" s="47" t="n"/>
      <c r="AA1497" s="47" t="n"/>
      <c r="AB1497" s="47" t="n"/>
      <c r="AC1497" s="47" t="n"/>
      <c r="AD1497" s="47" t="n"/>
      <c r="AE1497" s="47" t="n"/>
      <c r="AF1497" s="20">
        <f>IF(A1497="","",YEAR(EDATE(A1497,-3)))</f>
        <v/>
      </c>
      <c r="AG1497" s="20">
        <f>IF(OR(B1497="",'経歴簿'!$C$4=""),"",IF(B1497&amp;""='経歴簿'!$C$4&amp;"",MAX($AG$4:AG1496)+1,""))</f>
        <v/>
      </c>
      <c r="AH1497" s="20">
        <f>IF(A1497="",0,IF(AND(OR('CSV抽出'!$C$4="",A1497&gt;='CSV抽出'!$C$4),OR('CSV抽出'!$C$5="",A1497&lt;='CSV抽出'!$C$5),OR('CSV抽出'!$C$6="すべて",'CSV抽出'!$C$6="",D1497='CSV抽出'!$C$6),OR('CSV抽出'!$C$7="",B1497&amp;""='CSV抽出'!$C$7&amp;"")),1,0))</f>
        <v/>
      </c>
      <c r="AI1497" s="20">
        <f>IF(AH1497=1,SUM($AH$5:AH1497),"")</f>
        <v/>
      </c>
      <c r="AJ1497" s="20">
        <f>IF(OR(S1497="",'報告書'!$C$4=""),"",IF(S1497&amp;""='報告書'!$C$4&amp;"",COUNTIF($S$5:S1497,'報告書'!$C$4),""))</f>
        <v/>
      </c>
      <c r="AK1497" s="20" t="n"/>
      <c r="AL1497" s="47" t="n"/>
      <c r="AM1497" s="47" t="n"/>
      <c r="AN1497" s="53" t="n"/>
      <c r="AO1497" s="47" t="n"/>
      <c r="AP1497" s="47" t="n"/>
      <c r="AQ1497" s="47" t="n"/>
      <c r="AR1497" s="47" t="n"/>
      <c r="AS1497" s="47" t="n"/>
      <c r="AT1497" s="47" t="n"/>
      <c r="AU1497" s="47" t="n"/>
      <c r="AV1497" s="47" t="n"/>
      <c r="AW1497" s="52" t="n"/>
    </row>
    <row r="1498">
      <c r="A1498" s="48" t="n"/>
      <c r="B1498" s="52" t="n"/>
      <c r="C1498" s="47">
        <f>IF(B1498="","",IFERROR(INDEX('隊員マスタ'!$B$5:$B$204,MATCH(B1498&amp;"",'隊員マスタ'!$F$5:$F$204,0)),IF(AK1498="","番号なし",AK1498)))</f>
        <v/>
      </c>
      <c r="D1498" s="47" t="n"/>
      <c r="E1498" s="47" t="n"/>
      <c r="F1498" s="47" t="n"/>
      <c r="G1498" s="47" t="n"/>
      <c r="H1498" s="47" t="n"/>
      <c r="I1498" s="47" t="n"/>
      <c r="J1498" s="47" t="n"/>
      <c r="K1498" s="47" t="n"/>
      <c r="L1498" s="47" t="n"/>
      <c r="M1498" s="47" t="n"/>
      <c r="N1498" s="47" t="n"/>
      <c r="O1498" s="47" t="n"/>
      <c r="P1498" s="47" t="n"/>
      <c r="Q1498" s="47" t="n"/>
      <c r="R1498" s="47" t="n"/>
      <c r="S1498" s="47" t="n"/>
      <c r="T1498" s="47" t="n"/>
      <c r="U1498" s="53" t="n"/>
      <c r="V1498" s="53" t="n"/>
      <c r="W1498" s="47" t="n"/>
      <c r="X1498" s="47" t="n"/>
      <c r="Y1498" s="47" t="n"/>
      <c r="Z1498" s="47" t="n"/>
      <c r="AA1498" s="47" t="n"/>
      <c r="AB1498" s="47" t="n"/>
      <c r="AC1498" s="47" t="n"/>
      <c r="AD1498" s="47" t="n"/>
      <c r="AE1498" s="47" t="n"/>
      <c r="AF1498" s="20">
        <f>IF(A1498="","",YEAR(EDATE(A1498,-3)))</f>
        <v/>
      </c>
      <c r="AG1498" s="20">
        <f>IF(OR(B1498="",'経歴簿'!$C$4=""),"",IF(B1498&amp;""='経歴簿'!$C$4&amp;"",MAX($AG$4:AG1497)+1,""))</f>
        <v/>
      </c>
      <c r="AH1498" s="20">
        <f>IF(A1498="",0,IF(AND(OR('CSV抽出'!$C$4="",A1498&gt;='CSV抽出'!$C$4),OR('CSV抽出'!$C$5="",A1498&lt;='CSV抽出'!$C$5),OR('CSV抽出'!$C$6="すべて",'CSV抽出'!$C$6="",D1498='CSV抽出'!$C$6),OR('CSV抽出'!$C$7="",B1498&amp;""='CSV抽出'!$C$7&amp;"")),1,0))</f>
        <v/>
      </c>
      <c r="AI1498" s="20">
        <f>IF(AH1498=1,SUM($AH$5:AH1498),"")</f>
        <v/>
      </c>
      <c r="AJ1498" s="20">
        <f>IF(OR(S1498="",'報告書'!$C$4=""),"",IF(S1498&amp;""='報告書'!$C$4&amp;"",COUNTIF($S$5:S1498,'報告書'!$C$4),""))</f>
        <v/>
      </c>
      <c r="AK1498" s="20" t="n"/>
      <c r="AL1498" s="47" t="n"/>
      <c r="AM1498" s="47" t="n"/>
      <c r="AN1498" s="53" t="n"/>
      <c r="AO1498" s="47" t="n"/>
      <c r="AP1498" s="47" t="n"/>
      <c r="AQ1498" s="47" t="n"/>
      <c r="AR1498" s="47" t="n"/>
      <c r="AS1498" s="47" t="n"/>
      <c r="AT1498" s="47" t="n"/>
      <c r="AU1498" s="47" t="n"/>
      <c r="AV1498" s="47" t="n"/>
      <c r="AW1498" s="52" t="n"/>
    </row>
    <row r="1499">
      <c r="A1499" s="48" t="n"/>
      <c r="B1499" s="52" t="n"/>
      <c r="C1499" s="47">
        <f>IF(B1499="","",IFERROR(INDEX('隊員マスタ'!$B$5:$B$204,MATCH(B1499&amp;"",'隊員マスタ'!$F$5:$F$204,0)),IF(AK1499="","番号なし",AK1499)))</f>
        <v/>
      </c>
      <c r="D1499" s="47" t="n"/>
      <c r="E1499" s="47" t="n"/>
      <c r="F1499" s="47" t="n"/>
      <c r="G1499" s="47" t="n"/>
      <c r="H1499" s="47" t="n"/>
      <c r="I1499" s="47" t="n"/>
      <c r="J1499" s="47" t="n"/>
      <c r="K1499" s="47" t="n"/>
      <c r="L1499" s="47" t="n"/>
      <c r="M1499" s="47" t="n"/>
      <c r="N1499" s="47" t="n"/>
      <c r="O1499" s="47" t="n"/>
      <c r="P1499" s="47" t="n"/>
      <c r="Q1499" s="47" t="n"/>
      <c r="R1499" s="47" t="n"/>
      <c r="S1499" s="47" t="n"/>
      <c r="T1499" s="47" t="n"/>
      <c r="U1499" s="53" t="n"/>
      <c r="V1499" s="53" t="n"/>
      <c r="W1499" s="47" t="n"/>
      <c r="X1499" s="47" t="n"/>
      <c r="Y1499" s="47" t="n"/>
      <c r="Z1499" s="47" t="n"/>
      <c r="AA1499" s="47" t="n"/>
      <c r="AB1499" s="47" t="n"/>
      <c r="AC1499" s="47" t="n"/>
      <c r="AD1499" s="47" t="n"/>
      <c r="AE1499" s="47" t="n"/>
      <c r="AF1499" s="20">
        <f>IF(A1499="","",YEAR(EDATE(A1499,-3)))</f>
        <v/>
      </c>
      <c r="AG1499" s="20">
        <f>IF(OR(B1499="",'経歴簿'!$C$4=""),"",IF(B1499&amp;""='経歴簿'!$C$4&amp;"",MAX($AG$4:AG1498)+1,""))</f>
        <v/>
      </c>
      <c r="AH1499" s="20">
        <f>IF(A1499="",0,IF(AND(OR('CSV抽出'!$C$4="",A1499&gt;='CSV抽出'!$C$4),OR('CSV抽出'!$C$5="",A1499&lt;='CSV抽出'!$C$5),OR('CSV抽出'!$C$6="すべて",'CSV抽出'!$C$6="",D1499='CSV抽出'!$C$6),OR('CSV抽出'!$C$7="",B1499&amp;""='CSV抽出'!$C$7&amp;"")),1,0))</f>
        <v/>
      </c>
      <c r="AI1499" s="20">
        <f>IF(AH1499=1,SUM($AH$5:AH1499),"")</f>
        <v/>
      </c>
      <c r="AJ1499" s="20">
        <f>IF(OR(S1499="",'報告書'!$C$4=""),"",IF(S1499&amp;""='報告書'!$C$4&amp;"",COUNTIF($S$5:S1499,'報告書'!$C$4),""))</f>
        <v/>
      </c>
      <c r="AK1499" s="20" t="n"/>
      <c r="AL1499" s="47" t="n"/>
      <c r="AM1499" s="47" t="n"/>
      <c r="AN1499" s="53" t="n"/>
      <c r="AO1499" s="47" t="n"/>
      <c r="AP1499" s="47" t="n"/>
      <c r="AQ1499" s="47" t="n"/>
      <c r="AR1499" s="47" t="n"/>
      <c r="AS1499" s="47" t="n"/>
      <c r="AT1499" s="47" t="n"/>
      <c r="AU1499" s="47" t="n"/>
      <c r="AV1499" s="47" t="n"/>
      <c r="AW1499" s="52" t="n"/>
    </row>
    <row r="1500">
      <c r="A1500" s="48" t="n"/>
      <c r="B1500" s="52" t="n"/>
      <c r="C1500" s="47">
        <f>IF(B1500="","",IFERROR(INDEX('隊員マスタ'!$B$5:$B$204,MATCH(B1500&amp;"",'隊員マスタ'!$F$5:$F$204,0)),IF(AK1500="","番号なし",AK1500)))</f>
        <v/>
      </c>
      <c r="D1500" s="47" t="n"/>
      <c r="E1500" s="47" t="n"/>
      <c r="F1500" s="47" t="n"/>
      <c r="G1500" s="47" t="n"/>
      <c r="H1500" s="47" t="n"/>
      <c r="I1500" s="47" t="n"/>
      <c r="J1500" s="47" t="n"/>
      <c r="K1500" s="47" t="n"/>
      <c r="L1500" s="47" t="n"/>
      <c r="M1500" s="47" t="n"/>
      <c r="N1500" s="47" t="n"/>
      <c r="O1500" s="47" t="n"/>
      <c r="P1500" s="47" t="n"/>
      <c r="Q1500" s="47" t="n"/>
      <c r="R1500" s="47" t="n"/>
      <c r="S1500" s="47" t="n"/>
      <c r="T1500" s="47" t="n"/>
      <c r="U1500" s="53" t="n"/>
      <c r="V1500" s="53" t="n"/>
      <c r="W1500" s="47" t="n"/>
      <c r="X1500" s="47" t="n"/>
      <c r="Y1500" s="47" t="n"/>
      <c r="Z1500" s="47" t="n"/>
      <c r="AA1500" s="47" t="n"/>
      <c r="AB1500" s="47" t="n"/>
      <c r="AC1500" s="47" t="n"/>
      <c r="AD1500" s="47" t="n"/>
      <c r="AE1500" s="47" t="n"/>
      <c r="AF1500" s="20">
        <f>IF(A1500="","",YEAR(EDATE(A1500,-3)))</f>
        <v/>
      </c>
      <c r="AG1500" s="20">
        <f>IF(OR(B1500="",'経歴簿'!$C$4=""),"",IF(B1500&amp;""='経歴簿'!$C$4&amp;"",MAX($AG$4:AG1499)+1,""))</f>
        <v/>
      </c>
      <c r="AH1500" s="20">
        <f>IF(A1500="",0,IF(AND(OR('CSV抽出'!$C$4="",A1500&gt;='CSV抽出'!$C$4),OR('CSV抽出'!$C$5="",A1500&lt;='CSV抽出'!$C$5),OR('CSV抽出'!$C$6="すべて",'CSV抽出'!$C$6="",D1500='CSV抽出'!$C$6),OR('CSV抽出'!$C$7="",B1500&amp;""='CSV抽出'!$C$7&amp;"")),1,0))</f>
        <v/>
      </c>
      <c r="AI1500" s="20">
        <f>IF(AH1500=1,SUM($AH$5:AH1500),"")</f>
        <v/>
      </c>
      <c r="AJ1500" s="20">
        <f>IF(OR(S1500="",'報告書'!$C$4=""),"",IF(S1500&amp;""='報告書'!$C$4&amp;"",COUNTIF($S$5:S1500,'報告書'!$C$4),""))</f>
        <v/>
      </c>
      <c r="AK1500" s="20" t="n"/>
      <c r="AL1500" s="47" t="n"/>
      <c r="AM1500" s="47" t="n"/>
      <c r="AN1500" s="53" t="n"/>
      <c r="AO1500" s="47" t="n"/>
      <c r="AP1500" s="47" t="n"/>
      <c r="AQ1500" s="47" t="n"/>
      <c r="AR1500" s="47" t="n"/>
      <c r="AS1500" s="47" t="n"/>
      <c r="AT1500" s="47" t="n"/>
      <c r="AU1500" s="47" t="n"/>
      <c r="AV1500" s="47" t="n"/>
      <c r="AW1500" s="52" t="n"/>
    </row>
    <row r="1501">
      <c r="A1501" s="48" t="n"/>
      <c r="B1501" s="52" t="n"/>
      <c r="C1501" s="47">
        <f>IF(B1501="","",IFERROR(INDEX('隊員マスタ'!$B$5:$B$204,MATCH(B1501&amp;"",'隊員マスタ'!$F$5:$F$204,0)),IF(AK1501="","番号なし",AK1501)))</f>
        <v/>
      </c>
      <c r="D1501" s="47" t="n"/>
      <c r="E1501" s="47" t="n"/>
      <c r="F1501" s="47" t="n"/>
      <c r="G1501" s="47" t="n"/>
      <c r="H1501" s="47" t="n"/>
      <c r="I1501" s="47" t="n"/>
      <c r="J1501" s="47" t="n"/>
      <c r="K1501" s="47" t="n"/>
      <c r="L1501" s="47" t="n"/>
      <c r="M1501" s="47" t="n"/>
      <c r="N1501" s="47" t="n"/>
      <c r="O1501" s="47" t="n"/>
      <c r="P1501" s="47" t="n"/>
      <c r="Q1501" s="47" t="n"/>
      <c r="R1501" s="47" t="n"/>
      <c r="S1501" s="47" t="n"/>
      <c r="T1501" s="47" t="n"/>
      <c r="U1501" s="53" t="n"/>
      <c r="V1501" s="53" t="n"/>
      <c r="W1501" s="47" t="n"/>
      <c r="X1501" s="47" t="n"/>
      <c r="Y1501" s="47" t="n"/>
      <c r="Z1501" s="47" t="n"/>
      <c r="AA1501" s="47" t="n"/>
      <c r="AB1501" s="47" t="n"/>
      <c r="AC1501" s="47" t="n"/>
      <c r="AD1501" s="47" t="n"/>
      <c r="AE1501" s="47" t="n"/>
      <c r="AF1501" s="20">
        <f>IF(A1501="","",YEAR(EDATE(A1501,-3)))</f>
        <v/>
      </c>
      <c r="AG1501" s="20">
        <f>IF(OR(B1501="",'経歴簿'!$C$4=""),"",IF(B1501&amp;""='経歴簿'!$C$4&amp;"",MAX($AG$4:AG1500)+1,""))</f>
        <v/>
      </c>
      <c r="AH1501" s="20">
        <f>IF(A1501="",0,IF(AND(OR('CSV抽出'!$C$4="",A1501&gt;='CSV抽出'!$C$4),OR('CSV抽出'!$C$5="",A1501&lt;='CSV抽出'!$C$5),OR('CSV抽出'!$C$6="すべて",'CSV抽出'!$C$6="",D1501='CSV抽出'!$C$6),OR('CSV抽出'!$C$7="",B1501&amp;""='CSV抽出'!$C$7&amp;"")),1,0))</f>
        <v/>
      </c>
      <c r="AI1501" s="20">
        <f>IF(AH1501=1,SUM($AH$5:AH1501),"")</f>
        <v/>
      </c>
      <c r="AJ1501" s="20">
        <f>IF(OR(S1501="",'報告書'!$C$4=""),"",IF(S1501&amp;""='報告書'!$C$4&amp;"",COUNTIF($S$5:S1501,'報告書'!$C$4),""))</f>
        <v/>
      </c>
      <c r="AK1501" s="20" t="n"/>
      <c r="AL1501" s="47" t="n"/>
      <c r="AM1501" s="47" t="n"/>
      <c r="AN1501" s="53" t="n"/>
      <c r="AO1501" s="47" t="n"/>
      <c r="AP1501" s="47" t="n"/>
      <c r="AQ1501" s="47" t="n"/>
      <c r="AR1501" s="47" t="n"/>
      <c r="AS1501" s="47" t="n"/>
      <c r="AT1501" s="47" t="n"/>
      <c r="AU1501" s="47" t="n"/>
      <c r="AV1501" s="47" t="n"/>
      <c r="AW1501" s="52" t="n"/>
    </row>
    <row r="1502">
      <c r="A1502" s="48" t="n"/>
      <c r="B1502" s="52" t="n"/>
      <c r="C1502" s="47">
        <f>IF(B1502="","",IFERROR(INDEX('隊員マスタ'!$B$5:$B$204,MATCH(B1502&amp;"",'隊員マスタ'!$F$5:$F$204,0)),IF(AK1502="","番号なし",AK1502)))</f>
        <v/>
      </c>
      <c r="D1502" s="47" t="n"/>
      <c r="E1502" s="47" t="n"/>
      <c r="F1502" s="47" t="n"/>
      <c r="G1502" s="47" t="n"/>
      <c r="H1502" s="47" t="n"/>
      <c r="I1502" s="47" t="n"/>
      <c r="J1502" s="47" t="n"/>
      <c r="K1502" s="47" t="n"/>
      <c r="L1502" s="47" t="n"/>
      <c r="M1502" s="47" t="n"/>
      <c r="N1502" s="47" t="n"/>
      <c r="O1502" s="47" t="n"/>
      <c r="P1502" s="47" t="n"/>
      <c r="Q1502" s="47" t="n"/>
      <c r="R1502" s="47" t="n"/>
      <c r="S1502" s="47" t="n"/>
      <c r="T1502" s="47" t="n"/>
      <c r="U1502" s="53" t="n"/>
      <c r="V1502" s="53" t="n"/>
      <c r="W1502" s="47" t="n"/>
      <c r="X1502" s="47" t="n"/>
      <c r="Y1502" s="47" t="n"/>
      <c r="Z1502" s="47" t="n"/>
      <c r="AA1502" s="47" t="n"/>
      <c r="AB1502" s="47" t="n"/>
      <c r="AC1502" s="47" t="n"/>
      <c r="AD1502" s="47" t="n"/>
      <c r="AE1502" s="47" t="n"/>
      <c r="AF1502" s="20">
        <f>IF(A1502="","",YEAR(EDATE(A1502,-3)))</f>
        <v/>
      </c>
      <c r="AG1502" s="20">
        <f>IF(OR(B1502="",'経歴簿'!$C$4=""),"",IF(B1502&amp;""='経歴簿'!$C$4&amp;"",MAX($AG$4:AG1501)+1,""))</f>
        <v/>
      </c>
      <c r="AH1502" s="20">
        <f>IF(A1502="",0,IF(AND(OR('CSV抽出'!$C$4="",A1502&gt;='CSV抽出'!$C$4),OR('CSV抽出'!$C$5="",A1502&lt;='CSV抽出'!$C$5),OR('CSV抽出'!$C$6="すべて",'CSV抽出'!$C$6="",D1502='CSV抽出'!$C$6),OR('CSV抽出'!$C$7="",B1502&amp;""='CSV抽出'!$C$7&amp;"")),1,0))</f>
        <v/>
      </c>
      <c r="AI1502" s="20">
        <f>IF(AH1502=1,SUM($AH$5:AH1502),"")</f>
        <v/>
      </c>
      <c r="AJ1502" s="20">
        <f>IF(OR(S1502="",'報告書'!$C$4=""),"",IF(S1502&amp;""='報告書'!$C$4&amp;"",COUNTIF($S$5:S1502,'報告書'!$C$4),""))</f>
        <v/>
      </c>
      <c r="AK1502" s="20" t="n"/>
      <c r="AL1502" s="47" t="n"/>
      <c r="AM1502" s="47" t="n"/>
      <c r="AN1502" s="53" t="n"/>
      <c r="AO1502" s="47" t="n"/>
      <c r="AP1502" s="47" t="n"/>
      <c r="AQ1502" s="47" t="n"/>
      <c r="AR1502" s="47" t="n"/>
      <c r="AS1502" s="47" t="n"/>
      <c r="AT1502" s="47" t="n"/>
      <c r="AU1502" s="47" t="n"/>
      <c r="AV1502" s="47" t="n"/>
      <c r="AW1502" s="52" t="n"/>
    </row>
    <row r="1503">
      <c r="A1503" s="48" t="n"/>
      <c r="B1503" s="52" t="n"/>
      <c r="C1503" s="47">
        <f>IF(B1503="","",IFERROR(INDEX('隊員マスタ'!$B$5:$B$204,MATCH(B1503&amp;"",'隊員マスタ'!$F$5:$F$204,0)),IF(AK1503="","番号なし",AK1503)))</f>
        <v/>
      </c>
      <c r="D1503" s="47" t="n"/>
      <c r="E1503" s="47" t="n"/>
      <c r="F1503" s="47" t="n"/>
      <c r="G1503" s="47" t="n"/>
      <c r="H1503" s="47" t="n"/>
      <c r="I1503" s="47" t="n"/>
      <c r="J1503" s="47" t="n"/>
      <c r="K1503" s="47" t="n"/>
      <c r="L1503" s="47" t="n"/>
      <c r="M1503" s="47" t="n"/>
      <c r="N1503" s="47" t="n"/>
      <c r="O1503" s="47" t="n"/>
      <c r="P1503" s="47" t="n"/>
      <c r="Q1503" s="47" t="n"/>
      <c r="R1503" s="47" t="n"/>
      <c r="S1503" s="47" t="n"/>
      <c r="T1503" s="47" t="n"/>
      <c r="U1503" s="53" t="n"/>
      <c r="V1503" s="53" t="n"/>
      <c r="W1503" s="47" t="n"/>
      <c r="X1503" s="47" t="n"/>
      <c r="Y1503" s="47" t="n"/>
      <c r="Z1503" s="47" t="n"/>
      <c r="AA1503" s="47" t="n"/>
      <c r="AB1503" s="47" t="n"/>
      <c r="AC1503" s="47" t="n"/>
      <c r="AD1503" s="47" t="n"/>
      <c r="AE1503" s="47" t="n"/>
      <c r="AF1503" s="20">
        <f>IF(A1503="","",YEAR(EDATE(A1503,-3)))</f>
        <v/>
      </c>
      <c r="AG1503" s="20">
        <f>IF(OR(B1503="",'経歴簿'!$C$4=""),"",IF(B1503&amp;""='経歴簿'!$C$4&amp;"",MAX($AG$4:AG1502)+1,""))</f>
        <v/>
      </c>
      <c r="AH1503" s="20">
        <f>IF(A1503="",0,IF(AND(OR('CSV抽出'!$C$4="",A1503&gt;='CSV抽出'!$C$4),OR('CSV抽出'!$C$5="",A1503&lt;='CSV抽出'!$C$5),OR('CSV抽出'!$C$6="すべて",'CSV抽出'!$C$6="",D1503='CSV抽出'!$C$6),OR('CSV抽出'!$C$7="",B1503&amp;""='CSV抽出'!$C$7&amp;"")),1,0))</f>
        <v/>
      </c>
      <c r="AI1503" s="20">
        <f>IF(AH1503=1,SUM($AH$5:AH1503),"")</f>
        <v/>
      </c>
      <c r="AJ1503" s="20">
        <f>IF(OR(S1503="",'報告書'!$C$4=""),"",IF(S1503&amp;""='報告書'!$C$4&amp;"",COUNTIF($S$5:S1503,'報告書'!$C$4),""))</f>
        <v/>
      </c>
      <c r="AK1503" s="20" t="n"/>
      <c r="AL1503" s="47" t="n"/>
      <c r="AM1503" s="47" t="n"/>
      <c r="AN1503" s="53" t="n"/>
      <c r="AO1503" s="47" t="n"/>
      <c r="AP1503" s="47" t="n"/>
      <c r="AQ1503" s="47" t="n"/>
      <c r="AR1503" s="47" t="n"/>
      <c r="AS1503" s="47" t="n"/>
      <c r="AT1503" s="47" t="n"/>
      <c r="AU1503" s="47" t="n"/>
      <c r="AV1503" s="47" t="n"/>
      <c r="AW1503" s="52" t="n"/>
    </row>
    <row r="1504">
      <c r="A1504" s="48" t="n"/>
      <c r="B1504" s="52" t="n"/>
      <c r="C1504" s="47">
        <f>IF(B1504="","",IFERROR(INDEX('隊員マスタ'!$B$5:$B$204,MATCH(B1504&amp;"",'隊員マスタ'!$F$5:$F$204,0)),IF(AK1504="","番号なし",AK1504)))</f>
        <v/>
      </c>
      <c r="D1504" s="47" t="n"/>
      <c r="E1504" s="47" t="n"/>
      <c r="F1504" s="47" t="n"/>
      <c r="G1504" s="47" t="n"/>
      <c r="H1504" s="47" t="n"/>
      <c r="I1504" s="47" t="n"/>
      <c r="J1504" s="47" t="n"/>
      <c r="K1504" s="47" t="n"/>
      <c r="L1504" s="47" t="n"/>
      <c r="M1504" s="47" t="n"/>
      <c r="N1504" s="47" t="n"/>
      <c r="O1504" s="47" t="n"/>
      <c r="P1504" s="47" t="n"/>
      <c r="Q1504" s="47" t="n"/>
      <c r="R1504" s="47" t="n"/>
      <c r="S1504" s="47" t="n"/>
      <c r="T1504" s="47" t="n"/>
      <c r="U1504" s="53" t="n"/>
      <c r="V1504" s="53" t="n"/>
      <c r="W1504" s="47" t="n"/>
      <c r="X1504" s="47" t="n"/>
      <c r="Y1504" s="47" t="n"/>
      <c r="Z1504" s="47" t="n"/>
      <c r="AA1504" s="47" t="n"/>
      <c r="AB1504" s="47" t="n"/>
      <c r="AC1504" s="47" t="n"/>
      <c r="AD1504" s="47" t="n"/>
      <c r="AE1504" s="47" t="n"/>
      <c r="AF1504" s="20">
        <f>IF(A1504="","",YEAR(EDATE(A1504,-3)))</f>
        <v/>
      </c>
      <c r="AG1504" s="20">
        <f>IF(OR(B1504="",'経歴簿'!$C$4=""),"",IF(B1504&amp;""='経歴簿'!$C$4&amp;"",MAX($AG$4:AG1503)+1,""))</f>
        <v/>
      </c>
      <c r="AH1504" s="20">
        <f>IF(A1504="",0,IF(AND(OR('CSV抽出'!$C$4="",A1504&gt;='CSV抽出'!$C$4),OR('CSV抽出'!$C$5="",A1504&lt;='CSV抽出'!$C$5),OR('CSV抽出'!$C$6="すべて",'CSV抽出'!$C$6="",D1504='CSV抽出'!$C$6),OR('CSV抽出'!$C$7="",B1504&amp;""='CSV抽出'!$C$7&amp;"")),1,0))</f>
        <v/>
      </c>
      <c r="AI1504" s="20">
        <f>IF(AH1504=1,SUM($AH$5:AH1504),"")</f>
        <v/>
      </c>
      <c r="AJ1504" s="20">
        <f>IF(OR(S1504="",'報告書'!$C$4=""),"",IF(S1504&amp;""='報告書'!$C$4&amp;"",COUNTIF($S$5:S1504,'報告書'!$C$4),""))</f>
        <v/>
      </c>
      <c r="AK1504" s="20" t="n"/>
      <c r="AL1504" s="47" t="n"/>
      <c r="AM1504" s="47" t="n"/>
      <c r="AN1504" s="53" t="n"/>
      <c r="AO1504" s="47" t="n"/>
      <c r="AP1504" s="47" t="n"/>
      <c r="AQ1504" s="47" t="n"/>
      <c r="AR1504" s="47" t="n"/>
      <c r="AS1504" s="47" t="n"/>
      <c r="AT1504" s="47" t="n"/>
      <c r="AU1504" s="47" t="n"/>
      <c r="AV1504" s="47" t="n"/>
      <c r="AW1504" s="52" t="n"/>
    </row>
    <row r="1505">
      <c r="A1505" s="48" t="n"/>
      <c r="B1505" s="52" t="n"/>
      <c r="C1505" s="47">
        <f>IF(B1505="","",IFERROR(INDEX('隊員マスタ'!$B$5:$B$204,MATCH(B1505&amp;"",'隊員マスタ'!$F$5:$F$204,0)),IF(AK1505="","番号なし",AK1505)))</f>
        <v/>
      </c>
      <c r="D1505" s="47" t="n"/>
      <c r="E1505" s="47" t="n"/>
      <c r="F1505" s="47" t="n"/>
      <c r="G1505" s="47" t="n"/>
      <c r="H1505" s="47" t="n"/>
      <c r="I1505" s="47" t="n"/>
      <c r="J1505" s="47" t="n"/>
      <c r="K1505" s="47" t="n"/>
      <c r="L1505" s="47" t="n"/>
      <c r="M1505" s="47" t="n"/>
      <c r="N1505" s="47" t="n"/>
      <c r="O1505" s="47" t="n"/>
      <c r="P1505" s="47" t="n"/>
      <c r="Q1505" s="47" t="n"/>
      <c r="R1505" s="47" t="n"/>
      <c r="S1505" s="47" t="n"/>
      <c r="T1505" s="47" t="n"/>
      <c r="U1505" s="53" t="n"/>
      <c r="V1505" s="53" t="n"/>
      <c r="W1505" s="47" t="n"/>
      <c r="X1505" s="47" t="n"/>
      <c r="Y1505" s="47" t="n"/>
      <c r="Z1505" s="47" t="n"/>
      <c r="AA1505" s="47" t="n"/>
      <c r="AB1505" s="47" t="n"/>
      <c r="AC1505" s="47" t="n"/>
      <c r="AD1505" s="47" t="n"/>
      <c r="AE1505" s="47" t="n"/>
      <c r="AF1505" s="20">
        <f>IF(A1505="","",YEAR(EDATE(A1505,-3)))</f>
        <v/>
      </c>
      <c r="AG1505" s="20">
        <f>IF(OR(B1505="",'経歴簿'!$C$4=""),"",IF(B1505&amp;""='経歴簿'!$C$4&amp;"",MAX($AG$4:AG1504)+1,""))</f>
        <v/>
      </c>
      <c r="AH1505" s="20">
        <f>IF(A1505="",0,IF(AND(OR('CSV抽出'!$C$4="",A1505&gt;='CSV抽出'!$C$4),OR('CSV抽出'!$C$5="",A1505&lt;='CSV抽出'!$C$5),OR('CSV抽出'!$C$6="すべて",'CSV抽出'!$C$6="",D1505='CSV抽出'!$C$6),OR('CSV抽出'!$C$7="",B1505&amp;""='CSV抽出'!$C$7&amp;"")),1,0))</f>
        <v/>
      </c>
      <c r="AI1505" s="20">
        <f>IF(AH1505=1,SUM($AH$5:AH1505),"")</f>
        <v/>
      </c>
      <c r="AJ1505" s="20">
        <f>IF(OR(S1505="",'報告書'!$C$4=""),"",IF(S1505&amp;""='報告書'!$C$4&amp;"",COUNTIF($S$5:S1505,'報告書'!$C$4),""))</f>
        <v/>
      </c>
      <c r="AK1505" s="20" t="n"/>
      <c r="AL1505" s="47" t="n"/>
      <c r="AM1505" s="47" t="n"/>
      <c r="AN1505" s="53" t="n"/>
      <c r="AO1505" s="47" t="n"/>
      <c r="AP1505" s="47" t="n"/>
      <c r="AQ1505" s="47" t="n"/>
      <c r="AR1505" s="47" t="n"/>
      <c r="AS1505" s="47" t="n"/>
      <c r="AT1505" s="47" t="n"/>
      <c r="AU1505" s="47" t="n"/>
      <c r="AV1505" s="47" t="n"/>
      <c r="AW1505" s="52" t="n"/>
    </row>
    <row r="1506">
      <c r="A1506" s="48" t="n"/>
      <c r="B1506" s="52" t="n"/>
      <c r="C1506" s="47">
        <f>IF(B1506="","",IFERROR(INDEX('隊員マスタ'!$B$5:$B$204,MATCH(B1506&amp;"",'隊員マスタ'!$F$5:$F$204,0)),IF(AK1506="","番号なし",AK1506)))</f>
        <v/>
      </c>
      <c r="D1506" s="47" t="n"/>
      <c r="E1506" s="47" t="n"/>
      <c r="F1506" s="47" t="n"/>
      <c r="G1506" s="47" t="n"/>
      <c r="H1506" s="47" t="n"/>
      <c r="I1506" s="47" t="n"/>
      <c r="J1506" s="47" t="n"/>
      <c r="K1506" s="47" t="n"/>
      <c r="L1506" s="47" t="n"/>
      <c r="M1506" s="47" t="n"/>
      <c r="N1506" s="47" t="n"/>
      <c r="O1506" s="47" t="n"/>
      <c r="P1506" s="47" t="n"/>
      <c r="Q1506" s="47" t="n"/>
      <c r="R1506" s="47" t="n"/>
      <c r="S1506" s="47" t="n"/>
      <c r="T1506" s="47" t="n"/>
      <c r="U1506" s="53" t="n"/>
      <c r="V1506" s="53" t="n"/>
      <c r="W1506" s="47" t="n"/>
      <c r="X1506" s="47" t="n"/>
      <c r="Y1506" s="47" t="n"/>
      <c r="Z1506" s="47" t="n"/>
      <c r="AA1506" s="47" t="n"/>
      <c r="AB1506" s="47" t="n"/>
      <c r="AC1506" s="47" t="n"/>
      <c r="AD1506" s="47" t="n"/>
      <c r="AE1506" s="47" t="n"/>
      <c r="AF1506" s="20">
        <f>IF(A1506="","",YEAR(EDATE(A1506,-3)))</f>
        <v/>
      </c>
      <c r="AG1506" s="20">
        <f>IF(OR(B1506="",'経歴簿'!$C$4=""),"",IF(B1506&amp;""='経歴簿'!$C$4&amp;"",MAX($AG$4:AG1505)+1,""))</f>
        <v/>
      </c>
      <c r="AH1506" s="20">
        <f>IF(A1506="",0,IF(AND(OR('CSV抽出'!$C$4="",A1506&gt;='CSV抽出'!$C$4),OR('CSV抽出'!$C$5="",A1506&lt;='CSV抽出'!$C$5),OR('CSV抽出'!$C$6="すべて",'CSV抽出'!$C$6="",D1506='CSV抽出'!$C$6),OR('CSV抽出'!$C$7="",B1506&amp;""='CSV抽出'!$C$7&amp;"")),1,0))</f>
        <v/>
      </c>
      <c r="AI1506" s="20">
        <f>IF(AH1506=1,SUM($AH$5:AH1506),"")</f>
        <v/>
      </c>
      <c r="AJ1506" s="20">
        <f>IF(OR(S1506="",'報告書'!$C$4=""),"",IF(S1506&amp;""='報告書'!$C$4&amp;"",COUNTIF($S$5:S1506,'報告書'!$C$4),""))</f>
        <v/>
      </c>
      <c r="AK1506" s="20" t="n"/>
      <c r="AL1506" s="47" t="n"/>
      <c r="AM1506" s="47" t="n"/>
      <c r="AN1506" s="53" t="n"/>
      <c r="AO1506" s="47" t="n"/>
      <c r="AP1506" s="47" t="n"/>
      <c r="AQ1506" s="47" t="n"/>
      <c r="AR1506" s="47" t="n"/>
      <c r="AS1506" s="47" t="n"/>
      <c r="AT1506" s="47" t="n"/>
      <c r="AU1506" s="47" t="n"/>
      <c r="AV1506" s="47" t="n"/>
      <c r="AW1506" s="52" t="n"/>
    </row>
    <row r="1507">
      <c r="A1507" s="48" t="n"/>
      <c r="B1507" s="52" t="n"/>
      <c r="C1507" s="47">
        <f>IF(B1507="","",IFERROR(INDEX('隊員マスタ'!$B$5:$B$204,MATCH(B1507&amp;"",'隊員マスタ'!$F$5:$F$204,0)),IF(AK1507="","番号なし",AK1507)))</f>
        <v/>
      </c>
      <c r="D1507" s="47" t="n"/>
      <c r="E1507" s="47" t="n"/>
      <c r="F1507" s="47" t="n"/>
      <c r="G1507" s="47" t="n"/>
      <c r="H1507" s="47" t="n"/>
      <c r="I1507" s="47" t="n"/>
      <c r="J1507" s="47" t="n"/>
      <c r="K1507" s="47" t="n"/>
      <c r="L1507" s="47" t="n"/>
      <c r="M1507" s="47" t="n"/>
      <c r="N1507" s="47" t="n"/>
      <c r="O1507" s="47" t="n"/>
      <c r="P1507" s="47" t="n"/>
      <c r="Q1507" s="47" t="n"/>
      <c r="R1507" s="47" t="n"/>
      <c r="S1507" s="47" t="n"/>
      <c r="T1507" s="47" t="n"/>
      <c r="U1507" s="53" t="n"/>
      <c r="V1507" s="53" t="n"/>
      <c r="W1507" s="47" t="n"/>
      <c r="X1507" s="47" t="n"/>
      <c r="Y1507" s="47" t="n"/>
      <c r="Z1507" s="47" t="n"/>
      <c r="AA1507" s="47" t="n"/>
      <c r="AB1507" s="47" t="n"/>
      <c r="AC1507" s="47" t="n"/>
      <c r="AD1507" s="47" t="n"/>
      <c r="AE1507" s="47" t="n"/>
      <c r="AF1507" s="20">
        <f>IF(A1507="","",YEAR(EDATE(A1507,-3)))</f>
        <v/>
      </c>
      <c r="AG1507" s="20">
        <f>IF(OR(B1507="",'経歴簿'!$C$4=""),"",IF(B1507&amp;""='経歴簿'!$C$4&amp;"",MAX($AG$4:AG1506)+1,""))</f>
        <v/>
      </c>
      <c r="AH1507" s="20">
        <f>IF(A1507="",0,IF(AND(OR('CSV抽出'!$C$4="",A1507&gt;='CSV抽出'!$C$4),OR('CSV抽出'!$C$5="",A1507&lt;='CSV抽出'!$C$5),OR('CSV抽出'!$C$6="すべて",'CSV抽出'!$C$6="",D1507='CSV抽出'!$C$6),OR('CSV抽出'!$C$7="",B1507&amp;""='CSV抽出'!$C$7&amp;"")),1,0))</f>
        <v/>
      </c>
      <c r="AI1507" s="20">
        <f>IF(AH1507=1,SUM($AH$5:AH1507),"")</f>
        <v/>
      </c>
      <c r="AJ1507" s="20">
        <f>IF(OR(S1507="",'報告書'!$C$4=""),"",IF(S1507&amp;""='報告書'!$C$4&amp;"",COUNTIF($S$5:S1507,'報告書'!$C$4),""))</f>
        <v/>
      </c>
      <c r="AK1507" s="20" t="n"/>
      <c r="AL1507" s="47" t="n"/>
      <c r="AM1507" s="47" t="n"/>
      <c r="AN1507" s="53" t="n"/>
      <c r="AO1507" s="47" t="n"/>
      <c r="AP1507" s="47" t="n"/>
      <c r="AQ1507" s="47" t="n"/>
      <c r="AR1507" s="47" t="n"/>
      <c r="AS1507" s="47" t="n"/>
      <c r="AT1507" s="47" t="n"/>
      <c r="AU1507" s="47" t="n"/>
      <c r="AV1507" s="47" t="n"/>
      <c r="AW1507" s="52" t="n"/>
    </row>
    <row r="1508">
      <c r="A1508" s="48" t="n"/>
      <c r="B1508" s="52" t="n"/>
      <c r="C1508" s="47">
        <f>IF(B1508="","",IFERROR(INDEX('隊員マスタ'!$B$5:$B$204,MATCH(B1508&amp;"",'隊員マスタ'!$F$5:$F$204,0)),IF(AK1508="","番号なし",AK1508)))</f>
        <v/>
      </c>
      <c r="D1508" s="47" t="n"/>
      <c r="E1508" s="47" t="n"/>
      <c r="F1508" s="47" t="n"/>
      <c r="G1508" s="47" t="n"/>
      <c r="H1508" s="47" t="n"/>
      <c r="I1508" s="47" t="n"/>
      <c r="J1508" s="47" t="n"/>
      <c r="K1508" s="47" t="n"/>
      <c r="L1508" s="47" t="n"/>
      <c r="M1508" s="47" t="n"/>
      <c r="N1508" s="47" t="n"/>
      <c r="O1508" s="47" t="n"/>
      <c r="P1508" s="47" t="n"/>
      <c r="Q1508" s="47" t="n"/>
      <c r="R1508" s="47" t="n"/>
      <c r="S1508" s="47" t="n"/>
      <c r="T1508" s="47" t="n"/>
      <c r="U1508" s="53" t="n"/>
      <c r="V1508" s="53" t="n"/>
      <c r="W1508" s="47" t="n"/>
      <c r="X1508" s="47" t="n"/>
      <c r="Y1508" s="47" t="n"/>
      <c r="Z1508" s="47" t="n"/>
      <c r="AA1508" s="47" t="n"/>
      <c r="AB1508" s="47" t="n"/>
      <c r="AC1508" s="47" t="n"/>
      <c r="AD1508" s="47" t="n"/>
      <c r="AE1508" s="47" t="n"/>
      <c r="AF1508" s="20">
        <f>IF(A1508="","",YEAR(EDATE(A1508,-3)))</f>
        <v/>
      </c>
      <c r="AG1508" s="20">
        <f>IF(OR(B1508="",'経歴簿'!$C$4=""),"",IF(B1508&amp;""='経歴簿'!$C$4&amp;"",MAX($AG$4:AG1507)+1,""))</f>
        <v/>
      </c>
      <c r="AH1508" s="20">
        <f>IF(A1508="",0,IF(AND(OR('CSV抽出'!$C$4="",A1508&gt;='CSV抽出'!$C$4),OR('CSV抽出'!$C$5="",A1508&lt;='CSV抽出'!$C$5),OR('CSV抽出'!$C$6="すべて",'CSV抽出'!$C$6="",D1508='CSV抽出'!$C$6),OR('CSV抽出'!$C$7="",B1508&amp;""='CSV抽出'!$C$7&amp;"")),1,0))</f>
        <v/>
      </c>
      <c r="AI1508" s="20">
        <f>IF(AH1508=1,SUM($AH$5:AH1508),"")</f>
        <v/>
      </c>
      <c r="AJ1508" s="20">
        <f>IF(OR(S1508="",'報告書'!$C$4=""),"",IF(S1508&amp;""='報告書'!$C$4&amp;"",COUNTIF($S$5:S1508,'報告書'!$C$4),""))</f>
        <v/>
      </c>
      <c r="AK1508" s="20" t="n"/>
      <c r="AL1508" s="47" t="n"/>
      <c r="AM1508" s="47" t="n"/>
      <c r="AN1508" s="53" t="n"/>
      <c r="AO1508" s="47" t="n"/>
      <c r="AP1508" s="47" t="n"/>
      <c r="AQ1508" s="47" t="n"/>
      <c r="AR1508" s="47" t="n"/>
      <c r="AS1508" s="47" t="n"/>
      <c r="AT1508" s="47" t="n"/>
      <c r="AU1508" s="47" t="n"/>
      <c r="AV1508" s="47" t="n"/>
      <c r="AW1508" s="52" t="n"/>
    </row>
    <row r="1509">
      <c r="A1509" s="48" t="n"/>
      <c r="B1509" s="52" t="n"/>
      <c r="C1509" s="47">
        <f>IF(B1509="","",IFERROR(INDEX('隊員マスタ'!$B$5:$B$204,MATCH(B1509&amp;"",'隊員マスタ'!$F$5:$F$204,0)),IF(AK1509="","番号なし",AK1509)))</f>
        <v/>
      </c>
      <c r="D1509" s="47" t="n"/>
      <c r="E1509" s="47" t="n"/>
      <c r="F1509" s="47" t="n"/>
      <c r="G1509" s="47" t="n"/>
      <c r="H1509" s="47" t="n"/>
      <c r="I1509" s="47" t="n"/>
      <c r="J1509" s="47" t="n"/>
      <c r="K1509" s="47" t="n"/>
      <c r="L1509" s="47" t="n"/>
      <c r="M1509" s="47" t="n"/>
      <c r="N1509" s="47" t="n"/>
      <c r="O1509" s="47" t="n"/>
      <c r="P1509" s="47" t="n"/>
      <c r="Q1509" s="47" t="n"/>
      <c r="R1509" s="47" t="n"/>
      <c r="S1509" s="47" t="n"/>
      <c r="T1509" s="47" t="n"/>
      <c r="U1509" s="53" t="n"/>
      <c r="V1509" s="53" t="n"/>
      <c r="W1509" s="47" t="n"/>
      <c r="X1509" s="47" t="n"/>
      <c r="Y1509" s="47" t="n"/>
      <c r="Z1509" s="47" t="n"/>
      <c r="AA1509" s="47" t="n"/>
      <c r="AB1509" s="47" t="n"/>
      <c r="AC1509" s="47" t="n"/>
      <c r="AD1509" s="47" t="n"/>
      <c r="AE1509" s="47" t="n"/>
      <c r="AF1509" s="20">
        <f>IF(A1509="","",YEAR(EDATE(A1509,-3)))</f>
        <v/>
      </c>
      <c r="AG1509" s="20">
        <f>IF(OR(B1509="",'経歴簿'!$C$4=""),"",IF(B1509&amp;""='経歴簿'!$C$4&amp;"",MAX($AG$4:AG1508)+1,""))</f>
        <v/>
      </c>
      <c r="AH1509" s="20">
        <f>IF(A1509="",0,IF(AND(OR('CSV抽出'!$C$4="",A1509&gt;='CSV抽出'!$C$4),OR('CSV抽出'!$C$5="",A1509&lt;='CSV抽出'!$C$5),OR('CSV抽出'!$C$6="すべて",'CSV抽出'!$C$6="",D1509='CSV抽出'!$C$6),OR('CSV抽出'!$C$7="",B1509&amp;""='CSV抽出'!$C$7&amp;"")),1,0))</f>
        <v/>
      </c>
      <c r="AI1509" s="20">
        <f>IF(AH1509=1,SUM($AH$5:AH1509),"")</f>
        <v/>
      </c>
      <c r="AJ1509" s="20">
        <f>IF(OR(S1509="",'報告書'!$C$4=""),"",IF(S1509&amp;""='報告書'!$C$4&amp;"",COUNTIF($S$5:S1509,'報告書'!$C$4),""))</f>
        <v/>
      </c>
      <c r="AK1509" s="20" t="n"/>
      <c r="AL1509" s="47" t="n"/>
      <c r="AM1509" s="47" t="n"/>
      <c r="AN1509" s="53" t="n"/>
      <c r="AO1509" s="47" t="n"/>
      <c r="AP1509" s="47" t="n"/>
      <c r="AQ1509" s="47" t="n"/>
      <c r="AR1509" s="47" t="n"/>
      <c r="AS1509" s="47" t="n"/>
      <c r="AT1509" s="47" t="n"/>
      <c r="AU1509" s="47" t="n"/>
      <c r="AV1509" s="47" t="n"/>
      <c r="AW1509" s="52" t="n"/>
    </row>
    <row r="1510">
      <c r="A1510" s="48" t="n"/>
      <c r="B1510" s="52" t="n"/>
      <c r="C1510" s="47">
        <f>IF(B1510="","",IFERROR(INDEX('隊員マスタ'!$B$5:$B$204,MATCH(B1510&amp;"",'隊員マスタ'!$F$5:$F$204,0)),IF(AK1510="","番号なし",AK1510)))</f>
        <v/>
      </c>
      <c r="D1510" s="47" t="n"/>
      <c r="E1510" s="47" t="n"/>
      <c r="F1510" s="47" t="n"/>
      <c r="G1510" s="47" t="n"/>
      <c r="H1510" s="47" t="n"/>
      <c r="I1510" s="47" t="n"/>
      <c r="J1510" s="47" t="n"/>
      <c r="K1510" s="47" t="n"/>
      <c r="L1510" s="47" t="n"/>
      <c r="M1510" s="47" t="n"/>
      <c r="N1510" s="47" t="n"/>
      <c r="O1510" s="47" t="n"/>
      <c r="P1510" s="47" t="n"/>
      <c r="Q1510" s="47" t="n"/>
      <c r="R1510" s="47" t="n"/>
      <c r="S1510" s="47" t="n"/>
      <c r="T1510" s="47" t="n"/>
      <c r="U1510" s="53" t="n"/>
      <c r="V1510" s="53" t="n"/>
      <c r="W1510" s="47" t="n"/>
      <c r="X1510" s="47" t="n"/>
      <c r="Y1510" s="47" t="n"/>
      <c r="Z1510" s="47" t="n"/>
      <c r="AA1510" s="47" t="n"/>
      <c r="AB1510" s="47" t="n"/>
      <c r="AC1510" s="47" t="n"/>
      <c r="AD1510" s="47" t="n"/>
      <c r="AE1510" s="47" t="n"/>
      <c r="AF1510" s="20">
        <f>IF(A1510="","",YEAR(EDATE(A1510,-3)))</f>
        <v/>
      </c>
      <c r="AG1510" s="20">
        <f>IF(OR(B1510="",'経歴簿'!$C$4=""),"",IF(B1510&amp;""='経歴簿'!$C$4&amp;"",MAX($AG$4:AG1509)+1,""))</f>
        <v/>
      </c>
      <c r="AH1510" s="20">
        <f>IF(A1510="",0,IF(AND(OR('CSV抽出'!$C$4="",A1510&gt;='CSV抽出'!$C$4),OR('CSV抽出'!$C$5="",A1510&lt;='CSV抽出'!$C$5),OR('CSV抽出'!$C$6="すべて",'CSV抽出'!$C$6="",D1510='CSV抽出'!$C$6),OR('CSV抽出'!$C$7="",B1510&amp;""='CSV抽出'!$C$7&amp;"")),1,0))</f>
        <v/>
      </c>
      <c r="AI1510" s="20">
        <f>IF(AH1510=1,SUM($AH$5:AH1510),"")</f>
        <v/>
      </c>
      <c r="AJ1510" s="20">
        <f>IF(OR(S1510="",'報告書'!$C$4=""),"",IF(S1510&amp;""='報告書'!$C$4&amp;"",COUNTIF($S$5:S1510,'報告書'!$C$4),""))</f>
        <v/>
      </c>
      <c r="AK1510" s="20" t="n"/>
      <c r="AL1510" s="47" t="n"/>
      <c r="AM1510" s="47" t="n"/>
      <c r="AN1510" s="53" t="n"/>
      <c r="AO1510" s="47" t="n"/>
      <c r="AP1510" s="47" t="n"/>
      <c r="AQ1510" s="47" t="n"/>
      <c r="AR1510" s="47" t="n"/>
      <c r="AS1510" s="47" t="n"/>
      <c r="AT1510" s="47" t="n"/>
      <c r="AU1510" s="47" t="n"/>
      <c r="AV1510" s="47" t="n"/>
      <c r="AW1510" s="52" t="n"/>
    </row>
    <row r="1511">
      <c r="A1511" s="48" t="n"/>
      <c r="B1511" s="52" t="n"/>
      <c r="C1511" s="47">
        <f>IF(B1511="","",IFERROR(INDEX('隊員マスタ'!$B$5:$B$204,MATCH(B1511&amp;"",'隊員マスタ'!$F$5:$F$204,0)),IF(AK1511="","番号なし",AK1511)))</f>
        <v/>
      </c>
      <c r="D1511" s="47" t="n"/>
      <c r="E1511" s="47" t="n"/>
      <c r="F1511" s="47" t="n"/>
      <c r="G1511" s="47" t="n"/>
      <c r="H1511" s="47" t="n"/>
      <c r="I1511" s="47" t="n"/>
      <c r="J1511" s="47" t="n"/>
      <c r="K1511" s="47" t="n"/>
      <c r="L1511" s="47" t="n"/>
      <c r="M1511" s="47" t="n"/>
      <c r="N1511" s="47" t="n"/>
      <c r="O1511" s="47" t="n"/>
      <c r="P1511" s="47" t="n"/>
      <c r="Q1511" s="47" t="n"/>
      <c r="R1511" s="47" t="n"/>
      <c r="S1511" s="47" t="n"/>
      <c r="T1511" s="47" t="n"/>
      <c r="U1511" s="53" t="n"/>
      <c r="V1511" s="53" t="n"/>
      <c r="W1511" s="47" t="n"/>
      <c r="X1511" s="47" t="n"/>
      <c r="Y1511" s="47" t="n"/>
      <c r="Z1511" s="47" t="n"/>
      <c r="AA1511" s="47" t="n"/>
      <c r="AB1511" s="47" t="n"/>
      <c r="AC1511" s="47" t="n"/>
      <c r="AD1511" s="47" t="n"/>
      <c r="AE1511" s="47" t="n"/>
      <c r="AF1511" s="20">
        <f>IF(A1511="","",YEAR(EDATE(A1511,-3)))</f>
        <v/>
      </c>
      <c r="AG1511" s="20">
        <f>IF(OR(B1511="",'経歴簿'!$C$4=""),"",IF(B1511&amp;""='経歴簿'!$C$4&amp;"",MAX($AG$4:AG1510)+1,""))</f>
        <v/>
      </c>
      <c r="AH1511" s="20">
        <f>IF(A1511="",0,IF(AND(OR('CSV抽出'!$C$4="",A1511&gt;='CSV抽出'!$C$4),OR('CSV抽出'!$C$5="",A1511&lt;='CSV抽出'!$C$5),OR('CSV抽出'!$C$6="すべて",'CSV抽出'!$C$6="",D1511='CSV抽出'!$C$6),OR('CSV抽出'!$C$7="",B1511&amp;""='CSV抽出'!$C$7&amp;"")),1,0))</f>
        <v/>
      </c>
      <c r="AI1511" s="20">
        <f>IF(AH1511=1,SUM($AH$5:AH1511),"")</f>
        <v/>
      </c>
      <c r="AJ1511" s="20">
        <f>IF(OR(S1511="",'報告書'!$C$4=""),"",IF(S1511&amp;""='報告書'!$C$4&amp;"",COUNTIF($S$5:S1511,'報告書'!$C$4),""))</f>
        <v/>
      </c>
      <c r="AK1511" s="20" t="n"/>
      <c r="AL1511" s="47" t="n"/>
      <c r="AM1511" s="47" t="n"/>
      <c r="AN1511" s="53" t="n"/>
      <c r="AO1511" s="47" t="n"/>
      <c r="AP1511" s="47" t="n"/>
      <c r="AQ1511" s="47" t="n"/>
      <c r="AR1511" s="47" t="n"/>
      <c r="AS1511" s="47" t="n"/>
      <c r="AT1511" s="47" t="n"/>
      <c r="AU1511" s="47" t="n"/>
      <c r="AV1511" s="47" t="n"/>
      <c r="AW1511" s="52" t="n"/>
    </row>
    <row r="1512">
      <c r="A1512" s="48" t="n"/>
      <c r="B1512" s="52" t="n"/>
      <c r="C1512" s="47">
        <f>IF(B1512="","",IFERROR(INDEX('隊員マスタ'!$B$5:$B$204,MATCH(B1512&amp;"",'隊員マスタ'!$F$5:$F$204,0)),IF(AK1512="","番号なし",AK1512)))</f>
        <v/>
      </c>
      <c r="D1512" s="47" t="n"/>
      <c r="E1512" s="47" t="n"/>
      <c r="F1512" s="47" t="n"/>
      <c r="G1512" s="47" t="n"/>
      <c r="H1512" s="47" t="n"/>
      <c r="I1512" s="47" t="n"/>
      <c r="J1512" s="47" t="n"/>
      <c r="K1512" s="47" t="n"/>
      <c r="L1512" s="47" t="n"/>
      <c r="M1512" s="47" t="n"/>
      <c r="N1512" s="47" t="n"/>
      <c r="O1512" s="47" t="n"/>
      <c r="P1512" s="47" t="n"/>
      <c r="Q1512" s="47" t="n"/>
      <c r="R1512" s="47" t="n"/>
      <c r="S1512" s="47" t="n"/>
      <c r="T1512" s="47" t="n"/>
      <c r="U1512" s="53" t="n"/>
      <c r="V1512" s="53" t="n"/>
      <c r="W1512" s="47" t="n"/>
      <c r="X1512" s="47" t="n"/>
      <c r="Y1512" s="47" t="n"/>
      <c r="Z1512" s="47" t="n"/>
      <c r="AA1512" s="47" t="n"/>
      <c r="AB1512" s="47" t="n"/>
      <c r="AC1512" s="47" t="n"/>
      <c r="AD1512" s="47" t="n"/>
      <c r="AE1512" s="47" t="n"/>
      <c r="AF1512" s="20">
        <f>IF(A1512="","",YEAR(EDATE(A1512,-3)))</f>
        <v/>
      </c>
      <c r="AG1512" s="20">
        <f>IF(OR(B1512="",'経歴簿'!$C$4=""),"",IF(B1512&amp;""='経歴簿'!$C$4&amp;"",MAX($AG$4:AG1511)+1,""))</f>
        <v/>
      </c>
      <c r="AH1512" s="20">
        <f>IF(A1512="",0,IF(AND(OR('CSV抽出'!$C$4="",A1512&gt;='CSV抽出'!$C$4),OR('CSV抽出'!$C$5="",A1512&lt;='CSV抽出'!$C$5),OR('CSV抽出'!$C$6="すべて",'CSV抽出'!$C$6="",D1512='CSV抽出'!$C$6),OR('CSV抽出'!$C$7="",B1512&amp;""='CSV抽出'!$C$7&amp;"")),1,0))</f>
        <v/>
      </c>
      <c r="AI1512" s="20">
        <f>IF(AH1512=1,SUM($AH$5:AH1512),"")</f>
        <v/>
      </c>
      <c r="AJ1512" s="20">
        <f>IF(OR(S1512="",'報告書'!$C$4=""),"",IF(S1512&amp;""='報告書'!$C$4&amp;"",COUNTIF($S$5:S1512,'報告書'!$C$4),""))</f>
        <v/>
      </c>
      <c r="AK1512" s="20" t="n"/>
      <c r="AL1512" s="47" t="n"/>
      <c r="AM1512" s="47" t="n"/>
      <c r="AN1512" s="53" t="n"/>
      <c r="AO1512" s="47" t="n"/>
      <c r="AP1512" s="47" t="n"/>
      <c r="AQ1512" s="47" t="n"/>
      <c r="AR1512" s="47" t="n"/>
      <c r="AS1512" s="47" t="n"/>
      <c r="AT1512" s="47" t="n"/>
      <c r="AU1512" s="47" t="n"/>
      <c r="AV1512" s="47" t="n"/>
      <c r="AW1512" s="52" t="n"/>
    </row>
    <row r="1513">
      <c r="A1513" s="48" t="n"/>
      <c r="B1513" s="52" t="n"/>
      <c r="C1513" s="47">
        <f>IF(B1513="","",IFERROR(INDEX('隊員マスタ'!$B$5:$B$204,MATCH(B1513&amp;"",'隊員マスタ'!$F$5:$F$204,0)),IF(AK1513="","番号なし",AK1513)))</f>
        <v/>
      </c>
      <c r="D1513" s="47" t="n"/>
      <c r="E1513" s="47" t="n"/>
      <c r="F1513" s="47" t="n"/>
      <c r="G1513" s="47" t="n"/>
      <c r="H1513" s="47" t="n"/>
      <c r="I1513" s="47" t="n"/>
      <c r="J1513" s="47" t="n"/>
      <c r="K1513" s="47" t="n"/>
      <c r="L1513" s="47" t="n"/>
      <c r="M1513" s="47" t="n"/>
      <c r="N1513" s="47" t="n"/>
      <c r="O1513" s="47" t="n"/>
      <c r="P1513" s="47" t="n"/>
      <c r="Q1513" s="47" t="n"/>
      <c r="R1513" s="47" t="n"/>
      <c r="S1513" s="47" t="n"/>
      <c r="T1513" s="47" t="n"/>
      <c r="U1513" s="53" t="n"/>
      <c r="V1513" s="53" t="n"/>
      <c r="W1513" s="47" t="n"/>
      <c r="X1513" s="47" t="n"/>
      <c r="Y1513" s="47" t="n"/>
      <c r="Z1513" s="47" t="n"/>
      <c r="AA1513" s="47" t="n"/>
      <c r="AB1513" s="47" t="n"/>
      <c r="AC1513" s="47" t="n"/>
      <c r="AD1513" s="47" t="n"/>
      <c r="AE1513" s="47" t="n"/>
      <c r="AF1513" s="20">
        <f>IF(A1513="","",YEAR(EDATE(A1513,-3)))</f>
        <v/>
      </c>
      <c r="AG1513" s="20">
        <f>IF(OR(B1513="",'経歴簿'!$C$4=""),"",IF(B1513&amp;""='経歴簿'!$C$4&amp;"",MAX($AG$4:AG1512)+1,""))</f>
        <v/>
      </c>
      <c r="AH1513" s="20">
        <f>IF(A1513="",0,IF(AND(OR('CSV抽出'!$C$4="",A1513&gt;='CSV抽出'!$C$4),OR('CSV抽出'!$C$5="",A1513&lt;='CSV抽出'!$C$5),OR('CSV抽出'!$C$6="すべて",'CSV抽出'!$C$6="",D1513='CSV抽出'!$C$6),OR('CSV抽出'!$C$7="",B1513&amp;""='CSV抽出'!$C$7&amp;"")),1,0))</f>
        <v/>
      </c>
      <c r="AI1513" s="20">
        <f>IF(AH1513=1,SUM($AH$5:AH1513),"")</f>
        <v/>
      </c>
      <c r="AJ1513" s="20">
        <f>IF(OR(S1513="",'報告書'!$C$4=""),"",IF(S1513&amp;""='報告書'!$C$4&amp;"",COUNTIF($S$5:S1513,'報告書'!$C$4),""))</f>
        <v/>
      </c>
      <c r="AK1513" s="20" t="n"/>
      <c r="AL1513" s="47" t="n"/>
      <c r="AM1513" s="47" t="n"/>
      <c r="AN1513" s="53" t="n"/>
      <c r="AO1513" s="47" t="n"/>
      <c r="AP1513" s="47" t="n"/>
      <c r="AQ1513" s="47" t="n"/>
      <c r="AR1513" s="47" t="n"/>
      <c r="AS1513" s="47" t="n"/>
      <c r="AT1513" s="47" t="n"/>
      <c r="AU1513" s="47" t="n"/>
      <c r="AV1513" s="47" t="n"/>
      <c r="AW1513" s="52" t="n"/>
    </row>
    <row r="1514">
      <c r="A1514" s="48" t="n"/>
      <c r="B1514" s="52" t="n"/>
      <c r="C1514" s="47">
        <f>IF(B1514="","",IFERROR(INDEX('隊員マスタ'!$B$5:$B$204,MATCH(B1514&amp;"",'隊員マスタ'!$F$5:$F$204,0)),IF(AK1514="","番号なし",AK1514)))</f>
        <v/>
      </c>
      <c r="D1514" s="47" t="n"/>
      <c r="E1514" s="47" t="n"/>
      <c r="F1514" s="47" t="n"/>
      <c r="G1514" s="47" t="n"/>
      <c r="H1514" s="47" t="n"/>
      <c r="I1514" s="47" t="n"/>
      <c r="J1514" s="47" t="n"/>
      <c r="K1514" s="47" t="n"/>
      <c r="L1514" s="47" t="n"/>
      <c r="M1514" s="47" t="n"/>
      <c r="N1514" s="47" t="n"/>
      <c r="O1514" s="47" t="n"/>
      <c r="P1514" s="47" t="n"/>
      <c r="Q1514" s="47" t="n"/>
      <c r="R1514" s="47" t="n"/>
      <c r="S1514" s="47" t="n"/>
      <c r="T1514" s="47" t="n"/>
      <c r="U1514" s="53" t="n"/>
      <c r="V1514" s="53" t="n"/>
      <c r="W1514" s="47" t="n"/>
      <c r="X1514" s="47" t="n"/>
      <c r="Y1514" s="47" t="n"/>
      <c r="Z1514" s="47" t="n"/>
      <c r="AA1514" s="47" t="n"/>
      <c r="AB1514" s="47" t="n"/>
      <c r="AC1514" s="47" t="n"/>
      <c r="AD1514" s="47" t="n"/>
      <c r="AE1514" s="47" t="n"/>
      <c r="AF1514" s="20">
        <f>IF(A1514="","",YEAR(EDATE(A1514,-3)))</f>
        <v/>
      </c>
      <c r="AG1514" s="20">
        <f>IF(OR(B1514="",'経歴簿'!$C$4=""),"",IF(B1514&amp;""='経歴簿'!$C$4&amp;"",MAX($AG$4:AG1513)+1,""))</f>
        <v/>
      </c>
      <c r="AH1514" s="20">
        <f>IF(A1514="",0,IF(AND(OR('CSV抽出'!$C$4="",A1514&gt;='CSV抽出'!$C$4),OR('CSV抽出'!$C$5="",A1514&lt;='CSV抽出'!$C$5),OR('CSV抽出'!$C$6="すべて",'CSV抽出'!$C$6="",D1514='CSV抽出'!$C$6),OR('CSV抽出'!$C$7="",B1514&amp;""='CSV抽出'!$C$7&amp;"")),1,0))</f>
        <v/>
      </c>
      <c r="AI1514" s="20">
        <f>IF(AH1514=1,SUM($AH$5:AH1514),"")</f>
        <v/>
      </c>
      <c r="AJ1514" s="20">
        <f>IF(OR(S1514="",'報告書'!$C$4=""),"",IF(S1514&amp;""='報告書'!$C$4&amp;"",COUNTIF($S$5:S1514,'報告書'!$C$4),""))</f>
        <v/>
      </c>
      <c r="AK1514" s="20" t="n"/>
      <c r="AL1514" s="47" t="n"/>
      <c r="AM1514" s="47" t="n"/>
      <c r="AN1514" s="53" t="n"/>
      <c r="AO1514" s="47" t="n"/>
      <c r="AP1514" s="47" t="n"/>
      <c r="AQ1514" s="47" t="n"/>
      <c r="AR1514" s="47" t="n"/>
      <c r="AS1514" s="47" t="n"/>
      <c r="AT1514" s="47" t="n"/>
      <c r="AU1514" s="47" t="n"/>
      <c r="AV1514" s="47" t="n"/>
      <c r="AW1514" s="52" t="n"/>
    </row>
    <row r="1515">
      <c r="A1515" s="48" t="n"/>
      <c r="B1515" s="52" t="n"/>
      <c r="C1515" s="47">
        <f>IF(B1515="","",IFERROR(INDEX('隊員マスタ'!$B$5:$B$204,MATCH(B1515&amp;"",'隊員マスタ'!$F$5:$F$204,0)),IF(AK1515="","番号なし",AK1515)))</f>
        <v/>
      </c>
      <c r="D1515" s="47" t="n"/>
      <c r="E1515" s="47" t="n"/>
      <c r="F1515" s="47" t="n"/>
      <c r="G1515" s="47" t="n"/>
      <c r="H1515" s="47" t="n"/>
      <c r="I1515" s="47" t="n"/>
      <c r="J1515" s="47" t="n"/>
      <c r="K1515" s="47" t="n"/>
      <c r="L1515" s="47" t="n"/>
      <c r="M1515" s="47" t="n"/>
      <c r="N1515" s="47" t="n"/>
      <c r="O1515" s="47" t="n"/>
      <c r="P1515" s="47" t="n"/>
      <c r="Q1515" s="47" t="n"/>
      <c r="R1515" s="47" t="n"/>
      <c r="S1515" s="47" t="n"/>
      <c r="T1515" s="47" t="n"/>
      <c r="U1515" s="53" t="n"/>
      <c r="V1515" s="53" t="n"/>
      <c r="W1515" s="47" t="n"/>
      <c r="X1515" s="47" t="n"/>
      <c r="Y1515" s="47" t="n"/>
      <c r="Z1515" s="47" t="n"/>
      <c r="AA1515" s="47" t="n"/>
      <c r="AB1515" s="47" t="n"/>
      <c r="AC1515" s="47" t="n"/>
      <c r="AD1515" s="47" t="n"/>
      <c r="AE1515" s="47" t="n"/>
      <c r="AF1515" s="20">
        <f>IF(A1515="","",YEAR(EDATE(A1515,-3)))</f>
        <v/>
      </c>
      <c r="AG1515" s="20">
        <f>IF(OR(B1515="",'経歴簿'!$C$4=""),"",IF(B1515&amp;""='経歴簿'!$C$4&amp;"",MAX($AG$4:AG1514)+1,""))</f>
        <v/>
      </c>
      <c r="AH1515" s="20">
        <f>IF(A1515="",0,IF(AND(OR('CSV抽出'!$C$4="",A1515&gt;='CSV抽出'!$C$4),OR('CSV抽出'!$C$5="",A1515&lt;='CSV抽出'!$C$5),OR('CSV抽出'!$C$6="すべて",'CSV抽出'!$C$6="",D1515='CSV抽出'!$C$6),OR('CSV抽出'!$C$7="",B1515&amp;""='CSV抽出'!$C$7&amp;"")),1,0))</f>
        <v/>
      </c>
      <c r="AI1515" s="20">
        <f>IF(AH1515=1,SUM($AH$5:AH1515),"")</f>
        <v/>
      </c>
      <c r="AJ1515" s="20">
        <f>IF(OR(S1515="",'報告書'!$C$4=""),"",IF(S1515&amp;""='報告書'!$C$4&amp;"",COUNTIF($S$5:S1515,'報告書'!$C$4),""))</f>
        <v/>
      </c>
      <c r="AK1515" s="20" t="n"/>
      <c r="AL1515" s="47" t="n"/>
      <c r="AM1515" s="47" t="n"/>
      <c r="AN1515" s="53" t="n"/>
      <c r="AO1515" s="47" t="n"/>
      <c r="AP1515" s="47" t="n"/>
      <c r="AQ1515" s="47" t="n"/>
      <c r="AR1515" s="47" t="n"/>
      <c r="AS1515" s="47" t="n"/>
      <c r="AT1515" s="47" t="n"/>
      <c r="AU1515" s="47" t="n"/>
      <c r="AV1515" s="47" t="n"/>
      <c r="AW1515" s="52" t="n"/>
    </row>
    <row r="1516">
      <c r="A1516" s="48" t="n"/>
      <c r="B1516" s="52" t="n"/>
      <c r="C1516" s="47">
        <f>IF(B1516="","",IFERROR(INDEX('隊員マスタ'!$B$5:$B$204,MATCH(B1516&amp;"",'隊員マスタ'!$F$5:$F$204,0)),IF(AK1516="","番号なし",AK1516)))</f>
        <v/>
      </c>
      <c r="D1516" s="47" t="n"/>
      <c r="E1516" s="47" t="n"/>
      <c r="F1516" s="47" t="n"/>
      <c r="G1516" s="47" t="n"/>
      <c r="H1516" s="47" t="n"/>
      <c r="I1516" s="47" t="n"/>
      <c r="J1516" s="47" t="n"/>
      <c r="K1516" s="47" t="n"/>
      <c r="L1516" s="47" t="n"/>
      <c r="M1516" s="47" t="n"/>
      <c r="N1516" s="47" t="n"/>
      <c r="O1516" s="47" t="n"/>
      <c r="P1516" s="47" t="n"/>
      <c r="Q1516" s="47" t="n"/>
      <c r="R1516" s="47" t="n"/>
      <c r="S1516" s="47" t="n"/>
      <c r="T1516" s="47" t="n"/>
      <c r="U1516" s="53" t="n"/>
      <c r="V1516" s="53" t="n"/>
      <c r="W1516" s="47" t="n"/>
      <c r="X1516" s="47" t="n"/>
      <c r="Y1516" s="47" t="n"/>
      <c r="Z1516" s="47" t="n"/>
      <c r="AA1516" s="47" t="n"/>
      <c r="AB1516" s="47" t="n"/>
      <c r="AC1516" s="47" t="n"/>
      <c r="AD1516" s="47" t="n"/>
      <c r="AE1516" s="47" t="n"/>
      <c r="AF1516" s="20">
        <f>IF(A1516="","",YEAR(EDATE(A1516,-3)))</f>
        <v/>
      </c>
      <c r="AG1516" s="20">
        <f>IF(OR(B1516="",'経歴簿'!$C$4=""),"",IF(B1516&amp;""='経歴簿'!$C$4&amp;"",MAX($AG$4:AG1515)+1,""))</f>
        <v/>
      </c>
      <c r="AH1516" s="20">
        <f>IF(A1516="",0,IF(AND(OR('CSV抽出'!$C$4="",A1516&gt;='CSV抽出'!$C$4),OR('CSV抽出'!$C$5="",A1516&lt;='CSV抽出'!$C$5),OR('CSV抽出'!$C$6="すべて",'CSV抽出'!$C$6="",D1516='CSV抽出'!$C$6),OR('CSV抽出'!$C$7="",B1516&amp;""='CSV抽出'!$C$7&amp;"")),1,0))</f>
        <v/>
      </c>
      <c r="AI1516" s="20">
        <f>IF(AH1516=1,SUM($AH$5:AH1516),"")</f>
        <v/>
      </c>
      <c r="AJ1516" s="20">
        <f>IF(OR(S1516="",'報告書'!$C$4=""),"",IF(S1516&amp;""='報告書'!$C$4&amp;"",COUNTIF($S$5:S1516,'報告書'!$C$4),""))</f>
        <v/>
      </c>
      <c r="AK1516" s="20" t="n"/>
      <c r="AL1516" s="47" t="n"/>
      <c r="AM1516" s="47" t="n"/>
      <c r="AN1516" s="53" t="n"/>
      <c r="AO1516" s="47" t="n"/>
      <c r="AP1516" s="47" t="n"/>
      <c r="AQ1516" s="47" t="n"/>
      <c r="AR1516" s="47" t="n"/>
      <c r="AS1516" s="47" t="n"/>
      <c r="AT1516" s="47" t="n"/>
      <c r="AU1516" s="47" t="n"/>
      <c r="AV1516" s="47" t="n"/>
      <c r="AW1516" s="52" t="n"/>
    </row>
    <row r="1517">
      <c r="A1517" s="48" t="n"/>
      <c r="B1517" s="52" t="n"/>
      <c r="C1517" s="47">
        <f>IF(B1517="","",IFERROR(INDEX('隊員マスタ'!$B$5:$B$204,MATCH(B1517&amp;"",'隊員マスタ'!$F$5:$F$204,0)),IF(AK1517="","番号なし",AK1517)))</f>
        <v/>
      </c>
      <c r="D1517" s="47" t="n"/>
      <c r="E1517" s="47" t="n"/>
      <c r="F1517" s="47" t="n"/>
      <c r="G1517" s="47" t="n"/>
      <c r="H1517" s="47" t="n"/>
      <c r="I1517" s="47" t="n"/>
      <c r="J1517" s="47" t="n"/>
      <c r="K1517" s="47" t="n"/>
      <c r="L1517" s="47" t="n"/>
      <c r="M1517" s="47" t="n"/>
      <c r="N1517" s="47" t="n"/>
      <c r="O1517" s="47" t="n"/>
      <c r="P1517" s="47" t="n"/>
      <c r="Q1517" s="47" t="n"/>
      <c r="R1517" s="47" t="n"/>
      <c r="S1517" s="47" t="n"/>
      <c r="T1517" s="47" t="n"/>
      <c r="U1517" s="53" t="n"/>
      <c r="V1517" s="53" t="n"/>
      <c r="W1517" s="47" t="n"/>
      <c r="X1517" s="47" t="n"/>
      <c r="Y1517" s="47" t="n"/>
      <c r="Z1517" s="47" t="n"/>
      <c r="AA1517" s="47" t="n"/>
      <c r="AB1517" s="47" t="n"/>
      <c r="AC1517" s="47" t="n"/>
      <c r="AD1517" s="47" t="n"/>
      <c r="AE1517" s="47" t="n"/>
      <c r="AF1517" s="20">
        <f>IF(A1517="","",YEAR(EDATE(A1517,-3)))</f>
        <v/>
      </c>
      <c r="AG1517" s="20">
        <f>IF(OR(B1517="",'経歴簿'!$C$4=""),"",IF(B1517&amp;""='経歴簿'!$C$4&amp;"",MAX($AG$4:AG1516)+1,""))</f>
        <v/>
      </c>
      <c r="AH1517" s="20">
        <f>IF(A1517="",0,IF(AND(OR('CSV抽出'!$C$4="",A1517&gt;='CSV抽出'!$C$4),OR('CSV抽出'!$C$5="",A1517&lt;='CSV抽出'!$C$5),OR('CSV抽出'!$C$6="すべて",'CSV抽出'!$C$6="",D1517='CSV抽出'!$C$6),OR('CSV抽出'!$C$7="",B1517&amp;""='CSV抽出'!$C$7&amp;"")),1,0))</f>
        <v/>
      </c>
      <c r="AI1517" s="20">
        <f>IF(AH1517=1,SUM($AH$5:AH1517),"")</f>
        <v/>
      </c>
      <c r="AJ1517" s="20">
        <f>IF(OR(S1517="",'報告書'!$C$4=""),"",IF(S1517&amp;""='報告書'!$C$4&amp;"",COUNTIF($S$5:S1517,'報告書'!$C$4),""))</f>
        <v/>
      </c>
      <c r="AK1517" s="20" t="n"/>
      <c r="AL1517" s="47" t="n"/>
      <c r="AM1517" s="47" t="n"/>
      <c r="AN1517" s="53" t="n"/>
      <c r="AO1517" s="47" t="n"/>
      <c r="AP1517" s="47" t="n"/>
      <c r="AQ1517" s="47" t="n"/>
      <c r="AR1517" s="47" t="n"/>
      <c r="AS1517" s="47" t="n"/>
      <c r="AT1517" s="47" t="n"/>
      <c r="AU1517" s="47" t="n"/>
      <c r="AV1517" s="47" t="n"/>
      <c r="AW1517" s="52" t="n"/>
    </row>
    <row r="1518">
      <c r="A1518" s="48" t="n"/>
      <c r="B1518" s="52" t="n"/>
      <c r="C1518" s="47">
        <f>IF(B1518="","",IFERROR(INDEX('隊員マスタ'!$B$5:$B$204,MATCH(B1518&amp;"",'隊員マスタ'!$F$5:$F$204,0)),IF(AK1518="","番号なし",AK1518)))</f>
        <v/>
      </c>
      <c r="D1518" s="47" t="n"/>
      <c r="E1518" s="47" t="n"/>
      <c r="F1518" s="47" t="n"/>
      <c r="G1518" s="47" t="n"/>
      <c r="H1518" s="47" t="n"/>
      <c r="I1518" s="47" t="n"/>
      <c r="J1518" s="47" t="n"/>
      <c r="K1518" s="47" t="n"/>
      <c r="L1518" s="47" t="n"/>
      <c r="M1518" s="47" t="n"/>
      <c r="N1518" s="47" t="n"/>
      <c r="O1518" s="47" t="n"/>
      <c r="P1518" s="47" t="n"/>
      <c r="Q1518" s="47" t="n"/>
      <c r="R1518" s="47" t="n"/>
      <c r="S1518" s="47" t="n"/>
      <c r="T1518" s="47" t="n"/>
      <c r="U1518" s="53" t="n"/>
      <c r="V1518" s="53" t="n"/>
      <c r="W1518" s="47" t="n"/>
      <c r="X1518" s="47" t="n"/>
      <c r="Y1518" s="47" t="n"/>
      <c r="Z1518" s="47" t="n"/>
      <c r="AA1518" s="47" t="n"/>
      <c r="AB1518" s="47" t="n"/>
      <c r="AC1518" s="47" t="n"/>
      <c r="AD1518" s="47" t="n"/>
      <c r="AE1518" s="47" t="n"/>
      <c r="AF1518" s="20">
        <f>IF(A1518="","",YEAR(EDATE(A1518,-3)))</f>
        <v/>
      </c>
      <c r="AG1518" s="20">
        <f>IF(OR(B1518="",'経歴簿'!$C$4=""),"",IF(B1518&amp;""='経歴簿'!$C$4&amp;"",MAX($AG$4:AG1517)+1,""))</f>
        <v/>
      </c>
      <c r="AH1518" s="20">
        <f>IF(A1518="",0,IF(AND(OR('CSV抽出'!$C$4="",A1518&gt;='CSV抽出'!$C$4),OR('CSV抽出'!$C$5="",A1518&lt;='CSV抽出'!$C$5),OR('CSV抽出'!$C$6="すべて",'CSV抽出'!$C$6="",D1518='CSV抽出'!$C$6),OR('CSV抽出'!$C$7="",B1518&amp;""='CSV抽出'!$C$7&amp;"")),1,0))</f>
        <v/>
      </c>
      <c r="AI1518" s="20">
        <f>IF(AH1518=1,SUM($AH$5:AH1518),"")</f>
        <v/>
      </c>
      <c r="AJ1518" s="20">
        <f>IF(OR(S1518="",'報告書'!$C$4=""),"",IF(S1518&amp;""='報告書'!$C$4&amp;"",COUNTIF($S$5:S1518,'報告書'!$C$4),""))</f>
        <v/>
      </c>
      <c r="AK1518" s="20" t="n"/>
      <c r="AL1518" s="47" t="n"/>
      <c r="AM1518" s="47" t="n"/>
      <c r="AN1518" s="53" t="n"/>
      <c r="AO1518" s="47" t="n"/>
      <c r="AP1518" s="47" t="n"/>
      <c r="AQ1518" s="47" t="n"/>
      <c r="AR1518" s="47" t="n"/>
      <c r="AS1518" s="47" t="n"/>
      <c r="AT1518" s="47" t="n"/>
      <c r="AU1518" s="47" t="n"/>
      <c r="AV1518" s="47" t="n"/>
      <c r="AW1518" s="52" t="n"/>
    </row>
    <row r="1519">
      <c r="A1519" s="48" t="n"/>
      <c r="B1519" s="52" t="n"/>
      <c r="C1519" s="47">
        <f>IF(B1519="","",IFERROR(INDEX('隊員マスタ'!$B$5:$B$204,MATCH(B1519&amp;"",'隊員マスタ'!$F$5:$F$204,0)),IF(AK1519="","番号なし",AK1519)))</f>
        <v/>
      </c>
      <c r="D1519" s="47" t="n"/>
      <c r="E1519" s="47" t="n"/>
      <c r="F1519" s="47" t="n"/>
      <c r="G1519" s="47" t="n"/>
      <c r="H1519" s="47" t="n"/>
      <c r="I1519" s="47" t="n"/>
      <c r="J1519" s="47" t="n"/>
      <c r="K1519" s="47" t="n"/>
      <c r="L1519" s="47" t="n"/>
      <c r="M1519" s="47" t="n"/>
      <c r="N1519" s="47" t="n"/>
      <c r="O1519" s="47" t="n"/>
      <c r="P1519" s="47" t="n"/>
      <c r="Q1519" s="47" t="n"/>
      <c r="R1519" s="47" t="n"/>
      <c r="S1519" s="47" t="n"/>
      <c r="T1519" s="47" t="n"/>
      <c r="U1519" s="53" t="n"/>
      <c r="V1519" s="53" t="n"/>
      <c r="W1519" s="47" t="n"/>
      <c r="X1519" s="47" t="n"/>
      <c r="Y1519" s="47" t="n"/>
      <c r="Z1519" s="47" t="n"/>
      <c r="AA1519" s="47" t="n"/>
      <c r="AB1519" s="47" t="n"/>
      <c r="AC1519" s="47" t="n"/>
      <c r="AD1519" s="47" t="n"/>
      <c r="AE1519" s="47" t="n"/>
      <c r="AF1519" s="20">
        <f>IF(A1519="","",YEAR(EDATE(A1519,-3)))</f>
        <v/>
      </c>
      <c r="AG1519" s="20">
        <f>IF(OR(B1519="",'経歴簿'!$C$4=""),"",IF(B1519&amp;""='経歴簿'!$C$4&amp;"",MAX($AG$4:AG1518)+1,""))</f>
        <v/>
      </c>
      <c r="AH1519" s="20">
        <f>IF(A1519="",0,IF(AND(OR('CSV抽出'!$C$4="",A1519&gt;='CSV抽出'!$C$4),OR('CSV抽出'!$C$5="",A1519&lt;='CSV抽出'!$C$5),OR('CSV抽出'!$C$6="すべて",'CSV抽出'!$C$6="",D1519='CSV抽出'!$C$6),OR('CSV抽出'!$C$7="",B1519&amp;""='CSV抽出'!$C$7&amp;"")),1,0))</f>
        <v/>
      </c>
      <c r="AI1519" s="20">
        <f>IF(AH1519=1,SUM($AH$5:AH1519),"")</f>
        <v/>
      </c>
      <c r="AJ1519" s="20">
        <f>IF(OR(S1519="",'報告書'!$C$4=""),"",IF(S1519&amp;""='報告書'!$C$4&amp;"",COUNTIF($S$5:S1519,'報告書'!$C$4),""))</f>
        <v/>
      </c>
      <c r="AK1519" s="20" t="n"/>
      <c r="AL1519" s="47" t="n"/>
      <c r="AM1519" s="47" t="n"/>
      <c r="AN1519" s="53" t="n"/>
      <c r="AO1519" s="47" t="n"/>
      <c r="AP1519" s="47" t="n"/>
      <c r="AQ1519" s="47" t="n"/>
      <c r="AR1519" s="47" t="n"/>
      <c r="AS1519" s="47" t="n"/>
      <c r="AT1519" s="47" t="n"/>
      <c r="AU1519" s="47" t="n"/>
      <c r="AV1519" s="47" t="n"/>
      <c r="AW1519" s="52" t="n"/>
    </row>
    <row r="1520">
      <c r="A1520" s="48" t="n"/>
      <c r="B1520" s="52" t="n"/>
      <c r="C1520" s="47">
        <f>IF(B1520="","",IFERROR(INDEX('隊員マスタ'!$B$5:$B$204,MATCH(B1520&amp;"",'隊員マスタ'!$F$5:$F$204,0)),IF(AK1520="","番号なし",AK1520)))</f>
        <v/>
      </c>
      <c r="D1520" s="47" t="n"/>
      <c r="E1520" s="47" t="n"/>
      <c r="F1520" s="47" t="n"/>
      <c r="G1520" s="47" t="n"/>
      <c r="H1520" s="47" t="n"/>
      <c r="I1520" s="47" t="n"/>
      <c r="J1520" s="47" t="n"/>
      <c r="K1520" s="47" t="n"/>
      <c r="L1520" s="47" t="n"/>
      <c r="M1520" s="47" t="n"/>
      <c r="N1520" s="47" t="n"/>
      <c r="O1520" s="47" t="n"/>
      <c r="P1520" s="47" t="n"/>
      <c r="Q1520" s="47" t="n"/>
      <c r="R1520" s="47" t="n"/>
      <c r="S1520" s="47" t="n"/>
      <c r="T1520" s="47" t="n"/>
      <c r="U1520" s="53" t="n"/>
      <c r="V1520" s="53" t="n"/>
      <c r="W1520" s="47" t="n"/>
      <c r="X1520" s="47" t="n"/>
      <c r="Y1520" s="47" t="n"/>
      <c r="Z1520" s="47" t="n"/>
      <c r="AA1520" s="47" t="n"/>
      <c r="AB1520" s="47" t="n"/>
      <c r="AC1520" s="47" t="n"/>
      <c r="AD1520" s="47" t="n"/>
      <c r="AE1520" s="47" t="n"/>
      <c r="AF1520" s="20">
        <f>IF(A1520="","",YEAR(EDATE(A1520,-3)))</f>
        <v/>
      </c>
      <c r="AG1520" s="20">
        <f>IF(OR(B1520="",'経歴簿'!$C$4=""),"",IF(B1520&amp;""='経歴簿'!$C$4&amp;"",MAX($AG$4:AG1519)+1,""))</f>
        <v/>
      </c>
      <c r="AH1520" s="20">
        <f>IF(A1520="",0,IF(AND(OR('CSV抽出'!$C$4="",A1520&gt;='CSV抽出'!$C$4),OR('CSV抽出'!$C$5="",A1520&lt;='CSV抽出'!$C$5),OR('CSV抽出'!$C$6="すべて",'CSV抽出'!$C$6="",D1520='CSV抽出'!$C$6),OR('CSV抽出'!$C$7="",B1520&amp;""='CSV抽出'!$C$7&amp;"")),1,0))</f>
        <v/>
      </c>
      <c r="AI1520" s="20">
        <f>IF(AH1520=1,SUM($AH$5:AH1520),"")</f>
        <v/>
      </c>
      <c r="AJ1520" s="20">
        <f>IF(OR(S1520="",'報告書'!$C$4=""),"",IF(S1520&amp;""='報告書'!$C$4&amp;"",COUNTIF($S$5:S1520,'報告書'!$C$4),""))</f>
        <v/>
      </c>
      <c r="AK1520" s="20" t="n"/>
      <c r="AL1520" s="47" t="n"/>
      <c r="AM1520" s="47" t="n"/>
      <c r="AN1520" s="53" t="n"/>
      <c r="AO1520" s="47" t="n"/>
      <c r="AP1520" s="47" t="n"/>
      <c r="AQ1520" s="47" t="n"/>
      <c r="AR1520" s="47" t="n"/>
      <c r="AS1520" s="47" t="n"/>
      <c r="AT1520" s="47" t="n"/>
      <c r="AU1520" s="47" t="n"/>
      <c r="AV1520" s="47" t="n"/>
      <c r="AW1520" s="52" t="n"/>
    </row>
    <row r="1521">
      <c r="A1521" s="48" t="n"/>
      <c r="B1521" s="52" t="n"/>
      <c r="C1521" s="47">
        <f>IF(B1521="","",IFERROR(INDEX('隊員マスタ'!$B$5:$B$204,MATCH(B1521&amp;"",'隊員マスタ'!$F$5:$F$204,0)),IF(AK1521="","番号なし",AK1521)))</f>
        <v/>
      </c>
      <c r="D1521" s="47" t="n"/>
      <c r="E1521" s="47" t="n"/>
      <c r="F1521" s="47" t="n"/>
      <c r="G1521" s="47" t="n"/>
      <c r="H1521" s="47" t="n"/>
      <c r="I1521" s="47" t="n"/>
      <c r="J1521" s="47" t="n"/>
      <c r="K1521" s="47" t="n"/>
      <c r="L1521" s="47" t="n"/>
      <c r="M1521" s="47" t="n"/>
      <c r="N1521" s="47" t="n"/>
      <c r="O1521" s="47" t="n"/>
      <c r="P1521" s="47" t="n"/>
      <c r="Q1521" s="47" t="n"/>
      <c r="R1521" s="47" t="n"/>
      <c r="S1521" s="47" t="n"/>
      <c r="T1521" s="47" t="n"/>
      <c r="U1521" s="53" t="n"/>
      <c r="V1521" s="53" t="n"/>
      <c r="W1521" s="47" t="n"/>
      <c r="X1521" s="47" t="n"/>
      <c r="Y1521" s="47" t="n"/>
      <c r="Z1521" s="47" t="n"/>
      <c r="AA1521" s="47" t="n"/>
      <c r="AB1521" s="47" t="n"/>
      <c r="AC1521" s="47" t="n"/>
      <c r="AD1521" s="47" t="n"/>
      <c r="AE1521" s="47" t="n"/>
      <c r="AF1521" s="20">
        <f>IF(A1521="","",YEAR(EDATE(A1521,-3)))</f>
        <v/>
      </c>
      <c r="AG1521" s="20">
        <f>IF(OR(B1521="",'経歴簿'!$C$4=""),"",IF(B1521&amp;""='経歴簿'!$C$4&amp;"",MAX($AG$4:AG1520)+1,""))</f>
        <v/>
      </c>
      <c r="AH1521" s="20">
        <f>IF(A1521="",0,IF(AND(OR('CSV抽出'!$C$4="",A1521&gt;='CSV抽出'!$C$4),OR('CSV抽出'!$C$5="",A1521&lt;='CSV抽出'!$C$5),OR('CSV抽出'!$C$6="すべて",'CSV抽出'!$C$6="",D1521='CSV抽出'!$C$6),OR('CSV抽出'!$C$7="",B1521&amp;""='CSV抽出'!$C$7&amp;"")),1,0))</f>
        <v/>
      </c>
      <c r="AI1521" s="20">
        <f>IF(AH1521=1,SUM($AH$5:AH1521),"")</f>
        <v/>
      </c>
      <c r="AJ1521" s="20">
        <f>IF(OR(S1521="",'報告書'!$C$4=""),"",IF(S1521&amp;""='報告書'!$C$4&amp;"",COUNTIF($S$5:S1521,'報告書'!$C$4),""))</f>
        <v/>
      </c>
      <c r="AK1521" s="20" t="n"/>
      <c r="AL1521" s="47" t="n"/>
      <c r="AM1521" s="47" t="n"/>
      <c r="AN1521" s="53" t="n"/>
      <c r="AO1521" s="47" t="n"/>
      <c r="AP1521" s="47" t="n"/>
      <c r="AQ1521" s="47" t="n"/>
      <c r="AR1521" s="47" t="n"/>
      <c r="AS1521" s="47" t="n"/>
      <c r="AT1521" s="47" t="n"/>
      <c r="AU1521" s="47" t="n"/>
      <c r="AV1521" s="47" t="n"/>
      <c r="AW1521" s="52" t="n"/>
    </row>
    <row r="1522">
      <c r="A1522" s="48" t="n"/>
      <c r="B1522" s="52" t="n"/>
      <c r="C1522" s="47">
        <f>IF(B1522="","",IFERROR(INDEX('隊員マスタ'!$B$5:$B$204,MATCH(B1522&amp;"",'隊員マスタ'!$F$5:$F$204,0)),IF(AK1522="","番号なし",AK1522)))</f>
        <v/>
      </c>
      <c r="D1522" s="47" t="n"/>
      <c r="E1522" s="47" t="n"/>
      <c r="F1522" s="47" t="n"/>
      <c r="G1522" s="47" t="n"/>
      <c r="H1522" s="47" t="n"/>
      <c r="I1522" s="47" t="n"/>
      <c r="J1522" s="47" t="n"/>
      <c r="K1522" s="47" t="n"/>
      <c r="L1522" s="47" t="n"/>
      <c r="M1522" s="47" t="n"/>
      <c r="N1522" s="47" t="n"/>
      <c r="O1522" s="47" t="n"/>
      <c r="P1522" s="47" t="n"/>
      <c r="Q1522" s="47" t="n"/>
      <c r="R1522" s="47" t="n"/>
      <c r="S1522" s="47" t="n"/>
      <c r="T1522" s="47" t="n"/>
      <c r="U1522" s="53" t="n"/>
      <c r="V1522" s="53" t="n"/>
      <c r="W1522" s="47" t="n"/>
      <c r="X1522" s="47" t="n"/>
      <c r="Y1522" s="47" t="n"/>
      <c r="Z1522" s="47" t="n"/>
      <c r="AA1522" s="47" t="n"/>
      <c r="AB1522" s="47" t="n"/>
      <c r="AC1522" s="47" t="n"/>
      <c r="AD1522" s="47" t="n"/>
      <c r="AE1522" s="47" t="n"/>
      <c r="AF1522" s="20">
        <f>IF(A1522="","",YEAR(EDATE(A1522,-3)))</f>
        <v/>
      </c>
      <c r="AG1522" s="20">
        <f>IF(OR(B1522="",'経歴簿'!$C$4=""),"",IF(B1522&amp;""='経歴簿'!$C$4&amp;"",MAX($AG$4:AG1521)+1,""))</f>
        <v/>
      </c>
      <c r="AH1522" s="20">
        <f>IF(A1522="",0,IF(AND(OR('CSV抽出'!$C$4="",A1522&gt;='CSV抽出'!$C$4),OR('CSV抽出'!$C$5="",A1522&lt;='CSV抽出'!$C$5),OR('CSV抽出'!$C$6="すべて",'CSV抽出'!$C$6="",D1522='CSV抽出'!$C$6),OR('CSV抽出'!$C$7="",B1522&amp;""='CSV抽出'!$C$7&amp;"")),1,0))</f>
        <v/>
      </c>
      <c r="AI1522" s="20">
        <f>IF(AH1522=1,SUM($AH$5:AH1522),"")</f>
        <v/>
      </c>
      <c r="AJ1522" s="20">
        <f>IF(OR(S1522="",'報告書'!$C$4=""),"",IF(S1522&amp;""='報告書'!$C$4&amp;"",COUNTIF($S$5:S1522,'報告書'!$C$4),""))</f>
        <v/>
      </c>
      <c r="AK1522" s="20" t="n"/>
      <c r="AL1522" s="47" t="n"/>
      <c r="AM1522" s="47" t="n"/>
      <c r="AN1522" s="53" t="n"/>
      <c r="AO1522" s="47" t="n"/>
      <c r="AP1522" s="47" t="n"/>
      <c r="AQ1522" s="47" t="n"/>
      <c r="AR1522" s="47" t="n"/>
      <c r="AS1522" s="47" t="n"/>
      <c r="AT1522" s="47" t="n"/>
      <c r="AU1522" s="47" t="n"/>
      <c r="AV1522" s="47" t="n"/>
      <c r="AW1522" s="52" t="n"/>
    </row>
    <row r="1523">
      <c r="A1523" s="48" t="n"/>
      <c r="B1523" s="52" t="n"/>
      <c r="C1523" s="47">
        <f>IF(B1523="","",IFERROR(INDEX('隊員マスタ'!$B$5:$B$204,MATCH(B1523&amp;"",'隊員マスタ'!$F$5:$F$204,0)),IF(AK1523="","番号なし",AK1523)))</f>
        <v/>
      </c>
      <c r="D1523" s="47" t="n"/>
      <c r="E1523" s="47" t="n"/>
      <c r="F1523" s="47" t="n"/>
      <c r="G1523" s="47" t="n"/>
      <c r="H1523" s="47" t="n"/>
      <c r="I1523" s="47" t="n"/>
      <c r="J1523" s="47" t="n"/>
      <c r="K1523" s="47" t="n"/>
      <c r="L1523" s="47" t="n"/>
      <c r="M1523" s="47" t="n"/>
      <c r="N1523" s="47" t="n"/>
      <c r="O1523" s="47" t="n"/>
      <c r="P1523" s="47" t="n"/>
      <c r="Q1523" s="47" t="n"/>
      <c r="R1523" s="47" t="n"/>
      <c r="S1523" s="47" t="n"/>
      <c r="T1523" s="47" t="n"/>
      <c r="U1523" s="53" t="n"/>
      <c r="V1523" s="53" t="n"/>
      <c r="W1523" s="47" t="n"/>
      <c r="X1523" s="47" t="n"/>
      <c r="Y1523" s="47" t="n"/>
      <c r="Z1523" s="47" t="n"/>
      <c r="AA1523" s="47" t="n"/>
      <c r="AB1523" s="47" t="n"/>
      <c r="AC1523" s="47" t="n"/>
      <c r="AD1523" s="47" t="n"/>
      <c r="AE1523" s="47" t="n"/>
      <c r="AF1523" s="20">
        <f>IF(A1523="","",YEAR(EDATE(A1523,-3)))</f>
        <v/>
      </c>
      <c r="AG1523" s="20">
        <f>IF(OR(B1523="",'経歴簿'!$C$4=""),"",IF(B1523&amp;""='経歴簿'!$C$4&amp;"",MAX($AG$4:AG1522)+1,""))</f>
        <v/>
      </c>
      <c r="AH1523" s="20">
        <f>IF(A1523="",0,IF(AND(OR('CSV抽出'!$C$4="",A1523&gt;='CSV抽出'!$C$4),OR('CSV抽出'!$C$5="",A1523&lt;='CSV抽出'!$C$5),OR('CSV抽出'!$C$6="すべて",'CSV抽出'!$C$6="",D1523='CSV抽出'!$C$6),OR('CSV抽出'!$C$7="",B1523&amp;""='CSV抽出'!$C$7&amp;"")),1,0))</f>
        <v/>
      </c>
      <c r="AI1523" s="20">
        <f>IF(AH1523=1,SUM($AH$5:AH1523),"")</f>
        <v/>
      </c>
      <c r="AJ1523" s="20">
        <f>IF(OR(S1523="",'報告書'!$C$4=""),"",IF(S1523&amp;""='報告書'!$C$4&amp;"",COUNTIF($S$5:S1523,'報告書'!$C$4),""))</f>
        <v/>
      </c>
      <c r="AK1523" s="20" t="n"/>
      <c r="AL1523" s="47" t="n"/>
      <c r="AM1523" s="47" t="n"/>
      <c r="AN1523" s="53" t="n"/>
      <c r="AO1523" s="47" t="n"/>
      <c r="AP1523" s="47" t="n"/>
      <c r="AQ1523" s="47" t="n"/>
      <c r="AR1523" s="47" t="n"/>
      <c r="AS1523" s="47" t="n"/>
      <c r="AT1523" s="47" t="n"/>
      <c r="AU1523" s="47" t="n"/>
      <c r="AV1523" s="47" t="n"/>
      <c r="AW1523" s="52" t="n"/>
    </row>
    <row r="1524">
      <c r="A1524" s="48" t="n"/>
      <c r="B1524" s="52" t="n"/>
      <c r="C1524" s="47">
        <f>IF(B1524="","",IFERROR(INDEX('隊員マスタ'!$B$5:$B$204,MATCH(B1524&amp;"",'隊員マスタ'!$F$5:$F$204,0)),IF(AK1524="","番号なし",AK1524)))</f>
        <v/>
      </c>
      <c r="D1524" s="47" t="n"/>
      <c r="E1524" s="47" t="n"/>
      <c r="F1524" s="47" t="n"/>
      <c r="G1524" s="47" t="n"/>
      <c r="H1524" s="47" t="n"/>
      <c r="I1524" s="47" t="n"/>
      <c r="J1524" s="47" t="n"/>
      <c r="K1524" s="47" t="n"/>
      <c r="L1524" s="47" t="n"/>
      <c r="M1524" s="47" t="n"/>
      <c r="N1524" s="47" t="n"/>
      <c r="O1524" s="47" t="n"/>
      <c r="P1524" s="47" t="n"/>
      <c r="Q1524" s="47" t="n"/>
      <c r="R1524" s="47" t="n"/>
      <c r="S1524" s="47" t="n"/>
      <c r="T1524" s="47" t="n"/>
      <c r="U1524" s="53" t="n"/>
      <c r="V1524" s="53" t="n"/>
      <c r="W1524" s="47" t="n"/>
      <c r="X1524" s="47" t="n"/>
      <c r="Y1524" s="47" t="n"/>
      <c r="Z1524" s="47" t="n"/>
      <c r="AA1524" s="47" t="n"/>
      <c r="AB1524" s="47" t="n"/>
      <c r="AC1524" s="47" t="n"/>
      <c r="AD1524" s="47" t="n"/>
      <c r="AE1524" s="47" t="n"/>
      <c r="AF1524" s="20">
        <f>IF(A1524="","",YEAR(EDATE(A1524,-3)))</f>
        <v/>
      </c>
      <c r="AG1524" s="20">
        <f>IF(OR(B1524="",'経歴簿'!$C$4=""),"",IF(B1524&amp;""='経歴簿'!$C$4&amp;"",MAX($AG$4:AG1523)+1,""))</f>
        <v/>
      </c>
      <c r="AH1524" s="20">
        <f>IF(A1524="",0,IF(AND(OR('CSV抽出'!$C$4="",A1524&gt;='CSV抽出'!$C$4),OR('CSV抽出'!$C$5="",A1524&lt;='CSV抽出'!$C$5),OR('CSV抽出'!$C$6="すべて",'CSV抽出'!$C$6="",D1524='CSV抽出'!$C$6),OR('CSV抽出'!$C$7="",B1524&amp;""='CSV抽出'!$C$7&amp;"")),1,0))</f>
        <v/>
      </c>
      <c r="AI1524" s="20">
        <f>IF(AH1524=1,SUM($AH$5:AH1524),"")</f>
        <v/>
      </c>
      <c r="AJ1524" s="20">
        <f>IF(OR(S1524="",'報告書'!$C$4=""),"",IF(S1524&amp;""='報告書'!$C$4&amp;"",COUNTIF($S$5:S1524,'報告書'!$C$4),""))</f>
        <v/>
      </c>
      <c r="AK1524" s="20" t="n"/>
      <c r="AL1524" s="47" t="n"/>
      <c r="AM1524" s="47" t="n"/>
      <c r="AN1524" s="53" t="n"/>
      <c r="AO1524" s="47" t="n"/>
      <c r="AP1524" s="47" t="n"/>
      <c r="AQ1524" s="47" t="n"/>
      <c r="AR1524" s="47" t="n"/>
      <c r="AS1524" s="47" t="n"/>
      <c r="AT1524" s="47" t="n"/>
      <c r="AU1524" s="47" t="n"/>
      <c r="AV1524" s="47" t="n"/>
      <c r="AW1524" s="52" t="n"/>
    </row>
    <row r="1525">
      <c r="A1525" s="48" t="n"/>
      <c r="B1525" s="52" t="n"/>
      <c r="C1525" s="47">
        <f>IF(B1525="","",IFERROR(INDEX('隊員マスタ'!$B$5:$B$204,MATCH(B1525&amp;"",'隊員マスタ'!$F$5:$F$204,0)),IF(AK1525="","番号なし",AK1525)))</f>
        <v/>
      </c>
      <c r="D1525" s="47" t="n"/>
      <c r="E1525" s="47" t="n"/>
      <c r="F1525" s="47" t="n"/>
      <c r="G1525" s="47" t="n"/>
      <c r="H1525" s="47" t="n"/>
      <c r="I1525" s="47" t="n"/>
      <c r="J1525" s="47" t="n"/>
      <c r="K1525" s="47" t="n"/>
      <c r="L1525" s="47" t="n"/>
      <c r="M1525" s="47" t="n"/>
      <c r="N1525" s="47" t="n"/>
      <c r="O1525" s="47" t="n"/>
      <c r="P1525" s="47" t="n"/>
      <c r="Q1525" s="47" t="n"/>
      <c r="R1525" s="47" t="n"/>
      <c r="S1525" s="47" t="n"/>
      <c r="T1525" s="47" t="n"/>
      <c r="U1525" s="53" t="n"/>
      <c r="V1525" s="53" t="n"/>
      <c r="W1525" s="47" t="n"/>
      <c r="X1525" s="47" t="n"/>
      <c r="Y1525" s="47" t="n"/>
      <c r="Z1525" s="47" t="n"/>
      <c r="AA1525" s="47" t="n"/>
      <c r="AB1525" s="47" t="n"/>
      <c r="AC1525" s="47" t="n"/>
      <c r="AD1525" s="47" t="n"/>
      <c r="AE1525" s="47" t="n"/>
      <c r="AF1525" s="20">
        <f>IF(A1525="","",YEAR(EDATE(A1525,-3)))</f>
        <v/>
      </c>
      <c r="AG1525" s="20">
        <f>IF(OR(B1525="",'経歴簿'!$C$4=""),"",IF(B1525&amp;""='経歴簿'!$C$4&amp;"",MAX($AG$4:AG1524)+1,""))</f>
        <v/>
      </c>
      <c r="AH1525" s="20">
        <f>IF(A1525="",0,IF(AND(OR('CSV抽出'!$C$4="",A1525&gt;='CSV抽出'!$C$4),OR('CSV抽出'!$C$5="",A1525&lt;='CSV抽出'!$C$5),OR('CSV抽出'!$C$6="すべて",'CSV抽出'!$C$6="",D1525='CSV抽出'!$C$6),OR('CSV抽出'!$C$7="",B1525&amp;""='CSV抽出'!$C$7&amp;"")),1,0))</f>
        <v/>
      </c>
      <c r="AI1525" s="20">
        <f>IF(AH1525=1,SUM($AH$5:AH1525),"")</f>
        <v/>
      </c>
      <c r="AJ1525" s="20">
        <f>IF(OR(S1525="",'報告書'!$C$4=""),"",IF(S1525&amp;""='報告書'!$C$4&amp;"",COUNTIF($S$5:S1525,'報告書'!$C$4),""))</f>
        <v/>
      </c>
      <c r="AK1525" s="20" t="n"/>
      <c r="AL1525" s="47" t="n"/>
      <c r="AM1525" s="47" t="n"/>
      <c r="AN1525" s="53" t="n"/>
      <c r="AO1525" s="47" t="n"/>
      <c r="AP1525" s="47" t="n"/>
      <c r="AQ1525" s="47" t="n"/>
      <c r="AR1525" s="47" t="n"/>
      <c r="AS1525" s="47" t="n"/>
      <c r="AT1525" s="47" t="n"/>
      <c r="AU1525" s="47" t="n"/>
      <c r="AV1525" s="47" t="n"/>
      <c r="AW1525" s="52" t="n"/>
    </row>
    <row r="1526">
      <c r="A1526" s="48" t="n"/>
      <c r="B1526" s="52" t="n"/>
      <c r="C1526" s="47">
        <f>IF(B1526="","",IFERROR(INDEX('隊員マスタ'!$B$5:$B$204,MATCH(B1526&amp;"",'隊員マスタ'!$F$5:$F$204,0)),IF(AK1526="","番号なし",AK1526)))</f>
        <v/>
      </c>
      <c r="D1526" s="47" t="n"/>
      <c r="E1526" s="47" t="n"/>
      <c r="F1526" s="47" t="n"/>
      <c r="G1526" s="47" t="n"/>
      <c r="H1526" s="47" t="n"/>
      <c r="I1526" s="47" t="n"/>
      <c r="J1526" s="47" t="n"/>
      <c r="K1526" s="47" t="n"/>
      <c r="L1526" s="47" t="n"/>
      <c r="M1526" s="47" t="n"/>
      <c r="N1526" s="47" t="n"/>
      <c r="O1526" s="47" t="n"/>
      <c r="P1526" s="47" t="n"/>
      <c r="Q1526" s="47" t="n"/>
      <c r="R1526" s="47" t="n"/>
      <c r="S1526" s="47" t="n"/>
      <c r="T1526" s="47" t="n"/>
      <c r="U1526" s="53" t="n"/>
      <c r="V1526" s="53" t="n"/>
      <c r="W1526" s="47" t="n"/>
      <c r="X1526" s="47" t="n"/>
      <c r="Y1526" s="47" t="n"/>
      <c r="Z1526" s="47" t="n"/>
      <c r="AA1526" s="47" t="n"/>
      <c r="AB1526" s="47" t="n"/>
      <c r="AC1526" s="47" t="n"/>
      <c r="AD1526" s="47" t="n"/>
      <c r="AE1526" s="47" t="n"/>
      <c r="AF1526" s="20">
        <f>IF(A1526="","",YEAR(EDATE(A1526,-3)))</f>
        <v/>
      </c>
      <c r="AG1526" s="20">
        <f>IF(OR(B1526="",'経歴簿'!$C$4=""),"",IF(B1526&amp;""='経歴簿'!$C$4&amp;"",MAX($AG$4:AG1525)+1,""))</f>
        <v/>
      </c>
      <c r="AH1526" s="20">
        <f>IF(A1526="",0,IF(AND(OR('CSV抽出'!$C$4="",A1526&gt;='CSV抽出'!$C$4),OR('CSV抽出'!$C$5="",A1526&lt;='CSV抽出'!$C$5),OR('CSV抽出'!$C$6="すべて",'CSV抽出'!$C$6="",D1526='CSV抽出'!$C$6),OR('CSV抽出'!$C$7="",B1526&amp;""='CSV抽出'!$C$7&amp;"")),1,0))</f>
        <v/>
      </c>
      <c r="AI1526" s="20">
        <f>IF(AH1526=1,SUM($AH$5:AH1526),"")</f>
        <v/>
      </c>
      <c r="AJ1526" s="20">
        <f>IF(OR(S1526="",'報告書'!$C$4=""),"",IF(S1526&amp;""='報告書'!$C$4&amp;"",COUNTIF($S$5:S1526,'報告書'!$C$4),""))</f>
        <v/>
      </c>
      <c r="AK1526" s="20" t="n"/>
      <c r="AL1526" s="47" t="n"/>
      <c r="AM1526" s="47" t="n"/>
      <c r="AN1526" s="53" t="n"/>
      <c r="AO1526" s="47" t="n"/>
      <c r="AP1526" s="47" t="n"/>
      <c r="AQ1526" s="47" t="n"/>
      <c r="AR1526" s="47" t="n"/>
      <c r="AS1526" s="47" t="n"/>
      <c r="AT1526" s="47" t="n"/>
      <c r="AU1526" s="47" t="n"/>
      <c r="AV1526" s="47" t="n"/>
      <c r="AW1526" s="52" t="n"/>
    </row>
    <row r="1527">
      <c r="A1527" s="48" t="n"/>
      <c r="B1527" s="52" t="n"/>
      <c r="C1527" s="47">
        <f>IF(B1527="","",IFERROR(INDEX('隊員マスタ'!$B$5:$B$204,MATCH(B1527&amp;"",'隊員マスタ'!$F$5:$F$204,0)),IF(AK1527="","番号なし",AK1527)))</f>
        <v/>
      </c>
      <c r="D1527" s="47" t="n"/>
      <c r="E1527" s="47" t="n"/>
      <c r="F1527" s="47" t="n"/>
      <c r="G1527" s="47" t="n"/>
      <c r="H1527" s="47" t="n"/>
      <c r="I1527" s="47" t="n"/>
      <c r="J1527" s="47" t="n"/>
      <c r="K1527" s="47" t="n"/>
      <c r="L1527" s="47" t="n"/>
      <c r="M1527" s="47" t="n"/>
      <c r="N1527" s="47" t="n"/>
      <c r="O1527" s="47" t="n"/>
      <c r="P1527" s="47" t="n"/>
      <c r="Q1527" s="47" t="n"/>
      <c r="R1527" s="47" t="n"/>
      <c r="S1527" s="47" t="n"/>
      <c r="T1527" s="47" t="n"/>
      <c r="U1527" s="53" t="n"/>
      <c r="V1527" s="53" t="n"/>
      <c r="W1527" s="47" t="n"/>
      <c r="X1527" s="47" t="n"/>
      <c r="Y1527" s="47" t="n"/>
      <c r="Z1527" s="47" t="n"/>
      <c r="AA1527" s="47" t="n"/>
      <c r="AB1527" s="47" t="n"/>
      <c r="AC1527" s="47" t="n"/>
      <c r="AD1527" s="47" t="n"/>
      <c r="AE1527" s="47" t="n"/>
      <c r="AF1527" s="20">
        <f>IF(A1527="","",YEAR(EDATE(A1527,-3)))</f>
        <v/>
      </c>
      <c r="AG1527" s="20">
        <f>IF(OR(B1527="",'経歴簿'!$C$4=""),"",IF(B1527&amp;""='経歴簿'!$C$4&amp;"",MAX($AG$4:AG1526)+1,""))</f>
        <v/>
      </c>
      <c r="AH1527" s="20">
        <f>IF(A1527="",0,IF(AND(OR('CSV抽出'!$C$4="",A1527&gt;='CSV抽出'!$C$4),OR('CSV抽出'!$C$5="",A1527&lt;='CSV抽出'!$C$5),OR('CSV抽出'!$C$6="すべて",'CSV抽出'!$C$6="",D1527='CSV抽出'!$C$6),OR('CSV抽出'!$C$7="",B1527&amp;""='CSV抽出'!$C$7&amp;"")),1,0))</f>
        <v/>
      </c>
      <c r="AI1527" s="20">
        <f>IF(AH1527=1,SUM($AH$5:AH1527),"")</f>
        <v/>
      </c>
      <c r="AJ1527" s="20">
        <f>IF(OR(S1527="",'報告書'!$C$4=""),"",IF(S1527&amp;""='報告書'!$C$4&amp;"",COUNTIF($S$5:S1527,'報告書'!$C$4),""))</f>
        <v/>
      </c>
      <c r="AK1527" s="20" t="n"/>
      <c r="AL1527" s="47" t="n"/>
      <c r="AM1527" s="47" t="n"/>
      <c r="AN1527" s="53" t="n"/>
      <c r="AO1527" s="47" t="n"/>
      <c r="AP1527" s="47" t="n"/>
      <c r="AQ1527" s="47" t="n"/>
      <c r="AR1527" s="47" t="n"/>
      <c r="AS1527" s="47" t="n"/>
      <c r="AT1527" s="47" t="n"/>
      <c r="AU1527" s="47" t="n"/>
      <c r="AV1527" s="47" t="n"/>
      <c r="AW1527" s="52" t="n"/>
    </row>
    <row r="1528">
      <c r="A1528" s="48" t="n"/>
      <c r="B1528" s="52" t="n"/>
      <c r="C1528" s="47">
        <f>IF(B1528="","",IFERROR(INDEX('隊員マスタ'!$B$5:$B$204,MATCH(B1528&amp;"",'隊員マスタ'!$F$5:$F$204,0)),IF(AK1528="","番号なし",AK1528)))</f>
        <v/>
      </c>
      <c r="D1528" s="47" t="n"/>
      <c r="E1528" s="47" t="n"/>
      <c r="F1528" s="47" t="n"/>
      <c r="G1528" s="47" t="n"/>
      <c r="H1528" s="47" t="n"/>
      <c r="I1528" s="47" t="n"/>
      <c r="J1528" s="47" t="n"/>
      <c r="K1528" s="47" t="n"/>
      <c r="L1528" s="47" t="n"/>
      <c r="M1528" s="47" t="n"/>
      <c r="N1528" s="47" t="n"/>
      <c r="O1528" s="47" t="n"/>
      <c r="P1528" s="47" t="n"/>
      <c r="Q1528" s="47" t="n"/>
      <c r="R1528" s="47" t="n"/>
      <c r="S1528" s="47" t="n"/>
      <c r="T1528" s="47" t="n"/>
      <c r="U1528" s="53" t="n"/>
      <c r="V1528" s="53" t="n"/>
      <c r="W1528" s="47" t="n"/>
      <c r="X1528" s="47" t="n"/>
      <c r="Y1528" s="47" t="n"/>
      <c r="Z1528" s="47" t="n"/>
      <c r="AA1528" s="47" t="n"/>
      <c r="AB1528" s="47" t="n"/>
      <c r="AC1528" s="47" t="n"/>
      <c r="AD1528" s="47" t="n"/>
      <c r="AE1528" s="47" t="n"/>
      <c r="AF1528" s="20">
        <f>IF(A1528="","",YEAR(EDATE(A1528,-3)))</f>
        <v/>
      </c>
      <c r="AG1528" s="20">
        <f>IF(OR(B1528="",'経歴簿'!$C$4=""),"",IF(B1528&amp;""='経歴簿'!$C$4&amp;"",MAX($AG$4:AG1527)+1,""))</f>
        <v/>
      </c>
      <c r="AH1528" s="20">
        <f>IF(A1528="",0,IF(AND(OR('CSV抽出'!$C$4="",A1528&gt;='CSV抽出'!$C$4),OR('CSV抽出'!$C$5="",A1528&lt;='CSV抽出'!$C$5),OR('CSV抽出'!$C$6="すべて",'CSV抽出'!$C$6="",D1528='CSV抽出'!$C$6),OR('CSV抽出'!$C$7="",B1528&amp;""='CSV抽出'!$C$7&amp;"")),1,0))</f>
        <v/>
      </c>
      <c r="AI1528" s="20">
        <f>IF(AH1528=1,SUM($AH$5:AH1528),"")</f>
        <v/>
      </c>
      <c r="AJ1528" s="20">
        <f>IF(OR(S1528="",'報告書'!$C$4=""),"",IF(S1528&amp;""='報告書'!$C$4&amp;"",COUNTIF($S$5:S1528,'報告書'!$C$4),""))</f>
        <v/>
      </c>
      <c r="AK1528" s="20" t="n"/>
      <c r="AL1528" s="47" t="n"/>
      <c r="AM1528" s="47" t="n"/>
      <c r="AN1528" s="53" t="n"/>
      <c r="AO1528" s="47" t="n"/>
      <c r="AP1528" s="47" t="n"/>
      <c r="AQ1528" s="47" t="n"/>
      <c r="AR1528" s="47" t="n"/>
      <c r="AS1528" s="47" t="n"/>
      <c r="AT1528" s="47" t="n"/>
      <c r="AU1528" s="47" t="n"/>
      <c r="AV1528" s="47" t="n"/>
      <c r="AW1528" s="52" t="n"/>
    </row>
    <row r="1529">
      <c r="A1529" s="48" t="n"/>
      <c r="B1529" s="52" t="n"/>
      <c r="C1529" s="47">
        <f>IF(B1529="","",IFERROR(INDEX('隊員マスタ'!$B$5:$B$204,MATCH(B1529&amp;"",'隊員マスタ'!$F$5:$F$204,0)),IF(AK1529="","番号なし",AK1529)))</f>
        <v/>
      </c>
      <c r="D1529" s="47" t="n"/>
      <c r="E1529" s="47" t="n"/>
      <c r="F1529" s="47" t="n"/>
      <c r="G1529" s="47" t="n"/>
      <c r="H1529" s="47" t="n"/>
      <c r="I1529" s="47" t="n"/>
      <c r="J1529" s="47" t="n"/>
      <c r="K1529" s="47" t="n"/>
      <c r="L1529" s="47" t="n"/>
      <c r="M1529" s="47" t="n"/>
      <c r="N1529" s="47" t="n"/>
      <c r="O1529" s="47" t="n"/>
      <c r="P1529" s="47" t="n"/>
      <c r="Q1529" s="47" t="n"/>
      <c r="R1529" s="47" t="n"/>
      <c r="S1529" s="47" t="n"/>
      <c r="T1529" s="47" t="n"/>
      <c r="U1529" s="53" t="n"/>
      <c r="V1529" s="53" t="n"/>
      <c r="W1529" s="47" t="n"/>
      <c r="X1529" s="47" t="n"/>
      <c r="Y1529" s="47" t="n"/>
      <c r="Z1529" s="47" t="n"/>
      <c r="AA1529" s="47" t="n"/>
      <c r="AB1529" s="47" t="n"/>
      <c r="AC1529" s="47" t="n"/>
      <c r="AD1529" s="47" t="n"/>
      <c r="AE1529" s="47" t="n"/>
      <c r="AF1529" s="20">
        <f>IF(A1529="","",YEAR(EDATE(A1529,-3)))</f>
        <v/>
      </c>
      <c r="AG1529" s="20">
        <f>IF(OR(B1529="",'経歴簿'!$C$4=""),"",IF(B1529&amp;""='経歴簿'!$C$4&amp;"",MAX($AG$4:AG1528)+1,""))</f>
        <v/>
      </c>
      <c r="AH1529" s="20">
        <f>IF(A1529="",0,IF(AND(OR('CSV抽出'!$C$4="",A1529&gt;='CSV抽出'!$C$4),OR('CSV抽出'!$C$5="",A1529&lt;='CSV抽出'!$C$5),OR('CSV抽出'!$C$6="すべて",'CSV抽出'!$C$6="",D1529='CSV抽出'!$C$6),OR('CSV抽出'!$C$7="",B1529&amp;""='CSV抽出'!$C$7&amp;"")),1,0))</f>
        <v/>
      </c>
      <c r="AI1529" s="20">
        <f>IF(AH1529=1,SUM($AH$5:AH1529),"")</f>
        <v/>
      </c>
      <c r="AJ1529" s="20">
        <f>IF(OR(S1529="",'報告書'!$C$4=""),"",IF(S1529&amp;""='報告書'!$C$4&amp;"",COUNTIF($S$5:S1529,'報告書'!$C$4),""))</f>
        <v/>
      </c>
      <c r="AK1529" s="20" t="n"/>
      <c r="AL1529" s="47" t="n"/>
      <c r="AM1529" s="47" t="n"/>
      <c r="AN1529" s="53" t="n"/>
      <c r="AO1529" s="47" t="n"/>
      <c r="AP1529" s="47" t="n"/>
      <c r="AQ1529" s="47" t="n"/>
      <c r="AR1529" s="47" t="n"/>
      <c r="AS1529" s="47" t="n"/>
      <c r="AT1529" s="47" t="n"/>
      <c r="AU1529" s="47" t="n"/>
      <c r="AV1529" s="47" t="n"/>
      <c r="AW1529" s="52" t="n"/>
    </row>
    <row r="1530">
      <c r="A1530" s="48" t="n"/>
      <c r="B1530" s="52" t="n"/>
      <c r="C1530" s="47">
        <f>IF(B1530="","",IFERROR(INDEX('隊員マスタ'!$B$5:$B$204,MATCH(B1530&amp;"",'隊員マスタ'!$F$5:$F$204,0)),IF(AK1530="","番号なし",AK1530)))</f>
        <v/>
      </c>
      <c r="D1530" s="47" t="n"/>
      <c r="E1530" s="47" t="n"/>
      <c r="F1530" s="47" t="n"/>
      <c r="G1530" s="47" t="n"/>
      <c r="H1530" s="47" t="n"/>
      <c r="I1530" s="47" t="n"/>
      <c r="J1530" s="47" t="n"/>
      <c r="K1530" s="47" t="n"/>
      <c r="L1530" s="47" t="n"/>
      <c r="M1530" s="47" t="n"/>
      <c r="N1530" s="47" t="n"/>
      <c r="O1530" s="47" t="n"/>
      <c r="P1530" s="47" t="n"/>
      <c r="Q1530" s="47" t="n"/>
      <c r="R1530" s="47" t="n"/>
      <c r="S1530" s="47" t="n"/>
      <c r="T1530" s="47" t="n"/>
      <c r="U1530" s="53" t="n"/>
      <c r="V1530" s="53" t="n"/>
      <c r="W1530" s="47" t="n"/>
      <c r="X1530" s="47" t="n"/>
      <c r="Y1530" s="47" t="n"/>
      <c r="Z1530" s="47" t="n"/>
      <c r="AA1530" s="47" t="n"/>
      <c r="AB1530" s="47" t="n"/>
      <c r="AC1530" s="47" t="n"/>
      <c r="AD1530" s="47" t="n"/>
      <c r="AE1530" s="47" t="n"/>
      <c r="AF1530" s="20">
        <f>IF(A1530="","",YEAR(EDATE(A1530,-3)))</f>
        <v/>
      </c>
      <c r="AG1530" s="20">
        <f>IF(OR(B1530="",'経歴簿'!$C$4=""),"",IF(B1530&amp;""='経歴簿'!$C$4&amp;"",MAX($AG$4:AG1529)+1,""))</f>
        <v/>
      </c>
      <c r="AH1530" s="20">
        <f>IF(A1530="",0,IF(AND(OR('CSV抽出'!$C$4="",A1530&gt;='CSV抽出'!$C$4),OR('CSV抽出'!$C$5="",A1530&lt;='CSV抽出'!$C$5),OR('CSV抽出'!$C$6="すべて",'CSV抽出'!$C$6="",D1530='CSV抽出'!$C$6),OR('CSV抽出'!$C$7="",B1530&amp;""='CSV抽出'!$C$7&amp;"")),1,0))</f>
        <v/>
      </c>
      <c r="AI1530" s="20">
        <f>IF(AH1530=1,SUM($AH$5:AH1530),"")</f>
        <v/>
      </c>
      <c r="AJ1530" s="20">
        <f>IF(OR(S1530="",'報告書'!$C$4=""),"",IF(S1530&amp;""='報告書'!$C$4&amp;"",COUNTIF($S$5:S1530,'報告書'!$C$4),""))</f>
        <v/>
      </c>
      <c r="AK1530" s="20" t="n"/>
      <c r="AL1530" s="47" t="n"/>
      <c r="AM1530" s="47" t="n"/>
      <c r="AN1530" s="53" t="n"/>
      <c r="AO1530" s="47" t="n"/>
      <c r="AP1530" s="47" t="n"/>
      <c r="AQ1530" s="47" t="n"/>
      <c r="AR1530" s="47" t="n"/>
      <c r="AS1530" s="47" t="n"/>
      <c r="AT1530" s="47" t="n"/>
      <c r="AU1530" s="47" t="n"/>
      <c r="AV1530" s="47" t="n"/>
      <c r="AW1530" s="52" t="n"/>
    </row>
    <row r="1531">
      <c r="A1531" s="48" t="n"/>
      <c r="B1531" s="52" t="n"/>
      <c r="C1531" s="47">
        <f>IF(B1531="","",IFERROR(INDEX('隊員マスタ'!$B$5:$B$204,MATCH(B1531&amp;"",'隊員マスタ'!$F$5:$F$204,0)),IF(AK1531="","番号なし",AK1531)))</f>
        <v/>
      </c>
      <c r="D1531" s="47" t="n"/>
      <c r="E1531" s="47" t="n"/>
      <c r="F1531" s="47" t="n"/>
      <c r="G1531" s="47" t="n"/>
      <c r="H1531" s="47" t="n"/>
      <c r="I1531" s="47" t="n"/>
      <c r="J1531" s="47" t="n"/>
      <c r="K1531" s="47" t="n"/>
      <c r="L1531" s="47" t="n"/>
      <c r="M1531" s="47" t="n"/>
      <c r="N1531" s="47" t="n"/>
      <c r="O1531" s="47" t="n"/>
      <c r="P1531" s="47" t="n"/>
      <c r="Q1531" s="47" t="n"/>
      <c r="R1531" s="47" t="n"/>
      <c r="S1531" s="47" t="n"/>
      <c r="T1531" s="47" t="n"/>
      <c r="U1531" s="53" t="n"/>
      <c r="V1531" s="53" t="n"/>
      <c r="W1531" s="47" t="n"/>
      <c r="X1531" s="47" t="n"/>
      <c r="Y1531" s="47" t="n"/>
      <c r="Z1531" s="47" t="n"/>
      <c r="AA1531" s="47" t="n"/>
      <c r="AB1531" s="47" t="n"/>
      <c r="AC1531" s="47" t="n"/>
      <c r="AD1531" s="47" t="n"/>
      <c r="AE1531" s="47" t="n"/>
      <c r="AF1531" s="20">
        <f>IF(A1531="","",YEAR(EDATE(A1531,-3)))</f>
        <v/>
      </c>
      <c r="AG1531" s="20">
        <f>IF(OR(B1531="",'経歴簿'!$C$4=""),"",IF(B1531&amp;""='経歴簿'!$C$4&amp;"",MAX($AG$4:AG1530)+1,""))</f>
        <v/>
      </c>
      <c r="AH1531" s="20">
        <f>IF(A1531="",0,IF(AND(OR('CSV抽出'!$C$4="",A1531&gt;='CSV抽出'!$C$4),OR('CSV抽出'!$C$5="",A1531&lt;='CSV抽出'!$C$5),OR('CSV抽出'!$C$6="すべて",'CSV抽出'!$C$6="",D1531='CSV抽出'!$C$6),OR('CSV抽出'!$C$7="",B1531&amp;""='CSV抽出'!$C$7&amp;"")),1,0))</f>
        <v/>
      </c>
      <c r="AI1531" s="20">
        <f>IF(AH1531=1,SUM($AH$5:AH1531),"")</f>
        <v/>
      </c>
      <c r="AJ1531" s="20">
        <f>IF(OR(S1531="",'報告書'!$C$4=""),"",IF(S1531&amp;""='報告書'!$C$4&amp;"",COUNTIF($S$5:S1531,'報告書'!$C$4),""))</f>
        <v/>
      </c>
      <c r="AK1531" s="20" t="n"/>
      <c r="AL1531" s="47" t="n"/>
      <c r="AM1531" s="47" t="n"/>
      <c r="AN1531" s="53" t="n"/>
      <c r="AO1531" s="47" t="n"/>
      <c r="AP1531" s="47" t="n"/>
      <c r="AQ1531" s="47" t="n"/>
      <c r="AR1531" s="47" t="n"/>
      <c r="AS1531" s="47" t="n"/>
      <c r="AT1531" s="47" t="n"/>
      <c r="AU1531" s="47" t="n"/>
      <c r="AV1531" s="47" t="n"/>
      <c r="AW1531" s="52" t="n"/>
    </row>
    <row r="1532">
      <c r="A1532" s="48" t="n"/>
      <c r="B1532" s="52" t="n"/>
      <c r="C1532" s="47">
        <f>IF(B1532="","",IFERROR(INDEX('隊員マスタ'!$B$5:$B$204,MATCH(B1532&amp;"",'隊員マスタ'!$F$5:$F$204,0)),IF(AK1532="","番号なし",AK1532)))</f>
        <v/>
      </c>
      <c r="D1532" s="47" t="n"/>
      <c r="E1532" s="47" t="n"/>
      <c r="F1532" s="47" t="n"/>
      <c r="G1532" s="47" t="n"/>
      <c r="H1532" s="47" t="n"/>
      <c r="I1532" s="47" t="n"/>
      <c r="J1532" s="47" t="n"/>
      <c r="K1532" s="47" t="n"/>
      <c r="L1532" s="47" t="n"/>
      <c r="M1532" s="47" t="n"/>
      <c r="N1532" s="47" t="n"/>
      <c r="O1532" s="47" t="n"/>
      <c r="P1532" s="47" t="n"/>
      <c r="Q1532" s="47" t="n"/>
      <c r="R1532" s="47" t="n"/>
      <c r="S1532" s="47" t="n"/>
      <c r="T1532" s="47" t="n"/>
      <c r="U1532" s="53" t="n"/>
      <c r="V1532" s="53" t="n"/>
      <c r="W1532" s="47" t="n"/>
      <c r="X1532" s="47" t="n"/>
      <c r="Y1532" s="47" t="n"/>
      <c r="Z1532" s="47" t="n"/>
      <c r="AA1532" s="47" t="n"/>
      <c r="AB1532" s="47" t="n"/>
      <c r="AC1532" s="47" t="n"/>
      <c r="AD1532" s="47" t="n"/>
      <c r="AE1532" s="47" t="n"/>
      <c r="AF1532" s="20">
        <f>IF(A1532="","",YEAR(EDATE(A1532,-3)))</f>
        <v/>
      </c>
      <c r="AG1532" s="20">
        <f>IF(OR(B1532="",'経歴簿'!$C$4=""),"",IF(B1532&amp;""='経歴簿'!$C$4&amp;"",MAX($AG$4:AG1531)+1,""))</f>
        <v/>
      </c>
      <c r="AH1532" s="20">
        <f>IF(A1532="",0,IF(AND(OR('CSV抽出'!$C$4="",A1532&gt;='CSV抽出'!$C$4),OR('CSV抽出'!$C$5="",A1532&lt;='CSV抽出'!$C$5),OR('CSV抽出'!$C$6="すべて",'CSV抽出'!$C$6="",D1532='CSV抽出'!$C$6),OR('CSV抽出'!$C$7="",B1532&amp;""='CSV抽出'!$C$7&amp;"")),1,0))</f>
        <v/>
      </c>
      <c r="AI1532" s="20">
        <f>IF(AH1532=1,SUM($AH$5:AH1532),"")</f>
        <v/>
      </c>
      <c r="AJ1532" s="20">
        <f>IF(OR(S1532="",'報告書'!$C$4=""),"",IF(S1532&amp;""='報告書'!$C$4&amp;"",COUNTIF($S$5:S1532,'報告書'!$C$4),""))</f>
        <v/>
      </c>
      <c r="AK1532" s="20" t="n"/>
      <c r="AL1532" s="47" t="n"/>
      <c r="AM1532" s="47" t="n"/>
      <c r="AN1532" s="53" t="n"/>
      <c r="AO1532" s="47" t="n"/>
      <c r="AP1532" s="47" t="n"/>
      <c r="AQ1532" s="47" t="n"/>
      <c r="AR1532" s="47" t="n"/>
      <c r="AS1532" s="47" t="n"/>
      <c r="AT1532" s="47" t="n"/>
      <c r="AU1532" s="47" t="n"/>
      <c r="AV1532" s="47" t="n"/>
      <c r="AW1532" s="52" t="n"/>
    </row>
    <row r="1533">
      <c r="A1533" s="48" t="n"/>
      <c r="B1533" s="52" t="n"/>
      <c r="C1533" s="47">
        <f>IF(B1533="","",IFERROR(INDEX('隊員マスタ'!$B$5:$B$204,MATCH(B1533&amp;"",'隊員マスタ'!$F$5:$F$204,0)),IF(AK1533="","番号なし",AK1533)))</f>
        <v/>
      </c>
      <c r="D1533" s="47" t="n"/>
      <c r="E1533" s="47" t="n"/>
      <c r="F1533" s="47" t="n"/>
      <c r="G1533" s="47" t="n"/>
      <c r="H1533" s="47" t="n"/>
      <c r="I1533" s="47" t="n"/>
      <c r="J1533" s="47" t="n"/>
      <c r="K1533" s="47" t="n"/>
      <c r="L1533" s="47" t="n"/>
      <c r="M1533" s="47" t="n"/>
      <c r="N1533" s="47" t="n"/>
      <c r="O1533" s="47" t="n"/>
      <c r="P1533" s="47" t="n"/>
      <c r="Q1533" s="47" t="n"/>
      <c r="R1533" s="47" t="n"/>
      <c r="S1533" s="47" t="n"/>
      <c r="T1533" s="47" t="n"/>
      <c r="U1533" s="53" t="n"/>
      <c r="V1533" s="53" t="n"/>
      <c r="W1533" s="47" t="n"/>
      <c r="X1533" s="47" t="n"/>
      <c r="Y1533" s="47" t="n"/>
      <c r="Z1533" s="47" t="n"/>
      <c r="AA1533" s="47" t="n"/>
      <c r="AB1533" s="47" t="n"/>
      <c r="AC1533" s="47" t="n"/>
      <c r="AD1533" s="47" t="n"/>
      <c r="AE1533" s="47" t="n"/>
      <c r="AF1533" s="20">
        <f>IF(A1533="","",YEAR(EDATE(A1533,-3)))</f>
        <v/>
      </c>
      <c r="AG1533" s="20">
        <f>IF(OR(B1533="",'経歴簿'!$C$4=""),"",IF(B1533&amp;""='経歴簿'!$C$4&amp;"",MAX($AG$4:AG1532)+1,""))</f>
        <v/>
      </c>
      <c r="AH1533" s="20">
        <f>IF(A1533="",0,IF(AND(OR('CSV抽出'!$C$4="",A1533&gt;='CSV抽出'!$C$4),OR('CSV抽出'!$C$5="",A1533&lt;='CSV抽出'!$C$5),OR('CSV抽出'!$C$6="すべて",'CSV抽出'!$C$6="",D1533='CSV抽出'!$C$6),OR('CSV抽出'!$C$7="",B1533&amp;""='CSV抽出'!$C$7&amp;"")),1,0))</f>
        <v/>
      </c>
      <c r="AI1533" s="20">
        <f>IF(AH1533=1,SUM($AH$5:AH1533),"")</f>
        <v/>
      </c>
      <c r="AJ1533" s="20">
        <f>IF(OR(S1533="",'報告書'!$C$4=""),"",IF(S1533&amp;""='報告書'!$C$4&amp;"",COUNTIF($S$5:S1533,'報告書'!$C$4),""))</f>
        <v/>
      </c>
      <c r="AK1533" s="20" t="n"/>
      <c r="AL1533" s="47" t="n"/>
      <c r="AM1533" s="47" t="n"/>
      <c r="AN1533" s="53" t="n"/>
      <c r="AO1533" s="47" t="n"/>
      <c r="AP1533" s="47" t="n"/>
      <c r="AQ1533" s="47" t="n"/>
      <c r="AR1533" s="47" t="n"/>
      <c r="AS1533" s="47" t="n"/>
      <c r="AT1533" s="47" t="n"/>
      <c r="AU1533" s="47" t="n"/>
      <c r="AV1533" s="47" t="n"/>
      <c r="AW1533" s="52" t="n"/>
    </row>
    <row r="1534">
      <c r="A1534" s="48" t="n"/>
      <c r="B1534" s="52" t="n"/>
      <c r="C1534" s="47">
        <f>IF(B1534="","",IFERROR(INDEX('隊員マスタ'!$B$5:$B$204,MATCH(B1534&amp;"",'隊員マスタ'!$F$5:$F$204,0)),IF(AK1534="","番号なし",AK1534)))</f>
        <v/>
      </c>
      <c r="D1534" s="47" t="n"/>
      <c r="E1534" s="47" t="n"/>
      <c r="F1534" s="47" t="n"/>
      <c r="G1534" s="47" t="n"/>
      <c r="H1534" s="47" t="n"/>
      <c r="I1534" s="47" t="n"/>
      <c r="J1534" s="47" t="n"/>
      <c r="K1534" s="47" t="n"/>
      <c r="L1534" s="47" t="n"/>
      <c r="M1534" s="47" t="n"/>
      <c r="N1534" s="47" t="n"/>
      <c r="O1534" s="47" t="n"/>
      <c r="P1534" s="47" t="n"/>
      <c r="Q1534" s="47" t="n"/>
      <c r="R1534" s="47" t="n"/>
      <c r="S1534" s="47" t="n"/>
      <c r="T1534" s="47" t="n"/>
      <c r="U1534" s="53" t="n"/>
      <c r="V1534" s="53" t="n"/>
      <c r="W1534" s="47" t="n"/>
      <c r="X1534" s="47" t="n"/>
      <c r="Y1534" s="47" t="n"/>
      <c r="Z1534" s="47" t="n"/>
      <c r="AA1534" s="47" t="n"/>
      <c r="AB1534" s="47" t="n"/>
      <c r="AC1534" s="47" t="n"/>
      <c r="AD1534" s="47" t="n"/>
      <c r="AE1534" s="47" t="n"/>
      <c r="AF1534" s="20">
        <f>IF(A1534="","",YEAR(EDATE(A1534,-3)))</f>
        <v/>
      </c>
      <c r="AG1534" s="20">
        <f>IF(OR(B1534="",'経歴簿'!$C$4=""),"",IF(B1534&amp;""='経歴簿'!$C$4&amp;"",MAX($AG$4:AG1533)+1,""))</f>
        <v/>
      </c>
      <c r="AH1534" s="20">
        <f>IF(A1534="",0,IF(AND(OR('CSV抽出'!$C$4="",A1534&gt;='CSV抽出'!$C$4),OR('CSV抽出'!$C$5="",A1534&lt;='CSV抽出'!$C$5),OR('CSV抽出'!$C$6="すべて",'CSV抽出'!$C$6="",D1534='CSV抽出'!$C$6),OR('CSV抽出'!$C$7="",B1534&amp;""='CSV抽出'!$C$7&amp;"")),1,0))</f>
        <v/>
      </c>
      <c r="AI1534" s="20">
        <f>IF(AH1534=1,SUM($AH$5:AH1534),"")</f>
        <v/>
      </c>
      <c r="AJ1534" s="20">
        <f>IF(OR(S1534="",'報告書'!$C$4=""),"",IF(S1534&amp;""='報告書'!$C$4&amp;"",COUNTIF($S$5:S1534,'報告書'!$C$4),""))</f>
        <v/>
      </c>
      <c r="AK1534" s="20" t="n"/>
      <c r="AL1534" s="47" t="n"/>
      <c r="AM1534" s="47" t="n"/>
      <c r="AN1534" s="53" t="n"/>
      <c r="AO1534" s="47" t="n"/>
      <c r="AP1534" s="47" t="n"/>
      <c r="AQ1534" s="47" t="n"/>
      <c r="AR1534" s="47" t="n"/>
      <c r="AS1534" s="47" t="n"/>
      <c r="AT1534" s="47" t="n"/>
      <c r="AU1534" s="47" t="n"/>
      <c r="AV1534" s="47" t="n"/>
      <c r="AW1534" s="52" t="n"/>
    </row>
    <row r="1535">
      <c r="A1535" s="48" t="n"/>
      <c r="B1535" s="52" t="n"/>
      <c r="C1535" s="47">
        <f>IF(B1535="","",IFERROR(INDEX('隊員マスタ'!$B$5:$B$204,MATCH(B1535&amp;"",'隊員マスタ'!$F$5:$F$204,0)),IF(AK1535="","番号なし",AK1535)))</f>
        <v/>
      </c>
      <c r="D1535" s="47" t="n"/>
      <c r="E1535" s="47" t="n"/>
      <c r="F1535" s="47" t="n"/>
      <c r="G1535" s="47" t="n"/>
      <c r="H1535" s="47" t="n"/>
      <c r="I1535" s="47" t="n"/>
      <c r="J1535" s="47" t="n"/>
      <c r="K1535" s="47" t="n"/>
      <c r="L1535" s="47" t="n"/>
      <c r="M1535" s="47" t="n"/>
      <c r="N1535" s="47" t="n"/>
      <c r="O1535" s="47" t="n"/>
      <c r="P1535" s="47" t="n"/>
      <c r="Q1535" s="47" t="n"/>
      <c r="R1535" s="47" t="n"/>
      <c r="S1535" s="47" t="n"/>
      <c r="T1535" s="47" t="n"/>
      <c r="U1535" s="53" t="n"/>
      <c r="V1535" s="53" t="n"/>
      <c r="W1535" s="47" t="n"/>
      <c r="X1535" s="47" t="n"/>
      <c r="Y1535" s="47" t="n"/>
      <c r="Z1535" s="47" t="n"/>
      <c r="AA1535" s="47" t="n"/>
      <c r="AB1535" s="47" t="n"/>
      <c r="AC1535" s="47" t="n"/>
      <c r="AD1535" s="47" t="n"/>
      <c r="AE1535" s="47" t="n"/>
      <c r="AF1535" s="20">
        <f>IF(A1535="","",YEAR(EDATE(A1535,-3)))</f>
        <v/>
      </c>
      <c r="AG1535" s="20">
        <f>IF(OR(B1535="",'経歴簿'!$C$4=""),"",IF(B1535&amp;""='経歴簿'!$C$4&amp;"",MAX($AG$4:AG1534)+1,""))</f>
        <v/>
      </c>
      <c r="AH1535" s="20">
        <f>IF(A1535="",0,IF(AND(OR('CSV抽出'!$C$4="",A1535&gt;='CSV抽出'!$C$4),OR('CSV抽出'!$C$5="",A1535&lt;='CSV抽出'!$C$5),OR('CSV抽出'!$C$6="すべて",'CSV抽出'!$C$6="",D1535='CSV抽出'!$C$6),OR('CSV抽出'!$C$7="",B1535&amp;""='CSV抽出'!$C$7&amp;"")),1,0))</f>
        <v/>
      </c>
      <c r="AI1535" s="20">
        <f>IF(AH1535=1,SUM($AH$5:AH1535),"")</f>
        <v/>
      </c>
      <c r="AJ1535" s="20">
        <f>IF(OR(S1535="",'報告書'!$C$4=""),"",IF(S1535&amp;""='報告書'!$C$4&amp;"",COUNTIF($S$5:S1535,'報告書'!$C$4),""))</f>
        <v/>
      </c>
      <c r="AK1535" s="20" t="n"/>
      <c r="AL1535" s="47" t="n"/>
      <c r="AM1535" s="47" t="n"/>
      <c r="AN1535" s="53" t="n"/>
      <c r="AO1535" s="47" t="n"/>
      <c r="AP1535" s="47" t="n"/>
      <c r="AQ1535" s="47" t="n"/>
      <c r="AR1535" s="47" t="n"/>
      <c r="AS1535" s="47" t="n"/>
      <c r="AT1535" s="47" t="n"/>
      <c r="AU1535" s="47" t="n"/>
      <c r="AV1535" s="47" t="n"/>
      <c r="AW1535" s="52" t="n"/>
    </row>
    <row r="1536">
      <c r="A1536" s="48" t="n"/>
      <c r="B1536" s="52" t="n"/>
      <c r="C1536" s="47">
        <f>IF(B1536="","",IFERROR(INDEX('隊員マスタ'!$B$5:$B$204,MATCH(B1536&amp;"",'隊員マスタ'!$F$5:$F$204,0)),IF(AK1536="","番号なし",AK1536)))</f>
        <v/>
      </c>
      <c r="D1536" s="47" t="n"/>
      <c r="E1536" s="47" t="n"/>
      <c r="F1536" s="47" t="n"/>
      <c r="G1536" s="47" t="n"/>
      <c r="H1536" s="47" t="n"/>
      <c r="I1536" s="47" t="n"/>
      <c r="J1536" s="47" t="n"/>
      <c r="K1536" s="47" t="n"/>
      <c r="L1536" s="47" t="n"/>
      <c r="M1536" s="47" t="n"/>
      <c r="N1536" s="47" t="n"/>
      <c r="O1536" s="47" t="n"/>
      <c r="P1536" s="47" t="n"/>
      <c r="Q1536" s="47" t="n"/>
      <c r="R1536" s="47" t="n"/>
      <c r="S1536" s="47" t="n"/>
      <c r="T1536" s="47" t="n"/>
      <c r="U1536" s="53" t="n"/>
      <c r="V1536" s="53" t="n"/>
      <c r="W1536" s="47" t="n"/>
      <c r="X1536" s="47" t="n"/>
      <c r="Y1536" s="47" t="n"/>
      <c r="Z1536" s="47" t="n"/>
      <c r="AA1536" s="47" t="n"/>
      <c r="AB1536" s="47" t="n"/>
      <c r="AC1536" s="47" t="n"/>
      <c r="AD1536" s="47" t="n"/>
      <c r="AE1536" s="47" t="n"/>
      <c r="AF1536" s="20">
        <f>IF(A1536="","",YEAR(EDATE(A1536,-3)))</f>
        <v/>
      </c>
      <c r="AG1536" s="20">
        <f>IF(OR(B1536="",'経歴簿'!$C$4=""),"",IF(B1536&amp;""='経歴簿'!$C$4&amp;"",MAX($AG$4:AG1535)+1,""))</f>
        <v/>
      </c>
      <c r="AH1536" s="20">
        <f>IF(A1536="",0,IF(AND(OR('CSV抽出'!$C$4="",A1536&gt;='CSV抽出'!$C$4),OR('CSV抽出'!$C$5="",A1536&lt;='CSV抽出'!$C$5),OR('CSV抽出'!$C$6="すべて",'CSV抽出'!$C$6="",D1536='CSV抽出'!$C$6),OR('CSV抽出'!$C$7="",B1536&amp;""='CSV抽出'!$C$7&amp;"")),1,0))</f>
        <v/>
      </c>
      <c r="AI1536" s="20">
        <f>IF(AH1536=1,SUM($AH$5:AH1536),"")</f>
        <v/>
      </c>
      <c r="AJ1536" s="20">
        <f>IF(OR(S1536="",'報告書'!$C$4=""),"",IF(S1536&amp;""='報告書'!$C$4&amp;"",COUNTIF($S$5:S1536,'報告書'!$C$4),""))</f>
        <v/>
      </c>
      <c r="AK1536" s="20" t="n"/>
      <c r="AL1536" s="47" t="n"/>
      <c r="AM1536" s="47" t="n"/>
      <c r="AN1536" s="53" t="n"/>
      <c r="AO1536" s="47" t="n"/>
      <c r="AP1536" s="47" t="n"/>
      <c r="AQ1536" s="47" t="n"/>
      <c r="AR1536" s="47" t="n"/>
      <c r="AS1536" s="47" t="n"/>
      <c r="AT1536" s="47" t="n"/>
      <c r="AU1536" s="47" t="n"/>
      <c r="AV1536" s="47" t="n"/>
      <c r="AW1536" s="52" t="n"/>
    </row>
    <row r="1537">
      <c r="A1537" s="48" t="n"/>
      <c r="B1537" s="52" t="n"/>
      <c r="C1537" s="47">
        <f>IF(B1537="","",IFERROR(INDEX('隊員マスタ'!$B$5:$B$204,MATCH(B1537&amp;"",'隊員マスタ'!$F$5:$F$204,0)),IF(AK1537="","番号なし",AK1537)))</f>
        <v/>
      </c>
      <c r="D1537" s="47" t="n"/>
      <c r="E1537" s="47" t="n"/>
      <c r="F1537" s="47" t="n"/>
      <c r="G1537" s="47" t="n"/>
      <c r="H1537" s="47" t="n"/>
      <c r="I1537" s="47" t="n"/>
      <c r="J1537" s="47" t="n"/>
      <c r="K1537" s="47" t="n"/>
      <c r="L1537" s="47" t="n"/>
      <c r="M1537" s="47" t="n"/>
      <c r="N1537" s="47" t="n"/>
      <c r="O1537" s="47" t="n"/>
      <c r="P1537" s="47" t="n"/>
      <c r="Q1537" s="47" t="n"/>
      <c r="R1537" s="47" t="n"/>
      <c r="S1537" s="47" t="n"/>
      <c r="T1537" s="47" t="n"/>
      <c r="U1537" s="53" t="n"/>
      <c r="V1537" s="53" t="n"/>
      <c r="W1537" s="47" t="n"/>
      <c r="X1537" s="47" t="n"/>
      <c r="Y1537" s="47" t="n"/>
      <c r="Z1537" s="47" t="n"/>
      <c r="AA1537" s="47" t="n"/>
      <c r="AB1537" s="47" t="n"/>
      <c r="AC1537" s="47" t="n"/>
      <c r="AD1537" s="47" t="n"/>
      <c r="AE1537" s="47" t="n"/>
      <c r="AF1537" s="20">
        <f>IF(A1537="","",YEAR(EDATE(A1537,-3)))</f>
        <v/>
      </c>
      <c r="AG1537" s="20">
        <f>IF(OR(B1537="",'経歴簿'!$C$4=""),"",IF(B1537&amp;""='経歴簿'!$C$4&amp;"",MAX($AG$4:AG1536)+1,""))</f>
        <v/>
      </c>
      <c r="AH1537" s="20">
        <f>IF(A1537="",0,IF(AND(OR('CSV抽出'!$C$4="",A1537&gt;='CSV抽出'!$C$4),OR('CSV抽出'!$C$5="",A1537&lt;='CSV抽出'!$C$5),OR('CSV抽出'!$C$6="すべて",'CSV抽出'!$C$6="",D1537='CSV抽出'!$C$6),OR('CSV抽出'!$C$7="",B1537&amp;""='CSV抽出'!$C$7&amp;"")),1,0))</f>
        <v/>
      </c>
      <c r="AI1537" s="20">
        <f>IF(AH1537=1,SUM($AH$5:AH1537),"")</f>
        <v/>
      </c>
      <c r="AJ1537" s="20">
        <f>IF(OR(S1537="",'報告書'!$C$4=""),"",IF(S1537&amp;""='報告書'!$C$4&amp;"",COUNTIF($S$5:S1537,'報告書'!$C$4),""))</f>
        <v/>
      </c>
      <c r="AK1537" s="20" t="n"/>
      <c r="AL1537" s="47" t="n"/>
      <c r="AM1537" s="47" t="n"/>
      <c r="AN1537" s="53" t="n"/>
      <c r="AO1537" s="47" t="n"/>
      <c r="AP1537" s="47" t="n"/>
      <c r="AQ1537" s="47" t="n"/>
      <c r="AR1537" s="47" t="n"/>
      <c r="AS1537" s="47" t="n"/>
      <c r="AT1537" s="47" t="n"/>
      <c r="AU1537" s="47" t="n"/>
      <c r="AV1537" s="47" t="n"/>
      <c r="AW1537" s="52" t="n"/>
    </row>
    <row r="1538">
      <c r="A1538" s="48" t="n"/>
      <c r="B1538" s="52" t="n"/>
      <c r="C1538" s="47">
        <f>IF(B1538="","",IFERROR(INDEX('隊員マスタ'!$B$5:$B$204,MATCH(B1538&amp;"",'隊員マスタ'!$F$5:$F$204,0)),IF(AK1538="","番号なし",AK1538)))</f>
        <v/>
      </c>
      <c r="D1538" s="47" t="n"/>
      <c r="E1538" s="47" t="n"/>
      <c r="F1538" s="47" t="n"/>
      <c r="G1538" s="47" t="n"/>
      <c r="H1538" s="47" t="n"/>
      <c r="I1538" s="47" t="n"/>
      <c r="J1538" s="47" t="n"/>
      <c r="K1538" s="47" t="n"/>
      <c r="L1538" s="47" t="n"/>
      <c r="M1538" s="47" t="n"/>
      <c r="N1538" s="47" t="n"/>
      <c r="O1538" s="47" t="n"/>
      <c r="P1538" s="47" t="n"/>
      <c r="Q1538" s="47" t="n"/>
      <c r="R1538" s="47" t="n"/>
      <c r="S1538" s="47" t="n"/>
      <c r="T1538" s="47" t="n"/>
      <c r="U1538" s="53" t="n"/>
      <c r="V1538" s="53" t="n"/>
      <c r="W1538" s="47" t="n"/>
      <c r="X1538" s="47" t="n"/>
      <c r="Y1538" s="47" t="n"/>
      <c r="Z1538" s="47" t="n"/>
      <c r="AA1538" s="47" t="n"/>
      <c r="AB1538" s="47" t="n"/>
      <c r="AC1538" s="47" t="n"/>
      <c r="AD1538" s="47" t="n"/>
      <c r="AE1538" s="47" t="n"/>
      <c r="AF1538" s="20">
        <f>IF(A1538="","",YEAR(EDATE(A1538,-3)))</f>
        <v/>
      </c>
      <c r="AG1538" s="20">
        <f>IF(OR(B1538="",'経歴簿'!$C$4=""),"",IF(B1538&amp;""='経歴簿'!$C$4&amp;"",MAX($AG$4:AG1537)+1,""))</f>
        <v/>
      </c>
      <c r="AH1538" s="20">
        <f>IF(A1538="",0,IF(AND(OR('CSV抽出'!$C$4="",A1538&gt;='CSV抽出'!$C$4),OR('CSV抽出'!$C$5="",A1538&lt;='CSV抽出'!$C$5),OR('CSV抽出'!$C$6="すべて",'CSV抽出'!$C$6="",D1538='CSV抽出'!$C$6),OR('CSV抽出'!$C$7="",B1538&amp;""='CSV抽出'!$C$7&amp;"")),1,0))</f>
        <v/>
      </c>
      <c r="AI1538" s="20">
        <f>IF(AH1538=1,SUM($AH$5:AH1538),"")</f>
        <v/>
      </c>
      <c r="AJ1538" s="20">
        <f>IF(OR(S1538="",'報告書'!$C$4=""),"",IF(S1538&amp;""='報告書'!$C$4&amp;"",COUNTIF($S$5:S1538,'報告書'!$C$4),""))</f>
        <v/>
      </c>
      <c r="AK1538" s="20" t="n"/>
      <c r="AL1538" s="47" t="n"/>
      <c r="AM1538" s="47" t="n"/>
      <c r="AN1538" s="53" t="n"/>
      <c r="AO1538" s="47" t="n"/>
      <c r="AP1538" s="47" t="n"/>
      <c r="AQ1538" s="47" t="n"/>
      <c r="AR1538" s="47" t="n"/>
      <c r="AS1538" s="47" t="n"/>
      <c r="AT1538" s="47" t="n"/>
      <c r="AU1538" s="47" t="n"/>
      <c r="AV1538" s="47" t="n"/>
      <c r="AW1538" s="52" t="n"/>
    </row>
    <row r="1539">
      <c r="A1539" s="48" t="n"/>
      <c r="B1539" s="52" t="n"/>
      <c r="C1539" s="47">
        <f>IF(B1539="","",IFERROR(INDEX('隊員マスタ'!$B$5:$B$204,MATCH(B1539&amp;"",'隊員マスタ'!$F$5:$F$204,0)),IF(AK1539="","番号なし",AK1539)))</f>
        <v/>
      </c>
      <c r="D1539" s="47" t="n"/>
      <c r="E1539" s="47" t="n"/>
      <c r="F1539" s="47" t="n"/>
      <c r="G1539" s="47" t="n"/>
      <c r="H1539" s="47" t="n"/>
      <c r="I1539" s="47" t="n"/>
      <c r="J1539" s="47" t="n"/>
      <c r="K1539" s="47" t="n"/>
      <c r="L1539" s="47" t="n"/>
      <c r="M1539" s="47" t="n"/>
      <c r="N1539" s="47" t="n"/>
      <c r="O1539" s="47" t="n"/>
      <c r="P1539" s="47" t="n"/>
      <c r="Q1539" s="47" t="n"/>
      <c r="R1539" s="47" t="n"/>
      <c r="S1539" s="47" t="n"/>
      <c r="T1539" s="47" t="n"/>
      <c r="U1539" s="53" t="n"/>
      <c r="V1539" s="53" t="n"/>
      <c r="W1539" s="47" t="n"/>
      <c r="X1539" s="47" t="n"/>
      <c r="Y1539" s="47" t="n"/>
      <c r="Z1539" s="47" t="n"/>
      <c r="AA1539" s="47" t="n"/>
      <c r="AB1539" s="47" t="n"/>
      <c r="AC1539" s="47" t="n"/>
      <c r="AD1539" s="47" t="n"/>
      <c r="AE1539" s="47" t="n"/>
      <c r="AF1539" s="20">
        <f>IF(A1539="","",YEAR(EDATE(A1539,-3)))</f>
        <v/>
      </c>
      <c r="AG1539" s="20">
        <f>IF(OR(B1539="",'経歴簿'!$C$4=""),"",IF(B1539&amp;""='経歴簿'!$C$4&amp;"",MAX($AG$4:AG1538)+1,""))</f>
        <v/>
      </c>
      <c r="AH1539" s="20">
        <f>IF(A1539="",0,IF(AND(OR('CSV抽出'!$C$4="",A1539&gt;='CSV抽出'!$C$4),OR('CSV抽出'!$C$5="",A1539&lt;='CSV抽出'!$C$5),OR('CSV抽出'!$C$6="すべて",'CSV抽出'!$C$6="",D1539='CSV抽出'!$C$6),OR('CSV抽出'!$C$7="",B1539&amp;""='CSV抽出'!$C$7&amp;"")),1,0))</f>
        <v/>
      </c>
      <c r="AI1539" s="20">
        <f>IF(AH1539=1,SUM($AH$5:AH1539),"")</f>
        <v/>
      </c>
      <c r="AJ1539" s="20">
        <f>IF(OR(S1539="",'報告書'!$C$4=""),"",IF(S1539&amp;""='報告書'!$C$4&amp;"",COUNTIF($S$5:S1539,'報告書'!$C$4),""))</f>
        <v/>
      </c>
      <c r="AK1539" s="20" t="n"/>
      <c r="AL1539" s="47" t="n"/>
      <c r="AM1539" s="47" t="n"/>
      <c r="AN1539" s="53" t="n"/>
      <c r="AO1539" s="47" t="n"/>
      <c r="AP1539" s="47" t="n"/>
      <c r="AQ1539" s="47" t="n"/>
      <c r="AR1539" s="47" t="n"/>
      <c r="AS1539" s="47" t="n"/>
      <c r="AT1539" s="47" t="n"/>
      <c r="AU1539" s="47" t="n"/>
      <c r="AV1539" s="47" t="n"/>
      <c r="AW1539" s="52" t="n"/>
    </row>
    <row r="1540">
      <c r="A1540" s="48" t="n"/>
      <c r="B1540" s="52" t="n"/>
      <c r="C1540" s="47">
        <f>IF(B1540="","",IFERROR(INDEX('隊員マスタ'!$B$5:$B$204,MATCH(B1540&amp;"",'隊員マスタ'!$F$5:$F$204,0)),IF(AK1540="","番号なし",AK1540)))</f>
        <v/>
      </c>
      <c r="D1540" s="47" t="n"/>
      <c r="E1540" s="47" t="n"/>
      <c r="F1540" s="47" t="n"/>
      <c r="G1540" s="47" t="n"/>
      <c r="H1540" s="47" t="n"/>
      <c r="I1540" s="47" t="n"/>
      <c r="J1540" s="47" t="n"/>
      <c r="K1540" s="47" t="n"/>
      <c r="L1540" s="47" t="n"/>
      <c r="M1540" s="47" t="n"/>
      <c r="N1540" s="47" t="n"/>
      <c r="O1540" s="47" t="n"/>
      <c r="P1540" s="47" t="n"/>
      <c r="Q1540" s="47" t="n"/>
      <c r="R1540" s="47" t="n"/>
      <c r="S1540" s="47" t="n"/>
      <c r="T1540" s="47" t="n"/>
      <c r="U1540" s="53" t="n"/>
      <c r="V1540" s="53" t="n"/>
      <c r="W1540" s="47" t="n"/>
      <c r="X1540" s="47" t="n"/>
      <c r="Y1540" s="47" t="n"/>
      <c r="Z1540" s="47" t="n"/>
      <c r="AA1540" s="47" t="n"/>
      <c r="AB1540" s="47" t="n"/>
      <c r="AC1540" s="47" t="n"/>
      <c r="AD1540" s="47" t="n"/>
      <c r="AE1540" s="47" t="n"/>
      <c r="AF1540" s="20">
        <f>IF(A1540="","",YEAR(EDATE(A1540,-3)))</f>
        <v/>
      </c>
      <c r="AG1540" s="20">
        <f>IF(OR(B1540="",'経歴簿'!$C$4=""),"",IF(B1540&amp;""='経歴簿'!$C$4&amp;"",MAX($AG$4:AG1539)+1,""))</f>
        <v/>
      </c>
      <c r="AH1540" s="20">
        <f>IF(A1540="",0,IF(AND(OR('CSV抽出'!$C$4="",A1540&gt;='CSV抽出'!$C$4),OR('CSV抽出'!$C$5="",A1540&lt;='CSV抽出'!$C$5),OR('CSV抽出'!$C$6="すべて",'CSV抽出'!$C$6="",D1540='CSV抽出'!$C$6),OR('CSV抽出'!$C$7="",B1540&amp;""='CSV抽出'!$C$7&amp;"")),1,0))</f>
        <v/>
      </c>
      <c r="AI1540" s="20">
        <f>IF(AH1540=1,SUM($AH$5:AH1540),"")</f>
        <v/>
      </c>
      <c r="AJ1540" s="20">
        <f>IF(OR(S1540="",'報告書'!$C$4=""),"",IF(S1540&amp;""='報告書'!$C$4&amp;"",COUNTIF($S$5:S1540,'報告書'!$C$4),""))</f>
        <v/>
      </c>
      <c r="AK1540" s="20" t="n"/>
      <c r="AL1540" s="47" t="n"/>
      <c r="AM1540" s="47" t="n"/>
      <c r="AN1540" s="53" t="n"/>
      <c r="AO1540" s="47" t="n"/>
      <c r="AP1540" s="47" t="n"/>
      <c r="AQ1540" s="47" t="n"/>
      <c r="AR1540" s="47" t="n"/>
      <c r="AS1540" s="47" t="n"/>
      <c r="AT1540" s="47" t="n"/>
      <c r="AU1540" s="47" t="n"/>
      <c r="AV1540" s="47" t="n"/>
      <c r="AW1540" s="52" t="n"/>
    </row>
    <row r="1541">
      <c r="A1541" s="48" t="n"/>
      <c r="B1541" s="52" t="n"/>
      <c r="C1541" s="47">
        <f>IF(B1541="","",IFERROR(INDEX('隊員マスタ'!$B$5:$B$204,MATCH(B1541&amp;"",'隊員マスタ'!$F$5:$F$204,0)),IF(AK1541="","番号なし",AK1541)))</f>
        <v/>
      </c>
      <c r="D1541" s="47" t="n"/>
      <c r="E1541" s="47" t="n"/>
      <c r="F1541" s="47" t="n"/>
      <c r="G1541" s="47" t="n"/>
      <c r="H1541" s="47" t="n"/>
      <c r="I1541" s="47" t="n"/>
      <c r="J1541" s="47" t="n"/>
      <c r="K1541" s="47" t="n"/>
      <c r="L1541" s="47" t="n"/>
      <c r="M1541" s="47" t="n"/>
      <c r="N1541" s="47" t="n"/>
      <c r="O1541" s="47" t="n"/>
      <c r="P1541" s="47" t="n"/>
      <c r="Q1541" s="47" t="n"/>
      <c r="R1541" s="47" t="n"/>
      <c r="S1541" s="47" t="n"/>
      <c r="T1541" s="47" t="n"/>
      <c r="U1541" s="53" t="n"/>
      <c r="V1541" s="53" t="n"/>
      <c r="W1541" s="47" t="n"/>
      <c r="X1541" s="47" t="n"/>
      <c r="Y1541" s="47" t="n"/>
      <c r="Z1541" s="47" t="n"/>
      <c r="AA1541" s="47" t="n"/>
      <c r="AB1541" s="47" t="n"/>
      <c r="AC1541" s="47" t="n"/>
      <c r="AD1541" s="47" t="n"/>
      <c r="AE1541" s="47" t="n"/>
      <c r="AF1541" s="20">
        <f>IF(A1541="","",YEAR(EDATE(A1541,-3)))</f>
        <v/>
      </c>
      <c r="AG1541" s="20">
        <f>IF(OR(B1541="",'経歴簿'!$C$4=""),"",IF(B1541&amp;""='経歴簿'!$C$4&amp;"",MAX($AG$4:AG1540)+1,""))</f>
        <v/>
      </c>
      <c r="AH1541" s="20">
        <f>IF(A1541="",0,IF(AND(OR('CSV抽出'!$C$4="",A1541&gt;='CSV抽出'!$C$4),OR('CSV抽出'!$C$5="",A1541&lt;='CSV抽出'!$C$5),OR('CSV抽出'!$C$6="すべて",'CSV抽出'!$C$6="",D1541='CSV抽出'!$C$6),OR('CSV抽出'!$C$7="",B1541&amp;""='CSV抽出'!$C$7&amp;"")),1,0))</f>
        <v/>
      </c>
      <c r="AI1541" s="20">
        <f>IF(AH1541=1,SUM($AH$5:AH1541),"")</f>
        <v/>
      </c>
      <c r="AJ1541" s="20">
        <f>IF(OR(S1541="",'報告書'!$C$4=""),"",IF(S1541&amp;""='報告書'!$C$4&amp;"",COUNTIF($S$5:S1541,'報告書'!$C$4),""))</f>
        <v/>
      </c>
      <c r="AK1541" s="20" t="n"/>
      <c r="AL1541" s="47" t="n"/>
      <c r="AM1541" s="47" t="n"/>
      <c r="AN1541" s="53" t="n"/>
      <c r="AO1541" s="47" t="n"/>
      <c r="AP1541" s="47" t="n"/>
      <c r="AQ1541" s="47" t="n"/>
      <c r="AR1541" s="47" t="n"/>
      <c r="AS1541" s="47" t="n"/>
      <c r="AT1541" s="47" t="n"/>
      <c r="AU1541" s="47" t="n"/>
      <c r="AV1541" s="47" t="n"/>
      <c r="AW1541" s="52" t="n"/>
    </row>
    <row r="1542">
      <c r="A1542" s="48" t="n"/>
      <c r="B1542" s="52" t="n"/>
      <c r="C1542" s="47">
        <f>IF(B1542="","",IFERROR(INDEX('隊員マスタ'!$B$5:$B$204,MATCH(B1542&amp;"",'隊員マスタ'!$F$5:$F$204,0)),IF(AK1542="","番号なし",AK1542)))</f>
        <v/>
      </c>
      <c r="D1542" s="47" t="n"/>
      <c r="E1542" s="47" t="n"/>
      <c r="F1542" s="47" t="n"/>
      <c r="G1542" s="47" t="n"/>
      <c r="H1542" s="47" t="n"/>
      <c r="I1542" s="47" t="n"/>
      <c r="J1542" s="47" t="n"/>
      <c r="K1542" s="47" t="n"/>
      <c r="L1542" s="47" t="n"/>
      <c r="M1542" s="47" t="n"/>
      <c r="N1542" s="47" t="n"/>
      <c r="O1542" s="47" t="n"/>
      <c r="P1542" s="47" t="n"/>
      <c r="Q1542" s="47" t="n"/>
      <c r="R1542" s="47" t="n"/>
      <c r="S1542" s="47" t="n"/>
      <c r="T1542" s="47" t="n"/>
      <c r="U1542" s="53" t="n"/>
      <c r="V1542" s="53" t="n"/>
      <c r="W1542" s="47" t="n"/>
      <c r="X1542" s="47" t="n"/>
      <c r="Y1542" s="47" t="n"/>
      <c r="Z1542" s="47" t="n"/>
      <c r="AA1542" s="47" t="n"/>
      <c r="AB1542" s="47" t="n"/>
      <c r="AC1542" s="47" t="n"/>
      <c r="AD1542" s="47" t="n"/>
      <c r="AE1542" s="47" t="n"/>
      <c r="AF1542" s="20">
        <f>IF(A1542="","",YEAR(EDATE(A1542,-3)))</f>
        <v/>
      </c>
      <c r="AG1542" s="20">
        <f>IF(OR(B1542="",'経歴簿'!$C$4=""),"",IF(B1542&amp;""='経歴簿'!$C$4&amp;"",MAX($AG$4:AG1541)+1,""))</f>
        <v/>
      </c>
      <c r="AH1542" s="20">
        <f>IF(A1542="",0,IF(AND(OR('CSV抽出'!$C$4="",A1542&gt;='CSV抽出'!$C$4),OR('CSV抽出'!$C$5="",A1542&lt;='CSV抽出'!$C$5),OR('CSV抽出'!$C$6="すべて",'CSV抽出'!$C$6="",D1542='CSV抽出'!$C$6),OR('CSV抽出'!$C$7="",B1542&amp;""='CSV抽出'!$C$7&amp;"")),1,0))</f>
        <v/>
      </c>
      <c r="AI1542" s="20">
        <f>IF(AH1542=1,SUM($AH$5:AH1542),"")</f>
        <v/>
      </c>
      <c r="AJ1542" s="20">
        <f>IF(OR(S1542="",'報告書'!$C$4=""),"",IF(S1542&amp;""='報告書'!$C$4&amp;"",COUNTIF($S$5:S1542,'報告書'!$C$4),""))</f>
        <v/>
      </c>
      <c r="AK1542" s="20" t="n"/>
      <c r="AL1542" s="47" t="n"/>
      <c r="AM1542" s="47" t="n"/>
      <c r="AN1542" s="53" t="n"/>
      <c r="AO1542" s="47" t="n"/>
      <c r="AP1542" s="47" t="n"/>
      <c r="AQ1542" s="47" t="n"/>
      <c r="AR1542" s="47" t="n"/>
      <c r="AS1542" s="47" t="n"/>
      <c r="AT1542" s="47" t="n"/>
      <c r="AU1542" s="47" t="n"/>
      <c r="AV1542" s="47" t="n"/>
      <c r="AW1542" s="52" t="n"/>
    </row>
    <row r="1543">
      <c r="A1543" s="48" t="n"/>
      <c r="B1543" s="52" t="n"/>
      <c r="C1543" s="47">
        <f>IF(B1543="","",IFERROR(INDEX('隊員マスタ'!$B$5:$B$204,MATCH(B1543&amp;"",'隊員マスタ'!$F$5:$F$204,0)),IF(AK1543="","番号なし",AK1543)))</f>
        <v/>
      </c>
      <c r="D1543" s="47" t="n"/>
      <c r="E1543" s="47" t="n"/>
      <c r="F1543" s="47" t="n"/>
      <c r="G1543" s="47" t="n"/>
      <c r="H1543" s="47" t="n"/>
      <c r="I1543" s="47" t="n"/>
      <c r="J1543" s="47" t="n"/>
      <c r="K1543" s="47" t="n"/>
      <c r="L1543" s="47" t="n"/>
      <c r="M1543" s="47" t="n"/>
      <c r="N1543" s="47" t="n"/>
      <c r="O1543" s="47" t="n"/>
      <c r="P1543" s="47" t="n"/>
      <c r="Q1543" s="47" t="n"/>
      <c r="R1543" s="47" t="n"/>
      <c r="S1543" s="47" t="n"/>
      <c r="T1543" s="47" t="n"/>
      <c r="U1543" s="53" t="n"/>
      <c r="V1543" s="53" t="n"/>
      <c r="W1543" s="47" t="n"/>
      <c r="X1543" s="47" t="n"/>
      <c r="Y1543" s="47" t="n"/>
      <c r="Z1543" s="47" t="n"/>
      <c r="AA1543" s="47" t="n"/>
      <c r="AB1543" s="47" t="n"/>
      <c r="AC1543" s="47" t="n"/>
      <c r="AD1543" s="47" t="n"/>
      <c r="AE1543" s="47" t="n"/>
      <c r="AF1543" s="20">
        <f>IF(A1543="","",YEAR(EDATE(A1543,-3)))</f>
        <v/>
      </c>
      <c r="AG1543" s="20">
        <f>IF(OR(B1543="",'経歴簿'!$C$4=""),"",IF(B1543&amp;""='経歴簿'!$C$4&amp;"",MAX($AG$4:AG1542)+1,""))</f>
        <v/>
      </c>
      <c r="AH1543" s="20">
        <f>IF(A1543="",0,IF(AND(OR('CSV抽出'!$C$4="",A1543&gt;='CSV抽出'!$C$4),OR('CSV抽出'!$C$5="",A1543&lt;='CSV抽出'!$C$5),OR('CSV抽出'!$C$6="すべて",'CSV抽出'!$C$6="",D1543='CSV抽出'!$C$6),OR('CSV抽出'!$C$7="",B1543&amp;""='CSV抽出'!$C$7&amp;"")),1,0))</f>
        <v/>
      </c>
      <c r="AI1543" s="20">
        <f>IF(AH1543=1,SUM($AH$5:AH1543),"")</f>
        <v/>
      </c>
      <c r="AJ1543" s="20">
        <f>IF(OR(S1543="",'報告書'!$C$4=""),"",IF(S1543&amp;""='報告書'!$C$4&amp;"",COUNTIF($S$5:S1543,'報告書'!$C$4),""))</f>
        <v/>
      </c>
      <c r="AK1543" s="20" t="n"/>
      <c r="AL1543" s="47" t="n"/>
      <c r="AM1543" s="47" t="n"/>
      <c r="AN1543" s="53" t="n"/>
      <c r="AO1543" s="47" t="n"/>
      <c r="AP1543" s="47" t="n"/>
      <c r="AQ1543" s="47" t="n"/>
      <c r="AR1543" s="47" t="n"/>
      <c r="AS1543" s="47" t="n"/>
      <c r="AT1543" s="47" t="n"/>
      <c r="AU1543" s="47" t="n"/>
      <c r="AV1543" s="47" t="n"/>
      <c r="AW1543" s="52" t="n"/>
    </row>
    <row r="1544">
      <c r="A1544" s="48" t="n"/>
      <c r="B1544" s="52" t="n"/>
      <c r="C1544" s="47">
        <f>IF(B1544="","",IFERROR(INDEX('隊員マスタ'!$B$5:$B$204,MATCH(B1544&amp;"",'隊員マスタ'!$F$5:$F$204,0)),IF(AK1544="","番号なし",AK1544)))</f>
        <v/>
      </c>
      <c r="D1544" s="47" t="n"/>
      <c r="E1544" s="47" t="n"/>
      <c r="F1544" s="47" t="n"/>
      <c r="G1544" s="47" t="n"/>
      <c r="H1544" s="47" t="n"/>
      <c r="I1544" s="47" t="n"/>
      <c r="J1544" s="47" t="n"/>
      <c r="K1544" s="47" t="n"/>
      <c r="L1544" s="47" t="n"/>
      <c r="M1544" s="47" t="n"/>
      <c r="N1544" s="47" t="n"/>
      <c r="O1544" s="47" t="n"/>
      <c r="P1544" s="47" t="n"/>
      <c r="Q1544" s="47" t="n"/>
      <c r="R1544" s="47" t="n"/>
      <c r="S1544" s="47" t="n"/>
      <c r="T1544" s="47" t="n"/>
      <c r="U1544" s="53" t="n"/>
      <c r="V1544" s="53" t="n"/>
      <c r="W1544" s="47" t="n"/>
      <c r="X1544" s="47" t="n"/>
      <c r="Y1544" s="47" t="n"/>
      <c r="Z1544" s="47" t="n"/>
      <c r="AA1544" s="47" t="n"/>
      <c r="AB1544" s="47" t="n"/>
      <c r="AC1544" s="47" t="n"/>
      <c r="AD1544" s="47" t="n"/>
      <c r="AE1544" s="47" t="n"/>
      <c r="AF1544" s="20">
        <f>IF(A1544="","",YEAR(EDATE(A1544,-3)))</f>
        <v/>
      </c>
      <c r="AG1544" s="20">
        <f>IF(OR(B1544="",'経歴簿'!$C$4=""),"",IF(B1544&amp;""='経歴簿'!$C$4&amp;"",MAX($AG$4:AG1543)+1,""))</f>
        <v/>
      </c>
      <c r="AH1544" s="20">
        <f>IF(A1544="",0,IF(AND(OR('CSV抽出'!$C$4="",A1544&gt;='CSV抽出'!$C$4),OR('CSV抽出'!$C$5="",A1544&lt;='CSV抽出'!$C$5),OR('CSV抽出'!$C$6="すべて",'CSV抽出'!$C$6="",D1544='CSV抽出'!$C$6),OR('CSV抽出'!$C$7="",B1544&amp;""='CSV抽出'!$C$7&amp;"")),1,0))</f>
        <v/>
      </c>
      <c r="AI1544" s="20">
        <f>IF(AH1544=1,SUM($AH$5:AH1544),"")</f>
        <v/>
      </c>
      <c r="AJ1544" s="20">
        <f>IF(OR(S1544="",'報告書'!$C$4=""),"",IF(S1544&amp;""='報告書'!$C$4&amp;"",COUNTIF($S$5:S1544,'報告書'!$C$4),""))</f>
        <v/>
      </c>
      <c r="AK1544" s="20" t="n"/>
      <c r="AL1544" s="47" t="n"/>
      <c r="AM1544" s="47" t="n"/>
      <c r="AN1544" s="53" t="n"/>
      <c r="AO1544" s="47" t="n"/>
      <c r="AP1544" s="47" t="n"/>
      <c r="AQ1544" s="47" t="n"/>
      <c r="AR1544" s="47" t="n"/>
      <c r="AS1544" s="47" t="n"/>
      <c r="AT1544" s="47" t="n"/>
      <c r="AU1544" s="47" t="n"/>
      <c r="AV1544" s="47" t="n"/>
      <c r="AW1544" s="52" t="n"/>
    </row>
    <row r="1545">
      <c r="A1545" s="48" t="n"/>
      <c r="B1545" s="52" t="n"/>
      <c r="C1545" s="47">
        <f>IF(B1545="","",IFERROR(INDEX('隊員マスタ'!$B$5:$B$204,MATCH(B1545&amp;"",'隊員マスタ'!$F$5:$F$204,0)),IF(AK1545="","番号なし",AK1545)))</f>
        <v/>
      </c>
      <c r="D1545" s="47" t="n"/>
      <c r="E1545" s="47" t="n"/>
      <c r="F1545" s="47" t="n"/>
      <c r="G1545" s="47" t="n"/>
      <c r="H1545" s="47" t="n"/>
      <c r="I1545" s="47" t="n"/>
      <c r="J1545" s="47" t="n"/>
      <c r="K1545" s="47" t="n"/>
      <c r="L1545" s="47" t="n"/>
      <c r="M1545" s="47" t="n"/>
      <c r="N1545" s="47" t="n"/>
      <c r="O1545" s="47" t="n"/>
      <c r="P1545" s="47" t="n"/>
      <c r="Q1545" s="47" t="n"/>
      <c r="R1545" s="47" t="n"/>
      <c r="S1545" s="47" t="n"/>
      <c r="T1545" s="47" t="n"/>
      <c r="U1545" s="53" t="n"/>
      <c r="V1545" s="53" t="n"/>
      <c r="W1545" s="47" t="n"/>
      <c r="X1545" s="47" t="n"/>
      <c r="Y1545" s="47" t="n"/>
      <c r="Z1545" s="47" t="n"/>
      <c r="AA1545" s="47" t="n"/>
      <c r="AB1545" s="47" t="n"/>
      <c r="AC1545" s="47" t="n"/>
      <c r="AD1545" s="47" t="n"/>
      <c r="AE1545" s="47" t="n"/>
      <c r="AF1545" s="20">
        <f>IF(A1545="","",YEAR(EDATE(A1545,-3)))</f>
        <v/>
      </c>
      <c r="AG1545" s="20">
        <f>IF(OR(B1545="",'経歴簿'!$C$4=""),"",IF(B1545&amp;""='経歴簿'!$C$4&amp;"",MAX($AG$4:AG1544)+1,""))</f>
        <v/>
      </c>
      <c r="AH1545" s="20">
        <f>IF(A1545="",0,IF(AND(OR('CSV抽出'!$C$4="",A1545&gt;='CSV抽出'!$C$4),OR('CSV抽出'!$C$5="",A1545&lt;='CSV抽出'!$C$5),OR('CSV抽出'!$C$6="すべて",'CSV抽出'!$C$6="",D1545='CSV抽出'!$C$6),OR('CSV抽出'!$C$7="",B1545&amp;""='CSV抽出'!$C$7&amp;"")),1,0))</f>
        <v/>
      </c>
      <c r="AI1545" s="20">
        <f>IF(AH1545=1,SUM($AH$5:AH1545),"")</f>
        <v/>
      </c>
      <c r="AJ1545" s="20">
        <f>IF(OR(S1545="",'報告書'!$C$4=""),"",IF(S1545&amp;""='報告書'!$C$4&amp;"",COUNTIF($S$5:S1545,'報告書'!$C$4),""))</f>
        <v/>
      </c>
      <c r="AK1545" s="20" t="n"/>
      <c r="AL1545" s="47" t="n"/>
      <c r="AM1545" s="47" t="n"/>
      <c r="AN1545" s="53" t="n"/>
      <c r="AO1545" s="47" t="n"/>
      <c r="AP1545" s="47" t="n"/>
      <c r="AQ1545" s="47" t="n"/>
      <c r="AR1545" s="47" t="n"/>
      <c r="AS1545" s="47" t="n"/>
      <c r="AT1545" s="47" t="n"/>
      <c r="AU1545" s="47" t="n"/>
      <c r="AV1545" s="47" t="n"/>
      <c r="AW1545" s="52" t="n"/>
    </row>
    <row r="1546">
      <c r="A1546" s="48" t="n"/>
      <c r="B1546" s="52" t="n"/>
      <c r="C1546" s="47">
        <f>IF(B1546="","",IFERROR(INDEX('隊員マスタ'!$B$5:$B$204,MATCH(B1546&amp;"",'隊員マスタ'!$F$5:$F$204,0)),IF(AK1546="","番号なし",AK1546)))</f>
        <v/>
      </c>
      <c r="D1546" s="47" t="n"/>
      <c r="E1546" s="47" t="n"/>
      <c r="F1546" s="47" t="n"/>
      <c r="G1546" s="47" t="n"/>
      <c r="H1546" s="47" t="n"/>
      <c r="I1546" s="47" t="n"/>
      <c r="J1546" s="47" t="n"/>
      <c r="K1546" s="47" t="n"/>
      <c r="L1546" s="47" t="n"/>
      <c r="M1546" s="47" t="n"/>
      <c r="N1546" s="47" t="n"/>
      <c r="O1546" s="47" t="n"/>
      <c r="P1546" s="47" t="n"/>
      <c r="Q1546" s="47" t="n"/>
      <c r="R1546" s="47" t="n"/>
      <c r="S1546" s="47" t="n"/>
      <c r="T1546" s="47" t="n"/>
      <c r="U1546" s="53" t="n"/>
      <c r="V1546" s="53" t="n"/>
      <c r="W1546" s="47" t="n"/>
      <c r="X1546" s="47" t="n"/>
      <c r="Y1546" s="47" t="n"/>
      <c r="Z1546" s="47" t="n"/>
      <c r="AA1546" s="47" t="n"/>
      <c r="AB1546" s="47" t="n"/>
      <c r="AC1546" s="47" t="n"/>
      <c r="AD1546" s="47" t="n"/>
      <c r="AE1546" s="47" t="n"/>
      <c r="AF1546" s="20">
        <f>IF(A1546="","",YEAR(EDATE(A1546,-3)))</f>
        <v/>
      </c>
      <c r="AG1546" s="20">
        <f>IF(OR(B1546="",'経歴簿'!$C$4=""),"",IF(B1546&amp;""='経歴簿'!$C$4&amp;"",MAX($AG$4:AG1545)+1,""))</f>
        <v/>
      </c>
      <c r="AH1546" s="20">
        <f>IF(A1546="",0,IF(AND(OR('CSV抽出'!$C$4="",A1546&gt;='CSV抽出'!$C$4),OR('CSV抽出'!$C$5="",A1546&lt;='CSV抽出'!$C$5),OR('CSV抽出'!$C$6="すべて",'CSV抽出'!$C$6="",D1546='CSV抽出'!$C$6),OR('CSV抽出'!$C$7="",B1546&amp;""='CSV抽出'!$C$7&amp;"")),1,0))</f>
        <v/>
      </c>
      <c r="AI1546" s="20">
        <f>IF(AH1546=1,SUM($AH$5:AH1546),"")</f>
        <v/>
      </c>
      <c r="AJ1546" s="20">
        <f>IF(OR(S1546="",'報告書'!$C$4=""),"",IF(S1546&amp;""='報告書'!$C$4&amp;"",COUNTIF($S$5:S1546,'報告書'!$C$4),""))</f>
        <v/>
      </c>
      <c r="AK1546" s="20" t="n"/>
      <c r="AL1546" s="47" t="n"/>
      <c r="AM1546" s="47" t="n"/>
      <c r="AN1546" s="53" t="n"/>
      <c r="AO1546" s="47" t="n"/>
      <c r="AP1546" s="47" t="n"/>
      <c r="AQ1546" s="47" t="n"/>
      <c r="AR1546" s="47" t="n"/>
      <c r="AS1546" s="47" t="n"/>
      <c r="AT1546" s="47" t="n"/>
      <c r="AU1546" s="47" t="n"/>
      <c r="AV1546" s="47" t="n"/>
      <c r="AW1546" s="52" t="n"/>
    </row>
    <row r="1547">
      <c r="A1547" s="48" t="n"/>
      <c r="B1547" s="52" t="n"/>
      <c r="C1547" s="47">
        <f>IF(B1547="","",IFERROR(INDEX('隊員マスタ'!$B$5:$B$204,MATCH(B1547&amp;"",'隊員マスタ'!$F$5:$F$204,0)),IF(AK1547="","番号なし",AK1547)))</f>
        <v/>
      </c>
      <c r="D1547" s="47" t="n"/>
      <c r="E1547" s="47" t="n"/>
      <c r="F1547" s="47" t="n"/>
      <c r="G1547" s="47" t="n"/>
      <c r="H1547" s="47" t="n"/>
      <c r="I1547" s="47" t="n"/>
      <c r="J1547" s="47" t="n"/>
      <c r="K1547" s="47" t="n"/>
      <c r="L1547" s="47" t="n"/>
      <c r="M1547" s="47" t="n"/>
      <c r="N1547" s="47" t="n"/>
      <c r="O1547" s="47" t="n"/>
      <c r="P1547" s="47" t="n"/>
      <c r="Q1547" s="47" t="n"/>
      <c r="R1547" s="47" t="n"/>
      <c r="S1547" s="47" t="n"/>
      <c r="T1547" s="47" t="n"/>
      <c r="U1547" s="53" t="n"/>
      <c r="V1547" s="53" t="n"/>
      <c r="W1547" s="47" t="n"/>
      <c r="X1547" s="47" t="n"/>
      <c r="Y1547" s="47" t="n"/>
      <c r="Z1547" s="47" t="n"/>
      <c r="AA1547" s="47" t="n"/>
      <c r="AB1547" s="47" t="n"/>
      <c r="AC1547" s="47" t="n"/>
      <c r="AD1547" s="47" t="n"/>
      <c r="AE1547" s="47" t="n"/>
      <c r="AF1547" s="20">
        <f>IF(A1547="","",YEAR(EDATE(A1547,-3)))</f>
        <v/>
      </c>
      <c r="AG1547" s="20">
        <f>IF(OR(B1547="",'経歴簿'!$C$4=""),"",IF(B1547&amp;""='経歴簿'!$C$4&amp;"",MAX($AG$4:AG1546)+1,""))</f>
        <v/>
      </c>
      <c r="AH1547" s="20">
        <f>IF(A1547="",0,IF(AND(OR('CSV抽出'!$C$4="",A1547&gt;='CSV抽出'!$C$4),OR('CSV抽出'!$C$5="",A1547&lt;='CSV抽出'!$C$5),OR('CSV抽出'!$C$6="すべて",'CSV抽出'!$C$6="",D1547='CSV抽出'!$C$6),OR('CSV抽出'!$C$7="",B1547&amp;""='CSV抽出'!$C$7&amp;"")),1,0))</f>
        <v/>
      </c>
      <c r="AI1547" s="20">
        <f>IF(AH1547=1,SUM($AH$5:AH1547),"")</f>
        <v/>
      </c>
      <c r="AJ1547" s="20">
        <f>IF(OR(S1547="",'報告書'!$C$4=""),"",IF(S1547&amp;""='報告書'!$C$4&amp;"",COUNTIF($S$5:S1547,'報告書'!$C$4),""))</f>
        <v/>
      </c>
      <c r="AK1547" s="20" t="n"/>
      <c r="AL1547" s="47" t="n"/>
      <c r="AM1547" s="47" t="n"/>
      <c r="AN1547" s="53" t="n"/>
      <c r="AO1547" s="47" t="n"/>
      <c r="AP1547" s="47" t="n"/>
      <c r="AQ1547" s="47" t="n"/>
      <c r="AR1547" s="47" t="n"/>
      <c r="AS1547" s="47" t="n"/>
      <c r="AT1547" s="47" t="n"/>
      <c r="AU1547" s="47" t="n"/>
      <c r="AV1547" s="47" t="n"/>
      <c r="AW1547" s="52" t="n"/>
    </row>
    <row r="1548">
      <c r="A1548" s="48" t="n"/>
      <c r="B1548" s="52" t="n"/>
      <c r="C1548" s="47">
        <f>IF(B1548="","",IFERROR(INDEX('隊員マスタ'!$B$5:$B$204,MATCH(B1548&amp;"",'隊員マスタ'!$F$5:$F$204,0)),IF(AK1548="","番号なし",AK1548)))</f>
        <v/>
      </c>
      <c r="D1548" s="47" t="n"/>
      <c r="E1548" s="47" t="n"/>
      <c r="F1548" s="47" t="n"/>
      <c r="G1548" s="47" t="n"/>
      <c r="H1548" s="47" t="n"/>
      <c r="I1548" s="47" t="n"/>
      <c r="J1548" s="47" t="n"/>
      <c r="K1548" s="47" t="n"/>
      <c r="L1548" s="47" t="n"/>
      <c r="M1548" s="47" t="n"/>
      <c r="N1548" s="47" t="n"/>
      <c r="O1548" s="47" t="n"/>
      <c r="P1548" s="47" t="n"/>
      <c r="Q1548" s="47" t="n"/>
      <c r="R1548" s="47" t="n"/>
      <c r="S1548" s="47" t="n"/>
      <c r="T1548" s="47" t="n"/>
      <c r="U1548" s="53" t="n"/>
      <c r="V1548" s="53" t="n"/>
      <c r="W1548" s="47" t="n"/>
      <c r="X1548" s="47" t="n"/>
      <c r="Y1548" s="47" t="n"/>
      <c r="Z1548" s="47" t="n"/>
      <c r="AA1548" s="47" t="n"/>
      <c r="AB1548" s="47" t="n"/>
      <c r="AC1548" s="47" t="n"/>
      <c r="AD1548" s="47" t="n"/>
      <c r="AE1548" s="47" t="n"/>
      <c r="AF1548" s="20">
        <f>IF(A1548="","",YEAR(EDATE(A1548,-3)))</f>
        <v/>
      </c>
      <c r="AG1548" s="20">
        <f>IF(OR(B1548="",'経歴簿'!$C$4=""),"",IF(B1548&amp;""='経歴簿'!$C$4&amp;"",MAX($AG$4:AG1547)+1,""))</f>
        <v/>
      </c>
      <c r="AH1548" s="20">
        <f>IF(A1548="",0,IF(AND(OR('CSV抽出'!$C$4="",A1548&gt;='CSV抽出'!$C$4),OR('CSV抽出'!$C$5="",A1548&lt;='CSV抽出'!$C$5),OR('CSV抽出'!$C$6="すべて",'CSV抽出'!$C$6="",D1548='CSV抽出'!$C$6),OR('CSV抽出'!$C$7="",B1548&amp;""='CSV抽出'!$C$7&amp;"")),1,0))</f>
        <v/>
      </c>
      <c r="AI1548" s="20">
        <f>IF(AH1548=1,SUM($AH$5:AH1548),"")</f>
        <v/>
      </c>
      <c r="AJ1548" s="20">
        <f>IF(OR(S1548="",'報告書'!$C$4=""),"",IF(S1548&amp;""='報告書'!$C$4&amp;"",COUNTIF($S$5:S1548,'報告書'!$C$4),""))</f>
        <v/>
      </c>
      <c r="AK1548" s="20" t="n"/>
      <c r="AL1548" s="47" t="n"/>
      <c r="AM1548" s="47" t="n"/>
      <c r="AN1548" s="53" t="n"/>
      <c r="AO1548" s="47" t="n"/>
      <c r="AP1548" s="47" t="n"/>
      <c r="AQ1548" s="47" t="n"/>
      <c r="AR1548" s="47" t="n"/>
      <c r="AS1548" s="47" t="n"/>
      <c r="AT1548" s="47" t="n"/>
      <c r="AU1548" s="47" t="n"/>
      <c r="AV1548" s="47" t="n"/>
      <c r="AW1548" s="52" t="n"/>
    </row>
    <row r="1549">
      <c r="A1549" s="48" t="n"/>
      <c r="B1549" s="52" t="n"/>
      <c r="C1549" s="47">
        <f>IF(B1549="","",IFERROR(INDEX('隊員マスタ'!$B$5:$B$204,MATCH(B1549&amp;"",'隊員マスタ'!$F$5:$F$204,0)),IF(AK1549="","番号なし",AK1549)))</f>
        <v/>
      </c>
      <c r="D1549" s="47" t="n"/>
      <c r="E1549" s="47" t="n"/>
      <c r="F1549" s="47" t="n"/>
      <c r="G1549" s="47" t="n"/>
      <c r="H1549" s="47" t="n"/>
      <c r="I1549" s="47" t="n"/>
      <c r="J1549" s="47" t="n"/>
      <c r="K1549" s="47" t="n"/>
      <c r="L1549" s="47" t="n"/>
      <c r="M1549" s="47" t="n"/>
      <c r="N1549" s="47" t="n"/>
      <c r="O1549" s="47" t="n"/>
      <c r="P1549" s="47" t="n"/>
      <c r="Q1549" s="47" t="n"/>
      <c r="R1549" s="47" t="n"/>
      <c r="S1549" s="47" t="n"/>
      <c r="T1549" s="47" t="n"/>
      <c r="U1549" s="53" t="n"/>
      <c r="V1549" s="53" t="n"/>
      <c r="W1549" s="47" t="n"/>
      <c r="X1549" s="47" t="n"/>
      <c r="Y1549" s="47" t="n"/>
      <c r="Z1549" s="47" t="n"/>
      <c r="AA1549" s="47" t="n"/>
      <c r="AB1549" s="47" t="n"/>
      <c r="AC1549" s="47" t="n"/>
      <c r="AD1549" s="47" t="n"/>
      <c r="AE1549" s="47" t="n"/>
      <c r="AF1549" s="20">
        <f>IF(A1549="","",YEAR(EDATE(A1549,-3)))</f>
        <v/>
      </c>
      <c r="AG1549" s="20">
        <f>IF(OR(B1549="",'経歴簿'!$C$4=""),"",IF(B1549&amp;""='経歴簿'!$C$4&amp;"",MAX($AG$4:AG1548)+1,""))</f>
        <v/>
      </c>
      <c r="AH1549" s="20">
        <f>IF(A1549="",0,IF(AND(OR('CSV抽出'!$C$4="",A1549&gt;='CSV抽出'!$C$4),OR('CSV抽出'!$C$5="",A1549&lt;='CSV抽出'!$C$5),OR('CSV抽出'!$C$6="すべて",'CSV抽出'!$C$6="",D1549='CSV抽出'!$C$6),OR('CSV抽出'!$C$7="",B1549&amp;""='CSV抽出'!$C$7&amp;"")),1,0))</f>
        <v/>
      </c>
      <c r="AI1549" s="20">
        <f>IF(AH1549=1,SUM($AH$5:AH1549),"")</f>
        <v/>
      </c>
      <c r="AJ1549" s="20">
        <f>IF(OR(S1549="",'報告書'!$C$4=""),"",IF(S1549&amp;""='報告書'!$C$4&amp;"",COUNTIF($S$5:S1549,'報告書'!$C$4),""))</f>
        <v/>
      </c>
      <c r="AK1549" s="20" t="n"/>
      <c r="AL1549" s="47" t="n"/>
      <c r="AM1549" s="47" t="n"/>
      <c r="AN1549" s="53" t="n"/>
      <c r="AO1549" s="47" t="n"/>
      <c r="AP1549" s="47" t="n"/>
      <c r="AQ1549" s="47" t="n"/>
      <c r="AR1549" s="47" t="n"/>
      <c r="AS1549" s="47" t="n"/>
      <c r="AT1549" s="47" t="n"/>
      <c r="AU1549" s="47" t="n"/>
      <c r="AV1549" s="47" t="n"/>
      <c r="AW1549" s="52" t="n"/>
    </row>
    <row r="1550">
      <c r="A1550" s="48" t="n"/>
      <c r="B1550" s="52" t="n"/>
      <c r="C1550" s="47">
        <f>IF(B1550="","",IFERROR(INDEX('隊員マスタ'!$B$5:$B$204,MATCH(B1550&amp;"",'隊員マスタ'!$F$5:$F$204,0)),IF(AK1550="","番号なし",AK1550)))</f>
        <v/>
      </c>
      <c r="D1550" s="47" t="n"/>
      <c r="E1550" s="47" t="n"/>
      <c r="F1550" s="47" t="n"/>
      <c r="G1550" s="47" t="n"/>
      <c r="H1550" s="47" t="n"/>
      <c r="I1550" s="47" t="n"/>
      <c r="J1550" s="47" t="n"/>
      <c r="K1550" s="47" t="n"/>
      <c r="L1550" s="47" t="n"/>
      <c r="M1550" s="47" t="n"/>
      <c r="N1550" s="47" t="n"/>
      <c r="O1550" s="47" t="n"/>
      <c r="P1550" s="47" t="n"/>
      <c r="Q1550" s="47" t="n"/>
      <c r="R1550" s="47" t="n"/>
      <c r="S1550" s="47" t="n"/>
      <c r="T1550" s="47" t="n"/>
      <c r="U1550" s="53" t="n"/>
      <c r="V1550" s="53" t="n"/>
      <c r="W1550" s="47" t="n"/>
      <c r="X1550" s="47" t="n"/>
      <c r="Y1550" s="47" t="n"/>
      <c r="Z1550" s="47" t="n"/>
      <c r="AA1550" s="47" t="n"/>
      <c r="AB1550" s="47" t="n"/>
      <c r="AC1550" s="47" t="n"/>
      <c r="AD1550" s="47" t="n"/>
      <c r="AE1550" s="47" t="n"/>
      <c r="AF1550" s="20">
        <f>IF(A1550="","",YEAR(EDATE(A1550,-3)))</f>
        <v/>
      </c>
      <c r="AG1550" s="20">
        <f>IF(OR(B1550="",'経歴簿'!$C$4=""),"",IF(B1550&amp;""='経歴簿'!$C$4&amp;"",MAX($AG$4:AG1549)+1,""))</f>
        <v/>
      </c>
      <c r="AH1550" s="20">
        <f>IF(A1550="",0,IF(AND(OR('CSV抽出'!$C$4="",A1550&gt;='CSV抽出'!$C$4),OR('CSV抽出'!$C$5="",A1550&lt;='CSV抽出'!$C$5),OR('CSV抽出'!$C$6="すべて",'CSV抽出'!$C$6="",D1550='CSV抽出'!$C$6),OR('CSV抽出'!$C$7="",B1550&amp;""='CSV抽出'!$C$7&amp;"")),1,0))</f>
        <v/>
      </c>
      <c r="AI1550" s="20">
        <f>IF(AH1550=1,SUM($AH$5:AH1550),"")</f>
        <v/>
      </c>
      <c r="AJ1550" s="20">
        <f>IF(OR(S1550="",'報告書'!$C$4=""),"",IF(S1550&amp;""='報告書'!$C$4&amp;"",COUNTIF($S$5:S1550,'報告書'!$C$4),""))</f>
        <v/>
      </c>
      <c r="AK1550" s="20" t="n"/>
      <c r="AL1550" s="47" t="n"/>
      <c r="AM1550" s="47" t="n"/>
      <c r="AN1550" s="53" t="n"/>
      <c r="AO1550" s="47" t="n"/>
      <c r="AP1550" s="47" t="n"/>
      <c r="AQ1550" s="47" t="n"/>
      <c r="AR1550" s="47" t="n"/>
      <c r="AS1550" s="47" t="n"/>
      <c r="AT1550" s="47" t="n"/>
      <c r="AU1550" s="47" t="n"/>
      <c r="AV1550" s="47" t="n"/>
      <c r="AW1550" s="52" t="n"/>
    </row>
    <row r="1551">
      <c r="A1551" s="48" t="n"/>
      <c r="B1551" s="52" t="n"/>
      <c r="C1551" s="47">
        <f>IF(B1551="","",IFERROR(INDEX('隊員マスタ'!$B$5:$B$204,MATCH(B1551&amp;"",'隊員マスタ'!$F$5:$F$204,0)),IF(AK1551="","番号なし",AK1551)))</f>
        <v/>
      </c>
      <c r="D1551" s="47" t="n"/>
      <c r="E1551" s="47" t="n"/>
      <c r="F1551" s="47" t="n"/>
      <c r="G1551" s="47" t="n"/>
      <c r="H1551" s="47" t="n"/>
      <c r="I1551" s="47" t="n"/>
      <c r="J1551" s="47" t="n"/>
      <c r="K1551" s="47" t="n"/>
      <c r="L1551" s="47" t="n"/>
      <c r="M1551" s="47" t="n"/>
      <c r="N1551" s="47" t="n"/>
      <c r="O1551" s="47" t="n"/>
      <c r="P1551" s="47" t="n"/>
      <c r="Q1551" s="47" t="n"/>
      <c r="R1551" s="47" t="n"/>
      <c r="S1551" s="47" t="n"/>
      <c r="T1551" s="47" t="n"/>
      <c r="U1551" s="53" t="n"/>
      <c r="V1551" s="53" t="n"/>
      <c r="W1551" s="47" t="n"/>
      <c r="X1551" s="47" t="n"/>
      <c r="Y1551" s="47" t="n"/>
      <c r="Z1551" s="47" t="n"/>
      <c r="AA1551" s="47" t="n"/>
      <c r="AB1551" s="47" t="n"/>
      <c r="AC1551" s="47" t="n"/>
      <c r="AD1551" s="47" t="n"/>
      <c r="AE1551" s="47" t="n"/>
      <c r="AF1551" s="20">
        <f>IF(A1551="","",YEAR(EDATE(A1551,-3)))</f>
        <v/>
      </c>
      <c r="AG1551" s="20">
        <f>IF(OR(B1551="",'経歴簿'!$C$4=""),"",IF(B1551&amp;""='経歴簿'!$C$4&amp;"",MAX($AG$4:AG1550)+1,""))</f>
        <v/>
      </c>
      <c r="AH1551" s="20">
        <f>IF(A1551="",0,IF(AND(OR('CSV抽出'!$C$4="",A1551&gt;='CSV抽出'!$C$4),OR('CSV抽出'!$C$5="",A1551&lt;='CSV抽出'!$C$5),OR('CSV抽出'!$C$6="すべて",'CSV抽出'!$C$6="",D1551='CSV抽出'!$C$6),OR('CSV抽出'!$C$7="",B1551&amp;""='CSV抽出'!$C$7&amp;"")),1,0))</f>
        <v/>
      </c>
      <c r="AI1551" s="20">
        <f>IF(AH1551=1,SUM($AH$5:AH1551),"")</f>
        <v/>
      </c>
      <c r="AJ1551" s="20">
        <f>IF(OR(S1551="",'報告書'!$C$4=""),"",IF(S1551&amp;""='報告書'!$C$4&amp;"",COUNTIF($S$5:S1551,'報告書'!$C$4),""))</f>
        <v/>
      </c>
      <c r="AK1551" s="20" t="n"/>
      <c r="AL1551" s="47" t="n"/>
      <c r="AM1551" s="47" t="n"/>
      <c r="AN1551" s="53" t="n"/>
      <c r="AO1551" s="47" t="n"/>
      <c r="AP1551" s="47" t="n"/>
      <c r="AQ1551" s="47" t="n"/>
      <c r="AR1551" s="47" t="n"/>
      <c r="AS1551" s="47" t="n"/>
      <c r="AT1551" s="47" t="n"/>
      <c r="AU1551" s="47" t="n"/>
      <c r="AV1551" s="47" t="n"/>
      <c r="AW1551" s="52" t="n"/>
    </row>
    <row r="1552">
      <c r="A1552" s="48" t="n"/>
      <c r="B1552" s="52" t="n"/>
      <c r="C1552" s="47">
        <f>IF(B1552="","",IFERROR(INDEX('隊員マスタ'!$B$5:$B$204,MATCH(B1552&amp;"",'隊員マスタ'!$F$5:$F$204,0)),IF(AK1552="","番号なし",AK1552)))</f>
        <v/>
      </c>
      <c r="D1552" s="47" t="n"/>
      <c r="E1552" s="47" t="n"/>
      <c r="F1552" s="47" t="n"/>
      <c r="G1552" s="47" t="n"/>
      <c r="H1552" s="47" t="n"/>
      <c r="I1552" s="47" t="n"/>
      <c r="J1552" s="47" t="n"/>
      <c r="K1552" s="47" t="n"/>
      <c r="L1552" s="47" t="n"/>
      <c r="M1552" s="47" t="n"/>
      <c r="N1552" s="47" t="n"/>
      <c r="O1552" s="47" t="n"/>
      <c r="P1552" s="47" t="n"/>
      <c r="Q1552" s="47" t="n"/>
      <c r="R1552" s="47" t="n"/>
      <c r="S1552" s="47" t="n"/>
      <c r="T1552" s="47" t="n"/>
      <c r="U1552" s="53" t="n"/>
      <c r="V1552" s="53" t="n"/>
      <c r="W1552" s="47" t="n"/>
      <c r="X1552" s="47" t="n"/>
      <c r="Y1552" s="47" t="n"/>
      <c r="Z1552" s="47" t="n"/>
      <c r="AA1552" s="47" t="n"/>
      <c r="AB1552" s="47" t="n"/>
      <c r="AC1552" s="47" t="n"/>
      <c r="AD1552" s="47" t="n"/>
      <c r="AE1552" s="47" t="n"/>
      <c r="AF1552" s="20">
        <f>IF(A1552="","",YEAR(EDATE(A1552,-3)))</f>
        <v/>
      </c>
      <c r="AG1552" s="20">
        <f>IF(OR(B1552="",'経歴簿'!$C$4=""),"",IF(B1552&amp;""='経歴簿'!$C$4&amp;"",MAX($AG$4:AG1551)+1,""))</f>
        <v/>
      </c>
      <c r="AH1552" s="20">
        <f>IF(A1552="",0,IF(AND(OR('CSV抽出'!$C$4="",A1552&gt;='CSV抽出'!$C$4),OR('CSV抽出'!$C$5="",A1552&lt;='CSV抽出'!$C$5),OR('CSV抽出'!$C$6="すべて",'CSV抽出'!$C$6="",D1552='CSV抽出'!$C$6),OR('CSV抽出'!$C$7="",B1552&amp;""='CSV抽出'!$C$7&amp;"")),1,0))</f>
        <v/>
      </c>
      <c r="AI1552" s="20">
        <f>IF(AH1552=1,SUM($AH$5:AH1552),"")</f>
        <v/>
      </c>
      <c r="AJ1552" s="20">
        <f>IF(OR(S1552="",'報告書'!$C$4=""),"",IF(S1552&amp;""='報告書'!$C$4&amp;"",COUNTIF($S$5:S1552,'報告書'!$C$4),""))</f>
        <v/>
      </c>
      <c r="AK1552" s="20" t="n"/>
      <c r="AL1552" s="47" t="n"/>
      <c r="AM1552" s="47" t="n"/>
      <c r="AN1552" s="53" t="n"/>
      <c r="AO1552" s="47" t="n"/>
      <c r="AP1552" s="47" t="n"/>
      <c r="AQ1552" s="47" t="n"/>
      <c r="AR1552" s="47" t="n"/>
      <c r="AS1552" s="47" t="n"/>
      <c r="AT1552" s="47" t="n"/>
      <c r="AU1552" s="47" t="n"/>
      <c r="AV1552" s="47" t="n"/>
      <c r="AW1552" s="52" t="n"/>
    </row>
    <row r="1553">
      <c r="A1553" s="48" t="n"/>
      <c r="B1553" s="52" t="n"/>
      <c r="C1553" s="47">
        <f>IF(B1553="","",IFERROR(INDEX('隊員マスタ'!$B$5:$B$204,MATCH(B1553&amp;"",'隊員マスタ'!$F$5:$F$204,0)),IF(AK1553="","番号なし",AK1553)))</f>
        <v/>
      </c>
      <c r="D1553" s="47" t="n"/>
      <c r="E1553" s="47" t="n"/>
      <c r="F1553" s="47" t="n"/>
      <c r="G1553" s="47" t="n"/>
      <c r="H1553" s="47" t="n"/>
      <c r="I1553" s="47" t="n"/>
      <c r="J1553" s="47" t="n"/>
      <c r="K1553" s="47" t="n"/>
      <c r="L1553" s="47" t="n"/>
      <c r="M1553" s="47" t="n"/>
      <c r="N1553" s="47" t="n"/>
      <c r="O1553" s="47" t="n"/>
      <c r="P1553" s="47" t="n"/>
      <c r="Q1553" s="47" t="n"/>
      <c r="R1553" s="47" t="n"/>
      <c r="S1553" s="47" t="n"/>
      <c r="T1553" s="47" t="n"/>
      <c r="U1553" s="53" t="n"/>
      <c r="V1553" s="53" t="n"/>
      <c r="W1553" s="47" t="n"/>
      <c r="X1553" s="47" t="n"/>
      <c r="Y1553" s="47" t="n"/>
      <c r="Z1553" s="47" t="n"/>
      <c r="AA1553" s="47" t="n"/>
      <c r="AB1553" s="47" t="n"/>
      <c r="AC1553" s="47" t="n"/>
      <c r="AD1553" s="47" t="n"/>
      <c r="AE1553" s="47" t="n"/>
      <c r="AF1553" s="20">
        <f>IF(A1553="","",YEAR(EDATE(A1553,-3)))</f>
        <v/>
      </c>
      <c r="AG1553" s="20">
        <f>IF(OR(B1553="",'経歴簿'!$C$4=""),"",IF(B1553&amp;""='経歴簿'!$C$4&amp;"",MAX($AG$4:AG1552)+1,""))</f>
        <v/>
      </c>
      <c r="AH1553" s="20">
        <f>IF(A1553="",0,IF(AND(OR('CSV抽出'!$C$4="",A1553&gt;='CSV抽出'!$C$4),OR('CSV抽出'!$C$5="",A1553&lt;='CSV抽出'!$C$5),OR('CSV抽出'!$C$6="すべて",'CSV抽出'!$C$6="",D1553='CSV抽出'!$C$6),OR('CSV抽出'!$C$7="",B1553&amp;""='CSV抽出'!$C$7&amp;"")),1,0))</f>
        <v/>
      </c>
      <c r="AI1553" s="20">
        <f>IF(AH1553=1,SUM($AH$5:AH1553),"")</f>
        <v/>
      </c>
      <c r="AJ1553" s="20">
        <f>IF(OR(S1553="",'報告書'!$C$4=""),"",IF(S1553&amp;""='報告書'!$C$4&amp;"",COUNTIF($S$5:S1553,'報告書'!$C$4),""))</f>
        <v/>
      </c>
      <c r="AK1553" s="20" t="n"/>
      <c r="AL1553" s="47" t="n"/>
      <c r="AM1553" s="47" t="n"/>
      <c r="AN1553" s="53" t="n"/>
      <c r="AO1553" s="47" t="n"/>
      <c r="AP1553" s="47" t="n"/>
      <c r="AQ1553" s="47" t="n"/>
      <c r="AR1553" s="47" t="n"/>
      <c r="AS1553" s="47" t="n"/>
      <c r="AT1553" s="47" t="n"/>
      <c r="AU1553" s="47" t="n"/>
      <c r="AV1553" s="47" t="n"/>
      <c r="AW1553" s="52" t="n"/>
    </row>
    <row r="1554">
      <c r="A1554" s="48" t="n"/>
      <c r="B1554" s="52" t="n"/>
      <c r="C1554" s="47">
        <f>IF(B1554="","",IFERROR(INDEX('隊員マスタ'!$B$5:$B$204,MATCH(B1554&amp;"",'隊員マスタ'!$F$5:$F$204,0)),IF(AK1554="","番号なし",AK1554)))</f>
        <v/>
      </c>
      <c r="D1554" s="47" t="n"/>
      <c r="E1554" s="47" t="n"/>
      <c r="F1554" s="47" t="n"/>
      <c r="G1554" s="47" t="n"/>
      <c r="H1554" s="47" t="n"/>
      <c r="I1554" s="47" t="n"/>
      <c r="J1554" s="47" t="n"/>
      <c r="K1554" s="47" t="n"/>
      <c r="L1554" s="47" t="n"/>
      <c r="M1554" s="47" t="n"/>
      <c r="N1554" s="47" t="n"/>
      <c r="O1554" s="47" t="n"/>
      <c r="P1554" s="47" t="n"/>
      <c r="Q1554" s="47" t="n"/>
      <c r="R1554" s="47" t="n"/>
      <c r="S1554" s="47" t="n"/>
      <c r="T1554" s="47" t="n"/>
      <c r="U1554" s="53" t="n"/>
      <c r="V1554" s="53" t="n"/>
      <c r="W1554" s="47" t="n"/>
      <c r="X1554" s="47" t="n"/>
      <c r="Y1554" s="47" t="n"/>
      <c r="Z1554" s="47" t="n"/>
      <c r="AA1554" s="47" t="n"/>
      <c r="AB1554" s="47" t="n"/>
      <c r="AC1554" s="47" t="n"/>
      <c r="AD1554" s="47" t="n"/>
      <c r="AE1554" s="47" t="n"/>
      <c r="AF1554" s="20">
        <f>IF(A1554="","",YEAR(EDATE(A1554,-3)))</f>
        <v/>
      </c>
      <c r="AG1554" s="20">
        <f>IF(OR(B1554="",'経歴簿'!$C$4=""),"",IF(B1554&amp;""='経歴簿'!$C$4&amp;"",MAX($AG$4:AG1553)+1,""))</f>
        <v/>
      </c>
      <c r="AH1554" s="20">
        <f>IF(A1554="",0,IF(AND(OR('CSV抽出'!$C$4="",A1554&gt;='CSV抽出'!$C$4),OR('CSV抽出'!$C$5="",A1554&lt;='CSV抽出'!$C$5),OR('CSV抽出'!$C$6="すべて",'CSV抽出'!$C$6="",D1554='CSV抽出'!$C$6),OR('CSV抽出'!$C$7="",B1554&amp;""='CSV抽出'!$C$7&amp;"")),1,0))</f>
        <v/>
      </c>
      <c r="AI1554" s="20">
        <f>IF(AH1554=1,SUM($AH$5:AH1554),"")</f>
        <v/>
      </c>
      <c r="AJ1554" s="20">
        <f>IF(OR(S1554="",'報告書'!$C$4=""),"",IF(S1554&amp;""='報告書'!$C$4&amp;"",COUNTIF($S$5:S1554,'報告書'!$C$4),""))</f>
        <v/>
      </c>
      <c r="AK1554" s="20" t="n"/>
      <c r="AL1554" s="47" t="n"/>
      <c r="AM1554" s="47" t="n"/>
      <c r="AN1554" s="53" t="n"/>
      <c r="AO1554" s="47" t="n"/>
      <c r="AP1554" s="47" t="n"/>
      <c r="AQ1554" s="47" t="n"/>
      <c r="AR1554" s="47" t="n"/>
      <c r="AS1554" s="47" t="n"/>
      <c r="AT1554" s="47" t="n"/>
      <c r="AU1554" s="47" t="n"/>
      <c r="AV1554" s="47" t="n"/>
      <c r="AW1554" s="52" t="n"/>
    </row>
    <row r="1555">
      <c r="A1555" s="48" t="n"/>
      <c r="B1555" s="52" t="n"/>
      <c r="C1555" s="47">
        <f>IF(B1555="","",IFERROR(INDEX('隊員マスタ'!$B$5:$B$204,MATCH(B1555&amp;"",'隊員マスタ'!$F$5:$F$204,0)),IF(AK1555="","番号なし",AK1555)))</f>
        <v/>
      </c>
      <c r="D1555" s="47" t="n"/>
      <c r="E1555" s="47" t="n"/>
      <c r="F1555" s="47" t="n"/>
      <c r="G1555" s="47" t="n"/>
      <c r="H1555" s="47" t="n"/>
      <c r="I1555" s="47" t="n"/>
      <c r="J1555" s="47" t="n"/>
      <c r="K1555" s="47" t="n"/>
      <c r="L1555" s="47" t="n"/>
      <c r="M1555" s="47" t="n"/>
      <c r="N1555" s="47" t="n"/>
      <c r="O1555" s="47" t="n"/>
      <c r="P1555" s="47" t="n"/>
      <c r="Q1555" s="47" t="n"/>
      <c r="R1555" s="47" t="n"/>
      <c r="S1555" s="47" t="n"/>
      <c r="T1555" s="47" t="n"/>
      <c r="U1555" s="53" t="n"/>
      <c r="V1555" s="53" t="n"/>
      <c r="W1555" s="47" t="n"/>
      <c r="X1555" s="47" t="n"/>
      <c r="Y1555" s="47" t="n"/>
      <c r="Z1555" s="47" t="n"/>
      <c r="AA1555" s="47" t="n"/>
      <c r="AB1555" s="47" t="n"/>
      <c r="AC1555" s="47" t="n"/>
      <c r="AD1555" s="47" t="n"/>
      <c r="AE1555" s="47" t="n"/>
      <c r="AF1555" s="20">
        <f>IF(A1555="","",YEAR(EDATE(A1555,-3)))</f>
        <v/>
      </c>
      <c r="AG1555" s="20">
        <f>IF(OR(B1555="",'経歴簿'!$C$4=""),"",IF(B1555&amp;""='経歴簿'!$C$4&amp;"",MAX($AG$4:AG1554)+1,""))</f>
        <v/>
      </c>
      <c r="AH1555" s="20">
        <f>IF(A1555="",0,IF(AND(OR('CSV抽出'!$C$4="",A1555&gt;='CSV抽出'!$C$4),OR('CSV抽出'!$C$5="",A1555&lt;='CSV抽出'!$C$5),OR('CSV抽出'!$C$6="すべて",'CSV抽出'!$C$6="",D1555='CSV抽出'!$C$6),OR('CSV抽出'!$C$7="",B1555&amp;""='CSV抽出'!$C$7&amp;"")),1,0))</f>
        <v/>
      </c>
      <c r="AI1555" s="20">
        <f>IF(AH1555=1,SUM($AH$5:AH1555),"")</f>
        <v/>
      </c>
      <c r="AJ1555" s="20">
        <f>IF(OR(S1555="",'報告書'!$C$4=""),"",IF(S1555&amp;""='報告書'!$C$4&amp;"",COUNTIF($S$5:S1555,'報告書'!$C$4),""))</f>
        <v/>
      </c>
      <c r="AK1555" s="20" t="n"/>
      <c r="AL1555" s="47" t="n"/>
      <c r="AM1555" s="47" t="n"/>
      <c r="AN1555" s="53" t="n"/>
      <c r="AO1555" s="47" t="n"/>
      <c r="AP1555" s="47" t="n"/>
      <c r="AQ1555" s="47" t="n"/>
      <c r="AR1555" s="47" t="n"/>
      <c r="AS1555" s="47" t="n"/>
      <c r="AT1555" s="47" t="n"/>
      <c r="AU1555" s="47" t="n"/>
      <c r="AV1555" s="47" t="n"/>
      <c r="AW1555" s="52" t="n"/>
    </row>
    <row r="1556">
      <c r="A1556" s="48" t="n"/>
      <c r="B1556" s="52" t="n"/>
      <c r="C1556" s="47">
        <f>IF(B1556="","",IFERROR(INDEX('隊員マスタ'!$B$5:$B$204,MATCH(B1556&amp;"",'隊員マスタ'!$F$5:$F$204,0)),IF(AK1556="","番号なし",AK1556)))</f>
        <v/>
      </c>
      <c r="D1556" s="47" t="n"/>
      <c r="E1556" s="47" t="n"/>
      <c r="F1556" s="47" t="n"/>
      <c r="G1556" s="47" t="n"/>
      <c r="H1556" s="47" t="n"/>
      <c r="I1556" s="47" t="n"/>
      <c r="J1556" s="47" t="n"/>
      <c r="K1556" s="47" t="n"/>
      <c r="L1556" s="47" t="n"/>
      <c r="M1556" s="47" t="n"/>
      <c r="N1556" s="47" t="n"/>
      <c r="O1556" s="47" t="n"/>
      <c r="P1556" s="47" t="n"/>
      <c r="Q1556" s="47" t="n"/>
      <c r="R1556" s="47" t="n"/>
      <c r="S1556" s="47" t="n"/>
      <c r="T1556" s="47" t="n"/>
      <c r="U1556" s="53" t="n"/>
      <c r="V1556" s="53" t="n"/>
      <c r="W1556" s="47" t="n"/>
      <c r="X1556" s="47" t="n"/>
      <c r="Y1556" s="47" t="n"/>
      <c r="Z1556" s="47" t="n"/>
      <c r="AA1556" s="47" t="n"/>
      <c r="AB1556" s="47" t="n"/>
      <c r="AC1556" s="47" t="n"/>
      <c r="AD1556" s="47" t="n"/>
      <c r="AE1556" s="47" t="n"/>
      <c r="AF1556" s="20">
        <f>IF(A1556="","",YEAR(EDATE(A1556,-3)))</f>
        <v/>
      </c>
      <c r="AG1556" s="20">
        <f>IF(OR(B1556="",'経歴簿'!$C$4=""),"",IF(B1556&amp;""='経歴簿'!$C$4&amp;"",MAX($AG$4:AG1555)+1,""))</f>
        <v/>
      </c>
      <c r="AH1556" s="20">
        <f>IF(A1556="",0,IF(AND(OR('CSV抽出'!$C$4="",A1556&gt;='CSV抽出'!$C$4),OR('CSV抽出'!$C$5="",A1556&lt;='CSV抽出'!$C$5),OR('CSV抽出'!$C$6="すべて",'CSV抽出'!$C$6="",D1556='CSV抽出'!$C$6),OR('CSV抽出'!$C$7="",B1556&amp;""='CSV抽出'!$C$7&amp;"")),1,0))</f>
        <v/>
      </c>
      <c r="AI1556" s="20">
        <f>IF(AH1556=1,SUM($AH$5:AH1556),"")</f>
        <v/>
      </c>
      <c r="AJ1556" s="20">
        <f>IF(OR(S1556="",'報告書'!$C$4=""),"",IF(S1556&amp;""='報告書'!$C$4&amp;"",COUNTIF($S$5:S1556,'報告書'!$C$4),""))</f>
        <v/>
      </c>
      <c r="AK1556" s="20" t="n"/>
      <c r="AL1556" s="47" t="n"/>
      <c r="AM1556" s="47" t="n"/>
      <c r="AN1556" s="53" t="n"/>
      <c r="AO1556" s="47" t="n"/>
      <c r="AP1556" s="47" t="n"/>
      <c r="AQ1556" s="47" t="n"/>
      <c r="AR1556" s="47" t="n"/>
      <c r="AS1556" s="47" t="n"/>
      <c r="AT1556" s="47" t="n"/>
      <c r="AU1556" s="47" t="n"/>
      <c r="AV1556" s="47" t="n"/>
      <c r="AW1556" s="52" t="n"/>
    </row>
    <row r="1557">
      <c r="A1557" s="48" t="n"/>
      <c r="B1557" s="52" t="n"/>
      <c r="C1557" s="47">
        <f>IF(B1557="","",IFERROR(INDEX('隊員マスタ'!$B$5:$B$204,MATCH(B1557&amp;"",'隊員マスタ'!$F$5:$F$204,0)),IF(AK1557="","番号なし",AK1557)))</f>
        <v/>
      </c>
      <c r="D1557" s="47" t="n"/>
      <c r="E1557" s="47" t="n"/>
      <c r="F1557" s="47" t="n"/>
      <c r="G1557" s="47" t="n"/>
      <c r="H1557" s="47" t="n"/>
      <c r="I1557" s="47" t="n"/>
      <c r="J1557" s="47" t="n"/>
      <c r="K1557" s="47" t="n"/>
      <c r="L1557" s="47" t="n"/>
      <c r="M1557" s="47" t="n"/>
      <c r="N1557" s="47" t="n"/>
      <c r="O1557" s="47" t="n"/>
      <c r="P1557" s="47" t="n"/>
      <c r="Q1557" s="47" t="n"/>
      <c r="R1557" s="47" t="n"/>
      <c r="S1557" s="47" t="n"/>
      <c r="T1557" s="47" t="n"/>
      <c r="U1557" s="53" t="n"/>
      <c r="V1557" s="53" t="n"/>
      <c r="W1557" s="47" t="n"/>
      <c r="X1557" s="47" t="n"/>
      <c r="Y1557" s="47" t="n"/>
      <c r="Z1557" s="47" t="n"/>
      <c r="AA1557" s="47" t="n"/>
      <c r="AB1557" s="47" t="n"/>
      <c r="AC1557" s="47" t="n"/>
      <c r="AD1557" s="47" t="n"/>
      <c r="AE1557" s="47" t="n"/>
      <c r="AF1557" s="20">
        <f>IF(A1557="","",YEAR(EDATE(A1557,-3)))</f>
        <v/>
      </c>
      <c r="AG1557" s="20">
        <f>IF(OR(B1557="",'経歴簿'!$C$4=""),"",IF(B1557&amp;""='経歴簿'!$C$4&amp;"",MAX($AG$4:AG1556)+1,""))</f>
        <v/>
      </c>
      <c r="AH1557" s="20">
        <f>IF(A1557="",0,IF(AND(OR('CSV抽出'!$C$4="",A1557&gt;='CSV抽出'!$C$4),OR('CSV抽出'!$C$5="",A1557&lt;='CSV抽出'!$C$5),OR('CSV抽出'!$C$6="すべて",'CSV抽出'!$C$6="",D1557='CSV抽出'!$C$6),OR('CSV抽出'!$C$7="",B1557&amp;""='CSV抽出'!$C$7&amp;"")),1,0))</f>
        <v/>
      </c>
      <c r="AI1557" s="20">
        <f>IF(AH1557=1,SUM($AH$5:AH1557),"")</f>
        <v/>
      </c>
      <c r="AJ1557" s="20">
        <f>IF(OR(S1557="",'報告書'!$C$4=""),"",IF(S1557&amp;""='報告書'!$C$4&amp;"",COUNTIF($S$5:S1557,'報告書'!$C$4),""))</f>
        <v/>
      </c>
      <c r="AK1557" s="20" t="n"/>
      <c r="AL1557" s="47" t="n"/>
      <c r="AM1557" s="47" t="n"/>
      <c r="AN1557" s="53" t="n"/>
      <c r="AO1557" s="47" t="n"/>
      <c r="AP1557" s="47" t="n"/>
      <c r="AQ1557" s="47" t="n"/>
      <c r="AR1557" s="47" t="n"/>
      <c r="AS1557" s="47" t="n"/>
      <c r="AT1557" s="47" t="n"/>
      <c r="AU1557" s="47" t="n"/>
      <c r="AV1557" s="47" t="n"/>
      <c r="AW1557" s="52" t="n"/>
    </row>
    <row r="1558">
      <c r="A1558" s="48" t="n"/>
      <c r="B1558" s="52" t="n"/>
      <c r="C1558" s="47">
        <f>IF(B1558="","",IFERROR(INDEX('隊員マスタ'!$B$5:$B$204,MATCH(B1558&amp;"",'隊員マスタ'!$F$5:$F$204,0)),IF(AK1558="","番号なし",AK1558)))</f>
        <v/>
      </c>
      <c r="D1558" s="47" t="n"/>
      <c r="E1558" s="47" t="n"/>
      <c r="F1558" s="47" t="n"/>
      <c r="G1558" s="47" t="n"/>
      <c r="H1558" s="47" t="n"/>
      <c r="I1558" s="47" t="n"/>
      <c r="J1558" s="47" t="n"/>
      <c r="K1558" s="47" t="n"/>
      <c r="L1558" s="47" t="n"/>
      <c r="M1558" s="47" t="n"/>
      <c r="N1558" s="47" t="n"/>
      <c r="O1558" s="47" t="n"/>
      <c r="P1558" s="47" t="n"/>
      <c r="Q1558" s="47" t="n"/>
      <c r="R1558" s="47" t="n"/>
      <c r="S1558" s="47" t="n"/>
      <c r="T1558" s="47" t="n"/>
      <c r="U1558" s="53" t="n"/>
      <c r="V1558" s="53" t="n"/>
      <c r="W1558" s="47" t="n"/>
      <c r="X1558" s="47" t="n"/>
      <c r="Y1558" s="47" t="n"/>
      <c r="Z1558" s="47" t="n"/>
      <c r="AA1558" s="47" t="n"/>
      <c r="AB1558" s="47" t="n"/>
      <c r="AC1558" s="47" t="n"/>
      <c r="AD1558" s="47" t="n"/>
      <c r="AE1558" s="47" t="n"/>
      <c r="AF1558" s="20">
        <f>IF(A1558="","",YEAR(EDATE(A1558,-3)))</f>
        <v/>
      </c>
      <c r="AG1558" s="20">
        <f>IF(OR(B1558="",'経歴簿'!$C$4=""),"",IF(B1558&amp;""='経歴簿'!$C$4&amp;"",MAX($AG$4:AG1557)+1,""))</f>
        <v/>
      </c>
      <c r="AH1558" s="20">
        <f>IF(A1558="",0,IF(AND(OR('CSV抽出'!$C$4="",A1558&gt;='CSV抽出'!$C$4),OR('CSV抽出'!$C$5="",A1558&lt;='CSV抽出'!$C$5),OR('CSV抽出'!$C$6="すべて",'CSV抽出'!$C$6="",D1558='CSV抽出'!$C$6),OR('CSV抽出'!$C$7="",B1558&amp;""='CSV抽出'!$C$7&amp;"")),1,0))</f>
        <v/>
      </c>
      <c r="AI1558" s="20">
        <f>IF(AH1558=1,SUM($AH$5:AH1558),"")</f>
        <v/>
      </c>
      <c r="AJ1558" s="20">
        <f>IF(OR(S1558="",'報告書'!$C$4=""),"",IF(S1558&amp;""='報告書'!$C$4&amp;"",COUNTIF($S$5:S1558,'報告書'!$C$4),""))</f>
        <v/>
      </c>
      <c r="AK1558" s="20" t="n"/>
      <c r="AL1558" s="47" t="n"/>
      <c r="AM1558" s="47" t="n"/>
      <c r="AN1558" s="53" t="n"/>
      <c r="AO1558" s="47" t="n"/>
      <c r="AP1558" s="47" t="n"/>
      <c r="AQ1558" s="47" t="n"/>
      <c r="AR1558" s="47" t="n"/>
      <c r="AS1558" s="47" t="n"/>
      <c r="AT1558" s="47" t="n"/>
      <c r="AU1558" s="47" t="n"/>
      <c r="AV1558" s="47" t="n"/>
      <c r="AW1558" s="52" t="n"/>
    </row>
    <row r="1559">
      <c r="A1559" s="48" t="n"/>
      <c r="B1559" s="52" t="n"/>
      <c r="C1559" s="47">
        <f>IF(B1559="","",IFERROR(INDEX('隊員マスタ'!$B$5:$B$204,MATCH(B1559&amp;"",'隊員マスタ'!$F$5:$F$204,0)),IF(AK1559="","番号なし",AK1559)))</f>
        <v/>
      </c>
      <c r="D1559" s="47" t="n"/>
      <c r="E1559" s="47" t="n"/>
      <c r="F1559" s="47" t="n"/>
      <c r="G1559" s="47" t="n"/>
      <c r="H1559" s="47" t="n"/>
      <c r="I1559" s="47" t="n"/>
      <c r="J1559" s="47" t="n"/>
      <c r="K1559" s="47" t="n"/>
      <c r="L1559" s="47" t="n"/>
      <c r="M1559" s="47" t="n"/>
      <c r="N1559" s="47" t="n"/>
      <c r="O1559" s="47" t="n"/>
      <c r="P1559" s="47" t="n"/>
      <c r="Q1559" s="47" t="n"/>
      <c r="R1559" s="47" t="n"/>
      <c r="S1559" s="47" t="n"/>
      <c r="T1559" s="47" t="n"/>
      <c r="U1559" s="53" t="n"/>
      <c r="V1559" s="53" t="n"/>
      <c r="W1559" s="47" t="n"/>
      <c r="X1559" s="47" t="n"/>
      <c r="Y1559" s="47" t="n"/>
      <c r="Z1559" s="47" t="n"/>
      <c r="AA1559" s="47" t="n"/>
      <c r="AB1559" s="47" t="n"/>
      <c r="AC1559" s="47" t="n"/>
      <c r="AD1559" s="47" t="n"/>
      <c r="AE1559" s="47" t="n"/>
      <c r="AF1559" s="20">
        <f>IF(A1559="","",YEAR(EDATE(A1559,-3)))</f>
        <v/>
      </c>
      <c r="AG1559" s="20">
        <f>IF(OR(B1559="",'経歴簿'!$C$4=""),"",IF(B1559&amp;""='経歴簿'!$C$4&amp;"",MAX($AG$4:AG1558)+1,""))</f>
        <v/>
      </c>
      <c r="AH1559" s="20">
        <f>IF(A1559="",0,IF(AND(OR('CSV抽出'!$C$4="",A1559&gt;='CSV抽出'!$C$4),OR('CSV抽出'!$C$5="",A1559&lt;='CSV抽出'!$C$5),OR('CSV抽出'!$C$6="すべて",'CSV抽出'!$C$6="",D1559='CSV抽出'!$C$6),OR('CSV抽出'!$C$7="",B1559&amp;""='CSV抽出'!$C$7&amp;"")),1,0))</f>
        <v/>
      </c>
      <c r="AI1559" s="20">
        <f>IF(AH1559=1,SUM($AH$5:AH1559),"")</f>
        <v/>
      </c>
      <c r="AJ1559" s="20">
        <f>IF(OR(S1559="",'報告書'!$C$4=""),"",IF(S1559&amp;""='報告書'!$C$4&amp;"",COUNTIF($S$5:S1559,'報告書'!$C$4),""))</f>
        <v/>
      </c>
      <c r="AK1559" s="20" t="n"/>
      <c r="AL1559" s="47" t="n"/>
      <c r="AM1559" s="47" t="n"/>
      <c r="AN1559" s="53" t="n"/>
      <c r="AO1559" s="47" t="n"/>
      <c r="AP1559" s="47" t="n"/>
      <c r="AQ1559" s="47" t="n"/>
      <c r="AR1559" s="47" t="n"/>
      <c r="AS1559" s="47" t="n"/>
      <c r="AT1559" s="47" t="n"/>
      <c r="AU1559" s="47" t="n"/>
      <c r="AV1559" s="47" t="n"/>
      <c r="AW1559" s="52" t="n"/>
    </row>
    <row r="1560">
      <c r="A1560" s="48" t="n"/>
      <c r="B1560" s="52" t="n"/>
      <c r="C1560" s="47">
        <f>IF(B1560="","",IFERROR(INDEX('隊員マスタ'!$B$5:$B$204,MATCH(B1560&amp;"",'隊員マスタ'!$F$5:$F$204,0)),IF(AK1560="","番号なし",AK1560)))</f>
        <v/>
      </c>
      <c r="D1560" s="47" t="n"/>
      <c r="E1560" s="47" t="n"/>
      <c r="F1560" s="47" t="n"/>
      <c r="G1560" s="47" t="n"/>
      <c r="H1560" s="47" t="n"/>
      <c r="I1560" s="47" t="n"/>
      <c r="J1560" s="47" t="n"/>
      <c r="K1560" s="47" t="n"/>
      <c r="L1560" s="47" t="n"/>
      <c r="M1560" s="47" t="n"/>
      <c r="N1560" s="47" t="n"/>
      <c r="O1560" s="47" t="n"/>
      <c r="P1560" s="47" t="n"/>
      <c r="Q1560" s="47" t="n"/>
      <c r="R1560" s="47" t="n"/>
      <c r="S1560" s="47" t="n"/>
      <c r="T1560" s="47" t="n"/>
      <c r="U1560" s="53" t="n"/>
      <c r="V1560" s="53" t="n"/>
      <c r="W1560" s="47" t="n"/>
      <c r="X1560" s="47" t="n"/>
      <c r="Y1560" s="47" t="n"/>
      <c r="Z1560" s="47" t="n"/>
      <c r="AA1560" s="47" t="n"/>
      <c r="AB1560" s="47" t="n"/>
      <c r="AC1560" s="47" t="n"/>
      <c r="AD1560" s="47" t="n"/>
      <c r="AE1560" s="47" t="n"/>
      <c r="AF1560" s="20">
        <f>IF(A1560="","",YEAR(EDATE(A1560,-3)))</f>
        <v/>
      </c>
      <c r="AG1560" s="20">
        <f>IF(OR(B1560="",'経歴簿'!$C$4=""),"",IF(B1560&amp;""='経歴簿'!$C$4&amp;"",MAX($AG$4:AG1559)+1,""))</f>
        <v/>
      </c>
      <c r="AH1560" s="20">
        <f>IF(A1560="",0,IF(AND(OR('CSV抽出'!$C$4="",A1560&gt;='CSV抽出'!$C$4),OR('CSV抽出'!$C$5="",A1560&lt;='CSV抽出'!$C$5),OR('CSV抽出'!$C$6="すべて",'CSV抽出'!$C$6="",D1560='CSV抽出'!$C$6),OR('CSV抽出'!$C$7="",B1560&amp;""='CSV抽出'!$C$7&amp;"")),1,0))</f>
        <v/>
      </c>
      <c r="AI1560" s="20">
        <f>IF(AH1560=1,SUM($AH$5:AH1560),"")</f>
        <v/>
      </c>
      <c r="AJ1560" s="20">
        <f>IF(OR(S1560="",'報告書'!$C$4=""),"",IF(S1560&amp;""='報告書'!$C$4&amp;"",COUNTIF($S$5:S1560,'報告書'!$C$4),""))</f>
        <v/>
      </c>
      <c r="AK1560" s="20" t="n"/>
      <c r="AL1560" s="47" t="n"/>
      <c r="AM1560" s="47" t="n"/>
      <c r="AN1560" s="53" t="n"/>
      <c r="AO1560" s="47" t="n"/>
      <c r="AP1560" s="47" t="n"/>
      <c r="AQ1560" s="47" t="n"/>
      <c r="AR1560" s="47" t="n"/>
      <c r="AS1560" s="47" t="n"/>
      <c r="AT1560" s="47" t="n"/>
      <c r="AU1560" s="47" t="n"/>
      <c r="AV1560" s="47" t="n"/>
      <c r="AW1560" s="52" t="n"/>
    </row>
    <row r="1561">
      <c r="A1561" s="48" t="n"/>
      <c r="B1561" s="52" t="n"/>
      <c r="C1561" s="47">
        <f>IF(B1561="","",IFERROR(INDEX('隊員マスタ'!$B$5:$B$204,MATCH(B1561&amp;"",'隊員マスタ'!$F$5:$F$204,0)),IF(AK1561="","番号なし",AK1561)))</f>
        <v/>
      </c>
      <c r="D1561" s="47" t="n"/>
      <c r="E1561" s="47" t="n"/>
      <c r="F1561" s="47" t="n"/>
      <c r="G1561" s="47" t="n"/>
      <c r="H1561" s="47" t="n"/>
      <c r="I1561" s="47" t="n"/>
      <c r="J1561" s="47" t="n"/>
      <c r="K1561" s="47" t="n"/>
      <c r="L1561" s="47" t="n"/>
      <c r="M1561" s="47" t="n"/>
      <c r="N1561" s="47" t="n"/>
      <c r="O1561" s="47" t="n"/>
      <c r="P1561" s="47" t="n"/>
      <c r="Q1561" s="47" t="n"/>
      <c r="R1561" s="47" t="n"/>
      <c r="S1561" s="47" t="n"/>
      <c r="T1561" s="47" t="n"/>
      <c r="U1561" s="53" t="n"/>
      <c r="V1561" s="53" t="n"/>
      <c r="W1561" s="47" t="n"/>
      <c r="X1561" s="47" t="n"/>
      <c r="Y1561" s="47" t="n"/>
      <c r="Z1561" s="47" t="n"/>
      <c r="AA1561" s="47" t="n"/>
      <c r="AB1561" s="47" t="n"/>
      <c r="AC1561" s="47" t="n"/>
      <c r="AD1561" s="47" t="n"/>
      <c r="AE1561" s="47" t="n"/>
      <c r="AF1561" s="20">
        <f>IF(A1561="","",YEAR(EDATE(A1561,-3)))</f>
        <v/>
      </c>
      <c r="AG1561" s="20">
        <f>IF(OR(B1561="",'経歴簿'!$C$4=""),"",IF(B1561&amp;""='経歴簿'!$C$4&amp;"",MAX($AG$4:AG1560)+1,""))</f>
        <v/>
      </c>
      <c r="AH1561" s="20">
        <f>IF(A1561="",0,IF(AND(OR('CSV抽出'!$C$4="",A1561&gt;='CSV抽出'!$C$4),OR('CSV抽出'!$C$5="",A1561&lt;='CSV抽出'!$C$5),OR('CSV抽出'!$C$6="すべて",'CSV抽出'!$C$6="",D1561='CSV抽出'!$C$6),OR('CSV抽出'!$C$7="",B1561&amp;""='CSV抽出'!$C$7&amp;"")),1,0))</f>
        <v/>
      </c>
      <c r="AI1561" s="20">
        <f>IF(AH1561=1,SUM($AH$5:AH1561),"")</f>
        <v/>
      </c>
      <c r="AJ1561" s="20">
        <f>IF(OR(S1561="",'報告書'!$C$4=""),"",IF(S1561&amp;""='報告書'!$C$4&amp;"",COUNTIF($S$5:S1561,'報告書'!$C$4),""))</f>
        <v/>
      </c>
      <c r="AK1561" s="20" t="n"/>
      <c r="AL1561" s="47" t="n"/>
      <c r="AM1561" s="47" t="n"/>
      <c r="AN1561" s="53" t="n"/>
      <c r="AO1561" s="47" t="n"/>
      <c r="AP1561" s="47" t="n"/>
      <c r="AQ1561" s="47" t="n"/>
      <c r="AR1561" s="47" t="n"/>
      <c r="AS1561" s="47" t="n"/>
      <c r="AT1561" s="47" t="n"/>
      <c r="AU1561" s="47" t="n"/>
      <c r="AV1561" s="47" t="n"/>
      <c r="AW1561" s="52" t="n"/>
    </row>
    <row r="1562">
      <c r="A1562" s="48" t="n"/>
      <c r="B1562" s="52" t="n"/>
      <c r="C1562" s="47">
        <f>IF(B1562="","",IFERROR(INDEX('隊員マスタ'!$B$5:$B$204,MATCH(B1562&amp;"",'隊員マスタ'!$F$5:$F$204,0)),IF(AK1562="","番号なし",AK1562)))</f>
        <v/>
      </c>
      <c r="D1562" s="47" t="n"/>
      <c r="E1562" s="47" t="n"/>
      <c r="F1562" s="47" t="n"/>
      <c r="G1562" s="47" t="n"/>
      <c r="H1562" s="47" t="n"/>
      <c r="I1562" s="47" t="n"/>
      <c r="J1562" s="47" t="n"/>
      <c r="K1562" s="47" t="n"/>
      <c r="L1562" s="47" t="n"/>
      <c r="M1562" s="47" t="n"/>
      <c r="N1562" s="47" t="n"/>
      <c r="O1562" s="47" t="n"/>
      <c r="P1562" s="47" t="n"/>
      <c r="Q1562" s="47" t="n"/>
      <c r="R1562" s="47" t="n"/>
      <c r="S1562" s="47" t="n"/>
      <c r="T1562" s="47" t="n"/>
      <c r="U1562" s="53" t="n"/>
      <c r="V1562" s="53" t="n"/>
      <c r="W1562" s="47" t="n"/>
      <c r="X1562" s="47" t="n"/>
      <c r="Y1562" s="47" t="n"/>
      <c r="Z1562" s="47" t="n"/>
      <c r="AA1562" s="47" t="n"/>
      <c r="AB1562" s="47" t="n"/>
      <c r="AC1562" s="47" t="n"/>
      <c r="AD1562" s="47" t="n"/>
      <c r="AE1562" s="47" t="n"/>
      <c r="AF1562" s="20">
        <f>IF(A1562="","",YEAR(EDATE(A1562,-3)))</f>
        <v/>
      </c>
      <c r="AG1562" s="20">
        <f>IF(OR(B1562="",'経歴簿'!$C$4=""),"",IF(B1562&amp;""='経歴簿'!$C$4&amp;"",MAX($AG$4:AG1561)+1,""))</f>
        <v/>
      </c>
      <c r="AH1562" s="20">
        <f>IF(A1562="",0,IF(AND(OR('CSV抽出'!$C$4="",A1562&gt;='CSV抽出'!$C$4),OR('CSV抽出'!$C$5="",A1562&lt;='CSV抽出'!$C$5),OR('CSV抽出'!$C$6="すべて",'CSV抽出'!$C$6="",D1562='CSV抽出'!$C$6),OR('CSV抽出'!$C$7="",B1562&amp;""='CSV抽出'!$C$7&amp;"")),1,0))</f>
        <v/>
      </c>
      <c r="AI1562" s="20">
        <f>IF(AH1562=1,SUM($AH$5:AH1562),"")</f>
        <v/>
      </c>
      <c r="AJ1562" s="20">
        <f>IF(OR(S1562="",'報告書'!$C$4=""),"",IF(S1562&amp;""='報告書'!$C$4&amp;"",COUNTIF($S$5:S1562,'報告書'!$C$4),""))</f>
        <v/>
      </c>
      <c r="AK1562" s="20" t="n"/>
      <c r="AL1562" s="47" t="n"/>
      <c r="AM1562" s="47" t="n"/>
      <c r="AN1562" s="53" t="n"/>
      <c r="AO1562" s="47" t="n"/>
      <c r="AP1562" s="47" t="n"/>
      <c r="AQ1562" s="47" t="n"/>
      <c r="AR1562" s="47" t="n"/>
      <c r="AS1562" s="47" t="n"/>
      <c r="AT1562" s="47" t="n"/>
      <c r="AU1562" s="47" t="n"/>
      <c r="AV1562" s="47" t="n"/>
      <c r="AW1562" s="52" t="n"/>
    </row>
    <row r="1563">
      <c r="A1563" s="48" t="n"/>
      <c r="B1563" s="52" t="n"/>
      <c r="C1563" s="47">
        <f>IF(B1563="","",IFERROR(INDEX('隊員マスタ'!$B$5:$B$204,MATCH(B1563&amp;"",'隊員マスタ'!$F$5:$F$204,0)),IF(AK1563="","番号なし",AK1563)))</f>
        <v/>
      </c>
      <c r="D1563" s="47" t="n"/>
      <c r="E1563" s="47" t="n"/>
      <c r="F1563" s="47" t="n"/>
      <c r="G1563" s="47" t="n"/>
      <c r="H1563" s="47" t="n"/>
      <c r="I1563" s="47" t="n"/>
      <c r="J1563" s="47" t="n"/>
      <c r="K1563" s="47" t="n"/>
      <c r="L1563" s="47" t="n"/>
      <c r="M1563" s="47" t="n"/>
      <c r="N1563" s="47" t="n"/>
      <c r="O1563" s="47" t="n"/>
      <c r="P1563" s="47" t="n"/>
      <c r="Q1563" s="47" t="n"/>
      <c r="R1563" s="47" t="n"/>
      <c r="S1563" s="47" t="n"/>
      <c r="T1563" s="47" t="n"/>
      <c r="U1563" s="53" t="n"/>
      <c r="V1563" s="53" t="n"/>
      <c r="W1563" s="47" t="n"/>
      <c r="X1563" s="47" t="n"/>
      <c r="Y1563" s="47" t="n"/>
      <c r="Z1563" s="47" t="n"/>
      <c r="AA1563" s="47" t="n"/>
      <c r="AB1563" s="47" t="n"/>
      <c r="AC1563" s="47" t="n"/>
      <c r="AD1563" s="47" t="n"/>
      <c r="AE1563" s="47" t="n"/>
      <c r="AF1563" s="20">
        <f>IF(A1563="","",YEAR(EDATE(A1563,-3)))</f>
        <v/>
      </c>
      <c r="AG1563" s="20">
        <f>IF(OR(B1563="",'経歴簿'!$C$4=""),"",IF(B1563&amp;""='経歴簿'!$C$4&amp;"",MAX($AG$4:AG1562)+1,""))</f>
        <v/>
      </c>
      <c r="AH1563" s="20">
        <f>IF(A1563="",0,IF(AND(OR('CSV抽出'!$C$4="",A1563&gt;='CSV抽出'!$C$4),OR('CSV抽出'!$C$5="",A1563&lt;='CSV抽出'!$C$5),OR('CSV抽出'!$C$6="すべて",'CSV抽出'!$C$6="",D1563='CSV抽出'!$C$6),OR('CSV抽出'!$C$7="",B1563&amp;""='CSV抽出'!$C$7&amp;"")),1,0))</f>
        <v/>
      </c>
      <c r="AI1563" s="20">
        <f>IF(AH1563=1,SUM($AH$5:AH1563),"")</f>
        <v/>
      </c>
      <c r="AJ1563" s="20">
        <f>IF(OR(S1563="",'報告書'!$C$4=""),"",IF(S1563&amp;""='報告書'!$C$4&amp;"",COUNTIF($S$5:S1563,'報告書'!$C$4),""))</f>
        <v/>
      </c>
      <c r="AK1563" s="20" t="n"/>
      <c r="AL1563" s="47" t="n"/>
      <c r="AM1563" s="47" t="n"/>
      <c r="AN1563" s="53" t="n"/>
      <c r="AO1563" s="47" t="n"/>
      <c r="AP1563" s="47" t="n"/>
      <c r="AQ1563" s="47" t="n"/>
      <c r="AR1563" s="47" t="n"/>
      <c r="AS1563" s="47" t="n"/>
      <c r="AT1563" s="47" t="n"/>
      <c r="AU1563" s="47" t="n"/>
      <c r="AV1563" s="47" t="n"/>
      <c r="AW1563" s="52" t="n"/>
    </row>
    <row r="1564">
      <c r="A1564" s="48" t="n"/>
      <c r="B1564" s="52" t="n"/>
      <c r="C1564" s="47">
        <f>IF(B1564="","",IFERROR(INDEX('隊員マスタ'!$B$5:$B$204,MATCH(B1564&amp;"",'隊員マスタ'!$F$5:$F$204,0)),IF(AK1564="","番号なし",AK1564)))</f>
        <v/>
      </c>
      <c r="D1564" s="47" t="n"/>
      <c r="E1564" s="47" t="n"/>
      <c r="F1564" s="47" t="n"/>
      <c r="G1564" s="47" t="n"/>
      <c r="H1564" s="47" t="n"/>
      <c r="I1564" s="47" t="n"/>
      <c r="J1564" s="47" t="n"/>
      <c r="K1564" s="47" t="n"/>
      <c r="L1564" s="47" t="n"/>
      <c r="M1564" s="47" t="n"/>
      <c r="N1564" s="47" t="n"/>
      <c r="O1564" s="47" t="n"/>
      <c r="P1564" s="47" t="n"/>
      <c r="Q1564" s="47" t="n"/>
      <c r="R1564" s="47" t="n"/>
      <c r="S1564" s="47" t="n"/>
      <c r="T1564" s="47" t="n"/>
      <c r="U1564" s="53" t="n"/>
      <c r="V1564" s="53" t="n"/>
      <c r="W1564" s="47" t="n"/>
      <c r="X1564" s="47" t="n"/>
      <c r="Y1564" s="47" t="n"/>
      <c r="Z1564" s="47" t="n"/>
      <c r="AA1564" s="47" t="n"/>
      <c r="AB1564" s="47" t="n"/>
      <c r="AC1564" s="47" t="n"/>
      <c r="AD1564" s="47" t="n"/>
      <c r="AE1564" s="47" t="n"/>
      <c r="AF1564" s="20">
        <f>IF(A1564="","",YEAR(EDATE(A1564,-3)))</f>
        <v/>
      </c>
      <c r="AG1564" s="20">
        <f>IF(OR(B1564="",'経歴簿'!$C$4=""),"",IF(B1564&amp;""='経歴簿'!$C$4&amp;"",MAX($AG$4:AG1563)+1,""))</f>
        <v/>
      </c>
      <c r="AH1564" s="20">
        <f>IF(A1564="",0,IF(AND(OR('CSV抽出'!$C$4="",A1564&gt;='CSV抽出'!$C$4),OR('CSV抽出'!$C$5="",A1564&lt;='CSV抽出'!$C$5),OR('CSV抽出'!$C$6="すべて",'CSV抽出'!$C$6="",D1564='CSV抽出'!$C$6),OR('CSV抽出'!$C$7="",B1564&amp;""='CSV抽出'!$C$7&amp;"")),1,0))</f>
        <v/>
      </c>
      <c r="AI1564" s="20">
        <f>IF(AH1564=1,SUM($AH$5:AH1564),"")</f>
        <v/>
      </c>
      <c r="AJ1564" s="20">
        <f>IF(OR(S1564="",'報告書'!$C$4=""),"",IF(S1564&amp;""='報告書'!$C$4&amp;"",COUNTIF($S$5:S1564,'報告書'!$C$4),""))</f>
        <v/>
      </c>
      <c r="AK1564" s="20" t="n"/>
      <c r="AL1564" s="47" t="n"/>
      <c r="AM1564" s="47" t="n"/>
      <c r="AN1564" s="53" t="n"/>
      <c r="AO1564" s="47" t="n"/>
      <c r="AP1564" s="47" t="n"/>
      <c r="AQ1564" s="47" t="n"/>
      <c r="AR1564" s="47" t="n"/>
      <c r="AS1564" s="47" t="n"/>
      <c r="AT1564" s="47" t="n"/>
      <c r="AU1564" s="47" t="n"/>
      <c r="AV1564" s="47" t="n"/>
      <c r="AW1564" s="52" t="n"/>
    </row>
    <row r="1565">
      <c r="A1565" s="48" t="n"/>
      <c r="B1565" s="52" t="n"/>
      <c r="C1565" s="47">
        <f>IF(B1565="","",IFERROR(INDEX('隊員マスタ'!$B$5:$B$204,MATCH(B1565&amp;"",'隊員マスタ'!$F$5:$F$204,0)),IF(AK1565="","番号なし",AK1565)))</f>
        <v/>
      </c>
      <c r="D1565" s="47" t="n"/>
      <c r="E1565" s="47" t="n"/>
      <c r="F1565" s="47" t="n"/>
      <c r="G1565" s="47" t="n"/>
      <c r="H1565" s="47" t="n"/>
      <c r="I1565" s="47" t="n"/>
      <c r="J1565" s="47" t="n"/>
      <c r="K1565" s="47" t="n"/>
      <c r="L1565" s="47" t="n"/>
      <c r="M1565" s="47" t="n"/>
      <c r="N1565" s="47" t="n"/>
      <c r="O1565" s="47" t="n"/>
      <c r="P1565" s="47" t="n"/>
      <c r="Q1565" s="47" t="n"/>
      <c r="R1565" s="47" t="n"/>
      <c r="S1565" s="47" t="n"/>
      <c r="T1565" s="47" t="n"/>
      <c r="U1565" s="53" t="n"/>
      <c r="V1565" s="53" t="n"/>
      <c r="W1565" s="47" t="n"/>
      <c r="X1565" s="47" t="n"/>
      <c r="Y1565" s="47" t="n"/>
      <c r="Z1565" s="47" t="n"/>
      <c r="AA1565" s="47" t="n"/>
      <c r="AB1565" s="47" t="n"/>
      <c r="AC1565" s="47" t="n"/>
      <c r="AD1565" s="47" t="n"/>
      <c r="AE1565" s="47" t="n"/>
      <c r="AF1565" s="20">
        <f>IF(A1565="","",YEAR(EDATE(A1565,-3)))</f>
        <v/>
      </c>
      <c r="AG1565" s="20">
        <f>IF(OR(B1565="",'経歴簿'!$C$4=""),"",IF(B1565&amp;""='経歴簿'!$C$4&amp;"",MAX($AG$4:AG1564)+1,""))</f>
        <v/>
      </c>
      <c r="AH1565" s="20">
        <f>IF(A1565="",0,IF(AND(OR('CSV抽出'!$C$4="",A1565&gt;='CSV抽出'!$C$4),OR('CSV抽出'!$C$5="",A1565&lt;='CSV抽出'!$C$5),OR('CSV抽出'!$C$6="すべて",'CSV抽出'!$C$6="",D1565='CSV抽出'!$C$6),OR('CSV抽出'!$C$7="",B1565&amp;""='CSV抽出'!$C$7&amp;"")),1,0))</f>
        <v/>
      </c>
      <c r="AI1565" s="20">
        <f>IF(AH1565=1,SUM($AH$5:AH1565),"")</f>
        <v/>
      </c>
      <c r="AJ1565" s="20">
        <f>IF(OR(S1565="",'報告書'!$C$4=""),"",IF(S1565&amp;""='報告書'!$C$4&amp;"",COUNTIF($S$5:S1565,'報告書'!$C$4),""))</f>
        <v/>
      </c>
      <c r="AK1565" s="20" t="n"/>
      <c r="AL1565" s="47" t="n"/>
      <c r="AM1565" s="47" t="n"/>
      <c r="AN1565" s="53" t="n"/>
      <c r="AO1565" s="47" t="n"/>
      <c r="AP1565" s="47" t="n"/>
      <c r="AQ1565" s="47" t="n"/>
      <c r="AR1565" s="47" t="n"/>
      <c r="AS1565" s="47" t="n"/>
      <c r="AT1565" s="47" t="n"/>
      <c r="AU1565" s="47" t="n"/>
      <c r="AV1565" s="47" t="n"/>
      <c r="AW1565" s="52" t="n"/>
    </row>
    <row r="1566">
      <c r="A1566" s="48" t="n"/>
      <c r="B1566" s="52" t="n"/>
      <c r="C1566" s="47">
        <f>IF(B1566="","",IFERROR(INDEX('隊員マスタ'!$B$5:$B$204,MATCH(B1566&amp;"",'隊員マスタ'!$F$5:$F$204,0)),IF(AK1566="","番号なし",AK1566)))</f>
        <v/>
      </c>
      <c r="D1566" s="47" t="n"/>
      <c r="E1566" s="47" t="n"/>
      <c r="F1566" s="47" t="n"/>
      <c r="G1566" s="47" t="n"/>
      <c r="H1566" s="47" t="n"/>
      <c r="I1566" s="47" t="n"/>
      <c r="J1566" s="47" t="n"/>
      <c r="K1566" s="47" t="n"/>
      <c r="L1566" s="47" t="n"/>
      <c r="M1566" s="47" t="n"/>
      <c r="N1566" s="47" t="n"/>
      <c r="O1566" s="47" t="n"/>
      <c r="P1566" s="47" t="n"/>
      <c r="Q1566" s="47" t="n"/>
      <c r="R1566" s="47" t="n"/>
      <c r="S1566" s="47" t="n"/>
      <c r="T1566" s="47" t="n"/>
      <c r="U1566" s="53" t="n"/>
      <c r="V1566" s="53" t="n"/>
      <c r="W1566" s="47" t="n"/>
      <c r="X1566" s="47" t="n"/>
      <c r="Y1566" s="47" t="n"/>
      <c r="Z1566" s="47" t="n"/>
      <c r="AA1566" s="47" t="n"/>
      <c r="AB1566" s="47" t="n"/>
      <c r="AC1566" s="47" t="n"/>
      <c r="AD1566" s="47" t="n"/>
      <c r="AE1566" s="47" t="n"/>
      <c r="AF1566" s="20">
        <f>IF(A1566="","",YEAR(EDATE(A1566,-3)))</f>
        <v/>
      </c>
      <c r="AG1566" s="20">
        <f>IF(OR(B1566="",'経歴簿'!$C$4=""),"",IF(B1566&amp;""='経歴簿'!$C$4&amp;"",MAX($AG$4:AG1565)+1,""))</f>
        <v/>
      </c>
      <c r="AH1566" s="20">
        <f>IF(A1566="",0,IF(AND(OR('CSV抽出'!$C$4="",A1566&gt;='CSV抽出'!$C$4),OR('CSV抽出'!$C$5="",A1566&lt;='CSV抽出'!$C$5),OR('CSV抽出'!$C$6="すべて",'CSV抽出'!$C$6="",D1566='CSV抽出'!$C$6),OR('CSV抽出'!$C$7="",B1566&amp;""='CSV抽出'!$C$7&amp;"")),1,0))</f>
        <v/>
      </c>
      <c r="AI1566" s="20">
        <f>IF(AH1566=1,SUM($AH$5:AH1566),"")</f>
        <v/>
      </c>
      <c r="AJ1566" s="20">
        <f>IF(OR(S1566="",'報告書'!$C$4=""),"",IF(S1566&amp;""='報告書'!$C$4&amp;"",COUNTIF($S$5:S1566,'報告書'!$C$4),""))</f>
        <v/>
      </c>
      <c r="AK1566" s="20" t="n"/>
      <c r="AL1566" s="47" t="n"/>
      <c r="AM1566" s="47" t="n"/>
      <c r="AN1566" s="53" t="n"/>
      <c r="AO1566" s="47" t="n"/>
      <c r="AP1566" s="47" t="n"/>
      <c r="AQ1566" s="47" t="n"/>
      <c r="AR1566" s="47" t="n"/>
      <c r="AS1566" s="47" t="n"/>
      <c r="AT1566" s="47" t="n"/>
      <c r="AU1566" s="47" t="n"/>
      <c r="AV1566" s="47" t="n"/>
      <c r="AW1566" s="52" t="n"/>
    </row>
    <row r="1567">
      <c r="A1567" s="48" t="n"/>
      <c r="B1567" s="52" t="n"/>
      <c r="C1567" s="47">
        <f>IF(B1567="","",IFERROR(INDEX('隊員マスタ'!$B$5:$B$204,MATCH(B1567&amp;"",'隊員マスタ'!$F$5:$F$204,0)),IF(AK1567="","番号なし",AK1567)))</f>
        <v/>
      </c>
      <c r="D1567" s="47" t="n"/>
      <c r="E1567" s="47" t="n"/>
      <c r="F1567" s="47" t="n"/>
      <c r="G1567" s="47" t="n"/>
      <c r="H1567" s="47" t="n"/>
      <c r="I1567" s="47" t="n"/>
      <c r="J1567" s="47" t="n"/>
      <c r="K1567" s="47" t="n"/>
      <c r="L1567" s="47" t="n"/>
      <c r="M1567" s="47" t="n"/>
      <c r="N1567" s="47" t="n"/>
      <c r="O1567" s="47" t="n"/>
      <c r="P1567" s="47" t="n"/>
      <c r="Q1567" s="47" t="n"/>
      <c r="R1567" s="47" t="n"/>
      <c r="S1567" s="47" t="n"/>
      <c r="T1567" s="47" t="n"/>
      <c r="U1567" s="53" t="n"/>
      <c r="V1567" s="53" t="n"/>
      <c r="W1567" s="47" t="n"/>
      <c r="X1567" s="47" t="n"/>
      <c r="Y1567" s="47" t="n"/>
      <c r="Z1567" s="47" t="n"/>
      <c r="AA1567" s="47" t="n"/>
      <c r="AB1567" s="47" t="n"/>
      <c r="AC1567" s="47" t="n"/>
      <c r="AD1567" s="47" t="n"/>
      <c r="AE1567" s="47" t="n"/>
      <c r="AF1567" s="20">
        <f>IF(A1567="","",YEAR(EDATE(A1567,-3)))</f>
        <v/>
      </c>
      <c r="AG1567" s="20">
        <f>IF(OR(B1567="",'経歴簿'!$C$4=""),"",IF(B1567&amp;""='経歴簿'!$C$4&amp;"",MAX($AG$4:AG1566)+1,""))</f>
        <v/>
      </c>
      <c r="AH1567" s="20">
        <f>IF(A1567="",0,IF(AND(OR('CSV抽出'!$C$4="",A1567&gt;='CSV抽出'!$C$4),OR('CSV抽出'!$C$5="",A1567&lt;='CSV抽出'!$C$5),OR('CSV抽出'!$C$6="すべて",'CSV抽出'!$C$6="",D1567='CSV抽出'!$C$6),OR('CSV抽出'!$C$7="",B1567&amp;""='CSV抽出'!$C$7&amp;"")),1,0))</f>
        <v/>
      </c>
      <c r="AI1567" s="20">
        <f>IF(AH1567=1,SUM($AH$5:AH1567),"")</f>
        <v/>
      </c>
      <c r="AJ1567" s="20">
        <f>IF(OR(S1567="",'報告書'!$C$4=""),"",IF(S1567&amp;""='報告書'!$C$4&amp;"",COUNTIF($S$5:S1567,'報告書'!$C$4),""))</f>
        <v/>
      </c>
      <c r="AK1567" s="20" t="n"/>
      <c r="AL1567" s="47" t="n"/>
      <c r="AM1567" s="47" t="n"/>
      <c r="AN1567" s="53" t="n"/>
      <c r="AO1567" s="47" t="n"/>
      <c r="AP1567" s="47" t="n"/>
      <c r="AQ1567" s="47" t="n"/>
      <c r="AR1567" s="47" t="n"/>
      <c r="AS1567" s="47" t="n"/>
      <c r="AT1567" s="47" t="n"/>
      <c r="AU1567" s="47" t="n"/>
      <c r="AV1567" s="47" t="n"/>
      <c r="AW1567" s="52" t="n"/>
    </row>
    <row r="1568">
      <c r="A1568" s="48" t="n"/>
      <c r="B1568" s="52" t="n"/>
      <c r="C1568" s="47">
        <f>IF(B1568="","",IFERROR(INDEX('隊員マスタ'!$B$5:$B$204,MATCH(B1568&amp;"",'隊員マスタ'!$F$5:$F$204,0)),IF(AK1568="","番号なし",AK1568)))</f>
        <v/>
      </c>
      <c r="D1568" s="47" t="n"/>
      <c r="E1568" s="47" t="n"/>
      <c r="F1568" s="47" t="n"/>
      <c r="G1568" s="47" t="n"/>
      <c r="H1568" s="47" t="n"/>
      <c r="I1568" s="47" t="n"/>
      <c r="J1568" s="47" t="n"/>
      <c r="K1568" s="47" t="n"/>
      <c r="L1568" s="47" t="n"/>
      <c r="M1568" s="47" t="n"/>
      <c r="N1568" s="47" t="n"/>
      <c r="O1568" s="47" t="n"/>
      <c r="P1568" s="47" t="n"/>
      <c r="Q1568" s="47" t="n"/>
      <c r="R1568" s="47" t="n"/>
      <c r="S1568" s="47" t="n"/>
      <c r="T1568" s="47" t="n"/>
      <c r="U1568" s="53" t="n"/>
      <c r="V1568" s="53" t="n"/>
      <c r="W1568" s="47" t="n"/>
      <c r="X1568" s="47" t="n"/>
      <c r="Y1568" s="47" t="n"/>
      <c r="Z1568" s="47" t="n"/>
      <c r="AA1568" s="47" t="n"/>
      <c r="AB1568" s="47" t="n"/>
      <c r="AC1568" s="47" t="n"/>
      <c r="AD1568" s="47" t="n"/>
      <c r="AE1568" s="47" t="n"/>
      <c r="AF1568" s="20">
        <f>IF(A1568="","",YEAR(EDATE(A1568,-3)))</f>
        <v/>
      </c>
      <c r="AG1568" s="20">
        <f>IF(OR(B1568="",'経歴簿'!$C$4=""),"",IF(B1568&amp;""='経歴簿'!$C$4&amp;"",MAX($AG$4:AG1567)+1,""))</f>
        <v/>
      </c>
      <c r="AH1568" s="20">
        <f>IF(A1568="",0,IF(AND(OR('CSV抽出'!$C$4="",A1568&gt;='CSV抽出'!$C$4),OR('CSV抽出'!$C$5="",A1568&lt;='CSV抽出'!$C$5),OR('CSV抽出'!$C$6="すべて",'CSV抽出'!$C$6="",D1568='CSV抽出'!$C$6),OR('CSV抽出'!$C$7="",B1568&amp;""='CSV抽出'!$C$7&amp;"")),1,0))</f>
        <v/>
      </c>
      <c r="AI1568" s="20">
        <f>IF(AH1568=1,SUM($AH$5:AH1568),"")</f>
        <v/>
      </c>
      <c r="AJ1568" s="20">
        <f>IF(OR(S1568="",'報告書'!$C$4=""),"",IF(S1568&amp;""='報告書'!$C$4&amp;"",COUNTIF($S$5:S1568,'報告書'!$C$4),""))</f>
        <v/>
      </c>
      <c r="AK1568" s="20" t="n"/>
      <c r="AL1568" s="47" t="n"/>
      <c r="AM1568" s="47" t="n"/>
      <c r="AN1568" s="53" t="n"/>
      <c r="AO1568" s="47" t="n"/>
      <c r="AP1568" s="47" t="n"/>
      <c r="AQ1568" s="47" t="n"/>
      <c r="AR1568" s="47" t="n"/>
      <c r="AS1568" s="47" t="n"/>
      <c r="AT1568" s="47" t="n"/>
      <c r="AU1568" s="47" t="n"/>
      <c r="AV1568" s="47" t="n"/>
      <c r="AW1568" s="52" t="n"/>
    </row>
    <row r="1569">
      <c r="A1569" s="48" t="n"/>
      <c r="B1569" s="52" t="n"/>
      <c r="C1569" s="47">
        <f>IF(B1569="","",IFERROR(INDEX('隊員マスタ'!$B$5:$B$204,MATCH(B1569&amp;"",'隊員マスタ'!$F$5:$F$204,0)),IF(AK1569="","番号なし",AK1569)))</f>
        <v/>
      </c>
      <c r="D1569" s="47" t="n"/>
      <c r="E1569" s="47" t="n"/>
      <c r="F1569" s="47" t="n"/>
      <c r="G1569" s="47" t="n"/>
      <c r="H1569" s="47" t="n"/>
      <c r="I1569" s="47" t="n"/>
      <c r="J1569" s="47" t="n"/>
      <c r="K1569" s="47" t="n"/>
      <c r="L1569" s="47" t="n"/>
      <c r="M1569" s="47" t="n"/>
      <c r="N1569" s="47" t="n"/>
      <c r="O1569" s="47" t="n"/>
      <c r="P1569" s="47" t="n"/>
      <c r="Q1569" s="47" t="n"/>
      <c r="R1569" s="47" t="n"/>
      <c r="S1569" s="47" t="n"/>
      <c r="T1569" s="47" t="n"/>
      <c r="U1569" s="53" t="n"/>
      <c r="V1569" s="53" t="n"/>
      <c r="W1569" s="47" t="n"/>
      <c r="X1569" s="47" t="n"/>
      <c r="Y1569" s="47" t="n"/>
      <c r="Z1569" s="47" t="n"/>
      <c r="AA1569" s="47" t="n"/>
      <c r="AB1569" s="47" t="n"/>
      <c r="AC1569" s="47" t="n"/>
      <c r="AD1569" s="47" t="n"/>
      <c r="AE1569" s="47" t="n"/>
      <c r="AF1569" s="20">
        <f>IF(A1569="","",YEAR(EDATE(A1569,-3)))</f>
        <v/>
      </c>
      <c r="AG1569" s="20">
        <f>IF(OR(B1569="",'経歴簿'!$C$4=""),"",IF(B1569&amp;""='経歴簿'!$C$4&amp;"",MAX($AG$4:AG1568)+1,""))</f>
        <v/>
      </c>
      <c r="AH1569" s="20">
        <f>IF(A1569="",0,IF(AND(OR('CSV抽出'!$C$4="",A1569&gt;='CSV抽出'!$C$4),OR('CSV抽出'!$C$5="",A1569&lt;='CSV抽出'!$C$5),OR('CSV抽出'!$C$6="すべて",'CSV抽出'!$C$6="",D1569='CSV抽出'!$C$6),OR('CSV抽出'!$C$7="",B1569&amp;""='CSV抽出'!$C$7&amp;"")),1,0))</f>
        <v/>
      </c>
      <c r="AI1569" s="20">
        <f>IF(AH1569=1,SUM($AH$5:AH1569),"")</f>
        <v/>
      </c>
      <c r="AJ1569" s="20">
        <f>IF(OR(S1569="",'報告書'!$C$4=""),"",IF(S1569&amp;""='報告書'!$C$4&amp;"",COUNTIF($S$5:S1569,'報告書'!$C$4),""))</f>
        <v/>
      </c>
      <c r="AK1569" s="20" t="n"/>
      <c r="AL1569" s="47" t="n"/>
      <c r="AM1569" s="47" t="n"/>
      <c r="AN1569" s="53" t="n"/>
      <c r="AO1569" s="47" t="n"/>
      <c r="AP1569" s="47" t="n"/>
      <c r="AQ1569" s="47" t="n"/>
      <c r="AR1569" s="47" t="n"/>
      <c r="AS1569" s="47" t="n"/>
      <c r="AT1569" s="47" t="n"/>
      <c r="AU1569" s="47" t="n"/>
      <c r="AV1569" s="47" t="n"/>
      <c r="AW1569" s="52" t="n"/>
    </row>
    <row r="1570">
      <c r="A1570" s="48" t="n"/>
      <c r="B1570" s="52" t="n"/>
      <c r="C1570" s="47">
        <f>IF(B1570="","",IFERROR(INDEX('隊員マスタ'!$B$5:$B$204,MATCH(B1570&amp;"",'隊員マスタ'!$F$5:$F$204,0)),IF(AK1570="","番号なし",AK1570)))</f>
        <v/>
      </c>
      <c r="D1570" s="47" t="n"/>
      <c r="E1570" s="47" t="n"/>
      <c r="F1570" s="47" t="n"/>
      <c r="G1570" s="47" t="n"/>
      <c r="H1570" s="47" t="n"/>
      <c r="I1570" s="47" t="n"/>
      <c r="J1570" s="47" t="n"/>
      <c r="K1570" s="47" t="n"/>
      <c r="L1570" s="47" t="n"/>
      <c r="M1570" s="47" t="n"/>
      <c r="N1570" s="47" t="n"/>
      <c r="O1570" s="47" t="n"/>
      <c r="P1570" s="47" t="n"/>
      <c r="Q1570" s="47" t="n"/>
      <c r="R1570" s="47" t="n"/>
      <c r="S1570" s="47" t="n"/>
      <c r="T1570" s="47" t="n"/>
      <c r="U1570" s="53" t="n"/>
      <c r="V1570" s="53" t="n"/>
      <c r="W1570" s="47" t="n"/>
      <c r="X1570" s="47" t="n"/>
      <c r="Y1570" s="47" t="n"/>
      <c r="Z1570" s="47" t="n"/>
      <c r="AA1570" s="47" t="n"/>
      <c r="AB1570" s="47" t="n"/>
      <c r="AC1570" s="47" t="n"/>
      <c r="AD1570" s="47" t="n"/>
      <c r="AE1570" s="47" t="n"/>
      <c r="AF1570" s="20">
        <f>IF(A1570="","",YEAR(EDATE(A1570,-3)))</f>
        <v/>
      </c>
      <c r="AG1570" s="20">
        <f>IF(OR(B1570="",'経歴簿'!$C$4=""),"",IF(B1570&amp;""='経歴簿'!$C$4&amp;"",MAX($AG$4:AG1569)+1,""))</f>
        <v/>
      </c>
      <c r="AH1570" s="20">
        <f>IF(A1570="",0,IF(AND(OR('CSV抽出'!$C$4="",A1570&gt;='CSV抽出'!$C$4),OR('CSV抽出'!$C$5="",A1570&lt;='CSV抽出'!$C$5),OR('CSV抽出'!$C$6="すべて",'CSV抽出'!$C$6="",D1570='CSV抽出'!$C$6),OR('CSV抽出'!$C$7="",B1570&amp;""='CSV抽出'!$C$7&amp;"")),1,0))</f>
        <v/>
      </c>
      <c r="AI1570" s="20">
        <f>IF(AH1570=1,SUM($AH$5:AH1570),"")</f>
        <v/>
      </c>
      <c r="AJ1570" s="20">
        <f>IF(OR(S1570="",'報告書'!$C$4=""),"",IF(S1570&amp;""='報告書'!$C$4&amp;"",COUNTIF($S$5:S1570,'報告書'!$C$4),""))</f>
        <v/>
      </c>
      <c r="AK1570" s="20" t="n"/>
      <c r="AL1570" s="47" t="n"/>
      <c r="AM1570" s="47" t="n"/>
      <c r="AN1570" s="53" t="n"/>
      <c r="AO1570" s="47" t="n"/>
      <c r="AP1570" s="47" t="n"/>
      <c r="AQ1570" s="47" t="n"/>
      <c r="AR1570" s="47" t="n"/>
      <c r="AS1570" s="47" t="n"/>
      <c r="AT1570" s="47" t="n"/>
      <c r="AU1570" s="47" t="n"/>
      <c r="AV1570" s="47" t="n"/>
      <c r="AW1570" s="52" t="n"/>
    </row>
    <row r="1571">
      <c r="A1571" s="48" t="n"/>
      <c r="B1571" s="52" t="n"/>
      <c r="C1571" s="47">
        <f>IF(B1571="","",IFERROR(INDEX('隊員マスタ'!$B$5:$B$204,MATCH(B1571&amp;"",'隊員マスタ'!$F$5:$F$204,0)),IF(AK1571="","番号なし",AK1571)))</f>
        <v/>
      </c>
      <c r="D1571" s="47" t="n"/>
      <c r="E1571" s="47" t="n"/>
      <c r="F1571" s="47" t="n"/>
      <c r="G1571" s="47" t="n"/>
      <c r="H1571" s="47" t="n"/>
      <c r="I1571" s="47" t="n"/>
      <c r="J1571" s="47" t="n"/>
      <c r="K1571" s="47" t="n"/>
      <c r="L1571" s="47" t="n"/>
      <c r="M1571" s="47" t="n"/>
      <c r="N1571" s="47" t="n"/>
      <c r="O1571" s="47" t="n"/>
      <c r="P1571" s="47" t="n"/>
      <c r="Q1571" s="47" t="n"/>
      <c r="R1571" s="47" t="n"/>
      <c r="S1571" s="47" t="n"/>
      <c r="T1571" s="47" t="n"/>
      <c r="U1571" s="53" t="n"/>
      <c r="V1571" s="53" t="n"/>
      <c r="W1571" s="47" t="n"/>
      <c r="X1571" s="47" t="n"/>
      <c r="Y1571" s="47" t="n"/>
      <c r="Z1571" s="47" t="n"/>
      <c r="AA1571" s="47" t="n"/>
      <c r="AB1571" s="47" t="n"/>
      <c r="AC1571" s="47" t="n"/>
      <c r="AD1571" s="47" t="n"/>
      <c r="AE1571" s="47" t="n"/>
      <c r="AF1571" s="20">
        <f>IF(A1571="","",YEAR(EDATE(A1571,-3)))</f>
        <v/>
      </c>
      <c r="AG1571" s="20">
        <f>IF(OR(B1571="",'経歴簿'!$C$4=""),"",IF(B1571&amp;""='経歴簿'!$C$4&amp;"",MAX($AG$4:AG1570)+1,""))</f>
        <v/>
      </c>
      <c r="AH1571" s="20">
        <f>IF(A1571="",0,IF(AND(OR('CSV抽出'!$C$4="",A1571&gt;='CSV抽出'!$C$4),OR('CSV抽出'!$C$5="",A1571&lt;='CSV抽出'!$C$5),OR('CSV抽出'!$C$6="すべて",'CSV抽出'!$C$6="",D1571='CSV抽出'!$C$6),OR('CSV抽出'!$C$7="",B1571&amp;""='CSV抽出'!$C$7&amp;"")),1,0))</f>
        <v/>
      </c>
      <c r="AI1571" s="20">
        <f>IF(AH1571=1,SUM($AH$5:AH1571),"")</f>
        <v/>
      </c>
      <c r="AJ1571" s="20">
        <f>IF(OR(S1571="",'報告書'!$C$4=""),"",IF(S1571&amp;""='報告書'!$C$4&amp;"",COUNTIF($S$5:S1571,'報告書'!$C$4),""))</f>
        <v/>
      </c>
      <c r="AK1571" s="20" t="n"/>
      <c r="AL1571" s="47" t="n"/>
      <c r="AM1571" s="47" t="n"/>
      <c r="AN1571" s="53" t="n"/>
      <c r="AO1571" s="47" t="n"/>
      <c r="AP1571" s="47" t="n"/>
      <c r="AQ1571" s="47" t="n"/>
      <c r="AR1571" s="47" t="n"/>
      <c r="AS1571" s="47" t="n"/>
      <c r="AT1571" s="47" t="n"/>
      <c r="AU1571" s="47" t="n"/>
      <c r="AV1571" s="47" t="n"/>
      <c r="AW1571" s="52" t="n"/>
    </row>
    <row r="1572">
      <c r="A1572" s="48" t="n"/>
      <c r="B1572" s="52" t="n"/>
      <c r="C1572" s="47">
        <f>IF(B1572="","",IFERROR(INDEX('隊員マスタ'!$B$5:$B$204,MATCH(B1572&amp;"",'隊員マスタ'!$F$5:$F$204,0)),IF(AK1572="","番号なし",AK1572)))</f>
        <v/>
      </c>
      <c r="D1572" s="47" t="n"/>
      <c r="E1572" s="47" t="n"/>
      <c r="F1572" s="47" t="n"/>
      <c r="G1572" s="47" t="n"/>
      <c r="H1572" s="47" t="n"/>
      <c r="I1572" s="47" t="n"/>
      <c r="J1572" s="47" t="n"/>
      <c r="K1572" s="47" t="n"/>
      <c r="L1572" s="47" t="n"/>
      <c r="M1572" s="47" t="n"/>
      <c r="N1572" s="47" t="n"/>
      <c r="O1572" s="47" t="n"/>
      <c r="P1572" s="47" t="n"/>
      <c r="Q1572" s="47" t="n"/>
      <c r="R1572" s="47" t="n"/>
      <c r="S1572" s="47" t="n"/>
      <c r="T1572" s="47" t="n"/>
      <c r="U1572" s="53" t="n"/>
      <c r="V1572" s="53" t="n"/>
      <c r="W1572" s="47" t="n"/>
      <c r="X1572" s="47" t="n"/>
      <c r="Y1572" s="47" t="n"/>
      <c r="Z1572" s="47" t="n"/>
      <c r="AA1572" s="47" t="n"/>
      <c r="AB1572" s="47" t="n"/>
      <c r="AC1572" s="47" t="n"/>
      <c r="AD1572" s="47" t="n"/>
      <c r="AE1572" s="47" t="n"/>
      <c r="AF1572" s="20">
        <f>IF(A1572="","",YEAR(EDATE(A1572,-3)))</f>
        <v/>
      </c>
      <c r="AG1572" s="20">
        <f>IF(OR(B1572="",'経歴簿'!$C$4=""),"",IF(B1572&amp;""='経歴簿'!$C$4&amp;"",MAX($AG$4:AG1571)+1,""))</f>
        <v/>
      </c>
      <c r="AH1572" s="20">
        <f>IF(A1572="",0,IF(AND(OR('CSV抽出'!$C$4="",A1572&gt;='CSV抽出'!$C$4),OR('CSV抽出'!$C$5="",A1572&lt;='CSV抽出'!$C$5),OR('CSV抽出'!$C$6="すべて",'CSV抽出'!$C$6="",D1572='CSV抽出'!$C$6),OR('CSV抽出'!$C$7="",B1572&amp;""='CSV抽出'!$C$7&amp;"")),1,0))</f>
        <v/>
      </c>
      <c r="AI1572" s="20">
        <f>IF(AH1572=1,SUM($AH$5:AH1572),"")</f>
        <v/>
      </c>
      <c r="AJ1572" s="20">
        <f>IF(OR(S1572="",'報告書'!$C$4=""),"",IF(S1572&amp;""='報告書'!$C$4&amp;"",COUNTIF($S$5:S1572,'報告書'!$C$4),""))</f>
        <v/>
      </c>
      <c r="AK1572" s="20" t="n"/>
      <c r="AL1572" s="47" t="n"/>
      <c r="AM1572" s="47" t="n"/>
      <c r="AN1572" s="53" t="n"/>
      <c r="AO1572" s="47" t="n"/>
      <c r="AP1572" s="47" t="n"/>
      <c r="AQ1572" s="47" t="n"/>
      <c r="AR1572" s="47" t="n"/>
      <c r="AS1572" s="47" t="n"/>
      <c r="AT1572" s="47" t="n"/>
      <c r="AU1572" s="47" t="n"/>
      <c r="AV1572" s="47" t="n"/>
      <c r="AW1572" s="52" t="n"/>
    </row>
    <row r="1573">
      <c r="A1573" s="48" t="n"/>
      <c r="B1573" s="52" t="n"/>
      <c r="C1573" s="47">
        <f>IF(B1573="","",IFERROR(INDEX('隊員マスタ'!$B$5:$B$204,MATCH(B1573&amp;"",'隊員マスタ'!$F$5:$F$204,0)),IF(AK1573="","番号なし",AK1573)))</f>
        <v/>
      </c>
      <c r="D1573" s="47" t="n"/>
      <c r="E1573" s="47" t="n"/>
      <c r="F1573" s="47" t="n"/>
      <c r="G1573" s="47" t="n"/>
      <c r="H1573" s="47" t="n"/>
      <c r="I1573" s="47" t="n"/>
      <c r="J1573" s="47" t="n"/>
      <c r="K1573" s="47" t="n"/>
      <c r="L1573" s="47" t="n"/>
      <c r="M1573" s="47" t="n"/>
      <c r="N1573" s="47" t="n"/>
      <c r="O1573" s="47" t="n"/>
      <c r="P1573" s="47" t="n"/>
      <c r="Q1573" s="47" t="n"/>
      <c r="R1573" s="47" t="n"/>
      <c r="S1573" s="47" t="n"/>
      <c r="T1573" s="47" t="n"/>
      <c r="U1573" s="53" t="n"/>
      <c r="V1573" s="53" t="n"/>
      <c r="W1573" s="47" t="n"/>
      <c r="X1573" s="47" t="n"/>
      <c r="Y1573" s="47" t="n"/>
      <c r="Z1573" s="47" t="n"/>
      <c r="AA1573" s="47" t="n"/>
      <c r="AB1573" s="47" t="n"/>
      <c r="AC1573" s="47" t="n"/>
      <c r="AD1573" s="47" t="n"/>
      <c r="AE1573" s="47" t="n"/>
      <c r="AF1573" s="20">
        <f>IF(A1573="","",YEAR(EDATE(A1573,-3)))</f>
        <v/>
      </c>
      <c r="AG1573" s="20">
        <f>IF(OR(B1573="",'経歴簿'!$C$4=""),"",IF(B1573&amp;""='経歴簿'!$C$4&amp;"",MAX($AG$4:AG1572)+1,""))</f>
        <v/>
      </c>
      <c r="AH1573" s="20">
        <f>IF(A1573="",0,IF(AND(OR('CSV抽出'!$C$4="",A1573&gt;='CSV抽出'!$C$4),OR('CSV抽出'!$C$5="",A1573&lt;='CSV抽出'!$C$5),OR('CSV抽出'!$C$6="すべて",'CSV抽出'!$C$6="",D1573='CSV抽出'!$C$6),OR('CSV抽出'!$C$7="",B1573&amp;""='CSV抽出'!$C$7&amp;"")),1,0))</f>
        <v/>
      </c>
      <c r="AI1573" s="20">
        <f>IF(AH1573=1,SUM($AH$5:AH1573),"")</f>
        <v/>
      </c>
      <c r="AJ1573" s="20">
        <f>IF(OR(S1573="",'報告書'!$C$4=""),"",IF(S1573&amp;""='報告書'!$C$4&amp;"",COUNTIF($S$5:S1573,'報告書'!$C$4),""))</f>
        <v/>
      </c>
      <c r="AK1573" s="20" t="n"/>
      <c r="AL1573" s="47" t="n"/>
      <c r="AM1573" s="47" t="n"/>
      <c r="AN1573" s="53" t="n"/>
      <c r="AO1573" s="47" t="n"/>
      <c r="AP1573" s="47" t="n"/>
      <c r="AQ1573" s="47" t="n"/>
      <c r="AR1573" s="47" t="n"/>
      <c r="AS1573" s="47" t="n"/>
      <c r="AT1573" s="47" t="n"/>
      <c r="AU1573" s="47" t="n"/>
      <c r="AV1573" s="47" t="n"/>
      <c r="AW1573" s="52" t="n"/>
    </row>
    <row r="1574">
      <c r="A1574" s="48" t="n"/>
      <c r="B1574" s="52" t="n"/>
      <c r="C1574" s="47">
        <f>IF(B1574="","",IFERROR(INDEX('隊員マスタ'!$B$5:$B$204,MATCH(B1574&amp;"",'隊員マスタ'!$F$5:$F$204,0)),IF(AK1574="","番号なし",AK1574)))</f>
        <v/>
      </c>
      <c r="D1574" s="47" t="n"/>
      <c r="E1574" s="47" t="n"/>
      <c r="F1574" s="47" t="n"/>
      <c r="G1574" s="47" t="n"/>
      <c r="H1574" s="47" t="n"/>
      <c r="I1574" s="47" t="n"/>
      <c r="J1574" s="47" t="n"/>
      <c r="K1574" s="47" t="n"/>
      <c r="L1574" s="47" t="n"/>
      <c r="M1574" s="47" t="n"/>
      <c r="N1574" s="47" t="n"/>
      <c r="O1574" s="47" t="n"/>
      <c r="P1574" s="47" t="n"/>
      <c r="Q1574" s="47" t="n"/>
      <c r="R1574" s="47" t="n"/>
      <c r="S1574" s="47" t="n"/>
      <c r="T1574" s="47" t="n"/>
      <c r="U1574" s="53" t="n"/>
      <c r="V1574" s="53" t="n"/>
      <c r="W1574" s="47" t="n"/>
      <c r="X1574" s="47" t="n"/>
      <c r="Y1574" s="47" t="n"/>
      <c r="Z1574" s="47" t="n"/>
      <c r="AA1574" s="47" t="n"/>
      <c r="AB1574" s="47" t="n"/>
      <c r="AC1574" s="47" t="n"/>
      <c r="AD1574" s="47" t="n"/>
      <c r="AE1574" s="47" t="n"/>
      <c r="AF1574" s="20">
        <f>IF(A1574="","",YEAR(EDATE(A1574,-3)))</f>
        <v/>
      </c>
      <c r="AG1574" s="20">
        <f>IF(OR(B1574="",'経歴簿'!$C$4=""),"",IF(B1574&amp;""='経歴簿'!$C$4&amp;"",MAX($AG$4:AG1573)+1,""))</f>
        <v/>
      </c>
      <c r="AH1574" s="20">
        <f>IF(A1574="",0,IF(AND(OR('CSV抽出'!$C$4="",A1574&gt;='CSV抽出'!$C$4),OR('CSV抽出'!$C$5="",A1574&lt;='CSV抽出'!$C$5),OR('CSV抽出'!$C$6="すべて",'CSV抽出'!$C$6="",D1574='CSV抽出'!$C$6),OR('CSV抽出'!$C$7="",B1574&amp;""='CSV抽出'!$C$7&amp;"")),1,0))</f>
        <v/>
      </c>
      <c r="AI1574" s="20">
        <f>IF(AH1574=1,SUM($AH$5:AH1574),"")</f>
        <v/>
      </c>
      <c r="AJ1574" s="20">
        <f>IF(OR(S1574="",'報告書'!$C$4=""),"",IF(S1574&amp;""='報告書'!$C$4&amp;"",COUNTIF($S$5:S1574,'報告書'!$C$4),""))</f>
        <v/>
      </c>
      <c r="AK1574" s="20" t="n"/>
      <c r="AL1574" s="47" t="n"/>
      <c r="AM1574" s="47" t="n"/>
      <c r="AN1574" s="53" t="n"/>
      <c r="AO1574" s="47" t="n"/>
      <c r="AP1574" s="47" t="n"/>
      <c r="AQ1574" s="47" t="n"/>
      <c r="AR1574" s="47" t="n"/>
      <c r="AS1574" s="47" t="n"/>
      <c r="AT1574" s="47" t="n"/>
      <c r="AU1574" s="47" t="n"/>
      <c r="AV1574" s="47" t="n"/>
      <c r="AW1574" s="52" t="n"/>
    </row>
    <row r="1575">
      <c r="A1575" s="48" t="n"/>
      <c r="B1575" s="52" t="n"/>
      <c r="C1575" s="47">
        <f>IF(B1575="","",IFERROR(INDEX('隊員マスタ'!$B$5:$B$204,MATCH(B1575&amp;"",'隊員マスタ'!$F$5:$F$204,0)),IF(AK1575="","番号なし",AK1575)))</f>
        <v/>
      </c>
      <c r="D1575" s="47" t="n"/>
      <c r="E1575" s="47" t="n"/>
      <c r="F1575" s="47" t="n"/>
      <c r="G1575" s="47" t="n"/>
      <c r="H1575" s="47" t="n"/>
      <c r="I1575" s="47" t="n"/>
      <c r="J1575" s="47" t="n"/>
      <c r="K1575" s="47" t="n"/>
      <c r="L1575" s="47" t="n"/>
      <c r="M1575" s="47" t="n"/>
      <c r="N1575" s="47" t="n"/>
      <c r="O1575" s="47" t="n"/>
      <c r="P1575" s="47" t="n"/>
      <c r="Q1575" s="47" t="n"/>
      <c r="R1575" s="47" t="n"/>
      <c r="S1575" s="47" t="n"/>
      <c r="T1575" s="47" t="n"/>
      <c r="U1575" s="53" t="n"/>
      <c r="V1575" s="53" t="n"/>
      <c r="W1575" s="47" t="n"/>
      <c r="X1575" s="47" t="n"/>
      <c r="Y1575" s="47" t="n"/>
      <c r="Z1575" s="47" t="n"/>
      <c r="AA1575" s="47" t="n"/>
      <c r="AB1575" s="47" t="n"/>
      <c r="AC1575" s="47" t="n"/>
      <c r="AD1575" s="47" t="n"/>
      <c r="AE1575" s="47" t="n"/>
      <c r="AF1575" s="20">
        <f>IF(A1575="","",YEAR(EDATE(A1575,-3)))</f>
        <v/>
      </c>
      <c r="AG1575" s="20">
        <f>IF(OR(B1575="",'経歴簿'!$C$4=""),"",IF(B1575&amp;""='経歴簿'!$C$4&amp;"",MAX($AG$4:AG1574)+1,""))</f>
        <v/>
      </c>
      <c r="AH1575" s="20">
        <f>IF(A1575="",0,IF(AND(OR('CSV抽出'!$C$4="",A1575&gt;='CSV抽出'!$C$4),OR('CSV抽出'!$C$5="",A1575&lt;='CSV抽出'!$C$5),OR('CSV抽出'!$C$6="すべて",'CSV抽出'!$C$6="",D1575='CSV抽出'!$C$6),OR('CSV抽出'!$C$7="",B1575&amp;""='CSV抽出'!$C$7&amp;"")),1,0))</f>
        <v/>
      </c>
      <c r="AI1575" s="20">
        <f>IF(AH1575=1,SUM($AH$5:AH1575),"")</f>
        <v/>
      </c>
      <c r="AJ1575" s="20">
        <f>IF(OR(S1575="",'報告書'!$C$4=""),"",IF(S1575&amp;""='報告書'!$C$4&amp;"",COUNTIF($S$5:S1575,'報告書'!$C$4),""))</f>
        <v/>
      </c>
      <c r="AK1575" s="20" t="n"/>
      <c r="AL1575" s="47" t="n"/>
      <c r="AM1575" s="47" t="n"/>
      <c r="AN1575" s="53" t="n"/>
      <c r="AO1575" s="47" t="n"/>
      <c r="AP1575" s="47" t="n"/>
      <c r="AQ1575" s="47" t="n"/>
      <c r="AR1575" s="47" t="n"/>
      <c r="AS1575" s="47" t="n"/>
      <c r="AT1575" s="47" t="n"/>
      <c r="AU1575" s="47" t="n"/>
      <c r="AV1575" s="47" t="n"/>
      <c r="AW1575" s="52" t="n"/>
    </row>
    <row r="1576">
      <c r="A1576" s="48" t="n"/>
      <c r="B1576" s="52" t="n"/>
      <c r="C1576" s="47">
        <f>IF(B1576="","",IFERROR(INDEX('隊員マスタ'!$B$5:$B$204,MATCH(B1576&amp;"",'隊員マスタ'!$F$5:$F$204,0)),IF(AK1576="","番号なし",AK1576)))</f>
        <v/>
      </c>
      <c r="D1576" s="47" t="n"/>
      <c r="E1576" s="47" t="n"/>
      <c r="F1576" s="47" t="n"/>
      <c r="G1576" s="47" t="n"/>
      <c r="H1576" s="47" t="n"/>
      <c r="I1576" s="47" t="n"/>
      <c r="J1576" s="47" t="n"/>
      <c r="K1576" s="47" t="n"/>
      <c r="L1576" s="47" t="n"/>
      <c r="M1576" s="47" t="n"/>
      <c r="N1576" s="47" t="n"/>
      <c r="O1576" s="47" t="n"/>
      <c r="P1576" s="47" t="n"/>
      <c r="Q1576" s="47" t="n"/>
      <c r="R1576" s="47" t="n"/>
      <c r="S1576" s="47" t="n"/>
      <c r="T1576" s="47" t="n"/>
      <c r="U1576" s="53" t="n"/>
      <c r="V1576" s="53" t="n"/>
      <c r="W1576" s="47" t="n"/>
      <c r="X1576" s="47" t="n"/>
      <c r="Y1576" s="47" t="n"/>
      <c r="Z1576" s="47" t="n"/>
      <c r="AA1576" s="47" t="n"/>
      <c r="AB1576" s="47" t="n"/>
      <c r="AC1576" s="47" t="n"/>
      <c r="AD1576" s="47" t="n"/>
      <c r="AE1576" s="47" t="n"/>
      <c r="AF1576" s="20">
        <f>IF(A1576="","",YEAR(EDATE(A1576,-3)))</f>
        <v/>
      </c>
      <c r="AG1576" s="20">
        <f>IF(OR(B1576="",'経歴簿'!$C$4=""),"",IF(B1576&amp;""='経歴簿'!$C$4&amp;"",MAX($AG$4:AG1575)+1,""))</f>
        <v/>
      </c>
      <c r="AH1576" s="20">
        <f>IF(A1576="",0,IF(AND(OR('CSV抽出'!$C$4="",A1576&gt;='CSV抽出'!$C$4),OR('CSV抽出'!$C$5="",A1576&lt;='CSV抽出'!$C$5),OR('CSV抽出'!$C$6="すべて",'CSV抽出'!$C$6="",D1576='CSV抽出'!$C$6),OR('CSV抽出'!$C$7="",B1576&amp;""='CSV抽出'!$C$7&amp;"")),1,0))</f>
        <v/>
      </c>
      <c r="AI1576" s="20">
        <f>IF(AH1576=1,SUM($AH$5:AH1576),"")</f>
        <v/>
      </c>
      <c r="AJ1576" s="20">
        <f>IF(OR(S1576="",'報告書'!$C$4=""),"",IF(S1576&amp;""='報告書'!$C$4&amp;"",COUNTIF($S$5:S1576,'報告書'!$C$4),""))</f>
        <v/>
      </c>
      <c r="AK1576" s="20" t="n"/>
      <c r="AL1576" s="47" t="n"/>
      <c r="AM1576" s="47" t="n"/>
      <c r="AN1576" s="53" t="n"/>
      <c r="AO1576" s="47" t="n"/>
      <c r="AP1576" s="47" t="n"/>
      <c r="AQ1576" s="47" t="n"/>
      <c r="AR1576" s="47" t="n"/>
      <c r="AS1576" s="47" t="n"/>
      <c r="AT1576" s="47" t="n"/>
      <c r="AU1576" s="47" t="n"/>
      <c r="AV1576" s="47" t="n"/>
      <c r="AW1576" s="52" t="n"/>
    </row>
    <row r="1577">
      <c r="A1577" s="48" t="n"/>
      <c r="B1577" s="52" t="n"/>
      <c r="C1577" s="47">
        <f>IF(B1577="","",IFERROR(INDEX('隊員マスタ'!$B$5:$B$204,MATCH(B1577&amp;"",'隊員マスタ'!$F$5:$F$204,0)),IF(AK1577="","番号なし",AK1577)))</f>
        <v/>
      </c>
      <c r="D1577" s="47" t="n"/>
      <c r="E1577" s="47" t="n"/>
      <c r="F1577" s="47" t="n"/>
      <c r="G1577" s="47" t="n"/>
      <c r="H1577" s="47" t="n"/>
      <c r="I1577" s="47" t="n"/>
      <c r="J1577" s="47" t="n"/>
      <c r="K1577" s="47" t="n"/>
      <c r="L1577" s="47" t="n"/>
      <c r="M1577" s="47" t="n"/>
      <c r="N1577" s="47" t="n"/>
      <c r="O1577" s="47" t="n"/>
      <c r="P1577" s="47" t="n"/>
      <c r="Q1577" s="47" t="n"/>
      <c r="R1577" s="47" t="n"/>
      <c r="S1577" s="47" t="n"/>
      <c r="T1577" s="47" t="n"/>
      <c r="U1577" s="53" t="n"/>
      <c r="V1577" s="53" t="n"/>
      <c r="W1577" s="47" t="n"/>
      <c r="X1577" s="47" t="n"/>
      <c r="Y1577" s="47" t="n"/>
      <c r="Z1577" s="47" t="n"/>
      <c r="AA1577" s="47" t="n"/>
      <c r="AB1577" s="47" t="n"/>
      <c r="AC1577" s="47" t="n"/>
      <c r="AD1577" s="47" t="n"/>
      <c r="AE1577" s="47" t="n"/>
      <c r="AF1577" s="20">
        <f>IF(A1577="","",YEAR(EDATE(A1577,-3)))</f>
        <v/>
      </c>
      <c r="AG1577" s="20">
        <f>IF(OR(B1577="",'経歴簿'!$C$4=""),"",IF(B1577&amp;""='経歴簿'!$C$4&amp;"",MAX($AG$4:AG1576)+1,""))</f>
        <v/>
      </c>
      <c r="AH1577" s="20">
        <f>IF(A1577="",0,IF(AND(OR('CSV抽出'!$C$4="",A1577&gt;='CSV抽出'!$C$4),OR('CSV抽出'!$C$5="",A1577&lt;='CSV抽出'!$C$5),OR('CSV抽出'!$C$6="すべて",'CSV抽出'!$C$6="",D1577='CSV抽出'!$C$6),OR('CSV抽出'!$C$7="",B1577&amp;""='CSV抽出'!$C$7&amp;"")),1,0))</f>
        <v/>
      </c>
      <c r="AI1577" s="20">
        <f>IF(AH1577=1,SUM($AH$5:AH1577),"")</f>
        <v/>
      </c>
      <c r="AJ1577" s="20">
        <f>IF(OR(S1577="",'報告書'!$C$4=""),"",IF(S1577&amp;""='報告書'!$C$4&amp;"",COUNTIF($S$5:S1577,'報告書'!$C$4),""))</f>
        <v/>
      </c>
      <c r="AK1577" s="20" t="n"/>
      <c r="AL1577" s="47" t="n"/>
      <c r="AM1577" s="47" t="n"/>
      <c r="AN1577" s="53" t="n"/>
      <c r="AO1577" s="47" t="n"/>
      <c r="AP1577" s="47" t="n"/>
      <c r="AQ1577" s="47" t="n"/>
      <c r="AR1577" s="47" t="n"/>
      <c r="AS1577" s="47" t="n"/>
      <c r="AT1577" s="47" t="n"/>
      <c r="AU1577" s="47" t="n"/>
      <c r="AV1577" s="47" t="n"/>
      <c r="AW1577" s="52" t="n"/>
    </row>
    <row r="1578">
      <c r="A1578" s="48" t="n"/>
      <c r="B1578" s="52" t="n"/>
      <c r="C1578" s="47">
        <f>IF(B1578="","",IFERROR(INDEX('隊員マスタ'!$B$5:$B$204,MATCH(B1578&amp;"",'隊員マスタ'!$F$5:$F$204,0)),IF(AK1578="","番号なし",AK1578)))</f>
        <v/>
      </c>
      <c r="D1578" s="47" t="n"/>
      <c r="E1578" s="47" t="n"/>
      <c r="F1578" s="47" t="n"/>
      <c r="G1578" s="47" t="n"/>
      <c r="H1578" s="47" t="n"/>
      <c r="I1578" s="47" t="n"/>
      <c r="J1578" s="47" t="n"/>
      <c r="K1578" s="47" t="n"/>
      <c r="L1578" s="47" t="n"/>
      <c r="M1578" s="47" t="n"/>
      <c r="N1578" s="47" t="n"/>
      <c r="O1578" s="47" t="n"/>
      <c r="P1578" s="47" t="n"/>
      <c r="Q1578" s="47" t="n"/>
      <c r="R1578" s="47" t="n"/>
      <c r="S1578" s="47" t="n"/>
      <c r="T1578" s="47" t="n"/>
      <c r="U1578" s="53" t="n"/>
      <c r="V1578" s="53" t="n"/>
      <c r="W1578" s="47" t="n"/>
      <c r="X1578" s="47" t="n"/>
      <c r="Y1578" s="47" t="n"/>
      <c r="Z1578" s="47" t="n"/>
      <c r="AA1578" s="47" t="n"/>
      <c r="AB1578" s="47" t="n"/>
      <c r="AC1578" s="47" t="n"/>
      <c r="AD1578" s="47" t="n"/>
      <c r="AE1578" s="47" t="n"/>
      <c r="AF1578" s="20">
        <f>IF(A1578="","",YEAR(EDATE(A1578,-3)))</f>
        <v/>
      </c>
      <c r="AG1578" s="20">
        <f>IF(OR(B1578="",'経歴簿'!$C$4=""),"",IF(B1578&amp;""='経歴簿'!$C$4&amp;"",MAX($AG$4:AG1577)+1,""))</f>
        <v/>
      </c>
      <c r="AH1578" s="20">
        <f>IF(A1578="",0,IF(AND(OR('CSV抽出'!$C$4="",A1578&gt;='CSV抽出'!$C$4),OR('CSV抽出'!$C$5="",A1578&lt;='CSV抽出'!$C$5),OR('CSV抽出'!$C$6="すべて",'CSV抽出'!$C$6="",D1578='CSV抽出'!$C$6),OR('CSV抽出'!$C$7="",B1578&amp;""='CSV抽出'!$C$7&amp;"")),1,0))</f>
        <v/>
      </c>
      <c r="AI1578" s="20">
        <f>IF(AH1578=1,SUM($AH$5:AH1578),"")</f>
        <v/>
      </c>
      <c r="AJ1578" s="20">
        <f>IF(OR(S1578="",'報告書'!$C$4=""),"",IF(S1578&amp;""='報告書'!$C$4&amp;"",COUNTIF($S$5:S1578,'報告書'!$C$4),""))</f>
        <v/>
      </c>
      <c r="AK1578" s="20" t="n"/>
      <c r="AL1578" s="47" t="n"/>
      <c r="AM1578" s="47" t="n"/>
      <c r="AN1578" s="53" t="n"/>
      <c r="AO1578" s="47" t="n"/>
      <c r="AP1578" s="47" t="n"/>
      <c r="AQ1578" s="47" t="n"/>
      <c r="AR1578" s="47" t="n"/>
      <c r="AS1578" s="47" t="n"/>
      <c r="AT1578" s="47" t="n"/>
      <c r="AU1578" s="47" t="n"/>
      <c r="AV1578" s="47" t="n"/>
      <c r="AW1578" s="52" t="n"/>
    </row>
    <row r="1579">
      <c r="A1579" s="48" t="n"/>
      <c r="B1579" s="52" t="n"/>
      <c r="C1579" s="47">
        <f>IF(B1579="","",IFERROR(INDEX('隊員マスタ'!$B$5:$B$204,MATCH(B1579&amp;"",'隊員マスタ'!$F$5:$F$204,0)),IF(AK1579="","番号なし",AK1579)))</f>
        <v/>
      </c>
      <c r="D1579" s="47" t="n"/>
      <c r="E1579" s="47" t="n"/>
      <c r="F1579" s="47" t="n"/>
      <c r="G1579" s="47" t="n"/>
      <c r="H1579" s="47" t="n"/>
      <c r="I1579" s="47" t="n"/>
      <c r="J1579" s="47" t="n"/>
      <c r="K1579" s="47" t="n"/>
      <c r="L1579" s="47" t="n"/>
      <c r="M1579" s="47" t="n"/>
      <c r="N1579" s="47" t="n"/>
      <c r="O1579" s="47" t="n"/>
      <c r="P1579" s="47" t="n"/>
      <c r="Q1579" s="47" t="n"/>
      <c r="R1579" s="47" t="n"/>
      <c r="S1579" s="47" t="n"/>
      <c r="T1579" s="47" t="n"/>
      <c r="U1579" s="53" t="n"/>
      <c r="V1579" s="53" t="n"/>
      <c r="W1579" s="47" t="n"/>
      <c r="X1579" s="47" t="n"/>
      <c r="Y1579" s="47" t="n"/>
      <c r="Z1579" s="47" t="n"/>
      <c r="AA1579" s="47" t="n"/>
      <c r="AB1579" s="47" t="n"/>
      <c r="AC1579" s="47" t="n"/>
      <c r="AD1579" s="47" t="n"/>
      <c r="AE1579" s="47" t="n"/>
      <c r="AF1579" s="20">
        <f>IF(A1579="","",YEAR(EDATE(A1579,-3)))</f>
        <v/>
      </c>
      <c r="AG1579" s="20">
        <f>IF(OR(B1579="",'経歴簿'!$C$4=""),"",IF(B1579&amp;""='経歴簿'!$C$4&amp;"",MAX($AG$4:AG1578)+1,""))</f>
        <v/>
      </c>
      <c r="AH1579" s="20">
        <f>IF(A1579="",0,IF(AND(OR('CSV抽出'!$C$4="",A1579&gt;='CSV抽出'!$C$4),OR('CSV抽出'!$C$5="",A1579&lt;='CSV抽出'!$C$5),OR('CSV抽出'!$C$6="すべて",'CSV抽出'!$C$6="",D1579='CSV抽出'!$C$6),OR('CSV抽出'!$C$7="",B1579&amp;""='CSV抽出'!$C$7&amp;"")),1,0))</f>
        <v/>
      </c>
      <c r="AI1579" s="20">
        <f>IF(AH1579=1,SUM($AH$5:AH1579),"")</f>
        <v/>
      </c>
      <c r="AJ1579" s="20">
        <f>IF(OR(S1579="",'報告書'!$C$4=""),"",IF(S1579&amp;""='報告書'!$C$4&amp;"",COUNTIF($S$5:S1579,'報告書'!$C$4),""))</f>
        <v/>
      </c>
      <c r="AK1579" s="20" t="n"/>
      <c r="AL1579" s="47" t="n"/>
      <c r="AM1579" s="47" t="n"/>
      <c r="AN1579" s="53" t="n"/>
      <c r="AO1579" s="47" t="n"/>
      <c r="AP1579" s="47" t="n"/>
      <c r="AQ1579" s="47" t="n"/>
      <c r="AR1579" s="47" t="n"/>
      <c r="AS1579" s="47" t="n"/>
      <c r="AT1579" s="47" t="n"/>
      <c r="AU1579" s="47" t="n"/>
      <c r="AV1579" s="47" t="n"/>
      <c r="AW1579" s="52" t="n"/>
    </row>
    <row r="1580">
      <c r="A1580" s="48" t="n"/>
      <c r="B1580" s="52" t="n"/>
      <c r="C1580" s="47">
        <f>IF(B1580="","",IFERROR(INDEX('隊員マスタ'!$B$5:$B$204,MATCH(B1580&amp;"",'隊員マスタ'!$F$5:$F$204,0)),IF(AK1580="","番号なし",AK1580)))</f>
        <v/>
      </c>
      <c r="D1580" s="47" t="n"/>
      <c r="E1580" s="47" t="n"/>
      <c r="F1580" s="47" t="n"/>
      <c r="G1580" s="47" t="n"/>
      <c r="H1580" s="47" t="n"/>
      <c r="I1580" s="47" t="n"/>
      <c r="J1580" s="47" t="n"/>
      <c r="K1580" s="47" t="n"/>
      <c r="L1580" s="47" t="n"/>
      <c r="M1580" s="47" t="n"/>
      <c r="N1580" s="47" t="n"/>
      <c r="O1580" s="47" t="n"/>
      <c r="P1580" s="47" t="n"/>
      <c r="Q1580" s="47" t="n"/>
      <c r="R1580" s="47" t="n"/>
      <c r="S1580" s="47" t="n"/>
      <c r="T1580" s="47" t="n"/>
      <c r="U1580" s="53" t="n"/>
      <c r="V1580" s="53" t="n"/>
      <c r="W1580" s="47" t="n"/>
      <c r="X1580" s="47" t="n"/>
      <c r="Y1580" s="47" t="n"/>
      <c r="Z1580" s="47" t="n"/>
      <c r="AA1580" s="47" t="n"/>
      <c r="AB1580" s="47" t="n"/>
      <c r="AC1580" s="47" t="n"/>
      <c r="AD1580" s="47" t="n"/>
      <c r="AE1580" s="47" t="n"/>
      <c r="AF1580" s="20">
        <f>IF(A1580="","",YEAR(EDATE(A1580,-3)))</f>
        <v/>
      </c>
      <c r="AG1580" s="20">
        <f>IF(OR(B1580="",'経歴簿'!$C$4=""),"",IF(B1580&amp;""='経歴簿'!$C$4&amp;"",MAX($AG$4:AG1579)+1,""))</f>
        <v/>
      </c>
      <c r="AH1580" s="20">
        <f>IF(A1580="",0,IF(AND(OR('CSV抽出'!$C$4="",A1580&gt;='CSV抽出'!$C$4),OR('CSV抽出'!$C$5="",A1580&lt;='CSV抽出'!$C$5),OR('CSV抽出'!$C$6="すべて",'CSV抽出'!$C$6="",D1580='CSV抽出'!$C$6),OR('CSV抽出'!$C$7="",B1580&amp;""='CSV抽出'!$C$7&amp;"")),1,0))</f>
        <v/>
      </c>
      <c r="AI1580" s="20">
        <f>IF(AH1580=1,SUM($AH$5:AH1580),"")</f>
        <v/>
      </c>
      <c r="AJ1580" s="20">
        <f>IF(OR(S1580="",'報告書'!$C$4=""),"",IF(S1580&amp;""='報告書'!$C$4&amp;"",COUNTIF($S$5:S1580,'報告書'!$C$4),""))</f>
        <v/>
      </c>
      <c r="AK1580" s="20" t="n"/>
      <c r="AL1580" s="47" t="n"/>
      <c r="AM1580" s="47" t="n"/>
      <c r="AN1580" s="53" t="n"/>
      <c r="AO1580" s="47" t="n"/>
      <c r="AP1580" s="47" t="n"/>
      <c r="AQ1580" s="47" t="n"/>
      <c r="AR1580" s="47" t="n"/>
      <c r="AS1580" s="47" t="n"/>
      <c r="AT1580" s="47" t="n"/>
      <c r="AU1580" s="47" t="n"/>
      <c r="AV1580" s="47" t="n"/>
      <c r="AW1580" s="52" t="n"/>
    </row>
    <row r="1581">
      <c r="A1581" s="48" t="n"/>
      <c r="B1581" s="52" t="n"/>
      <c r="C1581" s="47">
        <f>IF(B1581="","",IFERROR(INDEX('隊員マスタ'!$B$5:$B$204,MATCH(B1581&amp;"",'隊員マスタ'!$F$5:$F$204,0)),IF(AK1581="","番号なし",AK1581)))</f>
        <v/>
      </c>
      <c r="D1581" s="47" t="n"/>
      <c r="E1581" s="47" t="n"/>
      <c r="F1581" s="47" t="n"/>
      <c r="G1581" s="47" t="n"/>
      <c r="H1581" s="47" t="n"/>
      <c r="I1581" s="47" t="n"/>
      <c r="J1581" s="47" t="n"/>
      <c r="K1581" s="47" t="n"/>
      <c r="L1581" s="47" t="n"/>
      <c r="M1581" s="47" t="n"/>
      <c r="N1581" s="47" t="n"/>
      <c r="O1581" s="47" t="n"/>
      <c r="P1581" s="47" t="n"/>
      <c r="Q1581" s="47" t="n"/>
      <c r="R1581" s="47" t="n"/>
      <c r="S1581" s="47" t="n"/>
      <c r="T1581" s="47" t="n"/>
      <c r="U1581" s="53" t="n"/>
      <c r="V1581" s="53" t="n"/>
      <c r="W1581" s="47" t="n"/>
      <c r="X1581" s="47" t="n"/>
      <c r="Y1581" s="47" t="n"/>
      <c r="Z1581" s="47" t="n"/>
      <c r="AA1581" s="47" t="n"/>
      <c r="AB1581" s="47" t="n"/>
      <c r="AC1581" s="47" t="n"/>
      <c r="AD1581" s="47" t="n"/>
      <c r="AE1581" s="47" t="n"/>
      <c r="AF1581" s="20">
        <f>IF(A1581="","",YEAR(EDATE(A1581,-3)))</f>
        <v/>
      </c>
      <c r="AG1581" s="20">
        <f>IF(OR(B1581="",'経歴簿'!$C$4=""),"",IF(B1581&amp;""='経歴簿'!$C$4&amp;"",MAX($AG$4:AG1580)+1,""))</f>
        <v/>
      </c>
      <c r="AH1581" s="20">
        <f>IF(A1581="",0,IF(AND(OR('CSV抽出'!$C$4="",A1581&gt;='CSV抽出'!$C$4),OR('CSV抽出'!$C$5="",A1581&lt;='CSV抽出'!$C$5),OR('CSV抽出'!$C$6="すべて",'CSV抽出'!$C$6="",D1581='CSV抽出'!$C$6),OR('CSV抽出'!$C$7="",B1581&amp;""='CSV抽出'!$C$7&amp;"")),1,0))</f>
        <v/>
      </c>
      <c r="AI1581" s="20">
        <f>IF(AH1581=1,SUM($AH$5:AH1581),"")</f>
        <v/>
      </c>
      <c r="AJ1581" s="20">
        <f>IF(OR(S1581="",'報告書'!$C$4=""),"",IF(S1581&amp;""='報告書'!$C$4&amp;"",COUNTIF($S$5:S1581,'報告書'!$C$4),""))</f>
        <v/>
      </c>
      <c r="AK1581" s="20" t="n"/>
      <c r="AL1581" s="47" t="n"/>
      <c r="AM1581" s="47" t="n"/>
      <c r="AN1581" s="53" t="n"/>
      <c r="AO1581" s="47" t="n"/>
      <c r="AP1581" s="47" t="n"/>
      <c r="AQ1581" s="47" t="n"/>
      <c r="AR1581" s="47" t="n"/>
      <c r="AS1581" s="47" t="n"/>
      <c r="AT1581" s="47" t="n"/>
      <c r="AU1581" s="47" t="n"/>
      <c r="AV1581" s="47" t="n"/>
      <c r="AW1581" s="52" t="n"/>
    </row>
    <row r="1582">
      <c r="A1582" s="48" t="n"/>
      <c r="B1582" s="52" t="n"/>
      <c r="C1582" s="47">
        <f>IF(B1582="","",IFERROR(INDEX('隊員マスタ'!$B$5:$B$204,MATCH(B1582&amp;"",'隊員マスタ'!$F$5:$F$204,0)),IF(AK1582="","番号なし",AK1582)))</f>
        <v/>
      </c>
      <c r="D1582" s="47" t="n"/>
      <c r="E1582" s="47" t="n"/>
      <c r="F1582" s="47" t="n"/>
      <c r="G1582" s="47" t="n"/>
      <c r="H1582" s="47" t="n"/>
      <c r="I1582" s="47" t="n"/>
      <c r="J1582" s="47" t="n"/>
      <c r="K1582" s="47" t="n"/>
      <c r="L1582" s="47" t="n"/>
      <c r="M1582" s="47" t="n"/>
      <c r="N1582" s="47" t="n"/>
      <c r="O1582" s="47" t="n"/>
      <c r="P1582" s="47" t="n"/>
      <c r="Q1582" s="47" t="n"/>
      <c r="R1582" s="47" t="n"/>
      <c r="S1582" s="47" t="n"/>
      <c r="T1582" s="47" t="n"/>
      <c r="U1582" s="53" t="n"/>
      <c r="V1582" s="53" t="n"/>
      <c r="W1582" s="47" t="n"/>
      <c r="X1582" s="47" t="n"/>
      <c r="Y1582" s="47" t="n"/>
      <c r="Z1582" s="47" t="n"/>
      <c r="AA1582" s="47" t="n"/>
      <c r="AB1582" s="47" t="n"/>
      <c r="AC1582" s="47" t="n"/>
      <c r="AD1582" s="47" t="n"/>
      <c r="AE1582" s="47" t="n"/>
      <c r="AF1582" s="20">
        <f>IF(A1582="","",YEAR(EDATE(A1582,-3)))</f>
        <v/>
      </c>
      <c r="AG1582" s="20">
        <f>IF(OR(B1582="",'経歴簿'!$C$4=""),"",IF(B1582&amp;""='経歴簿'!$C$4&amp;"",MAX($AG$4:AG1581)+1,""))</f>
        <v/>
      </c>
      <c r="AH1582" s="20">
        <f>IF(A1582="",0,IF(AND(OR('CSV抽出'!$C$4="",A1582&gt;='CSV抽出'!$C$4),OR('CSV抽出'!$C$5="",A1582&lt;='CSV抽出'!$C$5),OR('CSV抽出'!$C$6="すべて",'CSV抽出'!$C$6="",D1582='CSV抽出'!$C$6),OR('CSV抽出'!$C$7="",B1582&amp;""='CSV抽出'!$C$7&amp;"")),1,0))</f>
        <v/>
      </c>
      <c r="AI1582" s="20">
        <f>IF(AH1582=1,SUM($AH$5:AH1582),"")</f>
        <v/>
      </c>
      <c r="AJ1582" s="20">
        <f>IF(OR(S1582="",'報告書'!$C$4=""),"",IF(S1582&amp;""='報告書'!$C$4&amp;"",COUNTIF($S$5:S1582,'報告書'!$C$4),""))</f>
        <v/>
      </c>
      <c r="AK1582" s="20" t="n"/>
      <c r="AL1582" s="47" t="n"/>
      <c r="AM1582" s="47" t="n"/>
      <c r="AN1582" s="53" t="n"/>
      <c r="AO1582" s="47" t="n"/>
      <c r="AP1582" s="47" t="n"/>
      <c r="AQ1582" s="47" t="n"/>
      <c r="AR1582" s="47" t="n"/>
      <c r="AS1582" s="47" t="n"/>
      <c r="AT1582" s="47" t="n"/>
      <c r="AU1582" s="47" t="n"/>
      <c r="AV1582" s="47" t="n"/>
      <c r="AW1582" s="52" t="n"/>
    </row>
    <row r="1583">
      <c r="A1583" s="48" t="n"/>
      <c r="B1583" s="52" t="n"/>
      <c r="C1583" s="47">
        <f>IF(B1583="","",IFERROR(INDEX('隊員マスタ'!$B$5:$B$204,MATCH(B1583&amp;"",'隊員マスタ'!$F$5:$F$204,0)),IF(AK1583="","番号なし",AK1583)))</f>
        <v/>
      </c>
      <c r="D1583" s="47" t="n"/>
      <c r="E1583" s="47" t="n"/>
      <c r="F1583" s="47" t="n"/>
      <c r="G1583" s="47" t="n"/>
      <c r="H1583" s="47" t="n"/>
      <c r="I1583" s="47" t="n"/>
      <c r="J1583" s="47" t="n"/>
      <c r="K1583" s="47" t="n"/>
      <c r="L1583" s="47" t="n"/>
      <c r="M1583" s="47" t="n"/>
      <c r="N1583" s="47" t="n"/>
      <c r="O1583" s="47" t="n"/>
      <c r="P1583" s="47" t="n"/>
      <c r="Q1583" s="47" t="n"/>
      <c r="R1583" s="47" t="n"/>
      <c r="S1583" s="47" t="n"/>
      <c r="T1583" s="47" t="n"/>
      <c r="U1583" s="53" t="n"/>
      <c r="V1583" s="53" t="n"/>
      <c r="W1583" s="47" t="n"/>
      <c r="X1583" s="47" t="n"/>
      <c r="Y1583" s="47" t="n"/>
      <c r="Z1583" s="47" t="n"/>
      <c r="AA1583" s="47" t="n"/>
      <c r="AB1583" s="47" t="n"/>
      <c r="AC1583" s="47" t="n"/>
      <c r="AD1583" s="47" t="n"/>
      <c r="AE1583" s="47" t="n"/>
      <c r="AF1583" s="20">
        <f>IF(A1583="","",YEAR(EDATE(A1583,-3)))</f>
        <v/>
      </c>
      <c r="AG1583" s="20">
        <f>IF(OR(B1583="",'経歴簿'!$C$4=""),"",IF(B1583&amp;""='経歴簿'!$C$4&amp;"",MAX($AG$4:AG1582)+1,""))</f>
        <v/>
      </c>
      <c r="AH1583" s="20">
        <f>IF(A1583="",0,IF(AND(OR('CSV抽出'!$C$4="",A1583&gt;='CSV抽出'!$C$4),OR('CSV抽出'!$C$5="",A1583&lt;='CSV抽出'!$C$5),OR('CSV抽出'!$C$6="すべて",'CSV抽出'!$C$6="",D1583='CSV抽出'!$C$6),OR('CSV抽出'!$C$7="",B1583&amp;""='CSV抽出'!$C$7&amp;"")),1,0))</f>
        <v/>
      </c>
      <c r="AI1583" s="20">
        <f>IF(AH1583=1,SUM($AH$5:AH1583),"")</f>
        <v/>
      </c>
      <c r="AJ1583" s="20">
        <f>IF(OR(S1583="",'報告書'!$C$4=""),"",IF(S1583&amp;""='報告書'!$C$4&amp;"",COUNTIF($S$5:S1583,'報告書'!$C$4),""))</f>
        <v/>
      </c>
      <c r="AK1583" s="20" t="n"/>
      <c r="AL1583" s="47" t="n"/>
      <c r="AM1583" s="47" t="n"/>
      <c r="AN1583" s="53" t="n"/>
      <c r="AO1583" s="47" t="n"/>
      <c r="AP1583" s="47" t="n"/>
      <c r="AQ1583" s="47" t="n"/>
      <c r="AR1583" s="47" t="n"/>
      <c r="AS1583" s="47" t="n"/>
      <c r="AT1583" s="47" t="n"/>
      <c r="AU1583" s="47" t="n"/>
      <c r="AV1583" s="47" t="n"/>
      <c r="AW1583" s="52" t="n"/>
    </row>
    <row r="1584">
      <c r="A1584" s="48" t="n"/>
      <c r="B1584" s="52" t="n"/>
      <c r="C1584" s="47">
        <f>IF(B1584="","",IFERROR(INDEX('隊員マスタ'!$B$5:$B$204,MATCH(B1584&amp;"",'隊員マスタ'!$F$5:$F$204,0)),IF(AK1584="","番号なし",AK1584)))</f>
        <v/>
      </c>
      <c r="D1584" s="47" t="n"/>
      <c r="E1584" s="47" t="n"/>
      <c r="F1584" s="47" t="n"/>
      <c r="G1584" s="47" t="n"/>
      <c r="H1584" s="47" t="n"/>
      <c r="I1584" s="47" t="n"/>
      <c r="J1584" s="47" t="n"/>
      <c r="K1584" s="47" t="n"/>
      <c r="L1584" s="47" t="n"/>
      <c r="M1584" s="47" t="n"/>
      <c r="N1584" s="47" t="n"/>
      <c r="O1584" s="47" t="n"/>
      <c r="P1584" s="47" t="n"/>
      <c r="Q1584" s="47" t="n"/>
      <c r="R1584" s="47" t="n"/>
      <c r="S1584" s="47" t="n"/>
      <c r="T1584" s="47" t="n"/>
      <c r="U1584" s="53" t="n"/>
      <c r="V1584" s="53" t="n"/>
      <c r="W1584" s="47" t="n"/>
      <c r="X1584" s="47" t="n"/>
      <c r="Y1584" s="47" t="n"/>
      <c r="Z1584" s="47" t="n"/>
      <c r="AA1584" s="47" t="n"/>
      <c r="AB1584" s="47" t="n"/>
      <c r="AC1584" s="47" t="n"/>
      <c r="AD1584" s="47" t="n"/>
      <c r="AE1584" s="47" t="n"/>
      <c r="AF1584" s="20">
        <f>IF(A1584="","",YEAR(EDATE(A1584,-3)))</f>
        <v/>
      </c>
      <c r="AG1584" s="20">
        <f>IF(OR(B1584="",'経歴簿'!$C$4=""),"",IF(B1584&amp;""='経歴簿'!$C$4&amp;"",MAX($AG$4:AG1583)+1,""))</f>
        <v/>
      </c>
      <c r="AH1584" s="20">
        <f>IF(A1584="",0,IF(AND(OR('CSV抽出'!$C$4="",A1584&gt;='CSV抽出'!$C$4),OR('CSV抽出'!$C$5="",A1584&lt;='CSV抽出'!$C$5),OR('CSV抽出'!$C$6="すべて",'CSV抽出'!$C$6="",D1584='CSV抽出'!$C$6),OR('CSV抽出'!$C$7="",B1584&amp;""='CSV抽出'!$C$7&amp;"")),1,0))</f>
        <v/>
      </c>
      <c r="AI1584" s="20">
        <f>IF(AH1584=1,SUM($AH$5:AH1584),"")</f>
        <v/>
      </c>
      <c r="AJ1584" s="20">
        <f>IF(OR(S1584="",'報告書'!$C$4=""),"",IF(S1584&amp;""='報告書'!$C$4&amp;"",COUNTIF($S$5:S1584,'報告書'!$C$4),""))</f>
        <v/>
      </c>
      <c r="AK1584" s="20" t="n"/>
      <c r="AL1584" s="47" t="n"/>
      <c r="AM1584" s="47" t="n"/>
      <c r="AN1584" s="53" t="n"/>
      <c r="AO1584" s="47" t="n"/>
      <c r="AP1584" s="47" t="n"/>
      <c r="AQ1584" s="47" t="n"/>
      <c r="AR1584" s="47" t="n"/>
      <c r="AS1584" s="47" t="n"/>
      <c r="AT1584" s="47" t="n"/>
      <c r="AU1584" s="47" t="n"/>
      <c r="AV1584" s="47" t="n"/>
      <c r="AW1584" s="52" t="n"/>
    </row>
    <row r="1585">
      <c r="A1585" s="48" t="n"/>
      <c r="B1585" s="52" t="n"/>
      <c r="C1585" s="47">
        <f>IF(B1585="","",IFERROR(INDEX('隊員マスタ'!$B$5:$B$204,MATCH(B1585&amp;"",'隊員マスタ'!$F$5:$F$204,0)),IF(AK1585="","番号なし",AK1585)))</f>
        <v/>
      </c>
      <c r="D1585" s="47" t="n"/>
      <c r="E1585" s="47" t="n"/>
      <c r="F1585" s="47" t="n"/>
      <c r="G1585" s="47" t="n"/>
      <c r="H1585" s="47" t="n"/>
      <c r="I1585" s="47" t="n"/>
      <c r="J1585" s="47" t="n"/>
      <c r="K1585" s="47" t="n"/>
      <c r="L1585" s="47" t="n"/>
      <c r="M1585" s="47" t="n"/>
      <c r="N1585" s="47" t="n"/>
      <c r="O1585" s="47" t="n"/>
      <c r="P1585" s="47" t="n"/>
      <c r="Q1585" s="47" t="n"/>
      <c r="R1585" s="47" t="n"/>
      <c r="S1585" s="47" t="n"/>
      <c r="T1585" s="47" t="n"/>
      <c r="U1585" s="53" t="n"/>
      <c r="V1585" s="53" t="n"/>
      <c r="W1585" s="47" t="n"/>
      <c r="X1585" s="47" t="n"/>
      <c r="Y1585" s="47" t="n"/>
      <c r="Z1585" s="47" t="n"/>
      <c r="AA1585" s="47" t="n"/>
      <c r="AB1585" s="47" t="n"/>
      <c r="AC1585" s="47" t="n"/>
      <c r="AD1585" s="47" t="n"/>
      <c r="AE1585" s="47" t="n"/>
      <c r="AF1585" s="20">
        <f>IF(A1585="","",YEAR(EDATE(A1585,-3)))</f>
        <v/>
      </c>
      <c r="AG1585" s="20">
        <f>IF(OR(B1585="",'経歴簿'!$C$4=""),"",IF(B1585&amp;""='経歴簿'!$C$4&amp;"",MAX($AG$4:AG1584)+1,""))</f>
        <v/>
      </c>
      <c r="AH1585" s="20">
        <f>IF(A1585="",0,IF(AND(OR('CSV抽出'!$C$4="",A1585&gt;='CSV抽出'!$C$4),OR('CSV抽出'!$C$5="",A1585&lt;='CSV抽出'!$C$5),OR('CSV抽出'!$C$6="すべて",'CSV抽出'!$C$6="",D1585='CSV抽出'!$C$6),OR('CSV抽出'!$C$7="",B1585&amp;""='CSV抽出'!$C$7&amp;"")),1,0))</f>
        <v/>
      </c>
      <c r="AI1585" s="20">
        <f>IF(AH1585=1,SUM($AH$5:AH1585),"")</f>
        <v/>
      </c>
      <c r="AJ1585" s="20">
        <f>IF(OR(S1585="",'報告書'!$C$4=""),"",IF(S1585&amp;""='報告書'!$C$4&amp;"",COUNTIF($S$5:S1585,'報告書'!$C$4),""))</f>
        <v/>
      </c>
      <c r="AK1585" s="20" t="n"/>
      <c r="AL1585" s="47" t="n"/>
      <c r="AM1585" s="47" t="n"/>
      <c r="AN1585" s="53" t="n"/>
      <c r="AO1585" s="47" t="n"/>
      <c r="AP1585" s="47" t="n"/>
      <c r="AQ1585" s="47" t="n"/>
      <c r="AR1585" s="47" t="n"/>
      <c r="AS1585" s="47" t="n"/>
      <c r="AT1585" s="47" t="n"/>
      <c r="AU1585" s="47" t="n"/>
      <c r="AV1585" s="47" t="n"/>
      <c r="AW1585" s="52" t="n"/>
    </row>
    <row r="1586">
      <c r="A1586" s="48" t="n"/>
      <c r="B1586" s="52" t="n"/>
      <c r="C1586" s="47">
        <f>IF(B1586="","",IFERROR(INDEX('隊員マスタ'!$B$5:$B$204,MATCH(B1586&amp;"",'隊員マスタ'!$F$5:$F$204,0)),IF(AK1586="","番号なし",AK1586)))</f>
        <v/>
      </c>
      <c r="D1586" s="47" t="n"/>
      <c r="E1586" s="47" t="n"/>
      <c r="F1586" s="47" t="n"/>
      <c r="G1586" s="47" t="n"/>
      <c r="H1586" s="47" t="n"/>
      <c r="I1586" s="47" t="n"/>
      <c r="J1586" s="47" t="n"/>
      <c r="K1586" s="47" t="n"/>
      <c r="L1586" s="47" t="n"/>
      <c r="M1586" s="47" t="n"/>
      <c r="N1586" s="47" t="n"/>
      <c r="O1586" s="47" t="n"/>
      <c r="P1586" s="47" t="n"/>
      <c r="Q1586" s="47" t="n"/>
      <c r="R1586" s="47" t="n"/>
      <c r="S1586" s="47" t="n"/>
      <c r="T1586" s="47" t="n"/>
      <c r="U1586" s="53" t="n"/>
      <c r="V1586" s="53" t="n"/>
      <c r="W1586" s="47" t="n"/>
      <c r="X1586" s="47" t="n"/>
      <c r="Y1586" s="47" t="n"/>
      <c r="Z1586" s="47" t="n"/>
      <c r="AA1586" s="47" t="n"/>
      <c r="AB1586" s="47" t="n"/>
      <c r="AC1586" s="47" t="n"/>
      <c r="AD1586" s="47" t="n"/>
      <c r="AE1586" s="47" t="n"/>
      <c r="AF1586" s="20">
        <f>IF(A1586="","",YEAR(EDATE(A1586,-3)))</f>
        <v/>
      </c>
      <c r="AG1586" s="20">
        <f>IF(OR(B1586="",'経歴簿'!$C$4=""),"",IF(B1586&amp;""='経歴簿'!$C$4&amp;"",MAX($AG$4:AG1585)+1,""))</f>
        <v/>
      </c>
      <c r="AH1586" s="20">
        <f>IF(A1586="",0,IF(AND(OR('CSV抽出'!$C$4="",A1586&gt;='CSV抽出'!$C$4),OR('CSV抽出'!$C$5="",A1586&lt;='CSV抽出'!$C$5),OR('CSV抽出'!$C$6="すべて",'CSV抽出'!$C$6="",D1586='CSV抽出'!$C$6),OR('CSV抽出'!$C$7="",B1586&amp;""='CSV抽出'!$C$7&amp;"")),1,0))</f>
        <v/>
      </c>
      <c r="AI1586" s="20">
        <f>IF(AH1586=1,SUM($AH$5:AH1586),"")</f>
        <v/>
      </c>
      <c r="AJ1586" s="20">
        <f>IF(OR(S1586="",'報告書'!$C$4=""),"",IF(S1586&amp;""='報告書'!$C$4&amp;"",COUNTIF($S$5:S1586,'報告書'!$C$4),""))</f>
        <v/>
      </c>
      <c r="AK1586" s="20" t="n"/>
      <c r="AL1586" s="47" t="n"/>
      <c r="AM1586" s="47" t="n"/>
      <c r="AN1586" s="53" t="n"/>
      <c r="AO1586" s="47" t="n"/>
      <c r="AP1586" s="47" t="n"/>
      <c r="AQ1586" s="47" t="n"/>
      <c r="AR1586" s="47" t="n"/>
      <c r="AS1586" s="47" t="n"/>
      <c r="AT1586" s="47" t="n"/>
      <c r="AU1586" s="47" t="n"/>
      <c r="AV1586" s="47" t="n"/>
      <c r="AW1586" s="52" t="n"/>
    </row>
    <row r="1587">
      <c r="A1587" s="48" t="n"/>
      <c r="B1587" s="52" t="n"/>
      <c r="C1587" s="47">
        <f>IF(B1587="","",IFERROR(INDEX('隊員マスタ'!$B$5:$B$204,MATCH(B1587&amp;"",'隊員マスタ'!$F$5:$F$204,0)),IF(AK1587="","番号なし",AK1587)))</f>
        <v/>
      </c>
      <c r="D1587" s="47" t="n"/>
      <c r="E1587" s="47" t="n"/>
      <c r="F1587" s="47" t="n"/>
      <c r="G1587" s="47" t="n"/>
      <c r="H1587" s="47" t="n"/>
      <c r="I1587" s="47" t="n"/>
      <c r="J1587" s="47" t="n"/>
      <c r="K1587" s="47" t="n"/>
      <c r="L1587" s="47" t="n"/>
      <c r="M1587" s="47" t="n"/>
      <c r="N1587" s="47" t="n"/>
      <c r="O1587" s="47" t="n"/>
      <c r="P1587" s="47" t="n"/>
      <c r="Q1587" s="47" t="n"/>
      <c r="R1587" s="47" t="n"/>
      <c r="S1587" s="47" t="n"/>
      <c r="T1587" s="47" t="n"/>
      <c r="U1587" s="53" t="n"/>
      <c r="V1587" s="53" t="n"/>
      <c r="W1587" s="47" t="n"/>
      <c r="X1587" s="47" t="n"/>
      <c r="Y1587" s="47" t="n"/>
      <c r="Z1587" s="47" t="n"/>
      <c r="AA1587" s="47" t="n"/>
      <c r="AB1587" s="47" t="n"/>
      <c r="AC1587" s="47" t="n"/>
      <c r="AD1587" s="47" t="n"/>
      <c r="AE1587" s="47" t="n"/>
      <c r="AF1587" s="20">
        <f>IF(A1587="","",YEAR(EDATE(A1587,-3)))</f>
        <v/>
      </c>
      <c r="AG1587" s="20">
        <f>IF(OR(B1587="",'経歴簿'!$C$4=""),"",IF(B1587&amp;""='経歴簿'!$C$4&amp;"",MAX($AG$4:AG1586)+1,""))</f>
        <v/>
      </c>
      <c r="AH1587" s="20">
        <f>IF(A1587="",0,IF(AND(OR('CSV抽出'!$C$4="",A1587&gt;='CSV抽出'!$C$4),OR('CSV抽出'!$C$5="",A1587&lt;='CSV抽出'!$C$5),OR('CSV抽出'!$C$6="すべて",'CSV抽出'!$C$6="",D1587='CSV抽出'!$C$6),OR('CSV抽出'!$C$7="",B1587&amp;""='CSV抽出'!$C$7&amp;"")),1,0))</f>
        <v/>
      </c>
      <c r="AI1587" s="20">
        <f>IF(AH1587=1,SUM($AH$5:AH1587),"")</f>
        <v/>
      </c>
      <c r="AJ1587" s="20">
        <f>IF(OR(S1587="",'報告書'!$C$4=""),"",IF(S1587&amp;""='報告書'!$C$4&amp;"",COUNTIF($S$5:S1587,'報告書'!$C$4),""))</f>
        <v/>
      </c>
      <c r="AK1587" s="20" t="n"/>
      <c r="AL1587" s="47" t="n"/>
      <c r="AM1587" s="47" t="n"/>
      <c r="AN1587" s="53" t="n"/>
      <c r="AO1587" s="47" t="n"/>
      <c r="AP1587" s="47" t="n"/>
      <c r="AQ1587" s="47" t="n"/>
      <c r="AR1587" s="47" t="n"/>
      <c r="AS1587" s="47" t="n"/>
      <c r="AT1587" s="47" t="n"/>
      <c r="AU1587" s="47" t="n"/>
      <c r="AV1587" s="47" t="n"/>
      <c r="AW1587" s="52" t="n"/>
    </row>
    <row r="1588">
      <c r="A1588" s="48" t="n"/>
      <c r="B1588" s="52" t="n"/>
      <c r="C1588" s="47">
        <f>IF(B1588="","",IFERROR(INDEX('隊員マスタ'!$B$5:$B$204,MATCH(B1588&amp;"",'隊員マスタ'!$F$5:$F$204,0)),IF(AK1588="","番号なし",AK1588)))</f>
        <v/>
      </c>
      <c r="D1588" s="47" t="n"/>
      <c r="E1588" s="47" t="n"/>
      <c r="F1588" s="47" t="n"/>
      <c r="G1588" s="47" t="n"/>
      <c r="H1588" s="47" t="n"/>
      <c r="I1588" s="47" t="n"/>
      <c r="J1588" s="47" t="n"/>
      <c r="K1588" s="47" t="n"/>
      <c r="L1588" s="47" t="n"/>
      <c r="M1588" s="47" t="n"/>
      <c r="N1588" s="47" t="n"/>
      <c r="O1588" s="47" t="n"/>
      <c r="P1588" s="47" t="n"/>
      <c r="Q1588" s="47" t="n"/>
      <c r="R1588" s="47" t="n"/>
      <c r="S1588" s="47" t="n"/>
      <c r="T1588" s="47" t="n"/>
      <c r="U1588" s="53" t="n"/>
      <c r="V1588" s="53" t="n"/>
      <c r="W1588" s="47" t="n"/>
      <c r="X1588" s="47" t="n"/>
      <c r="Y1588" s="47" t="n"/>
      <c r="Z1588" s="47" t="n"/>
      <c r="AA1588" s="47" t="n"/>
      <c r="AB1588" s="47" t="n"/>
      <c r="AC1588" s="47" t="n"/>
      <c r="AD1588" s="47" t="n"/>
      <c r="AE1588" s="47" t="n"/>
      <c r="AF1588" s="20">
        <f>IF(A1588="","",YEAR(EDATE(A1588,-3)))</f>
        <v/>
      </c>
      <c r="AG1588" s="20">
        <f>IF(OR(B1588="",'経歴簿'!$C$4=""),"",IF(B1588&amp;""='経歴簿'!$C$4&amp;"",MAX($AG$4:AG1587)+1,""))</f>
        <v/>
      </c>
      <c r="AH1588" s="20">
        <f>IF(A1588="",0,IF(AND(OR('CSV抽出'!$C$4="",A1588&gt;='CSV抽出'!$C$4),OR('CSV抽出'!$C$5="",A1588&lt;='CSV抽出'!$C$5),OR('CSV抽出'!$C$6="すべて",'CSV抽出'!$C$6="",D1588='CSV抽出'!$C$6),OR('CSV抽出'!$C$7="",B1588&amp;""='CSV抽出'!$C$7&amp;"")),1,0))</f>
        <v/>
      </c>
      <c r="AI1588" s="20">
        <f>IF(AH1588=1,SUM($AH$5:AH1588),"")</f>
        <v/>
      </c>
      <c r="AJ1588" s="20">
        <f>IF(OR(S1588="",'報告書'!$C$4=""),"",IF(S1588&amp;""='報告書'!$C$4&amp;"",COUNTIF($S$5:S1588,'報告書'!$C$4),""))</f>
        <v/>
      </c>
      <c r="AK1588" s="20" t="n"/>
      <c r="AL1588" s="47" t="n"/>
      <c r="AM1588" s="47" t="n"/>
      <c r="AN1588" s="53" t="n"/>
      <c r="AO1588" s="47" t="n"/>
      <c r="AP1588" s="47" t="n"/>
      <c r="AQ1588" s="47" t="n"/>
      <c r="AR1588" s="47" t="n"/>
      <c r="AS1588" s="47" t="n"/>
      <c r="AT1588" s="47" t="n"/>
      <c r="AU1588" s="47" t="n"/>
      <c r="AV1588" s="47" t="n"/>
      <c r="AW1588" s="52" t="n"/>
    </row>
    <row r="1589">
      <c r="A1589" s="48" t="n"/>
      <c r="B1589" s="52" t="n"/>
      <c r="C1589" s="47">
        <f>IF(B1589="","",IFERROR(INDEX('隊員マスタ'!$B$5:$B$204,MATCH(B1589&amp;"",'隊員マスタ'!$F$5:$F$204,0)),IF(AK1589="","番号なし",AK1589)))</f>
        <v/>
      </c>
      <c r="D1589" s="47" t="n"/>
      <c r="E1589" s="47" t="n"/>
      <c r="F1589" s="47" t="n"/>
      <c r="G1589" s="47" t="n"/>
      <c r="H1589" s="47" t="n"/>
      <c r="I1589" s="47" t="n"/>
      <c r="J1589" s="47" t="n"/>
      <c r="K1589" s="47" t="n"/>
      <c r="L1589" s="47" t="n"/>
      <c r="M1589" s="47" t="n"/>
      <c r="N1589" s="47" t="n"/>
      <c r="O1589" s="47" t="n"/>
      <c r="P1589" s="47" t="n"/>
      <c r="Q1589" s="47" t="n"/>
      <c r="R1589" s="47" t="n"/>
      <c r="S1589" s="47" t="n"/>
      <c r="T1589" s="47" t="n"/>
      <c r="U1589" s="53" t="n"/>
      <c r="V1589" s="53" t="n"/>
      <c r="W1589" s="47" t="n"/>
      <c r="X1589" s="47" t="n"/>
      <c r="Y1589" s="47" t="n"/>
      <c r="Z1589" s="47" t="n"/>
      <c r="AA1589" s="47" t="n"/>
      <c r="AB1589" s="47" t="n"/>
      <c r="AC1589" s="47" t="n"/>
      <c r="AD1589" s="47" t="n"/>
      <c r="AE1589" s="47" t="n"/>
      <c r="AF1589" s="20">
        <f>IF(A1589="","",YEAR(EDATE(A1589,-3)))</f>
        <v/>
      </c>
      <c r="AG1589" s="20">
        <f>IF(OR(B1589="",'経歴簿'!$C$4=""),"",IF(B1589&amp;""='経歴簿'!$C$4&amp;"",MAX($AG$4:AG1588)+1,""))</f>
        <v/>
      </c>
      <c r="AH1589" s="20">
        <f>IF(A1589="",0,IF(AND(OR('CSV抽出'!$C$4="",A1589&gt;='CSV抽出'!$C$4),OR('CSV抽出'!$C$5="",A1589&lt;='CSV抽出'!$C$5),OR('CSV抽出'!$C$6="すべて",'CSV抽出'!$C$6="",D1589='CSV抽出'!$C$6),OR('CSV抽出'!$C$7="",B1589&amp;""='CSV抽出'!$C$7&amp;"")),1,0))</f>
        <v/>
      </c>
      <c r="AI1589" s="20">
        <f>IF(AH1589=1,SUM($AH$5:AH1589),"")</f>
        <v/>
      </c>
      <c r="AJ1589" s="20">
        <f>IF(OR(S1589="",'報告書'!$C$4=""),"",IF(S1589&amp;""='報告書'!$C$4&amp;"",COUNTIF($S$5:S1589,'報告書'!$C$4),""))</f>
        <v/>
      </c>
      <c r="AK1589" s="20" t="n"/>
      <c r="AL1589" s="47" t="n"/>
      <c r="AM1589" s="47" t="n"/>
      <c r="AN1589" s="53" t="n"/>
      <c r="AO1589" s="47" t="n"/>
      <c r="AP1589" s="47" t="n"/>
      <c r="AQ1589" s="47" t="n"/>
      <c r="AR1589" s="47" t="n"/>
      <c r="AS1589" s="47" t="n"/>
      <c r="AT1589" s="47" t="n"/>
      <c r="AU1589" s="47" t="n"/>
      <c r="AV1589" s="47" t="n"/>
      <c r="AW1589" s="52" t="n"/>
    </row>
    <row r="1590">
      <c r="A1590" s="48" t="n"/>
      <c r="B1590" s="52" t="n"/>
      <c r="C1590" s="47">
        <f>IF(B1590="","",IFERROR(INDEX('隊員マスタ'!$B$5:$B$204,MATCH(B1590&amp;"",'隊員マスタ'!$F$5:$F$204,0)),IF(AK1590="","番号なし",AK1590)))</f>
        <v/>
      </c>
      <c r="D1590" s="47" t="n"/>
      <c r="E1590" s="47" t="n"/>
      <c r="F1590" s="47" t="n"/>
      <c r="G1590" s="47" t="n"/>
      <c r="H1590" s="47" t="n"/>
      <c r="I1590" s="47" t="n"/>
      <c r="J1590" s="47" t="n"/>
      <c r="K1590" s="47" t="n"/>
      <c r="L1590" s="47" t="n"/>
      <c r="M1590" s="47" t="n"/>
      <c r="N1590" s="47" t="n"/>
      <c r="O1590" s="47" t="n"/>
      <c r="P1590" s="47" t="n"/>
      <c r="Q1590" s="47" t="n"/>
      <c r="R1590" s="47" t="n"/>
      <c r="S1590" s="47" t="n"/>
      <c r="T1590" s="47" t="n"/>
      <c r="U1590" s="53" t="n"/>
      <c r="V1590" s="53" t="n"/>
      <c r="W1590" s="47" t="n"/>
      <c r="X1590" s="47" t="n"/>
      <c r="Y1590" s="47" t="n"/>
      <c r="Z1590" s="47" t="n"/>
      <c r="AA1590" s="47" t="n"/>
      <c r="AB1590" s="47" t="n"/>
      <c r="AC1590" s="47" t="n"/>
      <c r="AD1590" s="47" t="n"/>
      <c r="AE1590" s="47" t="n"/>
      <c r="AF1590" s="20">
        <f>IF(A1590="","",YEAR(EDATE(A1590,-3)))</f>
        <v/>
      </c>
      <c r="AG1590" s="20">
        <f>IF(OR(B1590="",'経歴簿'!$C$4=""),"",IF(B1590&amp;""='経歴簿'!$C$4&amp;"",MAX($AG$4:AG1589)+1,""))</f>
        <v/>
      </c>
      <c r="AH1590" s="20">
        <f>IF(A1590="",0,IF(AND(OR('CSV抽出'!$C$4="",A1590&gt;='CSV抽出'!$C$4),OR('CSV抽出'!$C$5="",A1590&lt;='CSV抽出'!$C$5),OR('CSV抽出'!$C$6="すべて",'CSV抽出'!$C$6="",D1590='CSV抽出'!$C$6),OR('CSV抽出'!$C$7="",B1590&amp;""='CSV抽出'!$C$7&amp;"")),1,0))</f>
        <v/>
      </c>
      <c r="AI1590" s="20">
        <f>IF(AH1590=1,SUM($AH$5:AH1590),"")</f>
        <v/>
      </c>
      <c r="AJ1590" s="20">
        <f>IF(OR(S1590="",'報告書'!$C$4=""),"",IF(S1590&amp;""='報告書'!$C$4&amp;"",COUNTIF($S$5:S1590,'報告書'!$C$4),""))</f>
        <v/>
      </c>
      <c r="AK1590" s="20" t="n"/>
      <c r="AL1590" s="47" t="n"/>
      <c r="AM1590" s="47" t="n"/>
      <c r="AN1590" s="53" t="n"/>
      <c r="AO1590" s="47" t="n"/>
      <c r="AP1590" s="47" t="n"/>
      <c r="AQ1590" s="47" t="n"/>
      <c r="AR1590" s="47" t="n"/>
      <c r="AS1590" s="47" t="n"/>
      <c r="AT1590" s="47" t="n"/>
      <c r="AU1590" s="47" t="n"/>
      <c r="AV1590" s="47" t="n"/>
      <c r="AW1590" s="52" t="n"/>
    </row>
    <row r="1591">
      <c r="A1591" s="48" t="n"/>
      <c r="B1591" s="52" t="n"/>
      <c r="C1591" s="47">
        <f>IF(B1591="","",IFERROR(INDEX('隊員マスタ'!$B$5:$B$204,MATCH(B1591&amp;"",'隊員マスタ'!$F$5:$F$204,0)),IF(AK1591="","番号なし",AK1591)))</f>
        <v/>
      </c>
      <c r="D1591" s="47" t="n"/>
      <c r="E1591" s="47" t="n"/>
      <c r="F1591" s="47" t="n"/>
      <c r="G1591" s="47" t="n"/>
      <c r="H1591" s="47" t="n"/>
      <c r="I1591" s="47" t="n"/>
      <c r="J1591" s="47" t="n"/>
      <c r="K1591" s="47" t="n"/>
      <c r="L1591" s="47" t="n"/>
      <c r="M1591" s="47" t="n"/>
      <c r="N1591" s="47" t="n"/>
      <c r="O1591" s="47" t="n"/>
      <c r="P1591" s="47" t="n"/>
      <c r="Q1591" s="47" t="n"/>
      <c r="R1591" s="47" t="n"/>
      <c r="S1591" s="47" t="n"/>
      <c r="T1591" s="47" t="n"/>
      <c r="U1591" s="53" t="n"/>
      <c r="V1591" s="53" t="n"/>
      <c r="W1591" s="47" t="n"/>
      <c r="X1591" s="47" t="n"/>
      <c r="Y1591" s="47" t="n"/>
      <c r="Z1591" s="47" t="n"/>
      <c r="AA1591" s="47" t="n"/>
      <c r="AB1591" s="47" t="n"/>
      <c r="AC1591" s="47" t="n"/>
      <c r="AD1591" s="47" t="n"/>
      <c r="AE1591" s="47" t="n"/>
      <c r="AF1591" s="20">
        <f>IF(A1591="","",YEAR(EDATE(A1591,-3)))</f>
        <v/>
      </c>
      <c r="AG1591" s="20">
        <f>IF(OR(B1591="",'経歴簿'!$C$4=""),"",IF(B1591&amp;""='経歴簿'!$C$4&amp;"",MAX($AG$4:AG1590)+1,""))</f>
        <v/>
      </c>
      <c r="AH1591" s="20">
        <f>IF(A1591="",0,IF(AND(OR('CSV抽出'!$C$4="",A1591&gt;='CSV抽出'!$C$4),OR('CSV抽出'!$C$5="",A1591&lt;='CSV抽出'!$C$5),OR('CSV抽出'!$C$6="すべて",'CSV抽出'!$C$6="",D1591='CSV抽出'!$C$6),OR('CSV抽出'!$C$7="",B1591&amp;""='CSV抽出'!$C$7&amp;"")),1,0))</f>
        <v/>
      </c>
      <c r="AI1591" s="20">
        <f>IF(AH1591=1,SUM($AH$5:AH1591),"")</f>
        <v/>
      </c>
      <c r="AJ1591" s="20">
        <f>IF(OR(S1591="",'報告書'!$C$4=""),"",IF(S1591&amp;""='報告書'!$C$4&amp;"",COUNTIF($S$5:S1591,'報告書'!$C$4),""))</f>
        <v/>
      </c>
      <c r="AK1591" s="20" t="n"/>
      <c r="AL1591" s="47" t="n"/>
      <c r="AM1591" s="47" t="n"/>
      <c r="AN1591" s="53" t="n"/>
      <c r="AO1591" s="47" t="n"/>
      <c r="AP1591" s="47" t="n"/>
      <c r="AQ1591" s="47" t="n"/>
      <c r="AR1591" s="47" t="n"/>
      <c r="AS1591" s="47" t="n"/>
      <c r="AT1591" s="47" t="n"/>
      <c r="AU1591" s="47" t="n"/>
      <c r="AV1591" s="47" t="n"/>
      <c r="AW1591" s="52" t="n"/>
    </row>
    <row r="1592">
      <c r="A1592" s="48" t="n"/>
      <c r="B1592" s="52" t="n"/>
      <c r="C1592" s="47">
        <f>IF(B1592="","",IFERROR(INDEX('隊員マスタ'!$B$5:$B$204,MATCH(B1592&amp;"",'隊員マスタ'!$F$5:$F$204,0)),IF(AK1592="","番号なし",AK1592)))</f>
        <v/>
      </c>
      <c r="D1592" s="47" t="n"/>
      <c r="E1592" s="47" t="n"/>
      <c r="F1592" s="47" t="n"/>
      <c r="G1592" s="47" t="n"/>
      <c r="H1592" s="47" t="n"/>
      <c r="I1592" s="47" t="n"/>
      <c r="J1592" s="47" t="n"/>
      <c r="K1592" s="47" t="n"/>
      <c r="L1592" s="47" t="n"/>
      <c r="M1592" s="47" t="n"/>
      <c r="N1592" s="47" t="n"/>
      <c r="O1592" s="47" t="n"/>
      <c r="P1592" s="47" t="n"/>
      <c r="Q1592" s="47" t="n"/>
      <c r="R1592" s="47" t="n"/>
      <c r="S1592" s="47" t="n"/>
      <c r="T1592" s="47" t="n"/>
      <c r="U1592" s="53" t="n"/>
      <c r="V1592" s="53" t="n"/>
      <c r="W1592" s="47" t="n"/>
      <c r="X1592" s="47" t="n"/>
      <c r="Y1592" s="47" t="n"/>
      <c r="Z1592" s="47" t="n"/>
      <c r="AA1592" s="47" t="n"/>
      <c r="AB1592" s="47" t="n"/>
      <c r="AC1592" s="47" t="n"/>
      <c r="AD1592" s="47" t="n"/>
      <c r="AE1592" s="47" t="n"/>
      <c r="AF1592" s="20">
        <f>IF(A1592="","",YEAR(EDATE(A1592,-3)))</f>
        <v/>
      </c>
      <c r="AG1592" s="20">
        <f>IF(OR(B1592="",'経歴簿'!$C$4=""),"",IF(B1592&amp;""='経歴簿'!$C$4&amp;"",MAX($AG$4:AG1591)+1,""))</f>
        <v/>
      </c>
      <c r="AH1592" s="20">
        <f>IF(A1592="",0,IF(AND(OR('CSV抽出'!$C$4="",A1592&gt;='CSV抽出'!$C$4),OR('CSV抽出'!$C$5="",A1592&lt;='CSV抽出'!$C$5),OR('CSV抽出'!$C$6="すべて",'CSV抽出'!$C$6="",D1592='CSV抽出'!$C$6),OR('CSV抽出'!$C$7="",B1592&amp;""='CSV抽出'!$C$7&amp;"")),1,0))</f>
        <v/>
      </c>
      <c r="AI1592" s="20">
        <f>IF(AH1592=1,SUM($AH$5:AH1592),"")</f>
        <v/>
      </c>
      <c r="AJ1592" s="20">
        <f>IF(OR(S1592="",'報告書'!$C$4=""),"",IF(S1592&amp;""='報告書'!$C$4&amp;"",COUNTIF($S$5:S1592,'報告書'!$C$4),""))</f>
        <v/>
      </c>
      <c r="AK1592" s="20" t="n"/>
      <c r="AL1592" s="47" t="n"/>
      <c r="AM1592" s="47" t="n"/>
      <c r="AN1592" s="53" t="n"/>
      <c r="AO1592" s="47" t="n"/>
      <c r="AP1592" s="47" t="n"/>
      <c r="AQ1592" s="47" t="n"/>
      <c r="AR1592" s="47" t="n"/>
      <c r="AS1592" s="47" t="n"/>
      <c r="AT1592" s="47" t="n"/>
      <c r="AU1592" s="47" t="n"/>
      <c r="AV1592" s="47" t="n"/>
      <c r="AW1592" s="52" t="n"/>
    </row>
    <row r="1593">
      <c r="A1593" s="48" t="n"/>
      <c r="B1593" s="52" t="n"/>
      <c r="C1593" s="47">
        <f>IF(B1593="","",IFERROR(INDEX('隊員マスタ'!$B$5:$B$204,MATCH(B1593&amp;"",'隊員マスタ'!$F$5:$F$204,0)),IF(AK1593="","番号なし",AK1593)))</f>
        <v/>
      </c>
      <c r="D1593" s="47" t="n"/>
      <c r="E1593" s="47" t="n"/>
      <c r="F1593" s="47" t="n"/>
      <c r="G1593" s="47" t="n"/>
      <c r="H1593" s="47" t="n"/>
      <c r="I1593" s="47" t="n"/>
      <c r="J1593" s="47" t="n"/>
      <c r="K1593" s="47" t="n"/>
      <c r="L1593" s="47" t="n"/>
      <c r="M1593" s="47" t="n"/>
      <c r="N1593" s="47" t="n"/>
      <c r="O1593" s="47" t="n"/>
      <c r="P1593" s="47" t="n"/>
      <c r="Q1593" s="47" t="n"/>
      <c r="R1593" s="47" t="n"/>
      <c r="S1593" s="47" t="n"/>
      <c r="T1593" s="47" t="n"/>
      <c r="U1593" s="53" t="n"/>
      <c r="V1593" s="53" t="n"/>
      <c r="W1593" s="47" t="n"/>
      <c r="X1593" s="47" t="n"/>
      <c r="Y1593" s="47" t="n"/>
      <c r="Z1593" s="47" t="n"/>
      <c r="AA1593" s="47" t="n"/>
      <c r="AB1593" s="47" t="n"/>
      <c r="AC1593" s="47" t="n"/>
      <c r="AD1593" s="47" t="n"/>
      <c r="AE1593" s="47" t="n"/>
      <c r="AF1593" s="20">
        <f>IF(A1593="","",YEAR(EDATE(A1593,-3)))</f>
        <v/>
      </c>
      <c r="AG1593" s="20">
        <f>IF(OR(B1593="",'経歴簿'!$C$4=""),"",IF(B1593&amp;""='経歴簿'!$C$4&amp;"",MAX($AG$4:AG1592)+1,""))</f>
        <v/>
      </c>
      <c r="AH1593" s="20">
        <f>IF(A1593="",0,IF(AND(OR('CSV抽出'!$C$4="",A1593&gt;='CSV抽出'!$C$4),OR('CSV抽出'!$C$5="",A1593&lt;='CSV抽出'!$C$5),OR('CSV抽出'!$C$6="すべて",'CSV抽出'!$C$6="",D1593='CSV抽出'!$C$6),OR('CSV抽出'!$C$7="",B1593&amp;""='CSV抽出'!$C$7&amp;"")),1,0))</f>
        <v/>
      </c>
      <c r="AI1593" s="20">
        <f>IF(AH1593=1,SUM($AH$5:AH1593),"")</f>
        <v/>
      </c>
      <c r="AJ1593" s="20">
        <f>IF(OR(S1593="",'報告書'!$C$4=""),"",IF(S1593&amp;""='報告書'!$C$4&amp;"",COUNTIF($S$5:S1593,'報告書'!$C$4),""))</f>
        <v/>
      </c>
      <c r="AK1593" s="20" t="n"/>
      <c r="AL1593" s="47" t="n"/>
      <c r="AM1593" s="47" t="n"/>
      <c r="AN1593" s="53" t="n"/>
      <c r="AO1593" s="47" t="n"/>
      <c r="AP1593" s="47" t="n"/>
      <c r="AQ1593" s="47" t="n"/>
      <c r="AR1593" s="47" t="n"/>
      <c r="AS1593" s="47" t="n"/>
      <c r="AT1593" s="47" t="n"/>
      <c r="AU1593" s="47" t="n"/>
      <c r="AV1593" s="47" t="n"/>
      <c r="AW1593" s="52" t="n"/>
    </row>
    <row r="1594">
      <c r="A1594" s="48" t="n"/>
      <c r="B1594" s="52" t="n"/>
      <c r="C1594" s="47">
        <f>IF(B1594="","",IFERROR(INDEX('隊員マスタ'!$B$5:$B$204,MATCH(B1594&amp;"",'隊員マスタ'!$F$5:$F$204,0)),IF(AK1594="","番号なし",AK1594)))</f>
        <v/>
      </c>
      <c r="D1594" s="47" t="n"/>
      <c r="E1594" s="47" t="n"/>
      <c r="F1594" s="47" t="n"/>
      <c r="G1594" s="47" t="n"/>
      <c r="H1594" s="47" t="n"/>
      <c r="I1594" s="47" t="n"/>
      <c r="J1594" s="47" t="n"/>
      <c r="K1594" s="47" t="n"/>
      <c r="L1594" s="47" t="n"/>
      <c r="M1594" s="47" t="n"/>
      <c r="N1594" s="47" t="n"/>
      <c r="O1594" s="47" t="n"/>
      <c r="P1594" s="47" t="n"/>
      <c r="Q1594" s="47" t="n"/>
      <c r="R1594" s="47" t="n"/>
      <c r="S1594" s="47" t="n"/>
      <c r="T1594" s="47" t="n"/>
      <c r="U1594" s="53" t="n"/>
      <c r="V1594" s="53" t="n"/>
      <c r="W1594" s="47" t="n"/>
      <c r="X1594" s="47" t="n"/>
      <c r="Y1594" s="47" t="n"/>
      <c r="Z1594" s="47" t="n"/>
      <c r="AA1594" s="47" t="n"/>
      <c r="AB1594" s="47" t="n"/>
      <c r="AC1594" s="47" t="n"/>
      <c r="AD1594" s="47" t="n"/>
      <c r="AE1594" s="47" t="n"/>
      <c r="AF1594" s="20">
        <f>IF(A1594="","",YEAR(EDATE(A1594,-3)))</f>
        <v/>
      </c>
      <c r="AG1594" s="20">
        <f>IF(OR(B1594="",'経歴簿'!$C$4=""),"",IF(B1594&amp;""='経歴簿'!$C$4&amp;"",MAX($AG$4:AG1593)+1,""))</f>
        <v/>
      </c>
      <c r="AH1594" s="20">
        <f>IF(A1594="",0,IF(AND(OR('CSV抽出'!$C$4="",A1594&gt;='CSV抽出'!$C$4),OR('CSV抽出'!$C$5="",A1594&lt;='CSV抽出'!$C$5),OR('CSV抽出'!$C$6="すべて",'CSV抽出'!$C$6="",D1594='CSV抽出'!$C$6),OR('CSV抽出'!$C$7="",B1594&amp;""='CSV抽出'!$C$7&amp;"")),1,0))</f>
        <v/>
      </c>
      <c r="AI1594" s="20">
        <f>IF(AH1594=1,SUM($AH$5:AH1594),"")</f>
        <v/>
      </c>
      <c r="AJ1594" s="20">
        <f>IF(OR(S1594="",'報告書'!$C$4=""),"",IF(S1594&amp;""='報告書'!$C$4&amp;"",COUNTIF($S$5:S1594,'報告書'!$C$4),""))</f>
        <v/>
      </c>
      <c r="AK1594" s="20" t="n"/>
      <c r="AL1594" s="47" t="n"/>
      <c r="AM1594" s="47" t="n"/>
      <c r="AN1594" s="53" t="n"/>
      <c r="AO1594" s="47" t="n"/>
      <c r="AP1594" s="47" t="n"/>
      <c r="AQ1594" s="47" t="n"/>
      <c r="AR1594" s="47" t="n"/>
      <c r="AS1594" s="47" t="n"/>
      <c r="AT1594" s="47" t="n"/>
      <c r="AU1594" s="47" t="n"/>
      <c r="AV1594" s="47" t="n"/>
      <c r="AW1594" s="52" t="n"/>
    </row>
    <row r="1595">
      <c r="A1595" s="48" t="n"/>
      <c r="B1595" s="52" t="n"/>
      <c r="C1595" s="47">
        <f>IF(B1595="","",IFERROR(INDEX('隊員マスタ'!$B$5:$B$204,MATCH(B1595&amp;"",'隊員マスタ'!$F$5:$F$204,0)),IF(AK1595="","番号なし",AK1595)))</f>
        <v/>
      </c>
      <c r="D1595" s="47" t="n"/>
      <c r="E1595" s="47" t="n"/>
      <c r="F1595" s="47" t="n"/>
      <c r="G1595" s="47" t="n"/>
      <c r="H1595" s="47" t="n"/>
      <c r="I1595" s="47" t="n"/>
      <c r="J1595" s="47" t="n"/>
      <c r="K1595" s="47" t="n"/>
      <c r="L1595" s="47" t="n"/>
      <c r="M1595" s="47" t="n"/>
      <c r="N1595" s="47" t="n"/>
      <c r="O1595" s="47" t="n"/>
      <c r="P1595" s="47" t="n"/>
      <c r="Q1595" s="47" t="n"/>
      <c r="R1595" s="47" t="n"/>
      <c r="S1595" s="47" t="n"/>
      <c r="T1595" s="47" t="n"/>
      <c r="U1595" s="53" t="n"/>
      <c r="V1595" s="53" t="n"/>
      <c r="W1595" s="47" t="n"/>
      <c r="X1595" s="47" t="n"/>
      <c r="Y1595" s="47" t="n"/>
      <c r="Z1595" s="47" t="n"/>
      <c r="AA1595" s="47" t="n"/>
      <c r="AB1595" s="47" t="n"/>
      <c r="AC1595" s="47" t="n"/>
      <c r="AD1595" s="47" t="n"/>
      <c r="AE1595" s="47" t="n"/>
      <c r="AF1595" s="20">
        <f>IF(A1595="","",YEAR(EDATE(A1595,-3)))</f>
        <v/>
      </c>
      <c r="AG1595" s="20">
        <f>IF(OR(B1595="",'経歴簿'!$C$4=""),"",IF(B1595&amp;""='経歴簿'!$C$4&amp;"",MAX($AG$4:AG1594)+1,""))</f>
        <v/>
      </c>
      <c r="AH1595" s="20">
        <f>IF(A1595="",0,IF(AND(OR('CSV抽出'!$C$4="",A1595&gt;='CSV抽出'!$C$4),OR('CSV抽出'!$C$5="",A1595&lt;='CSV抽出'!$C$5),OR('CSV抽出'!$C$6="すべて",'CSV抽出'!$C$6="",D1595='CSV抽出'!$C$6),OR('CSV抽出'!$C$7="",B1595&amp;""='CSV抽出'!$C$7&amp;"")),1,0))</f>
        <v/>
      </c>
      <c r="AI1595" s="20">
        <f>IF(AH1595=1,SUM($AH$5:AH1595),"")</f>
        <v/>
      </c>
      <c r="AJ1595" s="20">
        <f>IF(OR(S1595="",'報告書'!$C$4=""),"",IF(S1595&amp;""='報告書'!$C$4&amp;"",COUNTIF($S$5:S1595,'報告書'!$C$4),""))</f>
        <v/>
      </c>
      <c r="AK1595" s="20" t="n"/>
      <c r="AL1595" s="47" t="n"/>
      <c r="AM1595" s="47" t="n"/>
      <c r="AN1595" s="53" t="n"/>
      <c r="AO1595" s="47" t="n"/>
      <c r="AP1595" s="47" t="n"/>
      <c r="AQ1595" s="47" t="n"/>
      <c r="AR1595" s="47" t="n"/>
      <c r="AS1595" s="47" t="n"/>
      <c r="AT1595" s="47" t="n"/>
      <c r="AU1595" s="47" t="n"/>
      <c r="AV1595" s="47" t="n"/>
      <c r="AW1595" s="52" t="n"/>
    </row>
    <row r="1596">
      <c r="A1596" s="48" t="n"/>
      <c r="B1596" s="52" t="n"/>
      <c r="C1596" s="47">
        <f>IF(B1596="","",IFERROR(INDEX('隊員マスタ'!$B$5:$B$204,MATCH(B1596&amp;"",'隊員マスタ'!$F$5:$F$204,0)),IF(AK1596="","番号なし",AK1596)))</f>
        <v/>
      </c>
      <c r="D1596" s="47" t="n"/>
      <c r="E1596" s="47" t="n"/>
      <c r="F1596" s="47" t="n"/>
      <c r="G1596" s="47" t="n"/>
      <c r="H1596" s="47" t="n"/>
      <c r="I1596" s="47" t="n"/>
      <c r="J1596" s="47" t="n"/>
      <c r="K1596" s="47" t="n"/>
      <c r="L1596" s="47" t="n"/>
      <c r="M1596" s="47" t="n"/>
      <c r="N1596" s="47" t="n"/>
      <c r="O1596" s="47" t="n"/>
      <c r="P1596" s="47" t="n"/>
      <c r="Q1596" s="47" t="n"/>
      <c r="R1596" s="47" t="n"/>
      <c r="S1596" s="47" t="n"/>
      <c r="T1596" s="47" t="n"/>
      <c r="U1596" s="53" t="n"/>
      <c r="V1596" s="53" t="n"/>
      <c r="W1596" s="47" t="n"/>
      <c r="X1596" s="47" t="n"/>
      <c r="Y1596" s="47" t="n"/>
      <c r="Z1596" s="47" t="n"/>
      <c r="AA1596" s="47" t="n"/>
      <c r="AB1596" s="47" t="n"/>
      <c r="AC1596" s="47" t="n"/>
      <c r="AD1596" s="47" t="n"/>
      <c r="AE1596" s="47" t="n"/>
      <c r="AF1596" s="20">
        <f>IF(A1596="","",YEAR(EDATE(A1596,-3)))</f>
        <v/>
      </c>
      <c r="AG1596" s="20">
        <f>IF(OR(B1596="",'経歴簿'!$C$4=""),"",IF(B1596&amp;""='経歴簿'!$C$4&amp;"",MAX($AG$4:AG1595)+1,""))</f>
        <v/>
      </c>
      <c r="AH1596" s="20">
        <f>IF(A1596="",0,IF(AND(OR('CSV抽出'!$C$4="",A1596&gt;='CSV抽出'!$C$4),OR('CSV抽出'!$C$5="",A1596&lt;='CSV抽出'!$C$5),OR('CSV抽出'!$C$6="すべて",'CSV抽出'!$C$6="",D1596='CSV抽出'!$C$6),OR('CSV抽出'!$C$7="",B1596&amp;""='CSV抽出'!$C$7&amp;"")),1,0))</f>
        <v/>
      </c>
      <c r="AI1596" s="20">
        <f>IF(AH1596=1,SUM($AH$5:AH1596),"")</f>
        <v/>
      </c>
      <c r="AJ1596" s="20">
        <f>IF(OR(S1596="",'報告書'!$C$4=""),"",IF(S1596&amp;""='報告書'!$C$4&amp;"",COUNTIF($S$5:S1596,'報告書'!$C$4),""))</f>
        <v/>
      </c>
      <c r="AK1596" s="20" t="n"/>
      <c r="AL1596" s="47" t="n"/>
      <c r="AM1596" s="47" t="n"/>
      <c r="AN1596" s="53" t="n"/>
      <c r="AO1596" s="47" t="n"/>
      <c r="AP1596" s="47" t="n"/>
      <c r="AQ1596" s="47" t="n"/>
      <c r="AR1596" s="47" t="n"/>
      <c r="AS1596" s="47" t="n"/>
      <c r="AT1596" s="47" t="n"/>
      <c r="AU1596" s="47" t="n"/>
      <c r="AV1596" s="47" t="n"/>
      <c r="AW1596" s="52" t="n"/>
    </row>
    <row r="1597">
      <c r="A1597" s="48" t="n"/>
      <c r="B1597" s="52" t="n"/>
      <c r="C1597" s="47">
        <f>IF(B1597="","",IFERROR(INDEX('隊員マスタ'!$B$5:$B$204,MATCH(B1597&amp;"",'隊員マスタ'!$F$5:$F$204,0)),IF(AK1597="","番号なし",AK1597)))</f>
        <v/>
      </c>
      <c r="D1597" s="47" t="n"/>
      <c r="E1597" s="47" t="n"/>
      <c r="F1597" s="47" t="n"/>
      <c r="G1597" s="47" t="n"/>
      <c r="H1597" s="47" t="n"/>
      <c r="I1597" s="47" t="n"/>
      <c r="J1597" s="47" t="n"/>
      <c r="K1597" s="47" t="n"/>
      <c r="L1597" s="47" t="n"/>
      <c r="M1597" s="47" t="n"/>
      <c r="N1597" s="47" t="n"/>
      <c r="O1597" s="47" t="n"/>
      <c r="P1597" s="47" t="n"/>
      <c r="Q1597" s="47" t="n"/>
      <c r="R1597" s="47" t="n"/>
      <c r="S1597" s="47" t="n"/>
      <c r="T1597" s="47" t="n"/>
      <c r="U1597" s="53" t="n"/>
      <c r="V1597" s="53" t="n"/>
      <c r="W1597" s="47" t="n"/>
      <c r="X1597" s="47" t="n"/>
      <c r="Y1597" s="47" t="n"/>
      <c r="Z1597" s="47" t="n"/>
      <c r="AA1597" s="47" t="n"/>
      <c r="AB1597" s="47" t="n"/>
      <c r="AC1597" s="47" t="n"/>
      <c r="AD1597" s="47" t="n"/>
      <c r="AE1597" s="47" t="n"/>
      <c r="AF1597" s="20">
        <f>IF(A1597="","",YEAR(EDATE(A1597,-3)))</f>
        <v/>
      </c>
      <c r="AG1597" s="20">
        <f>IF(OR(B1597="",'経歴簿'!$C$4=""),"",IF(B1597&amp;""='経歴簿'!$C$4&amp;"",MAX($AG$4:AG1596)+1,""))</f>
        <v/>
      </c>
      <c r="AH1597" s="20">
        <f>IF(A1597="",0,IF(AND(OR('CSV抽出'!$C$4="",A1597&gt;='CSV抽出'!$C$4),OR('CSV抽出'!$C$5="",A1597&lt;='CSV抽出'!$C$5),OR('CSV抽出'!$C$6="すべて",'CSV抽出'!$C$6="",D1597='CSV抽出'!$C$6),OR('CSV抽出'!$C$7="",B1597&amp;""='CSV抽出'!$C$7&amp;"")),1,0))</f>
        <v/>
      </c>
      <c r="AI1597" s="20">
        <f>IF(AH1597=1,SUM($AH$5:AH1597),"")</f>
        <v/>
      </c>
      <c r="AJ1597" s="20">
        <f>IF(OR(S1597="",'報告書'!$C$4=""),"",IF(S1597&amp;""='報告書'!$C$4&amp;"",COUNTIF($S$5:S1597,'報告書'!$C$4),""))</f>
        <v/>
      </c>
      <c r="AK1597" s="20" t="n"/>
      <c r="AL1597" s="47" t="n"/>
      <c r="AM1597" s="47" t="n"/>
      <c r="AN1597" s="53" t="n"/>
      <c r="AO1597" s="47" t="n"/>
      <c r="AP1597" s="47" t="n"/>
      <c r="AQ1597" s="47" t="n"/>
      <c r="AR1597" s="47" t="n"/>
      <c r="AS1597" s="47" t="n"/>
      <c r="AT1597" s="47" t="n"/>
      <c r="AU1597" s="47" t="n"/>
      <c r="AV1597" s="47" t="n"/>
      <c r="AW1597" s="52" t="n"/>
    </row>
    <row r="1598">
      <c r="A1598" s="48" t="n"/>
      <c r="B1598" s="52" t="n"/>
      <c r="C1598" s="47">
        <f>IF(B1598="","",IFERROR(INDEX('隊員マスタ'!$B$5:$B$204,MATCH(B1598&amp;"",'隊員マスタ'!$F$5:$F$204,0)),IF(AK1598="","番号なし",AK1598)))</f>
        <v/>
      </c>
      <c r="D1598" s="47" t="n"/>
      <c r="E1598" s="47" t="n"/>
      <c r="F1598" s="47" t="n"/>
      <c r="G1598" s="47" t="n"/>
      <c r="H1598" s="47" t="n"/>
      <c r="I1598" s="47" t="n"/>
      <c r="J1598" s="47" t="n"/>
      <c r="K1598" s="47" t="n"/>
      <c r="L1598" s="47" t="n"/>
      <c r="M1598" s="47" t="n"/>
      <c r="N1598" s="47" t="n"/>
      <c r="O1598" s="47" t="n"/>
      <c r="P1598" s="47" t="n"/>
      <c r="Q1598" s="47" t="n"/>
      <c r="R1598" s="47" t="n"/>
      <c r="S1598" s="47" t="n"/>
      <c r="T1598" s="47" t="n"/>
      <c r="U1598" s="53" t="n"/>
      <c r="V1598" s="53" t="n"/>
      <c r="W1598" s="47" t="n"/>
      <c r="X1598" s="47" t="n"/>
      <c r="Y1598" s="47" t="n"/>
      <c r="Z1598" s="47" t="n"/>
      <c r="AA1598" s="47" t="n"/>
      <c r="AB1598" s="47" t="n"/>
      <c r="AC1598" s="47" t="n"/>
      <c r="AD1598" s="47" t="n"/>
      <c r="AE1598" s="47" t="n"/>
      <c r="AF1598" s="20">
        <f>IF(A1598="","",YEAR(EDATE(A1598,-3)))</f>
        <v/>
      </c>
      <c r="AG1598" s="20">
        <f>IF(OR(B1598="",'経歴簿'!$C$4=""),"",IF(B1598&amp;""='経歴簿'!$C$4&amp;"",MAX($AG$4:AG1597)+1,""))</f>
        <v/>
      </c>
      <c r="AH1598" s="20">
        <f>IF(A1598="",0,IF(AND(OR('CSV抽出'!$C$4="",A1598&gt;='CSV抽出'!$C$4),OR('CSV抽出'!$C$5="",A1598&lt;='CSV抽出'!$C$5),OR('CSV抽出'!$C$6="すべて",'CSV抽出'!$C$6="",D1598='CSV抽出'!$C$6),OR('CSV抽出'!$C$7="",B1598&amp;""='CSV抽出'!$C$7&amp;"")),1,0))</f>
        <v/>
      </c>
      <c r="AI1598" s="20">
        <f>IF(AH1598=1,SUM($AH$5:AH1598),"")</f>
        <v/>
      </c>
      <c r="AJ1598" s="20">
        <f>IF(OR(S1598="",'報告書'!$C$4=""),"",IF(S1598&amp;""='報告書'!$C$4&amp;"",COUNTIF($S$5:S1598,'報告書'!$C$4),""))</f>
        <v/>
      </c>
      <c r="AK1598" s="20" t="n"/>
      <c r="AL1598" s="47" t="n"/>
      <c r="AM1598" s="47" t="n"/>
      <c r="AN1598" s="53" t="n"/>
      <c r="AO1598" s="47" t="n"/>
      <c r="AP1598" s="47" t="n"/>
      <c r="AQ1598" s="47" t="n"/>
      <c r="AR1598" s="47" t="n"/>
      <c r="AS1598" s="47" t="n"/>
      <c r="AT1598" s="47" t="n"/>
      <c r="AU1598" s="47" t="n"/>
      <c r="AV1598" s="47" t="n"/>
      <c r="AW1598" s="52" t="n"/>
    </row>
    <row r="1599">
      <c r="A1599" s="48" t="n"/>
      <c r="B1599" s="52" t="n"/>
      <c r="C1599" s="47">
        <f>IF(B1599="","",IFERROR(INDEX('隊員マスタ'!$B$5:$B$204,MATCH(B1599&amp;"",'隊員マスタ'!$F$5:$F$204,0)),IF(AK1599="","番号なし",AK1599)))</f>
        <v/>
      </c>
      <c r="D1599" s="47" t="n"/>
      <c r="E1599" s="47" t="n"/>
      <c r="F1599" s="47" t="n"/>
      <c r="G1599" s="47" t="n"/>
      <c r="H1599" s="47" t="n"/>
      <c r="I1599" s="47" t="n"/>
      <c r="J1599" s="47" t="n"/>
      <c r="K1599" s="47" t="n"/>
      <c r="L1599" s="47" t="n"/>
      <c r="M1599" s="47" t="n"/>
      <c r="N1599" s="47" t="n"/>
      <c r="O1599" s="47" t="n"/>
      <c r="P1599" s="47" t="n"/>
      <c r="Q1599" s="47" t="n"/>
      <c r="R1599" s="47" t="n"/>
      <c r="S1599" s="47" t="n"/>
      <c r="T1599" s="47" t="n"/>
      <c r="U1599" s="53" t="n"/>
      <c r="V1599" s="53" t="n"/>
      <c r="W1599" s="47" t="n"/>
      <c r="X1599" s="47" t="n"/>
      <c r="Y1599" s="47" t="n"/>
      <c r="Z1599" s="47" t="n"/>
      <c r="AA1599" s="47" t="n"/>
      <c r="AB1599" s="47" t="n"/>
      <c r="AC1599" s="47" t="n"/>
      <c r="AD1599" s="47" t="n"/>
      <c r="AE1599" s="47" t="n"/>
      <c r="AF1599" s="20">
        <f>IF(A1599="","",YEAR(EDATE(A1599,-3)))</f>
        <v/>
      </c>
      <c r="AG1599" s="20">
        <f>IF(OR(B1599="",'経歴簿'!$C$4=""),"",IF(B1599&amp;""='経歴簿'!$C$4&amp;"",MAX($AG$4:AG1598)+1,""))</f>
        <v/>
      </c>
      <c r="AH1599" s="20">
        <f>IF(A1599="",0,IF(AND(OR('CSV抽出'!$C$4="",A1599&gt;='CSV抽出'!$C$4),OR('CSV抽出'!$C$5="",A1599&lt;='CSV抽出'!$C$5),OR('CSV抽出'!$C$6="すべて",'CSV抽出'!$C$6="",D1599='CSV抽出'!$C$6),OR('CSV抽出'!$C$7="",B1599&amp;""='CSV抽出'!$C$7&amp;"")),1,0))</f>
        <v/>
      </c>
      <c r="AI1599" s="20">
        <f>IF(AH1599=1,SUM($AH$5:AH1599),"")</f>
        <v/>
      </c>
      <c r="AJ1599" s="20">
        <f>IF(OR(S1599="",'報告書'!$C$4=""),"",IF(S1599&amp;""='報告書'!$C$4&amp;"",COUNTIF($S$5:S1599,'報告書'!$C$4),""))</f>
        <v/>
      </c>
      <c r="AK1599" s="20" t="n"/>
      <c r="AL1599" s="47" t="n"/>
      <c r="AM1599" s="47" t="n"/>
      <c r="AN1599" s="53" t="n"/>
      <c r="AO1599" s="47" t="n"/>
      <c r="AP1599" s="47" t="n"/>
      <c r="AQ1599" s="47" t="n"/>
      <c r="AR1599" s="47" t="n"/>
      <c r="AS1599" s="47" t="n"/>
      <c r="AT1599" s="47" t="n"/>
      <c r="AU1599" s="47" t="n"/>
      <c r="AV1599" s="47" t="n"/>
      <c r="AW1599" s="52" t="n"/>
    </row>
    <row r="1600">
      <c r="A1600" s="48" t="n"/>
      <c r="B1600" s="52" t="n"/>
      <c r="C1600" s="47">
        <f>IF(B1600="","",IFERROR(INDEX('隊員マスタ'!$B$5:$B$204,MATCH(B1600&amp;"",'隊員マスタ'!$F$5:$F$204,0)),IF(AK1600="","番号なし",AK1600)))</f>
        <v/>
      </c>
      <c r="D1600" s="47" t="n"/>
      <c r="E1600" s="47" t="n"/>
      <c r="F1600" s="47" t="n"/>
      <c r="G1600" s="47" t="n"/>
      <c r="H1600" s="47" t="n"/>
      <c r="I1600" s="47" t="n"/>
      <c r="J1600" s="47" t="n"/>
      <c r="K1600" s="47" t="n"/>
      <c r="L1600" s="47" t="n"/>
      <c r="M1600" s="47" t="n"/>
      <c r="N1600" s="47" t="n"/>
      <c r="O1600" s="47" t="n"/>
      <c r="P1600" s="47" t="n"/>
      <c r="Q1600" s="47" t="n"/>
      <c r="R1600" s="47" t="n"/>
      <c r="S1600" s="47" t="n"/>
      <c r="T1600" s="47" t="n"/>
      <c r="U1600" s="53" t="n"/>
      <c r="V1600" s="53" t="n"/>
      <c r="W1600" s="47" t="n"/>
      <c r="X1600" s="47" t="n"/>
      <c r="Y1600" s="47" t="n"/>
      <c r="Z1600" s="47" t="n"/>
      <c r="AA1600" s="47" t="n"/>
      <c r="AB1600" s="47" t="n"/>
      <c r="AC1600" s="47" t="n"/>
      <c r="AD1600" s="47" t="n"/>
      <c r="AE1600" s="47" t="n"/>
      <c r="AF1600" s="20">
        <f>IF(A1600="","",YEAR(EDATE(A1600,-3)))</f>
        <v/>
      </c>
      <c r="AG1600" s="20">
        <f>IF(OR(B1600="",'経歴簿'!$C$4=""),"",IF(B1600&amp;""='経歴簿'!$C$4&amp;"",MAX($AG$4:AG1599)+1,""))</f>
        <v/>
      </c>
      <c r="AH1600" s="20">
        <f>IF(A1600="",0,IF(AND(OR('CSV抽出'!$C$4="",A1600&gt;='CSV抽出'!$C$4),OR('CSV抽出'!$C$5="",A1600&lt;='CSV抽出'!$C$5),OR('CSV抽出'!$C$6="すべて",'CSV抽出'!$C$6="",D1600='CSV抽出'!$C$6),OR('CSV抽出'!$C$7="",B1600&amp;""='CSV抽出'!$C$7&amp;"")),1,0))</f>
        <v/>
      </c>
      <c r="AI1600" s="20">
        <f>IF(AH1600=1,SUM($AH$5:AH1600),"")</f>
        <v/>
      </c>
      <c r="AJ1600" s="20">
        <f>IF(OR(S1600="",'報告書'!$C$4=""),"",IF(S1600&amp;""='報告書'!$C$4&amp;"",COUNTIF($S$5:S1600,'報告書'!$C$4),""))</f>
        <v/>
      </c>
      <c r="AK1600" s="20" t="n"/>
      <c r="AL1600" s="47" t="n"/>
      <c r="AM1600" s="47" t="n"/>
      <c r="AN1600" s="53" t="n"/>
      <c r="AO1600" s="47" t="n"/>
      <c r="AP1600" s="47" t="n"/>
      <c r="AQ1600" s="47" t="n"/>
      <c r="AR1600" s="47" t="n"/>
      <c r="AS1600" s="47" t="n"/>
      <c r="AT1600" s="47" t="n"/>
      <c r="AU1600" s="47" t="n"/>
      <c r="AV1600" s="47" t="n"/>
      <c r="AW1600" s="52" t="n"/>
    </row>
    <row r="1601">
      <c r="A1601" s="48" t="n"/>
      <c r="B1601" s="52" t="n"/>
      <c r="C1601" s="47">
        <f>IF(B1601="","",IFERROR(INDEX('隊員マスタ'!$B$5:$B$204,MATCH(B1601&amp;"",'隊員マスタ'!$F$5:$F$204,0)),IF(AK1601="","番号なし",AK1601)))</f>
        <v/>
      </c>
      <c r="D1601" s="47" t="n"/>
      <c r="E1601" s="47" t="n"/>
      <c r="F1601" s="47" t="n"/>
      <c r="G1601" s="47" t="n"/>
      <c r="H1601" s="47" t="n"/>
      <c r="I1601" s="47" t="n"/>
      <c r="J1601" s="47" t="n"/>
      <c r="K1601" s="47" t="n"/>
      <c r="L1601" s="47" t="n"/>
      <c r="M1601" s="47" t="n"/>
      <c r="N1601" s="47" t="n"/>
      <c r="O1601" s="47" t="n"/>
      <c r="P1601" s="47" t="n"/>
      <c r="Q1601" s="47" t="n"/>
      <c r="R1601" s="47" t="n"/>
      <c r="S1601" s="47" t="n"/>
      <c r="T1601" s="47" t="n"/>
      <c r="U1601" s="53" t="n"/>
      <c r="V1601" s="53" t="n"/>
      <c r="W1601" s="47" t="n"/>
      <c r="X1601" s="47" t="n"/>
      <c r="Y1601" s="47" t="n"/>
      <c r="Z1601" s="47" t="n"/>
      <c r="AA1601" s="47" t="n"/>
      <c r="AB1601" s="47" t="n"/>
      <c r="AC1601" s="47" t="n"/>
      <c r="AD1601" s="47" t="n"/>
      <c r="AE1601" s="47" t="n"/>
      <c r="AF1601" s="20">
        <f>IF(A1601="","",YEAR(EDATE(A1601,-3)))</f>
        <v/>
      </c>
      <c r="AG1601" s="20">
        <f>IF(OR(B1601="",'経歴簿'!$C$4=""),"",IF(B1601&amp;""='経歴簿'!$C$4&amp;"",MAX($AG$4:AG1600)+1,""))</f>
        <v/>
      </c>
      <c r="AH1601" s="20">
        <f>IF(A1601="",0,IF(AND(OR('CSV抽出'!$C$4="",A1601&gt;='CSV抽出'!$C$4),OR('CSV抽出'!$C$5="",A1601&lt;='CSV抽出'!$C$5),OR('CSV抽出'!$C$6="すべて",'CSV抽出'!$C$6="",D1601='CSV抽出'!$C$6),OR('CSV抽出'!$C$7="",B1601&amp;""='CSV抽出'!$C$7&amp;"")),1,0))</f>
        <v/>
      </c>
      <c r="AI1601" s="20">
        <f>IF(AH1601=1,SUM($AH$5:AH1601),"")</f>
        <v/>
      </c>
      <c r="AJ1601" s="20">
        <f>IF(OR(S1601="",'報告書'!$C$4=""),"",IF(S1601&amp;""='報告書'!$C$4&amp;"",COUNTIF($S$5:S1601,'報告書'!$C$4),""))</f>
        <v/>
      </c>
      <c r="AK1601" s="20" t="n"/>
      <c r="AL1601" s="47" t="n"/>
      <c r="AM1601" s="47" t="n"/>
      <c r="AN1601" s="53" t="n"/>
      <c r="AO1601" s="47" t="n"/>
      <c r="AP1601" s="47" t="n"/>
      <c r="AQ1601" s="47" t="n"/>
      <c r="AR1601" s="47" t="n"/>
      <c r="AS1601" s="47" t="n"/>
      <c r="AT1601" s="47" t="n"/>
      <c r="AU1601" s="47" t="n"/>
      <c r="AV1601" s="47" t="n"/>
      <c r="AW1601" s="52" t="n"/>
    </row>
    <row r="1602">
      <c r="A1602" s="48" t="n"/>
      <c r="B1602" s="52" t="n"/>
      <c r="C1602" s="47">
        <f>IF(B1602="","",IFERROR(INDEX('隊員マスタ'!$B$5:$B$204,MATCH(B1602&amp;"",'隊員マスタ'!$F$5:$F$204,0)),IF(AK1602="","番号なし",AK1602)))</f>
        <v/>
      </c>
      <c r="D1602" s="47" t="n"/>
      <c r="E1602" s="47" t="n"/>
      <c r="F1602" s="47" t="n"/>
      <c r="G1602" s="47" t="n"/>
      <c r="H1602" s="47" t="n"/>
      <c r="I1602" s="47" t="n"/>
      <c r="J1602" s="47" t="n"/>
      <c r="K1602" s="47" t="n"/>
      <c r="L1602" s="47" t="n"/>
      <c r="M1602" s="47" t="n"/>
      <c r="N1602" s="47" t="n"/>
      <c r="O1602" s="47" t="n"/>
      <c r="P1602" s="47" t="n"/>
      <c r="Q1602" s="47" t="n"/>
      <c r="R1602" s="47" t="n"/>
      <c r="S1602" s="47" t="n"/>
      <c r="T1602" s="47" t="n"/>
      <c r="U1602" s="53" t="n"/>
      <c r="V1602" s="53" t="n"/>
      <c r="W1602" s="47" t="n"/>
      <c r="X1602" s="47" t="n"/>
      <c r="Y1602" s="47" t="n"/>
      <c r="Z1602" s="47" t="n"/>
      <c r="AA1602" s="47" t="n"/>
      <c r="AB1602" s="47" t="n"/>
      <c r="AC1602" s="47" t="n"/>
      <c r="AD1602" s="47" t="n"/>
      <c r="AE1602" s="47" t="n"/>
      <c r="AF1602" s="20">
        <f>IF(A1602="","",YEAR(EDATE(A1602,-3)))</f>
        <v/>
      </c>
      <c r="AG1602" s="20">
        <f>IF(OR(B1602="",'経歴簿'!$C$4=""),"",IF(B1602&amp;""='経歴簿'!$C$4&amp;"",MAX($AG$4:AG1601)+1,""))</f>
        <v/>
      </c>
      <c r="AH1602" s="20">
        <f>IF(A1602="",0,IF(AND(OR('CSV抽出'!$C$4="",A1602&gt;='CSV抽出'!$C$4),OR('CSV抽出'!$C$5="",A1602&lt;='CSV抽出'!$C$5),OR('CSV抽出'!$C$6="すべて",'CSV抽出'!$C$6="",D1602='CSV抽出'!$C$6),OR('CSV抽出'!$C$7="",B1602&amp;""='CSV抽出'!$C$7&amp;"")),1,0))</f>
        <v/>
      </c>
      <c r="AI1602" s="20">
        <f>IF(AH1602=1,SUM($AH$5:AH1602),"")</f>
        <v/>
      </c>
      <c r="AJ1602" s="20">
        <f>IF(OR(S1602="",'報告書'!$C$4=""),"",IF(S1602&amp;""='報告書'!$C$4&amp;"",COUNTIF($S$5:S1602,'報告書'!$C$4),""))</f>
        <v/>
      </c>
      <c r="AK1602" s="20" t="n"/>
      <c r="AL1602" s="47" t="n"/>
      <c r="AM1602" s="47" t="n"/>
      <c r="AN1602" s="53" t="n"/>
      <c r="AO1602" s="47" t="n"/>
      <c r="AP1602" s="47" t="n"/>
      <c r="AQ1602" s="47" t="n"/>
      <c r="AR1602" s="47" t="n"/>
      <c r="AS1602" s="47" t="n"/>
      <c r="AT1602" s="47" t="n"/>
      <c r="AU1602" s="47" t="n"/>
      <c r="AV1602" s="47" t="n"/>
      <c r="AW1602" s="52" t="n"/>
    </row>
    <row r="1603">
      <c r="A1603" s="48" t="n"/>
      <c r="B1603" s="52" t="n"/>
      <c r="C1603" s="47">
        <f>IF(B1603="","",IFERROR(INDEX('隊員マスタ'!$B$5:$B$204,MATCH(B1603&amp;"",'隊員マスタ'!$F$5:$F$204,0)),IF(AK1603="","番号なし",AK1603)))</f>
        <v/>
      </c>
      <c r="D1603" s="47" t="n"/>
      <c r="E1603" s="47" t="n"/>
      <c r="F1603" s="47" t="n"/>
      <c r="G1603" s="47" t="n"/>
      <c r="H1603" s="47" t="n"/>
      <c r="I1603" s="47" t="n"/>
      <c r="J1603" s="47" t="n"/>
      <c r="K1603" s="47" t="n"/>
      <c r="L1603" s="47" t="n"/>
      <c r="M1603" s="47" t="n"/>
      <c r="N1603" s="47" t="n"/>
      <c r="O1603" s="47" t="n"/>
      <c r="P1603" s="47" t="n"/>
      <c r="Q1603" s="47" t="n"/>
      <c r="R1603" s="47" t="n"/>
      <c r="S1603" s="47" t="n"/>
      <c r="T1603" s="47" t="n"/>
      <c r="U1603" s="53" t="n"/>
      <c r="V1603" s="53" t="n"/>
      <c r="W1603" s="47" t="n"/>
      <c r="X1603" s="47" t="n"/>
      <c r="Y1603" s="47" t="n"/>
      <c r="Z1603" s="47" t="n"/>
      <c r="AA1603" s="47" t="n"/>
      <c r="AB1603" s="47" t="n"/>
      <c r="AC1603" s="47" t="n"/>
      <c r="AD1603" s="47" t="n"/>
      <c r="AE1603" s="47" t="n"/>
      <c r="AF1603" s="20">
        <f>IF(A1603="","",YEAR(EDATE(A1603,-3)))</f>
        <v/>
      </c>
      <c r="AG1603" s="20">
        <f>IF(OR(B1603="",'経歴簿'!$C$4=""),"",IF(B1603&amp;""='経歴簿'!$C$4&amp;"",MAX($AG$4:AG1602)+1,""))</f>
        <v/>
      </c>
      <c r="AH1603" s="20">
        <f>IF(A1603="",0,IF(AND(OR('CSV抽出'!$C$4="",A1603&gt;='CSV抽出'!$C$4),OR('CSV抽出'!$C$5="",A1603&lt;='CSV抽出'!$C$5),OR('CSV抽出'!$C$6="すべて",'CSV抽出'!$C$6="",D1603='CSV抽出'!$C$6),OR('CSV抽出'!$C$7="",B1603&amp;""='CSV抽出'!$C$7&amp;"")),1,0))</f>
        <v/>
      </c>
      <c r="AI1603" s="20">
        <f>IF(AH1603=1,SUM($AH$5:AH1603),"")</f>
        <v/>
      </c>
      <c r="AJ1603" s="20">
        <f>IF(OR(S1603="",'報告書'!$C$4=""),"",IF(S1603&amp;""='報告書'!$C$4&amp;"",COUNTIF($S$5:S1603,'報告書'!$C$4),""))</f>
        <v/>
      </c>
      <c r="AK1603" s="20" t="n"/>
      <c r="AL1603" s="47" t="n"/>
      <c r="AM1603" s="47" t="n"/>
      <c r="AN1603" s="53" t="n"/>
      <c r="AO1603" s="47" t="n"/>
      <c r="AP1603" s="47" t="n"/>
      <c r="AQ1603" s="47" t="n"/>
      <c r="AR1603" s="47" t="n"/>
      <c r="AS1603" s="47" t="n"/>
      <c r="AT1603" s="47" t="n"/>
      <c r="AU1603" s="47" t="n"/>
      <c r="AV1603" s="47" t="n"/>
      <c r="AW1603" s="52" t="n"/>
    </row>
    <row r="1604">
      <c r="A1604" s="48" t="n"/>
      <c r="B1604" s="52" t="n"/>
      <c r="C1604" s="47">
        <f>IF(B1604="","",IFERROR(INDEX('隊員マスタ'!$B$5:$B$204,MATCH(B1604&amp;"",'隊員マスタ'!$F$5:$F$204,0)),IF(AK1604="","番号なし",AK1604)))</f>
        <v/>
      </c>
      <c r="D1604" s="47" t="n"/>
      <c r="E1604" s="47" t="n"/>
      <c r="F1604" s="47" t="n"/>
      <c r="G1604" s="47" t="n"/>
      <c r="H1604" s="47" t="n"/>
      <c r="I1604" s="47" t="n"/>
      <c r="J1604" s="47" t="n"/>
      <c r="K1604" s="47" t="n"/>
      <c r="L1604" s="47" t="n"/>
      <c r="M1604" s="47" t="n"/>
      <c r="N1604" s="47" t="n"/>
      <c r="O1604" s="47" t="n"/>
      <c r="P1604" s="47" t="n"/>
      <c r="Q1604" s="47" t="n"/>
      <c r="R1604" s="47" t="n"/>
      <c r="S1604" s="47" t="n"/>
      <c r="T1604" s="47" t="n"/>
      <c r="U1604" s="53" t="n"/>
      <c r="V1604" s="53" t="n"/>
      <c r="W1604" s="47" t="n"/>
      <c r="X1604" s="47" t="n"/>
      <c r="Y1604" s="47" t="n"/>
      <c r="Z1604" s="47" t="n"/>
      <c r="AA1604" s="47" t="n"/>
      <c r="AB1604" s="47" t="n"/>
      <c r="AC1604" s="47" t="n"/>
      <c r="AD1604" s="47" t="n"/>
      <c r="AE1604" s="47" t="n"/>
      <c r="AF1604" s="20">
        <f>IF(A1604="","",YEAR(EDATE(A1604,-3)))</f>
        <v/>
      </c>
      <c r="AG1604" s="20">
        <f>IF(OR(B1604="",'経歴簿'!$C$4=""),"",IF(B1604&amp;""='経歴簿'!$C$4&amp;"",MAX($AG$4:AG1603)+1,""))</f>
        <v/>
      </c>
      <c r="AH1604" s="20">
        <f>IF(A1604="",0,IF(AND(OR('CSV抽出'!$C$4="",A1604&gt;='CSV抽出'!$C$4),OR('CSV抽出'!$C$5="",A1604&lt;='CSV抽出'!$C$5),OR('CSV抽出'!$C$6="すべて",'CSV抽出'!$C$6="",D1604='CSV抽出'!$C$6),OR('CSV抽出'!$C$7="",B1604&amp;""='CSV抽出'!$C$7&amp;"")),1,0))</f>
        <v/>
      </c>
      <c r="AI1604" s="20">
        <f>IF(AH1604=1,SUM($AH$5:AH1604),"")</f>
        <v/>
      </c>
      <c r="AJ1604" s="20">
        <f>IF(OR(S1604="",'報告書'!$C$4=""),"",IF(S1604&amp;""='報告書'!$C$4&amp;"",COUNTIF($S$5:S1604,'報告書'!$C$4),""))</f>
        <v/>
      </c>
      <c r="AK1604" s="20" t="n"/>
      <c r="AL1604" s="47" t="n"/>
      <c r="AM1604" s="47" t="n"/>
      <c r="AN1604" s="53" t="n"/>
      <c r="AO1604" s="47" t="n"/>
      <c r="AP1604" s="47" t="n"/>
      <c r="AQ1604" s="47" t="n"/>
      <c r="AR1604" s="47" t="n"/>
      <c r="AS1604" s="47" t="n"/>
      <c r="AT1604" s="47" t="n"/>
      <c r="AU1604" s="47" t="n"/>
      <c r="AV1604" s="47" t="n"/>
      <c r="AW1604" s="52" t="n"/>
    </row>
    <row r="1605">
      <c r="A1605" s="48" t="n"/>
      <c r="B1605" s="52" t="n"/>
      <c r="C1605" s="47">
        <f>IF(B1605="","",IFERROR(INDEX('隊員マスタ'!$B$5:$B$204,MATCH(B1605&amp;"",'隊員マスタ'!$F$5:$F$204,0)),IF(AK1605="","番号なし",AK1605)))</f>
        <v/>
      </c>
      <c r="D1605" s="47" t="n"/>
      <c r="E1605" s="47" t="n"/>
      <c r="F1605" s="47" t="n"/>
      <c r="G1605" s="47" t="n"/>
      <c r="H1605" s="47" t="n"/>
      <c r="I1605" s="47" t="n"/>
      <c r="J1605" s="47" t="n"/>
      <c r="K1605" s="47" t="n"/>
      <c r="L1605" s="47" t="n"/>
      <c r="M1605" s="47" t="n"/>
      <c r="N1605" s="47" t="n"/>
      <c r="O1605" s="47" t="n"/>
      <c r="P1605" s="47" t="n"/>
      <c r="Q1605" s="47" t="n"/>
      <c r="R1605" s="47" t="n"/>
      <c r="S1605" s="47" t="n"/>
      <c r="T1605" s="47" t="n"/>
      <c r="U1605" s="53" t="n"/>
      <c r="V1605" s="53" t="n"/>
      <c r="W1605" s="47" t="n"/>
      <c r="X1605" s="47" t="n"/>
      <c r="Y1605" s="47" t="n"/>
      <c r="Z1605" s="47" t="n"/>
      <c r="AA1605" s="47" t="n"/>
      <c r="AB1605" s="47" t="n"/>
      <c r="AC1605" s="47" t="n"/>
      <c r="AD1605" s="47" t="n"/>
      <c r="AE1605" s="47" t="n"/>
      <c r="AF1605" s="20">
        <f>IF(A1605="","",YEAR(EDATE(A1605,-3)))</f>
        <v/>
      </c>
      <c r="AG1605" s="20">
        <f>IF(OR(B1605="",'経歴簿'!$C$4=""),"",IF(B1605&amp;""='経歴簿'!$C$4&amp;"",MAX($AG$4:AG1604)+1,""))</f>
        <v/>
      </c>
      <c r="AH1605" s="20">
        <f>IF(A1605="",0,IF(AND(OR('CSV抽出'!$C$4="",A1605&gt;='CSV抽出'!$C$4),OR('CSV抽出'!$C$5="",A1605&lt;='CSV抽出'!$C$5),OR('CSV抽出'!$C$6="すべて",'CSV抽出'!$C$6="",D1605='CSV抽出'!$C$6),OR('CSV抽出'!$C$7="",B1605&amp;""='CSV抽出'!$C$7&amp;"")),1,0))</f>
        <v/>
      </c>
      <c r="AI1605" s="20">
        <f>IF(AH1605=1,SUM($AH$5:AH1605),"")</f>
        <v/>
      </c>
      <c r="AJ1605" s="20">
        <f>IF(OR(S1605="",'報告書'!$C$4=""),"",IF(S1605&amp;""='報告書'!$C$4&amp;"",COUNTIF($S$5:S1605,'報告書'!$C$4),""))</f>
        <v/>
      </c>
      <c r="AK1605" s="20" t="n"/>
      <c r="AL1605" s="47" t="n"/>
      <c r="AM1605" s="47" t="n"/>
      <c r="AN1605" s="53" t="n"/>
      <c r="AO1605" s="47" t="n"/>
      <c r="AP1605" s="47" t="n"/>
      <c r="AQ1605" s="47" t="n"/>
      <c r="AR1605" s="47" t="n"/>
      <c r="AS1605" s="47" t="n"/>
      <c r="AT1605" s="47" t="n"/>
      <c r="AU1605" s="47" t="n"/>
      <c r="AV1605" s="47" t="n"/>
      <c r="AW1605" s="52" t="n"/>
    </row>
    <row r="1606">
      <c r="A1606" s="48" t="n"/>
      <c r="B1606" s="52" t="n"/>
      <c r="C1606" s="47">
        <f>IF(B1606="","",IFERROR(INDEX('隊員マスタ'!$B$5:$B$204,MATCH(B1606&amp;"",'隊員マスタ'!$F$5:$F$204,0)),IF(AK1606="","番号なし",AK1606)))</f>
        <v/>
      </c>
      <c r="D1606" s="47" t="n"/>
      <c r="E1606" s="47" t="n"/>
      <c r="F1606" s="47" t="n"/>
      <c r="G1606" s="47" t="n"/>
      <c r="H1606" s="47" t="n"/>
      <c r="I1606" s="47" t="n"/>
      <c r="J1606" s="47" t="n"/>
      <c r="K1606" s="47" t="n"/>
      <c r="L1606" s="47" t="n"/>
      <c r="M1606" s="47" t="n"/>
      <c r="N1606" s="47" t="n"/>
      <c r="O1606" s="47" t="n"/>
      <c r="P1606" s="47" t="n"/>
      <c r="Q1606" s="47" t="n"/>
      <c r="R1606" s="47" t="n"/>
      <c r="S1606" s="47" t="n"/>
      <c r="T1606" s="47" t="n"/>
      <c r="U1606" s="53" t="n"/>
      <c r="V1606" s="53" t="n"/>
      <c r="W1606" s="47" t="n"/>
      <c r="X1606" s="47" t="n"/>
      <c r="Y1606" s="47" t="n"/>
      <c r="Z1606" s="47" t="n"/>
      <c r="AA1606" s="47" t="n"/>
      <c r="AB1606" s="47" t="n"/>
      <c r="AC1606" s="47" t="n"/>
      <c r="AD1606" s="47" t="n"/>
      <c r="AE1606" s="47" t="n"/>
      <c r="AF1606" s="20">
        <f>IF(A1606="","",YEAR(EDATE(A1606,-3)))</f>
        <v/>
      </c>
      <c r="AG1606" s="20">
        <f>IF(OR(B1606="",'経歴簿'!$C$4=""),"",IF(B1606&amp;""='経歴簿'!$C$4&amp;"",MAX($AG$4:AG1605)+1,""))</f>
        <v/>
      </c>
      <c r="AH1606" s="20">
        <f>IF(A1606="",0,IF(AND(OR('CSV抽出'!$C$4="",A1606&gt;='CSV抽出'!$C$4),OR('CSV抽出'!$C$5="",A1606&lt;='CSV抽出'!$C$5),OR('CSV抽出'!$C$6="すべて",'CSV抽出'!$C$6="",D1606='CSV抽出'!$C$6),OR('CSV抽出'!$C$7="",B1606&amp;""='CSV抽出'!$C$7&amp;"")),1,0))</f>
        <v/>
      </c>
      <c r="AI1606" s="20">
        <f>IF(AH1606=1,SUM($AH$5:AH1606),"")</f>
        <v/>
      </c>
      <c r="AJ1606" s="20">
        <f>IF(OR(S1606="",'報告書'!$C$4=""),"",IF(S1606&amp;""='報告書'!$C$4&amp;"",COUNTIF($S$5:S1606,'報告書'!$C$4),""))</f>
        <v/>
      </c>
      <c r="AK1606" s="20" t="n"/>
      <c r="AL1606" s="47" t="n"/>
      <c r="AM1606" s="47" t="n"/>
      <c r="AN1606" s="53" t="n"/>
      <c r="AO1606" s="47" t="n"/>
      <c r="AP1606" s="47" t="n"/>
      <c r="AQ1606" s="47" t="n"/>
      <c r="AR1606" s="47" t="n"/>
      <c r="AS1606" s="47" t="n"/>
      <c r="AT1606" s="47" t="n"/>
      <c r="AU1606" s="47" t="n"/>
      <c r="AV1606" s="47" t="n"/>
      <c r="AW1606" s="52" t="n"/>
    </row>
    <row r="1607">
      <c r="A1607" s="48" t="n"/>
      <c r="B1607" s="52" t="n"/>
      <c r="C1607" s="47">
        <f>IF(B1607="","",IFERROR(INDEX('隊員マスタ'!$B$5:$B$204,MATCH(B1607&amp;"",'隊員マスタ'!$F$5:$F$204,0)),IF(AK1607="","番号なし",AK1607)))</f>
        <v/>
      </c>
      <c r="D1607" s="47" t="n"/>
      <c r="E1607" s="47" t="n"/>
      <c r="F1607" s="47" t="n"/>
      <c r="G1607" s="47" t="n"/>
      <c r="H1607" s="47" t="n"/>
      <c r="I1607" s="47" t="n"/>
      <c r="J1607" s="47" t="n"/>
      <c r="K1607" s="47" t="n"/>
      <c r="L1607" s="47" t="n"/>
      <c r="M1607" s="47" t="n"/>
      <c r="N1607" s="47" t="n"/>
      <c r="O1607" s="47" t="n"/>
      <c r="P1607" s="47" t="n"/>
      <c r="Q1607" s="47" t="n"/>
      <c r="R1607" s="47" t="n"/>
      <c r="S1607" s="47" t="n"/>
      <c r="T1607" s="47" t="n"/>
      <c r="U1607" s="53" t="n"/>
      <c r="V1607" s="53" t="n"/>
      <c r="W1607" s="47" t="n"/>
      <c r="X1607" s="47" t="n"/>
      <c r="Y1607" s="47" t="n"/>
      <c r="Z1607" s="47" t="n"/>
      <c r="AA1607" s="47" t="n"/>
      <c r="AB1607" s="47" t="n"/>
      <c r="AC1607" s="47" t="n"/>
      <c r="AD1607" s="47" t="n"/>
      <c r="AE1607" s="47" t="n"/>
      <c r="AF1607" s="20">
        <f>IF(A1607="","",YEAR(EDATE(A1607,-3)))</f>
        <v/>
      </c>
      <c r="AG1607" s="20">
        <f>IF(OR(B1607="",'経歴簿'!$C$4=""),"",IF(B1607&amp;""='経歴簿'!$C$4&amp;"",MAX($AG$4:AG1606)+1,""))</f>
        <v/>
      </c>
      <c r="AH1607" s="20">
        <f>IF(A1607="",0,IF(AND(OR('CSV抽出'!$C$4="",A1607&gt;='CSV抽出'!$C$4),OR('CSV抽出'!$C$5="",A1607&lt;='CSV抽出'!$C$5),OR('CSV抽出'!$C$6="すべて",'CSV抽出'!$C$6="",D1607='CSV抽出'!$C$6),OR('CSV抽出'!$C$7="",B1607&amp;""='CSV抽出'!$C$7&amp;"")),1,0))</f>
        <v/>
      </c>
      <c r="AI1607" s="20">
        <f>IF(AH1607=1,SUM($AH$5:AH1607),"")</f>
        <v/>
      </c>
      <c r="AJ1607" s="20">
        <f>IF(OR(S1607="",'報告書'!$C$4=""),"",IF(S1607&amp;""='報告書'!$C$4&amp;"",COUNTIF($S$5:S1607,'報告書'!$C$4),""))</f>
        <v/>
      </c>
      <c r="AK1607" s="20" t="n"/>
      <c r="AL1607" s="47" t="n"/>
      <c r="AM1607" s="47" t="n"/>
      <c r="AN1607" s="53" t="n"/>
      <c r="AO1607" s="47" t="n"/>
      <c r="AP1607" s="47" t="n"/>
      <c r="AQ1607" s="47" t="n"/>
      <c r="AR1607" s="47" t="n"/>
      <c r="AS1607" s="47" t="n"/>
      <c r="AT1607" s="47" t="n"/>
      <c r="AU1607" s="47" t="n"/>
      <c r="AV1607" s="47" t="n"/>
      <c r="AW1607" s="52" t="n"/>
    </row>
    <row r="1608">
      <c r="A1608" s="48" t="n"/>
      <c r="B1608" s="52" t="n"/>
      <c r="C1608" s="47">
        <f>IF(B1608="","",IFERROR(INDEX('隊員マスタ'!$B$5:$B$204,MATCH(B1608&amp;"",'隊員マスタ'!$F$5:$F$204,0)),IF(AK1608="","番号なし",AK1608)))</f>
        <v/>
      </c>
      <c r="D1608" s="47" t="n"/>
      <c r="E1608" s="47" t="n"/>
      <c r="F1608" s="47" t="n"/>
      <c r="G1608" s="47" t="n"/>
      <c r="H1608" s="47" t="n"/>
      <c r="I1608" s="47" t="n"/>
      <c r="J1608" s="47" t="n"/>
      <c r="K1608" s="47" t="n"/>
      <c r="L1608" s="47" t="n"/>
      <c r="M1608" s="47" t="n"/>
      <c r="N1608" s="47" t="n"/>
      <c r="O1608" s="47" t="n"/>
      <c r="P1608" s="47" t="n"/>
      <c r="Q1608" s="47" t="n"/>
      <c r="R1608" s="47" t="n"/>
      <c r="S1608" s="47" t="n"/>
      <c r="T1608" s="47" t="n"/>
      <c r="U1608" s="53" t="n"/>
      <c r="V1608" s="53" t="n"/>
      <c r="W1608" s="47" t="n"/>
      <c r="X1608" s="47" t="n"/>
      <c r="Y1608" s="47" t="n"/>
      <c r="Z1608" s="47" t="n"/>
      <c r="AA1608" s="47" t="n"/>
      <c r="AB1608" s="47" t="n"/>
      <c r="AC1608" s="47" t="n"/>
      <c r="AD1608" s="47" t="n"/>
      <c r="AE1608" s="47" t="n"/>
      <c r="AF1608" s="20">
        <f>IF(A1608="","",YEAR(EDATE(A1608,-3)))</f>
        <v/>
      </c>
      <c r="AG1608" s="20">
        <f>IF(OR(B1608="",'経歴簿'!$C$4=""),"",IF(B1608&amp;""='経歴簿'!$C$4&amp;"",MAX($AG$4:AG1607)+1,""))</f>
        <v/>
      </c>
      <c r="AH1608" s="20">
        <f>IF(A1608="",0,IF(AND(OR('CSV抽出'!$C$4="",A1608&gt;='CSV抽出'!$C$4),OR('CSV抽出'!$C$5="",A1608&lt;='CSV抽出'!$C$5),OR('CSV抽出'!$C$6="すべて",'CSV抽出'!$C$6="",D1608='CSV抽出'!$C$6),OR('CSV抽出'!$C$7="",B1608&amp;""='CSV抽出'!$C$7&amp;"")),1,0))</f>
        <v/>
      </c>
      <c r="AI1608" s="20">
        <f>IF(AH1608=1,SUM($AH$5:AH1608),"")</f>
        <v/>
      </c>
      <c r="AJ1608" s="20">
        <f>IF(OR(S1608="",'報告書'!$C$4=""),"",IF(S1608&amp;""='報告書'!$C$4&amp;"",COUNTIF($S$5:S1608,'報告書'!$C$4),""))</f>
        <v/>
      </c>
      <c r="AK1608" s="20" t="n"/>
      <c r="AL1608" s="47" t="n"/>
      <c r="AM1608" s="47" t="n"/>
      <c r="AN1608" s="53" t="n"/>
      <c r="AO1608" s="47" t="n"/>
      <c r="AP1608" s="47" t="n"/>
      <c r="AQ1608" s="47" t="n"/>
      <c r="AR1608" s="47" t="n"/>
      <c r="AS1608" s="47" t="n"/>
      <c r="AT1608" s="47" t="n"/>
      <c r="AU1608" s="47" t="n"/>
      <c r="AV1608" s="47" t="n"/>
      <c r="AW1608" s="52" t="n"/>
    </row>
    <row r="1609">
      <c r="A1609" s="48" t="n"/>
      <c r="B1609" s="52" t="n"/>
      <c r="C1609" s="47">
        <f>IF(B1609="","",IFERROR(INDEX('隊員マスタ'!$B$5:$B$204,MATCH(B1609&amp;"",'隊員マスタ'!$F$5:$F$204,0)),IF(AK1609="","番号なし",AK1609)))</f>
        <v/>
      </c>
      <c r="D1609" s="47" t="n"/>
      <c r="E1609" s="47" t="n"/>
      <c r="F1609" s="47" t="n"/>
      <c r="G1609" s="47" t="n"/>
      <c r="H1609" s="47" t="n"/>
      <c r="I1609" s="47" t="n"/>
      <c r="J1609" s="47" t="n"/>
      <c r="K1609" s="47" t="n"/>
      <c r="L1609" s="47" t="n"/>
      <c r="M1609" s="47" t="n"/>
      <c r="N1609" s="47" t="n"/>
      <c r="O1609" s="47" t="n"/>
      <c r="P1609" s="47" t="n"/>
      <c r="Q1609" s="47" t="n"/>
      <c r="R1609" s="47" t="n"/>
      <c r="S1609" s="47" t="n"/>
      <c r="T1609" s="47" t="n"/>
      <c r="U1609" s="53" t="n"/>
      <c r="V1609" s="53" t="n"/>
      <c r="W1609" s="47" t="n"/>
      <c r="X1609" s="47" t="n"/>
      <c r="Y1609" s="47" t="n"/>
      <c r="Z1609" s="47" t="n"/>
      <c r="AA1609" s="47" t="n"/>
      <c r="AB1609" s="47" t="n"/>
      <c r="AC1609" s="47" t="n"/>
      <c r="AD1609" s="47" t="n"/>
      <c r="AE1609" s="47" t="n"/>
      <c r="AF1609" s="20">
        <f>IF(A1609="","",YEAR(EDATE(A1609,-3)))</f>
        <v/>
      </c>
      <c r="AG1609" s="20">
        <f>IF(OR(B1609="",'経歴簿'!$C$4=""),"",IF(B1609&amp;""='経歴簿'!$C$4&amp;"",MAX($AG$4:AG1608)+1,""))</f>
        <v/>
      </c>
      <c r="AH1609" s="20">
        <f>IF(A1609="",0,IF(AND(OR('CSV抽出'!$C$4="",A1609&gt;='CSV抽出'!$C$4),OR('CSV抽出'!$C$5="",A1609&lt;='CSV抽出'!$C$5),OR('CSV抽出'!$C$6="すべて",'CSV抽出'!$C$6="",D1609='CSV抽出'!$C$6),OR('CSV抽出'!$C$7="",B1609&amp;""='CSV抽出'!$C$7&amp;"")),1,0))</f>
        <v/>
      </c>
      <c r="AI1609" s="20">
        <f>IF(AH1609=1,SUM($AH$5:AH1609),"")</f>
        <v/>
      </c>
      <c r="AJ1609" s="20">
        <f>IF(OR(S1609="",'報告書'!$C$4=""),"",IF(S1609&amp;""='報告書'!$C$4&amp;"",COUNTIF($S$5:S1609,'報告書'!$C$4),""))</f>
        <v/>
      </c>
      <c r="AK1609" s="20" t="n"/>
      <c r="AL1609" s="47" t="n"/>
      <c r="AM1609" s="47" t="n"/>
      <c r="AN1609" s="53" t="n"/>
      <c r="AO1609" s="47" t="n"/>
      <c r="AP1609" s="47" t="n"/>
      <c r="AQ1609" s="47" t="n"/>
      <c r="AR1609" s="47" t="n"/>
      <c r="AS1609" s="47" t="n"/>
      <c r="AT1609" s="47" t="n"/>
      <c r="AU1609" s="47" t="n"/>
      <c r="AV1609" s="47" t="n"/>
      <c r="AW1609" s="52" t="n"/>
    </row>
    <row r="1610">
      <c r="A1610" s="48" t="n"/>
      <c r="B1610" s="52" t="n"/>
      <c r="C1610" s="47">
        <f>IF(B1610="","",IFERROR(INDEX('隊員マスタ'!$B$5:$B$204,MATCH(B1610&amp;"",'隊員マスタ'!$F$5:$F$204,0)),IF(AK1610="","番号なし",AK1610)))</f>
        <v/>
      </c>
      <c r="D1610" s="47" t="n"/>
      <c r="E1610" s="47" t="n"/>
      <c r="F1610" s="47" t="n"/>
      <c r="G1610" s="47" t="n"/>
      <c r="H1610" s="47" t="n"/>
      <c r="I1610" s="47" t="n"/>
      <c r="J1610" s="47" t="n"/>
      <c r="K1610" s="47" t="n"/>
      <c r="L1610" s="47" t="n"/>
      <c r="M1610" s="47" t="n"/>
      <c r="N1610" s="47" t="n"/>
      <c r="O1610" s="47" t="n"/>
      <c r="P1610" s="47" t="n"/>
      <c r="Q1610" s="47" t="n"/>
      <c r="R1610" s="47" t="n"/>
      <c r="S1610" s="47" t="n"/>
      <c r="T1610" s="47" t="n"/>
      <c r="U1610" s="53" t="n"/>
      <c r="V1610" s="53" t="n"/>
      <c r="W1610" s="47" t="n"/>
      <c r="X1610" s="47" t="n"/>
      <c r="Y1610" s="47" t="n"/>
      <c r="Z1610" s="47" t="n"/>
      <c r="AA1610" s="47" t="n"/>
      <c r="AB1610" s="47" t="n"/>
      <c r="AC1610" s="47" t="n"/>
      <c r="AD1610" s="47" t="n"/>
      <c r="AE1610" s="47" t="n"/>
      <c r="AF1610" s="20">
        <f>IF(A1610="","",YEAR(EDATE(A1610,-3)))</f>
        <v/>
      </c>
      <c r="AG1610" s="20">
        <f>IF(OR(B1610="",'経歴簿'!$C$4=""),"",IF(B1610&amp;""='経歴簿'!$C$4&amp;"",MAX($AG$4:AG1609)+1,""))</f>
        <v/>
      </c>
      <c r="AH1610" s="20">
        <f>IF(A1610="",0,IF(AND(OR('CSV抽出'!$C$4="",A1610&gt;='CSV抽出'!$C$4),OR('CSV抽出'!$C$5="",A1610&lt;='CSV抽出'!$C$5),OR('CSV抽出'!$C$6="すべて",'CSV抽出'!$C$6="",D1610='CSV抽出'!$C$6),OR('CSV抽出'!$C$7="",B1610&amp;""='CSV抽出'!$C$7&amp;"")),1,0))</f>
        <v/>
      </c>
      <c r="AI1610" s="20">
        <f>IF(AH1610=1,SUM($AH$5:AH1610),"")</f>
        <v/>
      </c>
      <c r="AJ1610" s="20">
        <f>IF(OR(S1610="",'報告書'!$C$4=""),"",IF(S1610&amp;""='報告書'!$C$4&amp;"",COUNTIF($S$5:S1610,'報告書'!$C$4),""))</f>
        <v/>
      </c>
      <c r="AK1610" s="20" t="n"/>
      <c r="AL1610" s="47" t="n"/>
      <c r="AM1610" s="47" t="n"/>
      <c r="AN1610" s="53" t="n"/>
      <c r="AO1610" s="47" t="n"/>
      <c r="AP1610" s="47" t="n"/>
      <c r="AQ1610" s="47" t="n"/>
      <c r="AR1610" s="47" t="n"/>
      <c r="AS1610" s="47" t="n"/>
      <c r="AT1610" s="47" t="n"/>
      <c r="AU1610" s="47" t="n"/>
      <c r="AV1610" s="47" t="n"/>
      <c r="AW1610" s="52" t="n"/>
    </row>
    <row r="1611">
      <c r="A1611" s="48" t="n"/>
      <c r="B1611" s="52" t="n"/>
      <c r="C1611" s="47">
        <f>IF(B1611="","",IFERROR(INDEX('隊員マスタ'!$B$5:$B$204,MATCH(B1611&amp;"",'隊員マスタ'!$F$5:$F$204,0)),IF(AK1611="","番号なし",AK1611)))</f>
        <v/>
      </c>
      <c r="D1611" s="47" t="n"/>
      <c r="E1611" s="47" t="n"/>
      <c r="F1611" s="47" t="n"/>
      <c r="G1611" s="47" t="n"/>
      <c r="H1611" s="47" t="n"/>
      <c r="I1611" s="47" t="n"/>
      <c r="J1611" s="47" t="n"/>
      <c r="K1611" s="47" t="n"/>
      <c r="L1611" s="47" t="n"/>
      <c r="M1611" s="47" t="n"/>
      <c r="N1611" s="47" t="n"/>
      <c r="O1611" s="47" t="n"/>
      <c r="P1611" s="47" t="n"/>
      <c r="Q1611" s="47" t="n"/>
      <c r="R1611" s="47" t="n"/>
      <c r="S1611" s="47" t="n"/>
      <c r="T1611" s="47" t="n"/>
      <c r="U1611" s="53" t="n"/>
      <c r="V1611" s="53" t="n"/>
      <c r="W1611" s="47" t="n"/>
      <c r="X1611" s="47" t="n"/>
      <c r="Y1611" s="47" t="n"/>
      <c r="Z1611" s="47" t="n"/>
      <c r="AA1611" s="47" t="n"/>
      <c r="AB1611" s="47" t="n"/>
      <c r="AC1611" s="47" t="n"/>
      <c r="AD1611" s="47" t="n"/>
      <c r="AE1611" s="47" t="n"/>
      <c r="AF1611" s="20">
        <f>IF(A1611="","",YEAR(EDATE(A1611,-3)))</f>
        <v/>
      </c>
      <c r="AG1611" s="20">
        <f>IF(OR(B1611="",'経歴簿'!$C$4=""),"",IF(B1611&amp;""='経歴簿'!$C$4&amp;"",MAX($AG$4:AG1610)+1,""))</f>
        <v/>
      </c>
      <c r="AH1611" s="20">
        <f>IF(A1611="",0,IF(AND(OR('CSV抽出'!$C$4="",A1611&gt;='CSV抽出'!$C$4),OR('CSV抽出'!$C$5="",A1611&lt;='CSV抽出'!$C$5),OR('CSV抽出'!$C$6="すべて",'CSV抽出'!$C$6="",D1611='CSV抽出'!$C$6),OR('CSV抽出'!$C$7="",B1611&amp;""='CSV抽出'!$C$7&amp;"")),1,0))</f>
        <v/>
      </c>
      <c r="AI1611" s="20">
        <f>IF(AH1611=1,SUM($AH$5:AH1611),"")</f>
        <v/>
      </c>
      <c r="AJ1611" s="20">
        <f>IF(OR(S1611="",'報告書'!$C$4=""),"",IF(S1611&amp;""='報告書'!$C$4&amp;"",COUNTIF($S$5:S1611,'報告書'!$C$4),""))</f>
        <v/>
      </c>
      <c r="AK1611" s="20" t="n"/>
      <c r="AL1611" s="47" t="n"/>
      <c r="AM1611" s="47" t="n"/>
      <c r="AN1611" s="53" t="n"/>
      <c r="AO1611" s="47" t="n"/>
      <c r="AP1611" s="47" t="n"/>
      <c r="AQ1611" s="47" t="n"/>
      <c r="AR1611" s="47" t="n"/>
      <c r="AS1611" s="47" t="n"/>
      <c r="AT1611" s="47" t="n"/>
      <c r="AU1611" s="47" t="n"/>
      <c r="AV1611" s="47" t="n"/>
      <c r="AW1611" s="52" t="n"/>
    </row>
    <row r="1612">
      <c r="A1612" s="48" t="n"/>
      <c r="B1612" s="52" t="n"/>
      <c r="C1612" s="47">
        <f>IF(B1612="","",IFERROR(INDEX('隊員マスタ'!$B$5:$B$204,MATCH(B1612&amp;"",'隊員マスタ'!$F$5:$F$204,0)),IF(AK1612="","番号なし",AK1612)))</f>
        <v/>
      </c>
      <c r="D1612" s="47" t="n"/>
      <c r="E1612" s="47" t="n"/>
      <c r="F1612" s="47" t="n"/>
      <c r="G1612" s="47" t="n"/>
      <c r="H1612" s="47" t="n"/>
      <c r="I1612" s="47" t="n"/>
      <c r="J1612" s="47" t="n"/>
      <c r="K1612" s="47" t="n"/>
      <c r="L1612" s="47" t="n"/>
      <c r="M1612" s="47" t="n"/>
      <c r="N1612" s="47" t="n"/>
      <c r="O1612" s="47" t="n"/>
      <c r="P1612" s="47" t="n"/>
      <c r="Q1612" s="47" t="n"/>
      <c r="R1612" s="47" t="n"/>
      <c r="S1612" s="47" t="n"/>
      <c r="T1612" s="47" t="n"/>
      <c r="U1612" s="53" t="n"/>
      <c r="V1612" s="53" t="n"/>
      <c r="W1612" s="47" t="n"/>
      <c r="X1612" s="47" t="n"/>
      <c r="Y1612" s="47" t="n"/>
      <c r="Z1612" s="47" t="n"/>
      <c r="AA1612" s="47" t="n"/>
      <c r="AB1612" s="47" t="n"/>
      <c r="AC1612" s="47" t="n"/>
      <c r="AD1612" s="47" t="n"/>
      <c r="AE1612" s="47" t="n"/>
      <c r="AF1612" s="20">
        <f>IF(A1612="","",YEAR(EDATE(A1612,-3)))</f>
        <v/>
      </c>
      <c r="AG1612" s="20">
        <f>IF(OR(B1612="",'経歴簿'!$C$4=""),"",IF(B1612&amp;""='経歴簿'!$C$4&amp;"",MAX($AG$4:AG1611)+1,""))</f>
        <v/>
      </c>
      <c r="AH1612" s="20">
        <f>IF(A1612="",0,IF(AND(OR('CSV抽出'!$C$4="",A1612&gt;='CSV抽出'!$C$4),OR('CSV抽出'!$C$5="",A1612&lt;='CSV抽出'!$C$5),OR('CSV抽出'!$C$6="すべて",'CSV抽出'!$C$6="",D1612='CSV抽出'!$C$6),OR('CSV抽出'!$C$7="",B1612&amp;""='CSV抽出'!$C$7&amp;"")),1,0))</f>
        <v/>
      </c>
      <c r="AI1612" s="20">
        <f>IF(AH1612=1,SUM($AH$5:AH1612),"")</f>
        <v/>
      </c>
      <c r="AJ1612" s="20">
        <f>IF(OR(S1612="",'報告書'!$C$4=""),"",IF(S1612&amp;""='報告書'!$C$4&amp;"",COUNTIF($S$5:S1612,'報告書'!$C$4),""))</f>
        <v/>
      </c>
      <c r="AK1612" s="20" t="n"/>
      <c r="AL1612" s="47" t="n"/>
      <c r="AM1612" s="47" t="n"/>
      <c r="AN1612" s="53" t="n"/>
      <c r="AO1612" s="47" t="n"/>
      <c r="AP1612" s="47" t="n"/>
      <c r="AQ1612" s="47" t="n"/>
      <c r="AR1612" s="47" t="n"/>
      <c r="AS1612" s="47" t="n"/>
      <c r="AT1612" s="47" t="n"/>
      <c r="AU1612" s="47" t="n"/>
      <c r="AV1612" s="47" t="n"/>
      <c r="AW1612" s="52" t="n"/>
    </row>
    <row r="1613">
      <c r="A1613" s="48" t="n"/>
      <c r="B1613" s="52" t="n"/>
      <c r="C1613" s="47">
        <f>IF(B1613="","",IFERROR(INDEX('隊員マスタ'!$B$5:$B$204,MATCH(B1613&amp;"",'隊員マスタ'!$F$5:$F$204,0)),IF(AK1613="","番号なし",AK1613)))</f>
        <v/>
      </c>
      <c r="D1613" s="47" t="n"/>
      <c r="E1613" s="47" t="n"/>
      <c r="F1613" s="47" t="n"/>
      <c r="G1613" s="47" t="n"/>
      <c r="H1613" s="47" t="n"/>
      <c r="I1613" s="47" t="n"/>
      <c r="J1613" s="47" t="n"/>
      <c r="K1613" s="47" t="n"/>
      <c r="L1613" s="47" t="n"/>
      <c r="M1613" s="47" t="n"/>
      <c r="N1613" s="47" t="n"/>
      <c r="O1613" s="47" t="n"/>
      <c r="P1613" s="47" t="n"/>
      <c r="Q1613" s="47" t="n"/>
      <c r="R1613" s="47" t="n"/>
      <c r="S1613" s="47" t="n"/>
      <c r="T1613" s="47" t="n"/>
      <c r="U1613" s="53" t="n"/>
      <c r="V1613" s="53" t="n"/>
      <c r="W1613" s="47" t="n"/>
      <c r="X1613" s="47" t="n"/>
      <c r="Y1613" s="47" t="n"/>
      <c r="Z1613" s="47" t="n"/>
      <c r="AA1613" s="47" t="n"/>
      <c r="AB1613" s="47" t="n"/>
      <c r="AC1613" s="47" t="n"/>
      <c r="AD1613" s="47" t="n"/>
      <c r="AE1613" s="47" t="n"/>
      <c r="AF1613" s="20">
        <f>IF(A1613="","",YEAR(EDATE(A1613,-3)))</f>
        <v/>
      </c>
      <c r="AG1613" s="20">
        <f>IF(OR(B1613="",'経歴簿'!$C$4=""),"",IF(B1613&amp;""='経歴簿'!$C$4&amp;"",MAX($AG$4:AG1612)+1,""))</f>
        <v/>
      </c>
      <c r="AH1613" s="20">
        <f>IF(A1613="",0,IF(AND(OR('CSV抽出'!$C$4="",A1613&gt;='CSV抽出'!$C$4),OR('CSV抽出'!$C$5="",A1613&lt;='CSV抽出'!$C$5),OR('CSV抽出'!$C$6="すべて",'CSV抽出'!$C$6="",D1613='CSV抽出'!$C$6),OR('CSV抽出'!$C$7="",B1613&amp;""='CSV抽出'!$C$7&amp;"")),1,0))</f>
        <v/>
      </c>
      <c r="AI1613" s="20">
        <f>IF(AH1613=1,SUM($AH$5:AH1613),"")</f>
        <v/>
      </c>
      <c r="AJ1613" s="20">
        <f>IF(OR(S1613="",'報告書'!$C$4=""),"",IF(S1613&amp;""='報告書'!$C$4&amp;"",COUNTIF($S$5:S1613,'報告書'!$C$4),""))</f>
        <v/>
      </c>
      <c r="AK1613" s="20" t="n"/>
      <c r="AL1613" s="47" t="n"/>
      <c r="AM1613" s="47" t="n"/>
      <c r="AN1613" s="53" t="n"/>
      <c r="AO1613" s="47" t="n"/>
      <c r="AP1613" s="47" t="n"/>
      <c r="AQ1613" s="47" t="n"/>
      <c r="AR1613" s="47" t="n"/>
      <c r="AS1613" s="47" t="n"/>
      <c r="AT1613" s="47" t="n"/>
      <c r="AU1613" s="47" t="n"/>
      <c r="AV1613" s="47" t="n"/>
      <c r="AW1613" s="52" t="n"/>
    </row>
    <row r="1614">
      <c r="A1614" s="48" t="n"/>
      <c r="B1614" s="52" t="n"/>
      <c r="C1614" s="47">
        <f>IF(B1614="","",IFERROR(INDEX('隊員マスタ'!$B$5:$B$204,MATCH(B1614&amp;"",'隊員マスタ'!$F$5:$F$204,0)),IF(AK1614="","番号なし",AK1614)))</f>
        <v/>
      </c>
      <c r="D1614" s="47" t="n"/>
      <c r="E1614" s="47" t="n"/>
      <c r="F1614" s="47" t="n"/>
      <c r="G1614" s="47" t="n"/>
      <c r="H1614" s="47" t="n"/>
      <c r="I1614" s="47" t="n"/>
      <c r="J1614" s="47" t="n"/>
      <c r="K1614" s="47" t="n"/>
      <c r="L1614" s="47" t="n"/>
      <c r="M1614" s="47" t="n"/>
      <c r="N1614" s="47" t="n"/>
      <c r="O1614" s="47" t="n"/>
      <c r="P1614" s="47" t="n"/>
      <c r="Q1614" s="47" t="n"/>
      <c r="R1614" s="47" t="n"/>
      <c r="S1614" s="47" t="n"/>
      <c r="T1614" s="47" t="n"/>
      <c r="U1614" s="53" t="n"/>
      <c r="V1614" s="53" t="n"/>
      <c r="W1614" s="47" t="n"/>
      <c r="X1614" s="47" t="n"/>
      <c r="Y1614" s="47" t="n"/>
      <c r="Z1614" s="47" t="n"/>
      <c r="AA1614" s="47" t="n"/>
      <c r="AB1614" s="47" t="n"/>
      <c r="AC1614" s="47" t="n"/>
      <c r="AD1614" s="47" t="n"/>
      <c r="AE1614" s="47" t="n"/>
      <c r="AF1614" s="20">
        <f>IF(A1614="","",YEAR(EDATE(A1614,-3)))</f>
        <v/>
      </c>
      <c r="AG1614" s="20">
        <f>IF(OR(B1614="",'経歴簿'!$C$4=""),"",IF(B1614&amp;""='経歴簿'!$C$4&amp;"",MAX($AG$4:AG1613)+1,""))</f>
        <v/>
      </c>
      <c r="AH1614" s="20">
        <f>IF(A1614="",0,IF(AND(OR('CSV抽出'!$C$4="",A1614&gt;='CSV抽出'!$C$4),OR('CSV抽出'!$C$5="",A1614&lt;='CSV抽出'!$C$5),OR('CSV抽出'!$C$6="すべて",'CSV抽出'!$C$6="",D1614='CSV抽出'!$C$6),OR('CSV抽出'!$C$7="",B1614&amp;""='CSV抽出'!$C$7&amp;"")),1,0))</f>
        <v/>
      </c>
      <c r="AI1614" s="20">
        <f>IF(AH1614=1,SUM($AH$5:AH1614),"")</f>
        <v/>
      </c>
      <c r="AJ1614" s="20">
        <f>IF(OR(S1614="",'報告書'!$C$4=""),"",IF(S1614&amp;""='報告書'!$C$4&amp;"",COUNTIF($S$5:S1614,'報告書'!$C$4),""))</f>
        <v/>
      </c>
      <c r="AK1614" s="20" t="n"/>
      <c r="AL1614" s="47" t="n"/>
      <c r="AM1614" s="47" t="n"/>
      <c r="AN1614" s="53" t="n"/>
      <c r="AO1614" s="47" t="n"/>
      <c r="AP1614" s="47" t="n"/>
      <c r="AQ1614" s="47" t="n"/>
      <c r="AR1614" s="47" t="n"/>
      <c r="AS1614" s="47" t="n"/>
      <c r="AT1614" s="47" t="n"/>
      <c r="AU1614" s="47" t="n"/>
      <c r="AV1614" s="47" t="n"/>
      <c r="AW1614" s="52" t="n"/>
    </row>
    <row r="1615">
      <c r="A1615" s="48" t="n"/>
      <c r="B1615" s="52" t="n"/>
      <c r="C1615" s="47">
        <f>IF(B1615="","",IFERROR(INDEX('隊員マスタ'!$B$5:$B$204,MATCH(B1615&amp;"",'隊員マスタ'!$F$5:$F$204,0)),IF(AK1615="","番号なし",AK1615)))</f>
        <v/>
      </c>
      <c r="D1615" s="47" t="n"/>
      <c r="E1615" s="47" t="n"/>
      <c r="F1615" s="47" t="n"/>
      <c r="G1615" s="47" t="n"/>
      <c r="H1615" s="47" t="n"/>
      <c r="I1615" s="47" t="n"/>
      <c r="J1615" s="47" t="n"/>
      <c r="K1615" s="47" t="n"/>
      <c r="L1615" s="47" t="n"/>
      <c r="M1615" s="47" t="n"/>
      <c r="N1615" s="47" t="n"/>
      <c r="O1615" s="47" t="n"/>
      <c r="P1615" s="47" t="n"/>
      <c r="Q1615" s="47" t="n"/>
      <c r="R1615" s="47" t="n"/>
      <c r="S1615" s="47" t="n"/>
      <c r="T1615" s="47" t="n"/>
      <c r="U1615" s="53" t="n"/>
      <c r="V1615" s="53" t="n"/>
      <c r="W1615" s="47" t="n"/>
      <c r="X1615" s="47" t="n"/>
      <c r="Y1615" s="47" t="n"/>
      <c r="Z1615" s="47" t="n"/>
      <c r="AA1615" s="47" t="n"/>
      <c r="AB1615" s="47" t="n"/>
      <c r="AC1615" s="47" t="n"/>
      <c r="AD1615" s="47" t="n"/>
      <c r="AE1615" s="47" t="n"/>
      <c r="AF1615" s="20">
        <f>IF(A1615="","",YEAR(EDATE(A1615,-3)))</f>
        <v/>
      </c>
      <c r="AG1615" s="20">
        <f>IF(OR(B1615="",'経歴簿'!$C$4=""),"",IF(B1615&amp;""='経歴簿'!$C$4&amp;"",MAX($AG$4:AG1614)+1,""))</f>
        <v/>
      </c>
      <c r="AH1615" s="20">
        <f>IF(A1615="",0,IF(AND(OR('CSV抽出'!$C$4="",A1615&gt;='CSV抽出'!$C$4),OR('CSV抽出'!$C$5="",A1615&lt;='CSV抽出'!$C$5),OR('CSV抽出'!$C$6="すべて",'CSV抽出'!$C$6="",D1615='CSV抽出'!$C$6),OR('CSV抽出'!$C$7="",B1615&amp;""='CSV抽出'!$C$7&amp;"")),1,0))</f>
        <v/>
      </c>
      <c r="AI1615" s="20">
        <f>IF(AH1615=1,SUM($AH$5:AH1615),"")</f>
        <v/>
      </c>
      <c r="AJ1615" s="20">
        <f>IF(OR(S1615="",'報告書'!$C$4=""),"",IF(S1615&amp;""='報告書'!$C$4&amp;"",COUNTIF($S$5:S1615,'報告書'!$C$4),""))</f>
        <v/>
      </c>
      <c r="AK1615" s="20" t="n"/>
      <c r="AL1615" s="47" t="n"/>
      <c r="AM1615" s="47" t="n"/>
      <c r="AN1615" s="53" t="n"/>
      <c r="AO1615" s="47" t="n"/>
      <c r="AP1615" s="47" t="n"/>
      <c r="AQ1615" s="47" t="n"/>
      <c r="AR1615" s="47" t="n"/>
      <c r="AS1615" s="47" t="n"/>
      <c r="AT1615" s="47" t="n"/>
      <c r="AU1615" s="47" t="n"/>
      <c r="AV1615" s="47" t="n"/>
      <c r="AW1615" s="52" t="n"/>
    </row>
    <row r="1616">
      <c r="A1616" s="48" t="n"/>
      <c r="B1616" s="52" t="n"/>
      <c r="C1616" s="47">
        <f>IF(B1616="","",IFERROR(INDEX('隊員マスタ'!$B$5:$B$204,MATCH(B1616&amp;"",'隊員マスタ'!$F$5:$F$204,0)),IF(AK1616="","番号なし",AK1616)))</f>
        <v/>
      </c>
      <c r="D1616" s="47" t="n"/>
      <c r="E1616" s="47" t="n"/>
      <c r="F1616" s="47" t="n"/>
      <c r="G1616" s="47" t="n"/>
      <c r="H1616" s="47" t="n"/>
      <c r="I1616" s="47" t="n"/>
      <c r="J1616" s="47" t="n"/>
      <c r="K1616" s="47" t="n"/>
      <c r="L1616" s="47" t="n"/>
      <c r="M1616" s="47" t="n"/>
      <c r="N1616" s="47" t="n"/>
      <c r="O1616" s="47" t="n"/>
      <c r="P1616" s="47" t="n"/>
      <c r="Q1616" s="47" t="n"/>
      <c r="R1616" s="47" t="n"/>
      <c r="S1616" s="47" t="n"/>
      <c r="T1616" s="47" t="n"/>
      <c r="U1616" s="53" t="n"/>
      <c r="V1616" s="53" t="n"/>
      <c r="W1616" s="47" t="n"/>
      <c r="X1616" s="47" t="n"/>
      <c r="Y1616" s="47" t="n"/>
      <c r="Z1616" s="47" t="n"/>
      <c r="AA1616" s="47" t="n"/>
      <c r="AB1616" s="47" t="n"/>
      <c r="AC1616" s="47" t="n"/>
      <c r="AD1616" s="47" t="n"/>
      <c r="AE1616" s="47" t="n"/>
      <c r="AF1616" s="20">
        <f>IF(A1616="","",YEAR(EDATE(A1616,-3)))</f>
        <v/>
      </c>
      <c r="AG1616" s="20">
        <f>IF(OR(B1616="",'経歴簿'!$C$4=""),"",IF(B1616&amp;""='経歴簿'!$C$4&amp;"",MAX($AG$4:AG1615)+1,""))</f>
        <v/>
      </c>
      <c r="AH1616" s="20">
        <f>IF(A1616="",0,IF(AND(OR('CSV抽出'!$C$4="",A1616&gt;='CSV抽出'!$C$4),OR('CSV抽出'!$C$5="",A1616&lt;='CSV抽出'!$C$5),OR('CSV抽出'!$C$6="すべて",'CSV抽出'!$C$6="",D1616='CSV抽出'!$C$6),OR('CSV抽出'!$C$7="",B1616&amp;""='CSV抽出'!$C$7&amp;"")),1,0))</f>
        <v/>
      </c>
      <c r="AI1616" s="20">
        <f>IF(AH1616=1,SUM($AH$5:AH1616),"")</f>
        <v/>
      </c>
      <c r="AJ1616" s="20">
        <f>IF(OR(S1616="",'報告書'!$C$4=""),"",IF(S1616&amp;""='報告書'!$C$4&amp;"",COUNTIF($S$5:S1616,'報告書'!$C$4),""))</f>
        <v/>
      </c>
      <c r="AK1616" s="20" t="n"/>
      <c r="AL1616" s="47" t="n"/>
      <c r="AM1616" s="47" t="n"/>
      <c r="AN1616" s="53" t="n"/>
      <c r="AO1616" s="47" t="n"/>
      <c r="AP1616" s="47" t="n"/>
      <c r="AQ1616" s="47" t="n"/>
      <c r="AR1616" s="47" t="n"/>
      <c r="AS1616" s="47" t="n"/>
      <c r="AT1616" s="47" t="n"/>
      <c r="AU1616" s="47" t="n"/>
      <c r="AV1616" s="47" t="n"/>
      <c r="AW1616" s="52" t="n"/>
    </row>
    <row r="1617">
      <c r="A1617" s="48" t="n"/>
      <c r="B1617" s="52" t="n"/>
      <c r="C1617" s="47">
        <f>IF(B1617="","",IFERROR(INDEX('隊員マスタ'!$B$5:$B$204,MATCH(B1617&amp;"",'隊員マスタ'!$F$5:$F$204,0)),IF(AK1617="","番号なし",AK1617)))</f>
        <v/>
      </c>
      <c r="D1617" s="47" t="n"/>
      <c r="E1617" s="47" t="n"/>
      <c r="F1617" s="47" t="n"/>
      <c r="G1617" s="47" t="n"/>
      <c r="H1617" s="47" t="n"/>
      <c r="I1617" s="47" t="n"/>
      <c r="J1617" s="47" t="n"/>
      <c r="K1617" s="47" t="n"/>
      <c r="L1617" s="47" t="n"/>
      <c r="M1617" s="47" t="n"/>
      <c r="N1617" s="47" t="n"/>
      <c r="O1617" s="47" t="n"/>
      <c r="P1617" s="47" t="n"/>
      <c r="Q1617" s="47" t="n"/>
      <c r="R1617" s="47" t="n"/>
      <c r="S1617" s="47" t="n"/>
      <c r="T1617" s="47" t="n"/>
      <c r="U1617" s="53" t="n"/>
      <c r="V1617" s="53" t="n"/>
      <c r="W1617" s="47" t="n"/>
      <c r="X1617" s="47" t="n"/>
      <c r="Y1617" s="47" t="n"/>
      <c r="Z1617" s="47" t="n"/>
      <c r="AA1617" s="47" t="n"/>
      <c r="AB1617" s="47" t="n"/>
      <c r="AC1617" s="47" t="n"/>
      <c r="AD1617" s="47" t="n"/>
      <c r="AE1617" s="47" t="n"/>
      <c r="AF1617" s="20">
        <f>IF(A1617="","",YEAR(EDATE(A1617,-3)))</f>
        <v/>
      </c>
      <c r="AG1617" s="20">
        <f>IF(OR(B1617="",'経歴簿'!$C$4=""),"",IF(B1617&amp;""='経歴簿'!$C$4&amp;"",MAX($AG$4:AG1616)+1,""))</f>
        <v/>
      </c>
      <c r="AH1617" s="20">
        <f>IF(A1617="",0,IF(AND(OR('CSV抽出'!$C$4="",A1617&gt;='CSV抽出'!$C$4),OR('CSV抽出'!$C$5="",A1617&lt;='CSV抽出'!$C$5),OR('CSV抽出'!$C$6="すべて",'CSV抽出'!$C$6="",D1617='CSV抽出'!$C$6),OR('CSV抽出'!$C$7="",B1617&amp;""='CSV抽出'!$C$7&amp;"")),1,0))</f>
        <v/>
      </c>
      <c r="AI1617" s="20">
        <f>IF(AH1617=1,SUM($AH$5:AH1617),"")</f>
        <v/>
      </c>
      <c r="AJ1617" s="20">
        <f>IF(OR(S1617="",'報告書'!$C$4=""),"",IF(S1617&amp;""='報告書'!$C$4&amp;"",COUNTIF($S$5:S1617,'報告書'!$C$4),""))</f>
        <v/>
      </c>
      <c r="AK1617" s="20" t="n"/>
      <c r="AL1617" s="47" t="n"/>
      <c r="AM1617" s="47" t="n"/>
      <c r="AN1617" s="53" t="n"/>
      <c r="AO1617" s="47" t="n"/>
      <c r="AP1617" s="47" t="n"/>
      <c r="AQ1617" s="47" t="n"/>
      <c r="AR1617" s="47" t="n"/>
      <c r="AS1617" s="47" t="n"/>
      <c r="AT1617" s="47" t="n"/>
      <c r="AU1617" s="47" t="n"/>
      <c r="AV1617" s="47" t="n"/>
      <c r="AW1617" s="52" t="n"/>
    </row>
    <row r="1618">
      <c r="A1618" s="48" t="n"/>
      <c r="B1618" s="52" t="n"/>
      <c r="C1618" s="47">
        <f>IF(B1618="","",IFERROR(INDEX('隊員マスタ'!$B$5:$B$204,MATCH(B1618&amp;"",'隊員マスタ'!$F$5:$F$204,0)),IF(AK1618="","番号なし",AK1618)))</f>
        <v/>
      </c>
      <c r="D1618" s="47" t="n"/>
      <c r="E1618" s="47" t="n"/>
      <c r="F1618" s="47" t="n"/>
      <c r="G1618" s="47" t="n"/>
      <c r="H1618" s="47" t="n"/>
      <c r="I1618" s="47" t="n"/>
      <c r="J1618" s="47" t="n"/>
      <c r="K1618" s="47" t="n"/>
      <c r="L1618" s="47" t="n"/>
      <c r="M1618" s="47" t="n"/>
      <c r="N1618" s="47" t="n"/>
      <c r="O1618" s="47" t="n"/>
      <c r="P1618" s="47" t="n"/>
      <c r="Q1618" s="47" t="n"/>
      <c r="R1618" s="47" t="n"/>
      <c r="S1618" s="47" t="n"/>
      <c r="T1618" s="47" t="n"/>
      <c r="U1618" s="53" t="n"/>
      <c r="V1618" s="53" t="n"/>
      <c r="W1618" s="47" t="n"/>
      <c r="X1618" s="47" t="n"/>
      <c r="Y1618" s="47" t="n"/>
      <c r="Z1618" s="47" t="n"/>
      <c r="AA1618" s="47" t="n"/>
      <c r="AB1618" s="47" t="n"/>
      <c r="AC1618" s="47" t="n"/>
      <c r="AD1618" s="47" t="n"/>
      <c r="AE1618" s="47" t="n"/>
      <c r="AF1618" s="20">
        <f>IF(A1618="","",YEAR(EDATE(A1618,-3)))</f>
        <v/>
      </c>
      <c r="AG1618" s="20">
        <f>IF(OR(B1618="",'経歴簿'!$C$4=""),"",IF(B1618&amp;""='経歴簿'!$C$4&amp;"",MAX($AG$4:AG1617)+1,""))</f>
        <v/>
      </c>
      <c r="AH1618" s="20">
        <f>IF(A1618="",0,IF(AND(OR('CSV抽出'!$C$4="",A1618&gt;='CSV抽出'!$C$4),OR('CSV抽出'!$C$5="",A1618&lt;='CSV抽出'!$C$5),OR('CSV抽出'!$C$6="すべて",'CSV抽出'!$C$6="",D1618='CSV抽出'!$C$6),OR('CSV抽出'!$C$7="",B1618&amp;""='CSV抽出'!$C$7&amp;"")),1,0))</f>
        <v/>
      </c>
      <c r="AI1618" s="20">
        <f>IF(AH1618=1,SUM($AH$5:AH1618),"")</f>
        <v/>
      </c>
      <c r="AJ1618" s="20">
        <f>IF(OR(S1618="",'報告書'!$C$4=""),"",IF(S1618&amp;""='報告書'!$C$4&amp;"",COUNTIF($S$5:S1618,'報告書'!$C$4),""))</f>
        <v/>
      </c>
      <c r="AK1618" s="20" t="n"/>
      <c r="AL1618" s="47" t="n"/>
      <c r="AM1618" s="47" t="n"/>
      <c r="AN1618" s="53" t="n"/>
      <c r="AO1618" s="47" t="n"/>
      <c r="AP1618" s="47" t="n"/>
      <c r="AQ1618" s="47" t="n"/>
      <c r="AR1618" s="47" t="n"/>
      <c r="AS1618" s="47" t="n"/>
      <c r="AT1618" s="47" t="n"/>
      <c r="AU1618" s="47" t="n"/>
      <c r="AV1618" s="47" t="n"/>
      <c r="AW1618" s="52" t="n"/>
    </row>
    <row r="1619">
      <c r="A1619" s="48" t="n"/>
      <c r="B1619" s="52" t="n"/>
      <c r="C1619" s="47">
        <f>IF(B1619="","",IFERROR(INDEX('隊員マスタ'!$B$5:$B$204,MATCH(B1619&amp;"",'隊員マスタ'!$F$5:$F$204,0)),IF(AK1619="","番号なし",AK1619)))</f>
        <v/>
      </c>
      <c r="D1619" s="47" t="n"/>
      <c r="E1619" s="47" t="n"/>
      <c r="F1619" s="47" t="n"/>
      <c r="G1619" s="47" t="n"/>
      <c r="H1619" s="47" t="n"/>
      <c r="I1619" s="47" t="n"/>
      <c r="J1619" s="47" t="n"/>
      <c r="K1619" s="47" t="n"/>
      <c r="L1619" s="47" t="n"/>
      <c r="M1619" s="47" t="n"/>
      <c r="N1619" s="47" t="n"/>
      <c r="O1619" s="47" t="n"/>
      <c r="P1619" s="47" t="n"/>
      <c r="Q1619" s="47" t="n"/>
      <c r="R1619" s="47" t="n"/>
      <c r="S1619" s="47" t="n"/>
      <c r="T1619" s="47" t="n"/>
      <c r="U1619" s="53" t="n"/>
      <c r="V1619" s="53" t="n"/>
      <c r="W1619" s="47" t="n"/>
      <c r="X1619" s="47" t="n"/>
      <c r="Y1619" s="47" t="n"/>
      <c r="Z1619" s="47" t="n"/>
      <c r="AA1619" s="47" t="n"/>
      <c r="AB1619" s="47" t="n"/>
      <c r="AC1619" s="47" t="n"/>
      <c r="AD1619" s="47" t="n"/>
      <c r="AE1619" s="47" t="n"/>
      <c r="AF1619" s="20">
        <f>IF(A1619="","",YEAR(EDATE(A1619,-3)))</f>
        <v/>
      </c>
      <c r="AG1619" s="20">
        <f>IF(OR(B1619="",'経歴簿'!$C$4=""),"",IF(B1619&amp;""='経歴簿'!$C$4&amp;"",MAX($AG$4:AG1618)+1,""))</f>
        <v/>
      </c>
      <c r="AH1619" s="20">
        <f>IF(A1619="",0,IF(AND(OR('CSV抽出'!$C$4="",A1619&gt;='CSV抽出'!$C$4),OR('CSV抽出'!$C$5="",A1619&lt;='CSV抽出'!$C$5),OR('CSV抽出'!$C$6="すべて",'CSV抽出'!$C$6="",D1619='CSV抽出'!$C$6),OR('CSV抽出'!$C$7="",B1619&amp;""='CSV抽出'!$C$7&amp;"")),1,0))</f>
        <v/>
      </c>
      <c r="AI1619" s="20">
        <f>IF(AH1619=1,SUM($AH$5:AH1619),"")</f>
        <v/>
      </c>
      <c r="AJ1619" s="20">
        <f>IF(OR(S1619="",'報告書'!$C$4=""),"",IF(S1619&amp;""='報告書'!$C$4&amp;"",COUNTIF($S$5:S1619,'報告書'!$C$4),""))</f>
        <v/>
      </c>
      <c r="AK1619" s="20" t="n"/>
      <c r="AL1619" s="47" t="n"/>
      <c r="AM1619" s="47" t="n"/>
      <c r="AN1619" s="53" t="n"/>
      <c r="AO1619" s="47" t="n"/>
      <c r="AP1619" s="47" t="n"/>
      <c r="AQ1619" s="47" t="n"/>
      <c r="AR1619" s="47" t="n"/>
      <c r="AS1619" s="47" t="n"/>
      <c r="AT1619" s="47" t="n"/>
      <c r="AU1619" s="47" t="n"/>
      <c r="AV1619" s="47" t="n"/>
      <c r="AW1619" s="52" t="n"/>
    </row>
    <row r="1620">
      <c r="A1620" s="48" t="n"/>
      <c r="B1620" s="52" t="n"/>
      <c r="C1620" s="47">
        <f>IF(B1620="","",IFERROR(INDEX('隊員マスタ'!$B$5:$B$204,MATCH(B1620&amp;"",'隊員マスタ'!$F$5:$F$204,0)),IF(AK1620="","番号なし",AK1620)))</f>
        <v/>
      </c>
      <c r="D1620" s="47" t="n"/>
      <c r="E1620" s="47" t="n"/>
      <c r="F1620" s="47" t="n"/>
      <c r="G1620" s="47" t="n"/>
      <c r="H1620" s="47" t="n"/>
      <c r="I1620" s="47" t="n"/>
      <c r="J1620" s="47" t="n"/>
      <c r="K1620" s="47" t="n"/>
      <c r="L1620" s="47" t="n"/>
      <c r="M1620" s="47" t="n"/>
      <c r="N1620" s="47" t="n"/>
      <c r="O1620" s="47" t="n"/>
      <c r="P1620" s="47" t="n"/>
      <c r="Q1620" s="47" t="n"/>
      <c r="R1620" s="47" t="n"/>
      <c r="S1620" s="47" t="n"/>
      <c r="T1620" s="47" t="n"/>
      <c r="U1620" s="53" t="n"/>
      <c r="V1620" s="53" t="n"/>
      <c r="W1620" s="47" t="n"/>
      <c r="X1620" s="47" t="n"/>
      <c r="Y1620" s="47" t="n"/>
      <c r="Z1620" s="47" t="n"/>
      <c r="AA1620" s="47" t="n"/>
      <c r="AB1620" s="47" t="n"/>
      <c r="AC1620" s="47" t="n"/>
      <c r="AD1620" s="47" t="n"/>
      <c r="AE1620" s="47" t="n"/>
      <c r="AF1620" s="20">
        <f>IF(A1620="","",YEAR(EDATE(A1620,-3)))</f>
        <v/>
      </c>
      <c r="AG1620" s="20">
        <f>IF(OR(B1620="",'経歴簿'!$C$4=""),"",IF(B1620&amp;""='経歴簿'!$C$4&amp;"",MAX($AG$4:AG1619)+1,""))</f>
        <v/>
      </c>
      <c r="AH1620" s="20">
        <f>IF(A1620="",0,IF(AND(OR('CSV抽出'!$C$4="",A1620&gt;='CSV抽出'!$C$4),OR('CSV抽出'!$C$5="",A1620&lt;='CSV抽出'!$C$5),OR('CSV抽出'!$C$6="すべて",'CSV抽出'!$C$6="",D1620='CSV抽出'!$C$6),OR('CSV抽出'!$C$7="",B1620&amp;""='CSV抽出'!$C$7&amp;"")),1,0))</f>
        <v/>
      </c>
      <c r="AI1620" s="20">
        <f>IF(AH1620=1,SUM($AH$5:AH1620),"")</f>
        <v/>
      </c>
      <c r="AJ1620" s="20">
        <f>IF(OR(S1620="",'報告書'!$C$4=""),"",IF(S1620&amp;""='報告書'!$C$4&amp;"",COUNTIF($S$5:S1620,'報告書'!$C$4),""))</f>
        <v/>
      </c>
      <c r="AK1620" s="20" t="n"/>
      <c r="AL1620" s="47" t="n"/>
      <c r="AM1620" s="47" t="n"/>
      <c r="AN1620" s="53" t="n"/>
      <c r="AO1620" s="47" t="n"/>
      <c r="AP1620" s="47" t="n"/>
      <c r="AQ1620" s="47" t="n"/>
      <c r="AR1620" s="47" t="n"/>
      <c r="AS1620" s="47" t="n"/>
      <c r="AT1620" s="47" t="n"/>
      <c r="AU1620" s="47" t="n"/>
      <c r="AV1620" s="47" t="n"/>
      <c r="AW1620" s="52" t="n"/>
    </row>
    <row r="1621">
      <c r="A1621" s="48" t="n"/>
      <c r="B1621" s="52" t="n"/>
      <c r="C1621" s="47">
        <f>IF(B1621="","",IFERROR(INDEX('隊員マスタ'!$B$5:$B$204,MATCH(B1621&amp;"",'隊員マスタ'!$F$5:$F$204,0)),IF(AK1621="","番号なし",AK1621)))</f>
        <v/>
      </c>
      <c r="D1621" s="47" t="n"/>
      <c r="E1621" s="47" t="n"/>
      <c r="F1621" s="47" t="n"/>
      <c r="G1621" s="47" t="n"/>
      <c r="H1621" s="47" t="n"/>
      <c r="I1621" s="47" t="n"/>
      <c r="J1621" s="47" t="n"/>
      <c r="K1621" s="47" t="n"/>
      <c r="L1621" s="47" t="n"/>
      <c r="M1621" s="47" t="n"/>
      <c r="N1621" s="47" t="n"/>
      <c r="O1621" s="47" t="n"/>
      <c r="P1621" s="47" t="n"/>
      <c r="Q1621" s="47" t="n"/>
      <c r="R1621" s="47" t="n"/>
      <c r="S1621" s="47" t="n"/>
      <c r="T1621" s="47" t="n"/>
      <c r="U1621" s="53" t="n"/>
      <c r="V1621" s="53" t="n"/>
      <c r="W1621" s="47" t="n"/>
      <c r="X1621" s="47" t="n"/>
      <c r="Y1621" s="47" t="n"/>
      <c r="Z1621" s="47" t="n"/>
      <c r="AA1621" s="47" t="n"/>
      <c r="AB1621" s="47" t="n"/>
      <c r="AC1621" s="47" t="n"/>
      <c r="AD1621" s="47" t="n"/>
      <c r="AE1621" s="47" t="n"/>
      <c r="AF1621" s="20">
        <f>IF(A1621="","",YEAR(EDATE(A1621,-3)))</f>
        <v/>
      </c>
      <c r="AG1621" s="20">
        <f>IF(OR(B1621="",'経歴簿'!$C$4=""),"",IF(B1621&amp;""='経歴簿'!$C$4&amp;"",MAX($AG$4:AG1620)+1,""))</f>
        <v/>
      </c>
      <c r="AH1621" s="20">
        <f>IF(A1621="",0,IF(AND(OR('CSV抽出'!$C$4="",A1621&gt;='CSV抽出'!$C$4),OR('CSV抽出'!$C$5="",A1621&lt;='CSV抽出'!$C$5),OR('CSV抽出'!$C$6="すべて",'CSV抽出'!$C$6="",D1621='CSV抽出'!$C$6),OR('CSV抽出'!$C$7="",B1621&amp;""='CSV抽出'!$C$7&amp;"")),1,0))</f>
        <v/>
      </c>
      <c r="AI1621" s="20">
        <f>IF(AH1621=1,SUM($AH$5:AH1621),"")</f>
        <v/>
      </c>
      <c r="AJ1621" s="20">
        <f>IF(OR(S1621="",'報告書'!$C$4=""),"",IF(S1621&amp;""='報告書'!$C$4&amp;"",COUNTIF($S$5:S1621,'報告書'!$C$4),""))</f>
        <v/>
      </c>
      <c r="AK1621" s="20" t="n"/>
      <c r="AL1621" s="47" t="n"/>
      <c r="AM1621" s="47" t="n"/>
      <c r="AN1621" s="53" t="n"/>
      <c r="AO1621" s="47" t="n"/>
      <c r="AP1621" s="47" t="n"/>
      <c r="AQ1621" s="47" t="n"/>
      <c r="AR1621" s="47" t="n"/>
      <c r="AS1621" s="47" t="n"/>
      <c r="AT1621" s="47" t="n"/>
      <c r="AU1621" s="47" t="n"/>
      <c r="AV1621" s="47" t="n"/>
      <c r="AW1621" s="52" t="n"/>
    </row>
    <row r="1622">
      <c r="A1622" s="48" t="n"/>
      <c r="B1622" s="52" t="n"/>
      <c r="C1622" s="47">
        <f>IF(B1622="","",IFERROR(INDEX('隊員マスタ'!$B$5:$B$204,MATCH(B1622&amp;"",'隊員マスタ'!$F$5:$F$204,0)),IF(AK1622="","番号なし",AK1622)))</f>
        <v/>
      </c>
      <c r="D1622" s="47" t="n"/>
      <c r="E1622" s="47" t="n"/>
      <c r="F1622" s="47" t="n"/>
      <c r="G1622" s="47" t="n"/>
      <c r="H1622" s="47" t="n"/>
      <c r="I1622" s="47" t="n"/>
      <c r="J1622" s="47" t="n"/>
      <c r="K1622" s="47" t="n"/>
      <c r="L1622" s="47" t="n"/>
      <c r="M1622" s="47" t="n"/>
      <c r="N1622" s="47" t="n"/>
      <c r="O1622" s="47" t="n"/>
      <c r="P1622" s="47" t="n"/>
      <c r="Q1622" s="47" t="n"/>
      <c r="R1622" s="47" t="n"/>
      <c r="S1622" s="47" t="n"/>
      <c r="T1622" s="47" t="n"/>
      <c r="U1622" s="53" t="n"/>
      <c r="V1622" s="53" t="n"/>
      <c r="W1622" s="47" t="n"/>
      <c r="X1622" s="47" t="n"/>
      <c r="Y1622" s="47" t="n"/>
      <c r="Z1622" s="47" t="n"/>
      <c r="AA1622" s="47" t="n"/>
      <c r="AB1622" s="47" t="n"/>
      <c r="AC1622" s="47" t="n"/>
      <c r="AD1622" s="47" t="n"/>
      <c r="AE1622" s="47" t="n"/>
      <c r="AF1622" s="20">
        <f>IF(A1622="","",YEAR(EDATE(A1622,-3)))</f>
        <v/>
      </c>
      <c r="AG1622" s="20">
        <f>IF(OR(B1622="",'経歴簿'!$C$4=""),"",IF(B1622&amp;""='経歴簿'!$C$4&amp;"",MAX($AG$4:AG1621)+1,""))</f>
        <v/>
      </c>
      <c r="AH1622" s="20">
        <f>IF(A1622="",0,IF(AND(OR('CSV抽出'!$C$4="",A1622&gt;='CSV抽出'!$C$4),OR('CSV抽出'!$C$5="",A1622&lt;='CSV抽出'!$C$5),OR('CSV抽出'!$C$6="すべて",'CSV抽出'!$C$6="",D1622='CSV抽出'!$C$6),OR('CSV抽出'!$C$7="",B1622&amp;""='CSV抽出'!$C$7&amp;"")),1,0))</f>
        <v/>
      </c>
      <c r="AI1622" s="20">
        <f>IF(AH1622=1,SUM($AH$5:AH1622),"")</f>
        <v/>
      </c>
      <c r="AJ1622" s="20">
        <f>IF(OR(S1622="",'報告書'!$C$4=""),"",IF(S1622&amp;""='報告書'!$C$4&amp;"",COUNTIF($S$5:S1622,'報告書'!$C$4),""))</f>
        <v/>
      </c>
      <c r="AK1622" s="20" t="n"/>
      <c r="AL1622" s="47" t="n"/>
      <c r="AM1622" s="47" t="n"/>
      <c r="AN1622" s="53" t="n"/>
      <c r="AO1622" s="47" t="n"/>
      <c r="AP1622" s="47" t="n"/>
      <c r="AQ1622" s="47" t="n"/>
      <c r="AR1622" s="47" t="n"/>
      <c r="AS1622" s="47" t="n"/>
      <c r="AT1622" s="47" t="n"/>
      <c r="AU1622" s="47" t="n"/>
      <c r="AV1622" s="47" t="n"/>
      <c r="AW1622" s="52" t="n"/>
    </row>
    <row r="1623">
      <c r="A1623" s="48" t="n"/>
      <c r="B1623" s="52" t="n"/>
      <c r="C1623" s="47">
        <f>IF(B1623="","",IFERROR(INDEX('隊員マスタ'!$B$5:$B$204,MATCH(B1623&amp;"",'隊員マスタ'!$F$5:$F$204,0)),IF(AK1623="","番号なし",AK1623)))</f>
        <v/>
      </c>
      <c r="D1623" s="47" t="n"/>
      <c r="E1623" s="47" t="n"/>
      <c r="F1623" s="47" t="n"/>
      <c r="G1623" s="47" t="n"/>
      <c r="H1623" s="47" t="n"/>
      <c r="I1623" s="47" t="n"/>
      <c r="J1623" s="47" t="n"/>
      <c r="K1623" s="47" t="n"/>
      <c r="L1623" s="47" t="n"/>
      <c r="M1623" s="47" t="n"/>
      <c r="N1623" s="47" t="n"/>
      <c r="O1623" s="47" t="n"/>
      <c r="P1623" s="47" t="n"/>
      <c r="Q1623" s="47" t="n"/>
      <c r="R1623" s="47" t="n"/>
      <c r="S1623" s="47" t="n"/>
      <c r="T1623" s="47" t="n"/>
      <c r="U1623" s="53" t="n"/>
      <c r="V1623" s="53" t="n"/>
      <c r="W1623" s="47" t="n"/>
      <c r="X1623" s="47" t="n"/>
      <c r="Y1623" s="47" t="n"/>
      <c r="Z1623" s="47" t="n"/>
      <c r="AA1623" s="47" t="n"/>
      <c r="AB1623" s="47" t="n"/>
      <c r="AC1623" s="47" t="n"/>
      <c r="AD1623" s="47" t="n"/>
      <c r="AE1623" s="47" t="n"/>
      <c r="AF1623" s="20">
        <f>IF(A1623="","",YEAR(EDATE(A1623,-3)))</f>
        <v/>
      </c>
      <c r="AG1623" s="20">
        <f>IF(OR(B1623="",'経歴簿'!$C$4=""),"",IF(B1623&amp;""='経歴簿'!$C$4&amp;"",MAX($AG$4:AG1622)+1,""))</f>
        <v/>
      </c>
      <c r="AH1623" s="20">
        <f>IF(A1623="",0,IF(AND(OR('CSV抽出'!$C$4="",A1623&gt;='CSV抽出'!$C$4),OR('CSV抽出'!$C$5="",A1623&lt;='CSV抽出'!$C$5),OR('CSV抽出'!$C$6="すべて",'CSV抽出'!$C$6="",D1623='CSV抽出'!$C$6),OR('CSV抽出'!$C$7="",B1623&amp;""='CSV抽出'!$C$7&amp;"")),1,0))</f>
        <v/>
      </c>
      <c r="AI1623" s="20">
        <f>IF(AH1623=1,SUM($AH$5:AH1623),"")</f>
        <v/>
      </c>
      <c r="AJ1623" s="20">
        <f>IF(OR(S1623="",'報告書'!$C$4=""),"",IF(S1623&amp;""='報告書'!$C$4&amp;"",COUNTIF($S$5:S1623,'報告書'!$C$4),""))</f>
        <v/>
      </c>
      <c r="AK1623" s="20" t="n"/>
      <c r="AL1623" s="47" t="n"/>
      <c r="AM1623" s="47" t="n"/>
      <c r="AN1623" s="53" t="n"/>
      <c r="AO1623" s="47" t="n"/>
      <c r="AP1623" s="47" t="n"/>
      <c r="AQ1623" s="47" t="n"/>
      <c r="AR1623" s="47" t="n"/>
      <c r="AS1623" s="47" t="n"/>
      <c r="AT1623" s="47" t="n"/>
      <c r="AU1623" s="47" t="n"/>
      <c r="AV1623" s="47" t="n"/>
      <c r="AW1623" s="52" t="n"/>
    </row>
    <row r="1624">
      <c r="A1624" s="48" t="n"/>
      <c r="B1624" s="52" t="n"/>
      <c r="C1624" s="47">
        <f>IF(B1624="","",IFERROR(INDEX('隊員マスタ'!$B$5:$B$204,MATCH(B1624&amp;"",'隊員マスタ'!$F$5:$F$204,0)),IF(AK1624="","番号なし",AK1624)))</f>
        <v/>
      </c>
      <c r="D1624" s="47" t="n"/>
      <c r="E1624" s="47" t="n"/>
      <c r="F1624" s="47" t="n"/>
      <c r="G1624" s="47" t="n"/>
      <c r="H1624" s="47" t="n"/>
      <c r="I1624" s="47" t="n"/>
      <c r="J1624" s="47" t="n"/>
      <c r="K1624" s="47" t="n"/>
      <c r="L1624" s="47" t="n"/>
      <c r="M1624" s="47" t="n"/>
      <c r="N1624" s="47" t="n"/>
      <c r="O1624" s="47" t="n"/>
      <c r="P1624" s="47" t="n"/>
      <c r="Q1624" s="47" t="n"/>
      <c r="R1624" s="47" t="n"/>
      <c r="S1624" s="47" t="n"/>
      <c r="T1624" s="47" t="n"/>
      <c r="U1624" s="53" t="n"/>
      <c r="V1624" s="53" t="n"/>
      <c r="W1624" s="47" t="n"/>
      <c r="X1624" s="47" t="n"/>
      <c r="Y1624" s="47" t="n"/>
      <c r="Z1624" s="47" t="n"/>
      <c r="AA1624" s="47" t="n"/>
      <c r="AB1624" s="47" t="n"/>
      <c r="AC1624" s="47" t="n"/>
      <c r="AD1624" s="47" t="n"/>
      <c r="AE1624" s="47" t="n"/>
      <c r="AF1624" s="20">
        <f>IF(A1624="","",YEAR(EDATE(A1624,-3)))</f>
        <v/>
      </c>
      <c r="AG1624" s="20">
        <f>IF(OR(B1624="",'経歴簿'!$C$4=""),"",IF(B1624&amp;""='経歴簿'!$C$4&amp;"",MAX($AG$4:AG1623)+1,""))</f>
        <v/>
      </c>
      <c r="AH1624" s="20">
        <f>IF(A1624="",0,IF(AND(OR('CSV抽出'!$C$4="",A1624&gt;='CSV抽出'!$C$4),OR('CSV抽出'!$C$5="",A1624&lt;='CSV抽出'!$C$5),OR('CSV抽出'!$C$6="すべて",'CSV抽出'!$C$6="",D1624='CSV抽出'!$C$6),OR('CSV抽出'!$C$7="",B1624&amp;""='CSV抽出'!$C$7&amp;"")),1,0))</f>
        <v/>
      </c>
      <c r="AI1624" s="20">
        <f>IF(AH1624=1,SUM($AH$5:AH1624),"")</f>
        <v/>
      </c>
      <c r="AJ1624" s="20">
        <f>IF(OR(S1624="",'報告書'!$C$4=""),"",IF(S1624&amp;""='報告書'!$C$4&amp;"",COUNTIF($S$5:S1624,'報告書'!$C$4),""))</f>
        <v/>
      </c>
      <c r="AK1624" s="20" t="n"/>
      <c r="AL1624" s="47" t="n"/>
      <c r="AM1624" s="47" t="n"/>
      <c r="AN1624" s="53" t="n"/>
      <c r="AO1624" s="47" t="n"/>
      <c r="AP1624" s="47" t="n"/>
      <c r="AQ1624" s="47" t="n"/>
      <c r="AR1624" s="47" t="n"/>
      <c r="AS1624" s="47" t="n"/>
      <c r="AT1624" s="47" t="n"/>
      <c r="AU1624" s="47" t="n"/>
      <c r="AV1624" s="47" t="n"/>
      <c r="AW1624" s="52" t="n"/>
    </row>
    <row r="1625">
      <c r="A1625" s="48" t="n"/>
      <c r="B1625" s="52" t="n"/>
      <c r="C1625" s="47">
        <f>IF(B1625="","",IFERROR(INDEX('隊員マスタ'!$B$5:$B$204,MATCH(B1625&amp;"",'隊員マスタ'!$F$5:$F$204,0)),IF(AK1625="","番号なし",AK1625)))</f>
        <v/>
      </c>
      <c r="D1625" s="47" t="n"/>
      <c r="E1625" s="47" t="n"/>
      <c r="F1625" s="47" t="n"/>
      <c r="G1625" s="47" t="n"/>
      <c r="H1625" s="47" t="n"/>
      <c r="I1625" s="47" t="n"/>
      <c r="J1625" s="47" t="n"/>
      <c r="K1625" s="47" t="n"/>
      <c r="L1625" s="47" t="n"/>
      <c r="M1625" s="47" t="n"/>
      <c r="N1625" s="47" t="n"/>
      <c r="O1625" s="47" t="n"/>
      <c r="P1625" s="47" t="n"/>
      <c r="Q1625" s="47" t="n"/>
      <c r="R1625" s="47" t="n"/>
      <c r="S1625" s="47" t="n"/>
      <c r="T1625" s="47" t="n"/>
      <c r="U1625" s="53" t="n"/>
      <c r="V1625" s="53" t="n"/>
      <c r="W1625" s="47" t="n"/>
      <c r="X1625" s="47" t="n"/>
      <c r="Y1625" s="47" t="n"/>
      <c r="Z1625" s="47" t="n"/>
      <c r="AA1625" s="47" t="n"/>
      <c r="AB1625" s="47" t="n"/>
      <c r="AC1625" s="47" t="n"/>
      <c r="AD1625" s="47" t="n"/>
      <c r="AE1625" s="47" t="n"/>
      <c r="AF1625" s="20">
        <f>IF(A1625="","",YEAR(EDATE(A1625,-3)))</f>
        <v/>
      </c>
      <c r="AG1625" s="20">
        <f>IF(OR(B1625="",'経歴簿'!$C$4=""),"",IF(B1625&amp;""='経歴簿'!$C$4&amp;"",MAX($AG$4:AG1624)+1,""))</f>
        <v/>
      </c>
      <c r="AH1625" s="20">
        <f>IF(A1625="",0,IF(AND(OR('CSV抽出'!$C$4="",A1625&gt;='CSV抽出'!$C$4),OR('CSV抽出'!$C$5="",A1625&lt;='CSV抽出'!$C$5),OR('CSV抽出'!$C$6="すべて",'CSV抽出'!$C$6="",D1625='CSV抽出'!$C$6),OR('CSV抽出'!$C$7="",B1625&amp;""='CSV抽出'!$C$7&amp;"")),1,0))</f>
        <v/>
      </c>
      <c r="AI1625" s="20">
        <f>IF(AH1625=1,SUM($AH$5:AH1625),"")</f>
        <v/>
      </c>
      <c r="AJ1625" s="20">
        <f>IF(OR(S1625="",'報告書'!$C$4=""),"",IF(S1625&amp;""='報告書'!$C$4&amp;"",COUNTIF($S$5:S1625,'報告書'!$C$4),""))</f>
        <v/>
      </c>
      <c r="AK1625" s="20" t="n"/>
      <c r="AL1625" s="47" t="n"/>
      <c r="AM1625" s="47" t="n"/>
      <c r="AN1625" s="53" t="n"/>
      <c r="AO1625" s="47" t="n"/>
      <c r="AP1625" s="47" t="n"/>
      <c r="AQ1625" s="47" t="n"/>
      <c r="AR1625" s="47" t="n"/>
      <c r="AS1625" s="47" t="n"/>
      <c r="AT1625" s="47" t="n"/>
      <c r="AU1625" s="47" t="n"/>
      <c r="AV1625" s="47" t="n"/>
      <c r="AW1625" s="52" t="n"/>
    </row>
    <row r="1626">
      <c r="A1626" s="48" t="n"/>
      <c r="B1626" s="52" t="n"/>
      <c r="C1626" s="47">
        <f>IF(B1626="","",IFERROR(INDEX('隊員マスタ'!$B$5:$B$204,MATCH(B1626&amp;"",'隊員マスタ'!$F$5:$F$204,0)),IF(AK1626="","番号なし",AK1626)))</f>
        <v/>
      </c>
      <c r="D1626" s="47" t="n"/>
      <c r="E1626" s="47" t="n"/>
      <c r="F1626" s="47" t="n"/>
      <c r="G1626" s="47" t="n"/>
      <c r="H1626" s="47" t="n"/>
      <c r="I1626" s="47" t="n"/>
      <c r="J1626" s="47" t="n"/>
      <c r="K1626" s="47" t="n"/>
      <c r="L1626" s="47" t="n"/>
      <c r="M1626" s="47" t="n"/>
      <c r="N1626" s="47" t="n"/>
      <c r="O1626" s="47" t="n"/>
      <c r="P1626" s="47" t="n"/>
      <c r="Q1626" s="47" t="n"/>
      <c r="R1626" s="47" t="n"/>
      <c r="S1626" s="47" t="n"/>
      <c r="T1626" s="47" t="n"/>
      <c r="U1626" s="53" t="n"/>
      <c r="V1626" s="53" t="n"/>
      <c r="W1626" s="47" t="n"/>
      <c r="X1626" s="47" t="n"/>
      <c r="Y1626" s="47" t="n"/>
      <c r="Z1626" s="47" t="n"/>
      <c r="AA1626" s="47" t="n"/>
      <c r="AB1626" s="47" t="n"/>
      <c r="AC1626" s="47" t="n"/>
      <c r="AD1626" s="47" t="n"/>
      <c r="AE1626" s="47" t="n"/>
      <c r="AF1626" s="20">
        <f>IF(A1626="","",YEAR(EDATE(A1626,-3)))</f>
        <v/>
      </c>
      <c r="AG1626" s="20">
        <f>IF(OR(B1626="",'経歴簿'!$C$4=""),"",IF(B1626&amp;""='経歴簿'!$C$4&amp;"",MAX($AG$4:AG1625)+1,""))</f>
        <v/>
      </c>
      <c r="AH1626" s="20">
        <f>IF(A1626="",0,IF(AND(OR('CSV抽出'!$C$4="",A1626&gt;='CSV抽出'!$C$4),OR('CSV抽出'!$C$5="",A1626&lt;='CSV抽出'!$C$5),OR('CSV抽出'!$C$6="すべて",'CSV抽出'!$C$6="",D1626='CSV抽出'!$C$6),OR('CSV抽出'!$C$7="",B1626&amp;""='CSV抽出'!$C$7&amp;"")),1,0))</f>
        <v/>
      </c>
      <c r="AI1626" s="20">
        <f>IF(AH1626=1,SUM($AH$5:AH1626),"")</f>
        <v/>
      </c>
      <c r="AJ1626" s="20">
        <f>IF(OR(S1626="",'報告書'!$C$4=""),"",IF(S1626&amp;""='報告書'!$C$4&amp;"",COUNTIF($S$5:S1626,'報告書'!$C$4),""))</f>
        <v/>
      </c>
      <c r="AK1626" s="20" t="n"/>
      <c r="AL1626" s="47" t="n"/>
      <c r="AM1626" s="47" t="n"/>
      <c r="AN1626" s="53" t="n"/>
      <c r="AO1626" s="47" t="n"/>
      <c r="AP1626" s="47" t="n"/>
      <c r="AQ1626" s="47" t="n"/>
      <c r="AR1626" s="47" t="n"/>
      <c r="AS1626" s="47" t="n"/>
      <c r="AT1626" s="47" t="n"/>
      <c r="AU1626" s="47" t="n"/>
      <c r="AV1626" s="47" t="n"/>
      <c r="AW1626" s="52" t="n"/>
    </row>
    <row r="1627">
      <c r="A1627" s="48" t="n"/>
      <c r="B1627" s="52" t="n"/>
      <c r="C1627" s="47">
        <f>IF(B1627="","",IFERROR(INDEX('隊員マスタ'!$B$5:$B$204,MATCH(B1627&amp;"",'隊員マスタ'!$F$5:$F$204,0)),IF(AK1627="","番号なし",AK1627)))</f>
        <v/>
      </c>
      <c r="D1627" s="47" t="n"/>
      <c r="E1627" s="47" t="n"/>
      <c r="F1627" s="47" t="n"/>
      <c r="G1627" s="47" t="n"/>
      <c r="H1627" s="47" t="n"/>
      <c r="I1627" s="47" t="n"/>
      <c r="J1627" s="47" t="n"/>
      <c r="K1627" s="47" t="n"/>
      <c r="L1627" s="47" t="n"/>
      <c r="M1627" s="47" t="n"/>
      <c r="N1627" s="47" t="n"/>
      <c r="O1627" s="47" t="n"/>
      <c r="P1627" s="47" t="n"/>
      <c r="Q1627" s="47" t="n"/>
      <c r="R1627" s="47" t="n"/>
      <c r="S1627" s="47" t="n"/>
      <c r="T1627" s="47" t="n"/>
      <c r="U1627" s="53" t="n"/>
      <c r="V1627" s="53" t="n"/>
      <c r="W1627" s="47" t="n"/>
      <c r="X1627" s="47" t="n"/>
      <c r="Y1627" s="47" t="n"/>
      <c r="Z1627" s="47" t="n"/>
      <c r="AA1627" s="47" t="n"/>
      <c r="AB1627" s="47" t="n"/>
      <c r="AC1627" s="47" t="n"/>
      <c r="AD1627" s="47" t="n"/>
      <c r="AE1627" s="47" t="n"/>
      <c r="AF1627" s="20">
        <f>IF(A1627="","",YEAR(EDATE(A1627,-3)))</f>
        <v/>
      </c>
      <c r="AG1627" s="20">
        <f>IF(OR(B1627="",'経歴簿'!$C$4=""),"",IF(B1627&amp;""='経歴簿'!$C$4&amp;"",MAX($AG$4:AG1626)+1,""))</f>
        <v/>
      </c>
      <c r="AH1627" s="20">
        <f>IF(A1627="",0,IF(AND(OR('CSV抽出'!$C$4="",A1627&gt;='CSV抽出'!$C$4),OR('CSV抽出'!$C$5="",A1627&lt;='CSV抽出'!$C$5),OR('CSV抽出'!$C$6="すべて",'CSV抽出'!$C$6="",D1627='CSV抽出'!$C$6),OR('CSV抽出'!$C$7="",B1627&amp;""='CSV抽出'!$C$7&amp;"")),1,0))</f>
        <v/>
      </c>
      <c r="AI1627" s="20">
        <f>IF(AH1627=1,SUM($AH$5:AH1627),"")</f>
        <v/>
      </c>
      <c r="AJ1627" s="20">
        <f>IF(OR(S1627="",'報告書'!$C$4=""),"",IF(S1627&amp;""='報告書'!$C$4&amp;"",COUNTIF($S$5:S1627,'報告書'!$C$4),""))</f>
        <v/>
      </c>
      <c r="AK1627" s="20" t="n"/>
      <c r="AL1627" s="47" t="n"/>
      <c r="AM1627" s="47" t="n"/>
      <c r="AN1627" s="53" t="n"/>
      <c r="AO1627" s="47" t="n"/>
      <c r="AP1627" s="47" t="n"/>
      <c r="AQ1627" s="47" t="n"/>
      <c r="AR1627" s="47" t="n"/>
      <c r="AS1627" s="47" t="n"/>
      <c r="AT1627" s="47" t="n"/>
      <c r="AU1627" s="47" t="n"/>
      <c r="AV1627" s="47" t="n"/>
      <c r="AW1627" s="52" t="n"/>
    </row>
    <row r="1628">
      <c r="A1628" s="48" t="n"/>
      <c r="B1628" s="52" t="n"/>
      <c r="C1628" s="47">
        <f>IF(B1628="","",IFERROR(INDEX('隊員マスタ'!$B$5:$B$204,MATCH(B1628&amp;"",'隊員マスタ'!$F$5:$F$204,0)),IF(AK1628="","番号なし",AK1628)))</f>
        <v/>
      </c>
      <c r="D1628" s="47" t="n"/>
      <c r="E1628" s="47" t="n"/>
      <c r="F1628" s="47" t="n"/>
      <c r="G1628" s="47" t="n"/>
      <c r="H1628" s="47" t="n"/>
      <c r="I1628" s="47" t="n"/>
      <c r="J1628" s="47" t="n"/>
      <c r="K1628" s="47" t="n"/>
      <c r="L1628" s="47" t="n"/>
      <c r="M1628" s="47" t="n"/>
      <c r="N1628" s="47" t="n"/>
      <c r="O1628" s="47" t="n"/>
      <c r="P1628" s="47" t="n"/>
      <c r="Q1628" s="47" t="n"/>
      <c r="R1628" s="47" t="n"/>
      <c r="S1628" s="47" t="n"/>
      <c r="T1628" s="47" t="n"/>
      <c r="U1628" s="53" t="n"/>
      <c r="V1628" s="53" t="n"/>
      <c r="W1628" s="47" t="n"/>
      <c r="X1628" s="47" t="n"/>
      <c r="Y1628" s="47" t="n"/>
      <c r="Z1628" s="47" t="n"/>
      <c r="AA1628" s="47" t="n"/>
      <c r="AB1628" s="47" t="n"/>
      <c r="AC1628" s="47" t="n"/>
      <c r="AD1628" s="47" t="n"/>
      <c r="AE1628" s="47" t="n"/>
      <c r="AF1628" s="20">
        <f>IF(A1628="","",YEAR(EDATE(A1628,-3)))</f>
        <v/>
      </c>
      <c r="AG1628" s="20">
        <f>IF(OR(B1628="",'経歴簿'!$C$4=""),"",IF(B1628&amp;""='経歴簿'!$C$4&amp;"",MAX($AG$4:AG1627)+1,""))</f>
        <v/>
      </c>
      <c r="AH1628" s="20">
        <f>IF(A1628="",0,IF(AND(OR('CSV抽出'!$C$4="",A1628&gt;='CSV抽出'!$C$4),OR('CSV抽出'!$C$5="",A1628&lt;='CSV抽出'!$C$5),OR('CSV抽出'!$C$6="すべて",'CSV抽出'!$C$6="",D1628='CSV抽出'!$C$6),OR('CSV抽出'!$C$7="",B1628&amp;""='CSV抽出'!$C$7&amp;"")),1,0))</f>
        <v/>
      </c>
      <c r="AI1628" s="20">
        <f>IF(AH1628=1,SUM($AH$5:AH1628),"")</f>
        <v/>
      </c>
      <c r="AJ1628" s="20">
        <f>IF(OR(S1628="",'報告書'!$C$4=""),"",IF(S1628&amp;""='報告書'!$C$4&amp;"",COUNTIF($S$5:S1628,'報告書'!$C$4),""))</f>
        <v/>
      </c>
      <c r="AK1628" s="20" t="n"/>
      <c r="AL1628" s="47" t="n"/>
      <c r="AM1628" s="47" t="n"/>
      <c r="AN1628" s="53" t="n"/>
      <c r="AO1628" s="47" t="n"/>
      <c r="AP1628" s="47" t="n"/>
      <c r="AQ1628" s="47" t="n"/>
      <c r="AR1628" s="47" t="n"/>
      <c r="AS1628" s="47" t="n"/>
      <c r="AT1628" s="47" t="n"/>
      <c r="AU1628" s="47" t="n"/>
      <c r="AV1628" s="47" t="n"/>
      <c r="AW1628" s="52" t="n"/>
    </row>
    <row r="1629">
      <c r="A1629" s="48" t="n"/>
      <c r="B1629" s="52" t="n"/>
      <c r="C1629" s="47">
        <f>IF(B1629="","",IFERROR(INDEX('隊員マスタ'!$B$5:$B$204,MATCH(B1629&amp;"",'隊員マスタ'!$F$5:$F$204,0)),IF(AK1629="","番号なし",AK1629)))</f>
        <v/>
      </c>
      <c r="D1629" s="47" t="n"/>
      <c r="E1629" s="47" t="n"/>
      <c r="F1629" s="47" t="n"/>
      <c r="G1629" s="47" t="n"/>
      <c r="H1629" s="47" t="n"/>
      <c r="I1629" s="47" t="n"/>
      <c r="J1629" s="47" t="n"/>
      <c r="K1629" s="47" t="n"/>
      <c r="L1629" s="47" t="n"/>
      <c r="M1629" s="47" t="n"/>
      <c r="N1629" s="47" t="n"/>
      <c r="O1629" s="47" t="n"/>
      <c r="P1629" s="47" t="n"/>
      <c r="Q1629" s="47" t="n"/>
      <c r="R1629" s="47" t="n"/>
      <c r="S1629" s="47" t="n"/>
      <c r="T1629" s="47" t="n"/>
      <c r="U1629" s="53" t="n"/>
      <c r="V1629" s="53" t="n"/>
      <c r="W1629" s="47" t="n"/>
      <c r="X1629" s="47" t="n"/>
      <c r="Y1629" s="47" t="n"/>
      <c r="Z1629" s="47" t="n"/>
      <c r="AA1629" s="47" t="n"/>
      <c r="AB1629" s="47" t="n"/>
      <c r="AC1629" s="47" t="n"/>
      <c r="AD1629" s="47" t="n"/>
      <c r="AE1629" s="47" t="n"/>
      <c r="AF1629" s="20">
        <f>IF(A1629="","",YEAR(EDATE(A1629,-3)))</f>
        <v/>
      </c>
      <c r="AG1629" s="20">
        <f>IF(OR(B1629="",'経歴簿'!$C$4=""),"",IF(B1629&amp;""='経歴簿'!$C$4&amp;"",MAX($AG$4:AG1628)+1,""))</f>
        <v/>
      </c>
      <c r="AH1629" s="20">
        <f>IF(A1629="",0,IF(AND(OR('CSV抽出'!$C$4="",A1629&gt;='CSV抽出'!$C$4),OR('CSV抽出'!$C$5="",A1629&lt;='CSV抽出'!$C$5),OR('CSV抽出'!$C$6="すべて",'CSV抽出'!$C$6="",D1629='CSV抽出'!$C$6),OR('CSV抽出'!$C$7="",B1629&amp;""='CSV抽出'!$C$7&amp;"")),1,0))</f>
        <v/>
      </c>
      <c r="AI1629" s="20">
        <f>IF(AH1629=1,SUM($AH$5:AH1629),"")</f>
        <v/>
      </c>
      <c r="AJ1629" s="20">
        <f>IF(OR(S1629="",'報告書'!$C$4=""),"",IF(S1629&amp;""='報告書'!$C$4&amp;"",COUNTIF($S$5:S1629,'報告書'!$C$4),""))</f>
        <v/>
      </c>
      <c r="AK1629" s="20" t="n"/>
      <c r="AL1629" s="47" t="n"/>
      <c r="AM1629" s="47" t="n"/>
      <c r="AN1629" s="53" t="n"/>
      <c r="AO1629" s="47" t="n"/>
      <c r="AP1629" s="47" t="n"/>
      <c r="AQ1629" s="47" t="n"/>
      <c r="AR1629" s="47" t="n"/>
      <c r="AS1629" s="47" t="n"/>
      <c r="AT1629" s="47" t="n"/>
      <c r="AU1629" s="47" t="n"/>
      <c r="AV1629" s="47" t="n"/>
      <c r="AW1629" s="52" t="n"/>
    </row>
    <row r="1630">
      <c r="A1630" s="48" t="n"/>
      <c r="B1630" s="52" t="n"/>
      <c r="C1630" s="47">
        <f>IF(B1630="","",IFERROR(INDEX('隊員マスタ'!$B$5:$B$204,MATCH(B1630&amp;"",'隊員マスタ'!$F$5:$F$204,0)),IF(AK1630="","番号なし",AK1630)))</f>
        <v/>
      </c>
      <c r="D1630" s="47" t="n"/>
      <c r="E1630" s="47" t="n"/>
      <c r="F1630" s="47" t="n"/>
      <c r="G1630" s="47" t="n"/>
      <c r="H1630" s="47" t="n"/>
      <c r="I1630" s="47" t="n"/>
      <c r="J1630" s="47" t="n"/>
      <c r="K1630" s="47" t="n"/>
      <c r="L1630" s="47" t="n"/>
      <c r="M1630" s="47" t="n"/>
      <c r="N1630" s="47" t="n"/>
      <c r="O1630" s="47" t="n"/>
      <c r="P1630" s="47" t="n"/>
      <c r="Q1630" s="47" t="n"/>
      <c r="R1630" s="47" t="n"/>
      <c r="S1630" s="47" t="n"/>
      <c r="T1630" s="47" t="n"/>
      <c r="U1630" s="53" t="n"/>
      <c r="V1630" s="53" t="n"/>
      <c r="W1630" s="47" t="n"/>
      <c r="X1630" s="47" t="n"/>
      <c r="Y1630" s="47" t="n"/>
      <c r="Z1630" s="47" t="n"/>
      <c r="AA1630" s="47" t="n"/>
      <c r="AB1630" s="47" t="n"/>
      <c r="AC1630" s="47" t="n"/>
      <c r="AD1630" s="47" t="n"/>
      <c r="AE1630" s="47" t="n"/>
      <c r="AF1630" s="20">
        <f>IF(A1630="","",YEAR(EDATE(A1630,-3)))</f>
        <v/>
      </c>
      <c r="AG1630" s="20">
        <f>IF(OR(B1630="",'経歴簿'!$C$4=""),"",IF(B1630&amp;""='経歴簿'!$C$4&amp;"",MAX($AG$4:AG1629)+1,""))</f>
        <v/>
      </c>
      <c r="AH1630" s="20">
        <f>IF(A1630="",0,IF(AND(OR('CSV抽出'!$C$4="",A1630&gt;='CSV抽出'!$C$4),OR('CSV抽出'!$C$5="",A1630&lt;='CSV抽出'!$C$5),OR('CSV抽出'!$C$6="すべて",'CSV抽出'!$C$6="",D1630='CSV抽出'!$C$6),OR('CSV抽出'!$C$7="",B1630&amp;""='CSV抽出'!$C$7&amp;"")),1,0))</f>
        <v/>
      </c>
      <c r="AI1630" s="20">
        <f>IF(AH1630=1,SUM($AH$5:AH1630),"")</f>
        <v/>
      </c>
      <c r="AJ1630" s="20">
        <f>IF(OR(S1630="",'報告書'!$C$4=""),"",IF(S1630&amp;""='報告書'!$C$4&amp;"",COUNTIF($S$5:S1630,'報告書'!$C$4),""))</f>
        <v/>
      </c>
      <c r="AK1630" s="20" t="n"/>
      <c r="AL1630" s="47" t="n"/>
      <c r="AM1630" s="47" t="n"/>
      <c r="AN1630" s="53" t="n"/>
      <c r="AO1630" s="47" t="n"/>
      <c r="AP1630" s="47" t="n"/>
      <c r="AQ1630" s="47" t="n"/>
      <c r="AR1630" s="47" t="n"/>
      <c r="AS1630" s="47" t="n"/>
      <c r="AT1630" s="47" t="n"/>
      <c r="AU1630" s="47" t="n"/>
      <c r="AV1630" s="47" t="n"/>
      <c r="AW1630" s="52" t="n"/>
    </row>
    <row r="1631">
      <c r="A1631" s="48" t="n"/>
      <c r="B1631" s="52" t="n"/>
      <c r="C1631" s="47">
        <f>IF(B1631="","",IFERROR(INDEX('隊員マスタ'!$B$5:$B$204,MATCH(B1631&amp;"",'隊員マスタ'!$F$5:$F$204,0)),IF(AK1631="","番号なし",AK1631)))</f>
        <v/>
      </c>
      <c r="D1631" s="47" t="n"/>
      <c r="E1631" s="47" t="n"/>
      <c r="F1631" s="47" t="n"/>
      <c r="G1631" s="47" t="n"/>
      <c r="H1631" s="47" t="n"/>
      <c r="I1631" s="47" t="n"/>
      <c r="J1631" s="47" t="n"/>
      <c r="K1631" s="47" t="n"/>
      <c r="L1631" s="47" t="n"/>
      <c r="M1631" s="47" t="n"/>
      <c r="N1631" s="47" t="n"/>
      <c r="O1631" s="47" t="n"/>
      <c r="P1631" s="47" t="n"/>
      <c r="Q1631" s="47" t="n"/>
      <c r="R1631" s="47" t="n"/>
      <c r="S1631" s="47" t="n"/>
      <c r="T1631" s="47" t="n"/>
      <c r="U1631" s="53" t="n"/>
      <c r="V1631" s="53" t="n"/>
      <c r="W1631" s="47" t="n"/>
      <c r="X1631" s="47" t="n"/>
      <c r="Y1631" s="47" t="n"/>
      <c r="Z1631" s="47" t="n"/>
      <c r="AA1631" s="47" t="n"/>
      <c r="AB1631" s="47" t="n"/>
      <c r="AC1631" s="47" t="n"/>
      <c r="AD1631" s="47" t="n"/>
      <c r="AE1631" s="47" t="n"/>
      <c r="AF1631" s="20">
        <f>IF(A1631="","",YEAR(EDATE(A1631,-3)))</f>
        <v/>
      </c>
      <c r="AG1631" s="20">
        <f>IF(OR(B1631="",'経歴簿'!$C$4=""),"",IF(B1631&amp;""='経歴簿'!$C$4&amp;"",MAX($AG$4:AG1630)+1,""))</f>
        <v/>
      </c>
      <c r="AH1631" s="20">
        <f>IF(A1631="",0,IF(AND(OR('CSV抽出'!$C$4="",A1631&gt;='CSV抽出'!$C$4),OR('CSV抽出'!$C$5="",A1631&lt;='CSV抽出'!$C$5),OR('CSV抽出'!$C$6="すべて",'CSV抽出'!$C$6="",D1631='CSV抽出'!$C$6),OR('CSV抽出'!$C$7="",B1631&amp;""='CSV抽出'!$C$7&amp;"")),1,0))</f>
        <v/>
      </c>
      <c r="AI1631" s="20">
        <f>IF(AH1631=1,SUM($AH$5:AH1631),"")</f>
        <v/>
      </c>
      <c r="AJ1631" s="20">
        <f>IF(OR(S1631="",'報告書'!$C$4=""),"",IF(S1631&amp;""='報告書'!$C$4&amp;"",COUNTIF($S$5:S1631,'報告書'!$C$4),""))</f>
        <v/>
      </c>
      <c r="AK1631" s="20" t="n"/>
      <c r="AL1631" s="47" t="n"/>
      <c r="AM1631" s="47" t="n"/>
      <c r="AN1631" s="53" t="n"/>
      <c r="AO1631" s="47" t="n"/>
      <c r="AP1631" s="47" t="n"/>
      <c r="AQ1631" s="47" t="n"/>
      <c r="AR1631" s="47" t="n"/>
      <c r="AS1631" s="47" t="n"/>
      <c r="AT1631" s="47" t="n"/>
      <c r="AU1631" s="47" t="n"/>
      <c r="AV1631" s="47" t="n"/>
      <c r="AW1631" s="52" t="n"/>
    </row>
    <row r="1632">
      <c r="A1632" s="48" t="n"/>
      <c r="B1632" s="52" t="n"/>
      <c r="C1632" s="47">
        <f>IF(B1632="","",IFERROR(INDEX('隊員マスタ'!$B$5:$B$204,MATCH(B1632&amp;"",'隊員マスタ'!$F$5:$F$204,0)),IF(AK1632="","番号なし",AK1632)))</f>
        <v/>
      </c>
      <c r="D1632" s="47" t="n"/>
      <c r="E1632" s="47" t="n"/>
      <c r="F1632" s="47" t="n"/>
      <c r="G1632" s="47" t="n"/>
      <c r="H1632" s="47" t="n"/>
      <c r="I1632" s="47" t="n"/>
      <c r="J1632" s="47" t="n"/>
      <c r="K1632" s="47" t="n"/>
      <c r="L1632" s="47" t="n"/>
      <c r="M1632" s="47" t="n"/>
      <c r="N1632" s="47" t="n"/>
      <c r="O1632" s="47" t="n"/>
      <c r="P1632" s="47" t="n"/>
      <c r="Q1632" s="47" t="n"/>
      <c r="R1632" s="47" t="n"/>
      <c r="S1632" s="47" t="n"/>
      <c r="T1632" s="47" t="n"/>
      <c r="U1632" s="53" t="n"/>
      <c r="V1632" s="53" t="n"/>
      <c r="W1632" s="47" t="n"/>
      <c r="X1632" s="47" t="n"/>
      <c r="Y1632" s="47" t="n"/>
      <c r="Z1632" s="47" t="n"/>
      <c r="AA1632" s="47" t="n"/>
      <c r="AB1632" s="47" t="n"/>
      <c r="AC1632" s="47" t="n"/>
      <c r="AD1632" s="47" t="n"/>
      <c r="AE1632" s="47" t="n"/>
      <c r="AF1632" s="20">
        <f>IF(A1632="","",YEAR(EDATE(A1632,-3)))</f>
        <v/>
      </c>
      <c r="AG1632" s="20">
        <f>IF(OR(B1632="",'経歴簿'!$C$4=""),"",IF(B1632&amp;""='経歴簿'!$C$4&amp;"",MAX($AG$4:AG1631)+1,""))</f>
        <v/>
      </c>
      <c r="AH1632" s="20">
        <f>IF(A1632="",0,IF(AND(OR('CSV抽出'!$C$4="",A1632&gt;='CSV抽出'!$C$4),OR('CSV抽出'!$C$5="",A1632&lt;='CSV抽出'!$C$5),OR('CSV抽出'!$C$6="すべて",'CSV抽出'!$C$6="",D1632='CSV抽出'!$C$6),OR('CSV抽出'!$C$7="",B1632&amp;""='CSV抽出'!$C$7&amp;"")),1,0))</f>
        <v/>
      </c>
      <c r="AI1632" s="20">
        <f>IF(AH1632=1,SUM($AH$5:AH1632),"")</f>
        <v/>
      </c>
      <c r="AJ1632" s="20">
        <f>IF(OR(S1632="",'報告書'!$C$4=""),"",IF(S1632&amp;""='報告書'!$C$4&amp;"",COUNTIF($S$5:S1632,'報告書'!$C$4),""))</f>
        <v/>
      </c>
      <c r="AK1632" s="20" t="n"/>
      <c r="AL1632" s="47" t="n"/>
      <c r="AM1632" s="47" t="n"/>
      <c r="AN1632" s="53" t="n"/>
      <c r="AO1632" s="47" t="n"/>
      <c r="AP1632" s="47" t="n"/>
      <c r="AQ1632" s="47" t="n"/>
      <c r="AR1632" s="47" t="n"/>
      <c r="AS1632" s="47" t="n"/>
      <c r="AT1632" s="47" t="n"/>
      <c r="AU1632" s="47" t="n"/>
      <c r="AV1632" s="47" t="n"/>
      <c r="AW1632" s="52" t="n"/>
    </row>
    <row r="1633">
      <c r="A1633" s="48" t="n"/>
      <c r="B1633" s="52" t="n"/>
      <c r="C1633" s="47">
        <f>IF(B1633="","",IFERROR(INDEX('隊員マスタ'!$B$5:$B$204,MATCH(B1633&amp;"",'隊員マスタ'!$F$5:$F$204,0)),IF(AK1633="","番号なし",AK1633)))</f>
        <v/>
      </c>
      <c r="D1633" s="47" t="n"/>
      <c r="E1633" s="47" t="n"/>
      <c r="F1633" s="47" t="n"/>
      <c r="G1633" s="47" t="n"/>
      <c r="H1633" s="47" t="n"/>
      <c r="I1633" s="47" t="n"/>
      <c r="J1633" s="47" t="n"/>
      <c r="K1633" s="47" t="n"/>
      <c r="L1633" s="47" t="n"/>
      <c r="M1633" s="47" t="n"/>
      <c r="N1633" s="47" t="n"/>
      <c r="O1633" s="47" t="n"/>
      <c r="P1633" s="47" t="n"/>
      <c r="Q1633" s="47" t="n"/>
      <c r="R1633" s="47" t="n"/>
      <c r="S1633" s="47" t="n"/>
      <c r="T1633" s="47" t="n"/>
      <c r="U1633" s="53" t="n"/>
      <c r="V1633" s="53" t="n"/>
      <c r="W1633" s="47" t="n"/>
      <c r="X1633" s="47" t="n"/>
      <c r="Y1633" s="47" t="n"/>
      <c r="Z1633" s="47" t="n"/>
      <c r="AA1633" s="47" t="n"/>
      <c r="AB1633" s="47" t="n"/>
      <c r="AC1633" s="47" t="n"/>
      <c r="AD1633" s="47" t="n"/>
      <c r="AE1633" s="47" t="n"/>
      <c r="AF1633" s="20">
        <f>IF(A1633="","",YEAR(EDATE(A1633,-3)))</f>
        <v/>
      </c>
      <c r="AG1633" s="20">
        <f>IF(OR(B1633="",'経歴簿'!$C$4=""),"",IF(B1633&amp;""='経歴簿'!$C$4&amp;"",MAX($AG$4:AG1632)+1,""))</f>
        <v/>
      </c>
      <c r="AH1633" s="20">
        <f>IF(A1633="",0,IF(AND(OR('CSV抽出'!$C$4="",A1633&gt;='CSV抽出'!$C$4),OR('CSV抽出'!$C$5="",A1633&lt;='CSV抽出'!$C$5),OR('CSV抽出'!$C$6="すべて",'CSV抽出'!$C$6="",D1633='CSV抽出'!$C$6),OR('CSV抽出'!$C$7="",B1633&amp;""='CSV抽出'!$C$7&amp;"")),1,0))</f>
        <v/>
      </c>
      <c r="AI1633" s="20">
        <f>IF(AH1633=1,SUM($AH$5:AH1633),"")</f>
        <v/>
      </c>
      <c r="AJ1633" s="20">
        <f>IF(OR(S1633="",'報告書'!$C$4=""),"",IF(S1633&amp;""='報告書'!$C$4&amp;"",COUNTIF($S$5:S1633,'報告書'!$C$4),""))</f>
        <v/>
      </c>
      <c r="AK1633" s="20" t="n"/>
      <c r="AL1633" s="47" t="n"/>
      <c r="AM1633" s="47" t="n"/>
      <c r="AN1633" s="53" t="n"/>
      <c r="AO1633" s="47" t="n"/>
      <c r="AP1633" s="47" t="n"/>
      <c r="AQ1633" s="47" t="n"/>
      <c r="AR1633" s="47" t="n"/>
      <c r="AS1633" s="47" t="n"/>
      <c r="AT1633" s="47" t="n"/>
      <c r="AU1633" s="47" t="n"/>
      <c r="AV1633" s="47" t="n"/>
      <c r="AW1633" s="52" t="n"/>
    </row>
    <row r="1634">
      <c r="A1634" s="48" t="n"/>
      <c r="B1634" s="52" t="n"/>
      <c r="C1634" s="47">
        <f>IF(B1634="","",IFERROR(INDEX('隊員マスタ'!$B$5:$B$204,MATCH(B1634&amp;"",'隊員マスタ'!$F$5:$F$204,0)),IF(AK1634="","番号なし",AK1634)))</f>
        <v/>
      </c>
      <c r="D1634" s="47" t="n"/>
      <c r="E1634" s="47" t="n"/>
      <c r="F1634" s="47" t="n"/>
      <c r="G1634" s="47" t="n"/>
      <c r="H1634" s="47" t="n"/>
      <c r="I1634" s="47" t="n"/>
      <c r="J1634" s="47" t="n"/>
      <c r="K1634" s="47" t="n"/>
      <c r="L1634" s="47" t="n"/>
      <c r="M1634" s="47" t="n"/>
      <c r="N1634" s="47" t="n"/>
      <c r="O1634" s="47" t="n"/>
      <c r="P1634" s="47" t="n"/>
      <c r="Q1634" s="47" t="n"/>
      <c r="R1634" s="47" t="n"/>
      <c r="S1634" s="47" t="n"/>
      <c r="T1634" s="47" t="n"/>
      <c r="U1634" s="53" t="n"/>
      <c r="V1634" s="53" t="n"/>
      <c r="W1634" s="47" t="n"/>
      <c r="X1634" s="47" t="n"/>
      <c r="Y1634" s="47" t="n"/>
      <c r="Z1634" s="47" t="n"/>
      <c r="AA1634" s="47" t="n"/>
      <c r="AB1634" s="47" t="n"/>
      <c r="AC1634" s="47" t="n"/>
      <c r="AD1634" s="47" t="n"/>
      <c r="AE1634" s="47" t="n"/>
      <c r="AF1634" s="20">
        <f>IF(A1634="","",YEAR(EDATE(A1634,-3)))</f>
        <v/>
      </c>
      <c r="AG1634" s="20">
        <f>IF(OR(B1634="",'経歴簿'!$C$4=""),"",IF(B1634&amp;""='経歴簿'!$C$4&amp;"",MAX($AG$4:AG1633)+1,""))</f>
        <v/>
      </c>
      <c r="AH1634" s="20">
        <f>IF(A1634="",0,IF(AND(OR('CSV抽出'!$C$4="",A1634&gt;='CSV抽出'!$C$4),OR('CSV抽出'!$C$5="",A1634&lt;='CSV抽出'!$C$5),OR('CSV抽出'!$C$6="すべて",'CSV抽出'!$C$6="",D1634='CSV抽出'!$C$6),OR('CSV抽出'!$C$7="",B1634&amp;""='CSV抽出'!$C$7&amp;"")),1,0))</f>
        <v/>
      </c>
      <c r="AI1634" s="20">
        <f>IF(AH1634=1,SUM($AH$5:AH1634),"")</f>
        <v/>
      </c>
      <c r="AJ1634" s="20">
        <f>IF(OR(S1634="",'報告書'!$C$4=""),"",IF(S1634&amp;""='報告書'!$C$4&amp;"",COUNTIF($S$5:S1634,'報告書'!$C$4),""))</f>
        <v/>
      </c>
      <c r="AK1634" s="20" t="n"/>
      <c r="AL1634" s="47" t="n"/>
      <c r="AM1634" s="47" t="n"/>
      <c r="AN1634" s="53" t="n"/>
      <c r="AO1634" s="47" t="n"/>
      <c r="AP1634" s="47" t="n"/>
      <c r="AQ1634" s="47" t="n"/>
      <c r="AR1634" s="47" t="n"/>
      <c r="AS1634" s="47" t="n"/>
      <c r="AT1634" s="47" t="n"/>
      <c r="AU1634" s="47" t="n"/>
      <c r="AV1634" s="47" t="n"/>
      <c r="AW1634" s="52" t="n"/>
    </row>
    <row r="1635">
      <c r="A1635" s="48" t="n"/>
      <c r="B1635" s="52" t="n"/>
      <c r="C1635" s="47">
        <f>IF(B1635="","",IFERROR(INDEX('隊員マスタ'!$B$5:$B$204,MATCH(B1635&amp;"",'隊員マスタ'!$F$5:$F$204,0)),IF(AK1635="","番号なし",AK1635)))</f>
        <v/>
      </c>
      <c r="D1635" s="47" t="n"/>
      <c r="E1635" s="47" t="n"/>
      <c r="F1635" s="47" t="n"/>
      <c r="G1635" s="47" t="n"/>
      <c r="H1635" s="47" t="n"/>
      <c r="I1635" s="47" t="n"/>
      <c r="J1635" s="47" t="n"/>
      <c r="K1635" s="47" t="n"/>
      <c r="L1635" s="47" t="n"/>
      <c r="M1635" s="47" t="n"/>
      <c r="N1635" s="47" t="n"/>
      <c r="O1635" s="47" t="n"/>
      <c r="P1635" s="47" t="n"/>
      <c r="Q1635" s="47" t="n"/>
      <c r="R1635" s="47" t="n"/>
      <c r="S1635" s="47" t="n"/>
      <c r="T1635" s="47" t="n"/>
      <c r="U1635" s="53" t="n"/>
      <c r="V1635" s="53" t="n"/>
      <c r="W1635" s="47" t="n"/>
      <c r="X1635" s="47" t="n"/>
      <c r="Y1635" s="47" t="n"/>
      <c r="Z1635" s="47" t="n"/>
      <c r="AA1635" s="47" t="n"/>
      <c r="AB1635" s="47" t="n"/>
      <c r="AC1635" s="47" t="n"/>
      <c r="AD1635" s="47" t="n"/>
      <c r="AE1635" s="47" t="n"/>
      <c r="AF1635" s="20">
        <f>IF(A1635="","",YEAR(EDATE(A1635,-3)))</f>
        <v/>
      </c>
      <c r="AG1635" s="20">
        <f>IF(OR(B1635="",'経歴簿'!$C$4=""),"",IF(B1635&amp;""='経歴簿'!$C$4&amp;"",MAX($AG$4:AG1634)+1,""))</f>
        <v/>
      </c>
      <c r="AH1635" s="20">
        <f>IF(A1635="",0,IF(AND(OR('CSV抽出'!$C$4="",A1635&gt;='CSV抽出'!$C$4),OR('CSV抽出'!$C$5="",A1635&lt;='CSV抽出'!$C$5),OR('CSV抽出'!$C$6="すべて",'CSV抽出'!$C$6="",D1635='CSV抽出'!$C$6),OR('CSV抽出'!$C$7="",B1635&amp;""='CSV抽出'!$C$7&amp;"")),1,0))</f>
        <v/>
      </c>
      <c r="AI1635" s="20">
        <f>IF(AH1635=1,SUM($AH$5:AH1635),"")</f>
        <v/>
      </c>
      <c r="AJ1635" s="20">
        <f>IF(OR(S1635="",'報告書'!$C$4=""),"",IF(S1635&amp;""='報告書'!$C$4&amp;"",COUNTIF($S$5:S1635,'報告書'!$C$4),""))</f>
        <v/>
      </c>
      <c r="AK1635" s="20" t="n"/>
      <c r="AL1635" s="47" t="n"/>
      <c r="AM1635" s="47" t="n"/>
      <c r="AN1635" s="53" t="n"/>
      <c r="AO1635" s="47" t="n"/>
      <c r="AP1635" s="47" t="n"/>
      <c r="AQ1635" s="47" t="n"/>
      <c r="AR1635" s="47" t="n"/>
      <c r="AS1635" s="47" t="n"/>
      <c r="AT1635" s="47" t="n"/>
      <c r="AU1635" s="47" t="n"/>
      <c r="AV1635" s="47" t="n"/>
      <c r="AW1635" s="52" t="n"/>
    </row>
    <row r="1636">
      <c r="A1636" s="48" t="n"/>
      <c r="B1636" s="52" t="n"/>
      <c r="C1636" s="47">
        <f>IF(B1636="","",IFERROR(INDEX('隊員マスタ'!$B$5:$B$204,MATCH(B1636&amp;"",'隊員マスタ'!$F$5:$F$204,0)),IF(AK1636="","番号なし",AK1636)))</f>
        <v/>
      </c>
      <c r="D1636" s="47" t="n"/>
      <c r="E1636" s="47" t="n"/>
      <c r="F1636" s="47" t="n"/>
      <c r="G1636" s="47" t="n"/>
      <c r="H1636" s="47" t="n"/>
      <c r="I1636" s="47" t="n"/>
      <c r="J1636" s="47" t="n"/>
      <c r="K1636" s="47" t="n"/>
      <c r="L1636" s="47" t="n"/>
      <c r="M1636" s="47" t="n"/>
      <c r="N1636" s="47" t="n"/>
      <c r="O1636" s="47" t="n"/>
      <c r="P1636" s="47" t="n"/>
      <c r="Q1636" s="47" t="n"/>
      <c r="R1636" s="47" t="n"/>
      <c r="S1636" s="47" t="n"/>
      <c r="T1636" s="47" t="n"/>
      <c r="U1636" s="53" t="n"/>
      <c r="V1636" s="53" t="n"/>
      <c r="W1636" s="47" t="n"/>
      <c r="X1636" s="47" t="n"/>
      <c r="Y1636" s="47" t="n"/>
      <c r="Z1636" s="47" t="n"/>
      <c r="AA1636" s="47" t="n"/>
      <c r="AB1636" s="47" t="n"/>
      <c r="AC1636" s="47" t="n"/>
      <c r="AD1636" s="47" t="n"/>
      <c r="AE1636" s="47" t="n"/>
      <c r="AF1636" s="20">
        <f>IF(A1636="","",YEAR(EDATE(A1636,-3)))</f>
        <v/>
      </c>
      <c r="AG1636" s="20">
        <f>IF(OR(B1636="",'経歴簿'!$C$4=""),"",IF(B1636&amp;""='経歴簿'!$C$4&amp;"",MAX($AG$4:AG1635)+1,""))</f>
        <v/>
      </c>
      <c r="AH1636" s="20">
        <f>IF(A1636="",0,IF(AND(OR('CSV抽出'!$C$4="",A1636&gt;='CSV抽出'!$C$4),OR('CSV抽出'!$C$5="",A1636&lt;='CSV抽出'!$C$5),OR('CSV抽出'!$C$6="すべて",'CSV抽出'!$C$6="",D1636='CSV抽出'!$C$6),OR('CSV抽出'!$C$7="",B1636&amp;""='CSV抽出'!$C$7&amp;"")),1,0))</f>
        <v/>
      </c>
      <c r="AI1636" s="20">
        <f>IF(AH1636=1,SUM($AH$5:AH1636),"")</f>
        <v/>
      </c>
      <c r="AJ1636" s="20">
        <f>IF(OR(S1636="",'報告書'!$C$4=""),"",IF(S1636&amp;""='報告書'!$C$4&amp;"",COUNTIF($S$5:S1636,'報告書'!$C$4),""))</f>
        <v/>
      </c>
      <c r="AK1636" s="20" t="n"/>
      <c r="AL1636" s="47" t="n"/>
      <c r="AM1636" s="47" t="n"/>
      <c r="AN1636" s="53" t="n"/>
      <c r="AO1636" s="47" t="n"/>
      <c r="AP1636" s="47" t="n"/>
      <c r="AQ1636" s="47" t="n"/>
      <c r="AR1636" s="47" t="n"/>
      <c r="AS1636" s="47" t="n"/>
      <c r="AT1636" s="47" t="n"/>
      <c r="AU1636" s="47" t="n"/>
      <c r="AV1636" s="47" t="n"/>
      <c r="AW1636" s="52" t="n"/>
    </row>
    <row r="1637">
      <c r="A1637" s="48" t="n"/>
      <c r="B1637" s="52" t="n"/>
      <c r="C1637" s="47">
        <f>IF(B1637="","",IFERROR(INDEX('隊員マスタ'!$B$5:$B$204,MATCH(B1637&amp;"",'隊員マスタ'!$F$5:$F$204,0)),IF(AK1637="","番号なし",AK1637)))</f>
        <v/>
      </c>
      <c r="D1637" s="47" t="n"/>
      <c r="E1637" s="47" t="n"/>
      <c r="F1637" s="47" t="n"/>
      <c r="G1637" s="47" t="n"/>
      <c r="H1637" s="47" t="n"/>
      <c r="I1637" s="47" t="n"/>
      <c r="J1637" s="47" t="n"/>
      <c r="K1637" s="47" t="n"/>
      <c r="L1637" s="47" t="n"/>
      <c r="M1637" s="47" t="n"/>
      <c r="N1637" s="47" t="n"/>
      <c r="O1637" s="47" t="n"/>
      <c r="P1637" s="47" t="n"/>
      <c r="Q1637" s="47" t="n"/>
      <c r="R1637" s="47" t="n"/>
      <c r="S1637" s="47" t="n"/>
      <c r="T1637" s="47" t="n"/>
      <c r="U1637" s="53" t="n"/>
      <c r="V1637" s="53" t="n"/>
      <c r="W1637" s="47" t="n"/>
      <c r="X1637" s="47" t="n"/>
      <c r="Y1637" s="47" t="n"/>
      <c r="Z1637" s="47" t="n"/>
      <c r="AA1637" s="47" t="n"/>
      <c r="AB1637" s="47" t="n"/>
      <c r="AC1637" s="47" t="n"/>
      <c r="AD1637" s="47" t="n"/>
      <c r="AE1637" s="47" t="n"/>
      <c r="AF1637" s="20">
        <f>IF(A1637="","",YEAR(EDATE(A1637,-3)))</f>
        <v/>
      </c>
      <c r="AG1637" s="20">
        <f>IF(OR(B1637="",'経歴簿'!$C$4=""),"",IF(B1637&amp;""='経歴簿'!$C$4&amp;"",MAX($AG$4:AG1636)+1,""))</f>
        <v/>
      </c>
      <c r="AH1637" s="20">
        <f>IF(A1637="",0,IF(AND(OR('CSV抽出'!$C$4="",A1637&gt;='CSV抽出'!$C$4),OR('CSV抽出'!$C$5="",A1637&lt;='CSV抽出'!$C$5),OR('CSV抽出'!$C$6="すべて",'CSV抽出'!$C$6="",D1637='CSV抽出'!$C$6),OR('CSV抽出'!$C$7="",B1637&amp;""='CSV抽出'!$C$7&amp;"")),1,0))</f>
        <v/>
      </c>
      <c r="AI1637" s="20">
        <f>IF(AH1637=1,SUM($AH$5:AH1637),"")</f>
        <v/>
      </c>
      <c r="AJ1637" s="20">
        <f>IF(OR(S1637="",'報告書'!$C$4=""),"",IF(S1637&amp;""='報告書'!$C$4&amp;"",COUNTIF($S$5:S1637,'報告書'!$C$4),""))</f>
        <v/>
      </c>
      <c r="AK1637" s="20" t="n"/>
      <c r="AL1637" s="47" t="n"/>
      <c r="AM1637" s="47" t="n"/>
      <c r="AN1637" s="53" t="n"/>
      <c r="AO1637" s="47" t="n"/>
      <c r="AP1637" s="47" t="n"/>
      <c r="AQ1637" s="47" t="n"/>
      <c r="AR1637" s="47" t="n"/>
      <c r="AS1637" s="47" t="n"/>
      <c r="AT1637" s="47" t="n"/>
      <c r="AU1637" s="47" t="n"/>
      <c r="AV1637" s="47" t="n"/>
      <c r="AW1637" s="52" t="n"/>
    </row>
    <row r="1638">
      <c r="A1638" s="48" t="n"/>
      <c r="B1638" s="52" t="n"/>
      <c r="C1638" s="47">
        <f>IF(B1638="","",IFERROR(INDEX('隊員マスタ'!$B$5:$B$204,MATCH(B1638&amp;"",'隊員マスタ'!$F$5:$F$204,0)),IF(AK1638="","番号なし",AK1638)))</f>
        <v/>
      </c>
      <c r="D1638" s="47" t="n"/>
      <c r="E1638" s="47" t="n"/>
      <c r="F1638" s="47" t="n"/>
      <c r="G1638" s="47" t="n"/>
      <c r="H1638" s="47" t="n"/>
      <c r="I1638" s="47" t="n"/>
      <c r="J1638" s="47" t="n"/>
      <c r="K1638" s="47" t="n"/>
      <c r="L1638" s="47" t="n"/>
      <c r="M1638" s="47" t="n"/>
      <c r="N1638" s="47" t="n"/>
      <c r="O1638" s="47" t="n"/>
      <c r="P1638" s="47" t="n"/>
      <c r="Q1638" s="47" t="n"/>
      <c r="R1638" s="47" t="n"/>
      <c r="S1638" s="47" t="n"/>
      <c r="T1638" s="47" t="n"/>
      <c r="U1638" s="53" t="n"/>
      <c r="V1638" s="53" t="n"/>
      <c r="W1638" s="47" t="n"/>
      <c r="X1638" s="47" t="n"/>
      <c r="Y1638" s="47" t="n"/>
      <c r="Z1638" s="47" t="n"/>
      <c r="AA1638" s="47" t="n"/>
      <c r="AB1638" s="47" t="n"/>
      <c r="AC1638" s="47" t="n"/>
      <c r="AD1638" s="47" t="n"/>
      <c r="AE1638" s="47" t="n"/>
      <c r="AF1638" s="20">
        <f>IF(A1638="","",YEAR(EDATE(A1638,-3)))</f>
        <v/>
      </c>
      <c r="AG1638" s="20">
        <f>IF(OR(B1638="",'経歴簿'!$C$4=""),"",IF(B1638&amp;""='経歴簿'!$C$4&amp;"",MAX($AG$4:AG1637)+1,""))</f>
        <v/>
      </c>
      <c r="AH1638" s="20">
        <f>IF(A1638="",0,IF(AND(OR('CSV抽出'!$C$4="",A1638&gt;='CSV抽出'!$C$4),OR('CSV抽出'!$C$5="",A1638&lt;='CSV抽出'!$C$5),OR('CSV抽出'!$C$6="すべて",'CSV抽出'!$C$6="",D1638='CSV抽出'!$C$6),OR('CSV抽出'!$C$7="",B1638&amp;""='CSV抽出'!$C$7&amp;"")),1,0))</f>
        <v/>
      </c>
      <c r="AI1638" s="20">
        <f>IF(AH1638=1,SUM($AH$5:AH1638),"")</f>
        <v/>
      </c>
      <c r="AJ1638" s="20">
        <f>IF(OR(S1638="",'報告書'!$C$4=""),"",IF(S1638&amp;""='報告書'!$C$4&amp;"",COUNTIF($S$5:S1638,'報告書'!$C$4),""))</f>
        <v/>
      </c>
      <c r="AK1638" s="20" t="n"/>
      <c r="AL1638" s="47" t="n"/>
      <c r="AM1638" s="47" t="n"/>
      <c r="AN1638" s="53" t="n"/>
      <c r="AO1638" s="47" t="n"/>
      <c r="AP1638" s="47" t="n"/>
      <c r="AQ1638" s="47" t="n"/>
      <c r="AR1638" s="47" t="n"/>
      <c r="AS1638" s="47" t="n"/>
      <c r="AT1638" s="47" t="n"/>
      <c r="AU1638" s="47" t="n"/>
      <c r="AV1638" s="47" t="n"/>
      <c r="AW1638" s="52" t="n"/>
    </row>
    <row r="1639">
      <c r="A1639" s="48" t="n"/>
      <c r="B1639" s="52" t="n"/>
      <c r="C1639" s="47">
        <f>IF(B1639="","",IFERROR(INDEX('隊員マスタ'!$B$5:$B$204,MATCH(B1639&amp;"",'隊員マスタ'!$F$5:$F$204,0)),IF(AK1639="","番号なし",AK1639)))</f>
        <v/>
      </c>
      <c r="D1639" s="47" t="n"/>
      <c r="E1639" s="47" t="n"/>
      <c r="F1639" s="47" t="n"/>
      <c r="G1639" s="47" t="n"/>
      <c r="H1639" s="47" t="n"/>
      <c r="I1639" s="47" t="n"/>
      <c r="J1639" s="47" t="n"/>
      <c r="K1639" s="47" t="n"/>
      <c r="L1639" s="47" t="n"/>
      <c r="M1639" s="47" t="n"/>
      <c r="N1639" s="47" t="n"/>
      <c r="O1639" s="47" t="n"/>
      <c r="P1639" s="47" t="n"/>
      <c r="Q1639" s="47" t="n"/>
      <c r="R1639" s="47" t="n"/>
      <c r="S1639" s="47" t="n"/>
      <c r="T1639" s="47" t="n"/>
      <c r="U1639" s="53" t="n"/>
      <c r="V1639" s="53" t="n"/>
      <c r="W1639" s="47" t="n"/>
      <c r="X1639" s="47" t="n"/>
      <c r="Y1639" s="47" t="n"/>
      <c r="Z1639" s="47" t="n"/>
      <c r="AA1639" s="47" t="n"/>
      <c r="AB1639" s="47" t="n"/>
      <c r="AC1639" s="47" t="n"/>
      <c r="AD1639" s="47" t="n"/>
      <c r="AE1639" s="47" t="n"/>
      <c r="AF1639" s="20">
        <f>IF(A1639="","",YEAR(EDATE(A1639,-3)))</f>
        <v/>
      </c>
      <c r="AG1639" s="20">
        <f>IF(OR(B1639="",'経歴簿'!$C$4=""),"",IF(B1639&amp;""='経歴簿'!$C$4&amp;"",MAX($AG$4:AG1638)+1,""))</f>
        <v/>
      </c>
      <c r="AH1639" s="20">
        <f>IF(A1639="",0,IF(AND(OR('CSV抽出'!$C$4="",A1639&gt;='CSV抽出'!$C$4),OR('CSV抽出'!$C$5="",A1639&lt;='CSV抽出'!$C$5),OR('CSV抽出'!$C$6="すべて",'CSV抽出'!$C$6="",D1639='CSV抽出'!$C$6),OR('CSV抽出'!$C$7="",B1639&amp;""='CSV抽出'!$C$7&amp;"")),1,0))</f>
        <v/>
      </c>
      <c r="AI1639" s="20">
        <f>IF(AH1639=1,SUM($AH$5:AH1639),"")</f>
        <v/>
      </c>
      <c r="AJ1639" s="20">
        <f>IF(OR(S1639="",'報告書'!$C$4=""),"",IF(S1639&amp;""='報告書'!$C$4&amp;"",COUNTIF($S$5:S1639,'報告書'!$C$4),""))</f>
        <v/>
      </c>
      <c r="AK1639" s="20" t="n"/>
      <c r="AL1639" s="47" t="n"/>
      <c r="AM1639" s="47" t="n"/>
      <c r="AN1639" s="53" t="n"/>
      <c r="AO1639" s="47" t="n"/>
      <c r="AP1639" s="47" t="n"/>
      <c r="AQ1639" s="47" t="n"/>
      <c r="AR1639" s="47" t="n"/>
      <c r="AS1639" s="47" t="n"/>
      <c r="AT1639" s="47" t="n"/>
      <c r="AU1639" s="47" t="n"/>
      <c r="AV1639" s="47" t="n"/>
      <c r="AW1639" s="52" t="n"/>
    </row>
    <row r="1640">
      <c r="A1640" s="48" t="n"/>
      <c r="B1640" s="52" t="n"/>
      <c r="C1640" s="47">
        <f>IF(B1640="","",IFERROR(INDEX('隊員マスタ'!$B$5:$B$204,MATCH(B1640&amp;"",'隊員マスタ'!$F$5:$F$204,0)),IF(AK1640="","番号なし",AK1640)))</f>
        <v/>
      </c>
      <c r="D1640" s="47" t="n"/>
      <c r="E1640" s="47" t="n"/>
      <c r="F1640" s="47" t="n"/>
      <c r="G1640" s="47" t="n"/>
      <c r="H1640" s="47" t="n"/>
      <c r="I1640" s="47" t="n"/>
      <c r="J1640" s="47" t="n"/>
      <c r="K1640" s="47" t="n"/>
      <c r="L1640" s="47" t="n"/>
      <c r="M1640" s="47" t="n"/>
      <c r="N1640" s="47" t="n"/>
      <c r="O1640" s="47" t="n"/>
      <c r="P1640" s="47" t="n"/>
      <c r="Q1640" s="47" t="n"/>
      <c r="R1640" s="47" t="n"/>
      <c r="S1640" s="47" t="n"/>
      <c r="T1640" s="47" t="n"/>
      <c r="U1640" s="53" t="n"/>
      <c r="V1640" s="53" t="n"/>
      <c r="W1640" s="47" t="n"/>
      <c r="X1640" s="47" t="n"/>
      <c r="Y1640" s="47" t="n"/>
      <c r="Z1640" s="47" t="n"/>
      <c r="AA1640" s="47" t="n"/>
      <c r="AB1640" s="47" t="n"/>
      <c r="AC1640" s="47" t="n"/>
      <c r="AD1640" s="47" t="n"/>
      <c r="AE1640" s="47" t="n"/>
      <c r="AF1640" s="20">
        <f>IF(A1640="","",YEAR(EDATE(A1640,-3)))</f>
        <v/>
      </c>
      <c r="AG1640" s="20">
        <f>IF(OR(B1640="",'経歴簿'!$C$4=""),"",IF(B1640&amp;""='経歴簿'!$C$4&amp;"",MAX($AG$4:AG1639)+1,""))</f>
        <v/>
      </c>
      <c r="AH1640" s="20">
        <f>IF(A1640="",0,IF(AND(OR('CSV抽出'!$C$4="",A1640&gt;='CSV抽出'!$C$4),OR('CSV抽出'!$C$5="",A1640&lt;='CSV抽出'!$C$5),OR('CSV抽出'!$C$6="すべて",'CSV抽出'!$C$6="",D1640='CSV抽出'!$C$6),OR('CSV抽出'!$C$7="",B1640&amp;""='CSV抽出'!$C$7&amp;"")),1,0))</f>
        <v/>
      </c>
      <c r="AI1640" s="20">
        <f>IF(AH1640=1,SUM($AH$5:AH1640),"")</f>
        <v/>
      </c>
      <c r="AJ1640" s="20">
        <f>IF(OR(S1640="",'報告書'!$C$4=""),"",IF(S1640&amp;""='報告書'!$C$4&amp;"",COUNTIF($S$5:S1640,'報告書'!$C$4),""))</f>
        <v/>
      </c>
      <c r="AK1640" s="20" t="n"/>
      <c r="AL1640" s="47" t="n"/>
      <c r="AM1640" s="47" t="n"/>
      <c r="AN1640" s="53" t="n"/>
      <c r="AO1640" s="47" t="n"/>
      <c r="AP1640" s="47" t="n"/>
      <c r="AQ1640" s="47" t="n"/>
      <c r="AR1640" s="47" t="n"/>
      <c r="AS1640" s="47" t="n"/>
      <c r="AT1640" s="47" t="n"/>
      <c r="AU1640" s="47" t="n"/>
      <c r="AV1640" s="47" t="n"/>
      <c r="AW1640" s="52" t="n"/>
    </row>
    <row r="1641">
      <c r="A1641" s="48" t="n"/>
      <c r="B1641" s="52" t="n"/>
      <c r="C1641" s="47">
        <f>IF(B1641="","",IFERROR(INDEX('隊員マスタ'!$B$5:$B$204,MATCH(B1641&amp;"",'隊員マスタ'!$F$5:$F$204,0)),IF(AK1641="","番号なし",AK1641)))</f>
        <v/>
      </c>
      <c r="D1641" s="47" t="n"/>
      <c r="E1641" s="47" t="n"/>
      <c r="F1641" s="47" t="n"/>
      <c r="G1641" s="47" t="n"/>
      <c r="H1641" s="47" t="n"/>
      <c r="I1641" s="47" t="n"/>
      <c r="J1641" s="47" t="n"/>
      <c r="K1641" s="47" t="n"/>
      <c r="L1641" s="47" t="n"/>
      <c r="M1641" s="47" t="n"/>
      <c r="N1641" s="47" t="n"/>
      <c r="O1641" s="47" t="n"/>
      <c r="P1641" s="47" t="n"/>
      <c r="Q1641" s="47" t="n"/>
      <c r="R1641" s="47" t="n"/>
      <c r="S1641" s="47" t="n"/>
      <c r="T1641" s="47" t="n"/>
      <c r="U1641" s="53" t="n"/>
      <c r="V1641" s="53" t="n"/>
      <c r="W1641" s="47" t="n"/>
      <c r="X1641" s="47" t="n"/>
      <c r="Y1641" s="47" t="n"/>
      <c r="Z1641" s="47" t="n"/>
      <c r="AA1641" s="47" t="n"/>
      <c r="AB1641" s="47" t="n"/>
      <c r="AC1641" s="47" t="n"/>
      <c r="AD1641" s="47" t="n"/>
      <c r="AE1641" s="47" t="n"/>
      <c r="AF1641" s="20">
        <f>IF(A1641="","",YEAR(EDATE(A1641,-3)))</f>
        <v/>
      </c>
      <c r="AG1641" s="20">
        <f>IF(OR(B1641="",'経歴簿'!$C$4=""),"",IF(B1641&amp;""='経歴簿'!$C$4&amp;"",MAX($AG$4:AG1640)+1,""))</f>
        <v/>
      </c>
      <c r="AH1641" s="20">
        <f>IF(A1641="",0,IF(AND(OR('CSV抽出'!$C$4="",A1641&gt;='CSV抽出'!$C$4),OR('CSV抽出'!$C$5="",A1641&lt;='CSV抽出'!$C$5),OR('CSV抽出'!$C$6="すべて",'CSV抽出'!$C$6="",D1641='CSV抽出'!$C$6),OR('CSV抽出'!$C$7="",B1641&amp;""='CSV抽出'!$C$7&amp;"")),1,0))</f>
        <v/>
      </c>
      <c r="AI1641" s="20">
        <f>IF(AH1641=1,SUM($AH$5:AH1641),"")</f>
        <v/>
      </c>
      <c r="AJ1641" s="20">
        <f>IF(OR(S1641="",'報告書'!$C$4=""),"",IF(S1641&amp;""='報告書'!$C$4&amp;"",COUNTIF($S$5:S1641,'報告書'!$C$4),""))</f>
        <v/>
      </c>
      <c r="AK1641" s="20" t="n"/>
      <c r="AL1641" s="47" t="n"/>
      <c r="AM1641" s="47" t="n"/>
      <c r="AN1641" s="53" t="n"/>
      <c r="AO1641" s="47" t="n"/>
      <c r="AP1641" s="47" t="n"/>
      <c r="AQ1641" s="47" t="n"/>
      <c r="AR1641" s="47" t="n"/>
      <c r="AS1641" s="47" t="n"/>
      <c r="AT1641" s="47" t="n"/>
      <c r="AU1641" s="47" t="n"/>
      <c r="AV1641" s="47" t="n"/>
      <c r="AW1641" s="52" t="n"/>
    </row>
    <row r="1642">
      <c r="A1642" s="48" t="n"/>
      <c r="B1642" s="52" t="n"/>
      <c r="C1642" s="47">
        <f>IF(B1642="","",IFERROR(INDEX('隊員マスタ'!$B$5:$B$204,MATCH(B1642&amp;"",'隊員マスタ'!$F$5:$F$204,0)),IF(AK1642="","番号なし",AK1642)))</f>
        <v/>
      </c>
      <c r="D1642" s="47" t="n"/>
      <c r="E1642" s="47" t="n"/>
      <c r="F1642" s="47" t="n"/>
      <c r="G1642" s="47" t="n"/>
      <c r="H1642" s="47" t="n"/>
      <c r="I1642" s="47" t="n"/>
      <c r="J1642" s="47" t="n"/>
      <c r="K1642" s="47" t="n"/>
      <c r="L1642" s="47" t="n"/>
      <c r="M1642" s="47" t="n"/>
      <c r="N1642" s="47" t="n"/>
      <c r="O1642" s="47" t="n"/>
      <c r="P1642" s="47" t="n"/>
      <c r="Q1642" s="47" t="n"/>
      <c r="R1642" s="47" t="n"/>
      <c r="S1642" s="47" t="n"/>
      <c r="T1642" s="47" t="n"/>
      <c r="U1642" s="53" t="n"/>
      <c r="V1642" s="53" t="n"/>
      <c r="W1642" s="47" t="n"/>
      <c r="X1642" s="47" t="n"/>
      <c r="Y1642" s="47" t="n"/>
      <c r="Z1642" s="47" t="n"/>
      <c r="AA1642" s="47" t="n"/>
      <c r="AB1642" s="47" t="n"/>
      <c r="AC1642" s="47" t="n"/>
      <c r="AD1642" s="47" t="n"/>
      <c r="AE1642" s="47" t="n"/>
      <c r="AF1642" s="20">
        <f>IF(A1642="","",YEAR(EDATE(A1642,-3)))</f>
        <v/>
      </c>
      <c r="AG1642" s="20">
        <f>IF(OR(B1642="",'経歴簿'!$C$4=""),"",IF(B1642&amp;""='経歴簿'!$C$4&amp;"",MAX($AG$4:AG1641)+1,""))</f>
        <v/>
      </c>
      <c r="AH1642" s="20">
        <f>IF(A1642="",0,IF(AND(OR('CSV抽出'!$C$4="",A1642&gt;='CSV抽出'!$C$4),OR('CSV抽出'!$C$5="",A1642&lt;='CSV抽出'!$C$5),OR('CSV抽出'!$C$6="すべて",'CSV抽出'!$C$6="",D1642='CSV抽出'!$C$6),OR('CSV抽出'!$C$7="",B1642&amp;""='CSV抽出'!$C$7&amp;"")),1,0))</f>
        <v/>
      </c>
      <c r="AI1642" s="20">
        <f>IF(AH1642=1,SUM($AH$5:AH1642),"")</f>
        <v/>
      </c>
      <c r="AJ1642" s="20">
        <f>IF(OR(S1642="",'報告書'!$C$4=""),"",IF(S1642&amp;""='報告書'!$C$4&amp;"",COUNTIF($S$5:S1642,'報告書'!$C$4),""))</f>
        <v/>
      </c>
      <c r="AK1642" s="20" t="n"/>
      <c r="AL1642" s="47" t="n"/>
      <c r="AM1642" s="47" t="n"/>
      <c r="AN1642" s="53" t="n"/>
      <c r="AO1642" s="47" t="n"/>
      <c r="AP1642" s="47" t="n"/>
      <c r="AQ1642" s="47" t="n"/>
      <c r="AR1642" s="47" t="n"/>
      <c r="AS1642" s="47" t="n"/>
      <c r="AT1642" s="47" t="n"/>
      <c r="AU1642" s="47" t="n"/>
      <c r="AV1642" s="47" t="n"/>
      <c r="AW1642" s="52" t="n"/>
    </row>
    <row r="1643">
      <c r="A1643" s="48" t="n"/>
      <c r="B1643" s="52" t="n"/>
      <c r="C1643" s="47">
        <f>IF(B1643="","",IFERROR(INDEX('隊員マスタ'!$B$5:$B$204,MATCH(B1643&amp;"",'隊員マスタ'!$F$5:$F$204,0)),IF(AK1643="","番号なし",AK1643)))</f>
        <v/>
      </c>
      <c r="D1643" s="47" t="n"/>
      <c r="E1643" s="47" t="n"/>
      <c r="F1643" s="47" t="n"/>
      <c r="G1643" s="47" t="n"/>
      <c r="H1643" s="47" t="n"/>
      <c r="I1643" s="47" t="n"/>
      <c r="J1643" s="47" t="n"/>
      <c r="K1643" s="47" t="n"/>
      <c r="L1643" s="47" t="n"/>
      <c r="M1643" s="47" t="n"/>
      <c r="N1643" s="47" t="n"/>
      <c r="O1643" s="47" t="n"/>
      <c r="P1643" s="47" t="n"/>
      <c r="Q1643" s="47" t="n"/>
      <c r="R1643" s="47" t="n"/>
      <c r="S1643" s="47" t="n"/>
      <c r="T1643" s="47" t="n"/>
      <c r="U1643" s="53" t="n"/>
      <c r="V1643" s="53" t="n"/>
      <c r="W1643" s="47" t="n"/>
      <c r="X1643" s="47" t="n"/>
      <c r="Y1643" s="47" t="n"/>
      <c r="Z1643" s="47" t="n"/>
      <c r="AA1643" s="47" t="n"/>
      <c r="AB1643" s="47" t="n"/>
      <c r="AC1643" s="47" t="n"/>
      <c r="AD1643" s="47" t="n"/>
      <c r="AE1643" s="47" t="n"/>
      <c r="AF1643" s="20">
        <f>IF(A1643="","",YEAR(EDATE(A1643,-3)))</f>
        <v/>
      </c>
      <c r="AG1643" s="20">
        <f>IF(OR(B1643="",'経歴簿'!$C$4=""),"",IF(B1643&amp;""='経歴簿'!$C$4&amp;"",MAX($AG$4:AG1642)+1,""))</f>
        <v/>
      </c>
      <c r="AH1643" s="20">
        <f>IF(A1643="",0,IF(AND(OR('CSV抽出'!$C$4="",A1643&gt;='CSV抽出'!$C$4),OR('CSV抽出'!$C$5="",A1643&lt;='CSV抽出'!$C$5),OR('CSV抽出'!$C$6="すべて",'CSV抽出'!$C$6="",D1643='CSV抽出'!$C$6),OR('CSV抽出'!$C$7="",B1643&amp;""='CSV抽出'!$C$7&amp;"")),1,0))</f>
        <v/>
      </c>
      <c r="AI1643" s="20">
        <f>IF(AH1643=1,SUM($AH$5:AH1643),"")</f>
        <v/>
      </c>
      <c r="AJ1643" s="20">
        <f>IF(OR(S1643="",'報告書'!$C$4=""),"",IF(S1643&amp;""='報告書'!$C$4&amp;"",COUNTIF($S$5:S1643,'報告書'!$C$4),""))</f>
        <v/>
      </c>
      <c r="AK1643" s="20" t="n"/>
      <c r="AL1643" s="47" t="n"/>
      <c r="AM1643" s="47" t="n"/>
      <c r="AN1643" s="53" t="n"/>
      <c r="AO1643" s="47" t="n"/>
      <c r="AP1643" s="47" t="n"/>
      <c r="AQ1643" s="47" t="n"/>
      <c r="AR1643" s="47" t="n"/>
      <c r="AS1643" s="47" t="n"/>
      <c r="AT1643" s="47" t="n"/>
      <c r="AU1643" s="47" t="n"/>
      <c r="AV1643" s="47" t="n"/>
      <c r="AW1643" s="52" t="n"/>
    </row>
    <row r="1644">
      <c r="A1644" s="48" t="n"/>
      <c r="B1644" s="52" t="n"/>
      <c r="C1644" s="47">
        <f>IF(B1644="","",IFERROR(INDEX('隊員マスタ'!$B$5:$B$204,MATCH(B1644&amp;"",'隊員マスタ'!$F$5:$F$204,0)),IF(AK1644="","番号なし",AK1644)))</f>
        <v/>
      </c>
      <c r="D1644" s="47" t="n"/>
      <c r="E1644" s="47" t="n"/>
      <c r="F1644" s="47" t="n"/>
      <c r="G1644" s="47" t="n"/>
      <c r="H1644" s="47" t="n"/>
      <c r="I1644" s="47" t="n"/>
      <c r="J1644" s="47" t="n"/>
      <c r="K1644" s="47" t="n"/>
      <c r="L1644" s="47" t="n"/>
      <c r="M1644" s="47" t="n"/>
      <c r="N1644" s="47" t="n"/>
      <c r="O1644" s="47" t="n"/>
      <c r="P1644" s="47" t="n"/>
      <c r="Q1644" s="47" t="n"/>
      <c r="R1644" s="47" t="n"/>
      <c r="S1644" s="47" t="n"/>
      <c r="T1644" s="47" t="n"/>
      <c r="U1644" s="53" t="n"/>
      <c r="V1644" s="53" t="n"/>
      <c r="W1644" s="47" t="n"/>
      <c r="X1644" s="47" t="n"/>
      <c r="Y1644" s="47" t="n"/>
      <c r="Z1644" s="47" t="n"/>
      <c r="AA1644" s="47" t="n"/>
      <c r="AB1644" s="47" t="n"/>
      <c r="AC1644" s="47" t="n"/>
      <c r="AD1644" s="47" t="n"/>
      <c r="AE1644" s="47" t="n"/>
      <c r="AF1644" s="20">
        <f>IF(A1644="","",YEAR(EDATE(A1644,-3)))</f>
        <v/>
      </c>
      <c r="AG1644" s="20">
        <f>IF(OR(B1644="",'経歴簿'!$C$4=""),"",IF(B1644&amp;""='経歴簿'!$C$4&amp;"",MAX($AG$4:AG1643)+1,""))</f>
        <v/>
      </c>
      <c r="AH1644" s="20">
        <f>IF(A1644="",0,IF(AND(OR('CSV抽出'!$C$4="",A1644&gt;='CSV抽出'!$C$4),OR('CSV抽出'!$C$5="",A1644&lt;='CSV抽出'!$C$5),OR('CSV抽出'!$C$6="すべて",'CSV抽出'!$C$6="",D1644='CSV抽出'!$C$6),OR('CSV抽出'!$C$7="",B1644&amp;""='CSV抽出'!$C$7&amp;"")),1,0))</f>
        <v/>
      </c>
      <c r="AI1644" s="20">
        <f>IF(AH1644=1,SUM($AH$5:AH1644),"")</f>
        <v/>
      </c>
      <c r="AJ1644" s="20">
        <f>IF(OR(S1644="",'報告書'!$C$4=""),"",IF(S1644&amp;""='報告書'!$C$4&amp;"",COUNTIF($S$5:S1644,'報告書'!$C$4),""))</f>
        <v/>
      </c>
      <c r="AK1644" s="20" t="n"/>
      <c r="AL1644" s="47" t="n"/>
      <c r="AM1644" s="47" t="n"/>
      <c r="AN1644" s="53" t="n"/>
      <c r="AO1644" s="47" t="n"/>
      <c r="AP1644" s="47" t="n"/>
      <c r="AQ1644" s="47" t="n"/>
      <c r="AR1644" s="47" t="n"/>
      <c r="AS1644" s="47" t="n"/>
      <c r="AT1644" s="47" t="n"/>
      <c r="AU1644" s="47" t="n"/>
      <c r="AV1644" s="47" t="n"/>
      <c r="AW1644" s="52" t="n"/>
    </row>
    <row r="1645">
      <c r="A1645" s="48" t="n"/>
      <c r="B1645" s="52" t="n"/>
      <c r="C1645" s="47">
        <f>IF(B1645="","",IFERROR(INDEX('隊員マスタ'!$B$5:$B$204,MATCH(B1645&amp;"",'隊員マスタ'!$F$5:$F$204,0)),IF(AK1645="","番号なし",AK1645)))</f>
        <v/>
      </c>
      <c r="D1645" s="47" t="n"/>
      <c r="E1645" s="47" t="n"/>
      <c r="F1645" s="47" t="n"/>
      <c r="G1645" s="47" t="n"/>
      <c r="H1645" s="47" t="n"/>
      <c r="I1645" s="47" t="n"/>
      <c r="J1645" s="47" t="n"/>
      <c r="K1645" s="47" t="n"/>
      <c r="L1645" s="47" t="n"/>
      <c r="M1645" s="47" t="n"/>
      <c r="N1645" s="47" t="n"/>
      <c r="O1645" s="47" t="n"/>
      <c r="P1645" s="47" t="n"/>
      <c r="Q1645" s="47" t="n"/>
      <c r="R1645" s="47" t="n"/>
      <c r="S1645" s="47" t="n"/>
      <c r="T1645" s="47" t="n"/>
      <c r="U1645" s="53" t="n"/>
      <c r="V1645" s="53" t="n"/>
      <c r="W1645" s="47" t="n"/>
      <c r="X1645" s="47" t="n"/>
      <c r="Y1645" s="47" t="n"/>
      <c r="Z1645" s="47" t="n"/>
      <c r="AA1645" s="47" t="n"/>
      <c r="AB1645" s="47" t="n"/>
      <c r="AC1645" s="47" t="n"/>
      <c r="AD1645" s="47" t="n"/>
      <c r="AE1645" s="47" t="n"/>
      <c r="AF1645" s="20">
        <f>IF(A1645="","",YEAR(EDATE(A1645,-3)))</f>
        <v/>
      </c>
      <c r="AG1645" s="20">
        <f>IF(OR(B1645="",'経歴簿'!$C$4=""),"",IF(B1645&amp;""='経歴簿'!$C$4&amp;"",MAX($AG$4:AG1644)+1,""))</f>
        <v/>
      </c>
      <c r="AH1645" s="20">
        <f>IF(A1645="",0,IF(AND(OR('CSV抽出'!$C$4="",A1645&gt;='CSV抽出'!$C$4),OR('CSV抽出'!$C$5="",A1645&lt;='CSV抽出'!$C$5),OR('CSV抽出'!$C$6="すべて",'CSV抽出'!$C$6="",D1645='CSV抽出'!$C$6),OR('CSV抽出'!$C$7="",B1645&amp;""='CSV抽出'!$C$7&amp;"")),1,0))</f>
        <v/>
      </c>
      <c r="AI1645" s="20">
        <f>IF(AH1645=1,SUM($AH$5:AH1645),"")</f>
        <v/>
      </c>
      <c r="AJ1645" s="20">
        <f>IF(OR(S1645="",'報告書'!$C$4=""),"",IF(S1645&amp;""='報告書'!$C$4&amp;"",COUNTIF($S$5:S1645,'報告書'!$C$4),""))</f>
        <v/>
      </c>
      <c r="AK1645" s="20" t="n"/>
      <c r="AL1645" s="47" t="n"/>
      <c r="AM1645" s="47" t="n"/>
      <c r="AN1645" s="53" t="n"/>
      <c r="AO1645" s="47" t="n"/>
      <c r="AP1645" s="47" t="n"/>
      <c r="AQ1645" s="47" t="n"/>
      <c r="AR1645" s="47" t="n"/>
      <c r="AS1645" s="47" t="n"/>
      <c r="AT1645" s="47" t="n"/>
      <c r="AU1645" s="47" t="n"/>
      <c r="AV1645" s="47" t="n"/>
      <c r="AW1645" s="52" t="n"/>
    </row>
    <row r="1646">
      <c r="A1646" s="48" t="n"/>
      <c r="B1646" s="52" t="n"/>
      <c r="C1646" s="47">
        <f>IF(B1646="","",IFERROR(INDEX('隊員マスタ'!$B$5:$B$204,MATCH(B1646&amp;"",'隊員マスタ'!$F$5:$F$204,0)),IF(AK1646="","番号なし",AK1646)))</f>
        <v/>
      </c>
      <c r="D1646" s="47" t="n"/>
      <c r="E1646" s="47" t="n"/>
      <c r="F1646" s="47" t="n"/>
      <c r="G1646" s="47" t="n"/>
      <c r="H1646" s="47" t="n"/>
      <c r="I1646" s="47" t="n"/>
      <c r="J1646" s="47" t="n"/>
      <c r="K1646" s="47" t="n"/>
      <c r="L1646" s="47" t="n"/>
      <c r="M1646" s="47" t="n"/>
      <c r="N1646" s="47" t="n"/>
      <c r="O1646" s="47" t="n"/>
      <c r="P1646" s="47" t="n"/>
      <c r="Q1646" s="47" t="n"/>
      <c r="R1646" s="47" t="n"/>
      <c r="S1646" s="47" t="n"/>
      <c r="T1646" s="47" t="n"/>
      <c r="U1646" s="53" t="n"/>
      <c r="V1646" s="53" t="n"/>
      <c r="W1646" s="47" t="n"/>
      <c r="X1646" s="47" t="n"/>
      <c r="Y1646" s="47" t="n"/>
      <c r="Z1646" s="47" t="n"/>
      <c r="AA1646" s="47" t="n"/>
      <c r="AB1646" s="47" t="n"/>
      <c r="AC1646" s="47" t="n"/>
      <c r="AD1646" s="47" t="n"/>
      <c r="AE1646" s="47" t="n"/>
      <c r="AF1646" s="20">
        <f>IF(A1646="","",YEAR(EDATE(A1646,-3)))</f>
        <v/>
      </c>
      <c r="AG1646" s="20">
        <f>IF(OR(B1646="",'経歴簿'!$C$4=""),"",IF(B1646&amp;""='経歴簿'!$C$4&amp;"",MAX($AG$4:AG1645)+1,""))</f>
        <v/>
      </c>
      <c r="AH1646" s="20">
        <f>IF(A1646="",0,IF(AND(OR('CSV抽出'!$C$4="",A1646&gt;='CSV抽出'!$C$4),OR('CSV抽出'!$C$5="",A1646&lt;='CSV抽出'!$C$5),OR('CSV抽出'!$C$6="すべて",'CSV抽出'!$C$6="",D1646='CSV抽出'!$C$6),OR('CSV抽出'!$C$7="",B1646&amp;""='CSV抽出'!$C$7&amp;"")),1,0))</f>
        <v/>
      </c>
      <c r="AI1646" s="20">
        <f>IF(AH1646=1,SUM($AH$5:AH1646),"")</f>
        <v/>
      </c>
      <c r="AJ1646" s="20">
        <f>IF(OR(S1646="",'報告書'!$C$4=""),"",IF(S1646&amp;""='報告書'!$C$4&amp;"",COUNTIF($S$5:S1646,'報告書'!$C$4),""))</f>
        <v/>
      </c>
      <c r="AK1646" s="20" t="n"/>
      <c r="AL1646" s="47" t="n"/>
      <c r="AM1646" s="47" t="n"/>
      <c r="AN1646" s="53" t="n"/>
      <c r="AO1646" s="47" t="n"/>
      <c r="AP1646" s="47" t="n"/>
      <c r="AQ1646" s="47" t="n"/>
      <c r="AR1646" s="47" t="n"/>
      <c r="AS1646" s="47" t="n"/>
      <c r="AT1646" s="47" t="n"/>
      <c r="AU1646" s="47" t="n"/>
      <c r="AV1646" s="47" t="n"/>
      <c r="AW1646" s="52" t="n"/>
    </row>
    <row r="1647">
      <c r="A1647" s="48" t="n"/>
      <c r="B1647" s="52" t="n"/>
      <c r="C1647" s="47">
        <f>IF(B1647="","",IFERROR(INDEX('隊員マスタ'!$B$5:$B$204,MATCH(B1647&amp;"",'隊員マスタ'!$F$5:$F$204,0)),IF(AK1647="","番号なし",AK1647)))</f>
        <v/>
      </c>
      <c r="D1647" s="47" t="n"/>
      <c r="E1647" s="47" t="n"/>
      <c r="F1647" s="47" t="n"/>
      <c r="G1647" s="47" t="n"/>
      <c r="H1647" s="47" t="n"/>
      <c r="I1647" s="47" t="n"/>
      <c r="J1647" s="47" t="n"/>
      <c r="K1647" s="47" t="n"/>
      <c r="L1647" s="47" t="n"/>
      <c r="M1647" s="47" t="n"/>
      <c r="N1647" s="47" t="n"/>
      <c r="O1647" s="47" t="n"/>
      <c r="P1647" s="47" t="n"/>
      <c r="Q1647" s="47" t="n"/>
      <c r="R1647" s="47" t="n"/>
      <c r="S1647" s="47" t="n"/>
      <c r="T1647" s="47" t="n"/>
      <c r="U1647" s="53" t="n"/>
      <c r="V1647" s="53" t="n"/>
      <c r="W1647" s="47" t="n"/>
      <c r="X1647" s="47" t="n"/>
      <c r="Y1647" s="47" t="n"/>
      <c r="Z1647" s="47" t="n"/>
      <c r="AA1647" s="47" t="n"/>
      <c r="AB1647" s="47" t="n"/>
      <c r="AC1647" s="47" t="n"/>
      <c r="AD1647" s="47" t="n"/>
      <c r="AE1647" s="47" t="n"/>
      <c r="AF1647" s="20">
        <f>IF(A1647="","",YEAR(EDATE(A1647,-3)))</f>
        <v/>
      </c>
      <c r="AG1647" s="20">
        <f>IF(OR(B1647="",'経歴簿'!$C$4=""),"",IF(B1647&amp;""='経歴簿'!$C$4&amp;"",MAX($AG$4:AG1646)+1,""))</f>
        <v/>
      </c>
      <c r="AH1647" s="20">
        <f>IF(A1647="",0,IF(AND(OR('CSV抽出'!$C$4="",A1647&gt;='CSV抽出'!$C$4),OR('CSV抽出'!$C$5="",A1647&lt;='CSV抽出'!$C$5),OR('CSV抽出'!$C$6="すべて",'CSV抽出'!$C$6="",D1647='CSV抽出'!$C$6),OR('CSV抽出'!$C$7="",B1647&amp;""='CSV抽出'!$C$7&amp;"")),1,0))</f>
        <v/>
      </c>
      <c r="AI1647" s="20">
        <f>IF(AH1647=1,SUM($AH$5:AH1647),"")</f>
        <v/>
      </c>
      <c r="AJ1647" s="20">
        <f>IF(OR(S1647="",'報告書'!$C$4=""),"",IF(S1647&amp;""='報告書'!$C$4&amp;"",COUNTIF($S$5:S1647,'報告書'!$C$4),""))</f>
        <v/>
      </c>
      <c r="AK1647" s="20" t="n"/>
      <c r="AL1647" s="47" t="n"/>
      <c r="AM1647" s="47" t="n"/>
      <c r="AN1647" s="53" t="n"/>
      <c r="AO1647" s="47" t="n"/>
      <c r="AP1647" s="47" t="n"/>
      <c r="AQ1647" s="47" t="n"/>
      <c r="AR1647" s="47" t="n"/>
      <c r="AS1647" s="47" t="n"/>
      <c r="AT1647" s="47" t="n"/>
      <c r="AU1647" s="47" t="n"/>
      <c r="AV1647" s="47" t="n"/>
      <c r="AW1647" s="52" t="n"/>
    </row>
    <row r="1648">
      <c r="A1648" s="48" t="n"/>
      <c r="B1648" s="52" t="n"/>
      <c r="C1648" s="47">
        <f>IF(B1648="","",IFERROR(INDEX('隊員マスタ'!$B$5:$B$204,MATCH(B1648&amp;"",'隊員マスタ'!$F$5:$F$204,0)),IF(AK1648="","番号なし",AK1648)))</f>
        <v/>
      </c>
      <c r="D1648" s="47" t="n"/>
      <c r="E1648" s="47" t="n"/>
      <c r="F1648" s="47" t="n"/>
      <c r="G1648" s="47" t="n"/>
      <c r="H1648" s="47" t="n"/>
      <c r="I1648" s="47" t="n"/>
      <c r="J1648" s="47" t="n"/>
      <c r="K1648" s="47" t="n"/>
      <c r="L1648" s="47" t="n"/>
      <c r="M1648" s="47" t="n"/>
      <c r="N1648" s="47" t="n"/>
      <c r="O1648" s="47" t="n"/>
      <c r="P1648" s="47" t="n"/>
      <c r="Q1648" s="47" t="n"/>
      <c r="R1648" s="47" t="n"/>
      <c r="S1648" s="47" t="n"/>
      <c r="T1648" s="47" t="n"/>
      <c r="U1648" s="53" t="n"/>
      <c r="V1648" s="53" t="n"/>
      <c r="W1648" s="47" t="n"/>
      <c r="X1648" s="47" t="n"/>
      <c r="Y1648" s="47" t="n"/>
      <c r="Z1648" s="47" t="n"/>
      <c r="AA1648" s="47" t="n"/>
      <c r="AB1648" s="47" t="n"/>
      <c r="AC1648" s="47" t="n"/>
      <c r="AD1648" s="47" t="n"/>
      <c r="AE1648" s="47" t="n"/>
      <c r="AF1648" s="20">
        <f>IF(A1648="","",YEAR(EDATE(A1648,-3)))</f>
        <v/>
      </c>
      <c r="AG1648" s="20">
        <f>IF(OR(B1648="",'経歴簿'!$C$4=""),"",IF(B1648&amp;""='経歴簿'!$C$4&amp;"",MAX($AG$4:AG1647)+1,""))</f>
        <v/>
      </c>
      <c r="AH1648" s="20">
        <f>IF(A1648="",0,IF(AND(OR('CSV抽出'!$C$4="",A1648&gt;='CSV抽出'!$C$4),OR('CSV抽出'!$C$5="",A1648&lt;='CSV抽出'!$C$5),OR('CSV抽出'!$C$6="すべて",'CSV抽出'!$C$6="",D1648='CSV抽出'!$C$6),OR('CSV抽出'!$C$7="",B1648&amp;""='CSV抽出'!$C$7&amp;"")),1,0))</f>
        <v/>
      </c>
      <c r="AI1648" s="20">
        <f>IF(AH1648=1,SUM($AH$5:AH1648),"")</f>
        <v/>
      </c>
      <c r="AJ1648" s="20">
        <f>IF(OR(S1648="",'報告書'!$C$4=""),"",IF(S1648&amp;""='報告書'!$C$4&amp;"",COUNTIF($S$5:S1648,'報告書'!$C$4),""))</f>
        <v/>
      </c>
      <c r="AK1648" s="20" t="n"/>
      <c r="AL1648" s="47" t="n"/>
      <c r="AM1648" s="47" t="n"/>
      <c r="AN1648" s="53" t="n"/>
      <c r="AO1648" s="47" t="n"/>
      <c r="AP1648" s="47" t="n"/>
      <c r="AQ1648" s="47" t="n"/>
      <c r="AR1648" s="47" t="n"/>
      <c r="AS1648" s="47" t="n"/>
      <c r="AT1648" s="47" t="n"/>
      <c r="AU1648" s="47" t="n"/>
      <c r="AV1648" s="47" t="n"/>
      <c r="AW1648" s="52" t="n"/>
    </row>
    <row r="1649">
      <c r="A1649" s="48" t="n"/>
      <c r="B1649" s="52" t="n"/>
      <c r="C1649" s="47">
        <f>IF(B1649="","",IFERROR(INDEX('隊員マスタ'!$B$5:$B$204,MATCH(B1649&amp;"",'隊員マスタ'!$F$5:$F$204,0)),IF(AK1649="","番号なし",AK1649)))</f>
        <v/>
      </c>
      <c r="D1649" s="47" t="n"/>
      <c r="E1649" s="47" t="n"/>
      <c r="F1649" s="47" t="n"/>
      <c r="G1649" s="47" t="n"/>
      <c r="H1649" s="47" t="n"/>
      <c r="I1649" s="47" t="n"/>
      <c r="J1649" s="47" t="n"/>
      <c r="K1649" s="47" t="n"/>
      <c r="L1649" s="47" t="n"/>
      <c r="M1649" s="47" t="n"/>
      <c r="N1649" s="47" t="n"/>
      <c r="O1649" s="47" t="n"/>
      <c r="P1649" s="47" t="n"/>
      <c r="Q1649" s="47" t="n"/>
      <c r="R1649" s="47" t="n"/>
      <c r="S1649" s="47" t="n"/>
      <c r="T1649" s="47" t="n"/>
      <c r="U1649" s="53" t="n"/>
      <c r="V1649" s="53" t="n"/>
      <c r="W1649" s="47" t="n"/>
      <c r="X1649" s="47" t="n"/>
      <c r="Y1649" s="47" t="n"/>
      <c r="Z1649" s="47" t="n"/>
      <c r="AA1649" s="47" t="n"/>
      <c r="AB1649" s="47" t="n"/>
      <c r="AC1649" s="47" t="n"/>
      <c r="AD1649" s="47" t="n"/>
      <c r="AE1649" s="47" t="n"/>
      <c r="AF1649" s="20">
        <f>IF(A1649="","",YEAR(EDATE(A1649,-3)))</f>
        <v/>
      </c>
      <c r="AG1649" s="20">
        <f>IF(OR(B1649="",'経歴簿'!$C$4=""),"",IF(B1649&amp;""='経歴簿'!$C$4&amp;"",MAX($AG$4:AG1648)+1,""))</f>
        <v/>
      </c>
      <c r="AH1649" s="20">
        <f>IF(A1649="",0,IF(AND(OR('CSV抽出'!$C$4="",A1649&gt;='CSV抽出'!$C$4),OR('CSV抽出'!$C$5="",A1649&lt;='CSV抽出'!$C$5),OR('CSV抽出'!$C$6="すべて",'CSV抽出'!$C$6="",D1649='CSV抽出'!$C$6),OR('CSV抽出'!$C$7="",B1649&amp;""='CSV抽出'!$C$7&amp;"")),1,0))</f>
        <v/>
      </c>
      <c r="AI1649" s="20">
        <f>IF(AH1649=1,SUM($AH$5:AH1649),"")</f>
        <v/>
      </c>
      <c r="AJ1649" s="20">
        <f>IF(OR(S1649="",'報告書'!$C$4=""),"",IF(S1649&amp;""='報告書'!$C$4&amp;"",COUNTIF($S$5:S1649,'報告書'!$C$4),""))</f>
        <v/>
      </c>
      <c r="AK1649" s="20" t="n"/>
      <c r="AL1649" s="47" t="n"/>
      <c r="AM1649" s="47" t="n"/>
      <c r="AN1649" s="53" t="n"/>
      <c r="AO1649" s="47" t="n"/>
      <c r="AP1649" s="47" t="n"/>
      <c r="AQ1649" s="47" t="n"/>
      <c r="AR1649" s="47" t="n"/>
      <c r="AS1649" s="47" t="n"/>
      <c r="AT1649" s="47" t="n"/>
      <c r="AU1649" s="47" t="n"/>
      <c r="AV1649" s="47" t="n"/>
      <c r="AW1649" s="52" t="n"/>
    </row>
    <row r="1650">
      <c r="A1650" s="48" t="n"/>
      <c r="B1650" s="52" t="n"/>
      <c r="C1650" s="47">
        <f>IF(B1650="","",IFERROR(INDEX('隊員マスタ'!$B$5:$B$204,MATCH(B1650&amp;"",'隊員マスタ'!$F$5:$F$204,0)),IF(AK1650="","番号なし",AK1650)))</f>
        <v/>
      </c>
      <c r="D1650" s="47" t="n"/>
      <c r="E1650" s="47" t="n"/>
      <c r="F1650" s="47" t="n"/>
      <c r="G1650" s="47" t="n"/>
      <c r="H1650" s="47" t="n"/>
      <c r="I1650" s="47" t="n"/>
      <c r="J1650" s="47" t="n"/>
      <c r="K1650" s="47" t="n"/>
      <c r="L1650" s="47" t="n"/>
      <c r="M1650" s="47" t="n"/>
      <c r="N1650" s="47" t="n"/>
      <c r="O1650" s="47" t="n"/>
      <c r="P1650" s="47" t="n"/>
      <c r="Q1650" s="47" t="n"/>
      <c r="R1650" s="47" t="n"/>
      <c r="S1650" s="47" t="n"/>
      <c r="T1650" s="47" t="n"/>
      <c r="U1650" s="53" t="n"/>
      <c r="V1650" s="53" t="n"/>
      <c r="W1650" s="47" t="n"/>
      <c r="X1650" s="47" t="n"/>
      <c r="Y1650" s="47" t="n"/>
      <c r="Z1650" s="47" t="n"/>
      <c r="AA1650" s="47" t="n"/>
      <c r="AB1650" s="47" t="n"/>
      <c r="AC1650" s="47" t="n"/>
      <c r="AD1650" s="47" t="n"/>
      <c r="AE1650" s="47" t="n"/>
      <c r="AF1650" s="20">
        <f>IF(A1650="","",YEAR(EDATE(A1650,-3)))</f>
        <v/>
      </c>
      <c r="AG1650" s="20">
        <f>IF(OR(B1650="",'経歴簿'!$C$4=""),"",IF(B1650&amp;""='経歴簿'!$C$4&amp;"",MAX($AG$4:AG1649)+1,""))</f>
        <v/>
      </c>
      <c r="AH1650" s="20">
        <f>IF(A1650="",0,IF(AND(OR('CSV抽出'!$C$4="",A1650&gt;='CSV抽出'!$C$4),OR('CSV抽出'!$C$5="",A1650&lt;='CSV抽出'!$C$5),OR('CSV抽出'!$C$6="すべて",'CSV抽出'!$C$6="",D1650='CSV抽出'!$C$6),OR('CSV抽出'!$C$7="",B1650&amp;""='CSV抽出'!$C$7&amp;"")),1,0))</f>
        <v/>
      </c>
      <c r="AI1650" s="20">
        <f>IF(AH1650=1,SUM($AH$5:AH1650),"")</f>
        <v/>
      </c>
      <c r="AJ1650" s="20">
        <f>IF(OR(S1650="",'報告書'!$C$4=""),"",IF(S1650&amp;""='報告書'!$C$4&amp;"",COUNTIF($S$5:S1650,'報告書'!$C$4),""))</f>
        <v/>
      </c>
      <c r="AK1650" s="20" t="n"/>
      <c r="AL1650" s="47" t="n"/>
      <c r="AM1650" s="47" t="n"/>
      <c r="AN1650" s="53" t="n"/>
      <c r="AO1650" s="47" t="n"/>
      <c r="AP1650" s="47" t="n"/>
      <c r="AQ1650" s="47" t="n"/>
      <c r="AR1650" s="47" t="n"/>
      <c r="AS1650" s="47" t="n"/>
      <c r="AT1650" s="47" t="n"/>
      <c r="AU1650" s="47" t="n"/>
      <c r="AV1650" s="47" t="n"/>
      <c r="AW1650" s="52" t="n"/>
    </row>
    <row r="1651">
      <c r="A1651" s="48" t="n"/>
      <c r="B1651" s="52" t="n"/>
      <c r="C1651" s="47">
        <f>IF(B1651="","",IFERROR(INDEX('隊員マスタ'!$B$5:$B$204,MATCH(B1651&amp;"",'隊員マスタ'!$F$5:$F$204,0)),IF(AK1651="","番号なし",AK1651)))</f>
        <v/>
      </c>
      <c r="D1651" s="47" t="n"/>
      <c r="E1651" s="47" t="n"/>
      <c r="F1651" s="47" t="n"/>
      <c r="G1651" s="47" t="n"/>
      <c r="H1651" s="47" t="n"/>
      <c r="I1651" s="47" t="n"/>
      <c r="J1651" s="47" t="n"/>
      <c r="K1651" s="47" t="n"/>
      <c r="L1651" s="47" t="n"/>
      <c r="M1651" s="47" t="n"/>
      <c r="N1651" s="47" t="n"/>
      <c r="O1651" s="47" t="n"/>
      <c r="P1651" s="47" t="n"/>
      <c r="Q1651" s="47" t="n"/>
      <c r="R1651" s="47" t="n"/>
      <c r="S1651" s="47" t="n"/>
      <c r="T1651" s="47" t="n"/>
      <c r="U1651" s="53" t="n"/>
      <c r="V1651" s="53" t="n"/>
      <c r="W1651" s="47" t="n"/>
      <c r="X1651" s="47" t="n"/>
      <c r="Y1651" s="47" t="n"/>
      <c r="Z1651" s="47" t="n"/>
      <c r="AA1651" s="47" t="n"/>
      <c r="AB1651" s="47" t="n"/>
      <c r="AC1651" s="47" t="n"/>
      <c r="AD1651" s="47" t="n"/>
      <c r="AE1651" s="47" t="n"/>
      <c r="AF1651" s="20">
        <f>IF(A1651="","",YEAR(EDATE(A1651,-3)))</f>
        <v/>
      </c>
      <c r="AG1651" s="20">
        <f>IF(OR(B1651="",'経歴簿'!$C$4=""),"",IF(B1651&amp;""='経歴簿'!$C$4&amp;"",MAX($AG$4:AG1650)+1,""))</f>
        <v/>
      </c>
      <c r="AH1651" s="20">
        <f>IF(A1651="",0,IF(AND(OR('CSV抽出'!$C$4="",A1651&gt;='CSV抽出'!$C$4),OR('CSV抽出'!$C$5="",A1651&lt;='CSV抽出'!$C$5),OR('CSV抽出'!$C$6="すべて",'CSV抽出'!$C$6="",D1651='CSV抽出'!$C$6),OR('CSV抽出'!$C$7="",B1651&amp;""='CSV抽出'!$C$7&amp;"")),1,0))</f>
        <v/>
      </c>
      <c r="AI1651" s="20">
        <f>IF(AH1651=1,SUM($AH$5:AH1651),"")</f>
        <v/>
      </c>
      <c r="AJ1651" s="20">
        <f>IF(OR(S1651="",'報告書'!$C$4=""),"",IF(S1651&amp;""='報告書'!$C$4&amp;"",COUNTIF($S$5:S1651,'報告書'!$C$4),""))</f>
        <v/>
      </c>
      <c r="AK1651" s="20" t="n"/>
      <c r="AL1651" s="47" t="n"/>
      <c r="AM1651" s="47" t="n"/>
      <c r="AN1651" s="53" t="n"/>
      <c r="AO1651" s="47" t="n"/>
      <c r="AP1651" s="47" t="n"/>
      <c r="AQ1651" s="47" t="n"/>
      <c r="AR1651" s="47" t="n"/>
      <c r="AS1651" s="47" t="n"/>
      <c r="AT1651" s="47" t="n"/>
      <c r="AU1651" s="47" t="n"/>
      <c r="AV1651" s="47" t="n"/>
      <c r="AW1651" s="52" t="n"/>
    </row>
    <row r="1652">
      <c r="A1652" s="48" t="n"/>
      <c r="B1652" s="52" t="n"/>
      <c r="C1652" s="47">
        <f>IF(B1652="","",IFERROR(INDEX('隊員マスタ'!$B$5:$B$204,MATCH(B1652&amp;"",'隊員マスタ'!$F$5:$F$204,0)),IF(AK1652="","番号なし",AK1652)))</f>
        <v/>
      </c>
      <c r="D1652" s="47" t="n"/>
      <c r="E1652" s="47" t="n"/>
      <c r="F1652" s="47" t="n"/>
      <c r="G1652" s="47" t="n"/>
      <c r="H1652" s="47" t="n"/>
      <c r="I1652" s="47" t="n"/>
      <c r="J1652" s="47" t="n"/>
      <c r="K1652" s="47" t="n"/>
      <c r="L1652" s="47" t="n"/>
      <c r="M1652" s="47" t="n"/>
      <c r="N1652" s="47" t="n"/>
      <c r="O1652" s="47" t="n"/>
      <c r="P1652" s="47" t="n"/>
      <c r="Q1652" s="47" t="n"/>
      <c r="R1652" s="47" t="n"/>
      <c r="S1652" s="47" t="n"/>
      <c r="T1652" s="47" t="n"/>
      <c r="U1652" s="53" t="n"/>
      <c r="V1652" s="53" t="n"/>
      <c r="W1652" s="47" t="n"/>
      <c r="X1652" s="47" t="n"/>
      <c r="Y1652" s="47" t="n"/>
      <c r="Z1652" s="47" t="n"/>
      <c r="AA1652" s="47" t="n"/>
      <c r="AB1652" s="47" t="n"/>
      <c r="AC1652" s="47" t="n"/>
      <c r="AD1652" s="47" t="n"/>
      <c r="AE1652" s="47" t="n"/>
      <c r="AF1652" s="20">
        <f>IF(A1652="","",YEAR(EDATE(A1652,-3)))</f>
        <v/>
      </c>
      <c r="AG1652" s="20">
        <f>IF(OR(B1652="",'経歴簿'!$C$4=""),"",IF(B1652&amp;""='経歴簿'!$C$4&amp;"",MAX($AG$4:AG1651)+1,""))</f>
        <v/>
      </c>
      <c r="AH1652" s="20">
        <f>IF(A1652="",0,IF(AND(OR('CSV抽出'!$C$4="",A1652&gt;='CSV抽出'!$C$4),OR('CSV抽出'!$C$5="",A1652&lt;='CSV抽出'!$C$5),OR('CSV抽出'!$C$6="すべて",'CSV抽出'!$C$6="",D1652='CSV抽出'!$C$6),OR('CSV抽出'!$C$7="",B1652&amp;""='CSV抽出'!$C$7&amp;"")),1,0))</f>
        <v/>
      </c>
      <c r="AI1652" s="20">
        <f>IF(AH1652=1,SUM($AH$5:AH1652),"")</f>
        <v/>
      </c>
      <c r="AJ1652" s="20">
        <f>IF(OR(S1652="",'報告書'!$C$4=""),"",IF(S1652&amp;""='報告書'!$C$4&amp;"",COUNTIF($S$5:S1652,'報告書'!$C$4),""))</f>
        <v/>
      </c>
      <c r="AK1652" s="20" t="n"/>
      <c r="AL1652" s="47" t="n"/>
      <c r="AM1652" s="47" t="n"/>
      <c r="AN1652" s="53" t="n"/>
      <c r="AO1652" s="47" t="n"/>
      <c r="AP1652" s="47" t="n"/>
      <c r="AQ1652" s="47" t="n"/>
      <c r="AR1652" s="47" t="n"/>
      <c r="AS1652" s="47" t="n"/>
      <c r="AT1652" s="47" t="n"/>
      <c r="AU1652" s="47" t="n"/>
      <c r="AV1652" s="47" t="n"/>
      <c r="AW1652" s="52" t="n"/>
    </row>
    <row r="1653">
      <c r="A1653" s="48" t="n"/>
      <c r="B1653" s="52" t="n"/>
      <c r="C1653" s="47">
        <f>IF(B1653="","",IFERROR(INDEX('隊員マスタ'!$B$5:$B$204,MATCH(B1653&amp;"",'隊員マスタ'!$F$5:$F$204,0)),IF(AK1653="","番号なし",AK1653)))</f>
        <v/>
      </c>
      <c r="D1653" s="47" t="n"/>
      <c r="E1653" s="47" t="n"/>
      <c r="F1653" s="47" t="n"/>
      <c r="G1653" s="47" t="n"/>
      <c r="H1653" s="47" t="n"/>
      <c r="I1653" s="47" t="n"/>
      <c r="J1653" s="47" t="n"/>
      <c r="K1653" s="47" t="n"/>
      <c r="L1653" s="47" t="n"/>
      <c r="M1653" s="47" t="n"/>
      <c r="N1653" s="47" t="n"/>
      <c r="O1653" s="47" t="n"/>
      <c r="P1653" s="47" t="n"/>
      <c r="Q1653" s="47" t="n"/>
      <c r="R1653" s="47" t="n"/>
      <c r="S1653" s="47" t="n"/>
      <c r="T1653" s="47" t="n"/>
      <c r="U1653" s="53" t="n"/>
      <c r="V1653" s="53" t="n"/>
      <c r="W1653" s="47" t="n"/>
      <c r="X1653" s="47" t="n"/>
      <c r="Y1653" s="47" t="n"/>
      <c r="Z1653" s="47" t="n"/>
      <c r="AA1653" s="47" t="n"/>
      <c r="AB1653" s="47" t="n"/>
      <c r="AC1653" s="47" t="n"/>
      <c r="AD1653" s="47" t="n"/>
      <c r="AE1653" s="47" t="n"/>
      <c r="AF1653" s="20">
        <f>IF(A1653="","",YEAR(EDATE(A1653,-3)))</f>
        <v/>
      </c>
      <c r="AG1653" s="20">
        <f>IF(OR(B1653="",'経歴簿'!$C$4=""),"",IF(B1653&amp;""='経歴簿'!$C$4&amp;"",MAX($AG$4:AG1652)+1,""))</f>
        <v/>
      </c>
      <c r="AH1653" s="20">
        <f>IF(A1653="",0,IF(AND(OR('CSV抽出'!$C$4="",A1653&gt;='CSV抽出'!$C$4),OR('CSV抽出'!$C$5="",A1653&lt;='CSV抽出'!$C$5),OR('CSV抽出'!$C$6="すべて",'CSV抽出'!$C$6="",D1653='CSV抽出'!$C$6),OR('CSV抽出'!$C$7="",B1653&amp;""='CSV抽出'!$C$7&amp;"")),1,0))</f>
        <v/>
      </c>
      <c r="AI1653" s="20">
        <f>IF(AH1653=1,SUM($AH$5:AH1653),"")</f>
        <v/>
      </c>
      <c r="AJ1653" s="20">
        <f>IF(OR(S1653="",'報告書'!$C$4=""),"",IF(S1653&amp;""='報告書'!$C$4&amp;"",COUNTIF($S$5:S1653,'報告書'!$C$4),""))</f>
        <v/>
      </c>
      <c r="AK1653" s="20" t="n"/>
      <c r="AL1653" s="47" t="n"/>
      <c r="AM1653" s="47" t="n"/>
      <c r="AN1653" s="53" t="n"/>
      <c r="AO1653" s="47" t="n"/>
      <c r="AP1653" s="47" t="n"/>
      <c r="AQ1653" s="47" t="n"/>
      <c r="AR1653" s="47" t="n"/>
      <c r="AS1653" s="47" t="n"/>
      <c r="AT1653" s="47" t="n"/>
      <c r="AU1653" s="47" t="n"/>
      <c r="AV1653" s="47" t="n"/>
      <c r="AW1653" s="52" t="n"/>
    </row>
    <row r="1654">
      <c r="A1654" s="48" t="n"/>
      <c r="B1654" s="52" t="n"/>
      <c r="C1654" s="47">
        <f>IF(B1654="","",IFERROR(INDEX('隊員マスタ'!$B$5:$B$204,MATCH(B1654&amp;"",'隊員マスタ'!$F$5:$F$204,0)),IF(AK1654="","番号なし",AK1654)))</f>
        <v/>
      </c>
      <c r="D1654" s="47" t="n"/>
      <c r="E1654" s="47" t="n"/>
      <c r="F1654" s="47" t="n"/>
      <c r="G1654" s="47" t="n"/>
      <c r="H1654" s="47" t="n"/>
      <c r="I1654" s="47" t="n"/>
      <c r="J1654" s="47" t="n"/>
      <c r="K1654" s="47" t="n"/>
      <c r="L1654" s="47" t="n"/>
      <c r="M1654" s="47" t="n"/>
      <c r="N1654" s="47" t="n"/>
      <c r="O1654" s="47" t="n"/>
      <c r="P1654" s="47" t="n"/>
      <c r="Q1654" s="47" t="n"/>
      <c r="R1654" s="47" t="n"/>
      <c r="S1654" s="47" t="n"/>
      <c r="T1654" s="47" t="n"/>
      <c r="U1654" s="53" t="n"/>
      <c r="V1654" s="53" t="n"/>
      <c r="W1654" s="47" t="n"/>
      <c r="X1654" s="47" t="n"/>
      <c r="Y1654" s="47" t="n"/>
      <c r="Z1654" s="47" t="n"/>
      <c r="AA1654" s="47" t="n"/>
      <c r="AB1654" s="47" t="n"/>
      <c r="AC1654" s="47" t="n"/>
      <c r="AD1654" s="47" t="n"/>
      <c r="AE1654" s="47" t="n"/>
      <c r="AF1654" s="20">
        <f>IF(A1654="","",YEAR(EDATE(A1654,-3)))</f>
        <v/>
      </c>
      <c r="AG1654" s="20">
        <f>IF(OR(B1654="",'経歴簿'!$C$4=""),"",IF(B1654&amp;""='経歴簿'!$C$4&amp;"",MAX($AG$4:AG1653)+1,""))</f>
        <v/>
      </c>
      <c r="AH1654" s="20">
        <f>IF(A1654="",0,IF(AND(OR('CSV抽出'!$C$4="",A1654&gt;='CSV抽出'!$C$4),OR('CSV抽出'!$C$5="",A1654&lt;='CSV抽出'!$C$5),OR('CSV抽出'!$C$6="すべて",'CSV抽出'!$C$6="",D1654='CSV抽出'!$C$6),OR('CSV抽出'!$C$7="",B1654&amp;""='CSV抽出'!$C$7&amp;"")),1,0))</f>
        <v/>
      </c>
      <c r="AI1654" s="20">
        <f>IF(AH1654=1,SUM($AH$5:AH1654),"")</f>
        <v/>
      </c>
      <c r="AJ1654" s="20">
        <f>IF(OR(S1654="",'報告書'!$C$4=""),"",IF(S1654&amp;""='報告書'!$C$4&amp;"",COUNTIF($S$5:S1654,'報告書'!$C$4),""))</f>
        <v/>
      </c>
      <c r="AK1654" s="20" t="n"/>
      <c r="AL1654" s="47" t="n"/>
      <c r="AM1654" s="47" t="n"/>
      <c r="AN1654" s="53" t="n"/>
      <c r="AO1654" s="47" t="n"/>
      <c r="AP1654" s="47" t="n"/>
      <c r="AQ1654" s="47" t="n"/>
      <c r="AR1654" s="47" t="n"/>
      <c r="AS1654" s="47" t="n"/>
      <c r="AT1654" s="47" t="n"/>
      <c r="AU1654" s="47" t="n"/>
      <c r="AV1654" s="47" t="n"/>
      <c r="AW1654" s="52" t="n"/>
    </row>
    <row r="1655">
      <c r="A1655" s="48" t="n"/>
      <c r="B1655" s="52" t="n"/>
      <c r="C1655" s="47">
        <f>IF(B1655="","",IFERROR(INDEX('隊員マスタ'!$B$5:$B$204,MATCH(B1655&amp;"",'隊員マスタ'!$F$5:$F$204,0)),IF(AK1655="","番号なし",AK1655)))</f>
        <v/>
      </c>
      <c r="D1655" s="47" t="n"/>
      <c r="E1655" s="47" t="n"/>
      <c r="F1655" s="47" t="n"/>
      <c r="G1655" s="47" t="n"/>
      <c r="H1655" s="47" t="n"/>
      <c r="I1655" s="47" t="n"/>
      <c r="J1655" s="47" t="n"/>
      <c r="K1655" s="47" t="n"/>
      <c r="L1655" s="47" t="n"/>
      <c r="M1655" s="47" t="n"/>
      <c r="N1655" s="47" t="n"/>
      <c r="O1655" s="47" t="n"/>
      <c r="P1655" s="47" t="n"/>
      <c r="Q1655" s="47" t="n"/>
      <c r="R1655" s="47" t="n"/>
      <c r="S1655" s="47" t="n"/>
      <c r="T1655" s="47" t="n"/>
      <c r="U1655" s="53" t="n"/>
      <c r="V1655" s="53" t="n"/>
      <c r="W1655" s="47" t="n"/>
      <c r="X1655" s="47" t="n"/>
      <c r="Y1655" s="47" t="n"/>
      <c r="Z1655" s="47" t="n"/>
      <c r="AA1655" s="47" t="n"/>
      <c r="AB1655" s="47" t="n"/>
      <c r="AC1655" s="47" t="n"/>
      <c r="AD1655" s="47" t="n"/>
      <c r="AE1655" s="47" t="n"/>
      <c r="AF1655" s="20">
        <f>IF(A1655="","",YEAR(EDATE(A1655,-3)))</f>
        <v/>
      </c>
      <c r="AG1655" s="20">
        <f>IF(OR(B1655="",'経歴簿'!$C$4=""),"",IF(B1655&amp;""='経歴簿'!$C$4&amp;"",MAX($AG$4:AG1654)+1,""))</f>
        <v/>
      </c>
      <c r="AH1655" s="20">
        <f>IF(A1655="",0,IF(AND(OR('CSV抽出'!$C$4="",A1655&gt;='CSV抽出'!$C$4),OR('CSV抽出'!$C$5="",A1655&lt;='CSV抽出'!$C$5),OR('CSV抽出'!$C$6="すべて",'CSV抽出'!$C$6="",D1655='CSV抽出'!$C$6),OR('CSV抽出'!$C$7="",B1655&amp;""='CSV抽出'!$C$7&amp;"")),1,0))</f>
        <v/>
      </c>
      <c r="AI1655" s="20">
        <f>IF(AH1655=1,SUM($AH$5:AH1655),"")</f>
        <v/>
      </c>
      <c r="AJ1655" s="20">
        <f>IF(OR(S1655="",'報告書'!$C$4=""),"",IF(S1655&amp;""='報告書'!$C$4&amp;"",COUNTIF($S$5:S1655,'報告書'!$C$4),""))</f>
        <v/>
      </c>
      <c r="AK1655" s="20" t="n"/>
      <c r="AL1655" s="47" t="n"/>
      <c r="AM1655" s="47" t="n"/>
      <c r="AN1655" s="53" t="n"/>
      <c r="AO1655" s="47" t="n"/>
      <c r="AP1655" s="47" t="n"/>
      <c r="AQ1655" s="47" t="n"/>
      <c r="AR1655" s="47" t="n"/>
      <c r="AS1655" s="47" t="n"/>
      <c r="AT1655" s="47" t="n"/>
      <c r="AU1655" s="47" t="n"/>
      <c r="AV1655" s="47" t="n"/>
      <c r="AW1655" s="52" t="n"/>
    </row>
    <row r="1656">
      <c r="A1656" s="48" t="n"/>
      <c r="B1656" s="52" t="n"/>
      <c r="C1656" s="47">
        <f>IF(B1656="","",IFERROR(INDEX('隊員マスタ'!$B$5:$B$204,MATCH(B1656&amp;"",'隊員マスタ'!$F$5:$F$204,0)),IF(AK1656="","番号なし",AK1656)))</f>
        <v/>
      </c>
      <c r="D1656" s="47" t="n"/>
      <c r="E1656" s="47" t="n"/>
      <c r="F1656" s="47" t="n"/>
      <c r="G1656" s="47" t="n"/>
      <c r="H1656" s="47" t="n"/>
      <c r="I1656" s="47" t="n"/>
      <c r="J1656" s="47" t="n"/>
      <c r="K1656" s="47" t="n"/>
      <c r="L1656" s="47" t="n"/>
      <c r="M1656" s="47" t="n"/>
      <c r="N1656" s="47" t="n"/>
      <c r="O1656" s="47" t="n"/>
      <c r="P1656" s="47" t="n"/>
      <c r="Q1656" s="47" t="n"/>
      <c r="R1656" s="47" t="n"/>
      <c r="S1656" s="47" t="n"/>
      <c r="T1656" s="47" t="n"/>
      <c r="U1656" s="53" t="n"/>
      <c r="V1656" s="53" t="n"/>
      <c r="W1656" s="47" t="n"/>
      <c r="X1656" s="47" t="n"/>
      <c r="Y1656" s="47" t="n"/>
      <c r="Z1656" s="47" t="n"/>
      <c r="AA1656" s="47" t="n"/>
      <c r="AB1656" s="47" t="n"/>
      <c r="AC1656" s="47" t="n"/>
      <c r="AD1656" s="47" t="n"/>
      <c r="AE1656" s="47" t="n"/>
      <c r="AF1656" s="20">
        <f>IF(A1656="","",YEAR(EDATE(A1656,-3)))</f>
        <v/>
      </c>
      <c r="AG1656" s="20">
        <f>IF(OR(B1656="",'経歴簿'!$C$4=""),"",IF(B1656&amp;""='経歴簿'!$C$4&amp;"",MAX($AG$4:AG1655)+1,""))</f>
        <v/>
      </c>
      <c r="AH1656" s="20">
        <f>IF(A1656="",0,IF(AND(OR('CSV抽出'!$C$4="",A1656&gt;='CSV抽出'!$C$4),OR('CSV抽出'!$C$5="",A1656&lt;='CSV抽出'!$C$5),OR('CSV抽出'!$C$6="すべて",'CSV抽出'!$C$6="",D1656='CSV抽出'!$C$6),OR('CSV抽出'!$C$7="",B1656&amp;""='CSV抽出'!$C$7&amp;"")),1,0))</f>
        <v/>
      </c>
      <c r="AI1656" s="20">
        <f>IF(AH1656=1,SUM($AH$5:AH1656),"")</f>
        <v/>
      </c>
      <c r="AJ1656" s="20">
        <f>IF(OR(S1656="",'報告書'!$C$4=""),"",IF(S1656&amp;""='報告書'!$C$4&amp;"",COUNTIF($S$5:S1656,'報告書'!$C$4),""))</f>
        <v/>
      </c>
      <c r="AK1656" s="20" t="n"/>
      <c r="AL1656" s="47" t="n"/>
      <c r="AM1656" s="47" t="n"/>
      <c r="AN1656" s="53" t="n"/>
      <c r="AO1656" s="47" t="n"/>
      <c r="AP1656" s="47" t="n"/>
      <c r="AQ1656" s="47" t="n"/>
      <c r="AR1656" s="47" t="n"/>
      <c r="AS1656" s="47" t="n"/>
      <c r="AT1656" s="47" t="n"/>
      <c r="AU1656" s="47" t="n"/>
      <c r="AV1656" s="47" t="n"/>
      <c r="AW1656" s="52" t="n"/>
    </row>
    <row r="1657">
      <c r="A1657" s="48" t="n"/>
      <c r="B1657" s="52" t="n"/>
      <c r="C1657" s="47">
        <f>IF(B1657="","",IFERROR(INDEX('隊員マスタ'!$B$5:$B$204,MATCH(B1657&amp;"",'隊員マスタ'!$F$5:$F$204,0)),IF(AK1657="","番号なし",AK1657)))</f>
        <v/>
      </c>
      <c r="D1657" s="47" t="n"/>
      <c r="E1657" s="47" t="n"/>
      <c r="F1657" s="47" t="n"/>
      <c r="G1657" s="47" t="n"/>
      <c r="H1657" s="47" t="n"/>
      <c r="I1657" s="47" t="n"/>
      <c r="J1657" s="47" t="n"/>
      <c r="K1657" s="47" t="n"/>
      <c r="L1657" s="47" t="n"/>
      <c r="M1657" s="47" t="n"/>
      <c r="N1657" s="47" t="n"/>
      <c r="O1657" s="47" t="n"/>
      <c r="P1657" s="47" t="n"/>
      <c r="Q1657" s="47" t="n"/>
      <c r="R1657" s="47" t="n"/>
      <c r="S1657" s="47" t="n"/>
      <c r="T1657" s="47" t="n"/>
      <c r="U1657" s="53" t="n"/>
      <c r="V1657" s="53" t="n"/>
      <c r="W1657" s="47" t="n"/>
      <c r="X1657" s="47" t="n"/>
      <c r="Y1657" s="47" t="n"/>
      <c r="Z1657" s="47" t="n"/>
      <c r="AA1657" s="47" t="n"/>
      <c r="AB1657" s="47" t="n"/>
      <c r="AC1657" s="47" t="n"/>
      <c r="AD1657" s="47" t="n"/>
      <c r="AE1657" s="47" t="n"/>
      <c r="AF1657" s="20">
        <f>IF(A1657="","",YEAR(EDATE(A1657,-3)))</f>
        <v/>
      </c>
      <c r="AG1657" s="20">
        <f>IF(OR(B1657="",'経歴簿'!$C$4=""),"",IF(B1657&amp;""='経歴簿'!$C$4&amp;"",MAX($AG$4:AG1656)+1,""))</f>
        <v/>
      </c>
      <c r="AH1657" s="20">
        <f>IF(A1657="",0,IF(AND(OR('CSV抽出'!$C$4="",A1657&gt;='CSV抽出'!$C$4),OR('CSV抽出'!$C$5="",A1657&lt;='CSV抽出'!$C$5),OR('CSV抽出'!$C$6="すべて",'CSV抽出'!$C$6="",D1657='CSV抽出'!$C$6),OR('CSV抽出'!$C$7="",B1657&amp;""='CSV抽出'!$C$7&amp;"")),1,0))</f>
        <v/>
      </c>
      <c r="AI1657" s="20">
        <f>IF(AH1657=1,SUM($AH$5:AH1657),"")</f>
        <v/>
      </c>
      <c r="AJ1657" s="20">
        <f>IF(OR(S1657="",'報告書'!$C$4=""),"",IF(S1657&amp;""='報告書'!$C$4&amp;"",COUNTIF($S$5:S1657,'報告書'!$C$4),""))</f>
        <v/>
      </c>
      <c r="AK1657" s="20" t="n"/>
      <c r="AL1657" s="47" t="n"/>
      <c r="AM1657" s="47" t="n"/>
      <c r="AN1657" s="53" t="n"/>
      <c r="AO1657" s="47" t="n"/>
      <c r="AP1657" s="47" t="n"/>
      <c r="AQ1657" s="47" t="n"/>
      <c r="AR1657" s="47" t="n"/>
      <c r="AS1657" s="47" t="n"/>
      <c r="AT1657" s="47" t="n"/>
      <c r="AU1657" s="47" t="n"/>
      <c r="AV1657" s="47" t="n"/>
      <c r="AW1657" s="52" t="n"/>
    </row>
    <row r="1658">
      <c r="A1658" s="48" t="n"/>
      <c r="B1658" s="52" t="n"/>
      <c r="C1658" s="47">
        <f>IF(B1658="","",IFERROR(INDEX('隊員マスタ'!$B$5:$B$204,MATCH(B1658&amp;"",'隊員マスタ'!$F$5:$F$204,0)),IF(AK1658="","番号なし",AK1658)))</f>
        <v/>
      </c>
      <c r="D1658" s="47" t="n"/>
      <c r="E1658" s="47" t="n"/>
      <c r="F1658" s="47" t="n"/>
      <c r="G1658" s="47" t="n"/>
      <c r="H1658" s="47" t="n"/>
      <c r="I1658" s="47" t="n"/>
      <c r="J1658" s="47" t="n"/>
      <c r="K1658" s="47" t="n"/>
      <c r="L1658" s="47" t="n"/>
      <c r="M1658" s="47" t="n"/>
      <c r="N1658" s="47" t="n"/>
      <c r="O1658" s="47" t="n"/>
      <c r="P1658" s="47" t="n"/>
      <c r="Q1658" s="47" t="n"/>
      <c r="R1658" s="47" t="n"/>
      <c r="S1658" s="47" t="n"/>
      <c r="T1658" s="47" t="n"/>
      <c r="U1658" s="53" t="n"/>
      <c r="V1658" s="53" t="n"/>
      <c r="W1658" s="47" t="n"/>
      <c r="X1658" s="47" t="n"/>
      <c r="Y1658" s="47" t="n"/>
      <c r="Z1658" s="47" t="n"/>
      <c r="AA1658" s="47" t="n"/>
      <c r="AB1658" s="47" t="n"/>
      <c r="AC1658" s="47" t="n"/>
      <c r="AD1658" s="47" t="n"/>
      <c r="AE1658" s="47" t="n"/>
      <c r="AF1658" s="20">
        <f>IF(A1658="","",YEAR(EDATE(A1658,-3)))</f>
        <v/>
      </c>
      <c r="AG1658" s="20">
        <f>IF(OR(B1658="",'経歴簿'!$C$4=""),"",IF(B1658&amp;""='経歴簿'!$C$4&amp;"",MAX($AG$4:AG1657)+1,""))</f>
        <v/>
      </c>
      <c r="AH1658" s="20">
        <f>IF(A1658="",0,IF(AND(OR('CSV抽出'!$C$4="",A1658&gt;='CSV抽出'!$C$4),OR('CSV抽出'!$C$5="",A1658&lt;='CSV抽出'!$C$5),OR('CSV抽出'!$C$6="すべて",'CSV抽出'!$C$6="",D1658='CSV抽出'!$C$6),OR('CSV抽出'!$C$7="",B1658&amp;""='CSV抽出'!$C$7&amp;"")),1,0))</f>
        <v/>
      </c>
      <c r="AI1658" s="20">
        <f>IF(AH1658=1,SUM($AH$5:AH1658),"")</f>
        <v/>
      </c>
      <c r="AJ1658" s="20">
        <f>IF(OR(S1658="",'報告書'!$C$4=""),"",IF(S1658&amp;""='報告書'!$C$4&amp;"",COUNTIF($S$5:S1658,'報告書'!$C$4),""))</f>
        <v/>
      </c>
      <c r="AK1658" s="20" t="n"/>
      <c r="AL1658" s="47" t="n"/>
      <c r="AM1658" s="47" t="n"/>
      <c r="AN1658" s="53" t="n"/>
      <c r="AO1658" s="47" t="n"/>
      <c r="AP1658" s="47" t="n"/>
      <c r="AQ1658" s="47" t="n"/>
      <c r="AR1658" s="47" t="n"/>
      <c r="AS1658" s="47" t="n"/>
      <c r="AT1658" s="47" t="n"/>
      <c r="AU1658" s="47" t="n"/>
      <c r="AV1658" s="47" t="n"/>
      <c r="AW1658" s="52" t="n"/>
    </row>
    <row r="1659">
      <c r="A1659" s="48" t="n"/>
      <c r="B1659" s="52" t="n"/>
      <c r="C1659" s="47">
        <f>IF(B1659="","",IFERROR(INDEX('隊員マスタ'!$B$5:$B$204,MATCH(B1659&amp;"",'隊員マスタ'!$F$5:$F$204,0)),IF(AK1659="","番号なし",AK1659)))</f>
        <v/>
      </c>
      <c r="D1659" s="47" t="n"/>
      <c r="E1659" s="47" t="n"/>
      <c r="F1659" s="47" t="n"/>
      <c r="G1659" s="47" t="n"/>
      <c r="H1659" s="47" t="n"/>
      <c r="I1659" s="47" t="n"/>
      <c r="J1659" s="47" t="n"/>
      <c r="K1659" s="47" t="n"/>
      <c r="L1659" s="47" t="n"/>
      <c r="M1659" s="47" t="n"/>
      <c r="N1659" s="47" t="n"/>
      <c r="O1659" s="47" t="n"/>
      <c r="P1659" s="47" t="n"/>
      <c r="Q1659" s="47" t="n"/>
      <c r="R1659" s="47" t="n"/>
      <c r="S1659" s="47" t="n"/>
      <c r="T1659" s="47" t="n"/>
      <c r="U1659" s="53" t="n"/>
      <c r="V1659" s="53" t="n"/>
      <c r="W1659" s="47" t="n"/>
      <c r="X1659" s="47" t="n"/>
      <c r="Y1659" s="47" t="n"/>
      <c r="Z1659" s="47" t="n"/>
      <c r="AA1659" s="47" t="n"/>
      <c r="AB1659" s="47" t="n"/>
      <c r="AC1659" s="47" t="n"/>
      <c r="AD1659" s="47" t="n"/>
      <c r="AE1659" s="47" t="n"/>
      <c r="AF1659" s="20">
        <f>IF(A1659="","",YEAR(EDATE(A1659,-3)))</f>
        <v/>
      </c>
      <c r="AG1659" s="20">
        <f>IF(OR(B1659="",'経歴簿'!$C$4=""),"",IF(B1659&amp;""='経歴簿'!$C$4&amp;"",MAX($AG$4:AG1658)+1,""))</f>
        <v/>
      </c>
      <c r="AH1659" s="20">
        <f>IF(A1659="",0,IF(AND(OR('CSV抽出'!$C$4="",A1659&gt;='CSV抽出'!$C$4),OR('CSV抽出'!$C$5="",A1659&lt;='CSV抽出'!$C$5),OR('CSV抽出'!$C$6="すべて",'CSV抽出'!$C$6="",D1659='CSV抽出'!$C$6),OR('CSV抽出'!$C$7="",B1659&amp;""='CSV抽出'!$C$7&amp;"")),1,0))</f>
        <v/>
      </c>
      <c r="AI1659" s="20">
        <f>IF(AH1659=1,SUM($AH$5:AH1659),"")</f>
        <v/>
      </c>
      <c r="AJ1659" s="20">
        <f>IF(OR(S1659="",'報告書'!$C$4=""),"",IF(S1659&amp;""='報告書'!$C$4&amp;"",COUNTIF($S$5:S1659,'報告書'!$C$4),""))</f>
        <v/>
      </c>
      <c r="AK1659" s="20" t="n"/>
      <c r="AL1659" s="47" t="n"/>
      <c r="AM1659" s="47" t="n"/>
      <c r="AN1659" s="53" t="n"/>
      <c r="AO1659" s="47" t="n"/>
      <c r="AP1659" s="47" t="n"/>
      <c r="AQ1659" s="47" t="n"/>
      <c r="AR1659" s="47" t="n"/>
      <c r="AS1659" s="47" t="n"/>
      <c r="AT1659" s="47" t="n"/>
      <c r="AU1659" s="47" t="n"/>
      <c r="AV1659" s="47" t="n"/>
      <c r="AW1659" s="52" t="n"/>
    </row>
    <row r="1660">
      <c r="A1660" s="48" t="n"/>
      <c r="B1660" s="52" t="n"/>
      <c r="C1660" s="47">
        <f>IF(B1660="","",IFERROR(INDEX('隊員マスタ'!$B$5:$B$204,MATCH(B1660&amp;"",'隊員マスタ'!$F$5:$F$204,0)),IF(AK1660="","番号なし",AK1660)))</f>
        <v/>
      </c>
      <c r="D1660" s="47" t="n"/>
      <c r="E1660" s="47" t="n"/>
      <c r="F1660" s="47" t="n"/>
      <c r="G1660" s="47" t="n"/>
      <c r="H1660" s="47" t="n"/>
      <c r="I1660" s="47" t="n"/>
      <c r="J1660" s="47" t="n"/>
      <c r="K1660" s="47" t="n"/>
      <c r="L1660" s="47" t="n"/>
      <c r="M1660" s="47" t="n"/>
      <c r="N1660" s="47" t="n"/>
      <c r="O1660" s="47" t="n"/>
      <c r="P1660" s="47" t="n"/>
      <c r="Q1660" s="47" t="n"/>
      <c r="R1660" s="47" t="n"/>
      <c r="S1660" s="47" t="n"/>
      <c r="T1660" s="47" t="n"/>
      <c r="U1660" s="53" t="n"/>
      <c r="V1660" s="53" t="n"/>
      <c r="W1660" s="47" t="n"/>
      <c r="X1660" s="47" t="n"/>
      <c r="Y1660" s="47" t="n"/>
      <c r="Z1660" s="47" t="n"/>
      <c r="AA1660" s="47" t="n"/>
      <c r="AB1660" s="47" t="n"/>
      <c r="AC1660" s="47" t="n"/>
      <c r="AD1660" s="47" t="n"/>
      <c r="AE1660" s="47" t="n"/>
      <c r="AF1660" s="20">
        <f>IF(A1660="","",YEAR(EDATE(A1660,-3)))</f>
        <v/>
      </c>
      <c r="AG1660" s="20">
        <f>IF(OR(B1660="",'経歴簿'!$C$4=""),"",IF(B1660&amp;""='経歴簿'!$C$4&amp;"",MAX($AG$4:AG1659)+1,""))</f>
        <v/>
      </c>
      <c r="AH1660" s="20">
        <f>IF(A1660="",0,IF(AND(OR('CSV抽出'!$C$4="",A1660&gt;='CSV抽出'!$C$4),OR('CSV抽出'!$C$5="",A1660&lt;='CSV抽出'!$C$5),OR('CSV抽出'!$C$6="すべて",'CSV抽出'!$C$6="",D1660='CSV抽出'!$C$6),OR('CSV抽出'!$C$7="",B1660&amp;""='CSV抽出'!$C$7&amp;"")),1,0))</f>
        <v/>
      </c>
      <c r="AI1660" s="20">
        <f>IF(AH1660=1,SUM($AH$5:AH1660),"")</f>
        <v/>
      </c>
      <c r="AJ1660" s="20">
        <f>IF(OR(S1660="",'報告書'!$C$4=""),"",IF(S1660&amp;""='報告書'!$C$4&amp;"",COUNTIF($S$5:S1660,'報告書'!$C$4),""))</f>
        <v/>
      </c>
      <c r="AK1660" s="20" t="n"/>
      <c r="AL1660" s="47" t="n"/>
      <c r="AM1660" s="47" t="n"/>
      <c r="AN1660" s="53" t="n"/>
      <c r="AO1660" s="47" t="n"/>
      <c r="AP1660" s="47" t="n"/>
      <c r="AQ1660" s="47" t="n"/>
      <c r="AR1660" s="47" t="n"/>
      <c r="AS1660" s="47" t="n"/>
      <c r="AT1660" s="47" t="n"/>
      <c r="AU1660" s="47" t="n"/>
      <c r="AV1660" s="47" t="n"/>
      <c r="AW1660" s="52" t="n"/>
    </row>
    <row r="1661">
      <c r="A1661" s="48" t="n"/>
      <c r="B1661" s="52" t="n"/>
      <c r="C1661" s="47">
        <f>IF(B1661="","",IFERROR(INDEX('隊員マスタ'!$B$5:$B$204,MATCH(B1661&amp;"",'隊員マスタ'!$F$5:$F$204,0)),IF(AK1661="","番号なし",AK1661)))</f>
        <v/>
      </c>
      <c r="D1661" s="47" t="n"/>
      <c r="E1661" s="47" t="n"/>
      <c r="F1661" s="47" t="n"/>
      <c r="G1661" s="47" t="n"/>
      <c r="H1661" s="47" t="n"/>
      <c r="I1661" s="47" t="n"/>
      <c r="J1661" s="47" t="n"/>
      <c r="K1661" s="47" t="n"/>
      <c r="L1661" s="47" t="n"/>
      <c r="M1661" s="47" t="n"/>
      <c r="N1661" s="47" t="n"/>
      <c r="O1661" s="47" t="n"/>
      <c r="P1661" s="47" t="n"/>
      <c r="Q1661" s="47" t="n"/>
      <c r="R1661" s="47" t="n"/>
      <c r="S1661" s="47" t="n"/>
      <c r="T1661" s="47" t="n"/>
      <c r="U1661" s="53" t="n"/>
      <c r="V1661" s="53" t="n"/>
      <c r="W1661" s="47" t="n"/>
      <c r="X1661" s="47" t="n"/>
      <c r="Y1661" s="47" t="n"/>
      <c r="Z1661" s="47" t="n"/>
      <c r="AA1661" s="47" t="n"/>
      <c r="AB1661" s="47" t="n"/>
      <c r="AC1661" s="47" t="n"/>
      <c r="AD1661" s="47" t="n"/>
      <c r="AE1661" s="47" t="n"/>
      <c r="AF1661" s="20">
        <f>IF(A1661="","",YEAR(EDATE(A1661,-3)))</f>
        <v/>
      </c>
      <c r="AG1661" s="20">
        <f>IF(OR(B1661="",'経歴簿'!$C$4=""),"",IF(B1661&amp;""='経歴簿'!$C$4&amp;"",MAX($AG$4:AG1660)+1,""))</f>
        <v/>
      </c>
      <c r="AH1661" s="20">
        <f>IF(A1661="",0,IF(AND(OR('CSV抽出'!$C$4="",A1661&gt;='CSV抽出'!$C$4),OR('CSV抽出'!$C$5="",A1661&lt;='CSV抽出'!$C$5),OR('CSV抽出'!$C$6="すべて",'CSV抽出'!$C$6="",D1661='CSV抽出'!$C$6),OR('CSV抽出'!$C$7="",B1661&amp;""='CSV抽出'!$C$7&amp;"")),1,0))</f>
        <v/>
      </c>
      <c r="AI1661" s="20">
        <f>IF(AH1661=1,SUM($AH$5:AH1661),"")</f>
        <v/>
      </c>
      <c r="AJ1661" s="20">
        <f>IF(OR(S1661="",'報告書'!$C$4=""),"",IF(S1661&amp;""='報告書'!$C$4&amp;"",COUNTIF($S$5:S1661,'報告書'!$C$4),""))</f>
        <v/>
      </c>
      <c r="AK1661" s="20" t="n"/>
      <c r="AL1661" s="47" t="n"/>
      <c r="AM1661" s="47" t="n"/>
      <c r="AN1661" s="53" t="n"/>
      <c r="AO1661" s="47" t="n"/>
      <c r="AP1661" s="47" t="n"/>
      <c r="AQ1661" s="47" t="n"/>
      <c r="AR1661" s="47" t="n"/>
      <c r="AS1661" s="47" t="n"/>
      <c r="AT1661" s="47" t="n"/>
      <c r="AU1661" s="47" t="n"/>
      <c r="AV1661" s="47" t="n"/>
      <c r="AW1661" s="52" t="n"/>
    </row>
    <row r="1662">
      <c r="A1662" s="48" t="n"/>
      <c r="B1662" s="52" t="n"/>
      <c r="C1662" s="47">
        <f>IF(B1662="","",IFERROR(INDEX('隊員マスタ'!$B$5:$B$204,MATCH(B1662&amp;"",'隊員マスタ'!$F$5:$F$204,0)),IF(AK1662="","番号なし",AK1662)))</f>
        <v/>
      </c>
      <c r="D1662" s="47" t="n"/>
      <c r="E1662" s="47" t="n"/>
      <c r="F1662" s="47" t="n"/>
      <c r="G1662" s="47" t="n"/>
      <c r="H1662" s="47" t="n"/>
      <c r="I1662" s="47" t="n"/>
      <c r="J1662" s="47" t="n"/>
      <c r="K1662" s="47" t="n"/>
      <c r="L1662" s="47" t="n"/>
      <c r="M1662" s="47" t="n"/>
      <c r="N1662" s="47" t="n"/>
      <c r="O1662" s="47" t="n"/>
      <c r="P1662" s="47" t="n"/>
      <c r="Q1662" s="47" t="n"/>
      <c r="R1662" s="47" t="n"/>
      <c r="S1662" s="47" t="n"/>
      <c r="T1662" s="47" t="n"/>
      <c r="U1662" s="53" t="n"/>
      <c r="V1662" s="53" t="n"/>
      <c r="W1662" s="47" t="n"/>
      <c r="X1662" s="47" t="n"/>
      <c r="Y1662" s="47" t="n"/>
      <c r="Z1662" s="47" t="n"/>
      <c r="AA1662" s="47" t="n"/>
      <c r="AB1662" s="47" t="n"/>
      <c r="AC1662" s="47" t="n"/>
      <c r="AD1662" s="47" t="n"/>
      <c r="AE1662" s="47" t="n"/>
      <c r="AF1662" s="20">
        <f>IF(A1662="","",YEAR(EDATE(A1662,-3)))</f>
        <v/>
      </c>
      <c r="AG1662" s="20">
        <f>IF(OR(B1662="",'経歴簿'!$C$4=""),"",IF(B1662&amp;""='経歴簿'!$C$4&amp;"",MAX($AG$4:AG1661)+1,""))</f>
        <v/>
      </c>
      <c r="AH1662" s="20">
        <f>IF(A1662="",0,IF(AND(OR('CSV抽出'!$C$4="",A1662&gt;='CSV抽出'!$C$4),OR('CSV抽出'!$C$5="",A1662&lt;='CSV抽出'!$C$5),OR('CSV抽出'!$C$6="すべて",'CSV抽出'!$C$6="",D1662='CSV抽出'!$C$6),OR('CSV抽出'!$C$7="",B1662&amp;""='CSV抽出'!$C$7&amp;"")),1,0))</f>
        <v/>
      </c>
      <c r="AI1662" s="20">
        <f>IF(AH1662=1,SUM($AH$5:AH1662),"")</f>
        <v/>
      </c>
      <c r="AJ1662" s="20">
        <f>IF(OR(S1662="",'報告書'!$C$4=""),"",IF(S1662&amp;""='報告書'!$C$4&amp;"",COUNTIF($S$5:S1662,'報告書'!$C$4),""))</f>
        <v/>
      </c>
      <c r="AK1662" s="20" t="n"/>
      <c r="AL1662" s="47" t="n"/>
      <c r="AM1662" s="47" t="n"/>
      <c r="AN1662" s="53" t="n"/>
      <c r="AO1662" s="47" t="n"/>
      <c r="AP1662" s="47" t="n"/>
      <c r="AQ1662" s="47" t="n"/>
      <c r="AR1662" s="47" t="n"/>
      <c r="AS1662" s="47" t="n"/>
      <c r="AT1662" s="47" t="n"/>
      <c r="AU1662" s="47" t="n"/>
      <c r="AV1662" s="47" t="n"/>
      <c r="AW1662" s="52" t="n"/>
    </row>
    <row r="1663">
      <c r="A1663" s="48" t="n"/>
      <c r="B1663" s="52" t="n"/>
      <c r="C1663" s="47">
        <f>IF(B1663="","",IFERROR(INDEX('隊員マスタ'!$B$5:$B$204,MATCH(B1663&amp;"",'隊員マスタ'!$F$5:$F$204,0)),IF(AK1663="","番号なし",AK1663)))</f>
        <v/>
      </c>
      <c r="D1663" s="47" t="n"/>
      <c r="E1663" s="47" t="n"/>
      <c r="F1663" s="47" t="n"/>
      <c r="G1663" s="47" t="n"/>
      <c r="H1663" s="47" t="n"/>
      <c r="I1663" s="47" t="n"/>
      <c r="J1663" s="47" t="n"/>
      <c r="K1663" s="47" t="n"/>
      <c r="L1663" s="47" t="n"/>
      <c r="M1663" s="47" t="n"/>
      <c r="N1663" s="47" t="n"/>
      <c r="O1663" s="47" t="n"/>
      <c r="P1663" s="47" t="n"/>
      <c r="Q1663" s="47" t="n"/>
      <c r="R1663" s="47" t="n"/>
      <c r="S1663" s="47" t="n"/>
      <c r="T1663" s="47" t="n"/>
      <c r="U1663" s="53" t="n"/>
      <c r="V1663" s="53" t="n"/>
      <c r="W1663" s="47" t="n"/>
      <c r="X1663" s="47" t="n"/>
      <c r="Y1663" s="47" t="n"/>
      <c r="Z1663" s="47" t="n"/>
      <c r="AA1663" s="47" t="n"/>
      <c r="AB1663" s="47" t="n"/>
      <c r="AC1663" s="47" t="n"/>
      <c r="AD1663" s="47" t="n"/>
      <c r="AE1663" s="47" t="n"/>
      <c r="AF1663" s="20">
        <f>IF(A1663="","",YEAR(EDATE(A1663,-3)))</f>
        <v/>
      </c>
      <c r="AG1663" s="20">
        <f>IF(OR(B1663="",'経歴簿'!$C$4=""),"",IF(B1663&amp;""='経歴簿'!$C$4&amp;"",MAX($AG$4:AG1662)+1,""))</f>
        <v/>
      </c>
      <c r="AH1663" s="20">
        <f>IF(A1663="",0,IF(AND(OR('CSV抽出'!$C$4="",A1663&gt;='CSV抽出'!$C$4),OR('CSV抽出'!$C$5="",A1663&lt;='CSV抽出'!$C$5),OR('CSV抽出'!$C$6="すべて",'CSV抽出'!$C$6="",D1663='CSV抽出'!$C$6),OR('CSV抽出'!$C$7="",B1663&amp;""='CSV抽出'!$C$7&amp;"")),1,0))</f>
        <v/>
      </c>
      <c r="AI1663" s="20">
        <f>IF(AH1663=1,SUM($AH$5:AH1663),"")</f>
        <v/>
      </c>
      <c r="AJ1663" s="20">
        <f>IF(OR(S1663="",'報告書'!$C$4=""),"",IF(S1663&amp;""='報告書'!$C$4&amp;"",COUNTIF($S$5:S1663,'報告書'!$C$4),""))</f>
        <v/>
      </c>
      <c r="AK1663" s="20" t="n"/>
      <c r="AL1663" s="47" t="n"/>
      <c r="AM1663" s="47" t="n"/>
      <c r="AN1663" s="53" t="n"/>
      <c r="AO1663" s="47" t="n"/>
      <c r="AP1663" s="47" t="n"/>
      <c r="AQ1663" s="47" t="n"/>
      <c r="AR1663" s="47" t="n"/>
      <c r="AS1663" s="47" t="n"/>
      <c r="AT1663" s="47" t="n"/>
      <c r="AU1663" s="47" t="n"/>
      <c r="AV1663" s="47" t="n"/>
      <c r="AW1663" s="52" t="n"/>
    </row>
    <row r="1664">
      <c r="A1664" s="48" t="n"/>
      <c r="B1664" s="52" t="n"/>
      <c r="C1664" s="47">
        <f>IF(B1664="","",IFERROR(INDEX('隊員マスタ'!$B$5:$B$204,MATCH(B1664&amp;"",'隊員マスタ'!$F$5:$F$204,0)),IF(AK1664="","番号なし",AK1664)))</f>
        <v/>
      </c>
      <c r="D1664" s="47" t="n"/>
      <c r="E1664" s="47" t="n"/>
      <c r="F1664" s="47" t="n"/>
      <c r="G1664" s="47" t="n"/>
      <c r="H1664" s="47" t="n"/>
      <c r="I1664" s="47" t="n"/>
      <c r="J1664" s="47" t="n"/>
      <c r="K1664" s="47" t="n"/>
      <c r="L1664" s="47" t="n"/>
      <c r="M1664" s="47" t="n"/>
      <c r="N1664" s="47" t="n"/>
      <c r="O1664" s="47" t="n"/>
      <c r="P1664" s="47" t="n"/>
      <c r="Q1664" s="47" t="n"/>
      <c r="R1664" s="47" t="n"/>
      <c r="S1664" s="47" t="n"/>
      <c r="T1664" s="47" t="n"/>
      <c r="U1664" s="53" t="n"/>
      <c r="V1664" s="53" t="n"/>
      <c r="W1664" s="47" t="n"/>
      <c r="X1664" s="47" t="n"/>
      <c r="Y1664" s="47" t="n"/>
      <c r="Z1664" s="47" t="n"/>
      <c r="AA1664" s="47" t="n"/>
      <c r="AB1664" s="47" t="n"/>
      <c r="AC1664" s="47" t="n"/>
      <c r="AD1664" s="47" t="n"/>
      <c r="AE1664" s="47" t="n"/>
      <c r="AF1664" s="20">
        <f>IF(A1664="","",YEAR(EDATE(A1664,-3)))</f>
        <v/>
      </c>
      <c r="AG1664" s="20">
        <f>IF(OR(B1664="",'経歴簿'!$C$4=""),"",IF(B1664&amp;""='経歴簿'!$C$4&amp;"",MAX($AG$4:AG1663)+1,""))</f>
        <v/>
      </c>
      <c r="AH1664" s="20">
        <f>IF(A1664="",0,IF(AND(OR('CSV抽出'!$C$4="",A1664&gt;='CSV抽出'!$C$4),OR('CSV抽出'!$C$5="",A1664&lt;='CSV抽出'!$C$5),OR('CSV抽出'!$C$6="すべて",'CSV抽出'!$C$6="",D1664='CSV抽出'!$C$6),OR('CSV抽出'!$C$7="",B1664&amp;""='CSV抽出'!$C$7&amp;"")),1,0))</f>
        <v/>
      </c>
      <c r="AI1664" s="20">
        <f>IF(AH1664=1,SUM($AH$5:AH1664),"")</f>
        <v/>
      </c>
      <c r="AJ1664" s="20">
        <f>IF(OR(S1664="",'報告書'!$C$4=""),"",IF(S1664&amp;""='報告書'!$C$4&amp;"",COUNTIF($S$5:S1664,'報告書'!$C$4),""))</f>
        <v/>
      </c>
      <c r="AK1664" s="20" t="n"/>
      <c r="AL1664" s="47" t="n"/>
      <c r="AM1664" s="47" t="n"/>
      <c r="AN1664" s="53" t="n"/>
      <c r="AO1664" s="47" t="n"/>
      <c r="AP1664" s="47" t="n"/>
      <c r="AQ1664" s="47" t="n"/>
      <c r="AR1664" s="47" t="n"/>
      <c r="AS1664" s="47" t="n"/>
      <c r="AT1664" s="47" t="n"/>
      <c r="AU1664" s="47" t="n"/>
      <c r="AV1664" s="47" t="n"/>
      <c r="AW1664" s="52" t="n"/>
    </row>
    <row r="1665">
      <c r="A1665" s="48" t="n"/>
      <c r="B1665" s="52" t="n"/>
      <c r="C1665" s="47">
        <f>IF(B1665="","",IFERROR(INDEX('隊員マスタ'!$B$5:$B$204,MATCH(B1665&amp;"",'隊員マスタ'!$F$5:$F$204,0)),IF(AK1665="","番号なし",AK1665)))</f>
        <v/>
      </c>
      <c r="D1665" s="47" t="n"/>
      <c r="E1665" s="47" t="n"/>
      <c r="F1665" s="47" t="n"/>
      <c r="G1665" s="47" t="n"/>
      <c r="H1665" s="47" t="n"/>
      <c r="I1665" s="47" t="n"/>
      <c r="J1665" s="47" t="n"/>
      <c r="K1665" s="47" t="n"/>
      <c r="L1665" s="47" t="n"/>
      <c r="M1665" s="47" t="n"/>
      <c r="N1665" s="47" t="n"/>
      <c r="O1665" s="47" t="n"/>
      <c r="P1665" s="47" t="n"/>
      <c r="Q1665" s="47" t="n"/>
      <c r="R1665" s="47" t="n"/>
      <c r="S1665" s="47" t="n"/>
      <c r="T1665" s="47" t="n"/>
      <c r="U1665" s="53" t="n"/>
      <c r="V1665" s="53" t="n"/>
      <c r="W1665" s="47" t="n"/>
      <c r="X1665" s="47" t="n"/>
      <c r="Y1665" s="47" t="n"/>
      <c r="Z1665" s="47" t="n"/>
      <c r="AA1665" s="47" t="n"/>
      <c r="AB1665" s="47" t="n"/>
      <c r="AC1665" s="47" t="n"/>
      <c r="AD1665" s="47" t="n"/>
      <c r="AE1665" s="47" t="n"/>
      <c r="AF1665" s="20">
        <f>IF(A1665="","",YEAR(EDATE(A1665,-3)))</f>
        <v/>
      </c>
      <c r="AG1665" s="20">
        <f>IF(OR(B1665="",'経歴簿'!$C$4=""),"",IF(B1665&amp;""='経歴簿'!$C$4&amp;"",MAX($AG$4:AG1664)+1,""))</f>
        <v/>
      </c>
      <c r="AH1665" s="20">
        <f>IF(A1665="",0,IF(AND(OR('CSV抽出'!$C$4="",A1665&gt;='CSV抽出'!$C$4),OR('CSV抽出'!$C$5="",A1665&lt;='CSV抽出'!$C$5),OR('CSV抽出'!$C$6="すべて",'CSV抽出'!$C$6="",D1665='CSV抽出'!$C$6),OR('CSV抽出'!$C$7="",B1665&amp;""='CSV抽出'!$C$7&amp;"")),1,0))</f>
        <v/>
      </c>
      <c r="AI1665" s="20">
        <f>IF(AH1665=1,SUM($AH$5:AH1665),"")</f>
        <v/>
      </c>
      <c r="AJ1665" s="20">
        <f>IF(OR(S1665="",'報告書'!$C$4=""),"",IF(S1665&amp;""='報告書'!$C$4&amp;"",COUNTIF($S$5:S1665,'報告書'!$C$4),""))</f>
        <v/>
      </c>
      <c r="AK1665" s="20" t="n"/>
      <c r="AL1665" s="47" t="n"/>
      <c r="AM1665" s="47" t="n"/>
      <c r="AN1665" s="53" t="n"/>
      <c r="AO1665" s="47" t="n"/>
      <c r="AP1665" s="47" t="n"/>
      <c r="AQ1665" s="47" t="n"/>
      <c r="AR1665" s="47" t="n"/>
      <c r="AS1665" s="47" t="n"/>
      <c r="AT1665" s="47" t="n"/>
      <c r="AU1665" s="47" t="n"/>
      <c r="AV1665" s="47" t="n"/>
      <c r="AW1665" s="52" t="n"/>
    </row>
    <row r="1666">
      <c r="A1666" s="48" t="n"/>
      <c r="B1666" s="52" t="n"/>
      <c r="C1666" s="47">
        <f>IF(B1666="","",IFERROR(INDEX('隊員マスタ'!$B$5:$B$204,MATCH(B1666&amp;"",'隊員マスタ'!$F$5:$F$204,0)),IF(AK1666="","番号なし",AK1666)))</f>
        <v/>
      </c>
      <c r="D1666" s="47" t="n"/>
      <c r="E1666" s="47" t="n"/>
      <c r="F1666" s="47" t="n"/>
      <c r="G1666" s="47" t="n"/>
      <c r="H1666" s="47" t="n"/>
      <c r="I1666" s="47" t="n"/>
      <c r="J1666" s="47" t="n"/>
      <c r="K1666" s="47" t="n"/>
      <c r="L1666" s="47" t="n"/>
      <c r="M1666" s="47" t="n"/>
      <c r="N1666" s="47" t="n"/>
      <c r="O1666" s="47" t="n"/>
      <c r="P1666" s="47" t="n"/>
      <c r="Q1666" s="47" t="n"/>
      <c r="R1666" s="47" t="n"/>
      <c r="S1666" s="47" t="n"/>
      <c r="T1666" s="47" t="n"/>
      <c r="U1666" s="53" t="n"/>
      <c r="V1666" s="53" t="n"/>
      <c r="W1666" s="47" t="n"/>
      <c r="X1666" s="47" t="n"/>
      <c r="Y1666" s="47" t="n"/>
      <c r="Z1666" s="47" t="n"/>
      <c r="AA1666" s="47" t="n"/>
      <c r="AB1666" s="47" t="n"/>
      <c r="AC1666" s="47" t="n"/>
      <c r="AD1666" s="47" t="n"/>
      <c r="AE1666" s="47" t="n"/>
      <c r="AF1666" s="20">
        <f>IF(A1666="","",YEAR(EDATE(A1666,-3)))</f>
        <v/>
      </c>
      <c r="AG1666" s="20">
        <f>IF(OR(B1666="",'経歴簿'!$C$4=""),"",IF(B1666&amp;""='経歴簿'!$C$4&amp;"",MAX($AG$4:AG1665)+1,""))</f>
        <v/>
      </c>
      <c r="AH1666" s="20">
        <f>IF(A1666="",0,IF(AND(OR('CSV抽出'!$C$4="",A1666&gt;='CSV抽出'!$C$4),OR('CSV抽出'!$C$5="",A1666&lt;='CSV抽出'!$C$5),OR('CSV抽出'!$C$6="すべて",'CSV抽出'!$C$6="",D1666='CSV抽出'!$C$6),OR('CSV抽出'!$C$7="",B1666&amp;""='CSV抽出'!$C$7&amp;"")),1,0))</f>
        <v/>
      </c>
      <c r="AI1666" s="20">
        <f>IF(AH1666=1,SUM($AH$5:AH1666),"")</f>
        <v/>
      </c>
      <c r="AJ1666" s="20">
        <f>IF(OR(S1666="",'報告書'!$C$4=""),"",IF(S1666&amp;""='報告書'!$C$4&amp;"",COUNTIF($S$5:S1666,'報告書'!$C$4),""))</f>
        <v/>
      </c>
      <c r="AK1666" s="20" t="n"/>
      <c r="AL1666" s="47" t="n"/>
      <c r="AM1666" s="47" t="n"/>
      <c r="AN1666" s="53" t="n"/>
      <c r="AO1666" s="47" t="n"/>
      <c r="AP1666" s="47" t="n"/>
      <c r="AQ1666" s="47" t="n"/>
      <c r="AR1666" s="47" t="n"/>
      <c r="AS1666" s="47" t="n"/>
      <c r="AT1666" s="47" t="n"/>
      <c r="AU1666" s="47" t="n"/>
      <c r="AV1666" s="47" t="n"/>
      <c r="AW1666" s="52" t="n"/>
    </row>
    <row r="1667">
      <c r="A1667" s="48" t="n"/>
      <c r="B1667" s="52" t="n"/>
      <c r="C1667" s="47">
        <f>IF(B1667="","",IFERROR(INDEX('隊員マスタ'!$B$5:$B$204,MATCH(B1667&amp;"",'隊員マスタ'!$F$5:$F$204,0)),IF(AK1667="","番号なし",AK1667)))</f>
        <v/>
      </c>
      <c r="D1667" s="47" t="n"/>
      <c r="E1667" s="47" t="n"/>
      <c r="F1667" s="47" t="n"/>
      <c r="G1667" s="47" t="n"/>
      <c r="H1667" s="47" t="n"/>
      <c r="I1667" s="47" t="n"/>
      <c r="J1667" s="47" t="n"/>
      <c r="K1667" s="47" t="n"/>
      <c r="L1667" s="47" t="n"/>
      <c r="M1667" s="47" t="n"/>
      <c r="N1667" s="47" t="n"/>
      <c r="O1667" s="47" t="n"/>
      <c r="P1667" s="47" t="n"/>
      <c r="Q1667" s="47" t="n"/>
      <c r="R1667" s="47" t="n"/>
      <c r="S1667" s="47" t="n"/>
      <c r="T1667" s="47" t="n"/>
      <c r="U1667" s="53" t="n"/>
      <c r="V1667" s="53" t="n"/>
      <c r="W1667" s="47" t="n"/>
      <c r="X1667" s="47" t="n"/>
      <c r="Y1667" s="47" t="n"/>
      <c r="Z1667" s="47" t="n"/>
      <c r="AA1667" s="47" t="n"/>
      <c r="AB1667" s="47" t="n"/>
      <c r="AC1667" s="47" t="n"/>
      <c r="AD1667" s="47" t="n"/>
      <c r="AE1667" s="47" t="n"/>
      <c r="AF1667" s="20">
        <f>IF(A1667="","",YEAR(EDATE(A1667,-3)))</f>
        <v/>
      </c>
      <c r="AG1667" s="20">
        <f>IF(OR(B1667="",'経歴簿'!$C$4=""),"",IF(B1667&amp;""='経歴簿'!$C$4&amp;"",MAX($AG$4:AG1666)+1,""))</f>
        <v/>
      </c>
      <c r="AH1667" s="20">
        <f>IF(A1667="",0,IF(AND(OR('CSV抽出'!$C$4="",A1667&gt;='CSV抽出'!$C$4),OR('CSV抽出'!$C$5="",A1667&lt;='CSV抽出'!$C$5),OR('CSV抽出'!$C$6="すべて",'CSV抽出'!$C$6="",D1667='CSV抽出'!$C$6),OR('CSV抽出'!$C$7="",B1667&amp;""='CSV抽出'!$C$7&amp;"")),1,0))</f>
        <v/>
      </c>
      <c r="AI1667" s="20">
        <f>IF(AH1667=1,SUM($AH$5:AH1667),"")</f>
        <v/>
      </c>
      <c r="AJ1667" s="20">
        <f>IF(OR(S1667="",'報告書'!$C$4=""),"",IF(S1667&amp;""='報告書'!$C$4&amp;"",COUNTIF($S$5:S1667,'報告書'!$C$4),""))</f>
        <v/>
      </c>
      <c r="AK1667" s="20" t="n"/>
      <c r="AL1667" s="47" t="n"/>
      <c r="AM1667" s="47" t="n"/>
      <c r="AN1667" s="53" t="n"/>
      <c r="AO1667" s="47" t="n"/>
      <c r="AP1667" s="47" t="n"/>
      <c r="AQ1667" s="47" t="n"/>
      <c r="AR1667" s="47" t="n"/>
      <c r="AS1667" s="47" t="n"/>
      <c r="AT1667" s="47" t="n"/>
      <c r="AU1667" s="47" t="n"/>
      <c r="AV1667" s="47" t="n"/>
      <c r="AW1667" s="52" t="n"/>
    </row>
    <row r="1668">
      <c r="A1668" s="48" t="n"/>
      <c r="B1668" s="52" t="n"/>
      <c r="C1668" s="47">
        <f>IF(B1668="","",IFERROR(INDEX('隊員マスタ'!$B$5:$B$204,MATCH(B1668&amp;"",'隊員マスタ'!$F$5:$F$204,0)),IF(AK1668="","番号なし",AK1668)))</f>
        <v/>
      </c>
      <c r="D1668" s="47" t="n"/>
      <c r="E1668" s="47" t="n"/>
      <c r="F1668" s="47" t="n"/>
      <c r="G1668" s="47" t="n"/>
      <c r="H1668" s="47" t="n"/>
      <c r="I1668" s="47" t="n"/>
      <c r="J1668" s="47" t="n"/>
      <c r="K1668" s="47" t="n"/>
      <c r="L1668" s="47" t="n"/>
      <c r="M1668" s="47" t="n"/>
      <c r="N1668" s="47" t="n"/>
      <c r="O1668" s="47" t="n"/>
      <c r="P1668" s="47" t="n"/>
      <c r="Q1668" s="47" t="n"/>
      <c r="R1668" s="47" t="n"/>
      <c r="S1668" s="47" t="n"/>
      <c r="T1668" s="47" t="n"/>
      <c r="U1668" s="53" t="n"/>
      <c r="V1668" s="53" t="n"/>
      <c r="W1668" s="47" t="n"/>
      <c r="X1668" s="47" t="n"/>
      <c r="Y1668" s="47" t="n"/>
      <c r="Z1668" s="47" t="n"/>
      <c r="AA1668" s="47" t="n"/>
      <c r="AB1668" s="47" t="n"/>
      <c r="AC1668" s="47" t="n"/>
      <c r="AD1668" s="47" t="n"/>
      <c r="AE1668" s="47" t="n"/>
      <c r="AF1668" s="20">
        <f>IF(A1668="","",YEAR(EDATE(A1668,-3)))</f>
        <v/>
      </c>
      <c r="AG1668" s="20">
        <f>IF(OR(B1668="",'経歴簿'!$C$4=""),"",IF(B1668&amp;""='経歴簿'!$C$4&amp;"",MAX($AG$4:AG1667)+1,""))</f>
        <v/>
      </c>
      <c r="AH1668" s="20">
        <f>IF(A1668="",0,IF(AND(OR('CSV抽出'!$C$4="",A1668&gt;='CSV抽出'!$C$4),OR('CSV抽出'!$C$5="",A1668&lt;='CSV抽出'!$C$5),OR('CSV抽出'!$C$6="すべて",'CSV抽出'!$C$6="",D1668='CSV抽出'!$C$6),OR('CSV抽出'!$C$7="",B1668&amp;""='CSV抽出'!$C$7&amp;"")),1,0))</f>
        <v/>
      </c>
      <c r="AI1668" s="20">
        <f>IF(AH1668=1,SUM($AH$5:AH1668),"")</f>
        <v/>
      </c>
      <c r="AJ1668" s="20">
        <f>IF(OR(S1668="",'報告書'!$C$4=""),"",IF(S1668&amp;""='報告書'!$C$4&amp;"",COUNTIF($S$5:S1668,'報告書'!$C$4),""))</f>
        <v/>
      </c>
      <c r="AK1668" s="20" t="n"/>
      <c r="AL1668" s="47" t="n"/>
      <c r="AM1668" s="47" t="n"/>
      <c r="AN1668" s="53" t="n"/>
      <c r="AO1668" s="47" t="n"/>
      <c r="AP1668" s="47" t="n"/>
      <c r="AQ1668" s="47" t="n"/>
      <c r="AR1668" s="47" t="n"/>
      <c r="AS1668" s="47" t="n"/>
      <c r="AT1668" s="47" t="n"/>
      <c r="AU1668" s="47" t="n"/>
      <c r="AV1668" s="47" t="n"/>
      <c r="AW1668" s="52" t="n"/>
    </row>
    <row r="1669">
      <c r="A1669" s="48" t="n"/>
      <c r="B1669" s="52" t="n"/>
      <c r="C1669" s="47">
        <f>IF(B1669="","",IFERROR(INDEX('隊員マスタ'!$B$5:$B$204,MATCH(B1669&amp;"",'隊員マスタ'!$F$5:$F$204,0)),IF(AK1669="","番号なし",AK1669)))</f>
        <v/>
      </c>
      <c r="D1669" s="47" t="n"/>
      <c r="E1669" s="47" t="n"/>
      <c r="F1669" s="47" t="n"/>
      <c r="G1669" s="47" t="n"/>
      <c r="H1669" s="47" t="n"/>
      <c r="I1669" s="47" t="n"/>
      <c r="J1669" s="47" t="n"/>
      <c r="K1669" s="47" t="n"/>
      <c r="L1669" s="47" t="n"/>
      <c r="M1669" s="47" t="n"/>
      <c r="N1669" s="47" t="n"/>
      <c r="O1669" s="47" t="n"/>
      <c r="P1669" s="47" t="n"/>
      <c r="Q1669" s="47" t="n"/>
      <c r="R1669" s="47" t="n"/>
      <c r="S1669" s="47" t="n"/>
      <c r="T1669" s="47" t="n"/>
      <c r="U1669" s="53" t="n"/>
      <c r="V1669" s="53" t="n"/>
      <c r="W1669" s="47" t="n"/>
      <c r="X1669" s="47" t="n"/>
      <c r="Y1669" s="47" t="n"/>
      <c r="Z1669" s="47" t="n"/>
      <c r="AA1669" s="47" t="n"/>
      <c r="AB1669" s="47" t="n"/>
      <c r="AC1669" s="47" t="n"/>
      <c r="AD1669" s="47" t="n"/>
      <c r="AE1669" s="47" t="n"/>
      <c r="AF1669" s="20">
        <f>IF(A1669="","",YEAR(EDATE(A1669,-3)))</f>
        <v/>
      </c>
      <c r="AG1669" s="20">
        <f>IF(OR(B1669="",'経歴簿'!$C$4=""),"",IF(B1669&amp;""='経歴簿'!$C$4&amp;"",MAX($AG$4:AG1668)+1,""))</f>
        <v/>
      </c>
      <c r="AH1669" s="20">
        <f>IF(A1669="",0,IF(AND(OR('CSV抽出'!$C$4="",A1669&gt;='CSV抽出'!$C$4),OR('CSV抽出'!$C$5="",A1669&lt;='CSV抽出'!$C$5),OR('CSV抽出'!$C$6="すべて",'CSV抽出'!$C$6="",D1669='CSV抽出'!$C$6),OR('CSV抽出'!$C$7="",B1669&amp;""='CSV抽出'!$C$7&amp;"")),1,0))</f>
        <v/>
      </c>
      <c r="AI1669" s="20">
        <f>IF(AH1669=1,SUM($AH$5:AH1669),"")</f>
        <v/>
      </c>
      <c r="AJ1669" s="20">
        <f>IF(OR(S1669="",'報告書'!$C$4=""),"",IF(S1669&amp;""='報告書'!$C$4&amp;"",COUNTIF($S$5:S1669,'報告書'!$C$4),""))</f>
        <v/>
      </c>
      <c r="AK1669" s="20" t="n"/>
      <c r="AL1669" s="47" t="n"/>
      <c r="AM1669" s="47" t="n"/>
      <c r="AN1669" s="53" t="n"/>
      <c r="AO1669" s="47" t="n"/>
      <c r="AP1669" s="47" t="n"/>
      <c r="AQ1669" s="47" t="n"/>
      <c r="AR1669" s="47" t="n"/>
      <c r="AS1669" s="47" t="n"/>
      <c r="AT1669" s="47" t="n"/>
      <c r="AU1669" s="47" t="n"/>
      <c r="AV1669" s="47" t="n"/>
      <c r="AW1669" s="52" t="n"/>
    </row>
    <row r="1670">
      <c r="A1670" s="48" t="n"/>
      <c r="B1670" s="52" t="n"/>
      <c r="C1670" s="47">
        <f>IF(B1670="","",IFERROR(INDEX('隊員マスタ'!$B$5:$B$204,MATCH(B1670&amp;"",'隊員マスタ'!$F$5:$F$204,0)),IF(AK1670="","番号なし",AK1670)))</f>
        <v/>
      </c>
      <c r="D1670" s="47" t="n"/>
      <c r="E1670" s="47" t="n"/>
      <c r="F1670" s="47" t="n"/>
      <c r="G1670" s="47" t="n"/>
      <c r="H1670" s="47" t="n"/>
      <c r="I1670" s="47" t="n"/>
      <c r="J1670" s="47" t="n"/>
      <c r="K1670" s="47" t="n"/>
      <c r="L1670" s="47" t="n"/>
      <c r="M1670" s="47" t="n"/>
      <c r="N1670" s="47" t="n"/>
      <c r="O1670" s="47" t="n"/>
      <c r="P1670" s="47" t="n"/>
      <c r="Q1670" s="47" t="n"/>
      <c r="R1670" s="47" t="n"/>
      <c r="S1670" s="47" t="n"/>
      <c r="T1670" s="47" t="n"/>
      <c r="U1670" s="53" t="n"/>
      <c r="V1670" s="53" t="n"/>
      <c r="W1670" s="47" t="n"/>
      <c r="X1670" s="47" t="n"/>
      <c r="Y1670" s="47" t="n"/>
      <c r="Z1670" s="47" t="n"/>
      <c r="AA1670" s="47" t="n"/>
      <c r="AB1670" s="47" t="n"/>
      <c r="AC1670" s="47" t="n"/>
      <c r="AD1670" s="47" t="n"/>
      <c r="AE1670" s="47" t="n"/>
      <c r="AF1670" s="20">
        <f>IF(A1670="","",YEAR(EDATE(A1670,-3)))</f>
        <v/>
      </c>
      <c r="AG1670" s="20">
        <f>IF(OR(B1670="",'経歴簿'!$C$4=""),"",IF(B1670&amp;""='経歴簿'!$C$4&amp;"",MAX($AG$4:AG1669)+1,""))</f>
        <v/>
      </c>
      <c r="AH1670" s="20">
        <f>IF(A1670="",0,IF(AND(OR('CSV抽出'!$C$4="",A1670&gt;='CSV抽出'!$C$4),OR('CSV抽出'!$C$5="",A1670&lt;='CSV抽出'!$C$5),OR('CSV抽出'!$C$6="すべて",'CSV抽出'!$C$6="",D1670='CSV抽出'!$C$6),OR('CSV抽出'!$C$7="",B1670&amp;""='CSV抽出'!$C$7&amp;"")),1,0))</f>
        <v/>
      </c>
      <c r="AI1670" s="20">
        <f>IF(AH1670=1,SUM($AH$5:AH1670),"")</f>
        <v/>
      </c>
      <c r="AJ1670" s="20">
        <f>IF(OR(S1670="",'報告書'!$C$4=""),"",IF(S1670&amp;""='報告書'!$C$4&amp;"",COUNTIF($S$5:S1670,'報告書'!$C$4),""))</f>
        <v/>
      </c>
      <c r="AK1670" s="20" t="n"/>
      <c r="AL1670" s="47" t="n"/>
      <c r="AM1670" s="47" t="n"/>
      <c r="AN1670" s="53" t="n"/>
      <c r="AO1670" s="47" t="n"/>
      <c r="AP1670" s="47" t="n"/>
      <c r="AQ1670" s="47" t="n"/>
      <c r="AR1670" s="47" t="n"/>
      <c r="AS1670" s="47" t="n"/>
      <c r="AT1670" s="47" t="n"/>
      <c r="AU1670" s="47" t="n"/>
      <c r="AV1670" s="47" t="n"/>
      <c r="AW1670" s="52" t="n"/>
    </row>
    <row r="1671">
      <c r="A1671" s="48" t="n"/>
      <c r="B1671" s="52" t="n"/>
      <c r="C1671" s="47">
        <f>IF(B1671="","",IFERROR(INDEX('隊員マスタ'!$B$5:$B$204,MATCH(B1671&amp;"",'隊員マスタ'!$F$5:$F$204,0)),IF(AK1671="","番号なし",AK1671)))</f>
        <v/>
      </c>
      <c r="D1671" s="47" t="n"/>
      <c r="E1671" s="47" t="n"/>
      <c r="F1671" s="47" t="n"/>
      <c r="G1671" s="47" t="n"/>
      <c r="H1671" s="47" t="n"/>
      <c r="I1671" s="47" t="n"/>
      <c r="J1671" s="47" t="n"/>
      <c r="K1671" s="47" t="n"/>
      <c r="L1671" s="47" t="n"/>
      <c r="M1671" s="47" t="n"/>
      <c r="N1671" s="47" t="n"/>
      <c r="O1671" s="47" t="n"/>
      <c r="P1671" s="47" t="n"/>
      <c r="Q1671" s="47" t="n"/>
      <c r="R1671" s="47" t="n"/>
      <c r="S1671" s="47" t="n"/>
      <c r="T1671" s="47" t="n"/>
      <c r="U1671" s="53" t="n"/>
      <c r="V1671" s="53" t="n"/>
      <c r="W1671" s="47" t="n"/>
      <c r="X1671" s="47" t="n"/>
      <c r="Y1671" s="47" t="n"/>
      <c r="Z1671" s="47" t="n"/>
      <c r="AA1671" s="47" t="n"/>
      <c r="AB1671" s="47" t="n"/>
      <c r="AC1671" s="47" t="n"/>
      <c r="AD1671" s="47" t="n"/>
      <c r="AE1671" s="47" t="n"/>
      <c r="AF1671" s="20">
        <f>IF(A1671="","",YEAR(EDATE(A1671,-3)))</f>
        <v/>
      </c>
      <c r="AG1671" s="20">
        <f>IF(OR(B1671="",'経歴簿'!$C$4=""),"",IF(B1671&amp;""='経歴簿'!$C$4&amp;"",MAX($AG$4:AG1670)+1,""))</f>
        <v/>
      </c>
      <c r="AH1671" s="20">
        <f>IF(A1671="",0,IF(AND(OR('CSV抽出'!$C$4="",A1671&gt;='CSV抽出'!$C$4),OR('CSV抽出'!$C$5="",A1671&lt;='CSV抽出'!$C$5),OR('CSV抽出'!$C$6="すべて",'CSV抽出'!$C$6="",D1671='CSV抽出'!$C$6),OR('CSV抽出'!$C$7="",B1671&amp;""='CSV抽出'!$C$7&amp;"")),1,0))</f>
        <v/>
      </c>
      <c r="AI1671" s="20">
        <f>IF(AH1671=1,SUM($AH$5:AH1671),"")</f>
        <v/>
      </c>
      <c r="AJ1671" s="20">
        <f>IF(OR(S1671="",'報告書'!$C$4=""),"",IF(S1671&amp;""='報告書'!$C$4&amp;"",COUNTIF($S$5:S1671,'報告書'!$C$4),""))</f>
        <v/>
      </c>
      <c r="AK1671" s="20" t="n"/>
      <c r="AL1671" s="47" t="n"/>
      <c r="AM1671" s="47" t="n"/>
      <c r="AN1671" s="53" t="n"/>
      <c r="AO1671" s="47" t="n"/>
      <c r="AP1671" s="47" t="n"/>
      <c r="AQ1671" s="47" t="n"/>
      <c r="AR1671" s="47" t="n"/>
      <c r="AS1671" s="47" t="n"/>
      <c r="AT1671" s="47" t="n"/>
      <c r="AU1671" s="47" t="n"/>
      <c r="AV1671" s="47" t="n"/>
      <c r="AW1671" s="52" t="n"/>
    </row>
    <row r="1672">
      <c r="A1672" s="48" t="n"/>
      <c r="B1672" s="52" t="n"/>
      <c r="C1672" s="47">
        <f>IF(B1672="","",IFERROR(INDEX('隊員マスタ'!$B$5:$B$204,MATCH(B1672&amp;"",'隊員マスタ'!$F$5:$F$204,0)),IF(AK1672="","番号なし",AK1672)))</f>
        <v/>
      </c>
      <c r="D1672" s="47" t="n"/>
      <c r="E1672" s="47" t="n"/>
      <c r="F1672" s="47" t="n"/>
      <c r="G1672" s="47" t="n"/>
      <c r="H1672" s="47" t="n"/>
      <c r="I1672" s="47" t="n"/>
      <c r="J1672" s="47" t="n"/>
      <c r="K1672" s="47" t="n"/>
      <c r="L1672" s="47" t="n"/>
      <c r="M1672" s="47" t="n"/>
      <c r="N1672" s="47" t="n"/>
      <c r="O1672" s="47" t="n"/>
      <c r="P1672" s="47" t="n"/>
      <c r="Q1672" s="47" t="n"/>
      <c r="R1672" s="47" t="n"/>
      <c r="S1672" s="47" t="n"/>
      <c r="T1672" s="47" t="n"/>
      <c r="U1672" s="53" t="n"/>
      <c r="V1672" s="53" t="n"/>
      <c r="W1672" s="47" t="n"/>
      <c r="X1672" s="47" t="n"/>
      <c r="Y1672" s="47" t="n"/>
      <c r="Z1672" s="47" t="n"/>
      <c r="AA1672" s="47" t="n"/>
      <c r="AB1672" s="47" t="n"/>
      <c r="AC1672" s="47" t="n"/>
      <c r="AD1672" s="47" t="n"/>
      <c r="AE1672" s="47" t="n"/>
      <c r="AF1672" s="20">
        <f>IF(A1672="","",YEAR(EDATE(A1672,-3)))</f>
        <v/>
      </c>
      <c r="AG1672" s="20">
        <f>IF(OR(B1672="",'経歴簿'!$C$4=""),"",IF(B1672&amp;""='経歴簿'!$C$4&amp;"",MAX($AG$4:AG1671)+1,""))</f>
        <v/>
      </c>
      <c r="AH1672" s="20">
        <f>IF(A1672="",0,IF(AND(OR('CSV抽出'!$C$4="",A1672&gt;='CSV抽出'!$C$4),OR('CSV抽出'!$C$5="",A1672&lt;='CSV抽出'!$C$5),OR('CSV抽出'!$C$6="すべて",'CSV抽出'!$C$6="",D1672='CSV抽出'!$C$6),OR('CSV抽出'!$C$7="",B1672&amp;""='CSV抽出'!$C$7&amp;"")),1,0))</f>
        <v/>
      </c>
      <c r="AI1672" s="20">
        <f>IF(AH1672=1,SUM($AH$5:AH1672),"")</f>
        <v/>
      </c>
      <c r="AJ1672" s="20">
        <f>IF(OR(S1672="",'報告書'!$C$4=""),"",IF(S1672&amp;""='報告書'!$C$4&amp;"",COUNTIF($S$5:S1672,'報告書'!$C$4),""))</f>
        <v/>
      </c>
      <c r="AK1672" s="20" t="n"/>
      <c r="AL1672" s="47" t="n"/>
      <c r="AM1672" s="47" t="n"/>
      <c r="AN1672" s="53" t="n"/>
      <c r="AO1672" s="47" t="n"/>
      <c r="AP1672" s="47" t="n"/>
      <c r="AQ1672" s="47" t="n"/>
      <c r="AR1672" s="47" t="n"/>
      <c r="AS1672" s="47" t="n"/>
      <c r="AT1672" s="47" t="n"/>
      <c r="AU1672" s="47" t="n"/>
      <c r="AV1672" s="47" t="n"/>
      <c r="AW1672" s="52" t="n"/>
    </row>
    <row r="1673">
      <c r="A1673" s="48" t="n"/>
      <c r="B1673" s="52" t="n"/>
      <c r="C1673" s="47">
        <f>IF(B1673="","",IFERROR(INDEX('隊員マスタ'!$B$5:$B$204,MATCH(B1673&amp;"",'隊員マスタ'!$F$5:$F$204,0)),IF(AK1673="","番号なし",AK1673)))</f>
        <v/>
      </c>
      <c r="D1673" s="47" t="n"/>
      <c r="E1673" s="47" t="n"/>
      <c r="F1673" s="47" t="n"/>
      <c r="G1673" s="47" t="n"/>
      <c r="H1673" s="47" t="n"/>
      <c r="I1673" s="47" t="n"/>
      <c r="J1673" s="47" t="n"/>
      <c r="K1673" s="47" t="n"/>
      <c r="L1673" s="47" t="n"/>
      <c r="M1673" s="47" t="n"/>
      <c r="N1673" s="47" t="n"/>
      <c r="O1673" s="47" t="n"/>
      <c r="P1673" s="47" t="n"/>
      <c r="Q1673" s="47" t="n"/>
      <c r="R1673" s="47" t="n"/>
      <c r="S1673" s="47" t="n"/>
      <c r="T1673" s="47" t="n"/>
      <c r="U1673" s="53" t="n"/>
      <c r="V1673" s="53" t="n"/>
      <c r="W1673" s="47" t="n"/>
      <c r="X1673" s="47" t="n"/>
      <c r="Y1673" s="47" t="n"/>
      <c r="Z1673" s="47" t="n"/>
      <c r="AA1673" s="47" t="n"/>
      <c r="AB1673" s="47" t="n"/>
      <c r="AC1673" s="47" t="n"/>
      <c r="AD1673" s="47" t="n"/>
      <c r="AE1673" s="47" t="n"/>
      <c r="AF1673" s="20">
        <f>IF(A1673="","",YEAR(EDATE(A1673,-3)))</f>
        <v/>
      </c>
      <c r="AG1673" s="20">
        <f>IF(OR(B1673="",'経歴簿'!$C$4=""),"",IF(B1673&amp;""='経歴簿'!$C$4&amp;"",MAX($AG$4:AG1672)+1,""))</f>
        <v/>
      </c>
      <c r="AH1673" s="20">
        <f>IF(A1673="",0,IF(AND(OR('CSV抽出'!$C$4="",A1673&gt;='CSV抽出'!$C$4),OR('CSV抽出'!$C$5="",A1673&lt;='CSV抽出'!$C$5),OR('CSV抽出'!$C$6="すべて",'CSV抽出'!$C$6="",D1673='CSV抽出'!$C$6),OR('CSV抽出'!$C$7="",B1673&amp;""='CSV抽出'!$C$7&amp;"")),1,0))</f>
        <v/>
      </c>
      <c r="AI1673" s="20">
        <f>IF(AH1673=1,SUM($AH$5:AH1673),"")</f>
        <v/>
      </c>
      <c r="AJ1673" s="20">
        <f>IF(OR(S1673="",'報告書'!$C$4=""),"",IF(S1673&amp;""='報告書'!$C$4&amp;"",COUNTIF($S$5:S1673,'報告書'!$C$4),""))</f>
        <v/>
      </c>
      <c r="AK1673" s="20" t="n"/>
      <c r="AL1673" s="47" t="n"/>
      <c r="AM1673" s="47" t="n"/>
      <c r="AN1673" s="53" t="n"/>
      <c r="AO1673" s="47" t="n"/>
      <c r="AP1673" s="47" t="n"/>
      <c r="AQ1673" s="47" t="n"/>
      <c r="AR1673" s="47" t="n"/>
      <c r="AS1673" s="47" t="n"/>
      <c r="AT1673" s="47" t="n"/>
      <c r="AU1673" s="47" t="n"/>
      <c r="AV1673" s="47" t="n"/>
      <c r="AW1673" s="52" t="n"/>
    </row>
    <row r="1674">
      <c r="A1674" s="48" t="n"/>
      <c r="B1674" s="52" t="n"/>
      <c r="C1674" s="47">
        <f>IF(B1674="","",IFERROR(INDEX('隊員マスタ'!$B$5:$B$204,MATCH(B1674&amp;"",'隊員マスタ'!$F$5:$F$204,0)),IF(AK1674="","番号なし",AK1674)))</f>
        <v/>
      </c>
      <c r="D1674" s="47" t="n"/>
      <c r="E1674" s="47" t="n"/>
      <c r="F1674" s="47" t="n"/>
      <c r="G1674" s="47" t="n"/>
      <c r="H1674" s="47" t="n"/>
      <c r="I1674" s="47" t="n"/>
      <c r="J1674" s="47" t="n"/>
      <c r="K1674" s="47" t="n"/>
      <c r="L1674" s="47" t="n"/>
      <c r="M1674" s="47" t="n"/>
      <c r="N1674" s="47" t="n"/>
      <c r="O1674" s="47" t="n"/>
      <c r="P1674" s="47" t="n"/>
      <c r="Q1674" s="47" t="n"/>
      <c r="R1674" s="47" t="n"/>
      <c r="S1674" s="47" t="n"/>
      <c r="T1674" s="47" t="n"/>
      <c r="U1674" s="53" t="n"/>
      <c r="V1674" s="53" t="n"/>
      <c r="W1674" s="47" t="n"/>
      <c r="X1674" s="47" t="n"/>
      <c r="Y1674" s="47" t="n"/>
      <c r="Z1674" s="47" t="n"/>
      <c r="AA1674" s="47" t="n"/>
      <c r="AB1674" s="47" t="n"/>
      <c r="AC1674" s="47" t="n"/>
      <c r="AD1674" s="47" t="n"/>
      <c r="AE1674" s="47" t="n"/>
      <c r="AF1674" s="20">
        <f>IF(A1674="","",YEAR(EDATE(A1674,-3)))</f>
        <v/>
      </c>
      <c r="AG1674" s="20">
        <f>IF(OR(B1674="",'経歴簿'!$C$4=""),"",IF(B1674&amp;""='経歴簿'!$C$4&amp;"",MAX($AG$4:AG1673)+1,""))</f>
        <v/>
      </c>
      <c r="AH1674" s="20">
        <f>IF(A1674="",0,IF(AND(OR('CSV抽出'!$C$4="",A1674&gt;='CSV抽出'!$C$4),OR('CSV抽出'!$C$5="",A1674&lt;='CSV抽出'!$C$5),OR('CSV抽出'!$C$6="すべて",'CSV抽出'!$C$6="",D1674='CSV抽出'!$C$6),OR('CSV抽出'!$C$7="",B1674&amp;""='CSV抽出'!$C$7&amp;"")),1,0))</f>
        <v/>
      </c>
      <c r="AI1674" s="20">
        <f>IF(AH1674=1,SUM($AH$5:AH1674),"")</f>
        <v/>
      </c>
      <c r="AJ1674" s="20">
        <f>IF(OR(S1674="",'報告書'!$C$4=""),"",IF(S1674&amp;""='報告書'!$C$4&amp;"",COUNTIF($S$5:S1674,'報告書'!$C$4),""))</f>
        <v/>
      </c>
      <c r="AK1674" s="20" t="n"/>
      <c r="AL1674" s="47" t="n"/>
      <c r="AM1674" s="47" t="n"/>
      <c r="AN1674" s="53" t="n"/>
      <c r="AO1674" s="47" t="n"/>
      <c r="AP1674" s="47" t="n"/>
      <c r="AQ1674" s="47" t="n"/>
      <c r="AR1674" s="47" t="n"/>
      <c r="AS1674" s="47" t="n"/>
      <c r="AT1674" s="47" t="n"/>
      <c r="AU1674" s="47" t="n"/>
      <c r="AV1674" s="47" t="n"/>
      <c r="AW1674" s="52" t="n"/>
    </row>
    <row r="1675">
      <c r="A1675" s="48" t="n"/>
      <c r="B1675" s="52" t="n"/>
      <c r="C1675" s="47">
        <f>IF(B1675="","",IFERROR(INDEX('隊員マスタ'!$B$5:$B$204,MATCH(B1675&amp;"",'隊員マスタ'!$F$5:$F$204,0)),IF(AK1675="","番号なし",AK1675)))</f>
        <v/>
      </c>
      <c r="D1675" s="47" t="n"/>
      <c r="E1675" s="47" t="n"/>
      <c r="F1675" s="47" t="n"/>
      <c r="G1675" s="47" t="n"/>
      <c r="H1675" s="47" t="n"/>
      <c r="I1675" s="47" t="n"/>
      <c r="J1675" s="47" t="n"/>
      <c r="K1675" s="47" t="n"/>
      <c r="L1675" s="47" t="n"/>
      <c r="M1675" s="47" t="n"/>
      <c r="N1675" s="47" t="n"/>
      <c r="O1675" s="47" t="n"/>
      <c r="P1675" s="47" t="n"/>
      <c r="Q1675" s="47" t="n"/>
      <c r="R1675" s="47" t="n"/>
      <c r="S1675" s="47" t="n"/>
      <c r="T1675" s="47" t="n"/>
      <c r="U1675" s="53" t="n"/>
      <c r="V1675" s="53" t="n"/>
      <c r="W1675" s="47" t="n"/>
      <c r="X1675" s="47" t="n"/>
      <c r="Y1675" s="47" t="n"/>
      <c r="Z1675" s="47" t="n"/>
      <c r="AA1675" s="47" t="n"/>
      <c r="AB1675" s="47" t="n"/>
      <c r="AC1675" s="47" t="n"/>
      <c r="AD1675" s="47" t="n"/>
      <c r="AE1675" s="47" t="n"/>
      <c r="AF1675" s="20">
        <f>IF(A1675="","",YEAR(EDATE(A1675,-3)))</f>
        <v/>
      </c>
      <c r="AG1675" s="20">
        <f>IF(OR(B1675="",'経歴簿'!$C$4=""),"",IF(B1675&amp;""='経歴簿'!$C$4&amp;"",MAX($AG$4:AG1674)+1,""))</f>
        <v/>
      </c>
      <c r="AH1675" s="20">
        <f>IF(A1675="",0,IF(AND(OR('CSV抽出'!$C$4="",A1675&gt;='CSV抽出'!$C$4),OR('CSV抽出'!$C$5="",A1675&lt;='CSV抽出'!$C$5),OR('CSV抽出'!$C$6="すべて",'CSV抽出'!$C$6="",D1675='CSV抽出'!$C$6),OR('CSV抽出'!$C$7="",B1675&amp;""='CSV抽出'!$C$7&amp;"")),1,0))</f>
        <v/>
      </c>
      <c r="AI1675" s="20">
        <f>IF(AH1675=1,SUM($AH$5:AH1675),"")</f>
        <v/>
      </c>
      <c r="AJ1675" s="20">
        <f>IF(OR(S1675="",'報告書'!$C$4=""),"",IF(S1675&amp;""='報告書'!$C$4&amp;"",COUNTIF($S$5:S1675,'報告書'!$C$4),""))</f>
        <v/>
      </c>
      <c r="AK1675" s="20" t="n"/>
      <c r="AL1675" s="47" t="n"/>
      <c r="AM1675" s="47" t="n"/>
      <c r="AN1675" s="53" t="n"/>
      <c r="AO1675" s="47" t="n"/>
      <c r="AP1675" s="47" t="n"/>
      <c r="AQ1675" s="47" t="n"/>
      <c r="AR1675" s="47" t="n"/>
      <c r="AS1675" s="47" t="n"/>
      <c r="AT1675" s="47" t="n"/>
      <c r="AU1675" s="47" t="n"/>
      <c r="AV1675" s="47" t="n"/>
      <c r="AW1675" s="52" t="n"/>
    </row>
    <row r="1676">
      <c r="A1676" s="48" t="n"/>
      <c r="B1676" s="52" t="n"/>
      <c r="C1676" s="47">
        <f>IF(B1676="","",IFERROR(INDEX('隊員マスタ'!$B$5:$B$204,MATCH(B1676&amp;"",'隊員マスタ'!$F$5:$F$204,0)),IF(AK1676="","番号なし",AK1676)))</f>
        <v/>
      </c>
      <c r="D1676" s="47" t="n"/>
      <c r="E1676" s="47" t="n"/>
      <c r="F1676" s="47" t="n"/>
      <c r="G1676" s="47" t="n"/>
      <c r="H1676" s="47" t="n"/>
      <c r="I1676" s="47" t="n"/>
      <c r="J1676" s="47" t="n"/>
      <c r="K1676" s="47" t="n"/>
      <c r="L1676" s="47" t="n"/>
      <c r="M1676" s="47" t="n"/>
      <c r="N1676" s="47" t="n"/>
      <c r="O1676" s="47" t="n"/>
      <c r="P1676" s="47" t="n"/>
      <c r="Q1676" s="47" t="n"/>
      <c r="R1676" s="47" t="n"/>
      <c r="S1676" s="47" t="n"/>
      <c r="T1676" s="47" t="n"/>
      <c r="U1676" s="53" t="n"/>
      <c r="V1676" s="53" t="n"/>
      <c r="W1676" s="47" t="n"/>
      <c r="X1676" s="47" t="n"/>
      <c r="Y1676" s="47" t="n"/>
      <c r="Z1676" s="47" t="n"/>
      <c r="AA1676" s="47" t="n"/>
      <c r="AB1676" s="47" t="n"/>
      <c r="AC1676" s="47" t="n"/>
      <c r="AD1676" s="47" t="n"/>
      <c r="AE1676" s="47" t="n"/>
      <c r="AF1676" s="20">
        <f>IF(A1676="","",YEAR(EDATE(A1676,-3)))</f>
        <v/>
      </c>
      <c r="AG1676" s="20">
        <f>IF(OR(B1676="",'経歴簿'!$C$4=""),"",IF(B1676&amp;""='経歴簿'!$C$4&amp;"",MAX($AG$4:AG1675)+1,""))</f>
        <v/>
      </c>
      <c r="AH1676" s="20">
        <f>IF(A1676="",0,IF(AND(OR('CSV抽出'!$C$4="",A1676&gt;='CSV抽出'!$C$4),OR('CSV抽出'!$C$5="",A1676&lt;='CSV抽出'!$C$5),OR('CSV抽出'!$C$6="すべて",'CSV抽出'!$C$6="",D1676='CSV抽出'!$C$6),OR('CSV抽出'!$C$7="",B1676&amp;""='CSV抽出'!$C$7&amp;"")),1,0))</f>
        <v/>
      </c>
      <c r="AI1676" s="20">
        <f>IF(AH1676=1,SUM($AH$5:AH1676),"")</f>
        <v/>
      </c>
      <c r="AJ1676" s="20">
        <f>IF(OR(S1676="",'報告書'!$C$4=""),"",IF(S1676&amp;""='報告書'!$C$4&amp;"",COUNTIF($S$5:S1676,'報告書'!$C$4),""))</f>
        <v/>
      </c>
      <c r="AK1676" s="20" t="n"/>
      <c r="AL1676" s="47" t="n"/>
      <c r="AM1676" s="47" t="n"/>
      <c r="AN1676" s="53" t="n"/>
      <c r="AO1676" s="47" t="n"/>
      <c r="AP1676" s="47" t="n"/>
      <c r="AQ1676" s="47" t="n"/>
      <c r="AR1676" s="47" t="n"/>
      <c r="AS1676" s="47" t="n"/>
      <c r="AT1676" s="47" t="n"/>
      <c r="AU1676" s="47" t="n"/>
      <c r="AV1676" s="47" t="n"/>
      <c r="AW1676" s="52" t="n"/>
    </row>
    <row r="1677">
      <c r="A1677" s="48" t="n"/>
      <c r="B1677" s="52" t="n"/>
      <c r="C1677" s="47">
        <f>IF(B1677="","",IFERROR(INDEX('隊員マスタ'!$B$5:$B$204,MATCH(B1677&amp;"",'隊員マスタ'!$F$5:$F$204,0)),IF(AK1677="","番号なし",AK1677)))</f>
        <v/>
      </c>
      <c r="D1677" s="47" t="n"/>
      <c r="E1677" s="47" t="n"/>
      <c r="F1677" s="47" t="n"/>
      <c r="G1677" s="47" t="n"/>
      <c r="H1677" s="47" t="n"/>
      <c r="I1677" s="47" t="n"/>
      <c r="J1677" s="47" t="n"/>
      <c r="K1677" s="47" t="n"/>
      <c r="L1677" s="47" t="n"/>
      <c r="M1677" s="47" t="n"/>
      <c r="N1677" s="47" t="n"/>
      <c r="O1677" s="47" t="n"/>
      <c r="P1677" s="47" t="n"/>
      <c r="Q1677" s="47" t="n"/>
      <c r="R1677" s="47" t="n"/>
      <c r="S1677" s="47" t="n"/>
      <c r="T1677" s="47" t="n"/>
      <c r="U1677" s="53" t="n"/>
      <c r="V1677" s="53" t="n"/>
      <c r="W1677" s="47" t="n"/>
      <c r="X1677" s="47" t="n"/>
      <c r="Y1677" s="47" t="n"/>
      <c r="Z1677" s="47" t="n"/>
      <c r="AA1677" s="47" t="n"/>
      <c r="AB1677" s="47" t="n"/>
      <c r="AC1677" s="47" t="n"/>
      <c r="AD1677" s="47" t="n"/>
      <c r="AE1677" s="47" t="n"/>
      <c r="AF1677" s="20">
        <f>IF(A1677="","",YEAR(EDATE(A1677,-3)))</f>
        <v/>
      </c>
      <c r="AG1677" s="20">
        <f>IF(OR(B1677="",'経歴簿'!$C$4=""),"",IF(B1677&amp;""='経歴簿'!$C$4&amp;"",MAX($AG$4:AG1676)+1,""))</f>
        <v/>
      </c>
      <c r="AH1677" s="20">
        <f>IF(A1677="",0,IF(AND(OR('CSV抽出'!$C$4="",A1677&gt;='CSV抽出'!$C$4),OR('CSV抽出'!$C$5="",A1677&lt;='CSV抽出'!$C$5),OR('CSV抽出'!$C$6="すべて",'CSV抽出'!$C$6="",D1677='CSV抽出'!$C$6),OR('CSV抽出'!$C$7="",B1677&amp;""='CSV抽出'!$C$7&amp;"")),1,0))</f>
        <v/>
      </c>
      <c r="AI1677" s="20">
        <f>IF(AH1677=1,SUM($AH$5:AH1677),"")</f>
        <v/>
      </c>
      <c r="AJ1677" s="20">
        <f>IF(OR(S1677="",'報告書'!$C$4=""),"",IF(S1677&amp;""='報告書'!$C$4&amp;"",COUNTIF($S$5:S1677,'報告書'!$C$4),""))</f>
        <v/>
      </c>
      <c r="AK1677" s="20" t="n"/>
      <c r="AL1677" s="47" t="n"/>
      <c r="AM1677" s="47" t="n"/>
      <c r="AN1677" s="53" t="n"/>
      <c r="AO1677" s="47" t="n"/>
      <c r="AP1677" s="47" t="n"/>
      <c r="AQ1677" s="47" t="n"/>
      <c r="AR1677" s="47" t="n"/>
      <c r="AS1677" s="47" t="n"/>
      <c r="AT1677" s="47" t="n"/>
      <c r="AU1677" s="47" t="n"/>
      <c r="AV1677" s="47" t="n"/>
      <c r="AW1677" s="52" t="n"/>
    </row>
    <row r="1678">
      <c r="A1678" s="48" t="n"/>
      <c r="B1678" s="52" t="n"/>
      <c r="C1678" s="47">
        <f>IF(B1678="","",IFERROR(INDEX('隊員マスタ'!$B$5:$B$204,MATCH(B1678&amp;"",'隊員マスタ'!$F$5:$F$204,0)),IF(AK1678="","番号なし",AK1678)))</f>
        <v/>
      </c>
      <c r="D1678" s="47" t="n"/>
      <c r="E1678" s="47" t="n"/>
      <c r="F1678" s="47" t="n"/>
      <c r="G1678" s="47" t="n"/>
      <c r="H1678" s="47" t="n"/>
      <c r="I1678" s="47" t="n"/>
      <c r="J1678" s="47" t="n"/>
      <c r="K1678" s="47" t="n"/>
      <c r="L1678" s="47" t="n"/>
      <c r="M1678" s="47" t="n"/>
      <c r="N1678" s="47" t="n"/>
      <c r="O1678" s="47" t="n"/>
      <c r="P1678" s="47" t="n"/>
      <c r="Q1678" s="47" t="n"/>
      <c r="R1678" s="47" t="n"/>
      <c r="S1678" s="47" t="n"/>
      <c r="T1678" s="47" t="n"/>
      <c r="U1678" s="53" t="n"/>
      <c r="V1678" s="53" t="n"/>
      <c r="W1678" s="47" t="n"/>
      <c r="X1678" s="47" t="n"/>
      <c r="Y1678" s="47" t="n"/>
      <c r="Z1678" s="47" t="n"/>
      <c r="AA1678" s="47" t="n"/>
      <c r="AB1678" s="47" t="n"/>
      <c r="AC1678" s="47" t="n"/>
      <c r="AD1678" s="47" t="n"/>
      <c r="AE1678" s="47" t="n"/>
      <c r="AF1678" s="20">
        <f>IF(A1678="","",YEAR(EDATE(A1678,-3)))</f>
        <v/>
      </c>
      <c r="AG1678" s="20">
        <f>IF(OR(B1678="",'経歴簿'!$C$4=""),"",IF(B1678&amp;""='経歴簿'!$C$4&amp;"",MAX($AG$4:AG1677)+1,""))</f>
        <v/>
      </c>
      <c r="AH1678" s="20">
        <f>IF(A1678="",0,IF(AND(OR('CSV抽出'!$C$4="",A1678&gt;='CSV抽出'!$C$4),OR('CSV抽出'!$C$5="",A1678&lt;='CSV抽出'!$C$5),OR('CSV抽出'!$C$6="すべて",'CSV抽出'!$C$6="",D1678='CSV抽出'!$C$6),OR('CSV抽出'!$C$7="",B1678&amp;""='CSV抽出'!$C$7&amp;"")),1,0))</f>
        <v/>
      </c>
      <c r="AI1678" s="20">
        <f>IF(AH1678=1,SUM($AH$5:AH1678),"")</f>
        <v/>
      </c>
      <c r="AJ1678" s="20">
        <f>IF(OR(S1678="",'報告書'!$C$4=""),"",IF(S1678&amp;""='報告書'!$C$4&amp;"",COUNTIF($S$5:S1678,'報告書'!$C$4),""))</f>
        <v/>
      </c>
      <c r="AK1678" s="20" t="n"/>
      <c r="AL1678" s="47" t="n"/>
      <c r="AM1678" s="47" t="n"/>
      <c r="AN1678" s="53" t="n"/>
      <c r="AO1678" s="47" t="n"/>
      <c r="AP1678" s="47" t="n"/>
      <c r="AQ1678" s="47" t="n"/>
      <c r="AR1678" s="47" t="n"/>
      <c r="AS1678" s="47" t="n"/>
      <c r="AT1678" s="47" t="n"/>
      <c r="AU1678" s="47" t="n"/>
      <c r="AV1678" s="47" t="n"/>
      <c r="AW1678" s="52" t="n"/>
    </row>
    <row r="1679">
      <c r="A1679" s="48" t="n"/>
      <c r="B1679" s="52" t="n"/>
      <c r="C1679" s="47">
        <f>IF(B1679="","",IFERROR(INDEX('隊員マスタ'!$B$5:$B$204,MATCH(B1679&amp;"",'隊員マスタ'!$F$5:$F$204,0)),IF(AK1679="","番号なし",AK1679)))</f>
        <v/>
      </c>
      <c r="D1679" s="47" t="n"/>
      <c r="E1679" s="47" t="n"/>
      <c r="F1679" s="47" t="n"/>
      <c r="G1679" s="47" t="n"/>
      <c r="H1679" s="47" t="n"/>
      <c r="I1679" s="47" t="n"/>
      <c r="J1679" s="47" t="n"/>
      <c r="K1679" s="47" t="n"/>
      <c r="L1679" s="47" t="n"/>
      <c r="M1679" s="47" t="n"/>
      <c r="N1679" s="47" t="n"/>
      <c r="O1679" s="47" t="n"/>
      <c r="P1679" s="47" t="n"/>
      <c r="Q1679" s="47" t="n"/>
      <c r="R1679" s="47" t="n"/>
      <c r="S1679" s="47" t="n"/>
      <c r="T1679" s="47" t="n"/>
      <c r="U1679" s="53" t="n"/>
      <c r="V1679" s="53" t="n"/>
      <c r="W1679" s="47" t="n"/>
      <c r="X1679" s="47" t="n"/>
      <c r="Y1679" s="47" t="n"/>
      <c r="Z1679" s="47" t="n"/>
      <c r="AA1679" s="47" t="n"/>
      <c r="AB1679" s="47" t="n"/>
      <c r="AC1679" s="47" t="n"/>
      <c r="AD1679" s="47" t="n"/>
      <c r="AE1679" s="47" t="n"/>
      <c r="AF1679" s="20">
        <f>IF(A1679="","",YEAR(EDATE(A1679,-3)))</f>
        <v/>
      </c>
      <c r="AG1679" s="20">
        <f>IF(OR(B1679="",'経歴簿'!$C$4=""),"",IF(B1679&amp;""='経歴簿'!$C$4&amp;"",MAX($AG$4:AG1678)+1,""))</f>
        <v/>
      </c>
      <c r="AH1679" s="20">
        <f>IF(A1679="",0,IF(AND(OR('CSV抽出'!$C$4="",A1679&gt;='CSV抽出'!$C$4),OR('CSV抽出'!$C$5="",A1679&lt;='CSV抽出'!$C$5),OR('CSV抽出'!$C$6="すべて",'CSV抽出'!$C$6="",D1679='CSV抽出'!$C$6),OR('CSV抽出'!$C$7="",B1679&amp;""='CSV抽出'!$C$7&amp;"")),1,0))</f>
        <v/>
      </c>
      <c r="AI1679" s="20">
        <f>IF(AH1679=1,SUM($AH$5:AH1679),"")</f>
        <v/>
      </c>
      <c r="AJ1679" s="20">
        <f>IF(OR(S1679="",'報告書'!$C$4=""),"",IF(S1679&amp;""='報告書'!$C$4&amp;"",COUNTIF($S$5:S1679,'報告書'!$C$4),""))</f>
        <v/>
      </c>
      <c r="AK1679" s="20" t="n"/>
      <c r="AL1679" s="47" t="n"/>
      <c r="AM1679" s="47" t="n"/>
      <c r="AN1679" s="53" t="n"/>
      <c r="AO1679" s="47" t="n"/>
      <c r="AP1679" s="47" t="n"/>
      <c r="AQ1679" s="47" t="n"/>
      <c r="AR1679" s="47" t="n"/>
      <c r="AS1679" s="47" t="n"/>
      <c r="AT1679" s="47" t="n"/>
      <c r="AU1679" s="47" t="n"/>
      <c r="AV1679" s="47" t="n"/>
      <c r="AW1679" s="52" t="n"/>
    </row>
    <row r="1680">
      <c r="A1680" s="48" t="n"/>
      <c r="B1680" s="52" t="n"/>
      <c r="C1680" s="47">
        <f>IF(B1680="","",IFERROR(INDEX('隊員マスタ'!$B$5:$B$204,MATCH(B1680&amp;"",'隊員マスタ'!$F$5:$F$204,0)),IF(AK1680="","番号なし",AK1680)))</f>
        <v/>
      </c>
      <c r="D1680" s="47" t="n"/>
      <c r="E1680" s="47" t="n"/>
      <c r="F1680" s="47" t="n"/>
      <c r="G1680" s="47" t="n"/>
      <c r="H1680" s="47" t="n"/>
      <c r="I1680" s="47" t="n"/>
      <c r="J1680" s="47" t="n"/>
      <c r="K1680" s="47" t="n"/>
      <c r="L1680" s="47" t="n"/>
      <c r="M1680" s="47" t="n"/>
      <c r="N1680" s="47" t="n"/>
      <c r="O1680" s="47" t="n"/>
      <c r="P1680" s="47" t="n"/>
      <c r="Q1680" s="47" t="n"/>
      <c r="R1680" s="47" t="n"/>
      <c r="S1680" s="47" t="n"/>
      <c r="T1680" s="47" t="n"/>
      <c r="U1680" s="53" t="n"/>
      <c r="V1680" s="53" t="n"/>
      <c r="W1680" s="47" t="n"/>
      <c r="X1680" s="47" t="n"/>
      <c r="Y1680" s="47" t="n"/>
      <c r="Z1680" s="47" t="n"/>
      <c r="AA1680" s="47" t="n"/>
      <c r="AB1680" s="47" t="n"/>
      <c r="AC1680" s="47" t="n"/>
      <c r="AD1680" s="47" t="n"/>
      <c r="AE1680" s="47" t="n"/>
      <c r="AF1680" s="20">
        <f>IF(A1680="","",YEAR(EDATE(A1680,-3)))</f>
        <v/>
      </c>
      <c r="AG1680" s="20">
        <f>IF(OR(B1680="",'経歴簿'!$C$4=""),"",IF(B1680&amp;""='経歴簿'!$C$4&amp;"",MAX($AG$4:AG1679)+1,""))</f>
        <v/>
      </c>
      <c r="AH1680" s="20">
        <f>IF(A1680="",0,IF(AND(OR('CSV抽出'!$C$4="",A1680&gt;='CSV抽出'!$C$4),OR('CSV抽出'!$C$5="",A1680&lt;='CSV抽出'!$C$5),OR('CSV抽出'!$C$6="すべて",'CSV抽出'!$C$6="",D1680='CSV抽出'!$C$6),OR('CSV抽出'!$C$7="",B1680&amp;""='CSV抽出'!$C$7&amp;"")),1,0))</f>
        <v/>
      </c>
      <c r="AI1680" s="20">
        <f>IF(AH1680=1,SUM($AH$5:AH1680),"")</f>
        <v/>
      </c>
      <c r="AJ1680" s="20">
        <f>IF(OR(S1680="",'報告書'!$C$4=""),"",IF(S1680&amp;""='報告書'!$C$4&amp;"",COUNTIF($S$5:S1680,'報告書'!$C$4),""))</f>
        <v/>
      </c>
      <c r="AK1680" s="20" t="n"/>
      <c r="AL1680" s="47" t="n"/>
      <c r="AM1680" s="47" t="n"/>
      <c r="AN1680" s="53" t="n"/>
      <c r="AO1680" s="47" t="n"/>
      <c r="AP1680" s="47" t="n"/>
      <c r="AQ1680" s="47" t="n"/>
      <c r="AR1680" s="47" t="n"/>
      <c r="AS1680" s="47" t="n"/>
      <c r="AT1680" s="47" t="n"/>
      <c r="AU1680" s="47" t="n"/>
      <c r="AV1680" s="47" t="n"/>
      <c r="AW1680" s="52" t="n"/>
    </row>
    <row r="1681">
      <c r="A1681" s="48" t="n"/>
      <c r="B1681" s="52" t="n"/>
      <c r="C1681" s="47">
        <f>IF(B1681="","",IFERROR(INDEX('隊員マスタ'!$B$5:$B$204,MATCH(B1681&amp;"",'隊員マスタ'!$F$5:$F$204,0)),IF(AK1681="","番号なし",AK1681)))</f>
        <v/>
      </c>
      <c r="D1681" s="47" t="n"/>
      <c r="E1681" s="47" t="n"/>
      <c r="F1681" s="47" t="n"/>
      <c r="G1681" s="47" t="n"/>
      <c r="H1681" s="47" t="n"/>
      <c r="I1681" s="47" t="n"/>
      <c r="J1681" s="47" t="n"/>
      <c r="K1681" s="47" t="n"/>
      <c r="L1681" s="47" t="n"/>
      <c r="M1681" s="47" t="n"/>
      <c r="N1681" s="47" t="n"/>
      <c r="O1681" s="47" t="n"/>
      <c r="P1681" s="47" t="n"/>
      <c r="Q1681" s="47" t="n"/>
      <c r="R1681" s="47" t="n"/>
      <c r="S1681" s="47" t="n"/>
      <c r="T1681" s="47" t="n"/>
      <c r="U1681" s="53" t="n"/>
      <c r="V1681" s="53" t="n"/>
      <c r="W1681" s="47" t="n"/>
      <c r="X1681" s="47" t="n"/>
      <c r="Y1681" s="47" t="n"/>
      <c r="Z1681" s="47" t="n"/>
      <c r="AA1681" s="47" t="n"/>
      <c r="AB1681" s="47" t="n"/>
      <c r="AC1681" s="47" t="n"/>
      <c r="AD1681" s="47" t="n"/>
      <c r="AE1681" s="47" t="n"/>
      <c r="AF1681" s="20">
        <f>IF(A1681="","",YEAR(EDATE(A1681,-3)))</f>
        <v/>
      </c>
      <c r="AG1681" s="20">
        <f>IF(OR(B1681="",'経歴簿'!$C$4=""),"",IF(B1681&amp;""='経歴簿'!$C$4&amp;"",MAX($AG$4:AG1680)+1,""))</f>
        <v/>
      </c>
      <c r="AH1681" s="20">
        <f>IF(A1681="",0,IF(AND(OR('CSV抽出'!$C$4="",A1681&gt;='CSV抽出'!$C$4),OR('CSV抽出'!$C$5="",A1681&lt;='CSV抽出'!$C$5),OR('CSV抽出'!$C$6="すべて",'CSV抽出'!$C$6="",D1681='CSV抽出'!$C$6),OR('CSV抽出'!$C$7="",B1681&amp;""='CSV抽出'!$C$7&amp;"")),1,0))</f>
        <v/>
      </c>
      <c r="AI1681" s="20">
        <f>IF(AH1681=1,SUM($AH$5:AH1681),"")</f>
        <v/>
      </c>
      <c r="AJ1681" s="20">
        <f>IF(OR(S1681="",'報告書'!$C$4=""),"",IF(S1681&amp;""='報告書'!$C$4&amp;"",COUNTIF($S$5:S1681,'報告書'!$C$4),""))</f>
        <v/>
      </c>
      <c r="AK1681" s="20" t="n"/>
      <c r="AL1681" s="47" t="n"/>
      <c r="AM1681" s="47" t="n"/>
      <c r="AN1681" s="53" t="n"/>
      <c r="AO1681" s="47" t="n"/>
      <c r="AP1681" s="47" t="n"/>
      <c r="AQ1681" s="47" t="n"/>
      <c r="AR1681" s="47" t="n"/>
      <c r="AS1681" s="47" t="n"/>
      <c r="AT1681" s="47" t="n"/>
      <c r="AU1681" s="47" t="n"/>
      <c r="AV1681" s="47" t="n"/>
      <c r="AW1681" s="52" t="n"/>
    </row>
    <row r="1682">
      <c r="A1682" s="48" t="n"/>
      <c r="B1682" s="52" t="n"/>
      <c r="C1682" s="47">
        <f>IF(B1682="","",IFERROR(INDEX('隊員マスタ'!$B$5:$B$204,MATCH(B1682&amp;"",'隊員マスタ'!$F$5:$F$204,0)),IF(AK1682="","番号なし",AK1682)))</f>
        <v/>
      </c>
      <c r="D1682" s="47" t="n"/>
      <c r="E1682" s="47" t="n"/>
      <c r="F1682" s="47" t="n"/>
      <c r="G1682" s="47" t="n"/>
      <c r="H1682" s="47" t="n"/>
      <c r="I1682" s="47" t="n"/>
      <c r="J1682" s="47" t="n"/>
      <c r="K1682" s="47" t="n"/>
      <c r="L1682" s="47" t="n"/>
      <c r="M1682" s="47" t="n"/>
      <c r="N1682" s="47" t="n"/>
      <c r="O1682" s="47" t="n"/>
      <c r="P1682" s="47" t="n"/>
      <c r="Q1682" s="47" t="n"/>
      <c r="R1682" s="47" t="n"/>
      <c r="S1682" s="47" t="n"/>
      <c r="T1682" s="47" t="n"/>
      <c r="U1682" s="53" t="n"/>
      <c r="V1682" s="53" t="n"/>
      <c r="W1682" s="47" t="n"/>
      <c r="X1682" s="47" t="n"/>
      <c r="Y1682" s="47" t="n"/>
      <c r="Z1682" s="47" t="n"/>
      <c r="AA1682" s="47" t="n"/>
      <c r="AB1682" s="47" t="n"/>
      <c r="AC1682" s="47" t="n"/>
      <c r="AD1682" s="47" t="n"/>
      <c r="AE1682" s="47" t="n"/>
      <c r="AF1682" s="20">
        <f>IF(A1682="","",YEAR(EDATE(A1682,-3)))</f>
        <v/>
      </c>
      <c r="AG1682" s="20">
        <f>IF(OR(B1682="",'経歴簿'!$C$4=""),"",IF(B1682&amp;""='経歴簿'!$C$4&amp;"",MAX($AG$4:AG1681)+1,""))</f>
        <v/>
      </c>
      <c r="AH1682" s="20">
        <f>IF(A1682="",0,IF(AND(OR('CSV抽出'!$C$4="",A1682&gt;='CSV抽出'!$C$4),OR('CSV抽出'!$C$5="",A1682&lt;='CSV抽出'!$C$5),OR('CSV抽出'!$C$6="すべて",'CSV抽出'!$C$6="",D1682='CSV抽出'!$C$6),OR('CSV抽出'!$C$7="",B1682&amp;""='CSV抽出'!$C$7&amp;"")),1,0))</f>
        <v/>
      </c>
      <c r="AI1682" s="20">
        <f>IF(AH1682=1,SUM($AH$5:AH1682),"")</f>
        <v/>
      </c>
      <c r="AJ1682" s="20">
        <f>IF(OR(S1682="",'報告書'!$C$4=""),"",IF(S1682&amp;""='報告書'!$C$4&amp;"",COUNTIF($S$5:S1682,'報告書'!$C$4),""))</f>
        <v/>
      </c>
      <c r="AK1682" s="20" t="n"/>
      <c r="AL1682" s="47" t="n"/>
      <c r="AM1682" s="47" t="n"/>
      <c r="AN1682" s="53" t="n"/>
      <c r="AO1682" s="47" t="n"/>
      <c r="AP1682" s="47" t="n"/>
      <c r="AQ1682" s="47" t="n"/>
      <c r="AR1682" s="47" t="n"/>
      <c r="AS1682" s="47" t="n"/>
      <c r="AT1682" s="47" t="n"/>
      <c r="AU1682" s="47" t="n"/>
      <c r="AV1682" s="47" t="n"/>
      <c r="AW1682" s="52" t="n"/>
    </row>
    <row r="1683">
      <c r="A1683" s="48" t="n"/>
      <c r="B1683" s="52" t="n"/>
      <c r="C1683" s="47">
        <f>IF(B1683="","",IFERROR(INDEX('隊員マスタ'!$B$5:$B$204,MATCH(B1683&amp;"",'隊員マスタ'!$F$5:$F$204,0)),IF(AK1683="","番号なし",AK1683)))</f>
        <v/>
      </c>
      <c r="D1683" s="47" t="n"/>
      <c r="E1683" s="47" t="n"/>
      <c r="F1683" s="47" t="n"/>
      <c r="G1683" s="47" t="n"/>
      <c r="H1683" s="47" t="n"/>
      <c r="I1683" s="47" t="n"/>
      <c r="J1683" s="47" t="n"/>
      <c r="K1683" s="47" t="n"/>
      <c r="L1683" s="47" t="n"/>
      <c r="M1683" s="47" t="n"/>
      <c r="N1683" s="47" t="n"/>
      <c r="O1683" s="47" t="n"/>
      <c r="P1683" s="47" t="n"/>
      <c r="Q1683" s="47" t="n"/>
      <c r="R1683" s="47" t="n"/>
      <c r="S1683" s="47" t="n"/>
      <c r="T1683" s="47" t="n"/>
      <c r="U1683" s="53" t="n"/>
      <c r="V1683" s="53" t="n"/>
      <c r="W1683" s="47" t="n"/>
      <c r="X1683" s="47" t="n"/>
      <c r="Y1683" s="47" t="n"/>
      <c r="Z1683" s="47" t="n"/>
      <c r="AA1683" s="47" t="n"/>
      <c r="AB1683" s="47" t="n"/>
      <c r="AC1683" s="47" t="n"/>
      <c r="AD1683" s="47" t="n"/>
      <c r="AE1683" s="47" t="n"/>
      <c r="AF1683" s="20">
        <f>IF(A1683="","",YEAR(EDATE(A1683,-3)))</f>
        <v/>
      </c>
      <c r="AG1683" s="20">
        <f>IF(OR(B1683="",'経歴簿'!$C$4=""),"",IF(B1683&amp;""='経歴簿'!$C$4&amp;"",MAX($AG$4:AG1682)+1,""))</f>
        <v/>
      </c>
      <c r="AH1683" s="20">
        <f>IF(A1683="",0,IF(AND(OR('CSV抽出'!$C$4="",A1683&gt;='CSV抽出'!$C$4),OR('CSV抽出'!$C$5="",A1683&lt;='CSV抽出'!$C$5),OR('CSV抽出'!$C$6="すべて",'CSV抽出'!$C$6="",D1683='CSV抽出'!$C$6),OR('CSV抽出'!$C$7="",B1683&amp;""='CSV抽出'!$C$7&amp;"")),1,0))</f>
        <v/>
      </c>
      <c r="AI1683" s="20">
        <f>IF(AH1683=1,SUM($AH$5:AH1683),"")</f>
        <v/>
      </c>
      <c r="AJ1683" s="20">
        <f>IF(OR(S1683="",'報告書'!$C$4=""),"",IF(S1683&amp;""='報告書'!$C$4&amp;"",COUNTIF($S$5:S1683,'報告書'!$C$4),""))</f>
        <v/>
      </c>
      <c r="AK1683" s="20" t="n"/>
      <c r="AL1683" s="47" t="n"/>
      <c r="AM1683" s="47" t="n"/>
      <c r="AN1683" s="53" t="n"/>
      <c r="AO1683" s="47" t="n"/>
      <c r="AP1683" s="47" t="n"/>
      <c r="AQ1683" s="47" t="n"/>
      <c r="AR1683" s="47" t="n"/>
      <c r="AS1683" s="47" t="n"/>
      <c r="AT1683" s="47" t="n"/>
      <c r="AU1683" s="47" t="n"/>
      <c r="AV1683" s="47" t="n"/>
      <c r="AW1683" s="52" t="n"/>
    </row>
    <row r="1684">
      <c r="A1684" s="48" t="n"/>
      <c r="B1684" s="52" t="n"/>
      <c r="C1684" s="47">
        <f>IF(B1684="","",IFERROR(INDEX('隊員マスタ'!$B$5:$B$204,MATCH(B1684&amp;"",'隊員マスタ'!$F$5:$F$204,0)),IF(AK1684="","番号なし",AK1684)))</f>
        <v/>
      </c>
      <c r="D1684" s="47" t="n"/>
      <c r="E1684" s="47" t="n"/>
      <c r="F1684" s="47" t="n"/>
      <c r="G1684" s="47" t="n"/>
      <c r="H1684" s="47" t="n"/>
      <c r="I1684" s="47" t="n"/>
      <c r="J1684" s="47" t="n"/>
      <c r="K1684" s="47" t="n"/>
      <c r="L1684" s="47" t="n"/>
      <c r="M1684" s="47" t="n"/>
      <c r="N1684" s="47" t="n"/>
      <c r="O1684" s="47" t="n"/>
      <c r="P1684" s="47" t="n"/>
      <c r="Q1684" s="47" t="n"/>
      <c r="R1684" s="47" t="n"/>
      <c r="S1684" s="47" t="n"/>
      <c r="T1684" s="47" t="n"/>
      <c r="U1684" s="53" t="n"/>
      <c r="V1684" s="53" t="n"/>
      <c r="W1684" s="47" t="n"/>
      <c r="X1684" s="47" t="n"/>
      <c r="Y1684" s="47" t="n"/>
      <c r="Z1684" s="47" t="n"/>
      <c r="AA1684" s="47" t="n"/>
      <c r="AB1684" s="47" t="n"/>
      <c r="AC1684" s="47" t="n"/>
      <c r="AD1684" s="47" t="n"/>
      <c r="AE1684" s="47" t="n"/>
      <c r="AF1684" s="20">
        <f>IF(A1684="","",YEAR(EDATE(A1684,-3)))</f>
        <v/>
      </c>
      <c r="AG1684" s="20">
        <f>IF(OR(B1684="",'経歴簿'!$C$4=""),"",IF(B1684&amp;""='経歴簿'!$C$4&amp;"",MAX($AG$4:AG1683)+1,""))</f>
        <v/>
      </c>
      <c r="AH1684" s="20">
        <f>IF(A1684="",0,IF(AND(OR('CSV抽出'!$C$4="",A1684&gt;='CSV抽出'!$C$4),OR('CSV抽出'!$C$5="",A1684&lt;='CSV抽出'!$C$5),OR('CSV抽出'!$C$6="すべて",'CSV抽出'!$C$6="",D1684='CSV抽出'!$C$6),OR('CSV抽出'!$C$7="",B1684&amp;""='CSV抽出'!$C$7&amp;"")),1,0))</f>
        <v/>
      </c>
      <c r="AI1684" s="20">
        <f>IF(AH1684=1,SUM($AH$5:AH1684),"")</f>
        <v/>
      </c>
      <c r="AJ1684" s="20">
        <f>IF(OR(S1684="",'報告書'!$C$4=""),"",IF(S1684&amp;""='報告書'!$C$4&amp;"",COUNTIF($S$5:S1684,'報告書'!$C$4),""))</f>
        <v/>
      </c>
      <c r="AK1684" s="20" t="n"/>
      <c r="AL1684" s="47" t="n"/>
      <c r="AM1684" s="47" t="n"/>
      <c r="AN1684" s="53" t="n"/>
      <c r="AO1684" s="47" t="n"/>
      <c r="AP1684" s="47" t="n"/>
      <c r="AQ1684" s="47" t="n"/>
      <c r="AR1684" s="47" t="n"/>
      <c r="AS1684" s="47" t="n"/>
      <c r="AT1684" s="47" t="n"/>
      <c r="AU1684" s="47" t="n"/>
      <c r="AV1684" s="47" t="n"/>
      <c r="AW1684" s="52" t="n"/>
    </row>
    <row r="1685">
      <c r="A1685" s="48" t="n"/>
      <c r="B1685" s="52" t="n"/>
      <c r="C1685" s="47">
        <f>IF(B1685="","",IFERROR(INDEX('隊員マスタ'!$B$5:$B$204,MATCH(B1685&amp;"",'隊員マスタ'!$F$5:$F$204,0)),IF(AK1685="","番号なし",AK1685)))</f>
        <v/>
      </c>
      <c r="D1685" s="47" t="n"/>
      <c r="E1685" s="47" t="n"/>
      <c r="F1685" s="47" t="n"/>
      <c r="G1685" s="47" t="n"/>
      <c r="H1685" s="47" t="n"/>
      <c r="I1685" s="47" t="n"/>
      <c r="J1685" s="47" t="n"/>
      <c r="K1685" s="47" t="n"/>
      <c r="L1685" s="47" t="n"/>
      <c r="M1685" s="47" t="n"/>
      <c r="N1685" s="47" t="n"/>
      <c r="O1685" s="47" t="n"/>
      <c r="P1685" s="47" t="n"/>
      <c r="Q1685" s="47" t="n"/>
      <c r="R1685" s="47" t="n"/>
      <c r="S1685" s="47" t="n"/>
      <c r="T1685" s="47" t="n"/>
      <c r="U1685" s="53" t="n"/>
      <c r="V1685" s="53" t="n"/>
      <c r="W1685" s="47" t="n"/>
      <c r="X1685" s="47" t="n"/>
      <c r="Y1685" s="47" t="n"/>
      <c r="Z1685" s="47" t="n"/>
      <c r="AA1685" s="47" t="n"/>
      <c r="AB1685" s="47" t="n"/>
      <c r="AC1685" s="47" t="n"/>
      <c r="AD1685" s="47" t="n"/>
      <c r="AE1685" s="47" t="n"/>
      <c r="AF1685" s="20">
        <f>IF(A1685="","",YEAR(EDATE(A1685,-3)))</f>
        <v/>
      </c>
      <c r="AG1685" s="20">
        <f>IF(OR(B1685="",'経歴簿'!$C$4=""),"",IF(B1685&amp;""='経歴簿'!$C$4&amp;"",MAX($AG$4:AG1684)+1,""))</f>
        <v/>
      </c>
      <c r="AH1685" s="20">
        <f>IF(A1685="",0,IF(AND(OR('CSV抽出'!$C$4="",A1685&gt;='CSV抽出'!$C$4),OR('CSV抽出'!$C$5="",A1685&lt;='CSV抽出'!$C$5),OR('CSV抽出'!$C$6="すべて",'CSV抽出'!$C$6="",D1685='CSV抽出'!$C$6),OR('CSV抽出'!$C$7="",B1685&amp;""='CSV抽出'!$C$7&amp;"")),1,0))</f>
        <v/>
      </c>
      <c r="AI1685" s="20">
        <f>IF(AH1685=1,SUM($AH$5:AH1685),"")</f>
        <v/>
      </c>
      <c r="AJ1685" s="20">
        <f>IF(OR(S1685="",'報告書'!$C$4=""),"",IF(S1685&amp;""='報告書'!$C$4&amp;"",COUNTIF($S$5:S1685,'報告書'!$C$4),""))</f>
        <v/>
      </c>
      <c r="AK1685" s="20" t="n"/>
      <c r="AL1685" s="47" t="n"/>
      <c r="AM1685" s="47" t="n"/>
      <c r="AN1685" s="53" t="n"/>
      <c r="AO1685" s="47" t="n"/>
      <c r="AP1685" s="47" t="n"/>
      <c r="AQ1685" s="47" t="n"/>
      <c r="AR1685" s="47" t="n"/>
      <c r="AS1685" s="47" t="n"/>
      <c r="AT1685" s="47" t="n"/>
      <c r="AU1685" s="47" t="n"/>
      <c r="AV1685" s="47" t="n"/>
      <c r="AW1685" s="52" t="n"/>
    </row>
    <row r="1686">
      <c r="A1686" s="48" t="n"/>
      <c r="B1686" s="52" t="n"/>
      <c r="C1686" s="47">
        <f>IF(B1686="","",IFERROR(INDEX('隊員マスタ'!$B$5:$B$204,MATCH(B1686&amp;"",'隊員マスタ'!$F$5:$F$204,0)),IF(AK1686="","番号なし",AK1686)))</f>
        <v/>
      </c>
      <c r="D1686" s="47" t="n"/>
      <c r="E1686" s="47" t="n"/>
      <c r="F1686" s="47" t="n"/>
      <c r="G1686" s="47" t="n"/>
      <c r="H1686" s="47" t="n"/>
      <c r="I1686" s="47" t="n"/>
      <c r="J1686" s="47" t="n"/>
      <c r="K1686" s="47" t="n"/>
      <c r="L1686" s="47" t="n"/>
      <c r="M1686" s="47" t="n"/>
      <c r="N1686" s="47" t="n"/>
      <c r="O1686" s="47" t="n"/>
      <c r="P1686" s="47" t="n"/>
      <c r="Q1686" s="47" t="n"/>
      <c r="R1686" s="47" t="n"/>
      <c r="S1686" s="47" t="n"/>
      <c r="T1686" s="47" t="n"/>
      <c r="U1686" s="53" t="n"/>
      <c r="V1686" s="53" t="n"/>
      <c r="W1686" s="47" t="n"/>
      <c r="X1686" s="47" t="n"/>
      <c r="Y1686" s="47" t="n"/>
      <c r="Z1686" s="47" t="n"/>
      <c r="AA1686" s="47" t="n"/>
      <c r="AB1686" s="47" t="n"/>
      <c r="AC1686" s="47" t="n"/>
      <c r="AD1686" s="47" t="n"/>
      <c r="AE1686" s="47" t="n"/>
      <c r="AF1686" s="20">
        <f>IF(A1686="","",YEAR(EDATE(A1686,-3)))</f>
        <v/>
      </c>
      <c r="AG1686" s="20">
        <f>IF(OR(B1686="",'経歴簿'!$C$4=""),"",IF(B1686&amp;""='経歴簿'!$C$4&amp;"",MAX($AG$4:AG1685)+1,""))</f>
        <v/>
      </c>
      <c r="AH1686" s="20">
        <f>IF(A1686="",0,IF(AND(OR('CSV抽出'!$C$4="",A1686&gt;='CSV抽出'!$C$4),OR('CSV抽出'!$C$5="",A1686&lt;='CSV抽出'!$C$5),OR('CSV抽出'!$C$6="すべて",'CSV抽出'!$C$6="",D1686='CSV抽出'!$C$6),OR('CSV抽出'!$C$7="",B1686&amp;""='CSV抽出'!$C$7&amp;"")),1,0))</f>
        <v/>
      </c>
      <c r="AI1686" s="20">
        <f>IF(AH1686=1,SUM($AH$5:AH1686),"")</f>
        <v/>
      </c>
      <c r="AJ1686" s="20">
        <f>IF(OR(S1686="",'報告書'!$C$4=""),"",IF(S1686&amp;""='報告書'!$C$4&amp;"",COUNTIF($S$5:S1686,'報告書'!$C$4),""))</f>
        <v/>
      </c>
      <c r="AK1686" s="20" t="n"/>
      <c r="AL1686" s="47" t="n"/>
      <c r="AM1686" s="47" t="n"/>
      <c r="AN1686" s="53" t="n"/>
      <c r="AO1686" s="47" t="n"/>
      <c r="AP1686" s="47" t="n"/>
      <c r="AQ1686" s="47" t="n"/>
      <c r="AR1686" s="47" t="n"/>
      <c r="AS1686" s="47" t="n"/>
      <c r="AT1686" s="47" t="n"/>
      <c r="AU1686" s="47" t="n"/>
      <c r="AV1686" s="47" t="n"/>
      <c r="AW1686" s="52" t="n"/>
    </row>
    <row r="1687">
      <c r="A1687" s="48" t="n"/>
      <c r="B1687" s="52" t="n"/>
      <c r="C1687" s="47">
        <f>IF(B1687="","",IFERROR(INDEX('隊員マスタ'!$B$5:$B$204,MATCH(B1687&amp;"",'隊員マスタ'!$F$5:$F$204,0)),IF(AK1687="","番号なし",AK1687)))</f>
        <v/>
      </c>
      <c r="D1687" s="47" t="n"/>
      <c r="E1687" s="47" t="n"/>
      <c r="F1687" s="47" t="n"/>
      <c r="G1687" s="47" t="n"/>
      <c r="H1687" s="47" t="n"/>
      <c r="I1687" s="47" t="n"/>
      <c r="J1687" s="47" t="n"/>
      <c r="K1687" s="47" t="n"/>
      <c r="L1687" s="47" t="n"/>
      <c r="M1687" s="47" t="n"/>
      <c r="N1687" s="47" t="n"/>
      <c r="O1687" s="47" t="n"/>
      <c r="P1687" s="47" t="n"/>
      <c r="Q1687" s="47" t="n"/>
      <c r="R1687" s="47" t="n"/>
      <c r="S1687" s="47" t="n"/>
      <c r="T1687" s="47" t="n"/>
      <c r="U1687" s="53" t="n"/>
      <c r="V1687" s="53" t="n"/>
      <c r="W1687" s="47" t="n"/>
      <c r="X1687" s="47" t="n"/>
      <c r="Y1687" s="47" t="n"/>
      <c r="Z1687" s="47" t="n"/>
      <c r="AA1687" s="47" t="n"/>
      <c r="AB1687" s="47" t="n"/>
      <c r="AC1687" s="47" t="n"/>
      <c r="AD1687" s="47" t="n"/>
      <c r="AE1687" s="47" t="n"/>
      <c r="AF1687" s="20">
        <f>IF(A1687="","",YEAR(EDATE(A1687,-3)))</f>
        <v/>
      </c>
      <c r="AG1687" s="20">
        <f>IF(OR(B1687="",'経歴簿'!$C$4=""),"",IF(B1687&amp;""='経歴簿'!$C$4&amp;"",MAX($AG$4:AG1686)+1,""))</f>
        <v/>
      </c>
      <c r="AH1687" s="20">
        <f>IF(A1687="",0,IF(AND(OR('CSV抽出'!$C$4="",A1687&gt;='CSV抽出'!$C$4),OR('CSV抽出'!$C$5="",A1687&lt;='CSV抽出'!$C$5),OR('CSV抽出'!$C$6="すべて",'CSV抽出'!$C$6="",D1687='CSV抽出'!$C$6),OR('CSV抽出'!$C$7="",B1687&amp;""='CSV抽出'!$C$7&amp;"")),1,0))</f>
        <v/>
      </c>
      <c r="AI1687" s="20">
        <f>IF(AH1687=1,SUM($AH$5:AH1687),"")</f>
        <v/>
      </c>
      <c r="AJ1687" s="20">
        <f>IF(OR(S1687="",'報告書'!$C$4=""),"",IF(S1687&amp;""='報告書'!$C$4&amp;"",COUNTIF($S$5:S1687,'報告書'!$C$4),""))</f>
        <v/>
      </c>
      <c r="AK1687" s="20" t="n"/>
      <c r="AL1687" s="47" t="n"/>
      <c r="AM1687" s="47" t="n"/>
      <c r="AN1687" s="53" t="n"/>
      <c r="AO1687" s="47" t="n"/>
      <c r="AP1687" s="47" t="n"/>
      <c r="AQ1687" s="47" t="n"/>
      <c r="AR1687" s="47" t="n"/>
      <c r="AS1687" s="47" t="n"/>
      <c r="AT1687" s="47" t="n"/>
      <c r="AU1687" s="47" t="n"/>
      <c r="AV1687" s="47" t="n"/>
      <c r="AW1687" s="52" t="n"/>
    </row>
    <row r="1688">
      <c r="A1688" s="48" t="n"/>
      <c r="B1688" s="52" t="n"/>
      <c r="C1688" s="47">
        <f>IF(B1688="","",IFERROR(INDEX('隊員マスタ'!$B$5:$B$204,MATCH(B1688&amp;"",'隊員マスタ'!$F$5:$F$204,0)),IF(AK1688="","番号なし",AK1688)))</f>
        <v/>
      </c>
      <c r="D1688" s="47" t="n"/>
      <c r="E1688" s="47" t="n"/>
      <c r="F1688" s="47" t="n"/>
      <c r="G1688" s="47" t="n"/>
      <c r="H1688" s="47" t="n"/>
      <c r="I1688" s="47" t="n"/>
      <c r="J1688" s="47" t="n"/>
      <c r="K1688" s="47" t="n"/>
      <c r="L1688" s="47" t="n"/>
      <c r="M1688" s="47" t="n"/>
      <c r="N1688" s="47" t="n"/>
      <c r="O1688" s="47" t="n"/>
      <c r="P1688" s="47" t="n"/>
      <c r="Q1688" s="47" t="n"/>
      <c r="R1688" s="47" t="n"/>
      <c r="S1688" s="47" t="n"/>
      <c r="T1688" s="47" t="n"/>
      <c r="U1688" s="53" t="n"/>
      <c r="V1688" s="53" t="n"/>
      <c r="W1688" s="47" t="n"/>
      <c r="X1688" s="47" t="n"/>
      <c r="Y1688" s="47" t="n"/>
      <c r="Z1688" s="47" t="n"/>
      <c r="AA1688" s="47" t="n"/>
      <c r="AB1688" s="47" t="n"/>
      <c r="AC1688" s="47" t="n"/>
      <c r="AD1688" s="47" t="n"/>
      <c r="AE1688" s="47" t="n"/>
      <c r="AF1688" s="20">
        <f>IF(A1688="","",YEAR(EDATE(A1688,-3)))</f>
        <v/>
      </c>
      <c r="AG1688" s="20">
        <f>IF(OR(B1688="",'経歴簿'!$C$4=""),"",IF(B1688&amp;""='経歴簿'!$C$4&amp;"",MAX($AG$4:AG1687)+1,""))</f>
        <v/>
      </c>
      <c r="AH1688" s="20">
        <f>IF(A1688="",0,IF(AND(OR('CSV抽出'!$C$4="",A1688&gt;='CSV抽出'!$C$4),OR('CSV抽出'!$C$5="",A1688&lt;='CSV抽出'!$C$5),OR('CSV抽出'!$C$6="すべて",'CSV抽出'!$C$6="",D1688='CSV抽出'!$C$6),OR('CSV抽出'!$C$7="",B1688&amp;""='CSV抽出'!$C$7&amp;"")),1,0))</f>
        <v/>
      </c>
      <c r="AI1688" s="20">
        <f>IF(AH1688=1,SUM($AH$5:AH1688),"")</f>
        <v/>
      </c>
      <c r="AJ1688" s="20">
        <f>IF(OR(S1688="",'報告書'!$C$4=""),"",IF(S1688&amp;""='報告書'!$C$4&amp;"",COUNTIF($S$5:S1688,'報告書'!$C$4),""))</f>
        <v/>
      </c>
      <c r="AK1688" s="20" t="n"/>
      <c r="AL1688" s="47" t="n"/>
      <c r="AM1688" s="47" t="n"/>
      <c r="AN1688" s="53" t="n"/>
      <c r="AO1688" s="47" t="n"/>
      <c r="AP1688" s="47" t="n"/>
      <c r="AQ1688" s="47" t="n"/>
      <c r="AR1688" s="47" t="n"/>
      <c r="AS1688" s="47" t="n"/>
      <c r="AT1688" s="47" t="n"/>
      <c r="AU1688" s="47" t="n"/>
      <c r="AV1688" s="47" t="n"/>
      <c r="AW1688" s="52" t="n"/>
    </row>
    <row r="1689">
      <c r="A1689" s="48" t="n"/>
      <c r="B1689" s="52" t="n"/>
      <c r="C1689" s="47">
        <f>IF(B1689="","",IFERROR(INDEX('隊員マスタ'!$B$5:$B$204,MATCH(B1689&amp;"",'隊員マスタ'!$F$5:$F$204,0)),IF(AK1689="","番号なし",AK1689)))</f>
        <v/>
      </c>
      <c r="D1689" s="47" t="n"/>
      <c r="E1689" s="47" t="n"/>
      <c r="F1689" s="47" t="n"/>
      <c r="G1689" s="47" t="n"/>
      <c r="H1689" s="47" t="n"/>
      <c r="I1689" s="47" t="n"/>
      <c r="J1689" s="47" t="n"/>
      <c r="K1689" s="47" t="n"/>
      <c r="L1689" s="47" t="n"/>
      <c r="M1689" s="47" t="n"/>
      <c r="N1689" s="47" t="n"/>
      <c r="O1689" s="47" t="n"/>
      <c r="P1689" s="47" t="n"/>
      <c r="Q1689" s="47" t="n"/>
      <c r="R1689" s="47" t="n"/>
      <c r="S1689" s="47" t="n"/>
      <c r="T1689" s="47" t="n"/>
      <c r="U1689" s="53" t="n"/>
      <c r="V1689" s="53" t="n"/>
      <c r="W1689" s="47" t="n"/>
      <c r="X1689" s="47" t="n"/>
      <c r="Y1689" s="47" t="n"/>
      <c r="Z1689" s="47" t="n"/>
      <c r="AA1689" s="47" t="n"/>
      <c r="AB1689" s="47" t="n"/>
      <c r="AC1689" s="47" t="n"/>
      <c r="AD1689" s="47" t="n"/>
      <c r="AE1689" s="47" t="n"/>
      <c r="AF1689" s="20">
        <f>IF(A1689="","",YEAR(EDATE(A1689,-3)))</f>
        <v/>
      </c>
      <c r="AG1689" s="20">
        <f>IF(OR(B1689="",'経歴簿'!$C$4=""),"",IF(B1689&amp;""='経歴簿'!$C$4&amp;"",MAX($AG$4:AG1688)+1,""))</f>
        <v/>
      </c>
      <c r="AH1689" s="20">
        <f>IF(A1689="",0,IF(AND(OR('CSV抽出'!$C$4="",A1689&gt;='CSV抽出'!$C$4),OR('CSV抽出'!$C$5="",A1689&lt;='CSV抽出'!$C$5),OR('CSV抽出'!$C$6="すべて",'CSV抽出'!$C$6="",D1689='CSV抽出'!$C$6),OR('CSV抽出'!$C$7="",B1689&amp;""='CSV抽出'!$C$7&amp;"")),1,0))</f>
        <v/>
      </c>
      <c r="AI1689" s="20">
        <f>IF(AH1689=1,SUM($AH$5:AH1689),"")</f>
        <v/>
      </c>
      <c r="AJ1689" s="20">
        <f>IF(OR(S1689="",'報告書'!$C$4=""),"",IF(S1689&amp;""='報告書'!$C$4&amp;"",COUNTIF($S$5:S1689,'報告書'!$C$4),""))</f>
        <v/>
      </c>
      <c r="AK1689" s="20" t="n"/>
      <c r="AL1689" s="47" t="n"/>
      <c r="AM1689" s="47" t="n"/>
      <c r="AN1689" s="53" t="n"/>
      <c r="AO1689" s="47" t="n"/>
      <c r="AP1689" s="47" t="n"/>
      <c r="AQ1689" s="47" t="n"/>
      <c r="AR1689" s="47" t="n"/>
      <c r="AS1689" s="47" t="n"/>
      <c r="AT1689" s="47" t="n"/>
      <c r="AU1689" s="47" t="n"/>
      <c r="AV1689" s="47" t="n"/>
      <c r="AW1689" s="52" t="n"/>
    </row>
    <row r="1690">
      <c r="A1690" s="48" t="n"/>
      <c r="B1690" s="52" t="n"/>
      <c r="C1690" s="47">
        <f>IF(B1690="","",IFERROR(INDEX('隊員マスタ'!$B$5:$B$204,MATCH(B1690&amp;"",'隊員マスタ'!$F$5:$F$204,0)),IF(AK1690="","番号なし",AK1690)))</f>
        <v/>
      </c>
      <c r="D1690" s="47" t="n"/>
      <c r="E1690" s="47" t="n"/>
      <c r="F1690" s="47" t="n"/>
      <c r="G1690" s="47" t="n"/>
      <c r="H1690" s="47" t="n"/>
      <c r="I1690" s="47" t="n"/>
      <c r="J1690" s="47" t="n"/>
      <c r="K1690" s="47" t="n"/>
      <c r="L1690" s="47" t="n"/>
      <c r="M1690" s="47" t="n"/>
      <c r="N1690" s="47" t="n"/>
      <c r="O1690" s="47" t="n"/>
      <c r="P1690" s="47" t="n"/>
      <c r="Q1690" s="47" t="n"/>
      <c r="R1690" s="47" t="n"/>
      <c r="S1690" s="47" t="n"/>
      <c r="T1690" s="47" t="n"/>
      <c r="U1690" s="53" t="n"/>
      <c r="V1690" s="53" t="n"/>
      <c r="W1690" s="47" t="n"/>
      <c r="X1690" s="47" t="n"/>
      <c r="Y1690" s="47" t="n"/>
      <c r="Z1690" s="47" t="n"/>
      <c r="AA1690" s="47" t="n"/>
      <c r="AB1690" s="47" t="n"/>
      <c r="AC1690" s="47" t="n"/>
      <c r="AD1690" s="47" t="n"/>
      <c r="AE1690" s="47" t="n"/>
      <c r="AF1690" s="20">
        <f>IF(A1690="","",YEAR(EDATE(A1690,-3)))</f>
        <v/>
      </c>
      <c r="AG1690" s="20">
        <f>IF(OR(B1690="",'経歴簿'!$C$4=""),"",IF(B1690&amp;""='経歴簿'!$C$4&amp;"",MAX($AG$4:AG1689)+1,""))</f>
        <v/>
      </c>
      <c r="AH1690" s="20">
        <f>IF(A1690="",0,IF(AND(OR('CSV抽出'!$C$4="",A1690&gt;='CSV抽出'!$C$4),OR('CSV抽出'!$C$5="",A1690&lt;='CSV抽出'!$C$5),OR('CSV抽出'!$C$6="すべて",'CSV抽出'!$C$6="",D1690='CSV抽出'!$C$6),OR('CSV抽出'!$C$7="",B1690&amp;""='CSV抽出'!$C$7&amp;"")),1,0))</f>
        <v/>
      </c>
      <c r="AI1690" s="20">
        <f>IF(AH1690=1,SUM($AH$5:AH1690),"")</f>
        <v/>
      </c>
      <c r="AJ1690" s="20">
        <f>IF(OR(S1690="",'報告書'!$C$4=""),"",IF(S1690&amp;""='報告書'!$C$4&amp;"",COUNTIF($S$5:S1690,'報告書'!$C$4),""))</f>
        <v/>
      </c>
      <c r="AK1690" s="20" t="n"/>
      <c r="AL1690" s="47" t="n"/>
      <c r="AM1690" s="47" t="n"/>
      <c r="AN1690" s="53" t="n"/>
      <c r="AO1690" s="47" t="n"/>
      <c r="AP1690" s="47" t="n"/>
      <c r="AQ1690" s="47" t="n"/>
      <c r="AR1690" s="47" t="n"/>
      <c r="AS1690" s="47" t="n"/>
      <c r="AT1690" s="47" t="n"/>
      <c r="AU1690" s="47" t="n"/>
      <c r="AV1690" s="47" t="n"/>
      <c r="AW1690" s="52" t="n"/>
    </row>
    <row r="1691">
      <c r="A1691" s="48" t="n"/>
      <c r="B1691" s="52" t="n"/>
      <c r="C1691" s="47">
        <f>IF(B1691="","",IFERROR(INDEX('隊員マスタ'!$B$5:$B$204,MATCH(B1691&amp;"",'隊員マスタ'!$F$5:$F$204,0)),IF(AK1691="","番号なし",AK1691)))</f>
        <v/>
      </c>
      <c r="D1691" s="47" t="n"/>
      <c r="E1691" s="47" t="n"/>
      <c r="F1691" s="47" t="n"/>
      <c r="G1691" s="47" t="n"/>
      <c r="H1691" s="47" t="n"/>
      <c r="I1691" s="47" t="n"/>
      <c r="J1691" s="47" t="n"/>
      <c r="K1691" s="47" t="n"/>
      <c r="L1691" s="47" t="n"/>
      <c r="M1691" s="47" t="n"/>
      <c r="N1691" s="47" t="n"/>
      <c r="O1691" s="47" t="n"/>
      <c r="P1691" s="47" t="n"/>
      <c r="Q1691" s="47" t="n"/>
      <c r="R1691" s="47" t="n"/>
      <c r="S1691" s="47" t="n"/>
      <c r="T1691" s="47" t="n"/>
      <c r="U1691" s="53" t="n"/>
      <c r="V1691" s="53" t="n"/>
      <c r="W1691" s="47" t="n"/>
      <c r="X1691" s="47" t="n"/>
      <c r="Y1691" s="47" t="n"/>
      <c r="Z1691" s="47" t="n"/>
      <c r="AA1691" s="47" t="n"/>
      <c r="AB1691" s="47" t="n"/>
      <c r="AC1691" s="47" t="n"/>
      <c r="AD1691" s="47" t="n"/>
      <c r="AE1691" s="47" t="n"/>
      <c r="AF1691" s="20">
        <f>IF(A1691="","",YEAR(EDATE(A1691,-3)))</f>
        <v/>
      </c>
      <c r="AG1691" s="20">
        <f>IF(OR(B1691="",'経歴簿'!$C$4=""),"",IF(B1691&amp;""='経歴簿'!$C$4&amp;"",MAX($AG$4:AG1690)+1,""))</f>
        <v/>
      </c>
      <c r="AH1691" s="20">
        <f>IF(A1691="",0,IF(AND(OR('CSV抽出'!$C$4="",A1691&gt;='CSV抽出'!$C$4),OR('CSV抽出'!$C$5="",A1691&lt;='CSV抽出'!$C$5),OR('CSV抽出'!$C$6="すべて",'CSV抽出'!$C$6="",D1691='CSV抽出'!$C$6),OR('CSV抽出'!$C$7="",B1691&amp;""='CSV抽出'!$C$7&amp;"")),1,0))</f>
        <v/>
      </c>
      <c r="AI1691" s="20">
        <f>IF(AH1691=1,SUM($AH$5:AH1691),"")</f>
        <v/>
      </c>
      <c r="AJ1691" s="20">
        <f>IF(OR(S1691="",'報告書'!$C$4=""),"",IF(S1691&amp;""='報告書'!$C$4&amp;"",COUNTIF($S$5:S1691,'報告書'!$C$4),""))</f>
        <v/>
      </c>
      <c r="AK1691" s="20" t="n"/>
      <c r="AL1691" s="47" t="n"/>
      <c r="AM1691" s="47" t="n"/>
      <c r="AN1691" s="53" t="n"/>
      <c r="AO1691" s="47" t="n"/>
      <c r="AP1691" s="47" t="n"/>
      <c r="AQ1691" s="47" t="n"/>
      <c r="AR1691" s="47" t="n"/>
      <c r="AS1691" s="47" t="n"/>
      <c r="AT1691" s="47" t="n"/>
      <c r="AU1691" s="47" t="n"/>
      <c r="AV1691" s="47" t="n"/>
      <c r="AW1691" s="52" t="n"/>
    </row>
    <row r="1692">
      <c r="A1692" s="48" t="n"/>
      <c r="B1692" s="52" t="n"/>
      <c r="C1692" s="47">
        <f>IF(B1692="","",IFERROR(INDEX('隊員マスタ'!$B$5:$B$204,MATCH(B1692&amp;"",'隊員マスタ'!$F$5:$F$204,0)),IF(AK1692="","番号なし",AK1692)))</f>
        <v/>
      </c>
      <c r="D1692" s="47" t="n"/>
      <c r="E1692" s="47" t="n"/>
      <c r="F1692" s="47" t="n"/>
      <c r="G1692" s="47" t="n"/>
      <c r="H1692" s="47" t="n"/>
      <c r="I1692" s="47" t="n"/>
      <c r="J1692" s="47" t="n"/>
      <c r="K1692" s="47" t="n"/>
      <c r="L1692" s="47" t="n"/>
      <c r="M1692" s="47" t="n"/>
      <c r="N1692" s="47" t="n"/>
      <c r="O1692" s="47" t="n"/>
      <c r="P1692" s="47" t="n"/>
      <c r="Q1692" s="47" t="n"/>
      <c r="R1692" s="47" t="n"/>
      <c r="S1692" s="47" t="n"/>
      <c r="T1692" s="47" t="n"/>
      <c r="U1692" s="53" t="n"/>
      <c r="V1692" s="53" t="n"/>
      <c r="W1692" s="47" t="n"/>
      <c r="X1692" s="47" t="n"/>
      <c r="Y1692" s="47" t="n"/>
      <c r="Z1692" s="47" t="n"/>
      <c r="AA1692" s="47" t="n"/>
      <c r="AB1692" s="47" t="n"/>
      <c r="AC1692" s="47" t="n"/>
      <c r="AD1692" s="47" t="n"/>
      <c r="AE1692" s="47" t="n"/>
      <c r="AF1692" s="20">
        <f>IF(A1692="","",YEAR(EDATE(A1692,-3)))</f>
        <v/>
      </c>
      <c r="AG1692" s="20">
        <f>IF(OR(B1692="",'経歴簿'!$C$4=""),"",IF(B1692&amp;""='経歴簿'!$C$4&amp;"",MAX($AG$4:AG1691)+1,""))</f>
        <v/>
      </c>
      <c r="AH1692" s="20">
        <f>IF(A1692="",0,IF(AND(OR('CSV抽出'!$C$4="",A1692&gt;='CSV抽出'!$C$4),OR('CSV抽出'!$C$5="",A1692&lt;='CSV抽出'!$C$5),OR('CSV抽出'!$C$6="すべて",'CSV抽出'!$C$6="",D1692='CSV抽出'!$C$6),OR('CSV抽出'!$C$7="",B1692&amp;""='CSV抽出'!$C$7&amp;"")),1,0))</f>
        <v/>
      </c>
      <c r="AI1692" s="20">
        <f>IF(AH1692=1,SUM($AH$5:AH1692),"")</f>
        <v/>
      </c>
      <c r="AJ1692" s="20">
        <f>IF(OR(S1692="",'報告書'!$C$4=""),"",IF(S1692&amp;""='報告書'!$C$4&amp;"",COUNTIF($S$5:S1692,'報告書'!$C$4),""))</f>
        <v/>
      </c>
      <c r="AK1692" s="20" t="n"/>
      <c r="AL1692" s="47" t="n"/>
      <c r="AM1692" s="47" t="n"/>
      <c r="AN1692" s="53" t="n"/>
      <c r="AO1692" s="47" t="n"/>
      <c r="AP1692" s="47" t="n"/>
      <c r="AQ1692" s="47" t="n"/>
      <c r="AR1692" s="47" t="n"/>
      <c r="AS1692" s="47" t="n"/>
      <c r="AT1692" s="47" t="n"/>
      <c r="AU1692" s="47" t="n"/>
      <c r="AV1692" s="47" t="n"/>
      <c r="AW1692" s="52" t="n"/>
    </row>
    <row r="1693">
      <c r="A1693" s="48" t="n"/>
      <c r="B1693" s="52" t="n"/>
      <c r="C1693" s="47">
        <f>IF(B1693="","",IFERROR(INDEX('隊員マスタ'!$B$5:$B$204,MATCH(B1693&amp;"",'隊員マスタ'!$F$5:$F$204,0)),IF(AK1693="","番号なし",AK1693)))</f>
        <v/>
      </c>
      <c r="D1693" s="47" t="n"/>
      <c r="E1693" s="47" t="n"/>
      <c r="F1693" s="47" t="n"/>
      <c r="G1693" s="47" t="n"/>
      <c r="H1693" s="47" t="n"/>
      <c r="I1693" s="47" t="n"/>
      <c r="J1693" s="47" t="n"/>
      <c r="K1693" s="47" t="n"/>
      <c r="L1693" s="47" t="n"/>
      <c r="M1693" s="47" t="n"/>
      <c r="N1693" s="47" t="n"/>
      <c r="O1693" s="47" t="n"/>
      <c r="P1693" s="47" t="n"/>
      <c r="Q1693" s="47" t="n"/>
      <c r="R1693" s="47" t="n"/>
      <c r="S1693" s="47" t="n"/>
      <c r="T1693" s="47" t="n"/>
      <c r="U1693" s="53" t="n"/>
      <c r="V1693" s="53" t="n"/>
      <c r="W1693" s="47" t="n"/>
      <c r="X1693" s="47" t="n"/>
      <c r="Y1693" s="47" t="n"/>
      <c r="Z1693" s="47" t="n"/>
      <c r="AA1693" s="47" t="n"/>
      <c r="AB1693" s="47" t="n"/>
      <c r="AC1693" s="47" t="n"/>
      <c r="AD1693" s="47" t="n"/>
      <c r="AE1693" s="47" t="n"/>
      <c r="AF1693" s="20">
        <f>IF(A1693="","",YEAR(EDATE(A1693,-3)))</f>
        <v/>
      </c>
      <c r="AG1693" s="20">
        <f>IF(OR(B1693="",'経歴簿'!$C$4=""),"",IF(B1693&amp;""='経歴簿'!$C$4&amp;"",MAX($AG$4:AG1692)+1,""))</f>
        <v/>
      </c>
      <c r="AH1693" s="20">
        <f>IF(A1693="",0,IF(AND(OR('CSV抽出'!$C$4="",A1693&gt;='CSV抽出'!$C$4),OR('CSV抽出'!$C$5="",A1693&lt;='CSV抽出'!$C$5),OR('CSV抽出'!$C$6="すべて",'CSV抽出'!$C$6="",D1693='CSV抽出'!$C$6),OR('CSV抽出'!$C$7="",B1693&amp;""='CSV抽出'!$C$7&amp;"")),1,0))</f>
        <v/>
      </c>
      <c r="AI1693" s="20">
        <f>IF(AH1693=1,SUM($AH$5:AH1693),"")</f>
        <v/>
      </c>
      <c r="AJ1693" s="20">
        <f>IF(OR(S1693="",'報告書'!$C$4=""),"",IF(S1693&amp;""='報告書'!$C$4&amp;"",COUNTIF($S$5:S1693,'報告書'!$C$4),""))</f>
        <v/>
      </c>
      <c r="AK1693" s="20" t="n"/>
      <c r="AL1693" s="47" t="n"/>
      <c r="AM1693" s="47" t="n"/>
      <c r="AN1693" s="53" t="n"/>
      <c r="AO1693" s="47" t="n"/>
      <c r="AP1693" s="47" t="n"/>
      <c r="AQ1693" s="47" t="n"/>
      <c r="AR1693" s="47" t="n"/>
      <c r="AS1693" s="47" t="n"/>
      <c r="AT1693" s="47" t="n"/>
      <c r="AU1693" s="47" t="n"/>
      <c r="AV1693" s="47" t="n"/>
      <c r="AW1693" s="52" t="n"/>
    </row>
    <row r="1694">
      <c r="A1694" s="48" t="n"/>
      <c r="B1694" s="52" t="n"/>
      <c r="C1694" s="47">
        <f>IF(B1694="","",IFERROR(INDEX('隊員マスタ'!$B$5:$B$204,MATCH(B1694&amp;"",'隊員マスタ'!$F$5:$F$204,0)),IF(AK1694="","番号なし",AK1694)))</f>
        <v/>
      </c>
      <c r="D1694" s="47" t="n"/>
      <c r="E1694" s="47" t="n"/>
      <c r="F1694" s="47" t="n"/>
      <c r="G1694" s="47" t="n"/>
      <c r="H1694" s="47" t="n"/>
      <c r="I1694" s="47" t="n"/>
      <c r="J1694" s="47" t="n"/>
      <c r="K1694" s="47" t="n"/>
      <c r="L1694" s="47" t="n"/>
      <c r="M1694" s="47" t="n"/>
      <c r="N1694" s="47" t="n"/>
      <c r="O1694" s="47" t="n"/>
      <c r="P1694" s="47" t="n"/>
      <c r="Q1694" s="47" t="n"/>
      <c r="R1694" s="47" t="n"/>
      <c r="S1694" s="47" t="n"/>
      <c r="T1694" s="47" t="n"/>
      <c r="U1694" s="53" t="n"/>
      <c r="V1694" s="53" t="n"/>
      <c r="W1694" s="47" t="n"/>
      <c r="X1694" s="47" t="n"/>
      <c r="Y1694" s="47" t="n"/>
      <c r="Z1694" s="47" t="n"/>
      <c r="AA1694" s="47" t="n"/>
      <c r="AB1694" s="47" t="n"/>
      <c r="AC1694" s="47" t="n"/>
      <c r="AD1694" s="47" t="n"/>
      <c r="AE1694" s="47" t="n"/>
      <c r="AF1694" s="20">
        <f>IF(A1694="","",YEAR(EDATE(A1694,-3)))</f>
        <v/>
      </c>
      <c r="AG1694" s="20">
        <f>IF(OR(B1694="",'経歴簿'!$C$4=""),"",IF(B1694&amp;""='経歴簿'!$C$4&amp;"",MAX($AG$4:AG1693)+1,""))</f>
        <v/>
      </c>
      <c r="AH1694" s="20">
        <f>IF(A1694="",0,IF(AND(OR('CSV抽出'!$C$4="",A1694&gt;='CSV抽出'!$C$4),OR('CSV抽出'!$C$5="",A1694&lt;='CSV抽出'!$C$5),OR('CSV抽出'!$C$6="すべて",'CSV抽出'!$C$6="",D1694='CSV抽出'!$C$6),OR('CSV抽出'!$C$7="",B1694&amp;""='CSV抽出'!$C$7&amp;"")),1,0))</f>
        <v/>
      </c>
      <c r="AI1694" s="20">
        <f>IF(AH1694=1,SUM($AH$5:AH1694),"")</f>
        <v/>
      </c>
      <c r="AJ1694" s="20">
        <f>IF(OR(S1694="",'報告書'!$C$4=""),"",IF(S1694&amp;""='報告書'!$C$4&amp;"",COUNTIF($S$5:S1694,'報告書'!$C$4),""))</f>
        <v/>
      </c>
      <c r="AK1694" s="20" t="n"/>
      <c r="AL1694" s="47" t="n"/>
      <c r="AM1694" s="47" t="n"/>
      <c r="AN1694" s="53" t="n"/>
      <c r="AO1694" s="47" t="n"/>
      <c r="AP1694" s="47" t="n"/>
      <c r="AQ1694" s="47" t="n"/>
      <c r="AR1694" s="47" t="n"/>
      <c r="AS1694" s="47" t="n"/>
      <c r="AT1694" s="47" t="n"/>
      <c r="AU1694" s="47" t="n"/>
      <c r="AV1694" s="47" t="n"/>
      <c r="AW1694" s="52" t="n"/>
    </row>
    <row r="1695">
      <c r="A1695" s="48" t="n"/>
      <c r="B1695" s="52" t="n"/>
      <c r="C1695" s="47">
        <f>IF(B1695="","",IFERROR(INDEX('隊員マスタ'!$B$5:$B$204,MATCH(B1695&amp;"",'隊員マスタ'!$F$5:$F$204,0)),IF(AK1695="","番号なし",AK1695)))</f>
        <v/>
      </c>
      <c r="D1695" s="47" t="n"/>
      <c r="E1695" s="47" t="n"/>
      <c r="F1695" s="47" t="n"/>
      <c r="G1695" s="47" t="n"/>
      <c r="H1695" s="47" t="n"/>
      <c r="I1695" s="47" t="n"/>
      <c r="J1695" s="47" t="n"/>
      <c r="K1695" s="47" t="n"/>
      <c r="L1695" s="47" t="n"/>
      <c r="M1695" s="47" t="n"/>
      <c r="N1695" s="47" t="n"/>
      <c r="O1695" s="47" t="n"/>
      <c r="P1695" s="47" t="n"/>
      <c r="Q1695" s="47" t="n"/>
      <c r="R1695" s="47" t="n"/>
      <c r="S1695" s="47" t="n"/>
      <c r="T1695" s="47" t="n"/>
      <c r="U1695" s="53" t="n"/>
      <c r="V1695" s="53" t="n"/>
      <c r="W1695" s="47" t="n"/>
      <c r="X1695" s="47" t="n"/>
      <c r="Y1695" s="47" t="n"/>
      <c r="Z1695" s="47" t="n"/>
      <c r="AA1695" s="47" t="n"/>
      <c r="AB1695" s="47" t="n"/>
      <c r="AC1695" s="47" t="n"/>
      <c r="AD1695" s="47" t="n"/>
      <c r="AE1695" s="47" t="n"/>
      <c r="AF1695" s="20">
        <f>IF(A1695="","",YEAR(EDATE(A1695,-3)))</f>
        <v/>
      </c>
      <c r="AG1695" s="20">
        <f>IF(OR(B1695="",'経歴簿'!$C$4=""),"",IF(B1695&amp;""='経歴簿'!$C$4&amp;"",MAX($AG$4:AG1694)+1,""))</f>
        <v/>
      </c>
      <c r="AH1695" s="20">
        <f>IF(A1695="",0,IF(AND(OR('CSV抽出'!$C$4="",A1695&gt;='CSV抽出'!$C$4),OR('CSV抽出'!$C$5="",A1695&lt;='CSV抽出'!$C$5),OR('CSV抽出'!$C$6="すべて",'CSV抽出'!$C$6="",D1695='CSV抽出'!$C$6),OR('CSV抽出'!$C$7="",B1695&amp;""='CSV抽出'!$C$7&amp;"")),1,0))</f>
        <v/>
      </c>
      <c r="AI1695" s="20">
        <f>IF(AH1695=1,SUM($AH$5:AH1695),"")</f>
        <v/>
      </c>
      <c r="AJ1695" s="20">
        <f>IF(OR(S1695="",'報告書'!$C$4=""),"",IF(S1695&amp;""='報告書'!$C$4&amp;"",COUNTIF($S$5:S1695,'報告書'!$C$4),""))</f>
        <v/>
      </c>
      <c r="AK1695" s="20" t="n"/>
      <c r="AL1695" s="47" t="n"/>
      <c r="AM1695" s="47" t="n"/>
      <c r="AN1695" s="53" t="n"/>
      <c r="AO1695" s="47" t="n"/>
      <c r="AP1695" s="47" t="n"/>
      <c r="AQ1695" s="47" t="n"/>
      <c r="AR1695" s="47" t="n"/>
      <c r="AS1695" s="47" t="n"/>
      <c r="AT1695" s="47" t="n"/>
      <c r="AU1695" s="47" t="n"/>
      <c r="AV1695" s="47" t="n"/>
      <c r="AW1695" s="52" t="n"/>
    </row>
    <row r="1696">
      <c r="A1696" s="48" t="n"/>
      <c r="B1696" s="52" t="n"/>
      <c r="C1696" s="47">
        <f>IF(B1696="","",IFERROR(INDEX('隊員マスタ'!$B$5:$B$204,MATCH(B1696&amp;"",'隊員マスタ'!$F$5:$F$204,0)),IF(AK1696="","番号なし",AK1696)))</f>
        <v/>
      </c>
      <c r="D1696" s="47" t="n"/>
      <c r="E1696" s="47" t="n"/>
      <c r="F1696" s="47" t="n"/>
      <c r="G1696" s="47" t="n"/>
      <c r="H1696" s="47" t="n"/>
      <c r="I1696" s="47" t="n"/>
      <c r="J1696" s="47" t="n"/>
      <c r="K1696" s="47" t="n"/>
      <c r="L1696" s="47" t="n"/>
      <c r="M1696" s="47" t="n"/>
      <c r="N1696" s="47" t="n"/>
      <c r="O1696" s="47" t="n"/>
      <c r="P1696" s="47" t="n"/>
      <c r="Q1696" s="47" t="n"/>
      <c r="R1696" s="47" t="n"/>
      <c r="S1696" s="47" t="n"/>
      <c r="T1696" s="47" t="n"/>
      <c r="U1696" s="53" t="n"/>
      <c r="V1696" s="53" t="n"/>
      <c r="W1696" s="47" t="n"/>
      <c r="X1696" s="47" t="n"/>
      <c r="Y1696" s="47" t="n"/>
      <c r="Z1696" s="47" t="n"/>
      <c r="AA1696" s="47" t="n"/>
      <c r="AB1696" s="47" t="n"/>
      <c r="AC1696" s="47" t="n"/>
      <c r="AD1696" s="47" t="n"/>
      <c r="AE1696" s="47" t="n"/>
      <c r="AF1696" s="20">
        <f>IF(A1696="","",YEAR(EDATE(A1696,-3)))</f>
        <v/>
      </c>
      <c r="AG1696" s="20">
        <f>IF(OR(B1696="",'経歴簿'!$C$4=""),"",IF(B1696&amp;""='経歴簿'!$C$4&amp;"",MAX($AG$4:AG1695)+1,""))</f>
        <v/>
      </c>
      <c r="AH1696" s="20">
        <f>IF(A1696="",0,IF(AND(OR('CSV抽出'!$C$4="",A1696&gt;='CSV抽出'!$C$4),OR('CSV抽出'!$C$5="",A1696&lt;='CSV抽出'!$C$5),OR('CSV抽出'!$C$6="すべて",'CSV抽出'!$C$6="",D1696='CSV抽出'!$C$6),OR('CSV抽出'!$C$7="",B1696&amp;""='CSV抽出'!$C$7&amp;"")),1,0))</f>
        <v/>
      </c>
      <c r="AI1696" s="20">
        <f>IF(AH1696=1,SUM($AH$5:AH1696),"")</f>
        <v/>
      </c>
      <c r="AJ1696" s="20">
        <f>IF(OR(S1696="",'報告書'!$C$4=""),"",IF(S1696&amp;""='報告書'!$C$4&amp;"",COUNTIF($S$5:S1696,'報告書'!$C$4),""))</f>
        <v/>
      </c>
      <c r="AK1696" s="20" t="n"/>
      <c r="AL1696" s="47" t="n"/>
      <c r="AM1696" s="47" t="n"/>
      <c r="AN1696" s="53" t="n"/>
      <c r="AO1696" s="47" t="n"/>
      <c r="AP1696" s="47" t="n"/>
      <c r="AQ1696" s="47" t="n"/>
      <c r="AR1696" s="47" t="n"/>
      <c r="AS1696" s="47" t="n"/>
      <c r="AT1696" s="47" t="n"/>
      <c r="AU1696" s="47" t="n"/>
      <c r="AV1696" s="47" t="n"/>
      <c r="AW1696" s="52" t="n"/>
    </row>
    <row r="1697">
      <c r="A1697" s="48" t="n"/>
      <c r="B1697" s="52" t="n"/>
      <c r="C1697" s="47">
        <f>IF(B1697="","",IFERROR(INDEX('隊員マスタ'!$B$5:$B$204,MATCH(B1697&amp;"",'隊員マスタ'!$F$5:$F$204,0)),IF(AK1697="","番号なし",AK1697)))</f>
        <v/>
      </c>
      <c r="D1697" s="47" t="n"/>
      <c r="E1697" s="47" t="n"/>
      <c r="F1697" s="47" t="n"/>
      <c r="G1697" s="47" t="n"/>
      <c r="H1697" s="47" t="n"/>
      <c r="I1697" s="47" t="n"/>
      <c r="J1697" s="47" t="n"/>
      <c r="K1697" s="47" t="n"/>
      <c r="L1697" s="47" t="n"/>
      <c r="M1697" s="47" t="n"/>
      <c r="N1697" s="47" t="n"/>
      <c r="O1697" s="47" t="n"/>
      <c r="P1697" s="47" t="n"/>
      <c r="Q1697" s="47" t="n"/>
      <c r="R1697" s="47" t="n"/>
      <c r="S1697" s="47" t="n"/>
      <c r="T1697" s="47" t="n"/>
      <c r="U1697" s="53" t="n"/>
      <c r="V1697" s="53" t="n"/>
      <c r="W1697" s="47" t="n"/>
      <c r="X1697" s="47" t="n"/>
      <c r="Y1697" s="47" t="n"/>
      <c r="Z1697" s="47" t="n"/>
      <c r="AA1697" s="47" t="n"/>
      <c r="AB1697" s="47" t="n"/>
      <c r="AC1697" s="47" t="n"/>
      <c r="AD1697" s="47" t="n"/>
      <c r="AE1697" s="47" t="n"/>
      <c r="AF1697" s="20">
        <f>IF(A1697="","",YEAR(EDATE(A1697,-3)))</f>
        <v/>
      </c>
      <c r="AG1697" s="20">
        <f>IF(OR(B1697="",'経歴簿'!$C$4=""),"",IF(B1697&amp;""='経歴簿'!$C$4&amp;"",MAX($AG$4:AG1696)+1,""))</f>
        <v/>
      </c>
      <c r="AH1697" s="20">
        <f>IF(A1697="",0,IF(AND(OR('CSV抽出'!$C$4="",A1697&gt;='CSV抽出'!$C$4),OR('CSV抽出'!$C$5="",A1697&lt;='CSV抽出'!$C$5),OR('CSV抽出'!$C$6="すべて",'CSV抽出'!$C$6="",D1697='CSV抽出'!$C$6),OR('CSV抽出'!$C$7="",B1697&amp;""='CSV抽出'!$C$7&amp;"")),1,0))</f>
        <v/>
      </c>
      <c r="AI1697" s="20">
        <f>IF(AH1697=1,SUM($AH$5:AH1697),"")</f>
        <v/>
      </c>
      <c r="AJ1697" s="20">
        <f>IF(OR(S1697="",'報告書'!$C$4=""),"",IF(S1697&amp;""='報告書'!$C$4&amp;"",COUNTIF($S$5:S1697,'報告書'!$C$4),""))</f>
        <v/>
      </c>
      <c r="AK1697" s="20" t="n"/>
      <c r="AL1697" s="47" t="n"/>
      <c r="AM1697" s="47" t="n"/>
      <c r="AN1697" s="53" t="n"/>
      <c r="AO1697" s="47" t="n"/>
      <c r="AP1697" s="47" t="n"/>
      <c r="AQ1697" s="47" t="n"/>
      <c r="AR1697" s="47" t="n"/>
      <c r="AS1697" s="47" t="n"/>
      <c r="AT1697" s="47" t="n"/>
      <c r="AU1697" s="47" t="n"/>
      <c r="AV1697" s="47" t="n"/>
      <c r="AW1697" s="52" t="n"/>
    </row>
    <row r="1698">
      <c r="A1698" s="48" t="n"/>
      <c r="B1698" s="52" t="n"/>
      <c r="C1698" s="47">
        <f>IF(B1698="","",IFERROR(INDEX('隊員マスタ'!$B$5:$B$204,MATCH(B1698&amp;"",'隊員マスタ'!$F$5:$F$204,0)),IF(AK1698="","番号なし",AK1698)))</f>
        <v/>
      </c>
      <c r="D1698" s="47" t="n"/>
      <c r="E1698" s="47" t="n"/>
      <c r="F1698" s="47" t="n"/>
      <c r="G1698" s="47" t="n"/>
      <c r="H1698" s="47" t="n"/>
      <c r="I1698" s="47" t="n"/>
      <c r="J1698" s="47" t="n"/>
      <c r="K1698" s="47" t="n"/>
      <c r="L1698" s="47" t="n"/>
      <c r="M1698" s="47" t="n"/>
      <c r="N1698" s="47" t="n"/>
      <c r="O1698" s="47" t="n"/>
      <c r="P1698" s="47" t="n"/>
      <c r="Q1698" s="47" t="n"/>
      <c r="R1698" s="47" t="n"/>
      <c r="S1698" s="47" t="n"/>
      <c r="T1698" s="47" t="n"/>
      <c r="U1698" s="53" t="n"/>
      <c r="V1698" s="53" t="n"/>
      <c r="W1698" s="47" t="n"/>
      <c r="X1698" s="47" t="n"/>
      <c r="Y1698" s="47" t="n"/>
      <c r="Z1698" s="47" t="n"/>
      <c r="AA1698" s="47" t="n"/>
      <c r="AB1698" s="47" t="n"/>
      <c r="AC1698" s="47" t="n"/>
      <c r="AD1698" s="47" t="n"/>
      <c r="AE1698" s="47" t="n"/>
      <c r="AF1698" s="20">
        <f>IF(A1698="","",YEAR(EDATE(A1698,-3)))</f>
        <v/>
      </c>
      <c r="AG1698" s="20">
        <f>IF(OR(B1698="",'経歴簿'!$C$4=""),"",IF(B1698&amp;""='経歴簿'!$C$4&amp;"",MAX($AG$4:AG1697)+1,""))</f>
        <v/>
      </c>
      <c r="AH1698" s="20">
        <f>IF(A1698="",0,IF(AND(OR('CSV抽出'!$C$4="",A1698&gt;='CSV抽出'!$C$4),OR('CSV抽出'!$C$5="",A1698&lt;='CSV抽出'!$C$5),OR('CSV抽出'!$C$6="すべて",'CSV抽出'!$C$6="",D1698='CSV抽出'!$C$6),OR('CSV抽出'!$C$7="",B1698&amp;""='CSV抽出'!$C$7&amp;"")),1,0))</f>
        <v/>
      </c>
      <c r="AI1698" s="20">
        <f>IF(AH1698=1,SUM($AH$5:AH1698),"")</f>
        <v/>
      </c>
      <c r="AJ1698" s="20">
        <f>IF(OR(S1698="",'報告書'!$C$4=""),"",IF(S1698&amp;""='報告書'!$C$4&amp;"",COUNTIF($S$5:S1698,'報告書'!$C$4),""))</f>
        <v/>
      </c>
      <c r="AK1698" s="20" t="n"/>
      <c r="AL1698" s="47" t="n"/>
      <c r="AM1698" s="47" t="n"/>
      <c r="AN1698" s="53" t="n"/>
      <c r="AO1698" s="47" t="n"/>
      <c r="AP1698" s="47" t="n"/>
      <c r="AQ1698" s="47" t="n"/>
      <c r="AR1698" s="47" t="n"/>
      <c r="AS1698" s="47" t="n"/>
      <c r="AT1698" s="47" t="n"/>
      <c r="AU1698" s="47" t="n"/>
      <c r="AV1698" s="47" t="n"/>
      <c r="AW1698" s="52" t="n"/>
    </row>
    <row r="1699">
      <c r="A1699" s="48" t="n"/>
      <c r="B1699" s="52" t="n"/>
      <c r="C1699" s="47">
        <f>IF(B1699="","",IFERROR(INDEX('隊員マスタ'!$B$5:$B$204,MATCH(B1699&amp;"",'隊員マスタ'!$F$5:$F$204,0)),IF(AK1699="","番号なし",AK1699)))</f>
        <v/>
      </c>
      <c r="D1699" s="47" t="n"/>
      <c r="E1699" s="47" t="n"/>
      <c r="F1699" s="47" t="n"/>
      <c r="G1699" s="47" t="n"/>
      <c r="H1699" s="47" t="n"/>
      <c r="I1699" s="47" t="n"/>
      <c r="J1699" s="47" t="n"/>
      <c r="K1699" s="47" t="n"/>
      <c r="L1699" s="47" t="n"/>
      <c r="M1699" s="47" t="n"/>
      <c r="N1699" s="47" t="n"/>
      <c r="O1699" s="47" t="n"/>
      <c r="P1699" s="47" t="n"/>
      <c r="Q1699" s="47" t="n"/>
      <c r="R1699" s="47" t="n"/>
      <c r="S1699" s="47" t="n"/>
      <c r="T1699" s="47" t="n"/>
      <c r="U1699" s="53" t="n"/>
      <c r="V1699" s="53" t="n"/>
      <c r="W1699" s="47" t="n"/>
      <c r="X1699" s="47" t="n"/>
      <c r="Y1699" s="47" t="n"/>
      <c r="Z1699" s="47" t="n"/>
      <c r="AA1699" s="47" t="n"/>
      <c r="AB1699" s="47" t="n"/>
      <c r="AC1699" s="47" t="n"/>
      <c r="AD1699" s="47" t="n"/>
      <c r="AE1699" s="47" t="n"/>
      <c r="AF1699" s="20">
        <f>IF(A1699="","",YEAR(EDATE(A1699,-3)))</f>
        <v/>
      </c>
      <c r="AG1699" s="20">
        <f>IF(OR(B1699="",'経歴簿'!$C$4=""),"",IF(B1699&amp;""='経歴簿'!$C$4&amp;"",MAX($AG$4:AG1698)+1,""))</f>
        <v/>
      </c>
      <c r="AH1699" s="20">
        <f>IF(A1699="",0,IF(AND(OR('CSV抽出'!$C$4="",A1699&gt;='CSV抽出'!$C$4),OR('CSV抽出'!$C$5="",A1699&lt;='CSV抽出'!$C$5),OR('CSV抽出'!$C$6="すべて",'CSV抽出'!$C$6="",D1699='CSV抽出'!$C$6),OR('CSV抽出'!$C$7="",B1699&amp;""='CSV抽出'!$C$7&amp;"")),1,0))</f>
        <v/>
      </c>
      <c r="AI1699" s="20">
        <f>IF(AH1699=1,SUM($AH$5:AH1699),"")</f>
        <v/>
      </c>
      <c r="AJ1699" s="20">
        <f>IF(OR(S1699="",'報告書'!$C$4=""),"",IF(S1699&amp;""='報告書'!$C$4&amp;"",COUNTIF($S$5:S1699,'報告書'!$C$4),""))</f>
        <v/>
      </c>
      <c r="AK1699" s="20" t="n"/>
      <c r="AL1699" s="47" t="n"/>
      <c r="AM1699" s="47" t="n"/>
      <c r="AN1699" s="53" t="n"/>
      <c r="AO1699" s="47" t="n"/>
      <c r="AP1699" s="47" t="n"/>
      <c r="AQ1699" s="47" t="n"/>
      <c r="AR1699" s="47" t="n"/>
      <c r="AS1699" s="47" t="n"/>
      <c r="AT1699" s="47" t="n"/>
      <c r="AU1699" s="47" t="n"/>
      <c r="AV1699" s="47" t="n"/>
      <c r="AW1699" s="52" t="n"/>
    </row>
    <row r="1700">
      <c r="A1700" s="48" t="n"/>
      <c r="B1700" s="52" t="n"/>
      <c r="C1700" s="47">
        <f>IF(B1700="","",IFERROR(INDEX('隊員マスタ'!$B$5:$B$204,MATCH(B1700&amp;"",'隊員マスタ'!$F$5:$F$204,0)),IF(AK1700="","番号なし",AK1700)))</f>
        <v/>
      </c>
      <c r="D1700" s="47" t="n"/>
      <c r="E1700" s="47" t="n"/>
      <c r="F1700" s="47" t="n"/>
      <c r="G1700" s="47" t="n"/>
      <c r="H1700" s="47" t="n"/>
      <c r="I1700" s="47" t="n"/>
      <c r="J1700" s="47" t="n"/>
      <c r="K1700" s="47" t="n"/>
      <c r="L1700" s="47" t="n"/>
      <c r="M1700" s="47" t="n"/>
      <c r="N1700" s="47" t="n"/>
      <c r="O1700" s="47" t="n"/>
      <c r="P1700" s="47" t="n"/>
      <c r="Q1700" s="47" t="n"/>
      <c r="R1700" s="47" t="n"/>
      <c r="S1700" s="47" t="n"/>
      <c r="T1700" s="47" t="n"/>
      <c r="U1700" s="53" t="n"/>
      <c r="V1700" s="53" t="n"/>
      <c r="W1700" s="47" t="n"/>
      <c r="X1700" s="47" t="n"/>
      <c r="Y1700" s="47" t="n"/>
      <c r="Z1700" s="47" t="n"/>
      <c r="AA1700" s="47" t="n"/>
      <c r="AB1700" s="47" t="n"/>
      <c r="AC1700" s="47" t="n"/>
      <c r="AD1700" s="47" t="n"/>
      <c r="AE1700" s="47" t="n"/>
      <c r="AF1700" s="20">
        <f>IF(A1700="","",YEAR(EDATE(A1700,-3)))</f>
        <v/>
      </c>
      <c r="AG1700" s="20">
        <f>IF(OR(B1700="",'経歴簿'!$C$4=""),"",IF(B1700&amp;""='経歴簿'!$C$4&amp;"",MAX($AG$4:AG1699)+1,""))</f>
        <v/>
      </c>
      <c r="AH1700" s="20">
        <f>IF(A1700="",0,IF(AND(OR('CSV抽出'!$C$4="",A1700&gt;='CSV抽出'!$C$4),OR('CSV抽出'!$C$5="",A1700&lt;='CSV抽出'!$C$5),OR('CSV抽出'!$C$6="すべて",'CSV抽出'!$C$6="",D1700='CSV抽出'!$C$6),OR('CSV抽出'!$C$7="",B1700&amp;""='CSV抽出'!$C$7&amp;"")),1,0))</f>
        <v/>
      </c>
      <c r="AI1700" s="20">
        <f>IF(AH1700=1,SUM($AH$5:AH1700),"")</f>
        <v/>
      </c>
      <c r="AJ1700" s="20">
        <f>IF(OR(S1700="",'報告書'!$C$4=""),"",IF(S1700&amp;""='報告書'!$C$4&amp;"",COUNTIF($S$5:S1700,'報告書'!$C$4),""))</f>
        <v/>
      </c>
      <c r="AK1700" s="20" t="n"/>
      <c r="AL1700" s="47" t="n"/>
      <c r="AM1700" s="47" t="n"/>
      <c r="AN1700" s="53" t="n"/>
      <c r="AO1700" s="47" t="n"/>
      <c r="AP1700" s="47" t="n"/>
      <c r="AQ1700" s="47" t="n"/>
      <c r="AR1700" s="47" t="n"/>
      <c r="AS1700" s="47" t="n"/>
      <c r="AT1700" s="47" t="n"/>
      <c r="AU1700" s="47" t="n"/>
      <c r="AV1700" s="47" t="n"/>
      <c r="AW1700" s="52" t="n"/>
    </row>
    <row r="1701">
      <c r="A1701" s="48" t="n"/>
      <c r="B1701" s="52" t="n"/>
      <c r="C1701" s="47">
        <f>IF(B1701="","",IFERROR(INDEX('隊員マスタ'!$B$5:$B$204,MATCH(B1701&amp;"",'隊員マスタ'!$F$5:$F$204,0)),IF(AK1701="","番号なし",AK1701)))</f>
        <v/>
      </c>
      <c r="D1701" s="47" t="n"/>
      <c r="E1701" s="47" t="n"/>
      <c r="F1701" s="47" t="n"/>
      <c r="G1701" s="47" t="n"/>
      <c r="H1701" s="47" t="n"/>
      <c r="I1701" s="47" t="n"/>
      <c r="J1701" s="47" t="n"/>
      <c r="K1701" s="47" t="n"/>
      <c r="L1701" s="47" t="n"/>
      <c r="M1701" s="47" t="n"/>
      <c r="N1701" s="47" t="n"/>
      <c r="O1701" s="47" t="n"/>
      <c r="P1701" s="47" t="n"/>
      <c r="Q1701" s="47" t="n"/>
      <c r="R1701" s="47" t="n"/>
      <c r="S1701" s="47" t="n"/>
      <c r="T1701" s="47" t="n"/>
      <c r="U1701" s="53" t="n"/>
      <c r="V1701" s="53" t="n"/>
      <c r="W1701" s="47" t="n"/>
      <c r="X1701" s="47" t="n"/>
      <c r="Y1701" s="47" t="n"/>
      <c r="Z1701" s="47" t="n"/>
      <c r="AA1701" s="47" t="n"/>
      <c r="AB1701" s="47" t="n"/>
      <c r="AC1701" s="47" t="n"/>
      <c r="AD1701" s="47" t="n"/>
      <c r="AE1701" s="47" t="n"/>
      <c r="AF1701" s="20">
        <f>IF(A1701="","",YEAR(EDATE(A1701,-3)))</f>
        <v/>
      </c>
      <c r="AG1701" s="20">
        <f>IF(OR(B1701="",'経歴簿'!$C$4=""),"",IF(B1701&amp;""='経歴簿'!$C$4&amp;"",MAX($AG$4:AG1700)+1,""))</f>
        <v/>
      </c>
      <c r="AH1701" s="20">
        <f>IF(A1701="",0,IF(AND(OR('CSV抽出'!$C$4="",A1701&gt;='CSV抽出'!$C$4),OR('CSV抽出'!$C$5="",A1701&lt;='CSV抽出'!$C$5),OR('CSV抽出'!$C$6="すべて",'CSV抽出'!$C$6="",D1701='CSV抽出'!$C$6),OR('CSV抽出'!$C$7="",B1701&amp;""='CSV抽出'!$C$7&amp;"")),1,0))</f>
        <v/>
      </c>
      <c r="AI1701" s="20">
        <f>IF(AH1701=1,SUM($AH$5:AH1701),"")</f>
        <v/>
      </c>
      <c r="AJ1701" s="20">
        <f>IF(OR(S1701="",'報告書'!$C$4=""),"",IF(S1701&amp;""='報告書'!$C$4&amp;"",COUNTIF($S$5:S1701,'報告書'!$C$4),""))</f>
        <v/>
      </c>
      <c r="AK1701" s="20" t="n"/>
      <c r="AL1701" s="47" t="n"/>
      <c r="AM1701" s="47" t="n"/>
      <c r="AN1701" s="53" t="n"/>
      <c r="AO1701" s="47" t="n"/>
      <c r="AP1701" s="47" t="n"/>
      <c r="AQ1701" s="47" t="n"/>
      <c r="AR1701" s="47" t="n"/>
      <c r="AS1701" s="47" t="n"/>
      <c r="AT1701" s="47" t="n"/>
      <c r="AU1701" s="47" t="n"/>
      <c r="AV1701" s="47" t="n"/>
      <c r="AW1701" s="52" t="n"/>
    </row>
    <row r="1702">
      <c r="A1702" s="48" t="n"/>
      <c r="B1702" s="52" t="n"/>
      <c r="C1702" s="47">
        <f>IF(B1702="","",IFERROR(INDEX('隊員マスタ'!$B$5:$B$204,MATCH(B1702&amp;"",'隊員マスタ'!$F$5:$F$204,0)),IF(AK1702="","番号なし",AK1702)))</f>
        <v/>
      </c>
      <c r="D1702" s="47" t="n"/>
      <c r="E1702" s="47" t="n"/>
      <c r="F1702" s="47" t="n"/>
      <c r="G1702" s="47" t="n"/>
      <c r="H1702" s="47" t="n"/>
      <c r="I1702" s="47" t="n"/>
      <c r="J1702" s="47" t="n"/>
      <c r="K1702" s="47" t="n"/>
      <c r="L1702" s="47" t="n"/>
      <c r="M1702" s="47" t="n"/>
      <c r="N1702" s="47" t="n"/>
      <c r="O1702" s="47" t="n"/>
      <c r="P1702" s="47" t="n"/>
      <c r="Q1702" s="47" t="n"/>
      <c r="R1702" s="47" t="n"/>
      <c r="S1702" s="47" t="n"/>
      <c r="T1702" s="47" t="n"/>
      <c r="U1702" s="53" t="n"/>
      <c r="V1702" s="53" t="n"/>
      <c r="W1702" s="47" t="n"/>
      <c r="X1702" s="47" t="n"/>
      <c r="Y1702" s="47" t="n"/>
      <c r="Z1702" s="47" t="n"/>
      <c r="AA1702" s="47" t="n"/>
      <c r="AB1702" s="47" t="n"/>
      <c r="AC1702" s="47" t="n"/>
      <c r="AD1702" s="47" t="n"/>
      <c r="AE1702" s="47" t="n"/>
      <c r="AF1702" s="20">
        <f>IF(A1702="","",YEAR(EDATE(A1702,-3)))</f>
        <v/>
      </c>
      <c r="AG1702" s="20">
        <f>IF(OR(B1702="",'経歴簿'!$C$4=""),"",IF(B1702&amp;""='経歴簿'!$C$4&amp;"",MAX($AG$4:AG1701)+1,""))</f>
        <v/>
      </c>
      <c r="AH1702" s="20">
        <f>IF(A1702="",0,IF(AND(OR('CSV抽出'!$C$4="",A1702&gt;='CSV抽出'!$C$4),OR('CSV抽出'!$C$5="",A1702&lt;='CSV抽出'!$C$5),OR('CSV抽出'!$C$6="すべて",'CSV抽出'!$C$6="",D1702='CSV抽出'!$C$6),OR('CSV抽出'!$C$7="",B1702&amp;""='CSV抽出'!$C$7&amp;"")),1,0))</f>
        <v/>
      </c>
      <c r="AI1702" s="20">
        <f>IF(AH1702=1,SUM($AH$5:AH1702),"")</f>
        <v/>
      </c>
      <c r="AJ1702" s="20">
        <f>IF(OR(S1702="",'報告書'!$C$4=""),"",IF(S1702&amp;""='報告書'!$C$4&amp;"",COUNTIF($S$5:S1702,'報告書'!$C$4),""))</f>
        <v/>
      </c>
      <c r="AK1702" s="20" t="n"/>
      <c r="AL1702" s="47" t="n"/>
      <c r="AM1702" s="47" t="n"/>
      <c r="AN1702" s="53" t="n"/>
      <c r="AO1702" s="47" t="n"/>
      <c r="AP1702" s="47" t="n"/>
      <c r="AQ1702" s="47" t="n"/>
      <c r="AR1702" s="47" t="n"/>
      <c r="AS1702" s="47" t="n"/>
      <c r="AT1702" s="47" t="n"/>
      <c r="AU1702" s="47" t="n"/>
      <c r="AV1702" s="47" t="n"/>
      <c r="AW1702" s="52" t="n"/>
    </row>
    <row r="1703">
      <c r="A1703" s="48" t="n"/>
      <c r="B1703" s="52" t="n"/>
      <c r="C1703" s="47">
        <f>IF(B1703="","",IFERROR(INDEX('隊員マスタ'!$B$5:$B$204,MATCH(B1703&amp;"",'隊員マスタ'!$F$5:$F$204,0)),IF(AK1703="","番号なし",AK1703)))</f>
        <v/>
      </c>
      <c r="D1703" s="47" t="n"/>
      <c r="E1703" s="47" t="n"/>
      <c r="F1703" s="47" t="n"/>
      <c r="G1703" s="47" t="n"/>
      <c r="H1703" s="47" t="n"/>
      <c r="I1703" s="47" t="n"/>
      <c r="J1703" s="47" t="n"/>
      <c r="K1703" s="47" t="n"/>
      <c r="L1703" s="47" t="n"/>
      <c r="M1703" s="47" t="n"/>
      <c r="N1703" s="47" t="n"/>
      <c r="O1703" s="47" t="n"/>
      <c r="P1703" s="47" t="n"/>
      <c r="Q1703" s="47" t="n"/>
      <c r="R1703" s="47" t="n"/>
      <c r="S1703" s="47" t="n"/>
      <c r="T1703" s="47" t="n"/>
      <c r="U1703" s="53" t="n"/>
      <c r="V1703" s="53" t="n"/>
      <c r="W1703" s="47" t="n"/>
      <c r="X1703" s="47" t="n"/>
      <c r="Y1703" s="47" t="n"/>
      <c r="Z1703" s="47" t="n"/>
      <c r="AA1703" s="47" t="n"/>
      <c r="AB1703" s="47" t="n"/>
      <c r="AC1703" s="47" t="n"/>
      <c r="AD1703" s="47" t="n"/>
      <c r="AE1703" s="47" t="n"/>
      <c r="AF1703" s="20">
        <f>IF(A1703="","",YEAR(EDATE(A1703,-3)))</f>
        <v/>
      </c>
      <c r="AG1703" s="20">
        <f>IF(OR(B1703="",'経歴簿'!$C$4=""),"",IF(B1703&amp;""='経歴簿'!$C$4&amp;"",MAX($AG$4:AG1702)+1,""))</f>
        <v/>
      </c>
      <c r="AH1703" s="20">
        <f>IF(A1703="",0,IF(AND(OR('CSV抽出'!$C$4="",A1703&gt;='CSV抽出'!$C$4),OR('CSV抽出'!$C$5="",A1703&lt;='CSV抽出'!$C$5),OR('CSV抽出'!$C$6="すべて",'CSV抽出'!$C$6="",D1703='CSV抽出'!$C$6),OR('CSV抽出'!$C$7="",B1703&amp;""='CSV抽出'!$C$7&amp;"")),1,0))</f>
        <v/>
      </c>
      <c r="AI1703" s="20">
        <f>IF(AH1703=1,SUM($AH$5:AH1703),"")</f>
        <v/>
      </c>
      <c r="AJ1703" s="20">
        <f>IF(OR(S1703="",'報告書'!$C$4=""),"",IF(S1703&amp;""='報告書'!$C$4&amp;"",COUNTIF($S$5:S1703,'報告書'!$C$4),""))</f>
        <v/>
      </c>
      <c r="AK1703" s="20" t="n"/>
      <c r="AL1703" s="47" t="n"/>
      <c r="AM1703" s="47" t="n"/>
      <c r="AN1703" s="53" t="n"/>
      <c r="AO1703" s="47" t="n"/>
      <c r="AP1703" s="47" t="n"/>
      <c r="AQ1703" s="47" t="n"/>
      <c r="AR1703" s="47" t="n"/>
      <c r="AS1703" s="47" t="n"/>
      <c r="AT1703" s="47" t="n"/>
      <c r="AU1703" s="47" t="n"/>
      <c r="AV1703" s="47" t="n"/>
      <c r="AW1703" s="52" t="n"/>
    </row>
    <row r="1704">
      <c r="A1704" s="48" t="n"/>
      <c r="B1704" s="52" t="n"/>
      <c r="C1704" s="47">
        <f>IF(B1704="","",IFERROR(INDEX('隊員マスタ'!$B$5:$B$204,MATCH(B1704&amp;"",'隊員マスタ'!$F$5:$F$204,0)),IF(AK1704="","番号なし",AK1704)))</f>
        <v/>
      </c>
      <c r="D1704" s="47" t="n"/>
      <c r="E1704" s="47" t="n"/>
      <c r="F1704" s="47" t="n"/>
      <c r="G1704" s="47" t="n"/>
      <c r="H1704" s="47" t="n"/>
      <c r="I1704" s="47" t="n"/>
      <c r="J1704" s="47" t="n"/>
      <c r="K1704" s="47" t="n"/>
      <c r="L1704" s="47" t="n"/>
      <c r="M1704" s="47" t="n"/>
      <c r="N1704" s="47" t="n"/>
      <c r="O1704" s="47" t="n"/>
      <c r="P1704" s="47" t="n"/>
      <c r="Q1704" s="47" t="n"/>
      <c r="R1704" s="47" t="n"/>
      <c r="S1704" s="47" t="n"/>
      <c r="T1704" s="47" t="n"/>
      <c r="U1704" s="53" t="n"/>
      <c r="V1704" s="53" t="n"/>
      <c r="W1704" s="47" t="n"/>
      <c r="X1704" s="47" t="n"/>
      <c r="Y1704" s="47" t="n"/>
      <c r="Z1704" s="47" t="n"/>
      <c r="AA1704" s="47" t="n"/>
      <c r="AB1704" s="47" t="n"/>
      <c r="AC1704" s="47" t="n"/>
      <c r="AD1704" s="47" t="n"/>
      <c r="AE1704" s="47" t="n"/>
      <c r="AF1704" s="20">
        <f>IF(A1704="","",YEAR(EDATE(A1704,-3)))</f>
        <v/>
      </c>
      <c r="AG1704" s="20">
        <f>IF(OR(B1704="",'経歴簿'!$C$4=""),"",IF(B1704&amp;""='経歴簿'!$C$4&amp;"",MAX($AG$4:AG1703)+1,""))</f>
        <v/>
      </c>
      <c r="AH1704" s="20">
        <f>IF(A1704="",0,IF(AND(OR('CSV抽出'!$C$4="",A1704&gt;='CSV抽出'!$C$4),OR('CSV抽出'!$C$5="",A1704&lt;='CSV抽出'!$C$5),OR('CSV抽出'!$C$6="すべて",'CSV抽出'!$C$6="",D1704='CSV抽出'!$C$6),OR('CSV抽出'!$C$7="",B1704&amp;""='CSV抽出'!$C$7&amp;"")),1,0))</f>
        <v/>
      </c>
      <c r="AI1704" s="20">
        <f>IF(AH1704=1,SUM($AH$5:AH1704),"")</f>
        <v/>
      </c>
      <c r="AJ1704" s="20">
        <f>IF(OR(S1704="",'報告書'!$C$4=""),"",IF(S1704&amp;""='報告書'!$C$4&amp;"",COUNTIF($S$5:S1704,'報告書'!$C$4),""))</f>
        <v/>
      </c>
      <c r="AK1704" s="20" t="n"/>
      <c r="AL1704" s="47" t="n"/>
      <c r="AM1704" s="47" t="n"/>
      <c r="AN1704" s="53" t="n"/>
      <c r="AO1704" s="47" t="n"/>
      <c r="AP1704" s="47" t="n"/>
      <c r="AQ1704" s="47" t="n"/>
      <c r="AR1704" s="47" t="n"/>
      <c r="AS1704" s="47" t="n"/>
      <c r="AT1704" s="47" t="n"/>
      <c r="AU1704" s="47" t="n"/>
      <c r="AV1704" s="47" t="n"/>
      <c r="AW1704" s="52" t="n"/>
    </row>
    <row r="1705">
      <c r="A1705" s="48" t="n"/>
      <c r="B1705" s="52" t="n"/>
      <c r="C1705" s="47">
        <f>IF(B1705="","",IFERROR(INDEX('隊員マスタ'!$B$5:$B$204,MATCH(B1705&amp;"",'隊員マスタ'!$F$5:$F$204,0)),IF(AK1705="","番号なし",AK1705)))</f>
        <v/>
      </c>
      <c r="D1705" s="47" t="n"/>
      <c r="E1705" s="47" t="n"/>
      <c r="F1705" s="47" t="n"/>
      <c r="G1705" s="47" t="n"/>
      <c r="H1705" s="47" t="n"/>
      <c r="I1705" s="47" t="n"/>
      <c r="J1705" s="47" t="n"/>
      <c r="K1705" s="47" t="n"/>
      <c r="L1705" s="47" t="n"/>
      <c r="M1705" s="47" t="n"/>
      <c r="N1705" s="47" t="n"/>
      <c r="O1705" s="47" t="n"/>
      <c r="P1705" s="47" t="n"/>
      <c r="Q1705" s="47" t="n"/>
      <c r="R1705" s="47" t="n"/>
      <c r="S1705" s="47" t="n"/>
      <c r="T1705" s="47" t="n"/>
      <c r="U1705" s="53" t="n"/>
      <c r="V1705" s="53" t="n"/>
      <c r="W1705" s="47" t="n"/>
      <c r="X1705" s="47" t="n"/>
      <c r="Y1705" s="47" t="n"/>
      <c r="Z1705" s="47" t="n"/>
      <c r="AA1705" s="47" t="n"/>
      <c r="AB1705" s="47" t="n"/>
      <c r="AC1705" s="47" t="n"/>
      <c r="AD1705" s="47" t="n"/>
      <c r="AE1705" s="47" t="n"/>
      <c r="AF1705" s="20">
        <f>IF(A1705="","",YEAR(EDATE(A1705,-3)))</f>
        <v/>
      </c>
      <c r="AG1705" s="20">
        <f>IF(OR(B1705="",'経歴簿'!$C$4=""),"",IF(B1705&amp;""='経歴簿'!$C$4&amp;"",MAX($AG$4:AG1704)+1,""))</f>
        <v/>
      </c>
      <c r="AH1705" s="20">
        <f>IF(A1705="",0,IF(AND(OR('CSV抽出'!$C$4="",A1705&gt;='CSV抽出'!$C$4),OR('CSV抽出'!$C$5="",A1705&lt;='CSV抽出'!$C$5),OR('CSV抽出'!$C$6="すべて",'CSV抽出'!$C$6="",D1705='CSV抽出'!$C$6),OR('CSV抽出'!$C$7="",B1705&amp;""='CSV抽出'!$C$7&amp;"")),1,0))</f>
        <v/>
      </c>
      <c r="AI1705" s="20">
        <f>IF(AH1705=1,SUM($AH$5:AH1705),"")</f>
        <v/>
      </c>
      <c r="AJ1705" s="20">
        <f>IF(OR(S1705="",'報告書'!$C$4=""),"",IF(S1705&amp;""='報告書'!$C$4&amp;"",COUNTIF($S$5:S1705,'報告書'!$C$4),""))</f>
        <v/>
      </c>
      <c r="AK1705" s="20" t="n"/>
      <c r="AL1705" s="47" t="n"/>
      <c r="AM1705" s="47" t="n"/>
      <c r="AN1705" s="53" t="n"/>
      <c r="AO1705" s="47" t="n"/>
      <c r="AP1705" s="47" t="n"/>
      <c r="AQ1705" s="47" t="n"/>
      <c r="AR1705" s="47" t="n"/>
      <c r="AS1705" s="47" t="n"/>
      <c r="AT1705" s="47" t="n"/>
      <c r="AU1705" s="47" t="n"/>
      <c r="AV1705" s="47" t="n"/>
      <c r="AW1705" s="52" t="n"/>
    </row>
    <row r="1706">
      <c r="A1706" s="48" t="n"/>
      <c r="B1706" s="52" t="n"/>
      <c r="C1706" s="47">
        <f>IF(B1706="","",IFERROR(INDEX('隊員マスタ'!$B$5:$B$204,MATCH(B1706&amp;"",'隊員マスタ'!$F$5:$F$204,0)),IF(AK1706="","番号なし",AK1706)))</f>
        <v/>
      </c>
      <c r="D1706" s="47" t="n"/>
      <c r="E1706" s="47" t="n"/>
      <c r="F1706" s="47" t="n"/>
      <c r="G1706" s="47" t="n"/>
      <c r="H1706" s="47" t="n"/>
      <c r="I1706" s="47" t="n"/>
      <c r="J1706" s="47" t="n"/>
      <c r="K1706" s="47" t="n"/>
      <c r="L1706" s="47" t="n"/>
      <c r="M1706" s="47" t="n"/>
      <c r="N1706" s="47" t="n"/>
      <c r="O1706" s="47" t="n"/>
      <c r="P1706" s="47" t="n"/>
      <c r="Q1706" s="47" t="n"/>
      <c r="R1706" s="47" t="n"/>
      <c r="S1706" s="47" t="n"/>
      <c r="T1706" s="47" t="n"/>
      <c r="U1706" s="53" t="n"/>
      <c r="V1706" s="53" t="n"/>
      <c r="W1706" s="47" t="n"/>
      <c r="X1706" s="47" t="n"/>
      <c r="Y1706" s="47" t="n"/>
      <c r="Z1706" s="47" t="n"/>
      <c r="AA1706" s="47" t="n"/>
      <c r="AB1706" s="47" t="n"/>
      <c r="AC1706" s="47" t="n"/>
      <c r="AD1706" s="47" t="n"/>
      <c r="AE1706" s="47" t="n"/>
      <c r="AF1706" s="20">
        <f>IF(A1706="","",YEAR(EDATE(A1706,-3)))</f>
        <v/>
      </c>
      <c r="AG1706" s="20">
        <f>IF(OR(B1706="",'経歴簿'!$C$4=""),"",IF(B1706&amp;""='経歴簿'!$C$4&amp;"",MAX($AG$4:AG1705)+1,""))</f>
        <v/>
      </c>
      <c r="AH1706" s="20">
        <f>IF(A1706="",0,IF(AND(OR('CSV抽出'!$C$4="",A1706&gt;='CSV抽出'!$C$4),OR('CSV抽出'!$C$5="",A1706&lt;='CSV抽出'!$C$5),OR('CSV抽出'!$C$6="すべて",'CSV抽出'!$C$6="",D1706='CSV抽出'!$C$6),OR('CSV抽出'!$C$7="",B1706&amp;""='CSV抽出'!$C$7&amp;"")),1,0))</f>
        <v/>
      </c>
      <c r="AI1706" s="20">
        <f>IF(AH1706=1,SUM($AH$5:AH1706),"")</f>
        <v/>
      </c>
      <c r="AJ1706" s="20">
        <f>IF(OR(S1706="",'報告書'!$C$4=""),"",IF(S1706&amp;""='報告書'!$C$4&amp;"",COUNTIF($S$5:S1706,'報告書'!$C$4),""))</f>
        <v/>
      </c>
      <c r="AK1706" s="20" t="n"/>
      <c r="AL1706" s="47" t="n"/>
      <c r="AM1706" s="47" t="n"/>
      <c r="AN1706" s="53" t="n"/>
      <c r="AO1706" s="47" t="n"/>
      <c r="AP1706" s="47" t="n"/>
      <c r="AQ1706" s="47" t="n"/>
      <c r="AR1706" s="47" t="n"/>
      <c r="AS1706" s="47" t="n"/>
      <c r="AT1706" s="47" t="n"/>
      <c r="AU1706" s="47" t="n"/>
      <c r="AV1706" s="47" t="n"/>
      <c r="AW1706" s="52" t="n"/>
    </row>
    <row r="1707">
      <c r="A1707" s="48" t="n"/>
      <c r="B1707" s="52" t="n"/>
      <c r="C1707" s="47">
        <f>IF(B1707="","",IFERROR(INDEX('隊員マスタ'!$B$5:$B$204,MATCH(B1707&amp;"",'隊員マスタ'!$F$5:$F$204,0)),IF(AK1707="","番号なし",AK1707)))</f>
        <v/>
      </c>
      <c r="D1707" s="47" t="n"/>
      <c r="E1707" s="47" t="n"/>
      <c r="F1707" s="47" t="n"/>
      <c r="G1707" s="47" t="n"/>
      <c r="H1707" s="47" t="n"/>
      <c r="I1707" s="47" t="n"/>
      <c r="J1707" s="47" t="n"/>
      <c r="K1707" s="47" t="n"/>
      <c r="L1707" s="47" t="n"/>
      <c r="M1707" s="47" t="n"/>
      <c r="N1707" s="47" t="n"/>
      <c r="O1707" s="47" t="n"/>
      <c r="P1707" s="47" t="n"/>
      <c r="Q1707" s="47" t="n"/>
      <c r="R1707" s="47" t="n"/>
      <c r="S1707" s="47" t="n"/>
      <c r="T1707" s="47" t="n"/>
      <c r="U1707" s="53" t="n"/>
      <c r="V1707" s="53" t="n"/>
      <c r="W1707" s="47" t="n"/>
      <c r="X1707" s="47" t="n"/>
      <c r="Y1707" s="47" t="n"/>
      <c r="Z1707" s="47" t="n"/>
      <c r="AA1707" s="47" t="n"/>
      <c r="AB1707" s="47" t="n"/>
      <c r="AC1707" s="47" t="n"/>
      <c r="AD1707" s="47" t="n"/>
      <c r="AE1707" s="47" t="n"/>
      <c r="AF1707" s="20">
        <f>IF(A1707="","",YEAR(EDATE(A1707,-3)))</f>
        <v/>
      </c>
      <c r="AG1707" s="20">
        <f>IF(OR(B1707="",'経歴簿'!$C$4=""),"",IF(B1707&amp;""='経歴簿'!$C$4&amp;"",MAX($AG$4:AG1706)+1,""))</f>
        <v/>
      </c>
      <c r="AH1707" s="20">
        <f>IF(A1707="",0,IF(AND(OR('CSV抽出'!$C$4="",A1707&gt;='CSV抽出'!$C$4),OR('CSV抽出'!$C$5="",A1707&lt;='CSV抽出'!$C$5),OR('CSV抽出'!$C$6="すべて",'CSV抽出'!$C$6="",D1707='CSV抽出'!$C$6),OR('CSV抽出'!$C$7="",B1707&amp;""='CSV抽出'!$C$7&amp;"")),1,0))</f>
        <v/>
      </c>
      <c r="AI1707" s="20">
        <f>IF(AH1707=1,SUM($AH$5:AH1707),"")</f>
        <v/>
      </c>
      <c r="AJ1707" s="20">
        <f>IF(OR(S1707="",'報告書'!$C$4=""),"",IF(S1707&amp;""='報告書'!$C$4&amp;"",COUNTIF($S$5:S1707,'報告書'!$C$4),""))</f>
        <v/>
      </c>
      <c r="AK1707" s="20" t="n"/>
      <c r="AL1707" s="47" t="n"/>
      <c r="AM1707" s="47" t="n"/>
      <c r="AN1707" s="53" t="n"/>
      <c r="AO1707" s="47" t="n"/>
      <c r="AP1707" s="47" t="n"/>
      <c r="AQ1707" s="47" t="n"/>
      <c r="AR1707" s="47" t="n"/>
      <c r="AS1707" s="47" t="n"/>
      <c r="AT1707" s="47" t="n"/>
      <c r="AU1707" s="47" t="n"/>
      <c r="AV1707" s="47" t="n"/>
      <c r="AW1707" s="52" t="n"/>
    </row>
    <row r="1708">
      <c r="A1708" s="48" t="n"/>
      <c r="B1708" s="52" t="n"/>
      <c r="C1708" s="47">
        <f>IF(B1708="","",IFERROR(INDEX('隊員マスタ'!$B$5:$B$204,MATCH(B1708&amp;"",'隊員マスタ'!$F$5:$F$204,0)),IF(AK1708="","番号なし",AK1708)))</f>
        <v/>
      </c>
      <c r="D1708" s="47" t="n"/>
      <c r="E1708" s="47" t="n"/>
      <c r="F1708" s="47" t="n"/>
      <c r="G1708" s="47" t="n"/>
      <c r="H1708" s="47" t="n"/>
      <c r="I1708" s="47" t="n"/>
      <c r="J1708" s="47" t="n"/>
      <c r="K1708" s="47" t="n"/>
      <c r="L1708" s="47" t="n"/>
      <c r="M1708" s="47" t="n"/>
      <c r="N1708" s="47" t="n"/>
      <c r="O1708" s="47" t="n"/>
      <c r="P1708" s="47" t="n"/>
      <c r="Q1708" s="47" t="n"/>
      <c r="R1708" s="47" t="n"/>
      <c r="S1708" s="47" t="n"/>
      <c r="T1708" s="47" t="n"/>
      <c r="U1708" s="53" t="n"/>
      <c r="V1708" s="53" t="n"/>
      <c r="W1708" s="47" t="n"/>
      <c r="X1708" s="47" t="n"/>
      <c r="Y1708" s="47" t="n"/>
      <c r="Z1708" s="47" t="n"/>
      <c r="AA1708" s="47" t="n"/>
      <c r="AB1708" s="47" t="n"/>
      <c r="AC1708" s="47" t="n"/>
      <c r="AD1708" s="47" t="n"/>
      <c r="AE1708" s="47" t="n"/>
      <c r="AF1708" s="20">
        <f>IF(A1708="","",YEAR(EDATE(A1708,-3)))</f>
        <v/>
      </c>
      <c r="AG1708" s="20">
        <f>IF(OR(B1708="",'経歴簿'!$C$4=""),"",IF(B1708&amp;""='経歴簿'!$C$4&amp;"",MAX($AG$4:AG1707)+1,""))</f>
        <v/>
      </c>
      <c r="AH1708" s="20">
        <f>IF(A1708="",0,IF(AND(OR('CSV抽出'!$C$4="",A1708&gt;='CSV抽出'!$C$4),OR('CSV抽出'!$C$5="",A1708&lt;='CSV抽出'!$C$5),OR('CSV抽出'!$C$6="すべて",'CSV抽出'!$C$6="",D1708='CSV抽出'!$C$6),OR('CSV抽出'!$C$7="",B1708&amp;""='CSV抽出'!$C$7&amp;"")),1,0))</f>
        <v/>
      </c>
      <c r="AI1708" s="20">
        <f>IF(AH1708=1,SUM($AH$5:AH1708),"")</f>
        <v/>
      </c>
      <c r="AJ1708" s="20">
        <f>IF(OR(S1708="",'報告書'!$C$4=""),"",IF(S1708&amp;""='報告書'!$C$4&amp;"",COUNTIF($S$5:S1708,'報告書'!$C$4),""))</f>
        <v/>
      </c>
      <c r="AK1708" s="20" t="n"/>
      <c r="AL1708" s="47" t="n"/>
      <c r="AM1708" s="47" t="n"/>
      <c r="AN1708" s="53" t="n"/>
      <c r="AO1708" s="47" t="n"/>
      <c r="AP1708" s="47" t="n"/>
      <c r="AQ1708" s="47" t="n"/>
      <c r="AR1708" s="47" t="n"/>
      <c r="AS1708" s="47" t="n"/>
      <c r="AT1708" s="47" t="n"/>
      <c r="AU1708" s="47" t="n"/>
      <c r="AV1708" s="47" t="n"/>
      <c r="AW1708" s="52" t="n"/>
    </row>
    <row r="1709">
      <c r="A1709" s="48" t="n"/>
      <c r="B1709" s="52" t="n"/>
      <c r="C1709" s="47">
        <f>IF(B1709="","",IFERROR(INDEX('隊員マスタ'!$B$5:$B$204,MATCH(B1709&amp;"",'隊員マスタ'!$F$5:$F$204,0)),IF(AK1709="","番号なし",AK1709)))</f>
        <v/>
      </c>
      <c r="D1709" s="47" t="n"/>
      <c r="E1709" s="47" t="n"/>
      <c r="F1709" s="47" t="n"/>
      <c r="G1709" s="47" t="n"/>
      <c r="H1709" s="47" t="n"/>
      <c r="I1709" s="47" t="n"/>
      <c r="J1709" s="47" t="n"/>
      <c r="K1709" s="47" t="n"/>
      <c r="L1709" s="47" t="n"/>
      <c r="M1709" s="47" t="n"/>
      <c r="N1709" s="47" t="n"/>
      <c r="O1709" s="47" t="n"/>
      <c r="P1709" s="47" t="n"/>
      <c r="Q1709" s="47" t="n"/>
      <c r="R1709" s="47" t="n"/>
      <c r="S1709" s="47" t="n"/>
      <c r="T1709" s="47" t="n"/>
      <c r="U1709" s="53" t="n"/>
      <c r="V1709" s="53" t="n"/>
      <c r="W1709" s="47" t="n"/>
      <c r="X1709" s="47" t="n"/>
      <c r="Y1709" s="47" t="n"/>
      <c r="Z1709" s="47" t="n"/>
      <c r="AA1709" s="47" t="n"/>
      <c r="AB1709" s="47" t="n"/>
      <c r="AC1709" s="47" t="n"/>
      <c r="AD1709" s="47" t="n"/>
      <c r="AE1709" s="47" t="n"/>
      <c r="AF1709" s="20">
        <f>IF(A1709="","",YEAR(EDATE(A1709,-3)))</f>
        <v/>
      </c>
      <c r="AG1709" s="20">
        <f>IF(OR(B1709="",'経歴簿'!$C$4=""),"",IF(B1709&amp;""='経歴簿'!$C$4&amp;"",MAX($AG$4:AG1708)+1,""))</f>
        <v/>
      </c>
      <c r="AH1709" s="20">
        <f>IF(A1709="",0,IF(AND(OR('CSV抽出'!$C$4="",A1709&gt;='CSV抽出'!$C$4),OR('CSV抽出'!$C$5="",A1709&lt;='CSV抽出'!$C$5),OR('CSV抽出'!$C$6="すべて",'CSV抽出'!$C$6="",D1709='CSV抽出'!$C$6),OR('CSV抽出'!$C$7="",B1709&amp;""='CSV抽出'!$C$7&amp;"")),1,0))</f>
        <v/>
      </c>
      <c r="AI1709" s="20">
        <f>IF(AH1709=1,SUM($AH$5:AH1709),"")</f>
        <v/>
      </c>
      <c r="AJ1709" s="20">
        <f>IF(OR(S1709="",'報告書'!$C$4=""),"",IF(S1709&amp;""='報告書'!$C$4&amp;"",COUNTIF($S$5:S1709,'報告書'!$C$4),""))</f>
        <v/>
      </c>
      <c r="AK1709" s="20" t="n"/>
      <c r="AL1709" s="47" t="n"/>
      <c r="AM1709" s="47" t="n"/>
      <c r="AN1709" s="53" t="n"/>
      <c r="AO1709" s="47" t="n"/>
      <c r="AP1709" s="47" t="n"/>
      <c r="AQ1709" s="47" t="n"/>
      <c r="AR1709" s="47" t="n"/>
      <c r="AS1709" s="47" t="n"/>
      <c r="AT1709" s="47" t="n"/>
      <c r="AU1709" s="47" t="n"/>
      <c r="AV1709" s="47" t="n"/>
      <c r="AW1709" s="52" t="n"/>
    </row>
    <row r="1710">
      <c r="A1710" s="48" t="n"/>
      <c r="B1710" s="52" t="n"/>
      <c r="C1710" s="47">
        <f>IF(B1710="","",IFERROR(INDEX('隊員マスタ'!$B$5:$B$204,MATCH(B1710&amp;"",'隊員マスタ'!$F$5:$F$204,0)),IF(AK1710="","番号なし",AK1710)))</f>
        <v/>
      </c>
      <c r="D1710" s="47" t="n"/>
      <c r="E1710" s="47" t="n"/>
      <c r="F1710" s="47" t="n"/>
      <c r="G1710" s="47" t="n"/>
      <c r="H1710" s="47" t="n"/>
      <c r="I1710" s="47" t="n"/>
      <c r="J1710" s="47" t="n"/>
      <c r="K1710" s="47" t="n"/>
      <c r="L1710" s="47" t="n"/>
      <c r="M1710" s="47" t="n"/>
      <c r="N1710" s="47" t="n"/>
      <c r="O1710" s="47" t="n"/>
      <c r="P1710" s="47" t="n"/>
      <c r="Q1710" s="47" t="n"/>
      <c r="R1710" s="47" t="n"/>
      <c r="S1710" s="47" t="n"/>
      <c r="T1710" s="47" t="n"/>
      <c r="U1710" s="53" t="n"/>
      <c r="V1710" s="53" t="n"/>
      <c r="W1710" s="47" t="n"/>
      <c r="X1710" s="47" t="n"/>
      <c r="Y1710" s="47" t="n"/>
      <c r="Z1710" s="47" t="n"/>
      <c r="AA1710" s="47" t="n"/>
      <c r="AB1710" s="47" t="n"/>
      <c r="AC1710" s="47" t="n"/>
      <c r="AD1710" s="47" t="n"/>
      <c r="AE1710" s="47" t="n"/>
      <c r="AF1710" s="20">
        <f>IF(A1710="","",YEAR(EDATE(A1710,-3)))</f>
        <v/>
      </c>
      <c r="AG1710" s="20">
        <f>IF(OR(B1710="",'経歴簿'!$C$4=""),"",IF(B1710&amp;""='経歴簿'!$C$4&amp;"",MAX($AG$4:AG1709)+1,""))</f>
        <v/>
      </c>
      <c r="AH1710" s="20">
        <f>IF(A1710="",0,IF(AND(OR('CSV抽出'!$C$4="",A1710&gt;='CSV抽出'!$C$4),OR('CSV抽出'!$C$5="",A1710&lt;='CSV抽出'!$C$5),OR('CSV抽出'!$C$6="すべて",'CSV抽出'!$C$6="",D1710='CSV抽出'!$C$6),OR('CSV抽出'!$C$7="",B1710&amp;""='CSV抽出'!$C$7&amp;"")),1,0))</f>
        <v/>
      </c>
      <c r="AI1710" s="20">
        <f>IF(AH1710=1,SUM($AH$5:AH1710),"")</f>
        <v/>
      </c>
      <c r="AJ1710" s="20">
        <f>IF(OR(S1710="",'報告書'!$C$4=""),"",IF(S1710&amp;""='報告書'!$C$4&amp;"",COUNTIF($S$5:S1710,'報告書'!$C$4),""))</f>
        <v/>
      </c>
      <c r="AK1710" s="20" t="n"/>
      <c r="AL1710" s="47" t="n"/>
      <c r="AM1710" s="47" t="n"/>
      <c r="AN1710" s="53" t="n"/>
      <c r="AO1710" s="47" t="n"/>
      <c r="AP1710" s="47" t="n"/>
      <c r="AQ1710" s="47" t="n"/>
      <c r="AR1710" s="47" t="n"/>
      <c r="AS1710" s="47" t="n"/>
      <c r="AT1710" s="47" t="n"/>
      <c r="AU1710" s="47" t="n"/>
      <c r="AV1710" s="47" t="n"/>
      <c r="AW1710" s="52" t="n"/>
    </row>
    <row r="1711">
      <c r="A1711" s="48" t="n"/>
      <c r="B1711" s="52" t="n"/>
      <c r="C1711" s="47">
        <f>IF(B1711="","",IFERROR(INDEX('隊員マスタ'!$B$5:$B$204,MATCH(B1711&amp;"",'隊員マスタ'!$F$5:$F$204,0)),IF(AK1711="","番号なし",AK1711)))</f>
        <v/>
      </c>
      <c r="D1711" s="47" t="n"/>
      <c r="E1711" s="47" t="n"/>
      <c r="F1711" s="47" t="n"/>
      <c r="G1711" s="47" t="n"/>
      <c r="H1711" s="47" t="n"/>
      <c r="I1711" s="47" t="n"/>
      <c r="J1711" s="47" t="n"/>
      <c r="K1711" s="47" t="n"/>
      <c r="L1711" s="47" t="n"/>
      <c r="M1711" s="47" t="n"/>
      <c r="N1711" s="47" t="n"/>
      <c r="O1711" s="47" t="n"/>
      <c r="P1711" s="47" t="n"/>
      <c r="Q1711" s="47" t="n"/>
      <c r="R1711" s="47" t="n"/>
      <c r="S1711" s="47" t="n"/>
      <c r="T1711" s="47" t="n"/>
      <c r="U1711" s="53" t="n"/>
      <c r="V1711" s="53" t="n"/>
      <c r="W1711" s="47" t="n"/>
      <c r="X1711" s="47" t="n"/>
      <c r="Y1711" s="47" t="n"/>
      <c r="Z1711" s="47" t="n"/>
      <c r="AA1711" s="47" t="n"/>
      <c r="AB1711" s="47" t="n"/>
      <c r="AC1711" s="47" t="n"/>
      <c r="AD1711" s="47" t="n"/>
      <c r="AE1711" s="47" t="n"/>
      <c r="AF1711" s="20">
        <f>IF(A1711="","",YEAR(EDATE(A1711,-3)))</f>
        <v/>
      </c>
      <c r="AG1711" s="20">
        <f>IF(OR(B1711="",'経歴簿'!$C$4=""),"",IF(B1711&amp;""='経歴簿'!$C$4&amp;"",MAX($AG$4:AG1710)+1,""))</f>
        <v/>
      </c>
      <c r="AH1711" s="20">
        <f>IF(A1711="",0,IF(AND(OR('CSV抽出'!$C$4="",A1711&gt;='CSV抽出'!$C$4),OR('CSV抽出'!$C$5="",A1711&lt;='CSV抽出'!$C$5),OR('CSV抽出'!$C$6="すべて",'CSV抽出'!$C$6="",D1711='CSV抽出'!$C$6),OR('CSV抽出'!$C$7="",B1711&amp;""='CSV抽出'!$C$7&amp;"")),1,0))</f>
        <v/>
      </c>
      <c r="AI1711" s="20">
        <f>IF(AH1711=1,SUM($AH$5:AH1711),"")</f>
        <v/>
      </c>
      <c r="AJ1711" s="20">
        <f>IF(OR(S1711="",'報告書'!$C$4=""),"",IF(S1711&amp;""='報告書'!$C$4&amp;"",COUNTIF($S$5:S1711,'報告書'!$C$4),""))</f>
        <v/>
      </c>
      <c r="AK1711" s="20" t="n"/>
      <c r="AL1711" s="47" t="n"/>
      <c r="AM1711" s="47" t="n"/>
      <c r="AN1711" s="53" t="n"/>
      <c r="AO1711" s="47" t="n"/>
      <c r="AP1711" s="47" t="n"/>
      <c r="AQ1711" s="47" t="n"/>
      <c r="AR1711" s="47" t="n"/>
      <c r="AS1711" s="47" t="n"/>
      <c r="AT1711" s="47" t="n"/>
      <c r="AU1711" s="47" t="n"/>
      <c r="AV1711" s="47" t="n"/>
      <c r="AW1711" s="52" t="n"/>
    </row>
    <row r="1712">
      <c r="A1712" s="48" t="n"/>
      <c r="B1712" s="52" t="n"/>
      <c r="C1712" s="47">
        <f>IF(B1712="","",IFERROR(INDEX('隊員マスタ'!$B$5:$B$204,MATCH(B1712&amp;"",'隊員マスタ'!$F$5:$F$204,0)),IF(AK1712="","番号なし",AK1712)))</f>
        <v/>
      </c>
      <c r="D1712" s="47" t="n"/>
      <c r="E1712" s="47" t="n"/>
      <c r="F1712" s="47" t="n"/>
      <c r="G1712" s="47" t="n"/>
      <c r="H1712" s="47" t="n"/>
      <c r="I1712" s="47" t="n"/>
      <c r="J1712" s="47" t="n"/>
      <c r="K1712" s="47" t="n"/>
      <c r="L1712" s="47" t="n"/>
      <c r="M1712" s="47" t="n"/>
      <c r="N1712" s="47" t="n"/>
      <c r="O1712" s="47" t="n"/>
      <c r="P1712" s="47" t="n"/>
      <c r="Q1712" s="47" t="n"/>
      <c r="R1712" s="47" t="n"/>
      <c r="S1712" s="47" t="n"/>
      <c r="T1712" s="47" t="n"/>
      <c r="U1712" s="53" t="n"/>
      <c r="V1712" s="53" t="n"/>
      <c r="W1712" s="47" t="n"/>
      <c r="X1712" s="47" t="n"/>
      <c r="Y1712" s="47" t="n"/>
      <c r="Z1712" s="47" t="n"/>
      <c r="AA1712" s="47" t="n"/>
      <c r="AB1712" s="47" t="n"/>
      <c r="AC1712" s="47" t="n"/>
      <c r="AD1712" s="47" t="n"/>
      <c r="AE1712" s="47" t="n"/>
      <c r="AF1712" s="20">
        <f>IF(A1712="","",YEAR(EDATE(A1712,-3)))</f>
        <v/>
      </c>
      <c r="AG1712" s="20">
        <f>IF(OR(B1712="",'経歴簿'!$C$4=""),"",IF(B1712&amp;""='経歴簿'!$C$4&amp;"",MAX($AG$4:AG1711)+1,""))</f>
        <v/>
      </c>
      <c r="AH1712" s="20">
        <f>IF(A1712="",0,IF(AND(OR('CSV抽出'!$C$4="",A1712&gt;='CSV抽出'!$C$4),OR('CSV抽出'!$C$5="",A1712&lt;='CSV抽出'!$C$5),OR('CSV抽出'!$C$6="すべて",'CSV抽出'!$C$6="",D1712='CSV抽出'!$C$6),OR('CSV抽出'!$C$7="",B1712&amp;""='CSV抽出'!$C$7&amp;"")),1,0))</f>
        <v/>
      </c>
      <c r="AI1712" s="20">
        <f>IF(AH1712=1,SUM($AH$5:AH1712),"")</f>
        <v/>
      </c>
      <c r="AJ1712" s="20">
        <f>IF(OR(S1712="",'報告書'!$C$4=""),"",IF(S1712&amp;""='報告書'!$C$4&amp;"",COUNTIF($S$5:S1712,'報告書'!$C$4),""))</f>
        <v/>
      </c>
      <c r="AK1712" s="20" t="n"/>
      <c r="AL1712" s="47" t="n"/>
      <c r="AM1712" s="47" t="n"/>
      <c r="AN1712" s="53" t="n"/>
      <c r="AO1712" s="47" t="n"/>
      <c r="AP1712" s="47" t="n"/>
      <c r="AQ1712" s="47" t="n"/>
      <c r="AR1712" s="47" t="n"/>
      <c r="AS1712" s="47" t="n"/>
      <c r="AT1712" s="47" t="n"/>
      <c r="AU1712" s="47" t="n"/>
      <c r="AV1712" s="47" t="n"/>
      <c r="AW1712" s="52" t="n"/>
    </row>
    <row r="1713">
      <c r="A1713" s="48" t="n"/>
      <c r="B1713" s="52" t="n"/>
      <c r="C1713" s="47">
        <f>IF(B1713="","",IFERROR(INDEX('隊員マスタ'!$B$5:$B$204,MATCH(B1713&amp;"",'隊員マスタ'!$F$5:$F$204,0)),IF(AK1713="","番号なし",AK1713)))</f>
        <v/>
      </c>
      <c r="D1713" s="47" t="n"/>
      <c r="E1713" s="47" t="n"/>
      <c r="F1713" s="47" t="n"/>
      <c r="G1713" s="47" t="n"/>
      <c r="H1713" s="47" t="n"/>
      <c r="I1713" s="47" t="n"/>
      <c r="J1713" s="47" t="n"/>
      <c r="K1713" s="47" t="n"/>
      <c r="L1713" s="47" t="n"/>
      <c r="M1713" s="47" t="n"/>
      <c r="N1713" s="47" t="n"/>
      <c r="O1713" s="47" t="n"/>
      <c r="P1713" s="47" t="n"/>
      <c r="Q1713" s="47" t="n"/>
      <c r="R1713" s="47" t="n"/>
      <c r="S1713" s="47" t="n"/>
      <c r="T1713" s="47" t="n"/>
      <c r="U1713" s="53" t="n"/>
      <c r="V1713" s="53" t="n"/>
      <c r="W1713" s="47" t="n"/>
      <c r="X1713" s="47" t="n"/>
      <c r="Y1713" s="47" t="n"/>
      <c r="Z1713" s="47" t="n"/>
      <c r="AA1713" s="47" t="n"/>
      <c r="AB1713" s="47" t="n"/>
      <c r="AC1713" s="47" t="n"/>
      <c r="AD1713" s="47" t="n"/>
      <c r="AE1713" s="47" t="n"/>
      <c r="AF1713" s="20">
        <f>IF(A1713="","",YEAR(EDATE(A1713,-3)))</f>
        <v/>
      </c>
      <c r="AG1713" s="20">
        <f>IF(OR(B1713="",'経歴簿'!$C$4=""),"",IF(B1713&amp;""='経歴簿'!$C$4&amp;"",MAX($AG$4:AG1712)+1,""))</f>
        <v/>
      </c>
      <c r="AH1713" s="20">
        <f>IF(A1713="",0,IF(AND(OR('CSV抽出'!$C$4="",A1713&gt;='CSV抽出'!$C$4),OR('CSV抽出'!$C$5="",A1713&lt;='CSV抽出'!$C$5),OR('CSV抽出'!$C$6="すべて",'CSV抽出'!$C$6="",D1713='CSV抽出'!$C$6),OR('CSV抽出'!$C$7="",B1713&amp;""='CSV抽出'!$C$7&amp;"")),1,0))</f>
        <v/>
      </c>
      <c r="AI1713" s="20">
        <f>IF(AH1713=1,SUM($AH$5:AH1713),"")</f>
        <v/>
      </c>
      <c r="AJ1713" s="20">
        <f>IF(OR(S1713="",'報告書'!$C$4=""),"",IF(S1713&amp;""='報告書'!$C$4&amp;"",COUNTIF($S$5:S1713,'報告書'!$C$4),""))</f>
        <v/>
      </c>
      <c r="AK1713" s="20" t="n"/>
      <c r="AL1713" s="47" t="n"/>
      <c r="AM1713" s="47" t="n"/>
      <c r="AN1713" s="53" t="n"/>
      <c r="AO1713" s="47" t="n"/>
      <c r="AP1713" s="47" t="n"/>
      <c r="AQ1713" s="47" t="n"/>
      <c r="AR1713" s="47" t="n"/>
      <c r="AS1713" s="47" t="n"/>
      <c r="AT1713" s="47" t="n"/>
      <c r="AU1713" s="47" t="n"/>
      <c r="AV1713" s="47" t="n"/>
      <c r="AW1713" s="52" t="n"/>
    </row>
    <row r="1714">
      <c r="A1714" s="48" t="n"/>
      <c r="B1714" s="52" t="n"/>
      <c r="C1714" s="47">
        <f>IF(B1714="","",IFERROR(INDEX('隊員マスタ'!$B$5:$B$204,MATCH(B1714&amp;"",'隊員マスタ'!$F$5:$F$204,0)),IF(AK1714="","番号なし",AK1714)))</f>
        <v/>
      </c>
      <c r="D1714" s="47" t="n"/>
      <c r="E1714" s="47" t="n"/>
      <c r="F1714" s="47" t="n"/>
      <c r="G1714" s="47" t="n"/>
      <c r="H1714" s="47" t="n"/>
      <c r="I1714" s="47" t="n"/>
      <c r="J1714" s="47" t="n"/>
      <c r="K1714" s="47" t="n"/>
      <c r="L1714" s="47" t="n"/>
      <c r="M1714" s="47" t="n"/>
      <c r="N1714" s="47" t="n"/>
      <c r="O1714" s="47" t="n"/>
      <c r="P1714" s="47" t="n"/>
      <c r="Q1714" s="47" t="n"/>
      <c r="R1714" s="47" t="n"/>
      <c r="S1714" s="47" t="n"/>
      <c r="T1714" s="47" t="n"/>
      <c r="U1714" s="53" t="n"/>
      <c r="V1714" s="53" t="n"/>
      <c r="W1714" s="47" t="n"/>
      <c r="X1714" s="47" t="n"/>
      <c r="Y1714" s="47" t="n"/>
      <c r="Z1714" s="47" t="n"/>
      <c r="AA1714" s="47" t="n"/>
      <c r="AB1714" s="47" t="n"/>
      <c r="AC1714" s="47" t="n"/>
      <c r="AD1714" s="47" t="n"/>
      <c r="AE1714" s="47" t="n"/>
      <c r="AF1714" s="20">
        <f>IF(A1714="","",YEAR(EDATE(A1714,-3)))</f>
        <v/>
      </c>
      <c r="AG1714" s="20">
        <f>IF(OR(B1714="",'経歴簿'!$C$4=""),"",IF(B1714&amp;""='経歴簿'!$C$4&amp;"",MAX($AG$4:AG1713)+1,""))</f>
        <v/>
      </c>
      <c r="AH1714" s="20">
        <f>IF(A1714="",0,IF(AND(OR('CSV抽出'!$C$4="",A1714&gt;='CSV抽出'!$C$4),OR('CSV抽出'!$C$5="",A1714&lt;='CSV抽出'!$C$5),OR('CSV抽出'!$C$6="すべて",'CSV抽出'!$C$6="",D1714='CSV抽出'!$C$6),OR('CSV抽出'!$C$7="",B1714&amp;""='CSV抽出'!$C$7&amp;"")),1,0))</f>
        <v/>
      </c>
      <c r="AI1714" s="20">
        <f>IF(AH1714=1,SUM($AH$5:AH1714),"")</f>
        <v/>
      </c>
      <c r="AJ1714" s="20">
        <f>IF(OR(S1714="",'報告書'!$C$4=""),"",IF(S1714&amp;""='報告書'!$C$4&amp;"",COUNTIF($S$5:S1714,'報告書'!$C$4),""))</f>
        <v/>
      </c>
      <c r="AK1714" s="20" t="n"/>
      <c r="AL1714" s="47" t="n"/>
      <c r="AM1714" s="47" t="n"/>
      <c r="AN1714" s="53" t="n"/>
      <c r="AO1714" s="47" t="n"/>
      <c r="AP1714" s="47" t="n"/>
      <c r="AQ1714" s="47" t="n"/>
      <c r="AR1714" s="47" t="n"/>
      <c r="AS1714" s="47" t="n"/>
      <c r="AT1714" s="47" t="n"/>
      <c r="AU1714" s="47" t="n"/>
      <c r="AV1714" s="47" t="n"/>
      <c r="AW1714" s="52" t="n"/>
    </row>
    <row r="1715">
      <c r="A1715" s="48" t="n"/>
      <c r="B1715" s="52" t="n"/>
      <c r="C1715" s="47">
        <f>IF(B1715="","",IFERROR(INDEX('隊員マスタ'!$B$5:$B$204,MATCH(B1715&amp;"",'隊員マスタ'!$F$5:$F$204,0)),IF(AK1715="","番号なし",AK1715)))</f>
        <v/>
      </c>
      <c r="D1715" s="47" t="n"/>
      <c r="E1715" s="47" t="n"/>
      <c r="F1715" s="47" t="n"/>
      <c r="G1715" s="47" t="n"/>
      <c r="H1715" s="47" t="n"/>
      <c r="I1715" s="47" t="n"/>
      <c r="J1715" s="47" t="n"/>
      <c r="K1715" s="47" t="n"/>
      <c r="L1715" s="47" t="n"/>
      <c r="M1715" s="47" t="n"/>
      <c r="N1715" s="47" t="n"/>
      <c r="O1715" s="47" t="n"/>
      <c r="P1715" s="47" t="n"/>
      <c r="Q1715" s="47" t="n"/>
      <c r="R1715" s="47" t="n"/>
      <c r="S1715" s="47" t="n"/>
      <c r="T1715" s="47" t="n"/>
      <c r="U1715" s="53" t="n"/>
      <c r="V1715" s="53" t="n"/>
      <c r="W1715" s="47" t="n"/>
      <c r="X1715" s="47" t="n"/>
      <c r="Y1715" s="47" t="n"/>
      <c r="Z1715" s="47" t="n"/>
      <c r="AA1715" s="47" t="n"/>
      <c r="AB1715" s="47" t="n"/>
      <c r="AC1715" s="47" t="n"/>
      <c r="AD1715" s="47" t="n"/>
      <c r="AE1715" s="47" t="n"/>
      <c r="AF1715" s="20">
        <f>IF(A1715="","",YEAR(EDATE(A1715,-3)))</f>
        <v/>
      </c>
      <c r="AG1715" s="20">
        <f>IF(OR(B1715="",'経歴簿'!$C$4=""),"",IF(B1715&amp;""='経歴簿'!$C$4&amp;"",MAX($AG$4:AG1714)+1,""))</f>
        <v/>
      </c>
      <c r="AH1715" s="20">
        <f>IF(A1715="",0,IF(AND(OR('CSV抽出'!$C$4="",A1715&gt;='CSV抽出'!$C$4),OR('CSV抽出'!$C$5="",A1715&lt;='CSV抽出'!$C$5),OR('CSV抽出'!$C$6="すべて",'CSV抽出'!$C$6="",D1715='CSV抽出'!$C$6),OR('CSV抽出'!$C$7="",B1715&amp;""='CSV抽出'!$C$7&amp;"")),1,0))</f>
        <v/>
      </c>
      <c r="AI1715" s="20">
        <f>IF(AH1715=1,SUM($AH$5:AH1715),"")</f>
        <v/>
      </c>
      <c r="AJ1715" s="20">
        <f>IF(OR(S1715="",'報告書'!$C$4=""),"",IF(S1715&amp;""='報告書'!$C$4&amp;"",COUNTIF($S$5:S1715,'報告書'!$C$4),""))</f>
        <v/>
      </c>
      <c r="AK1715" s="20" t="n"/>
      <c r="AL1715" s="47" t="n"/>
      <c r="AM1715" s="47" t="n"/>
      <c r="AN1715" s="53" t="n"/>
      <c r="AO1715" s="47" t="n"/>
      <c r="AP1715" s="47" t="n"/>
      <c r="AQ1715" s="47" t="n"/>
      <c r="AR1715" s="47" t="n"/>
      <c r="AS1715" s="47" t="n"/>
      <c r="AT1715" s="47" t="n"/>
      <c r="AU1715" s="47" t="n"/>
      <c r="AV1715" s="47" t="n"/>
      <c r="AW1715" s="52" t="n"/>
    </row>
    <row r="1716">
      <c r="A1716" s="48" t="n"/>
      <c r="B1716" s="52" t="n"/>
      <c r="C1716" s="47">
        <f>IF(B1716="","",IFERROR(INDEX('隊員マスタ'!$B$5:$B$204,MATCH(B1716&amp;"",'隊員マスタ'!$F$5:$F$204,0)),IF(AK1716="","番号なし",AK1716)))</f>
        <v/>
      </c>
      <c r="D1716" s="47" t="n"/>
      <c r="E1716" s="47" t="n"/>
      <c r="F1716" s="47" t="n"/>
      <c r="G1716" s="47" t="n"/>
      <c r="H1716" s="47" t="n"/>
      <c r="I1716" s="47" t="n"/>
      <c r="J1716" s="47" t="n"/>
      <c r="K1716" s="47" t="n"/>
      <c r="L1716" s="47" t="n"/>
      <c r="M1716" s="47" t="n"/>
      <c r="N1716" s="47" t="n"/>
      <c r="O1716" s="47" t="n"/>
      <c r="P1716" s="47" t="n"/>
      <c r="Q1716" s="47" t="n"/>
      <c r="R1716" s="47" t="n"/>
      <c r="S1716" s="47" t="n"/>
      <c r="T1716" s="47" t="n"/>
      <c r="U1716" s="53" t="n"/>
      <c r="V1716" s="53" t="n"/>
      <c r="W1716" s="47" t="n"/>
      <c r="X1716" s="47" t="n"/>
      <c r="Y1716" s="47" t="n"/>
      <c r="Z1716" s="47" t="n"/>
      <c r="AA1716" s="47" t="n"/>
      <c r="AB1716" s="47" t="n"/>
      <c r="AC1716" s="47" t="n"/>
      <c r="AD1716" s="47" t="n"/>
      <c r="AE1716" s="47" t="n"/>
      <c r="AF1716" s="20">
        <f>IF(A1716="","",YEAR(EDATE(A1716,-3)))</f>
        <v/>
      </c>
      <c r="AG1716" s="20">
        <f>IF(OR(B1716="",'経歴簿'!$C$4=""),"",IF(B1716&amp;""='経歴簿'!$C$4&amp;"",MAX($AG$4:AG1715)+1,""))</f>
        <v/>
      </c>
      <c r="AH1716" s="20">
        <f>IF(A1716="",0,IF(AND(OR('CSV抽出'!$C$4="",A1716&gt;='CSV抽出'!$C$4),OR('CSV抽出'!$C$5="",A1716&lt;='CSV抽出'!$C$5),OR('CSV抽出'!$C$6="すべて",'CSV抽出'!$C$6="",D1716='CSV抽出'!$C$6),OR('CSV抽出'!$C$7="",B1716&amp;""='CSV抽出'!$C$7&amp;"")),1,0))</f>
        <v/>
      </c>
      <c r="AI1716" s="20">
        <f>IF(AH1716=1,SUM($AH$5:AH1716),"")</f>
        <v/>
      </c>
      <c r="AJ1716" s="20">
        <f>IF(OR(S1716="",'報告書'!$C$4=""),"",IF(S1716&amp;""='報告書'!$C$4&amp;"",COUNTIF($S$5:S1716,'報告書'!$C$4),""))</f>
        <v/>
      </c>
      <c r="AK1716" s="20" t="n"/>
      <c r="AL1716" s="47" t="n"/>
      <c r="AM1716" s="47" t="n"/>
      <c r="AN1716" s="53" t="n"/>
      <c r="AO1716" s="47" t="n"/>
      <c r="AP1716" s="47" t="n"/>
      <c r="AQ1716" s="47" t="n"/>
      <c r="AR1716" s="47" t="n"/>
      <c r="AS1716" s="47" t="n"/>
      <c r="AT1716" s="47" t="n"/>
      <c r="AU1716" s="47" t="n"/>
      <c r="AV1716" s="47" t="n"/>
      <c r="AW1716" s="52" t="n"/>
    </row>
    <row r="1717">
      <c r="A1717" s="48" t="n"/>
      <c r="B1717" s="52" t="n"/>
      <c r="C1717" s="47">
        <f>IF(B1717="","",IFERROR(INDEX('隊員マスタ'!$B$5:$B$204,MATCH(B1717&amp;"",'隊員マスタ'!$F$5:$F$204,0)),IF(AK1717="","番号なし",AK1717)))</f>
        <v/>
      </c>
      <c r="D1717" s="47" t="n"/>
      <c r="E1717" s="47" t="n"/>
      <c r="F1717" s="47" t="n"/>
      <c r="G1717" s="47" t="n"/>
      <c r="H1717" s="47" t="n"/>
      <c r="I1717" s="47" t="n"/>
      <c r="J1717" s="47" t="n"/>
      <c r="K1717" s="47" t="n"/>
      <c r="L1717" s="47" t="n"/>
      <c r="M1717" s="47" t="n"/>
      <c r="N1717" s="47" t="n"/>
      <c r="O1717" s="47" t="n"/>
      <c r="P1717" s="47" t="n"/>
      <c r="Q1717" s="47" t="n"/>
      <c r="R1717" s="47" t="n"/>
      <c r="S1717" s="47" t="n"/>
      <c r="T1717" s="47" t="n"/>
      <c r="U1717" s="53" t="n"/>
      <c r="V1717" s="53" t="n"/>
      <c r="W1717" s="47" t="n"/>
      <c r="X1717" s="47" t="n"/>
      <c r="Y1717" s="47" t="n"/>
      <c r="Z1717" s="47" t="n"/>
      <c r="AA1717" s="47" t="n"/>
      <c r="AB1717" s="47" t="n"/>
      <c r="AC1717" s="47" t="n"/>
      <c r="AD1717" s="47" t="n"/>
      <c r="AE1717" s="47" t="n"/>
      <c r="AF1717" s="20">
        <f>IF(A1717="","",YEAR(EDATE(A1717,-3)))</f>
        <v/>
      </c>
      <c r="AG1717" s="20">
        <f>IF(OR(B1717="",'経歴簿'!$C$4=""),"",IF(B1717&amp;""='経歴簿'!$C$4&amp;"",MAX($AG$4:AG1716)+1,""))</f>
        <v/>
      </c>
      <c r="AH1717" s="20">
        <f>IF(A1717="",0,IF(AND(OR('CSV抽出'!$C$4="",A1717&gt;='CSV抽出'!$C$4),OR('CSV抽出'!$C$5="",A1717&lt;='CSV抽出'!$C$5),OR('CSV抽出'!$C$6="すべて",'CSV抽出'!$C$6="",D1717='CSV抽出'!$C$6),OR('CSV抽出'!$C$7="",B1717&amp;""='CSV抽出'!$C$7&amp;"")),1,0))</f>
        <v/>
      </c>
      <c r="AI1717" s="20">
        <f>IF(AH1717=1,SUM($AH$5:AH1717),"")</f>
        <v/>
      </c>
      <c r="AJ1717" s="20">
        <f>IF(OR(S1717="",'報告書'!$C$4=""),"",IF(S1717&amp;""='報告書'!$C$4&amp;"",COUNTIF($S$5:S1717,'報告書'!$C$4),""))</f>
        <v/>
      </c>
      <c r="AK1717" s="20" t="n"/>
      <c r="AL1717" s="47" t="n"/>
      <c r="AM1717" s="47" t="n"/>
      <c r="AN1717" s="53" t="n"/>
      <c r="AO1717" s="47" t="n"/>
      <c r="AP1717" s="47" t="n"/>
      <c r="AQ1717" s="47" t="n"/>
      <c r="AR1717" s="47" t="n"/>
      <c r="AS1717" s="47" t="n"/>
      <c r="AT1717" s="47" t="n"/>
      <c r="AU1717" s="47" t="n"/>
      <c r="AV1717" s="47" t="n"/>
      <c r="AW1717" s="52" t="n"/>
    </row>
    <row r="1718">
      <c r="A1718" s="48" t="n"/>
      <c r="B1718" s="52" t="n"/>
      <c r="C1718" s="47">
        <f>IF(B1718="","",IFERROR(INDEX('隊員マスタ'!$B$5:$B$204,MATCH(B1718&amp;"",'隊員マスタ'!$F$5:$F$204,0)),IF(AK1718="","番号なし",AK1718)))</f>
        <v/>
      </c>
      <c r="D1718" s="47" t="n"/>
      <c r="E1718" s="47" t="n"/>
      <c r="F1718" s="47" t="n"/>
      <c r="G1718" s="47" t="n"/>
      <c r="H1718" s="47" t="n"/>
      <c r="I1718" s="47" t="n"/>
      <c r="J1718" s="47" t="n"/>
      <c r="K1718" s="47" t="n"/>
      <c r="L1718" s="47" t="n"/>
      <c r="M1718" s="47" t="n"/>
      <c r="N1718" s="47" t="n"/>
      <c r="O1718" s="47" t="n"/>
      <c r="P1718" s="47" t="n"/>
      <c r="Q1718" s="47" t="n"/>
      <c r="R1718" s="47" t="n"/>
      <c r="S1718" s="47" t="n"/>
      <c r="T1718" s="47" t="n"/>
      <c r="U1718" s="53" t="n"/>
      <c r="V1718" s="53" t="n"/>
      <c r="W1718" s="47" t="n"/>
      <c r="X1718" s="47" t="n"/>
      <c r="Y1718" s="47" t="n"/>
      <c r="Z1718" s="47" t="n"/>
      <c r="AA1718" s="47" t="n"/>
      <c r="AB1718" s="47" t="n"/>
      <c r="AC1718" s="47" t="n"/>
      <c r="AD1718" s="47" t="n"/>
      <c r="AE1718" s="47" t="n"/>
      <c r="AF1718" s="20">
        <f>IF(A1718="","",YEAR(EDATE(A1718,-3)))</f>
        <v/>
      </c>
      <c r="AG1718" s="20">
        <f>IF(OR(B1718="",'経歴簿'!$C$4=""),"",IF(B1718&amp;""='経歴簿'!$C$4&amp;"",MAX($AG$4:AG1717)+1,""))</f>
        <v/>
      </c>
      <c r="AH1718" s="20">
        <f>IF(A1718="",0,IF(AND(OR('CSV抽出'!$C$4="",A1718&gt;='CSV抽出'!$C$4),OR('CSV抽出'!$C$5="",A1718&lt;='CSV抽出'!$C$5),OR('CSV抽出'!$C$6="すべて",'CSV抽出'!$C$6="",D1718='CSV抽出'!$C$6),OR('CSV抽出'!$C$7="",B1718&amp;""='CSV抽出'!$C$7&amp;"")),1,0))</f>
        <v/>
      </c>
      <c r="AI1718" s="20">
        <f>IF(AH1718=1,SUM($AH$5:AH1718),"")</f>
        <v/>
      </c>
      <c r="AJ1718" s="20">
        <f>IF(OR(S1718="",'報告書'!$C$4=""),"",IF(S1718&amp;""='報告書'!$C$4&amp;"",COUNTIF($S$5:S1718,'報告書'!$C$4),""))</f>
        <v/>
      </c>
      <c r="AK1718" s="20" t="n"/>
      <c r="AL1718" s="47" t="n"/>
      <c r="AM1718" s="47" t="n"/>
      <c r="AN1718" s="53" t="n"/>
      <c r="AO1718" s="47" t="n"/>
      <c r="AP1718" s="47" t="n"/>
      <c r="AQ1718" s="47" t="n"/>
      <c r="AR1718" s="47" t="n"/>
      <c r="AS1718" s="47" t="n"/>
      <c r="AT1718" s="47" t="n"/>
      <c r="AU1718" s="47" t="n"/>
      <c r="AV1718" s="47" t="n"/>
      <c r="AW1718" s="52" t="n"/>
    </row>
    <row r="1719">
      <c r="A1719" s="48" t="n"/>
      <c r="B1719" s="52" t="n"/>
      <c r="C1719" s="47">
        <f>IF(B1719="","",IFERROR(INDEX('隊員マスタ'!$B$5:$B$204,MATCH(B1719&amp;"",'隊員マスタ'!$F$5:$F$204,0)),IF(AK1719="","番号なし",AK1719)))</f>
        <v/>
      </c>
      <c r="D1719" s="47" t="n"/>
      <c r="E1719" s="47" t="n"/>
      <c r="F1719" s="47" t="n"/>
      <c r="G1719" s="47" t="n"/>
      <c r="H1719" s="47" t="n"/>
      <c r="I1719" s="47" t="n"/>
      <c r="J1719" s="47" t="n"/>
      <c r="K1719" s="47" t="n"/>
      <c r="L1719" s="47" t="n"/>
      <c r="M1719" s="47" t="n"/>
      <c r="N1719" s="47" t="n"/>
      <c r="O1719" s="47" t="n"/>
      <c r="P1719" s="47" t="n"/>
      <c r="Q1719" s="47" t="n"/>
      <c r="R1719" s="47" t="n"/>
      <c r="S1719" s="47" t="n"/>
      <c r="T1719" s="47" t="n"/>
      <c r="U1719" s="53" t="n"/>
      <c r="V1719" s="53" t="n"/>
      <c r="W1719" s="47" t="n"/>
      <c r="X1719" s="47" t="n"/>
      <c r="Y1719" s="47" t="n"/>
      <c r="Z1719" s="47" t="n"/>
      <c r="AA1719" s="47" t="n"/>
      <c r="AB1719" s="47" t="n"/>
      <c r="AC1719" s="47" t="n"/>
      <c r="AD1719" s="47" t="n"/>
      <c r="AE1719" s="47" t="n"/>
      <c r="AF1719" s="20">
        <f>IF(A1719="","",YEAR(EDATE(A1719,-3)))</f>
        <v/>
      </c>
      <c r="AG1719" s="20">
        <f>IF(OR(B1719="",'経歴簿'!$C$4=""),"",IF(B1719&amp;""='経歴簿'!$C$4&amp;"",MAX($AG$4:AG1718)+1,""))</f>
        <v/>
      </c>
      <c r="AH1719" s="20">
        <f>IF(A1719="",0,IF(AND(OR('CSV抽出'!$C$4="",A1719&gt;='CSV抽出'!$C$4),OR('CSV抽出'!$C$5="",A1719&lt;='CSV抽出'!$C$5),OR('CSV抽出'!$C$6="すべて",'CSV抽出'!$C$6="",D1719='CSV抽出'!$C$6),OR('CSV抽出'!$C$7="",B1719&amp;""='CSV抽出'!$C$7&amp;"")),1,0))</f>
        <v/>
      </c>
      <c r="AI1719" s="20">
        <f>IF(AH1719=1,SUM($AH$5:AH1719),"")</f>
        <v/>
      </c>
      <c r="AJ1719" s="20">
        <f>IF(OR(S1719="",'報告書'!$C$4=""),"",IF(S1719&amp;""='報告書'!$C$4&amp;"",COUNTIF($S$5:S1719,'報告書'!$C$4),""))</f>
        <v/>
      </c>
      <c r="AK1719" s="20" t="n"/>
      <c r="AL1719" s="47" t="n"/>
      <c r="AM1719" s="47" t="n"/>
      <c r="AN1719" s="53" t="n"/>
      <c r="AO1719" s="47" t="n"/>
      <c r="AP1719" s="47" t="n"/>
      <c r="AQ1719" s="47" t="n"/>
      <c r="AR1719" s="47" t="n"/>
      <c r="AS1719" s="47" t="n"/>
      <c r="AT1719" s="47" t="n"/>
      <c r="AU1719" s="47" t="n"/>
      <c r="AV1719" s="47" t="n"/>
      <c r="AW1719" s="52" t="n"/>
    </row>
    <row r="1720">
      <c r="A1720" s="48" t="n"/>
      <c r="B1720" s="52" t="n"/>
      <c r="C1720" s="47">
        <f>IF(B1720="","",IFERROR(INDEX('隊員マスタ'!$B$5:$B$204,MATCH(B1720&amp;"",'隊員マスタ'!$F$5:$F$204,0)),IF(AK1720="","番号なし",AK1720)))</f>
        <v/>
      </c>
      <c r="D1720" s="47" t="n"/>
      <c r="E1720" s="47" t="n"/>
      <c r="F1720" s="47" t="n"/>
      <c r="G1720" s="47" t="n"/>
      <c r="H1720" s="47" t="n"/>
      <c r="I1720" s="47" t="n"/>
      <c r="J1720" s="47" t="n"/>
      <c r="K1720" s="47" t="n"/>
      <c r="L1720" s="47" t="n"/>
      <c r="M1720" s="47" t="n"/>
      <c r="N1720" s="47" t="n"/>
      <c r="O1720" s="47" t="n"/>
      <c r="P1720" s="47" t="n"/>
      <c r="Q1720" s="47" t="n"/>
      <c r="R1720" s="47" t="n"/>
      <c r="S1720" s="47" t="n"/>
      <c r="T1720" s="47" t="n"/>
      <c r="U1720" s="53" t="n"/>
      <c r="V1720" s="53" t="n"/>
      <c r="W1720" s="47" t="n"/>
      <c r="X1720" s="47" t="n"/>
      <c r="Y1720" s="47" t="n"/>
      <c r="Z1720" s="47" t="n"/>
      <c r="AA1720" s="47" t="n"/>
      <c r="AB1720" s="47" t="n"/>
      <c r="AC1720" s="47" t="n"/>
      <c r="AD1720" s="47" t="n"/>
      <c r="AE1720" s="47" t="n"/>
      <c r="AF1720" s="20">
        <f>IF(A1720="","",YEAR(EDATE(A1720,-3)))</f>
        <v/>
      </c>
      <c r="AG1720" s="20">
        <f>IF(OR(B1720="",'経歴簿'!$C$4=""),"",IF(B1720&amp;""='経歴簿'!$C$4&amp;"",MAX($AG$4:AG1719)+1,""))</f>
        <v/>
      </c>
      <c r="AH1720" s="20">
        <f>IF(A1720="",0,IF(AND(OR('CSV抽出'!$C$4="",A1720&gt;='CSV抽出'!$C$4),OR('CSV抽出'!$C$5="",A1720&lt;='CSV抽出'!$C$5),OR('CSV抽出'!$C$6="すべて",'CSV抽出'!$C$6="",D1720='CSV抽出'!$C$6),OR('CSV抽出'!$C$7="",B1720&amp;""='CSV抽出'!$C$7&amp;"")),1,0))</f>
        <v/>
      </c>
      <c r="AI1720" s="20">
        <f>IF(AH1720=1,SUM($AH$5:AH1720),"")</f>
        <v/>
      </c>
      <c r="AJ1720" s="20">
        <f>IF(OR(S1720="",'報告書'!$C$4=""),"",IF(S1720&amp;""='報告書'!$C$4&amp;"",COUNTIF($S$5:S1720,'報告書'!$C$4),""))</f>
        <v/>
      </c>
      <c r="AK1720" s="20" t="n"/>
      <c r="AL1720" s="47" t="n"/>
      <c r="AM1720" s="47" t="n"/>
      <c r="AN1720" s="53" t="n"/>
      <c r="AO1720" s="47" t="n"/>
      <c r="AP1720" s="47" t="n"/>
      <c r="AQ1720" s="47" t="n"/>
      <c r="AR1720" s="47" t="n"/>
      <c r="AS1720" s="47" t="n"/>
      <c r="AT1720" s="47" t="n"/>
      <c r="AU1720" s="47" t="n"/>
      <c r="AV1720" s="47" t="n"/>
      <c r="AW1720" s="52" t="n"/>
    </row>
    <row r="1721">
      <c r="A1721" s="48" t="n"/>
      <c r="B1721" s="52" t="n"/>
      <c r="C1721" s="47">
        <f>IF(B1721="","",IFERROR(INDEX('隊員マスタ'!$B$5:$B$204,MATCH(B1721&amp;"",'隊員マスタ'!$F$5:$F$204,0)),IF(AK1721="","番号なし",AK1721)))</f>
        <v/>
      </c>
      <c r="D1721" s="47" t="n"/>
      <c r="E1721" s="47" t="n"/>
      <c r="F1721" s="47" t="n"/>
      <c r="G1721" s="47" t="n"/>
      <c r="H1721" s="47" t="n"/>
      <c r="I1721" s="47" t="n"/>
      <c r="J1721" s="47" t="n"/>
      <c r="K1721" s="47" t="n"/>
      <c r="L1721" s="47" t="n"/>
      <c r="M1721" s="47" t="n"/>
      <c r="N1721" s="47" t="n"/>
      <c r="O1721" s="47" t="n"/>
      <c r="P1721" s="47" t="n"/>
      <c r="Q1721" s="47" t="n"/>
      <c r="R1721" s="47" t="n"/>
      <c r="S1721" s="47" t="n"/>
      <c r="T1721" s="47" t="n"/>
      <c r="U1721" s="53" t="n"/>
      <c r="V1721" s="53" t="n"/>
      <c r="W1721" s="47" t="n"/>
      <c r="X1721" s="47" t="n"/>
      <c r="Y1721" s="47" t="n"/>
      <c r="Z1721" s="47" t="n"/>
      <c r="AA1721" s="47" t="n"/>
      <c r="AB1721" s="47" t="n"/>
      <c r="AC1721" s="47" t="n"/>
      <c r="AD1721" s="47" t="n"/>
      <c r="AE1721" s="47" t="n"/>
      <c r="AF1721" s="20">
        <f>IF(A1721="","",YEAR(EDATE(A1721,-3)))</f>
        <v/>
      </c>
      <c r="AG1721" s="20">
        <f>IF(OR(B1721="",'経歴簿'!$C$4=""),"",IF(B1721&amp;""='経歴簿'!$C$4&amp;"",MAX($AG$4:AG1720)+1,""))</f>
        <v/>
      </c>
      <c r="AH1721" s="20">
        <f>IF(A1721="",0,IF(AND(OR('CSV抽出'!$C$4="",A1721&gt;='CSV抽出'!$C$4),OR('CSV抽出'!$C$5="",A1721&lt;='CSV抽出'!$C$5),OR('CSV抽出'!$C$6="すべて",'CSV抽出'!$C$6="",D1721='CSV抽出'!$C$6),OR('CSV抽出'!$C$7="",B1721&amp;""='CSV抽出'!$C$7&amp;"")),1,0))</f>
        <v/>
      </c>
      <c r="AI1721" s="20">
        <f>IF(AH1721=1,SUM($AH$5:AH1721),"")</f>
        <v/>
      </c>
      <c r="AJ1721" s="20">
        <f>IF(OR(S1721="",'報告書'!$C$4=""),"",IF(S1721&amp;""='報告書'!$C$4&amp;"",COUNTIF($S$5:S1721,'報告書'!$C$4),""))</f>
        <v/>
      </c>
      <c r="AK1721" s="20" t="n"/>
      <c r="AL1721" s="47" t="n"/>
      <c r="AM1721" s="47" t="n"/>
      <c r="AN1721" s="53" t="n"/>
      <c r="AO1721" s="47" t="n"/>
      <c r="AP1721" s="47" t="n"/>
      <c r="AQ1721" s="47" t="n"/>
      <c r="AR1721" s="47" t="n"/>
      <c r="AS1721" s="47" t="n"/>
      <c r="AT1721" s="47" t="n"/>
      <c r="AU1721" s="47" t="n"/>
      <c r="AV1721" s="47" t="n"/>
      <c r="AW1721" s="52" t="n"/>
    </row>
    <row r="1722">
      <c r="A1722" s="48" t="n"/>
      <c r="B1722" s="52" t="n"/>
      <c r="C1722" s="47">
        <f>IF(B1722="","",IFERROR(INDEX('隊員マスタ'!$B$5:$B$204,MATCH(B1722&amp;"",'隊員マスタ'!$F$5:$F$204,0)),IF(AK1722="","番号なし",AK1722)))</f>
        <v/>
      </c>
      <c r="D1722" s="47" t="n"/>
      <c r="E1722" s="47" t="n"/>
      <c r="F1722" s="47" t="n"/>
      <c r="G1722" s="47" t="n"/>
      <c r="H1722" s="47" t="n"/>
      <c r="I1722" s="47" t="n"/>
      <c r="J1722" s="47" t="n"/>
      <c r="K1722" s="47" t="n"/>
      <c r="L1722" s="47" t="n"/>
      <c r="M1722" s="47" t="n"/>
      <c r="N1722" s="47" t="n"/>
      <c r="O1722" s="47" t="n"/>
      <c r="P1722" s="47" t="n"/>
      <c r="Q1722" s="47" t="n"/>
      <c r="R1722" s="47" t="n"/>
      <c r="S1722" s="47" t="n"/>
      <c r="T1722" s="47" t="n"/>
      <c r="U1722" s="53" t="n"/>
      <c r="V1722" s="53" t="n"/>
      <c r="W1722" s="47" t="n"/>
      <c r="X1722" s="47" t="n"/>
      <c r="Y1722" s="47" t="n"/>
      <c r="Z1722" s="47" t="n"/>
      <c r="AA1722" s="47" t="n"/>
      <c r="AB1722" s="47" t="n"/>
      <c r="AC1722" s="47" t="n"/>
      <c r="AD1722" s="47" t="n"/>
      <c r="AE1722" s="47" t="n"/>
      <c r="AF1722" s="20">
        <f>IF(A1722="","",YEAR(EDATE(A1722,-3)))</f>
        <v/>
      </c>
      <c r="AG1722" s="20">
        <f>IF(OR(B1722="",'経歴簿'!$C$4=""),"",IF(B1722&amp;""='経歴簿'!$C$4&amp;"",MAX($AG$4:AG1721)+1,""))</f>
        <v/>
      </c>
      <c r="AH1722" s="20">
        <f>IF(A1722="",0,IF(AND(OR('CSV抽出'!$C$4="",A1722&gt;='CSV抽出'!$C$4),OR('CSV抽出'!$C$5="",A1722&lt;='CSV抽出'!$C$5),OR('CSV抽出'!$C$6="すべて",'CSV抽出'!$C$6="",D1722='CSV抽出'!$C$6),OR('CSV抽出'!$C$7="",B1722&amp;""='CSV抽出'!$C$7&amp;"")),1,0))</f>
        <v/>
      </c>
      <c r="AI1722" s="20">
        <f>IF(AH1722=1,SUM($AH$5:AH1722),"")</f>
        <v/>
      </c>
      <c r="AJ1722" s="20">
        <f>IF(OR(S1722="",'報告書'!$C$4=""),"",IF(S1722&amp;""='報告書'!$C$4&amp;"",COUNTIF($S$5:S1722,'報告書'!$C$4),""))</f>
        <v/>
      </c>
      <c r="AK1722" s="20" t="n"/>
      <c r="AL1722" s="47" t="n"/>
      <c r="AM1722" s="47" t="n"/>
      <c r="AN1722" s="53" t="n"/>
      <c r="AO1722" s="47" t="n"/>
      <c r="AP1722" s="47" t="n"/>
      <c r="AQ1722" s="47" t="n"/>
      <c r="AR1722" s="47" t="n"/>
      <c r="AS1722" s="47" t="n"/>
      <c r="AT1722" s="47" t="n"/>
      <c r="AU1722" s="47" t="n"/>
      <c r="AV1722" s="47" t="n"/>
      <c r="AW1722" s="52" t="n"/>
    </row>
    <row r="1723">
      <c r="A1723" s="48" t="n"/>
      <c r="B1723" s="52" t="n"/>
      <c r="C1723" s="47">
        <f>IF(B1723="","",IFERROR(INDEX('隊員マスタ'!$B$5:$B$204,MATCH(B1723&amp;"",'隊員マスタ'!$F$5:$F$204,0)),IF(AK1723="","番号なし",AK1723)))</f>
        <v/>
      </c>
      <c r="D1723" s="47" t="n"/>
      <c r="E1723" s="47" t="n"/>
      <c r="F1723" s="47" t="n"/>
      <c r="G1723" s="47" t="n"/>
      <c r="H1723" s="47" t="n"/>
      <c r="I1723" s="47" t="n"/>
      <c r="J1723" s="47" t="n"/>
      <c r="K1723" s="47" t="n"/>
      <c r="L1723" s="47" t="n"/>
      <c r="M1723" s="47" t="n"/>
      <c r="N1723" s="47" t="n"/>
      <c r="O1723" s="47" t="n"/>
      <c r="P1723" s="47" t="n"/>
      <c r="Q1723" s="47" t="n"/>
      <c r="R1723" s="47" t="n"/>
      <c r="S1723" s="47" t="n"/>
      <c r="T1723" s="47" t="n"/>
      <c r="U1723" s="53" t="n"/>
      <c r="V1723" s="53" t="n"/>
      <c r="W1723" s="47" t="n"/>
      <c r="X1723" s="47" t="n"/>
      <c r="Y1723" s="47" t="n"/>
      <c r="Z1723" s="47" t="n"/>
      <c r="AA1723" s="47" t="n"/>
      <c r="AB1723" s="47" t="n"/>
      <c r="AC1723" s="47" t="n"/>
      <c r="AD1723" s="47" t="n"/>
      <c r="AE1723" s="47" t="n"/>
      <c r="AF1723" s="20">
        <f>IF(A1723="","",YEAR(EDATE(A1723,-3)))</f>
        <v/>
      </c>
      <c r="AG1723" s="20">
        <f>IF(OR(B1723="",'経歴簿'!$C$4=""),"",IF(B1723&amp;""='経歴簿'!$C$4&amp;"",MAX($AG$4:AG1722)+1,""))</f>
        <v/>
      </c>
      <c r="AH1723" s="20">
        <f>IF(A1723="",0,IF(AND(OR('CSV抽出'!$C$4="",A1723&gt;='CSV抽出'!$C$4),OR('CSV抽出'!$C$5="",A1723&lt;='CSV抽出'!$C$5),OR('CSV抽出'!$C$6="すべて",'CSV抽出'!$C$6="",D1723='CSV抽出'!$C$6),OR('CSV抽出'!$C$7="",B1723&amp;""='CSV抽出'!$C$7&amp;"")),1,0))</f>
        <v/>
      </c>
      <c r="AI1723" s="20">
        <f>IF(AH1723=1,SUM($AH$5:AH1723),"")</f>
        <v/>
      </c>
      <c r="AJ1723" s="20">
        <f>IF(OR(S1723="",'報告書'!$C$4=""),"",IF(S1723&amp;""='報告書'!$C$4&amp;"",COUNTIF($S$5:S1723,'報告書'!$C$4),""))</f>
        <v/>
      </c>
      <c r="AK1723" s="20" t="n"/>
      <c r="AL1723" s="47" t="n"/>
      <c r="AM1723" s="47" t="n"/>
      <c r="AN1723" s="53" t="n"/>
      <c r="AO1723" s="47" t="n"/>
      <c r="AP1723" s="47" t="n"/>
      <c r="AQ1723" s="47" t="n"/>
      <c r="AR1723" s="47" t="n"/>
      <c r="AS1723" s="47" t="n"/>
      <c r="AT1723" s="47" t="n"/>
      <c r="AU1723" s="47" t="n"/>
      <c r="AV1723" s="47" t="n"/>
      <c r="AW1723" s="52" t="n"/>
    </row>
    <row r="1724">
      <c r="A1724" s="48" t="n"/>
      <c r="B1724" s="52" t="n"/>
      <c r="C1724" s="47">
        <f>IF(B1724="","",IFERROR(INDEX('隊員マスタ'!$B$5:$B$204,MATCH(B1724&amp;"",'隊員マスタ'!$F$5:$F$204,0)),IF(AK1724="","番号なし",AK1724)))</f>
        <v/>
      </c>
      <c r="D1724" s="47" t="n"/>
      <c r="E1724" s="47" t="n"/>
      <c r="F1724" s="47" t="n"/>
      <c r="G1724" s="47" t="n"/>
      <c r="H1724" s="47" t="n"/>
      <c r="I1724" s="47" t="n"/>
      <c r="J1724" s="47" t="n"/>
      <c r="K1724" s="47" t="n"/>
      <c r="L1724" s="47" t="n"/>
      <c r="M1724" s="47" t="n"/>
      <c r="N1724" s="47" t="n"/>
      <c r="O1724" s="47" t="n"/>
      <c r="P1724" s="47" t="n"/>
      <c r="Q1724" s="47" t="n"/>
      <c r="R1724" s="47" t="n"/>
      <c r="S1724" s="47" t="n"/>
      <c r="T1724" s="47" t="n"/>
      <c r="U1724" s="53" t="n"/>
      <c r="V1724" s="53" t="n"/>
      <c r="W1724" s="47" t="n"/>
      <c r="X1724" s="47" t="n"/>
      <c r="Y1724" s="47" t="n"/>
      <c r="Z1724" s="47" t="n"/>
      <c r="AA1724" s="47" t="n"/>
      <c r="AB1724" s="47" t="n"/>
      <c r="AC1724" s="47" t="n"/>
      <c r="AD1724" s="47" t="n"/>
      <c r="AE1724" s="47" t="n"/>
      <c r="AF1724" s="20">
        <f>IF(A1724="","",YEAR(EDATE(A1724,-3)))</f>
        <v/>
      </c>
      <c r="AG1724" s="20">
        <f>IF(OR(B1724="",'経歴簿'!$C$4=""),"",IF(B1724&amp;""='経歴簿'!$C$4&amp;"",MAX($AG$4:AG1723)+1,""))</f>
        <v/>
      </c>
      <c r="AH1724" s="20">
        <f>IF(A1724="",0,IF(AND(OR('CSV抽出'!$C$4="",A1724&gt;='CSV抽出'!$C$4),OR('CSV抽出'!$C$5="",A1724&lt;='CSV抽出'!$C$5),OR('CSV抽出'!$C$6="すべて",'CSV抽出'!$C$6="",D1724='CSV抽出'!$C$6),OR('CSV抽出'!$C$7="",B1724&amp;""='CSV抽出'!$C$7&amp;"")),1,0))</f>
        <v/>
      </c>
      <c r="AI1724" s="20">
        <f>IF(AH1724=1,SUM($AH$5:AH1724),"")</f>
        <v/>
      </c>
      <c r="AJ1724" s="20">
        <f>IF(OR(S1724="",'報告書'!$C$4=""),"",IF(S1724&amp;""='報告書'!$C$4&amp;"",COUNTIF($S$5:S1724,'報告書'!$C$4),""))</f>
        <v/>
      </c>
      <c r="AK1724" s="20" t="n"/>
      <c r="AL1724" s="47" t="n"/>
      <c r="AM1724" s="47" t="n"/>
      <c r="AN1724" s="53" t="n"/>
      <c r="AO1724" s="47" t="n"/>
      <c r="AP1724" s="47" t="n"/>
      <c r="AQ1724" s="47" t="n"/>
      <c r="AR1724" s="47" t="n"/>
      <c r="AS1724" s="47" t="n"/>
      <c r="AT1724" s="47" t="n"/>
      <c r="AU1724" s="47" t="n"/>
      <c r="AV1724" s="47" t="n"/>
      <c r="AW1724" s="52" t="n"/>
    </row>
    <row r="1725">
      <c r="A1725" s="48" t="n"/>
      <c r="B1725" s="52" t="n"/>
      <c r="C1725" s="47">
        <f>IF(B1725="","",IFERROR(INDEX('隊員マスタ'!$B$5:$B$204,MATCH(B1725&amp;"",'隊員マスタ'!$F$5:$F$204,0)),IF(AK1725="","番号なし",AK1725)))</f>
        <v/>
      </c>
      <c r="D1725" s="47" t="n"/>
      <c r="E1725" s="47" t="n"/>
      <c r="F1725" s="47" t="n"/>
      <c r="G1725" s="47" t="n"/>
      <c r="H1725" s="47" t="n"/>
      <c r="I1725" s="47" t="n"/>
      <c r="J1725" s="47" t="n"/>
      <c r="K1725" s="47" t="n"/>
      <c r="L1725" s="47" t="n"/>
      <c r="M1725" s="47" t="n"/>
      <c r="N1725" s="47" t="n"/>
      <c r="O1725" s="47" t="n"/>
      <c r="P1725" s="47" t="n"/>
      <c r="Q1725" s="47" t="n"/>
      <c r="R1725" s="47" t="n"/>
      <c r="S1725" s="47" t="n"/>
      <c r="T1725" s="47" t="n"/>
      <c r="U1725" s="53" t="n"/>
      <c r="V1725" s="53" t="n"/>
      <c r="W1725" s="47" t="n"/>
      <c r="X1725" s="47" t="n"/>
      <c r="Y1725" s="47" t="n"/>
      <c r="Z1725" s="47" t="n"/>
      <c r="AA1725" s="47" t="n"/>
      <c r="AB1725" s="47" t="n"/>
      <c r="AC1725" s="47" t="n"/>
      <c r="AD1725" s="47" t="n"/>
      <c r="AE1725" s="47" t="n"/>
      <c r="AF1725" s="20">
        <f>IF(A1725="","",YEAR(EDATE(A1725,-3)))</f>
        <v/>
      </c>
      <c r="AG1725" s="20">
        <f>IF(OR(B1725="",'経歴簿'!$C$4=""),"",IF(B1725&amp;""='経歴簿'!$C$4&amp;"",MAX($AG$4:AG1724)+1,""))</f>
        <v/>
      </c>
      <c r="AH1725" s="20">
        <f>IF(A1725="",0,IF(AND(OR('CSV抽出'!$C$4="",A1725&gt;='CSV抽出'!$C$4),OR('CSV抽出'!$C$5="",A1725&lt;='CSV抽出'!$C$5),OR('CSV抽出'!$C$6="すべて",'CSV抽出'!$C$6="",D1725='CSV抽出'!$C$6),OR('CSV抽出'!$C$7="",B1725&amp;""='CSV抽出'!$C$7&amp;"")),1,0))</f>
        <v/>
      </c>
      <c r="AI1725" s="20">
        <f>IF(AH1725=1,SUM($AH$5:AH1725),"")</f>
        <v/>
      </c>
      <c r="AJ1725" s="20">
        <f>IF(OR(S1725="",'報告書'!$C$4=""),"",IF(S1725&amp;""='報告書'!$C$4&amp;"",COUNTIF($S$5:S1725,'報告書'!$C$4),""))</f>
        <v/>
      </c>
      <c r="AK1725" s="20" t="n"/>
      <c r="AL1725" s="47" t="n"/>
      <c r="AM1725" s="47" t="n"/>
      <c r="AN1725" s="53" t="n"/>
      <c r="AO1725" s="47" t="n"/>
      <c r="AP1725" s="47" t="n"/>
      <c r="AQ1725" s="47" t="n"/>
      <c r="AR1725" s="47" t="n"/>
      <c r="AS1725" s="47" t="n"/>
      <c r="AT1725" s="47" t="n"/>
      <c r="AU1725" s="47" t="n"/>
      <c r="AV1725" s="47" t="n"/>
      <c r="AW1725" s="52" t="n"/>
    </row>
    <row r="1726">
      <c r="A1726" s="48" t="n"/>
      <c r="B1726" s="52" t="n"/>
      <c r="C1726" s="47">
        <f>IF(B1726="","",IFERROR(INDEX('隊員マスタ'!$B$5:$B$204,MATCH(B1726&amp;"",'隊員マスタ'!$F$5:$F$204,0)),IF(AK1726="","番号なし",AK1726)))</f>
        <v/>
      </c>
      <c r="D1726" s="47" t="n"/>
      <c r="E1726" s="47" t="n"/>
      <c r="F1726" s="47" t="n"/>
      <c r="G1726" s="47" t="n"/>
      <c r="H1726" s="47" t="n"/>
      <c r="I1726" s="47" t="n"/>
      <c r="J1726" s="47" t="n"/>
      <c r="K1726" s="47" t="n"/>
      <c r="L1726" s="47" t="n"/>
      <c r="M1726" s="47" t="n"/>
      <c r="N1726" s="47" t="n"/>
      <c r="O1726" s="47" t="n"/>
      <c r="P1726" s="47" t="n"/>
      <c r="Q1726" s="47" t="n"/>
      <c r="R1726" s="47" t="n"/>
      <c r="S1726" s="47" t="n"/>
      <c r="T1726" s="47" t="n"/>
      <c r="U1726" s="53" t="n"/>
      <c r="V1726" s="53" t="n"/>
      <c r="W1726" s="47" t="n"/>
      <c r="X1726" s="47" t="n"/>
      <c r="Y1726" s="47" t="n"/>
      <c r="Z1726" s="47" t="n"/>
      <c r="AA1726" s="47" t="n"/>
      <c r="AB1726" s="47" t="n"/>
      <c r="AC1726" s="47" t="n"/>
      <c r="AD1726" s="47" t="n"/>
      <c r="AE1726" s="47" t="n"/>
      <c r="AF1726" s="20">
        <f>IF(A1726="","",YEAR(EDATE(A1726,-3)))</f>
        <v/>
      </c>
      <c r="AG1726" s="20">
        <f>IF(OR(B1726="",'経歴簿'!$C$4=""),"",IF(B1726&amp;""='経歴簿'!$C$4&amp;"",MAX($AG$4:AG1725)+1,""))</f>
        <v/>
      </c>
      <c r="AH1726" s="20">
        <f>IF(A1726="",0,IF(AND(OR('CSV抽出'!$C$4="",A1726&gt;='CSV抽出'!$C$4),OR('CSV抽出'!$C$5="",A1726&lt;='CSV抽出'!$C$5),OR('CSV抽出'!$C$6="すべて",'CSV抽出'!$C$6="",D1726='CSV抽出'!$C$6),OR('CSV抽出'!$C$7="",B1726&amp;""='CSV抽出'!$C$7&amp;"")),1,0))</f>
        <v/>
      </c>
      <c r="AI1726" s="20">
        <f>IF(AH1726=1,SUM($AH$5:AH1726),"")</f>
        <v/>
      </c>
      <c r="AJ1726" s="20">
        <f>IF(OR(S1726="",'報告書'!$C$4=""),"",IF(S1726&amp;""='報告書'!$C$4&amp;"",COUNTIF($S$5:S1726,'報告書'!$C$4),""))</f>
        <v/>
      </c>
      <c r="AK1726" s="20" t="n"/>
      <c r="AL1726" s="47" t="n"/>
      <c r="AM1726" s="47" t="n"/>
      <c r="AN1726" s="53" t="n"/>
      <c r="AO1726" s="47" t="n"/>
      <c r="AP1726" s="47" t="n"/>
      <c r="AQ1726" s="47" t="n"/>
      <c r="AR1726" s="47" t="n"/>
      <c r="AS1726" s="47" t="n"/>
      <c r="AT1726" s="47" t="n"/>
      <c r="AU1726" s="47" t="n"/>
      <c r="AV1726" s="47" t="n"/>
      <c r="AW1726" s="52" t="n"/>
    </row>
    <row r="1727">
      <c r="A1727" s="48" t="n"/>
      <c r="B1727" s="52" t="n"/>
      <c r="C1727" s="47">
        <f>IF(B1727="","",IFERROR(INDEX('隊員マスタ'!$B$5:$B$204,MATCH(B1727&amp;"",'隊員マスタ'!$F$5:$F$204,0)),IF(AK1727="","番号なし",AK1727)))</f>
        <v/>
      </c>
      <c r="D1727" s="47" t="n"/>
      <c r="E1727" s="47" t="n"/>
      <c r="F1727" s="47" t="n"/>
      <c r="G1727" s="47" t="n"/>
      <c r="H1727" s="47" t="n"/>
      <c r="I1727" s="47" t="n"/>
      <c r="J1727" s="47" t="n"/>
      <c r="K1727" s="47" t="n"/>
      <c r="L1727" s="47" t="n"/>
      <c r="M1727" s="47" t="n"/>
      <c r="N1727" s="47" t="n"/>
      <c r="O1727" s="47" t="n"/>
      <c r="P1727" s="47" t="n"/>
      <c r="Q1727" s="47" t="n"/>
      <c r="R1727" s="47" t="n"/>
      <c r="S1727" s="47" t="n"/>
      <c r="T1727" s="47" t="n"/>
      <c r="U1727" s="53" t="n"/>
      <c r="V1727" s="53" t="n"/>
      <c r="W1727" s="47" t="n"/>
      <c r="X1727" s="47" t="n"/>
      <c r="Y1727" s="47" t="n"/>
      <c r="Z1727" s="47" t="n"/>
      <c r="AA1727" s="47" t="n"/>
      <c r="AB1727" s="47" t="n"/>
      <c r="AC1727" s="47" t="n"/>
      <c r="AD1727" s="47" t="n"/>
      <c r="AE1727" s="47" t="n"/>
      <c r="AF1727" s="20">
        <f>IF(A1727="","",YEAR(EDATE(A1727,-3)))</f>
        <v/>
      </c>
      <c r="AG1727" s="20">
        <f>IF(OR(B1727="",'経歴簿'!$C$4=""),"",IF(B1727&amp;""='経歴簿'!$C$4&amp;"",MAX($AG$4:AG1726)+1,""))</f>
        <v/>
      </c>
      <c r="AH1727" s="20">
        <f>IF(A1727="",0,IF(AND(OR('CSV抽出'!$C$4="",A1727&gt;='CSV抽出'!$C$4),OR('CSV抽出'!$C$5="",A1727&lt;='CSV抽出'!$C$5),OR('CSV抽出'!$C$6="すべて",'CSV抽出'!$C$6="",D1727='CSV抽出'!$C$6),OR('CSV抽出'!$C$7="",B1727&amp;""='CSV抽出'!$C$7&amp;"")),1,0))</f>
        <v/>
      </c>
      <c r="AI1727" s="20">
        <f>IF(AH1727=1,SUM($AH$5:AH1727),"")</f>
        <v/>
      </c>
      <c r="AJ1727" s="20">
        <f>IF(OR(S1727="",'報告書'!$C$4=""),"",IF(S1727&amp;""='報告書'!$C$4&amp;"",COUNTIF($S$5:S1727,'報告書'!$C$4),""))</f>
        <v/>
      </c>
      <c r="AK1727" s="20" t="n"/>
      <c r="AL1727" s="47" t="n"/>
      <c r="AM1727" s="47" t="n"/>
      <c r="AN1727" s="53" t="n"/>
      <c r="AO1727" s="47" t="n"/>
      <c r="AP1727" s="47" t="n"/>
      <c r="AQ1727" s="47" t="n"/>
      <c r="AR1727" s="47" t="n"/>
      <c r="AS1727" s="47" t="n"/>
      <c r="AT1727" s="47" t="n"/>
      <c r="AU1727" s="47" t="n"/>
      <c r="AV1727" s="47" t="n"/>
      <c r="AW1727" s="52" t="n"/>
    </row>
    <row r="1728">
      <c r="A1728" s="48" t="n"/>
      <c r="B1728" s="52" t="n"/>
      <c r="C1728" s="47">
        <f>IF(B1728="","",IFERROR(INDEX('隊員マスタ'!$B$5:$B$204,MATCH(B1728&amp;"",'隊員マスタ'!$F$5:$F$204,0)),IF(AK1728="","番号なし",AK1728)))</f>
        <v/>
      </c>
      <c r="D1728" s="47" t="n"/>
      <c r="E1728" s="47" t="n"/>
      <c r="F1728" s="47" t="n"/>
      <c r="G1728" s="47" t="n"/>
      <c r="H1728" s="47" t="n"/>
      <c r="I1728" s="47" t="n"/>
      <c r="J1728" s="47" t="n"/>
      <c r="K1728" s="47" t="n"/>
      <c r="L1728" s="47" t="n"/>
      <c r="M1728" s="47" t="n"/>
      <c r="N1728" s="47" t="n"/>
      <c r="O1728" s="47" t="n"/>
      <c r="P1728" s="47" t="n"/>
      <c r="Q1728" s="47" t="n"/>
      <c r="R1728" s="47" t="n"/>
      <c r="S1728" s="47" t="n"/>
      <c r="T1728" s="47" t="n"/>
      <c r="U1728" s="53" t="n"/>
      <c r="V1728" s="53" t="n"/>
      <c r="W1728" s="47" t="n"/>
      <c r="X1728" s="47" t="n"/>
      <c r="Y1728" s="47" t="n"/>
      <c r="Z1728" s="47" t="n"/>
      <c r="AA1728" s="47" t="n"/>
      <c r="AB1728" s="47" t="n"/>
      <c r="AC1728" s="47" t="n"/>
      <c r="AD1728" s="47" t="n"/>
      <c r="AE1728" s="47" t="n"/>
      <c r="AF1728" s="20">
        <f>IF(A1728="","",YEAR(EDATE(A1728,-3)))</f>
        <v/>
      </c>
      <c r="AG1728" s="20">
        <f>IF(OR(B1728="",'経歴簿'!$C$4=""),"",IF(B1728&amp;""='経歴簿'!$C$4&amp;"",MAX($AG$4:AG1727)+1,""))</f>
        <v/>
      </c>
      <c r="AH1728" s="20">
        <f>IF(A1728="",0,IF(AND(OR('CSV抽出'!$C$4="",A1728&gt;='CSV抽出'!$C$4),OR('CSV抽出'!$C$5="",A1728&lt;='CSV抽出'!$C$5),OR('CSV抽出'!$C$6="すべて",'CSV抽出'!$C$6="",D1728='CSV抽出'!$C$6),OR('CSV抽出'!$C$7="",B1728&amp;""='CSV抽出'!$C$7&amp;"")),1,0))</f>
        <v/>
      </c>
      <c r="AI1728" s="20">
        <f>IF(AH1728=1,SUM($AH$5:AH1728),"")</f>
        <v/>
      </c>
      <c r="AJ1728" s="20">
        <f>IF(OR(S1728="",'報告書'!$C$4=""),"",IF(S1728&amp;""='報告書'!$C$4&amp;"",COUNTIF($S$5:S1728,'報告書'!$C$4),""))</f>
        <v/>
      </c>
      <c r="AK1728" s="20" t="n"/>
      <c r="AL1728" s="47" t="n"/>
      <c r="AM1728" s="47" t="n"/>
      <c r="AN1728" s="53" t="n"/>
      <c r="AO1728" s="47" t="n"/>
      <c r="AP1728" s="47" t="n"/>
      <c r="AQ1728" s="47" t="n"/>
      <c r="AR1728" s="47" t="n"/>
      <c r="AS1728" s="47" t="n"/>
      <c r="AT1728" s="47" t="n"/>
      <c r="AU1728" s="47" t="n"/>
      <c r="AV1728" s="47" t="n"/>
      <c r="AW1728" s="52" t="n"/>
    </row>
    <row r="1729">
      <c r="A1729" s="48" t="n"/>
      <c r="B1729" s="52" t="n"/>
      <c r="C1729" s="47">
        <f>IF(B1729="","",IFERROR(INDEX('隊員マスタ'!$B$5:$B$204,MATCH(B1729&amp;"",'隊員マスタ'!$F$5:$F$204,0)),IF(AK1729="","番号なし",AK1729)))</f>
        <v/>
      </c>
      <c r="D1729" s="47" t="n"/>
      <c r="E1729" s="47" t="n"/>
      <c r="F1729" s="47" t="n"/>
      <c r="G1729" s="47" t="n"/>
      <c r="H1729" s="47" t="n"/>
      <c r="I1729" s="47" t="n"/>
      <c r="J1729" s="47" t="n"/>
      <c r="K1729" s="47" t="n"/>
      <c r="L1729" s="47" t="n"/>
      <c r="M1729" s="47" t="n"/>
      <c r="N1729" s="47" t="n"/>
      <c r="O1729" s="47" t="n"/>
      <c r="P1729" s="47" t="n"/>
      <c r="Q1729" s="47" t="n"/>
      <c r="R1729" s="47" t="n"/>
      <c r="S1729" s="47" t="n"/>
      <c r="T1729" s="47" t="n"/>
      <c r="U1729" s="53" t="n"/>
      <c r="V1729" s="53" t="n"/>
      <c r="W1729" s="47" t="n"/>
      <c r="X1729" s="47" t="n"/>
      <c r="Y1729" s="47" t="n"/>
      <c r="Z1729" s="47" t="n"/>
      <c r="AA1729" s="47" t="n"/>
      <c r="AB1729" s="47" t="n"/>
      <c r="AC1729" s="47" t="n"/>
      <c r="AD1729" s="47" t="n"/>
      <c r="AE1729" s="47" t="n"/>
      <c r="AF1729" s="20">
        <f>IF(A1729="","",YEAR(EDATE(A1729,-3)))</f>
        <v/>
      </c>
      <c r="AG1729" s="20">
        <f>IF(OR(B1729="",'経歴簿'!$C$4=""),"",IF(B1729&amp;""='経歴簿'!$C$4&amp;"",MAX($AG$4:AG1728)+1,""))</f>
        <v/>
      </c>
      <c r="AH1729" s="20">
        <f>IF(A1729="",0,IF(AND(OR('CSV抽出'!$C$4="",A1729&gt;='CSV抽出'!$C$4),OR('CSV抽出'!$C$5="",A1729&lt;='CSV抽出'!$C$5),OR('CSV抽出'!$C$6="すべて",'CSV抽出'!$C$6="",D1729='CSV抽出'!$C$6),OR('CSV抽出'!$C$7="",B1729&amp;""='CSV抽出'!$C$7&amp;"")),1,0))</f>
        <v/>
      </c>
      <c r="AI1729" s="20">
        <f>IF(AH1729=1,SUM($AH$5:AH1729),"")</f>
        <v/>
      </c>
      <c r="AJ1729" s="20">
        <f>IF(OR(S1729="",'報告書'!$C$4=""),"",IF(S1729&amp;""='報告書'!$C$4&amp;"",COUNTIF($S$5:S1729,'報告書'!$C$4),""))</f>
        <v/>
      </c>
      <c r="AK1729" s="20" t="n"/>
      <c r="AL1729" s="47" t="n"/>
      <c r="AM1729" s="47" t="n"/>
      <c r="AN1729" s="53" t="n"/>
      <c r="AO1729" s="47" t="n"/>
      <c r="AP1729" s="47" t="n"/>
      <c r="AQ1729" s="47" t="n"/>
      <c r="AR1729" s="47" t="n"/>
      <c r="AS1729" s="47" t="n"/>
      <c r="AT1729" s="47" t="n"/>
      <c r="AU1729" s="47" t="n"/>
      <c r="AV1729" s="47" t="n"/>
      <c r="AW1729" s="52" t="n"/>
    </row>
    <row r="1730">
      <c r="A1730" s="48" t="n"/>
      <c r="B1730" s="52" t="n"/>
      <c r="C1730" s="47">
        <f>IF(B1730="","",IFERROR(INDEX('隊員マスタ'!$B$5:$B$204,MATCH(B1730&amp;"",'隊員マスタ'!$F$5:$F$204,0)),IF(AK1730="","番号なし",AK1730)))</f>
        <v/>
      </c>
      <c r="D1730" s="47" t="n"/>
      <c r="E1730" s="47" t="n"/>
      <c r="F1730" s="47" t="n"/>
      <c r="G1730" s="47" t="n"/>
      <c r="H1730" s="47" t="n"/>
      <c r="I1730" s="47" t="n"/>
      <c r="J1730" s="47" t="n"/>
      <c r="K1730" s="47" t="n"/>
      <c r="L1730" s="47" t="n"/>
      <c r="M1730" s="47" t="n"/>
      <c r="N1730" s="47" t="n"/>
      <c r="O1730" s="47" t="n"/>
      <c r="P1730" s="47" t="n"/>
      <c r="Q1730" s="47" t="n"/>
      <c r="R1730" s="47" t="n"/>
      <c r="S1730" s="47" t="n"/>
      <c r="T1730" s="47" t="n"/>
      <c r="U1730" s="53" t="n"/>
      <c r="V1730" s="53" t="n"/>
      <c r="W1730" s="47" t="n"/>
      <c r="X1730" s="47" t="n"/>
      <c r="Y1730" s="47" t="n"/>
      <c r="Z1730" s="47" t="n"/>
      <c r="AA1730" s="47" t="n"/>
      <c r="AB1730" s="47" t="n"/>
      <c r="AC1730" s="47" t="n"/>
      <c r="AD1730" s="47" t="n"/>
      <c r="AE1730" s="47" t="n"/>
      <c r="AF1730" s="20">
        <f>IF(A1730="","",YEAR(EDATE(A1730,-3)))</f>
        <v/>
      </c>
      <c r="AG1730" s="20">
        <f>IF(OR(B1730="",'経歴簿'!$C$4=""),"",IF(B1730&amp;""='経歴簿'!$C$4&amp;"",MAX($AG$4:AG1729)+1,""))</f>
        <v/>
      </c>
      <c r="AH1730" s="20">
        <f>IF(A1730="",0,IF(AND(OR('CSV抽出'!$C$4="",A1730&gt;='CSV抽出'!$C$4),OR('CSV抽出'!$C$5="",A1730&lt;='CSV抽出'!$C$5),OR('CSV抽出'!$C$6="すべて",'CSV抽出'!$C$6="",D1730='CSV抽出'!$C$6),OR('CSV抽出'!$C$7="",B1730&amp;""='CSV抽出'!$C$7&amp;"")),1,0))</f>
        <v/>
      </c>
      <c r="AI1730" s="20">
        <f>IF(AH1730=1,SUM($AH$5:AH1730),"")</f>
        <v/>
      </c>
      <c r="AJ1730" s="20">
        <f>IF(OR(S1730="",'報告書'!$C$4=""),"",IF(S1730&amp;""='報告書'!$C$4&amp;"",COUNTIF($S$5:S1730,'報告書'!$C$4),""))</f>
        <v/>
      </c>
      <c r="AK1730" s="20" t="n"/>
      <c r="AL1730" s="47" t="n"/>
      <c r="AM1730" s="47" t="n"/>
      <c r="AN1730" s="53" t="n"/>
      <c r="AO1730" s="47" t="n"/>
      <c r="AP1730" s="47" t="n"/>
      <c r="AQ1730" s="47" t="n"/>
      <c r="AR1730" s="47" t="n"/>
      <c r="AS1730" s="47" t="n"/>
      <c r="AT1730" s="47" t="n"/>
      <c r="AU1730" s="47" t="n"/>
      <c r="AV1730" s="47" t="n"/>
      <c r="AW1730" s="52" t="n"/>
    </row>
    <row r="1731">
      <c r="A1731" s="48" t="n"/>
      <c r="B1731" s="52" t="n"/>
      <c r="C1731" s="47">
        <f>IF(B1731="","",IFERROR(INDEX('隊員マスタ'!$B$5:$B$204,MATCH(B1731&amp;"",'隊員マスタ'!$F$5:$F$204,0)),IF(AK1731="","番号なし",AK1731)))</f>
        <v/>
      </c>
      <c r="D1731" s="47" t="n"/>
      <c r="E1731" s="47" t="n"/>
      <c r="F1731" s="47" t="n"/>
      <c r="G1731" s="47" t="n"/>
      <c r="H1731" s="47" t="n"/>
      <c r="I1731" s="47" t="n"/>
      <c r="J1731" s="47" t="n"/>
      <c r="K1731" s="47" t="n"/>
      <c r="L1731" s="47" t="n"/>
      <c r="M1731" s="47" t="n"/>
      <c r="N1731" s="47" t="n"/>
      <c r="O1731" s="47" t="n"/>
      <c r="P1731" s="47" t="n"/>
      <c r="Q1731" s="47" t="n"/>
      <c r="R1731" s="47" t="n"/>
      <c r="S1731" s="47" t="n"/>
      <c r="T1731" s="47" t="n"/>
      <c r="U1731" s="53" t="n"/>
      <c r="V1731" s="53" t="n"/>
      <c r="W1731" s="47" t="n"/>
      <c r="X1731" s="47" t="n"/>
      <c r="Y1731" s="47" t="n"/>
      <c r="Z1731" s="47" t="n"/>
      <c r="AA1731" s="47" t="n"/>
      <c r="AB1731" s="47" t="n"/>
      <c r="AC1731" s="47" t="n"/>
      <c r="AD1731" s="47" t="n"/>
      <c r="AE1731" s="47" t="n"/>
      <c r="AF1731" s="20">
        <f>IF(A1731="","",YEAR(EDATE(A1731,-3)))</f>
        <v/>
      </c>
      <c r="AG1731" s="20">
        <f>IF(OR(B1731="",'経歴簿'!$C$4=""),"",IF(B1731&amp;""='経歴簿'!$C$4&amp;"",MAX($AG$4:AG1730)+1,""))</f>
        <v/>
      </c>
      <c r="AH1731" s="20">
        <f>IF(A1731="",0,IF(AND(OR('CSV抽出'!$C$4="",A1731&gt;='CSV抽出'!$C$4),OR('CSV抽出'!$C$5="",A1731&lt;='CSV抽出'!$C$5),OR('CSV抽出'!$C$6="すべて",'CSV抽出'!$C$6="",D1731='CSV抽出'!$C$6),OR('CSV抽出'!$C$7="",B1731&amp;""='CSV抽出'!$C$7&amp;"")),1,0))</f>
        <v/>
      </c>
      <c r="AI1731" s="20">
        <f>IF(AH1731=1,SUM($AH$5:AH1731),"")</f>
        <v/>
      </c>
      <c r="AJ1731" s="20">
        <f>IF(OR(S1731="",'報告書'!$C$4=""),"",IF(S1731&amp;""='報告書'!$C$4&amp;"",COUNTIF($S$5:S1731,'報告書'!$C$4),""))</f>
        <v/>
      </c>
      <c r="AK1731" s="20" t="n"/>
      <c r="AL1731" s="47" t="n"/>
      <c r="AM1731" s="47" t="n"/>
      <c r="AN1731" s="53" t="n"/>
      <c r="AO1731" s="47" t="n"/>
      <c r="AP1731" s="47" t="n"/>
      <c r="AQ1731" s="47" t="n"/>
      <c r="AR1731" s="47" t="n"/>
      <c r="AS1731" s="47" t="n"/>
      <c r="AT1731" s="47" t="n"/>
      <c r="AU1731" s="47" t="n"/>
      <c r="AV1731" s="47" t="n"/>
      <c r="AW1731" s="52" t="n"/>
    </row>
    <row r="1732">
      <c r="A1732" s="48" t="n"/>
      <c r="B1732" s="52" t="n"/>
      <c r="C1732" s="47">
        <f>IF(B1732="","",IFERROR(INDEX('隊員マスタ'!$B$5:$B$204,MATCH(B1732&amp;"",'隊員マスタ'!$F$5:$F$204,0)),IF(AK1732="","番号なし",AK1732)))</f>
        <v/>
      </c>
      <c r="D1732" s="47" t="n"/>
      <c r="E1732" s="47" t="n"/>
      <c r="F1732" s="47" t="n"/>
      <c r="G1732" s="47" t="n"/>
      <c r="H1732" s="47" t="n"/>
      <c r="I1732" s="47" t="n"/>
      <c r="J1732" s="47" t="n"/>
      <c r="K1732" s="47" t="n"/>
      <c r="L1732" s="47" t="n"/>
      <c r="M1732" s="47" t="n"/>
      <c r="N1732" s="47" t="n"/>
      <c r="O1732" s="47" t="n"/>
      <c r="P1732" s="47" t="n"/>
      <c r="Q1732" s="47" t="n"/>
      <c r="R1732" s="47" t="n"/>
      <c r="S1732" s="47" t="n"/>
      <c r="T1732" s="47" t="n"/>
      <c r="U1732" s="53" t="n"/>
      <c r="V1732" s="53" t="n"/>
      <c r="W1732" s="47" t="n"/>
      <c r="X1732" s="47" t="n"/>
      <c r="Y1732" s="47" t="n"/>
      <c r="Z1732" s="47" t="n"/>
      <c r="AA1732" s="47" t="n"/>
      <c r="AB1732" s="47" t="n"/>
      <c r="AC1732" s="47" t="n"/>
      <c r="AD1732" s="47" t="n"/>
      <c r="AE1732" s="47" t="n"/>
      <c r="AF1732" s="20">
        <f>IF(A1732="","",YEAR(EDATE(A1732,-3)))</f>
        <v/>
      </c>
      <c r="AG1732" s="20">
        <f>IF(OR(B1732="",'経歴簿'!$C$4=""),"",IF(B1732&amp;""='経歴簿'!$C$4&amp;"",MAX($AG$4:AG1731)+1,""))</f>
        <v/>
      </c>
      <c r="AH1732" s="20">
        <f>IF(A1732="",0,IF(AND(OR('CSV抽出'!$C$4="",A1732&gt;='CSV抽出'!$C$4),OR('CSV抽出'!$C$5="",A1732&lt;='CSV抽出'!$C$5),OR('CSV抽出'!$C$6="すべて",'CSV抽出'!$C$6="",D1732='CSV抽出'!$C$6),OR('CSV抽出'!$C$7="",B1732&amp;""='CSV抽出'!$C$7&amp;"")),1,0))</f>
        <v/>
      </c>
      <c r="AI1732" s="20">
        <f>IF(AH1732=1,SUM($AH$5:AH1732),"")</f>
        <v/>
      </c>
      <c r="AJ1732" s="20">
        <f>IF(OR(S1732="",'報告書'!$C$4=""),"",IF(S1732&amp;""='報告書'!$C$4&amp;"",COUNTIF($S$5:S1732,'報告書'!$C$4),""))</f>
        <v/>
      </c>
      <c r="AK1732" s="20" t="n"/>
      <c r="AL1732" s="47" t="n"/>
      <c r="AM1732" s="47" t="n"/>
      <c r="AN1732" s="53" t="n"/>
      <c r="AO1732" s="47" t="n"/>
      <c r="AP1732" s="47" t="n"/>
      <c r="AQ1732" s="47" t="n"/>
      <c r="AR1732" s="47" t="n"/>
      <c r="AS1732" s="47" t="n"/>
      <c r="AT1732" s="47" t="n"/>
      <c r="AU1732" s="47" t="n"/>
      <c r="AV1732" s="47" t="n"/>
      <c r="AW1732" s="52" t="n"/>
    </row>
    <row r="1733">
      <c r="A1733" s="48" t="n"/>
      <c r="B1733" s="52" t="n"/>
      <c r="C1733" s="47">
        <f>IF(B1733="","",IFERROR(INDEX('隊員マスタ'!$B$5:$B$204,MATCH(B1733&amp;"",'隊員マスタ'!$F$5:$F$204,0)),IF(AK1733="","番号なし",AK1733)))</f>
        <v/>
      </c>
      <c r="D1733" s="47" t="n"/>
      <c r="E1733" s="47" t="n"/>
      <c r="F1733" s="47" t="n"/>
      <c r="G1733" s="47" t="n"/>
      <c r="H1733" s="47" t="n"/>
      <c r="I1733" s="47" t="n"/>
      <c r="J1733" s="47" t="n"/>
      <c r="K1733" s="47" t="n"/>
      <c r="L1733" s="47" t="n"/>
      <c r="M1733" s="47" t="n"/>
      <c r="N1733" s="47" t="n"/>
      <c r="O1733" s="47" t="n"/>
      <c r="P1733" s="47" t="n"/>
      <c r="Q1733" s="47" t="n"/>
      <c r="R1733" s="47" t="n"/>
      <c r="S1733" s="47" t="n"/>
      <c r="T1733" s="47" t="n"/>
      <c r="U1733" s="53" t="n"/>
      <c r="V1733" s="53" t="n"/>
      <c r="W1733" s="47" t="n"/>
      <c r="X1733" s="47" t="n"/>
      <c r="Y1733" s="47" t="n"/>
      <c r="Z1733" s="47" t="n"/>
      <c r="AA1733" s="47" t="n"/>
      <c r="AB1733" s="47" t="n"/>
      <c r="AC1733" s="47" t="n"/>
      <c r="AD1733" s="47" t="n"/>
      <c r="AE1733" s="47" t="n"/>
      <c r="AF1733" s="20">
        <f>IF(A1733="","",YEAR(EDATE(A1733,-3)))</f>
        <v/>
      </c>
      <c r="AG1733" s="20">
        <f>IF(OR(B1733="",'経歴簿'!$C$4=""),"",IF(B1733&amp;""='経歴簿'!$C$4&amp;"",MAX($AG$4:AG1732)+1,""))</f>
        <v/>
      </c>
      <c r="AH1733" s="20">
        <f>IF(A1733="",0,IF(AND(OR('CSV抽出'!$C$4="",A1733&gt;='CSV抽出'!$C$4),OR('CSV抽出'!$C$5="",A1733&lt;='CSV抽出'!$C$5),OR('CSV抽出'!$C$6="すべて",'CSV抽出'!$C$6="",D1733='CSV抽出'!$C$6),OR('CSV抽出'!$C$7="",B1733&amp;""='CSV抽出'!$C$7&amp;"")),1,0))</f>
        <v/>
      </c>
      <c r="AI1733" s="20">
        <f>IF(AH1733=1,SUM($AH$5:AH1733),"")</f>
        <v/>
      </c>
      <c r="AJ1733" s="20">
        <f>IF(OR(S1733="",'報告書'!$C$4=""),"",IF(S1733&amp;""='報告書'!$C$4&amp;"",COUNTIF($S$5:S1733,'報告書'!$C$4),""))</f>
        <v/>
      </c>
      <c r="AK1733" s="20" t="n"/>
      <c r="AL1733" s="47" t="n"/>
      <c r="AM1733" s="47" t="n"/>
      <c r="AN1733" s="53" t="n"/>
      <c r="AO1733" s="47" t="n"/>
      <c r="AP1733" s="47" t="n"/>
      <c r="AQ1733" s="47" t="n"/>
      <c r="AR1733" s="47" t="n"/>
      <c r="AS1733" s="47" t="n"/>
      <c r="AT1733" s="47" t="n"/>
      <c r="AU1733" s="47" t="n"/>
      <c r="AV1733" s="47" t="n"/>
      <c r="AW1733" s="52" t="n"/>
    </row>
    <row r="1734">
      <c r="A1734" s="48" t="n"/>
      <c r="B1734" s="52" t="n"/>
      <c r="C1734" s="47">
        <f>IF(B1734="","",IFERROR(INDEX('隊員マスタ'!$B$5:$B$204,MATCH(B1734&amp;"",'隊員マスタ'!$F$5:$F$204,0)),IF(AK1734="","番号なし",AK1734)))</f>
        <v/>
      </c>
      <c r="D1734" s="47" t="n"/>
      <c r="E1734" s="47" t="n"/>
      <c r="F1734" s="47" t="n"/>
      <c r="G1734" s="47" t="n"/>
      <c r="H1734" s="47" t="n"/>
      <c r="I1734" s="47" t="n"/>
      <c r="J1734" s="47" t="n"/>
      <c r="K1734" s="47" t="n"/>
      <c r="L1734" s="47" t="n"/>
      <c r="M1734" s="47" t="n"/>
      <c r="N1734" s="47" t="n"/>
      <c r="O1734" s="47" t="n"/>
      <c r="P1734" s="47" t="n"/>
      <c r="Q1734" s="47" t="n"/>
      <c r="R1734" s="47" t="n"/>
      <c r="S1734" s="47" t="n"/>
      <c r="T1734" s="47" t="n"/>
      <c r="U1734" s="53" t="n"/>
      <c r="V1734" s="53" t="n"/>
      <c r="W1734" s="47" t="n"/>
      <c r="X1734" s="47" t="n"/>
      <c r="Y1734" s="47" t="n"/>
      <c r="Z1734" s="47" t="n"/>
      <c r="AA1734" s="47" t="n"/>
      <c r="AB1734" s="47" t="n"/>
      <c r="AC1734" s="47" t="n"/>
      <c r="AD1734" s="47" t="n"/>
      <c r="AE1734" s="47" t="n"/>
      <c r="AF1734" s="20">
        <f>IF(A1734="","",YEAR(EDATE(A1734,-3)))</f>
        <v/>
      </c>
      <c r="AG1734" s="20">
        <f>IF(OR(B1734="",'経歴簿'!$C$4=""),"",IF(B1734&amp;""='経歴簿'!$C$4&amp;"",MAX($AG$4:AG1733)+1,""))</f>
        <v/>
      </c>
      <c r="AH1734" s="20">
        <f>IF(A1734="",0,IF(AND(OR('CSV抽出'!$C$4="",A1734&gt;='CSV抽出'!$C$4),OR('CSV抽出'!$C$5="",A1734&lt;='CSV抽出'!$C$5),OR('CSV抽出'!$C$6="すべて",'CSV抽出'!$C$6="",D1734='CSV抽出'!$C$6),OR('CSV抽出'!$C$7="",B1734&amp;""='CSV抽出'!$C$7&amp;"")),1,0))</f>
        <v/>
      </c>
      <c r="AI1734" s="20">
        <f>IF(AH1734=1,SUM($AH$5:AH1734),"")</f>
        <v/>
      </c>
      <c r="AJ1734" s="20">
        <f>IF(OR(S1734="",'報告書'!$C$4=""),"",IF(S1734&amp;""='報告書'!$C$4&amp;"",COUNTIF($S$5:S1734,'報告書'!$C$4),""))</f>
        <v/>
      </c>
      <c r="AK1734" s="20" t="n"/>
      <c r="AL1734" s="47" t="n"/>
      <c r="AM1734" s="47" t="n"/>
      <c r="AN1734" s="53" t="n"/>
      <c r="AO1734" s="47" t="n"/>
      <c r="AP1734" s="47" t="n"/>
      <c r="AQ1734" s="47" t="n"/>
      <c r="AR1734" s="47" t="n"/>
      <c r="AS1734" s="47" t="n"/>
      <c r="AT1734" s="47" t="n"/>
      <c r="AU1734" s="47" t="n"/>
      <c r="AV1734" s="47" t="n"/>
      <c r="AW1734" s="52" t="n"/>
    </row>
    <row r="1735">
      <c r="A1735" s="48" t="n"/>
      <c r="B1735" s="52" t="n"/>
      <c r="C1735" s="47">
        <f>IF(B1735="","",IFERROR(INDEX('隊員マスタ'!$B$5:$B$204,MATCH(B1735&amp;"",'隊員マスタ'!$F$5:$F$204,0)),IF(AK1735="","番号なし",AK1735)))</f>
        <v/>
      </c>
      <c r="D1735" s="47" t="n"/>
      <c r="E1735" s="47" t="n"/>
      <c r="F1735" s="47" t="n"/>
      <c r="G1735" s="47" t="n"/>
      <c r="H1735" s="47" t="n"/>
      <c r="I1735" s="47" t="n"/>
      <c r="J1735" s="47" t="n"/>
      <c r="K1735" s="47" t="n"/>
      <c r="L1735" s="47" t="n"/>
      <c r="M1735" s="47" t="n"/>
      <c r="N1735" s="47" t="n"/>
      <c r="O1735" s="47" t="n"/>
      <c r="P1735" s="47" t="n"/>
      <c r="Q1735" s="47" t="n"/>
      <c r="R1735" s="47" t="n"/>
      <c r="S1735" s="47" t="n"/>
      <c r="T1735" s="47" t="n"/>
      <c r="U1735" s="53" t="n"/>
      <c r="V1735" s="53" t="n"/>
      <c r="W1735" s="47" t="n"/>
      <c r="X1735" s="47" t="n"/>
      <c r="Y1735" s="47" t="n"/>
      <c r="Z1735" s="47" t="n"/>
      <c r="AA1735" s="47" t="n"/>
      <c r="AB1735" s="47" t="n"/>
      <c r="AC1735" s="47" t="n"/>
      <c r="AD1735" s="47" t="n"/>
      <c r="AE1735" s="47" t="n"/>
      <c r="AF1735" s="20">
        <f>IF(A1735="","",YEAR(EDATE(A1735,-3)))</f>
        <v/>
      </c>
      <c r="AG1735" s="20">
        <f>IF(OR(B1735="",'経歴簿'!$C$4=""),"",IF(B1735&amp;""='経歴簿'!$C$4&amp;"",MAX($AG$4:AG1734)+1,""))</f>
        <v/>
      </c>
      <c r="AH1735" s="20">
        <f>IF(A1735="",0,IF(AND(OR('CSV抽出'!$C$4="",A1735&gt;='CSV抽出'!$C$4),OR('CSV抽出'!$C$5="",A1735&lt;='CSV抽出'!$C$5),OR('CSV抽出'!$C$6="すべて",'CSV抽出'!$C$6="",D1735='CSV抽出'!$C$6),OR('CSV抽出'!$C$7="",B1735&amp;""='CSV抽出'!$C$7&amp;"")),1,0))</f>
        <v/>
      </c>
      <c r="AI1735" s="20">
        <f>IF(AH1735=1,SUM($AH$5:AH1735),"")</f>
        <v/>
      </c>
      <c r="AJ1735" s="20">
        <f>IF(OR(S1735="",'報告書'!$C$4=""),"",IF(S1735&amp;""='報告書'!$C$4&amp;"",COUNTIF($S$5:S1735,'報告書'!$C$4),""))</f>
        <v/>
      </c>
      <c r="AK1735" s="20" t="n"/>
      <c r="AL1735" s="47" t="n"/>
      <c r="AM1735" s="47" t="n"/>
      <c r="AN1735" s="53" t="n"/>
      <c r="AO1735" s="47" t="n"/>
      <c r="AP1735" s="47" t="n"/>
      <c r="AQ1735" s="47" t="n"/>
      <c r="AR1735" s="47" t="n"/>
      <c r="AS1735" s="47" t="n"/>
      <c r="AT1735" s="47" t="n"/>
      <c r="AU1735" s="47" t="n"/>
      <c r="AV1735" s="47" t="n"/>
      <c r="AW1735" s="52" t="n"/>
    </row>
    <row r="1736">
      <c r="A1736" s="48" t="n"/>
      <c r="B1736" s="52" t="n"/>
      <c r="C1736" s="47">
        <f>IF(B1736="","",IFERROR(INDEX('隊員マスタ'!$B$5:$B$204,MATCH(B1736&amp;"",'隊員マスタ'!$F$5:$F$204,0)),IF(AK1736="","番号なし",AK1736)))</f>
        <v/>
      </c>
      <c r="D1736" s="47" t="n"/>
      <c r="E1736" s="47" t="n"/>
      <c r="F1736" s="47" t="n"/>
      <c r="G1736" s="47" t="n"/>
      <c r="H1736" s="47" t="n"/>
      <c r="I1736" s="47" t="n"/>
      <c r="J1736" s="47" t="n"/>
      <c r="K1736" s="47" t="n"/>
      <c r="L1736" s="47" t="n"/>
      <c r="M1736" s="47" t="n"/>
      <c r="N1736" s="47" t="n"/>
      <c r="O1736" s="47" t="n"/>
      <c r="P1736" s="47" t="n"/>
      <c r="Q1736" s="47" t="n"/>
      <c r="R1736" s="47" t="n"/>
      <c r="S1736" s="47" t="n"/>
      <c r="T1736" s="47" t="n"/>
      <c r="U1736" s="53" t="n"/>
      <c r="V1736" s="53" t="n"/>
      <c r="W1736" s="47" t="n"/>
      <c r="X1736" s="47" t="n"/>
      <c r="Y1736" s="47" t="n"/>
      <c r="Z1736" s="47" t="n"/>
      <c r="AA1736" s="47" t="n"/>
      <c r="AB1736" s="47" t="n"/>
      <c r="AC1736" s="47" t="n"/>
      <c r="AD1736" s="47" t="n"/>
      <c r="AE1736" s="47" t="n"/>
      <c r="AF1736" s="20">
        <f>IF(A1736="","",YEAR(EDATE(A1736,-3)))</f>
        <v/>
      </c>
      <c r="AG1736" s="20">
        <f>IF(OR(B1736="",'経歴簿'!$C$4=""),"",IF(B1736&amp;""='経歴簿'!$C$4&amp;"",MAX($AG$4:AG1735)+1,""))</f>
        <v/>
      </c>
      <c r="AH1736" s="20">
        <f>IF(A1736="",0,IF(AND(OR('CSV抽出'!$C$4="",A1736&gt;='CSV抽出'!$C$4),OR('CSV抽出'!$C$5="",A1736&lt;='CSV抽出'!$C$5),OR('CSV抽出'!$C$6="すべて",'CSV抽出'!$C$6="",D1736='CSV抽出'!$C$6),OR('CSV抽出'!$C$7="",B1736&amp;""='CSV抽出'!$C$7&amp;"")),1,0))</f>
        <v/>
      </c>
      <c r="AI1736" s="20">
        <f>IF(AH1736=1,SUM($AH$5:AH1736),"")</f>
        <v/>
      </c>
      <c r="AJ1736" s="20">
        <f>IF(OR(S1736="",'報告書'!$C$4=""),"",IF(S1736&amp;""='報告書'!$C$4&amp;"",COUNTIF($S$5:S1736,'報告書'!$C$4),""))</f>
        <v/>
      </c>
      <c r="AK1736" s="20" t="n"/>
      <c r="AL1736" s="47" t="n"/>
      <c r="AM1736" s="47" t="n"/>
      <c r="AN1736" s="53" t="n"/>
      <c r="AO1736" s="47" t="n"/>
      <c r="AP1736" s="47" t="n"/>
      <c r="AQ1736" s="47" t="n"/>
      <c r="AR1736" s="47" t="n"/>
      <c r="AS1736" s="47" t="n"/>
      <c r="AT1736" s="47" t="n"/>
      <c r="AU1736" s="47" t="n"/>
      <c r="AV1736" s="47" t="n"/>
      <c r="AW1736" s="52" t="n"/>
    </row>
    <row r="1737">
      <c r="A1737" s="48" t="n"/>
      <c r="B1737" s="52" t="n"/>
      <c r="C1737" s="47">
        <f>IF(B1737="","",IFERROR(INDEX('隊員マスタ'!$B$5:$B$204,MATCH(B1737&amp;"",'隊員マスタ'!$F$5:$F$204,0)),IF(AK1737="","番号なし",AK1737)))</f>
        <v/>
      </c>
      <c r="D1737" s="47" t="n"/>
      <c r="E1737" s="47" t="n"/>
      <c r="F1737" s="47" t="n"/>
      <c r="G1737" s="47" t="n"/>
      <c r="H1737" s="47" t="n"/>
      <c r="I1737" s="47" t="n"/>
      <c r="J1737" s="47" t="n"/>
      <c r="K1737" s="47" t="n"/>
      <c r="L1737" s="47" t="n"/>
      <c r="M1737" s="47" t="n"/>
      <c r="N1737" s="47" t="n"/>
      <c r="O1737" s="47" t="n"/>
      <c r="P1737" s="47" t="n"/>
      <c r="Q1737" s="47" t="n"/>
      <c r="R1737" s="47" t="n"/>
      <c r="S1737" s="47" t="n"/>
      <c r="T1737" s="47" t="n"/>
      <c r="U1737" s="53" t="n"/>
      <c r="V1737" s="53" t="n"/>
      <c r="W1737" s="47" t="n"/>
      <c r="X1737" s="47" t="n"/>
      <c r="Y1737" s="47" t="n"/>
      <c r="Z1737" s="47" t="n"/>
      <c r="AA1737" s="47" t="n"/>
      <c r="AB1737" s="47" t="n"/>
      <c r="AC1737" s="47" t="n"/>
      <c r="AD1737" s="47" t="n"/>
      <c r="AE1737" s="47" t="n"/>
      <c r="AF1737" s="20">
        <f>IF(A1737="","",YEAR(EDATE(A1737,-3)))</f>
        <v/>
      </c>
      <c r="AG1737" s="20">
        <f>IF(OR(B1737="",'経歴簿'!$C$4=""),"",IF(B1737&amp;""='経歴簿'!$C$4&amp;"",MAX($AG$4:AG1736)+1,""))</f>
        <v/>
      </c>
      <c r="AH1737" s="20">
        <f>IF(A1737="",0,IF(AND(OR('CSV抽出'!$C$4="",A1737&gt;='CSV抽出'!$C$4),OR('CSV抽出'!$C$5="",A1737&lt;='CSV抽出'!$C$5),OR('CSV抽出'!$C$6="すべて",'CSV抽出'!$C$6="",D1737='CSV抽出'!$C$6),OR('CSV抽出'!$C$7="",B1737&amp;""='CSV抽出'!$C$7&amp;"")),1,0))</f>
        <v/>
      </c>
      <c r="AI1737" s="20">
        <f>IF(AH1737=1,SUM($AH$5:AH1737),"")</f>
        <v/>
      </c>
      <c r="AJ1737" s="20">
        <f>IF(OR(S1737="",'報告書'!$C$4=""),"",IF(S1737&amp;""='報告書'!$C$4&amp;"",COUNTIF($S$5:S1737,'報告書'!$C$4),""))</f>
        <v/>
      </c>
      <c r="AK1737" s="20" t="n"/>
      <c r="AL1737" s="47" t="n"/>
      <c r="AM1737" s="47" t="n"/>
      <c r="AN1737" s="53" t="n"/>
      <c r="AO1737" s="47" t="n"/>
      <c r="AP1737" s="47" t="n"/>
      <c r="AQ1737" s="47" t="n"/>
      <c r="AR1737" s="47" t="n"/>
      <c r="AS1737" s="47" t="n"/>
      <c r="AT1737" s="47" t="n"/>
      <c r="AU1737" s="47" t="n"/>
      <c r="AV1737" s="47" t="n"/>
      <c r="AW1737" s="52" t="n"/>
    </row>
    <row r="1738">
      <c r="A1738" s="48" t="n"/>
      <c r="B1738" s="52" t="n"/>
      <c r="C1738" s="47">
        <f>IF(B1738="","",IFERROR(INDEX('隊員マスタ'!$B$5:$B$204,MATCH(B1738&amp;"",'隊員マスタ'!$F$5:$F$204,0)),IF(AK1738="","番号なし",AK1738)))</f>
        <v/>
      </c>
      <c r="D1738" s="47" t="n"/>
      <c r="E1738" s="47" t="n"/>
      <c r="F1738" s="47" t="n"/>
      <c r="G1738" s="47" t="n"/>
      <c r="H1738" s="47" t="n"/>
      <c r="I1738" s="47" t="n"/>
      <c r="J1738" s="47" t="n"/>
      <c r="K1738" s="47" t="n"/>
      <c r="L1738" s="47" t="n"/>
      <c r="M1738" s="47" t="n"/>
      <c r="N1738" s="47" t="n"/>
      <c r="O1738" s="47" t="n"/>
      <c r="P1738" s="47" t="n"/>
      <c r="Q1738" s="47" t="n"/>
      <c r="R1738" s="47" t="n"/>
      <c r="S1738" s="47" t="n"/>
      <c r="T1738" s="47" t="n"/>
      <c r="U1738" s="53" t="n"/>
      <c r="V1738" s="53" t="n"/>
      <c r="W1738" s="47" t="n"/>
      <c r="X1738" s="47" t="n"/>
      <c r="Y1738" s="47" t="n"/>
      <c r="Z1738" s="47" t="n"/>
      <c r="AA1738" s="47" t="n"/>
      <c r="AB1738" s="47" t="n"/>
      <c r="AC1738" s="47" t="n"/>
      <c r="AD1738" s="47" t="n"/>
      <c r="AE1738" s="47" t="n"/>
      <c r="AF1738" s="20">
        <f>IF(A1738="","",YEAR(EDATE(A1738,-3)))</f>
        <v/>
      </c>
      <c r="AG1738" s="20">
        <f>IF(OR(B1738="",'経歴簿'!$C$4=""),"",IF(B1738&amp;""='経歴簿'!$C$4&amp;"",MAX($AG$4:AG1737)+1,""))</f>
        <v/>
      </c>
      <c r="AH1738" s="20">
        <f>IF(A1738="",0,IF(AND(OR('CSV抽出'!$C$4="",A1738&gt;='CSV抽出'!$C$4),OR('CSV抽出'!$C$5="",A1738&lt;='CSV抽出'!$C$5),OR('CSV抽出'!$C$6="すべて",'CSV抽出'!$C$6="",D1738='CSV抽出'!$C$6),OR('CSV抽出'!$C$7="",B1738&amp;""='CSV抽出'!$C$7&amp;"")),1,0))</f>
        <v/>
      </c>
      <c r="AI1738" s="20">
        <f>IF(AH1738=1,SUM($AH$5:AH1738),"")</f>
        <v/>
      </c>
      <c r="AJ1738" s="20">
        <f>IF(OR(S1738="",'報告書'!$C$4=""),"",IF(S1738&amp;""='報告書'!$C$4&amp;"",COUNTIF($S$5:S1738,'報告書'!$C$4),""))</f>
        <v/>
      </c>
      <c r="AK1738" s="20" t="n"/>
      <c r="AL1738" s="47" t="n"/>
      <c r="AM1738" s="47" t="n"/>
      <c r="AN1738" s="53" t="n"/>
      <c r="AO1738" s="47" t="n"/>
      <c r="AP1738" s="47" t="n"/>
      <c r="AQ1738" s="47" t="n"/>
      <c r="AR1738" s="47" t="n"/>
      <c r="AS1738" s="47" t="n"/>
      <c r="AT1738" s="47" t="n"/>
      <c r="AU1738" s="47" t="n"/>
      <c r="AV1738" s="47" t="n"/>
      <c r="AW1738" s="52" t="n"/>
    </row>
    <row r="1739">
      <c r="A1739" s="48" t="n"/>
      <c r="B1739" s="52" t="n"/>
      <c r="C1739" s="47">
        <f>IF(B1739="","",IFERROR(INDEX('隊員マスタ'!$B$5:$B$204,MATCH(B1739&amp;"",'隊員マスタ'!$F$5:$F$204,0)),IF(AK1739="","番号なし",AK1739)))</f>
        <v/>
      </c>
      <c r="D1739" s="47" t="n"/>
      <c r="E1739" s="47" t="n"/>
      <c r="F1739" s="47" t="n"/>
      <c r="G1739" s="47" t="n"/>
      <c r="H1739" s="47" t="n"/>
      <c r="I1739" s="47" t="n"/>
      <c r="J1739" s="47" t="n"/>
      <c r="K1739" s="47" t="n"/>
      <c r="L1739" s="47" t="n"/>
      <c r="M1739" s="47" t="n"/>
      <c r="N1739" s="47" t="n"/>
      <c r="O1739" s="47" t="n"/>
      <c r="P1739" s="47" t="n"/>
      <c r="Q1739" s="47" t="n"/>
      <c r="R1739" s="47" t="n"/>
      <c r="S1739" s="47" t="n"/>
      <c r="T1739" s="47" t="n"/>
      <c r="U1739" s="53" t="n"/>
      <c r="V1739" s="53" t="n"/>
      <c r="W1739" s="47" t="n"/>
      <c r="X1739" s="47" t="n"/>
      <c r="Y1739" s="47" t="n"/>
      <c r="Z1739" s="47" t="n"/>
      <c r="AA1739" s="47" t="n"/>
      <c r="AB1739" s="47" t="n"/>
      <c r="AC1739" s="47" t="n"/>
      <c r="AD1739" s="47" t="n"/>
      <c r="AE1739" s="47" t="n"/>
      <c r="AF1739" s="20">
        <f>IF(A1739="","",YEAR(EDATE(A1739,-3)))</f>
        <v/>
      </c>
      <c r="AG1739" s="20">
        <f>IF(OR(B1739="",'経歴簿'!$C$4=""),"",IF(B1739&amp;""='経歴簿'!$C$4&amp;"",MAX($AG$4:AG1738)+1,""))</f>
        <v/>
      </c>
      <c r="AH1739" s="20">
        <f>IF(A1739="",0,IF(AND(OR('CSV抽出'!$C$4="",A1739&gt;='CSV抽出'!$C$4),OR('CSV抽出'!$C$5="",A1739&lt;='CSV抽出'!$C$5),OR('CSV抽出'!$C$6="すべて",'CSV抽出'!$C$6="",D1739='CSV抽出'!$C$6),OR('CSV抽出'!$C$7="",B1739&amp;""='CSV抽出'!$C$7&amp;"")),1,0))</f>
        <v/>
      </c>
      <c r="AI1739" s="20">
        <f>IF(AH1739=1,SUM($AH$5:AH1739),"")</f>
        <v/>
      </c>
      <c r="AJ1739" s="20">
        <f>IF(OR(S1739="",'報告書'!$C$4=""),"",IF(S1739&amp;""='報告書'!$C$4&amp;"",COUNTIF($S$5:S1739,'報告書'!$C$4),""))</f>
        <v/>
      </c>
      <c r="AK1739" s="20" t="n"/>
      <c r="AL1739" s="47" t="n"/>
      <c r="AM1739" s="47" t="n"/>
      <c r="AN1739" s="53" t="n"/>
      <c r="AO1739" s="47" t="n"/>
      <c r="AP1739" s="47" t="n"/>
      <c r="AQ1739" s="47" t="n"/>
      <c r="AR1739" s="47" t="n"/>
      <c r="AS1739" s="47" t="n"/>
      <c r="AT1739" s="47" t="n"/>
      <c r="AU1739" s="47" t="n"/>
      <c r="AV1739" s="47" t="n"/>
      <c r="AW1739" s="52" t="n"/>
    </row>
    <row r="1740">
      <c r="A1740" s="48" t="n"/>
      <c r="B1740" s="52" t="n"/>
      <c r="C1740" s="47">
        <f>IF(B1740="","",IFERROR(INDEX('隊員マスタ'!$B$5:$B$204,MATCH(B1740&amp;"",'隊員マスタ'!$F$5:$F$204,0)),IF(AK1740="","番号なし",AK1740)))</f>
        <v/>
      </c>
      <c r="D1740" s="47" t="n"/>
      <c r="E1740" s="47" t="n"/>
      <c r="F1740" s="47" t="n"/>
      <c r="G1740" s="47" t="n"/>
      <c r="H1740" s="47" t="n"/>
      <c r="I1740" s="47" t="n"/>
      <c r="J1740" s="47" t="n"/>
      <c r="K1740" s="47" t="n"/>
      <c r="L1740" s="47" t="n"/>
      <c r="M1740" s="47" t="n"/>
      <c r="N1740" s="47" t="n"/>
      <c r="O1740" s="47" t="n"/>
      <c r="P1740" s="47" t="n"/>
      <c r="Q1740" s="47" t="n"/>
      <c r="R1740" s="47" t="n"/>
      <c r="S1740" s="47" t="n"/>
      <c r="T1740" s="47" t="n"/>
      <c r="U1740" s="53" t="n"/>
      <c r="V1740" s="53" t="n"/>
      <c r="W1740" s="47" t="n"/>
      <c r="X1740" s="47" t="n"/>
      <c r="Y1740" s="47" t="n"/>
      <c r="Z1740" s="47" t="n"/>
      <c r="AA1740" s="47" t="n"/>
      <c r="AB1740" s="47" t="n"/>
      <c r="AC1740" s="47" t="n"/>
      <c r="AD1740" s="47" t="n"/>
      <c r="AE1740" s="47" t="n"/>
      <c r="AF1740" s="20">
        <f>IF(A1740="","",YEAR(EDATE(A1740,-3)))</f>
        <v/>
      </c>
      <c r="AG1740" s="20">
        <f>IF(OR(B1740="",'経歴簿'!$C$4=""),"",IF(B1740&amp;""='経歴簿'!$C$4&amp;"",MAX($AG$4:AG1739)+1,""))</f>
        <v/>
      </c>
      <c r="AH1740" s="20">
        <f>IF(A1740="",0,IF(AND(OR('CSV抽出'!$C$4="",A1740&gt;='CSV抽出'!$C$4),OR('CSV抽出'!$C$5="",A1740&lt;='CSV抽出'!$C$5),OR('CSV抽出'!$C$6="すべて",'CSV抽出'!$C$6="",D1740='CSV抽出'!$C$6),OR('CSV抽出'!$C$7="",B1740&amp;""='CSV抽出'!$C$7&amp;"")),1,0))</f>
        <v/>
      </c>
      <c r="AI1740" s="20">
        <f>IF(AH1740=1,SUM($AH$5:AH1740),"")</f>
        <v/>
      </c>
      <c r="AJ1740" s="20">
        <f>IF(OR(S1740="",'報告書'!$C$4=""),"",IF(S1740&amp;""='報告書'!$C$4&amp;"",COUNTIF($S$5:S1740,'報告書'!$C$4),""))</f>
        <v/>
      </c>
      <c r="AK1740" s="20" t="n"/>
      <c r="AL1740" s="47" t="n"/>
      <c r="AM1740" s="47" t="n"/>
      <c r="AN1740" s="53" t="n"/>
      <c r="AO1740" s="47" t="n"/>
      <c r="AP1740" s="47" t="n"/>
      <c r="AQ1740" s="47" t="n"/>
      <c r="AR1740" s="47" t="n"/>
      <c r="AS1740" s="47" t="n"/>
      <c r="AT1740" s="47" t="n"/>
      <c r="AU1740" s="47" t="n"/>
      <c r="AV1740" s="47" t="n"/>
      <c r="AW1740" s="52" t="n"/>
    </row>
    <row r="1741">
      <c r="A1741" s="48" t="n"/>
      <c r="B1741" s="52" t="n"/>
      <c r="C1741" s="47">
        <f>IF(B1741="","",IFERROR(INDEX('隊員マスタ'!$B$5:$B$204,MATCH(B1741&amp;"",'隊員マスタ'!$F$5:$F$204,0)),IF(AK1741="","番号なし",AK1741)))</f>
        <v/>
      </c>
      <c r="D1741" s="47" t="n"/>
      <c r="E1741" s="47" t="n"/>
      <c r="F1741" s="47" t="n"/>
      <c r="G1741" s="47" t="n"/>
      <c r="H1741" s="47" t="n"/>
      <c r="I1741" s="47" t="n"/>
      <c r="J1741" s="47" t="n"/>
      <c r="K1741" s="47" t="n"/>
      <c r="L1741" s="47" t="n"/>
      <c r="M1741" s="47" t="n"/>
      <c r="N1741" s="47" t="n"/>
      <c r="O1741" s="47" t="n"/>
      <c r="P1741" s="47" t="n"/>
      <c r="Q1741" s="47" t="n"/>
      <c r="R1741" s="47" t="n"/>
      <c r="S1741" s="47" t="n"/>
      <c r="T1741" s="47" t="n"/>
      <c r="U1741" s="53" t="n"/>
      <c r="V1741" s="53" t="n"/>
      <c r="W1741" s="47" t="n"/>
      <c r="X1741" s="47" t="n"/>
      <c r="Y1741" s="47" t="n"/>
      <c r="Z1741" s="47" t="n"/>
      <c r="AA1741" s="47" t="n"/>
      <c r="AB1741" s="47" t="n"/>
      <c r="AC1741" s="47" t="n"/>
      <c r="AD1741" s="47" t="n"/>
      <c r="AE1741" s="47" t="n"/>
      <c r="AF1741" s="20">
        <f>IF(A1741="","",YEAR(EDATE(A1741,-3)))</f>
        <v/>
      </c>
      <c r="AG1741" s="20">
        <f>IF(OR(B1741="",'経歴簿'!$C$4=""),"",IF(B1741&amp;""='経歴簿'!$C$4&amp;"",MAX($AG$4:AG1740)+1,""))</f>
        <v/>
      </c>
      <c r="AH1741" s="20">
        <f>IF(A1741="",0,IF(AND(OR('CSV抽出'!$C$4="",A1741&gt;='CSV抽出'!$C$4),OR('CSV抽出'!$C$5="",A1741&lt;='CSV抽出'!$C$5),OR('CSV抽出'!$C$6="すべて",'CSV抽出'!$C$6="",D1741='CSV抽出'!$C$6),OR('CSV抽出'!$C$7="",B1741&amp;""='CSV抽出'!$C$7&amp;"")),1,0))</f>
        <v/>
      </c>
      <c r="AI1741" s="20">
        <f>IF(AH1741=1,SUM($AH$5:AH1741),"")</f>
        <v/>
      </c>
      <c r="AJ1741" s="20">
        <f>IF(OR(S1741="",'報告書'!$C$4=""),"",IF(S1741&amp;""='報告書'!$C$4&amp;"",COUNTIF($S$5:S1741,'報告書'!$C$4),""))</f>
        <v/>
      </c>
      <c r="AK1741" s="20" t="n"/>
      <c r="AL1741" s="47" t="n"/>
      <c r="AM1741" s="47" t="n"/>
      <c r="AN1741" s="53" t="n"/>
      <c r="AO1741" s="47" t="n"/>
      <c r="AP1741" s="47" t="n"/>
      <c r="AQ1741" s="47" t="n"/>
      <c r="AR1741" s="47" t="n"/>
      <c r="AS1741" s="47" t="n"/>
      <c r="AT1741" s="47" t="n"/>
      <c r="AU1741" s="47" t="n"/>
      <c r="AV1741" s="47" t="n"/>
      <c r="AW1741" s="52" t="n"/>
    </row>
    <row r="1742">
      <c r="A1742" s="48" t="n"/>
      <c r="B1742" s="52" t="n"/>
      <c r="C1742" s="47">
        <f>IF(B1742="","",IFERROR(INDEX('隊員マスタ'!$B$5:$B$204,MATCH(B1742&amp;"",'隊員マスタ'!$F$5:$F$204,0)),IF(AK1742="","番号なし",AK1742)))</f>
        <v/>
      </c>
      <c r="D1742" s="47" t="n"/>
      <c r="E1742" s="47" t="n"/>
      <c r="F1742" s="47" t="n"/>
      <c r="G1742" s="47" t="n"/>
      <c r="H1742" s="47" t="n"/>
      <c r="I1742" s="47" t="n"/>
      <c r="J1742" s="47" t="n"/>
      <c r="K1742" s="47" t="n"/>
      <c r="L1742" s="47" t="n"/>
      <c r="M1742" s="47" t="n"/>
      <c r="N1742" s="47" t="n"/>
      <c r="O1742" s="47" t="n"/>
      <c r="P1742" s="47" t="n"/>
      <c r="Q1742" s="47" t="n"/>
      <c r="R1742" s="47" t="n"/>
      <c r="S1742" s="47" t="n"/>
      <c r="T1742" s="47" t="n"/>
      <c r="U1742" s="53" t="n"/>
      <c r="V1742" s="53" t="n"/>
      <c r="W1742" s="47" t="n"/>
      <c r="X1742" s="47" t="n"/>
      <c r="Y1742" s="47" t="n"/>
      <c r="Z1742" s="47" t="n"/>
      <c r="AA1742" s="47" t="n"/>
      <c r="AB1742" s="47" t="n"/>
      <c r="AC1742" s="47" t="n"/>
      <c r="AD1742" s="47" t="n"/>
      <c r="AE1742" s="47" t="n"/>
      <c r="AF1742" s="20">
        <f>IF(A1742="","",YEAR(EDATE(A1742,-3)))</f>
        <v/>
      </c>
      <c r="AG1742" s="20">
        <f>IF(OR(B1742="",'経歴簿'!$C$4=""),"",IF(B1742&amp;""='経歴簿'!$C$4&amp;"",MAX($AG$4:AG1741)+1,""))</f>
        <v/>
      </c>
      <c r="AH1742" s="20">
        <f>IF(A1742="",0,IF(AND(OR('CSV抽出'!$C$4="",A1742&gt;='CSV抽出'!$C$4),OR('CSV抽出'!$C$5="",A1742&lt;='CSV抽出'!$C$5),OR('CSV抽出'!$C$6="すべて",'CSV抽出'!$C$6="",D1742='CSV抽出'!$C$6),OR('CSV抽出'!$C$7="",B1742&amp;""='CSV抽出'!$C$7&amp;"")),1,0))</f>
        <v/>
      </c>
      <c r="AI1742" s="20">
        <f>IF(AH1742=1,SUM($AH$5:AH1742),"")</f>
        <v/>
      </c>
      <c r="AJ1742" s="20">
        <f>IF(OR(S1742="",'報告書'!$C$4=""),"",IF(S1742&amp;""='報告書'!$C$4&amp;"",COUNTIF($S$5:S1742,'報告書'!$C$4),""))</f>
        <v/>
      </c>
      <c r="AK1742" s="20" t="n"/>
      <c r="AL1742" s="47" t="n"/>
      <c r="AM1742" s="47" t="n"/>
      <c r="AN1742" s="53" t="n"/>
      <c r="AO1742" s="47" t="n"/>
      <c r="AP1742" s="47" t="n"/>
      <c r="AQ1742" s="47" t="n"/>
      <c r="AR1742" s="47" t="n"/>
      <c r="AS1742" s="47" t="n"/>
      <c r="AT1742" s="47" t="n"/>
      <c r="AU1742" s="47" t="n"/>
      <c r="AV1742" s="47" t="n"/>
      <c r="AW1742" s="52" t="n"/>
    </row>
    <row r="1743">
      <c r="A1743" s="48" t="n"/>
      <c r="B1743" s="52" t="n"/>
      <c r="C1743" s="47">
        <f>IF(B1743="","",IFERROR(INDEX('隊員マスタ'!$B$5:$B$204,MATCH(B1743&amp;"",'隊員マスタ'!$F$5:$F$204,0)),IF(AK1743="","番号なし",AK1743)))</f>
        <v/>
      </c>
      <c r="D1743" s="47" t="n"/>
      <c r="E1743" s="47" t="n"/>
      <c r="F1743" s="47" t="n"/>
      <c r="G1743" s="47" t="n"/>
      <c r="H1743" s="47" t="n"/>
      <c r="I1743" s="47" t="n"/>
      <c r="J1743" s="47" t="n"/>
      <c r="K1743" s="47" t="n"/>
      <c r="L1743" s="47" t="n"/>
      <c r="M1743" s="47" t="n"/>
      <c r="N1743" s="47" t="n"/>
      <c r="O1743" s="47" t="n"/>
      <c r="P1743" s="47" t="n"/>
      <c r="Q1743" s="47" t="n"/>
      <c r="R1743" s="47" t="n"/>
      <c r="S1743" s="47" t="n"/>
      <c r="T1743" s="47" t="n"/>
      <c r="U1743" s="53" t="n"/>
      <c r="V1743" s="53" t="n"/>
      <c r="W1743" s="47" t="n"/>
      <c r="X1743" s="47" t="n"/>
      <c r="Y1743" s="47" t="n"/>
      <c r="Z1743" s="47" t="n"/>
      <c r="AA1743" s="47" t="n"/>
      <c r="AB1743" s="47" t="n"/>
      <c r="AC1743" s="47" t="n"/>
      <c r="AD1743" s="47" t="n"/>
      <c r="AE1743" s="47" t="n"/>
      <c r="AF1743" s="20">
        <f>IF(A1743="","",YEAR(EDATE(A1743,-3)))</f>
        <v/>
      </c>
      <c r="AG1743" s="20">
        <f>IF(OR(B1743="",'経歴簿'!$C$4=""),"",IF(B1743&amp;""='経歴簿'!$C$4&amp;"",MAX($AG$4:AG1742)+1,""))</f>
        <v/>
      </c>
      <c r="AH1743" s="20">
        <f>IF(A1743="",0,IF(AND(OR('CSV抽出'!$C$4="",A1743&gt;='CSV抽出'!$C$4),OR('CSV抽出'!$C$5="",A1743&lt;='CSV抽出'!$C$5),OR('CSV抽出'!$C$6="すべて",'CSV抽出'!$C$6="",D1743='CSV抽出'!$C$6),OR('CSV抽出'!$C$7="",B1743&amp;""='CSV抽出'!$C$7&amp;"")),1,0))</f>
        <v/>
      </c>
      <c r="AI1743" s="20">
        <f>IF(AH1743=1,SUM($AH$5:AH1743),"")</f>
        <v/>
      </c>
      <c r="AJ1743" s="20">
        <f>IF(OR(S1743="",'報告書'!$C$4=""),"",IF(S1743&amp;""='報告書'!$C$4&amp;"",COUNTIF($S$5:S1743,'報告書'!$C$4),""))</f>
        <v/>
      </c>
      <c r="AK1743" s="20" t="n"/>
      <c r="AL1743" s="47" t="n"/>
      <c r="AM1743" s="47" t="n"/>
      <c r="AN1743" s="53" t="n"/>
      <c r="AO1743" s="47" t="n"/>
      <c r="AP1743" s="47" t="n"/>
      <c r="AQ1743" s="47" t="n"/>
      <c r="AR1743" s="47" t="n"/>
      <c r="AS1743" s="47" t="n"/>
      <c r="AT1743" s="47" t="n"/>
      <c r="AU1743" s="47" t="n"/>
      <c r="AV1743" s="47" t="n"/>
      <c r="AW1743" s="52" t="n"/>
    </row>
    <row r="1744">
      <c r="A1744" s="48" t="n"/>
      <c r="B1744" s="52" t="n"/>
      <c r="C1744" s="47">
        <f>IF(B1744="","",IFERROR(INDEX('隊員マスタ'!$B$5:$B$204,MATCH(B1744&amp;"",'隊員マスタ'!$F$5:$F$204,0)),IF(AK1744="","番号なし",AK1744)))</f>
        <v/>
      </c>
      <c r="D1744" s="47" t="n"/>
      <c r="E1744" s="47" t="n"/>
      <c r="F1744" s="47" t="n"/>
      <c r="G1744" s="47" t="n"/>
      <c r="H1744" s="47" t="n"/>
      <c r="I1744" s="47" t="n"/>
      <c r="J1744" s="47" t="n"/>
      <c r="K1744" s="47" t="n"/>
      <c r="L1744" s="47" t="n"/>
      <c r="M1744" s="47" t="n"/>
      <c r="N1744" s="47" t="n"/>
      <c r="O1744" s="47" t="n"/>
      <c r="P1744" s="47" t="n"/>
      <c r="Q1744" s="47" t="n"/>
      <c r="R1744" s="47" t="n"/>
      <c r="S1744" s="47" t="n"/>
      <c r="T1744" s="47" t="n"/>
      <c r="U1744" s="53" t="n"/>
      <c r="V1744" s="53" t="n"/>
      <c r="W1744" s="47" t="n"/>
      <c r="X1744" s="47" t="n"/>
      <c r="Y1744" s="47" t="n"/>
      <c r="Z1744" s="47" t="n"/>
      <c r="AA1744" s="47" t="n"/>
      <c r="AB1744" s="47" t="n"/>
      <c r="AC1744" s="47" t="n"/>
      <c r="AD1744" s="47" t="n"/>
      <c r="AE1744" s="47" t="n"/>
      <c r="AF1744" s="20">
        <f>IF(A1744="","",YEAR(EDATE(A1744,-3)))</f>
        <v/>
      </c>
      <c r="AG1744" s="20">
        <f>IF(OR(B1744="",'経歴簿'!$C$4=""),"",IF(B1744&amp;""='経歴簿'!$C$4&amp;"",MAX($AG$4:AG1743)+1,""))</f>
        <v/>
      </c>
      <c r="AH1744" s="20">
        <f>IF(A1744="",0,IF(AND(OR('CSV抽出'!$C$4="",A1744&gt;='CSV抽出'!$C$4),OR('CSV抽出'!$C$5="",A1744&lt;='CSV抽出'!$C$5),OR('CSV抽出'!$C$6="すべて",'CSV抽出'!$C$6="",D1744='CSV抽出'!$C$6),OR('CSV抽出'!$C$7="",B1744&amp;""='CSV抽出'!$C$7&amp;"")),1,0))</f>
        <v/>
      </c>
      <c r="AI1744" s="20">
        <f>IF(AH1744=1,SUM($AH$5:AH1744),"")</f>
        <v/>
      </c>
      <c r="AJ1744" s="20">
        <f>IF(OR(S1744="",'報告書'!$C$4=""),"",IF(S1744&amp;""='報告書'!$C$4&amp;"",COUNTIF($S$5:S1744,'報告書'!$C$4),""))</f>
        <v/>
      </c>
      <c r="AK1744" s="20" t="n"/>
      <c r="AL1744" s="47" t="n"/>
      <c r="AM1744" s="47" t="n"/>
      <c r="AN1744" s="53" t="n"/>
      <c r="AO1744" s="47" t="n"/>
      <c r="AP1744" s="47" t="n"/>
      <c r="AQ1744" s="47" t="n"/>
      <c r="AR1744" s="47" t="n"/>
      <c r="AS1744" s="47" t="n"/>
      <c r="AT1744" s="47" t="n"/>
      <c r="AU1744" s="47" t="n"/>
      <c r="AV1744" s="47" t="n"/>
      <c r="AW1744" s="52" t="n"/>
    </row>
    <row r="1745">
      <c r="A1745" s="48" t="n"/>
      <c r="B1745" s="52" t="n"/>
      <c r="C1745" s="47">
        <f>IF(B1745="","",IFERROR(INDEX('隊員マスタ'!$B$5:$B$204,MATCH(B1745&amp;"",'隊員マスタ'!$F$5:$F$204,0)),IF(AK1745="","番号なし",AK1745)))</f>
        <v/>
      </c>
      <c r="D1745" s="47" t="n"/>
      <c r="E1745" s="47" t="n"/>
      <c r="F1745" s="47" t="n"/>
      <c r="G1745" s="47" t="n"/>
      <c r="H1745" s="47" t="n"/>
      <c r="I1745" s="47" t="n"/>
      <c r="J1745" s="47" t="n"/>
      <c r="K1745" s="47" t="n"/>
      <c r="L1745" s="47" t="n"/>
      <c r="M1745" s="47" t="n"/>
      <c r="N1745" s="47" t="n"/>
      <c r="O1745" s="47" t="n"/>
      <c r="P1745" s="47" t="n"/>
      <c r="Q1745" s="47" t="n"/>
      <c r="R1745" s="47" t="n"/>
      <c r="S1745" s="47" t="n"/>
      <c r="T1745" s="47" t="n"/>
      <c r="U1745" s="53" t="n"/>
      <c r="V1745" s="53" t="n"/>
      <c r="W1745" s="47" t="n"/>
      <c r="X1745" s="47" t="n"/>
      <c r="Y1745" s="47" t="n"/>
      <c r="Z1745" s="47" t="n"/>
      <c r="AA1745" s="47" t="n"/>
      <c r="AB1745" s="47" t="n"/>
      <c r="AC1745" s="47" t="n"/>
      <c r="AD1745" s="47" t="n"/>
      <c r="AE1745" s="47" t="n"/>
      <c r="AF1745" s="20">
        <f>IF(A1745="","",YEAR(EDATE(A1745,-3)))</f>
        <v/>
      </c>
      <c r="AG1745" s="20">
        <f>IF(OR(B1745="",'経歴簿'!$C$4=""),"",IF(B1745&amp;""='経歴簿'!$C$4&amp;"",MAX($AG$4:AG1744)+1,""))</f>
        <v/>
      </c>
      <c r="AH1745" s="20">
        <f>IF(A1745="",0,IF(AND(OR('CSV抽出'!$C$4="",A1745&gt;='CSV抽出'!$C$4),OR('CSV抽出'!$C$5="",A1745&lt;='CSV抽出'!$C$5),OR('CSV抽出'!$C$6="すべて",'CSV抽出'!$C$6="",D1745='CSV抽出'!$C$6),OR('CSV抽出'!$C$7="",B1745&amp;""='CSV抽出'!$C$7&amp;"")),1,0))</f>
        <v/>
      </c>
      <c r="AI1745" s="20">
        <f>IF(AH1745=1,SUM($AH$5:AH1745),"")</f>
        <v/>
      </c>
      <c r="AJ1745" s="20">
        <f>IF(OR(S1745="",'報告書'!$C$4=""),"",IF(S1745&amp;""='報告書'!$C$4&amp;"",COUNTIF($S$5:S1745,'報告書'!$C$4),""))</f>
        <v/>
      </c>
      <c r="AK1745" s="20" t="n"/>
      <c r="AL1745" s="47" t="n"/>
      <c r="AM1745" s="47" t="n"/>
      <c r="AN1745" s="53" t="n"/>
      <c r="AO1745" s="47" t="n"/>
      <c r="AP1745" s="47" t="n"/>
      <c r="AQ1745" s="47" t="n"/>
      <c r="AR1745" s="47" t="n"/>
      <c r="AS1745" s="47" t="n"/>
      <c r="AT1745" s="47" t="n"/>
      <c r="AU1745" s="47" t="n"/>
      <c r="AV1745" s="47" t="n"/>
      <c r="AW1745" s="52" t="n"/>
    </row>
    <row r="1746">
      <c r="A1746" s="48" t="n"/>
      <c r="B1746" s="52" t="n"/>
      <c r="C1746" s="47">
        <f>IF(B1746="","",IFERROR(INDEX('隊員マスタ'!$B$5:$B$204,MATCH(B1746&amp;"",'隊員マスタ'!$F$5:$F$204,0)),IF(AK1746="","番号なし",AK1746)))</f>
        <v/>
      </c>
      <c r="D1746" s="47" t="n"/>
      <c r="E1746" s="47" t="n"/>
      <c r="F1746" s="47" t="n"/>
      <c r="G1746" s="47" t="n"/>
      <c r="H1746" s="47" t="n"/>
      <c r="I1746" s="47" t="n"/>
      <c r="J1746" s="47" t="n"/>
      <c r="K1746" s="47" t="n"/>
      <c r="L1746" s="47" t="n"/>
      <c r="M1746" s="47" t="n"/>
      <c r="N1746" s="47" t="n"/>
      <c r="O1746" s="47" t="n"/>
      <c r="P1746" s="47" t="n"/>
      <c r="Q1746" s="47" t="n"/>
      <c r="R1746" s="47" t="n"/>
      <c r="S1746" s="47" t="n"/>
      <c r="T1746" s="47" t="n"/>
      <c r="U1746" s="53" t="n"/>
      <c r="V1746" s="53" t="n"/>
      <c r="W1746" s="47" t="n"/>
      <c r="X1746" s="47" t="n"/>
      <c r="Y1746" s="47" t="n"/>
      <c r="Z1746" s="47" t="n"/>
      <c r="AA1746" s="47" t="n"/>
      <c r="AB1746" s="47" t="n"/>
      <c r="AC1746" s="47" t="n"/>
      <c r="AD1746" s="47" t="n"/>
      <c r="AE1746" s="47" t="n"/>
      <c r="AF1746" s="20">
        <f>IF(A1746="","",YEAR(EDATE(A1746,-3)))</f>
        <v/>
      </c>
      <c r="AG1746" s="20">
        <f>IF(OR(B1746="",'経歴簿'!$C$4=""),"",IF(B1746&amp;""='経歴簿'!$C$4&amp;"",MAX($AG$4:AG1745)+1,""))</f>
        <v/>
      </c>
      <c r="AH1746" s="20">
        <f>IF(A1746="",0,IF(AND(OR('CSV抽出'!$C$4="",A1746&gt;='CSV抽出'!$C$4),OR('CSV抽出'!$C$5="",A1746&lt;='CSV抽出'!$C$5),OR('CSV抽出'!$C$6="すべて",'CSV抽出'!$C$6="",D1746='CSV抽出'!$C$6),OR('CSV抽出'!$C$7="",B1746&amp;""='CSV抽出'!$C$7&amp;"")),1,0))</f>
        <v/>
      </c>
      <c r="AI1746" s="20">
        <f>IF(AH1746=1,SUM($AH$5:AH1746),"")</f>
        <v/>
      </c>
      <c r="AJ1746" s="20">
        <f>IF(OR(S1746="",'報告書'!$C$4=""),"",IF(S1746&amp;""='報告書'!$C$4&amp;"",COUNTIF($S$5:S1746,'報告書'!$C$4),""))</f>
        <v/>
      </c>
      <c r="AK1746" s="20" t="n"/>
      <c r="AL1746" s="47" t="n"/>
      <c r="AM1746" s="47" t="n"/>
      <c r="AN1746" s="53" t="n"/>
      <c r="AO1746" s="47" t="n"/>
      <c r="AP1746" s="47" t="n"/>
      <c r="AQ1746" s="47" t="n"/>
      <c r="AR1746" s="47" t="n"/>
      <c r="AS1746" s="47" t="n"/>
      <c r="AT1746" s="47" t="n"/>
      <c r="AU1746" s="47" t="n"/>
      <c r="AV1746" s="47" t="n"/>
      <c r="AW1746" s="52" t="n"/>
    </row>
    <row r="1747">
      <c r="A1747" s="48" t="n"/>
      <c r="B1747" s="52" t="n"/>
      <c r="C1747" s="47">
        <f>IF(B1747="","",IFERROR(INDEX('隊員マスタ'!$B$5:$B$204,MATCH(B1747&amp;"",'隊員マスタ'!$F$5:$F$204,0)),IF(AK1747="","番号なし",AK1747)))</f>
        <v/>
      </c>
      <c r="D1747" s="47" t="n"/>
      <c r="E1747" s="47" t="n"/>
      <c r="F1747" s="47" t="n"/>
      <c r="G1747" s="47" t="n"/>
      <c r="H1747" s="47" t="n"/>
      <c r="I1747" s="47" t="n"/>
      <c r="J1747" s="47" t="n"/>
      <c r="K1747" s="47" t="n"/>
      <c r="L1747" s="47" t="n"/>
      <c r="M1747" s="47" t="n"/>
      <c r="N1747" s="47" t="n"/>
      <c r="O1747" s="47" t="n"/>
      <c r="P1747" s="47" t="n"/>
      <c r="Q1747" s="47" t="n"/>
      <c r="R1747" s="47" t="n"/>
      <c r="S1747" s="47" t="n"/>
      <c r="T1747" s="47" t="n"/>
      <c r="U1747" s="53" t="n"/>
      <c r="V1747" s="53" t="n"/>
      <c r="W1747" s="47" t="n"/>
      <c r="X1747" s="47" t="n"/>
      <c r="Y1747" s="47" t="n"/>
      <c r="Z1747" s="47" t="n"/>
      <c r="AA1747" s="47" t="n"/>
      <c r="AB1747" s="47" t="n"/>
      <c r="AC1747" s="47" t="n"/>
      <c r="AD1747" s="47" t="n"/>
      <c r="AE1747" s="47" t="n"/>
      <c r="AF1747" s="20">
        <f>IF(A1747="","",YEAR(EDATE(A1747,-3)))</f>
        <v/>
      </c>
      <c r="AG1747" s="20">
        <f>IF(OR(B1747="",'経歴簿'!$C$4=""),"",IF(B1747&amp;""='経歴簿'!$C$4&amp;"",MAX($AG$4:AG1746)+1,""))</f>
        <v/>
      </c>
      <c r="AH1747" s="20">
        <f>IF(A1747="",0,IF(AND(OR('CSV抽出'!$C$4="",A1747&gt;='CSV抽出'!$C$4),OR('CSV抽出'!$C$5="",A1747&lt;='CSV抽出'!$C$5),OR('CSV抽出'!$C$6="すべて",'CSV抽出'!$C$6="",D1747='CSV抽出'!$C$6),OR('CSV抽出'!$C$7="",B1747&amp;""='CSV抽出'!$C$7&amp;"")),1,0))</f>
        <v/>
      </c>
      <c r="AI1747" s="20">
        <f>IF(AH1747=1,SUM($AH$5:AH1747),"")</f>
        <v/>
      </c>
      <c r="AJ1747" s="20">
        <f>IF(OR(S1747="",'報告書'!$C$4=""),"",IF(S1747&amp;""='報告書'!$C$4&amp;"",COUNTIF($S$5:S1747,'報告書'!$C$4),""))</f>
        <v/>
      </c>
      <c r="AK1747" s="20" t="n"/>
      <c r="AL1747" s="47" t="n"/>
      <c r="AM1747" s="47" t="n"/>
      <c r="AN1747" s="53" t="n"/>
      <c r="AO1747" s="47" t="n"/>
      <c r="AP1747" s="47" t="n"/>
      <c r="AQ1747" s="47" t="n"/>
      <c r="AR1747" s="47" t="n"/>
      <c r="AS1747" s="47" t="n"/>
      <c r="AT1747" s="47" t="n"/>
      <c r="AU1747" s="47" t="n"/>
      <c r="AV1747" s="47" t="n"/>
      <c r="AW1747" s="52" t="n"/>
    </row>
    <row r="1748">
      <c r="A1748" s="48" t="n"/>
      <c r="B1748" s="52" t="n"/>
      <c r="C1748" s="47">
        <f>IF(B1748="","",IFERROR(INDEX('隊員マスタ'!$B$5:$B$204,MATCH(B1748&amp;"",'隊員マスタ'!$F$5:$F$204,0)),IF(AK1748="","番号なし",AK1748)))</f>
        <v/>
      </c>
      <c r="D1748" s="47" t="n"/>
      <c r="E1748" s="47" t="n"/>
      <c r="F1748" s="47" t="n"/>
      <c r="G1748" s="47" t="n"/>
      <c r="H1748" s="47" t="n"/>
      <c r="I1748" s="47" t="n"/>
      <c r="J1748" s="47" t="n"/>
      <c r="K1748" s="47" t="n"/>
      <c r="L1748" s="47" t="n"/>
      <c r="M1748" s="47" t="n"/>
      <c r="N1748" s="47" t="n"/>
      <c r="O1748" s="47" t="n"/>
      <c r="P1748" s="47" t="n"/>
      <c r="Q1748" s="47" t="n"/>
      <c r="R1748" s="47" t="n"/>
      <c r="S1748" s="47" t="n"/>
      <c r="T1748" s="47" t="n"/>
      <c r="U1748" s="53" t="n"/>
      <c r="V1748" s="53" t="n"/>
      <c r="W1748" s="47" t="n"/>
      <c r="X1748" s="47" t="n"/>
      <c r="Y1748" s="47" t="n"/>
      <c r="Z1748" s="47" t="n"/>
      <c r="AA1748" s="47" t="n"/>
      <c r="AB1748" s="47" t="n"/>
      <c r="AC1748" s="47" t="n"/>
      <c r="AD1748" s="47" t="n"/>
      <c r="AE1748" s="47" t="n"/>
      <c r="AF1748" s="20">
        <f>IF(A1748="","",YEAR(EDATE(A1748,-3)))</f>
        <v/>
      </c>
      <c r="AG1748" s="20">
        <f>IF(OR(B1748="",'経歴簿'!$C$4=""),"",IF(B1748&amp;""='経歴簿'!$C$4&amp;"",MAX($AG$4:AG1747)+1,""))</f>
        <v/>
      </c>
      <c r="AH1748" s="20">
        <f>IF(A1748="",0,IF(AND(OR('CSV抽出'!$C$4="",A1748&gt;='CSV抽出'!$C$4),OR('CSV抽出'!$C$5="",A1748&lt;='CSV抽出'!$C$5),OR('CSV抽出'!$C$6="すべて",'CSV抽出'!$C$6="",D1748='CSV抽出'!$C$6),OR('CSV抽出'!$C$7="",B1748&amp;""='CSV抽出'!$C$7&amp;"")),1,0))</f>
        <v/>
      </c>
      <c r="AI1748" s="20">
        <f>IF(AH1748=1,SUM($AH$5:AH1748),"")</f>
        <v/>
      </c>
      <c r="AJ1748" s="20">
        <f>IF(OR(S1748="",'報告書'!$C$4=""),"",IF(S1748&amp;""='報告書'!$C$4&amp;"",COUNTIF($S$5:S1748,'報告書'!$C$4),""))</f>
        <v/>
      </c>
      <c r="AK1748" s="20" t="n"/>
      <c r="AL1748" s="47" t="n"/>
      <c r="AM1748" s="47" t="n"/>
      <c r="AN1748" s="53" t="n"/>
      <c r="AO1748" s="47" t="n"/>
      <c r="AP1748" s="47" t="n"/>
      <c r="AQ1748" s="47" t="n"/>
      <c r="AR1748" s="47" t="n"/>
      <c r="AS1748" s="47" t="n"/>
      <c r="AT1748" s="47" t="n"/>
      <c r="AU1748" s="47" t="n"/>
      <c r="AV1748" s="47" t="n"/>
      <c r="AW1748" s="52" t="n"/>
    </row>
    <row r="1749">
      <c r="A1749" s="48" t="n"/>
      <c r="B1749" s="52" t="n"/>
      <c r="C1749" s="47">
        <f>IF(B1749="","",IFERROR(INDEX('隊員マスタ'!$B$5:$B$204,MATCH(B1749&amp;"",'隊員マスタ'!$F$5:$F$204,0)),IF(AK1749="","番号なし",AK1749)))</f>
        <v/>
      </c>
      <c r="D1749" s="47" t="n"/>
      <c r="E1749" s="47" t="n"/>
      <c r="F1749" s="47" t="n"/>
      <c r="G1749" s="47" t="n"/>
      <c r="H1749" s="47" t="n"/>
      <c r="I1749" s="47" t="n"/>
      <c r="J1749" s="47" t="n"/>
      <c r="K1749" s="47" t="n"/>
      <c r="L1749" s="47" t="n"/>
      <c r="M1749" s="47" t="n"/>
      <c r="N1749" s="47" t="n"/>
      <c r="O1749" s="47" t="n"/>
      <c r="P1749" s="47" t="n"/>
      <c r="Q1749" s="47" t="n"/>
      <c r="R1749" s="47" t="n"/>
      <c r="S1749" s="47" t="n"/>
      <c r="T1749" s="47" t="n"/>
      <c r="U1749" s="53" t="n"/>
      <c r="V1749" s="53" t="n"/>
      <c r="W1749" s="47" t="n"/>
      <c r="X1749" s="47" t="n"/>
      <c r="Y1749" s="47" t="n"/>
      <c r="Z1749" s="47" t="n"/>
      <c r="AA1749" s="47" t="n"/>
      <c r="AB1749" s="47" t="n"/>
      <c r="AC1749" s="47" t="n"/>
      <c r="AD1749" s="47" t="n"/>
      <c r="AE1749" s="47" t="n"/>
      <c r="AF1749" s="20">
        <f>IF(A1749="","",YEAR(EDATE(A1749,-3)))</f>
        <v/>
      </c>
      <c r="AG1749" s="20">
        <f>IF(OR(B1749="",'経歴簿'!$C$4=""),"",IF(B1749&amp;""='経歴簿'!$C$4&amp;"",MAX($AG$4:AG1748)+1,""))</f>
        <v/>
      </c>
      <c r="AH1749" s="20">
        <f>IF(A1749="",0,IF(AND(OR('CSV抽出'!$C$4="",A1749&gt;='CSV抽出'!$C$4),OR('CSV抽出'!$C$5="",A1749&lt;='CSV抽出'!$C$5),OR('CSV抽出'!$C$6="すべて",'CSV抽出'!$C$6="",D1749='CSV抽出'!$C$6),OR('CSV抽出'!$C$7="",B1749&amp;""='CSV抽出'!$C$7&amp;"")),1,0))</f>
        <v/>
      </c>
      <c r="AI1749" s="20">
        <f>IF(AH1749=1,SUM($AH$5:AH1749),"")</f>
        <v/>
      </c>
      <c r="AJ1749" s="20">
        <f>IF(OR(S1749="",'報告書'!$C$4=""),"",IF(S1749&amp;""='報告書'!$C$4&amp;"",COUNTIF($S$5:S1749,'報告書'!$C$4),""))</f>
        <v/>
      </c>
      <c r="AK1749" s="20" t="n"/>
      <c r="AL1749" s="47" t="n"/>
      <c r="AM1749" s="47" t="n"/>
      <c r="AN1749" s="53" t="n"/>
      <c r="AO1749" s="47" t="n"/>
      <c r="AP1749" s="47" t="n"/>
      <c r="AQ1749" s="47" t="n"/>
      <c r="AR1749" s="47" t="n"/>
      <c r="AS1749" s="47" t="n"/>
      <c r="AT1749" s="47" t="n"/>
      <c r="AU1749" s="47" t="n"/>
      <c r="AV1749" s="47" t="n"/>
      <c r="AW1749" s="52" t="n"/>
    </row>
    <row r="1750">
      <c r="A1750" s="48" t="n"/>
      <c r="B1750" s="52" t="n"/>
      <c r="C1750" s="47">
        <f>IF(B1750="","",IFERROR(INDEX('隊員マスタ'!$B$5:$B$204,MATCH(B1750&amp;"",'隊員マスタ'!$F$5:$F$204,0)),IF(AK1750="","番号なし",AK1750)))</f>
        <v/>
      </c>
      <c r="D1750" s="47" t="n"/>
      <c r="E1750" s="47" t="n"/>
      <c r="F1750" s="47" t="n"/>
      <c r="G1750" s="47" t="n"/>
      <c r="H1750" s="47" t="n"/>
      <c r="I1750" s="47" t="n"/>
      <c r="J1750" s="47" t="n"/>
      <c r="K1750" s="47" t="n"/>
      <c r="L1750" s="47" t="n"/>
      <c r="M1750" s="47" t="n"/>
      <c r="N1750" s="47" t="n"/>
      <c r="O1750" s="47" t="n"/>
      <c r="P1750" s="47" t="n"/>
      <c r="Q1750" s="47" t="n"/>
      <c r="R1750" s="47" t="n"/>
      <c r="S1750" s="47" t="n"/>
      <c r="T1750" s="47" t="n"/>
      <c r="U1750" s="53" t="n"/>
      <c r="V1750" s="53" t="n"/>
      <c r="W1750" s="47" t="n"/>
      <c r="X1750" s="47" t="n"/>
      <c r="Y1750" s="47" t="n"/>
      <c r="Z1750" s="47" t="n"/>
      <c r="AA1750" s="47" t="n"/>
      <c r="AB1750" s="47" t="n"/>
      <c r="AC1750" s="47" t="n"/>
      <c r="AD1750" s="47" t="n"/>
      <c r="AE1750" s="47" t="n"/>
      <c r="AF1750" s="20">
        <f>IF(A1750="","",YEAR(EDATE(A1750,-3)))</f>
        <v/>
      </c>
      <c r="AG1750" s="20">
        <f>IF(OR(B1750="",'経歴簿'!$C$4=""),"",IF(B1750&amp;""='経歴簿'!$C$4&amp;"",MAX($AG$4:AG1749)+1,""))</f>
        <v/>
      </c>
      <c r="AH1750" s="20">
        <f>IF(A1750="",0,IF(AND(OR('CSV抽出'!$C$4="",A1750&gt;='CSV抽出'!$C$4),OR('CSV抽出'!$C$5="",A1750&lt;='CSV抽出'!$C$5),OR('CSV抽出'!$C$6="すべて",'CSV抽出'!$C$6="",D1750='CSV抽出'!$C$6),OR('CSV抽出'!$C$7="",B1750&amp;""='CSV抽出'!$C$7&amp;"")),1,0))</f>
        <v/>
      </c>
      <c r="AI1750" s="20">
        <f>IF(AH1750=1,SUM($AH$5:AH1750),"")</f>
        <v/>
      </c>
      <c r="AJ1750" s="20">
        <f>IF(OR(S1750="",'報告書'!$C$4=""),"",IF(S1750&amp;""='報告書'!$C$4&amp;"",COUNTIF($S$5:S1750,'報告書'!$C$4),""))</f>
        <v/>
      </c>
      <c r="AK1750" s="20" t="n"/>
      <c r="AL1750" s="47" t="n"/>
      <c r="AM1750" s="47" t="n"/>
      <c r="AN1750" s="53" t="n"/>
      <c r="AO1750" s="47" t="n"/>
      <c r="AP1750" s="47" t="n"/>
      <c r="AQ1750" s="47" t="n"/>
      <c r="AR1750" s="47" t="n"/>
      <c r="AS1750" s="47" t="n"/>
      <c r="AT1750" s="47" t="n"/>
      <c r="AU1750" s="47" t="n"/>
      <c r="AV1750" s="47" t="n"/>
      <c r="AW1750" s="52" t="n"/>
    </row>
    <row r="1751">
      <c r="A1751" s="48" t="n"/>
      <c r="B1751" s="52" t="n"/>
      <c r="C1751" s="47">
        <f>IF(B1751="","",IFERROR(INDEX('隊員マスタ'!$B$5:$B$204,MATCH(B1751&amp;"",'隊員マスタ'!$F$5:$F$204,0)),IF(AK1751="","番号なし",AK1751)))</f>
        <v/>
      </c>
      <c r="D1751" s="47" t="n"/>
      <c r="E1751" s="47" t="n"/>
      <c r="F1751" s="47" t="n"/>
      <c r="G1751" s="47" t="n"/>
      <c r="H1751" s="47" t="n"/>
      <c r="I1751" s="47" t="n"/>
      <c r="J1751" s="47" t="n"/>
      <c r="K1751" s="47" t="n"/>
      <c r="L1751" s="47" t="n"/>
      <c r="M1751" s="47" t="n"/>
      <c r="N1751" s="47" t="n"/>
      <c r="O1751" s="47" t="n"/>
      <c r="P1751" s="47" t="n"/>
      <c r="Q1751" s="47" t="n"/>
      <c r="R1751" s="47" t="n"/>
      <c r="S1751" s="47" t="n"/>
      <c r="T1751" s="47" t="n"/>
      <c r="U1751" s="53" t="n"/>
      <c r="V1751" s="53" t="n"/>
      <c r="W1751" s="47" t="n"/>
      <c r="X1751" s="47" t="n"/>
      <c r="Y1751" s="47" t="n"/>
      <c r="Z1751" s="47" t="n"/>
      <c r="AA1751" s="47" t="n"/>
      <c r="AB1751" s="47" t="n"/>
      <c r="AC1751" s="47" t="n"/>
      <c r="AD1751" s="47" t="n"/>
      <c r="AE1751" s="47" t="n"/>
      <c r="AF1751" s="20">
        <f>IF(A1751="","",YEAR(EDATE(A1751,-3)))</f>
        <v/>
      </c>
      <c r="AG1751" s="20">
        <f>IF(OR(B1751="",'経歴簿'!$C$4=""),"",IF(B1751&amp;""='経歴簿'!$C$4&amp;"",MAX($AG$4:AG1750)+1,""))</f>
        <v/>
      </c>
      <c r="AH1751" s="20">
        <f>IF(A1751="",0,IF(AND(OR('CSV抽出'!$C$4="",A1751&gt;='CSV抽出'!$C$4),OR('CSV抽出'!$C$5="",A1751&lt;='CSV抽出'!$C$5),OR('CSV抽出'!$C$6="すべて",'CSV抽出'!$C$6="",D1751='CSV抽出'!$C$6),OR('CSV抽出'!$C$7="",B1751&amp;""='CSV抽出'!$C$7&amp;"")),1,0))</f>
        <v/>
      </c>
      <c r="AI1751" s="20">
        <f>IF(AH1751=1,SUM($AH$5:AH1751),"")</f>
        <v/>
      </c>
      <c r="AJ1751" s="20">
        <f>IF(OR(S1751="",'報告書'!$C$4=""),"",IF(S1751&amp;""='報告書'!$C$4&amp;"",COUNTIF($S$5:S1751,'報告書'!$C$4),""))</f>
        <v/>
      </c>
      <c r="AK1751" s="20" t="n"/>
      <c r="AL1751" s="47" t="n"/>
      <c r="AM1751" s="47" t="n"/>
      <c r="AN1751" s="53" t="n"/>
      <c r="AO1751" s="47" t="n"/>
      <c r="AP1751" s="47" t="n"/>
      <c r="AQ1751" s="47" t="n"/>
      <c r="AR1751" s="47" t="n"/>
      <c r="AS1751" s="47" t="n"/>
      <c r="AT1751" s="47" t="n"/>
      <c r="AU1751" s="47" t="n"/>
      <c r="AV1751" s="47" t="n"/>
      <c r="AW1751" s="52" t="n"/>
    </row>
    <row r="1752">
      <c r="A1752" s="48" t="n"/>
      <c r="B1752" s="52" t="n"/>
      <c r="C1752" s="47">
        <f>IF(B1752="","",IFERROR(INDEX('隊員マスタ'!$B$5:$B$204,MATCH(B1752&amp;"",'隊員マスタ'!$F$5:$F$204,0)),IF(AK1752="","番号なし",AK1752)))</f>
        <v/>
      </c>
      <c r="D1752" s="47" t="n"/>
      <c r="E1752" s="47" t="n"/>
      <c r="F1752" s="47" t="n"/>
      <c r="G1752" s="47" t="n"/>
      <c r="H1752" s="47" t="n"/>
      <c r="I1752" s="47" t="n"/>
      <c r="J1752" s="47" t="n"/>
      <c r="K1752" s="47" t="n"/>
      <c r="L1752" s="47" t="n"/>
      <c r="M1752" s="47" t="n"/>
      <c r="N1752" s="47" t="n"/>
      <c r="O1752" s="47" t="n"/>
      <c r="P1752" s="47" t="n"/>
      <c r="Q1752" s="47" t="n"/>
      <c r="R1752" s="47" t="n"/>
      <c r="S1752" s="47" t="n"/>
      <c r="T1752" s="47" t="n"/>
      <c r="U1752" s="53" t="n"/>
      <c r="V1752" s="53" t="n"/>
      <c r="W1752" s="47" t="n"/>
      <c r="X1752" s="47" t="n"/>
      <c r="Y1752" s="47" t="n"/>
      <c r="Z1752" s="47" t="n"/>
      <c r="AA1752" s="47" t="n"/>
      <c r="AB1752" s="47" t="n"/>
      <c r="AC1752" s="47" t="n"/>
      <c r="AD1752" s="47" t="n"/>
      <c r="AE1752" s="47" t="n"/>
      <c r="AF1752" s="20">
        <f>IF(A1752="","",YEAR(EDATE(A1752,-3)))</f>
        <v/>
      </c>
      <c r="AG1752" s="20">
        <f>IF(OR(B1752="",'経歴簿'!$C$4=""),"",IF(B1752&amp;""='経歴簿'!$C$4&amp;"",MAX($AG$4:AG1751)+1,""))</f>
        <v/>
      </c>
      <c r="AH1752" s="20">
        <f>IF(A1752="",0,IF(AND(OR('CSV抽出'!$C$4="",A1752&gt;='CSV抽出'!$C$4),OR('CSV抽出'!$C$5="",A1752&lt;='CSV抽出'!$C$5),OR('CSV抽出'!$C$6="すべて",'CSV抽出'!$C$6="",D1752='CSV抽出'!$C$6),OR('CSV抽出'!$C$7="",B1752&amp;""='CSV抽出'!$C$7&amp;"")),1,0))</f>
        <v/>
      </c>
      <c r="AI1752" s="20">
        <f>IF(AH1752=1,SUM($AH$5:AH1752),"")</f>
        <v/>
      </c>
      <c r="AJ1752" s="20">
        <f>IF(OR(S1752="",'報告書'!$C$4=""),"",IF(S1752&amp;""='報告書'!$C$4&amp;"",COUNTIF($S$5:S1752,'報告書'!$C$4),""))</f>
        <v/>
      </c>
      <c r="AK1752" s="20" t="n"/>
      <c r="AL1752" s="47" t="n"/>
      <c r="AM1752" s="47" t="n"/>
      <c r="AN1752" s="53" t="n"/>
      <c r="AO1752" s="47" t="n"/>
      <c r="AP1752" s="47" t="n"/>
      <c r="AQ1752" s="47" t="n"/>
      <c r="AR1752" s="47" t="n"/>
      <c r="AS1752" s="47" t="n"/>
      <c r="AT1752" s="47" t="n"/>
      <c r="AU1752" s="47" t="n"/>
      <c r="AV1752" s="47" t="n"/>
      <c r="AW1752" s="52" t="n"/>
    </row>
    <row r="1753">
      <c r="A1753" s="48" t="n"/>
      <c r="B1753" s="52" t="n"/>
      <c r="C1753" s="47">
        <f>IF(B1753="","",IFERROR(INDEX('隊員マスタ'!$B$5:$B$204,MATCH(B1753&amp;"",'隊員マスタ'!$F$5:$F$204,0)),IF(AK1753="","番号なし",AK1753)))</f>
        <v/>
      </c>
      <c r="D1753" s="47" t="n"/>
      <c r="E1753" s="47" t="n"/>
      <c r="F1753" s="47" t="n"/>
      <c r="G1753" s="47" t="n"/>
      <c r="H1753" s="47" t="n"/>
      <c r="I1753" s="47" t="n"/>
      <c r="J1753" s="47" t="n"/>
      <c r="K1753" s="47" t="n"/>
      <c r="L1753" s="47" t="n"/>
      <c r="M1753" s="47" t="n"/>
      <c r="N1753" s="47" t="n"/>
      <c r="O1753" s="47" t="n"/>
      <c r="P1753" s="47" t="n"/>
      <c r="Q1753" s="47" t="n"/>
      <c r="R1753" s="47" t="n"/>
      <c r="S1753" s="47" t="n"/>
      <c r="T1753" s="47" t="n"/>
      <c r="U1753" s="53" t="n"/>
      <c r="V1753" s="53" t="n"/>
      <c r="W1753" s="47" t="n"/>
      <c r="X1753" s="47" t="n"/>
      <c r="Y1753" s="47" t="n"/>
      <c r="Z1753" s="47" t="n"/>
      <c r="AA1753" s="47" t="n"/>
      <c r="AB1753" s="47" t="n"/>
      <c r="AC1753" s="47" t="n"/>
      <c r="AD1753" s="47" t="n"/>
      <c r="AE1753" s="47" t="n"/>
      <c r="AF1753" s="20">
        <f>IF(A1753="","",YEAR(EDATE(A1753,-3)))</f>
        <v/>
      </c>
      <c r="AG1753" s="20">
        <f>IF(OR(B1753="",'経歴簿'!$C$4=""),"",IF(B1753&amp;""='経歴簿'!$C$4&amp;"",MAX($AG$4:AG1752)+1,""))</f>
        <v/>
      </c>
      <c r="AH1753" s="20">
        <f>IF(A1753="",0,IF(AND(OR('CSV抽出'!$C$4="",A1753&gt;='CSV抽出'!$C$4),OR('CSV抽出'!$C$5="",A1753&lt;='CSV抽出'!$C$5),OR('CSV抽出'!$C$6="すべて",'CSV抽出'!$C$6="",D1753='CSV抽出'!$C$6),OR('CSV抽出'!$C$7="",B1753&amp;""='CSV抽出'!$C$7&amp;"")),1,0))</f>
        <v/>
      </c>
      <c r="AI1753" s="20">
        <f>IF(AH1753=1,SUM($AH$5:AH1753),"")</f>
        <v/>
      </c>
      <c r="AJ1753" s="20">
        <f>IF(OR(S1753="",'報告書'!$C$4=""),"",IF(S1753&amp;""='報告書'!$C$4&amp;"",COUNTIF($S$5:S1753,'報告書'!$C$4),""))</f>
        <v/>
      </c>
      <c r="AK1753" s="20" t="n"/>
      <c r="AL1753" s="47" t="n"/>
      <c r="AM1753" s="47" t="n"/>
      <c r="AN1753" s="53" t="n"/>
      <c r="AO1753" s="47" t="n"/>
      <c r="AP1753" s="47" t="n"/>
      <c r="AQ1753" s="47" t="n"/>
      <c r="AR1753" s="47" t="n"/>
      <c r="AS1753" s="47" t="n"/>
      <c r="AT1753" s="47" t="n"/>
      <c r="AU1753" s="47" t="n"/>
      <c r="AV1753" s="47" t="n"/>
      <c r="AW1753" s="52" t="n"/>
    </row>
    <row r="1754">
      <c r="A1754" s="48" t="n"/>
      <c r="B1754" s="52" t="n"/>
      <c r="C1754" s="47">
        <f>IF(B1754="","",IFERROR(INDEX('隊員マスタ'!$B$5:$B$204,MATCH(B1754&amp;"",'隊員マスタ'!$F$5:$F$204,0)),IF(AK1754="","番号なし",AK1754)))</f>
        <v/>
      </c>
      <c r="D1754" s="47" t="n"/>
      <c r="E1754" s="47" t="n"/>
      <c r="F1754" s="47" t="n"/>
      <c r="G1754" s="47" t="n"/>
      <c r="H1754" s="47" t="n"/>
      <c r="I1754" s="47" t="n"/>
      <c r="J1754" s="47" t="n"/>
      <c r="K1754" s="47" t="n"/>
      <c r="L1754" s="47" t="n"/>
      <c r="M1754" s="47" t="n"/>
      <c r="N1754" s="47" t="n"/>
      <c r="O1754" s="47" t="n"/>
      <c r="P1754" s="47" t="n"/>
      <c r="Q1754" s="47" t="n"/>
      <c r="R1754" s="47" t="n"/>
      <c r="S1754" s="47" t="n"/>
      <c r="T1754" s="47" t="n"/>
      <c r="U1754" s="53" t="n"/>
      <c r="V1754" s="53" t="n"/>
      <c r="W1754" s="47" t="n"/>
      <c r="X1754" s="47" t="n"/>
      <c r="Y1754" s="47" t="n"/>
      <c r="Z1754" s="47" t="n"/>
      <c r="AA1754" s="47" t="n"/>
      <c r="AB1754" s="47" t="n"/>
      <c r="AC1754" s="47" t="n"/>
      <c r="AD1754" s="47" t="n"/>
      <c r="AE1754" s="47" t="n"/>
      <c r="AF1754" s="20">
        <f>IF(A1754="","",YEAR(EDATE(A1754,-3)))</f>
        <v/>
      </c>
      <c r="AG1754" s="20">
        <f>IF(OR(B1754="",'経歴簿'!$C$4=""),"",IF(B1754&amp;""='経歴簿'!$C$4&amp;"",MAX($AG$4:AG1753)+1,""))</f>
        <v/>
      </c>
      <c r="AH1754" s="20">
        <f>IF(A1754="",0,IF(AND(OR('CSV抽出'!$C$4="",A1754&gt;='CSV抽出'!$C$4),OR('CSV抽出'!$C$5="",A1754&lt;='CSV抽出'!$C$5),OR('CSV抽出'!$C$6="すべて",'CSV抽出'!$C$6="",D1754='CSV抽出'!$C$6),OR('CSV抽出'!$C$7="",B1754&amp;""='CSV抽出'!$C$7&amp;"")),1,0))</f>
        <v/>
      </c>
      <c r="AI1754" s="20">
        <f>IF(AH1754=1,SUM($AH$5:AH1754),"")</f>
        <v/>
      </c>
      <c r="AJ1754" s="20">
        <f>IF(OR(S1754="",'報告書'!$C$4=""),"",IF(S1754&amp;""='報告書'!$C$4&amp;"",COUNTIF($S$5:S1754,'報告書'!$C$4),""))</f>
        <v/>
      </c>
      <c r="AK1754" s="20" t="n"/>
      <c r="AL1754" s="47" t="n"/>
      <c r="AM1754" s="47" t="n"/>
      <c r="AN1754" s="53" t="n"/>
      <c r="AO1754" s="47" t="n"/>
      <c r="AP1754" s="47" t="n"/>
      <c r="AQ1754" s="47" t="n"/>
      <c r="AR1754" s="47" t="n"/>
      <c r="AS1754" s="47" t="n"/>
      <c r="AT1754" s="47" t="n"/>
      <c r="AU1754" s="47" t="n"/>
      <c r="AV1754" s="47" t="n"/>
      <c r="AW1754" s="52" t="n"/>
    </row>
    <row r="1755">
      <c r="A1755" s="48" t="n"/>
      <c r="B1755" s="52" t="n"/>
      <c r="C1755" s="47">
        <f>IF(B1755="","",IFERROR(INDEX('隊員マスタ'!$B$5:$B$204,MATCH(B1755&amp;"",'隊員マスタ'!$F$5:$F$204,0)),IF(AK1755="","番号なし",AK1755)))</f>
        <v/>
      </c>
      <c r="D1755" s="47" t="n"/>
      <c r="E1755" s="47" t="n"/>
      <c r="F1755" s="47" t="n"/>
      <c r="G1755" s="47" t="n"/>
      <c r="H1755" s="47" t="n"/>
      <c r="I1755" s="47" t="n"/>
      <c r="J1755" s="47" t="n"/>
      <c r="K1755" s="47" t="n"/>
      <c r="L1755" s="47" t="n"/>
      <c r="M1755" s="47" t="n"/>
      <c r="N1755" s="47" t="n"/>
      <c r="O1755" s="47" t="n"/>
      <c r="P1755" s="47" t="n"/>
      <c r="Q1755" s="47" t="n"/>
      <c r="R1755" s="47" t="n"/>
      <c r="S1755" s="47" t="n"/>
      <c r="T1755" s="47" t="n"/>
      <c r="U1755" s="53" t="n"/>
      <c r="V1755" s="53" t="n"/>
      <c r="W1755" s="47" t="n"/>
      <c r="X1755" s="47" t="n"/>
      <c r="Y1755" s="47" t="n"/>
      <c r="Z1755" s="47" t="n"/>
      <c r="AA1755" s="47" t="n"/>
      <c r="AB1755" s="47" t="n"/>
      <c r="AC1755" s="47" t="n"/>
      <c r="AD1755" s="47" t="n"/>
      <c r="AE1755" s="47" t="n"/>
      <c r="AF1755" s="20">
        <f>IF(A1755="","",YEAR(EDATE(A1755,-3)))</f>
        <v/>
      </c>
      <c r="AG1755" s="20">
        <f>IF(OR(B1755="",'経歴簿'!$C$4=""),"",IF(B1755&amp;""='経歴簿'!$C$4&amp;"",MAX($AG$4:AG1754)+1,""))</f>
        <v/>
      </c>
      <c r="AH1755" s="20">
        <f>IF(A1755="",0,IF(AND(OR('CSV抽出'!$C$4="",A1755&gt;='CSV抽出'!$C$4),OR('CSV抽出'!$C$5="",A1755&lt;='CSV抽出'!$C$5),OR('CSV抽出'!$C$6="すべて",'CSV抽出'!$C$6="",D1755='CSV抽出'!$C$6),OR('CSV抽出'!$C$7="",B1755&amp;""='CSV抽出'!$C$7&amp;"")),1,0))</f>
        <v/>
      </c>
      <c r="AI1755" s="20">
        <f>IF(AH1755=1,SUM($AH$5:AH1755),"")</f>
        <v/>
      </c>
      <c r="AJ1755" s="20">
        <f>IF(OR(S1755="",'報告書'!$C$4=""),"",IF(S1755&amp;""='報告書'!$C$4&amp;"",COUNTIF($S$5:S1755,'報告書'!$C$4),""))</f>
        <v/>
      </c>
      <c r="AK1755" s="20" t="n"/>
      <c r="AL1755" s="47" t="n"/>
      <c r="AM1755" s="47" t="n"/>
      <c r="AN1755" s="53" t="n"/>
      <c r="AO1755" s="47" t="n"/>
      <c r="AP1755" s="47" t="n"/>
      <c r="AQ1755" s="47" t="n"/>
      <c r="AR1755" s="47" t="n"/>
      <c r="AS1755" s="47" t="n"/>
      <c r="AT1755" s="47" t="n"/>
      <c r="AU1755" s="47" t="n"/>
      <c r="AV1755" s="47" t="n"/>
      <c r="AW1755" s="52" t="n"/>
    </row>
    <row r="1756">
      <c r="A1756" s="48" t="n"/>
      <c r="B1756" s="52" t="n"/>
      <c r="C1756" s="47">
        <f>IF(B1756="","",IFERROR(INDEX('隊員マスタ'!$B$5:$B$204,MATCH(B1756&amp;"",'隊員マスタ'!$F$5:$F$204,0)),IF(AK1756="","番号なし",AK1756)))</f>
        <v/>
      </c>
      <c r="D1756" s="47" t="n"/>
      <c r="E1756" s="47" t="n"/>
      <c r="F1756" s="47" t="n"/>
      <c r="G1756" s="47" t="n"/>
      <c r="H1756" s="47" t="n"/>
      <c r="I1756" s="47" t="n"/>
      <c r="J1756" s="47" t="n"/>
      <c r="K1756" s="47" t="n"/>
      <c r="L1756" s="47" t="n"/>
      <c r="M1756" s="47" t="n"/>
      <c r="N1756" s="47" t="n"/>
      <c r="O1756" s="47" t="n"/>
      <c r="P1756" s="47" t="n"/>
      <c r="Q1756" s="47" t="n"/>
      <c r="R1756" s="47" t="n"/>
      <c r="S1756" s="47" t="n"/>
      <c r="T1756" s="47" t="n"/>
      <c r="U1756" s="53" t="n"/>
      <c r="V1756" s="53" t="n"/>
      <c r="W1756" s="47" t="n"/>
      <c r="X1756" s="47" t="n"/>
      <c r="Y1756" s="47" t="n"/>
      <c r="Z1756" s="47" t="n"/>
      <c r="AA1756" s="47" t="n"/>
      <c r="AB1756" s="47" t="n"/>
      <c r="AC1756" s="47" t="n"/>
      <c r="AD1756" s="47" t="n"/>
      <c r="AE1756" s="47" t="n"/>
      <c r="AF1756" s="20">
        <f>IF(A1756="","",YEAR(EDATE(A1756,-3)))</f>
        <v/>
      </c>
      <c r="AG1756" s="20">
        <f>IF(OR(B1756="",'経歴簿'!$C$4=""),"",IF(B1756&amp;""='経歴簿'!$C$4&amp;"",MAX($AG$4:AG1755)+1,""))</f>
        <v/>
      </c>
      <c r="AH1756" s="20">
        <f>IF(A1756="",0,IF(AND(OR('CSV抽出'!$C$4="",A1756&gt;='CSV抽出'!$C$4),OR('CSV抽出'!$C$5="",A1756&lt;='CSV抽出'!$C$5),OR('CSV抽出'!$C$6="すべて",'CSV抽出'!$C$6="",D1756='CSV抽出'!$C$6),OR('CSV抽出'!$C$7="",B1756&amp;""='CSV抽出'!$C$7&amp;"")),1,0))</f>
        <v/>
      </c>
      <c r="AI1756" s="20">
        <f>IF(AH1756=1,SUM($AH$5:AH1756),"")</f>
        <v/>
      </c>
      <c r="AJ1756" s="20">
        <f>IF(OR(S1756="",'報告書'!$C$4=""),"",IF(S1756&amp;""='報告書'!$C$4&amp;"",COUNTIF($S$5:S1756,'報告書'!$C$4),""))</f>
        <v/>
      </c>
      <c r="AK1756" s="20" t="n"/>
      <c r="AL1756" s="47" t="n"/>
      <c r="AM1756" s="47" t="n"/>
      <c r="AN1756" s="53" t="n"/>
      <c r="AO1756" s="47" t="n"/>
      <c r="AP1756" s="47" t="n"/>
      <c r="AQ1756" s="47" t="n"/>
      <c r="AR1756" s="47" t="n"/>
      <c r="AS1756" s="47" t="n"/>
      <c r="AT1756" s="47" t="n"/>
      <c r="AU1756" s="47" t="n"/>
      <c r="AV1756" s="47" t="n"/>
      <c r="AW1756" s="52" t="n"/>
    </row>
    <row r="1757">
      <c r="A1757" s="48" t="n"/>
      <c r="B1757" s="52" t="n"/>
      <c r="C1757" s="47">
        <f>IF(B1757="","",IFERROR(INDEX('隊員マスタ'!$B$5:$B$204,MATCH(B1757&amp;"",'隊員マスタ'!$F$5:$F$204,0)),IF(AK1757="","番号なし",AK1757)))</f>
        <v/>
      </c>
      <c r="D1757" s="47" t="n"/>
      <c r="E1757" s="47" t="n"/>
      <c r="F1757" s="47" t="n"/>
      <c r="G1757" s="47" t="n"/>
      <c r="H1757" s="47" t="n"/>
      <c r="I1757" s="47" t="n"/>
      <c r="J1757" s="47" t="n"/>
      <c r="K1757" s="47" t="n"/>
      <c r="L1757" s="47" t="n"/>
      <c r="M1757" s="47" t="n"/>
      <c r="N1757" s="47" t="n"/>
      <c r="O1757" s="47" t="n"/>
      <c r="P1757" s="47" t="n"/>
      <c r="Q1757" s="47" t="n"/>
      <c r="R1757" s="47" t="n"/>
      <c r="S1757" s="47" t="n"/>
      <c r="T1757" s="47" t="n"/>
      <c r="U1757" s="53" t="n"/>
      <c r="V1757" s="53" t="n"/>
      <c r="W1757" s="47" t="n"/>
      <c r="X1757" s="47" t="n"/>
      <c r="Y1757" s="47" t="n"/>
      <c r="Z1757" s="47" t="n"/>
      <c r="AA1757" s="47" t="n"/>
      <c r="AB1757" s="47" t="n"/>
      <c r="AC1757" s="47" t="n"/>
      <c r="AD1757" s="47" t="n"/>
      <c r="AE1757" s="47" t="n"/>
      <c r="AF1757" s="20">
        <f>IF(A1757="","",YEAR(EDATE(A1757,-3)))</f>
        <v/>
      </c>
      <c r="AG1757" s="20">
        <f>IF(OR(B1757="",'経歴簿'!$C$4=""),"",IF(B1757&amp;""='経歴簿'!$C$4&amp;"",MAX($AG$4:AG1756)+1,""))</f>
        <v/>
      </c>
      <c r="AH1757" s="20">
        <f>IF(A1757="",0,IF(AND(OR('CSV抽出'!$C$4="",A1757&gt;='CSV抽出'!$C$4),OR('CSV抽出'!$C$5="",A1757&lt;='CSV抽出'!$C$5),OR('CSV抽出'!$C$6="すべて",'CSV抽出'!$C$6="",D1757='CSV抽出'!$C$6),OR('CSV抽出'!$C$7="",B1757&amp;""='CSV抽出'!$C$7&amp;"")),1,0))</f>
        <v/>
      </c>
      <c r="AI1757" s="20">
        <f>IF(AH1757=1,SUM($AH$5:AH1757),"")</f>
        <v/>
      </c>
      <c r="AJ1757" s="20">
        <f>IF(OR(S1757="",'報告書'!$C$4=""),"",IF(S1757&amp;""='報告書'!$C$4&amp;"",COUNTIF($S$5:S1757,'報告書'!$C$4),""))</f>
        <v/>
      </c>
      <c r="AK1757" s="20" t="n"/>
      <c r="AL1757" s="47" t="n"/>
      <c r="AM1757" s="47" t="n"/>
      <c r="AN1757" s="53" t="n"/>
      <c r="AO1757" s="47" t="n"/>
      <c r="AP1757" s="47" t="n"/>
      <c r="AQ1757" s="47" t="n"/>
      <c r="AR1757" s="47" t="n"/>
      <c r="AS1757" s="47" t="n"/>
      <c r="AT1757" s="47" t="n"/>
      <c r="AU1757" s="47" t="n"/>
      <c r="AV1757" s="47" t="n"/>
      <c r="AW1757" s="52" t="n"/>
    </row>
    <row r="1758">
      <c r="A1758" s="48" t="n"/>
      <c r="B1758" s="52" t="n"/>
      <c r="C1758" s="47">
        <f>IF(B1758="","",IFERROR(INDEX('隊員マスタ'!$B$5:$B$204,MATCH(B1758&amp;"",'隊員マスタ'!$F$5:$F$204,0)),IF(AK1758="","番号なし",AK1758)))</f>
        <v/>
      </c>
      <c r="D1758" s="47" t="n"/>
      <c r="E1758" s="47" t="n"/>
      <c r="F1758" s="47" t="n"/>
      <c r="G1758" s="47" t="n"/>
      <c r="H1758" s="47" t="n"/>
      <c r="I1758" s="47" t="n"/>
      <c r="J1758" s="47" t="n"/>
      <c r="K1758" s="47" t="n"/>
      <c r="L1758" s="47" t="n"/>
      <c r="M1758" s="47" t="n"/>
      <c r="N1758" s="47" t="n"/>
      <c r="O1758" s="47" t="n"/>
      <c r="P1758" s="47" t="n"/>
      <c r="Q1758" s="47" t="n"/>
      <c r="R1758" s="47" t="n"/>
      <c r="S1758" s="47" t="n"/>
      <c r="T1758" s="47" t="n"/>
      <c r="U1758" s="53" t="n"/>
      <c r="V1758" s="53" t="n"/>
      <c r="W1758" s="47" t="n"/>
      <c r="X1758" s="47" t="n"/>
      <c r="Y1758" s="47" t="n"/>
      <c r="Z1758" s="47" t="n"/>
      <c r="AA1758" s="47" t="n"/>
      <c r="AB1758" s="47" t="n"/>
      <c r="AC1758" s="47" t="n"/>
      <c r="AD1758" s="47" t="n"/>
      <c r="AE1758" s="47" t="n"/>
      <c r="AF1758" s="20">
        <f>IF(A1758="","",YEAR(EDATE(A1758,-3)))</f>
        <v/>
      </c>
      <c r="AG1758" s="20">
        <f>IF(OR(B1758="",'経歴簿'!$C$4=""),"",IF(B1758&amp;""='経歴簿'!$C$4&amp;"",MAX($AG$4:AG1757)+1,""))</f>
        <v/>
      </c>
      <c r="AH1758" s="20">
        <f>IF(A1758="",0,IF(AND(OR('CSV抽出'!$C$4="",A1758&gt;='CSV抽出'!$C$4),OR('CSV抽出'!$C$5="",A1758&lt;='CSV抽出'!$C$5),OR('CSV抽出'!$C$6="すべて",'CSV抽出'!$C$6="",D1758='CSV抽出'!$C$6),OR('CSV抽出'!$C$7="",B1758&amp;""='CSV抽出'!$C$7&amp;"")),1,0))</f>
        <v/>
      </c>
      <c r="AI1758" s="20">
        <f>IF(AH1758=1,SUM($AH$5:AH1758),"")</f>
        <v/>
      </c>
      <c r="AJ1758" s="20">
        <f>IF(OR(S1758="",'報告書'!$C$4=""),"",IF(S1758&amp;""='報告書'!$C$4&amp;"",COUNTIF($S$5:S1758,'報告書'!$C$4),""))</f>
        <v/>
      </c>
      <c r="AK1758" s="20" t="n"/>
      <c r="AL1758" s="47" t="n"/>
      <c r="AM1758" s="47" t="n"/>
      <c r="AN1758" s="53" t="n"/>
      <c r="AO1758" s="47" t="n"/>
      <c r="AP1758" s="47" t="n"/>
      <c r="AQ1758" s="47" t="n"/>
      <c r="AR1758" s="47" t="n"/>
      <c r="AS1758" s="47" t="n"/>
      <c r="AT1758" s="47" t="n"/>
      <c r="AU1758" s="47" t="n"/>
      <c r="AV1758" s="47" t="n"/>
      <c r="AW1758" s="52" t="n"/>
    </row>
    <row r="1759">
      <c r="A1759" s="48" t="n"/>
      <c r="B1759" s="52" t="n"/>
      <c r="C1759" s="47">
        <f>IF(B1759="","",IFERROR(INDEX('隊員マスタ'!$B$5:$B$204,MATCH(B1759&amp;"",'隊員マスタ'!$F$5:$F$204,0)),IF(AK1759="","番号なし",AK1759)))</f>
        <v/>
      </c>
      <c r="D1759" s="47" t="n"/>
      <c r="E1759" s="47" t="n"/>
      <c r="F1759" s="47" t="n"/>
      <c r="G1759" s="47" t="n"/>
      <c r="H1759" s="47" t="n"/>
      <c r="I1759" s="47" t="n"/>
      <c r="J1759" s="47" t="n"/>
      <c r="K1759" s="47" t="n"/>
      <c r="L1759" s="47" t="n"/>
      <c r="M1759" s="47" t="n"/>
      <c r="N1759" s="47" t="n"/>
      <c r="O1759" s="47" t="n"/>
      <c r="P1759" s="47" t="n"/>
      <c r="Q1759" s="47" t="n"/>
      <c r="R1759" s="47" t="n"/>
      <c r="S1759" s="47" t="n"/>
      <c r="T1759" s="47" t="n"/>
      <c r="U1759" s="53" t="n"/>
      <c r="V1759" s="53" t="n"/>
      <c r="W1759" s="47" t="n"/>
      <c r="X1759" s="47" t="n"/>
      <c r="Y1759" s="47" t="n"/>
      <c r="Z1759" s="47" t="n"/>
      <c r="AA1759" s="47" t="n"/>
      <c r="AB1759" s="47" t="n"/>
      <c r="AC1759" s="47" t="n"/>
      <c r="AD1759" s="47" t="n"/>
      <c r="AE1759" s="47" t="n"/>
      <c r="AF1759" s="20">
        <f>IF(A1759="","",YEAR(EDATE(A1759,-3)))</f>
        <v/>
      </c>
      <c r="AG1759" s="20">
        <f>IF(OR(B1759="",'経歴簿'!$C$4=""),"",IF(B1759&amp;""='経歴簿'!$C$4&amp;"",MAX($AG$4:AG1758)+1,""))</f>
        <v/>
      </c>
      <c r="AH1759" s="20">
        <f>IF(A1759="",0,IF(AND(OR('CSV抽出'!$C$4="",A1759&gt;='CSV抽出'!$C$4),OR('CSV抽出'!$C$5="",A1759&lt;='CSV抽出'!$C$5),OR('CSV抽出'!$C$6="すべて",'CSV抽出'!$C$6="",D1759='CSV抽出'!$C$6),OR('CSV抽出'!$C$7="",B1759&amp;""='CSV抽出'!$C$7&amp;"")),1,0))</f>
        <v/>
      </c>
      <c r="AI1759" s="20">
        <f>IF(AH1759=1,SUM($AH$5:AH1759),"")</f>
        <v/>
      </c>
      <c r="AJ1759" s="20">
        <f>IF(OR(S1759="",'報告書'!$C$4=""),"",IF(S1759&amp;""='報告書'!$C$4&amp;"",COUNTIF($S$5:S1759,'報告書'!$C$4),""))</f>
        <v/>
      </c>
      <c r="AK1759" s="20" t="n"/>
      <c r="AL1759" s="47" t="n"/>
      <c r="AM1759" s="47" t="n"/>
      <c r="AN1759" s="53" t="n"/>
      <c r="AO1759" s="47" t="n"/>
      <c r="AP1759" s="47" t="n"/>
      <c r="AQ1759" s="47" t="n"/>
      <c r="AR1759" s="47" t="n"/>
      <c r="AS1759" s="47" t="n"/>
      <c r="AT1759" s="47" t="n"/>
      <c r="AU1759" s="47" t="n"/>
      <c r="AV1759" s="47" t="n"/>
      <c r="AW1759" s="52" t="n"/>
    </row>
    <row r="1760">
      <c r="A1760" s="48" t="n"/>
      <c r="B1760" s="52" t="n"/>
      <c r="C1760" s="47">
        <f>IF(B1760="","",IFERROR(INDEX('隊員マスタ'!$B$5:$B$204,MATCH(B1760&amp;"",'隊員マスタ'!$F$5:$F$204,0)),IF(AK1760="","番号なし",AK1760)))</f>
        <v/>
      </c>
      <c r="D1760" s="47" t="n"/>
      <c r="E1760" s="47" t="n"/>
      <c r="F1760" s="47" t="n"/>
      <c r="G1760" s="47" t="n"/>
      <c r="H1760" s="47" t="n"/>
      <c r="I1760" s="47" t="n"/>
      <c r="J1760" s="47" t="n"/>
      <c r="K1760" s="47" t="n"/>
      <c r="L1760" s="47" t="n"/>
      <c r="M1760" s="47" t="n"/>
      <c r="N1760" s="47" t="n"/>
      <c r="O1760" s="47" t="n"/>
      <c r="P1760" s="47" t="n"/>
      <c r="Q1760" s="47" t="n"/>
      <c r="R1760" s="47" t="n"/>
      <c r="S1760" s="47" t="n"/>
      <c r="T1760" s="47" t="n"/>
      <c r="U1760" s="53" t="n"/>
      <c r="V1760" s="53" t="n"/>
      <c r="W1760" s="47" t="n"/>
      <c r="X1760" s="47" t="n"/>
      <c r="Y1760" s="47" t="n"/>
      <c r="Z1760" s="47" t="n"/>
      <c r="AA1760" s="47" t="n"/>
      <c r="AB1760" s="47" t="n"/>
      <c r="AC1760" s="47" t="n"/>
      <c r="AD1760" s="47" t="n"/>
      <c r="AE1760" s="47" t="n"/>
      <c r="AF1760" s="20">
        <f>IF(A1760="","",YEAR(EDATE(A1760,-3)))</f>
        <v/>
      </c>
      <c r="AG1760" s="20">
        <f>IF(OR(B1760="",'経歴簿'!$C$4=""),"",IF(B1760&amp;""='経歴簿'!$C$4&amp;"",MAX($AG$4:AG1759)+1,""))</f>
        <v/>
      </c>
      <c r="AH1760" s="20">
        <f>IF(A1760="",0,IF(AND(OR('CSV抽出'!$C$4="",A1760&gt;='CSV抽出'!$C$4),OR('CSV抽出'!$C$5="",A1760&lt;='CSV抽出'!$C$5),OR('CSV抽出'!$C$6="すべて",'CSV抽出'!$C$6="",D1760='CSV抽出'!$C$6),OR('CSV抽出'!$C$7="",B1760&amp;""='CSV抽出'!$C$7&amp;"")),1,0))</f>
        <v/>
      </c>
      <c r="AI1760" s="20">
        <f>IF(AH1760=1,SUM($AH$5:AH1760),"")</f>
        <v/>
      </c>
      <c r="AJ1760" s="20">
        <f>IF(OR(S1760="",'報告書'!$C$4=""),"",IF(S1760&amp;""='報告書'!$C$4&amp;"",COUNTIF($S$5:S1760,'報告書'!$C$4),""))</f>
        <v/>
      </c>
      <c r="AK1760" s="20" t="n"/>
      <c r="AL1760" s="47" t="n"/>
      <c r="AM1760" s="47" t="n"/>
      <c r="AN1760" s="53" t="n"/>
      <c r="AO1760" s="47" t="n"/>
      <c r="AP1760" s="47" t="n"/>
      <c r="AQ1760" s="47" t="n"/>
      <c r="AR1760" s="47" t="n"/>
      <c r="AS1760" s="47" t="n"/>
      <c r="AT1760" s="47" t="n"/>
      <c r="AU1760" s="47" t="n"/>
      <c r="AV1760" s="47" t="n"/>
      <c r="AW1760" s="52" t="n"/>
    </row>
    <row r="1761">
      <c r="A1761" s="48" t="n"/>
      <c r="B1761" s="52" t="n"/>
      <c r="C1761" s="47">
        <f>IF(B1761="","",IFERROR(INDEX('隊員マスタ'!$B$5:$B$204,MATCH(B1761&amp;"",'隊員マスタ'!$F$5:$F$204,0)),IF(AK1761="","番号なし",AK1761)))</f>
        <v/>
      </c>
      <c r="D1761" s="47" t="n"/>
      <c r="E1761" s="47" t="n"/>
      <c r="F1761" s="47" t="n"/>
      <c r="G1761" s="47" t="n"/>
      <c r="H1761" s="47" t="n"/>
      <c r="I1761" s="47" t="n"/>
      <c r="J1761" s="47" t="n"/>
      <c r="K1761" s="47" t="n"/>
      <c r="L1761" s="47" t="n"/>
      <c r="M1761" s="47" t="n"/>
      <c r="N1761" s="47" t="n"/>
      <c r="O1761" s="47" t="n"/>
      <c r="P1761" s="47" t="n"/>
      <c r="Q1761" s="47" t="n"/>
      <c r="R1761" s="47" t="n"/>
      <c r="S1761" s="47" t="n"/>
      <c r="T1761" s="47" t="n"/>
      <c r="U1761" s="53" t="n"/>
      <c r="V1761" s="53" t="n"/>
      <c r="W1761" s="47" t="n"/>
      <c r="X1761" s="47" t="n"/>
      <c r="Y1761" s="47" t="n"/>
      <c r="Z1761" s="47" t="n"/>
      <c r="AA1761" s="47" t="n"/>
      <c r="AB1761" s="47" t="n"/>
      <c r="AC1761" s="47" t="n"/>
      <c r="AD1761" s="47" t="n"/>
      <c r="AE1761" s="47" t="n"/>
      <c r="AF1761" s="20">
        <f>IF(A1761="","",YEAR(EDATE(A1761,-3)))</f>
        <v/>
      </c>
      <c r="AG1761" s="20">
        <f>IF(OR(B1761="",'経歴簿'!$C$4=""),"",IF(B1761&amp;""='経歴簿'!$C$4&amp;"",MAX($AG$4:AG1760)+1,""))</f>
        <v/>
      </c>
      <c r="AH1761" s="20">
        <f>IF(A1761="",0,IF(AND(OR('CSV抽出'!$C$4="",A1761&gt;='CSV抽出'!$C$4),OR('CSV抽出'!$C$5="",A1761&lt;='CSV抽出'!$C$5),OR('CSV抽出'!$C$6="すべて",'CSV抽出'!$C$6="",D1761='CSV抽出'!$C$6),OR('CSV抽出'!$C$7="",B1761&amp;""='CSV抽出'!$C$7&amp;"")),1,0))</f>
        <v/>
      </c>
      <c r="AI1761" s="20">
        <f>IF(AH1761=1,SUM($AH$5:AH1761),"")</f>
        <v/>
      </c>
      <c r="AJ1761" s="20">
        <f>IF(OR(S1761="",'報告書'!$C$4=""),"",IF(S1761&amp;""='報告書'!$C$4&amp;"",COUNTIF($S$5:S1761,'報告書'!$C$4),""))</f>
        <v/>
      </c>
      <c r="AK1761" s="20" t="n"/>
      <c r="AL1761" s="47" t="n"/>
      <c r="AM1761" s="47" t="n"/>
      <c r="AN1761" s="53" t="n"/>
      <c r="AO1761" s="47" t="n"/>
      <c r="AP1761" s="47" t="n"/>
      <c r="AQ1761" s="47" t="n"/>
      <c r="AR1761" s="47" t="n"/>
      <c r="AS1761" s="47" t="n"/>
      <c r="AT1761" s="47" t="n"/>
      <c r="AU1761" s="47" t="n"/>
      <c r="AV1761" s="47" t="n"/>
      <c r="AW1761" s="52" t="n"/>
    </row>
    <row r="1762">
      <c r="A1762" s="48" t="n"/>
      <c r="B1762" s="52" t="n"/>
      <c r="C1762" s="47">
        <f>IF(B1762="","",IFERROR(INDEX('隊員マスタ'!$B$5:$B$204,MATCH(B1762&amp;"",'隊員マスタ'!$F$5:$F$204,0)),IF(AK1762="","番号なし",AK1762)))</f>
        <v/>
      </c>
      <c r="D1762" s="47" t="n"/>
      <c r="E1762" s="47" t="n"/>
      <c r="F1762" s="47" t="n"/>
      <c r="G1762" s="47" t="n"/>
      <c r="H1762" s="47" t="n"/>
      <c r="I1762" s="47" t="n"/>
      <c r="J1762" s="47" t="n"/>
      <c r="K1762" s="47" t="n"/>
      <c r="L1762" s="47" t="n"/>
      <c r="M1762" s="47" t="n"/>
      <c r="N1762" s="47" t="n"/>
      <c r="O1762" s="47" t="n"/>
      <c r="P1762" s="47" t="n"/>
      <c r="Q1762" s="47" t="n"/>
      <c r="R1762" s="47" t="n"/>
      <c r="S1762" s="47" t="n"/>
      <c r="T1762" s="47" t="n"/>
      <c r="U1762" s="53" t="n"/>
      <c r="V1762" s="53" t="n"/>
      <c r="W1762" s="47" t="n"/>
      <c r="X1762" s="47" t="n"/>
      <c r="Y1762" s="47" t="n"/>
      <c r="Z1762" s="47" t="n"/>
      <c r="AA1762" s="47" t="n"/>
      <c r="AB1762" s="47" t="n"/>
      <c r="AC1762" s="47" t="n"/>
      <c r="AD1762" s="47" t="n"/>
      <c r="AE1762" s="47" t="n"/>
      <c r="AF1762" s="20">
        <f>IF(A1762="","",YEAR(EDATE(A1762,-3)))</f>
        <v/>
      </c>
      <c r="AG1762" s="20">
        <f>IF(OR(B1762="",'経歴簿'!$C$4=""),"",IF(B1762&amp;""='経歴簿'!$C$4&amp;"",MAX($AG$4:AG1761)+1,""))</f>
        <v/>
      </c>
      <c r="AH1762" s="20">
        <f>IF(A1762="",0,IF(AND(OR('CSV抽出'!$C$4="",A1762&gt;='CSV抽出'!$C$4),OR('CSV抽出'!$C$5="",A1762&lt;='CSV抽出'!$C$5),OR('CSV抽出'!$C$6="すべて",'CSV抽出'!$C$6="",D1762='CSV抽出'!$C$6),OR('CSV抽出'!$C$7="",B1762&amp;""='CSV抽出'!$C$7&amp;"")),1,0))</f>
        <v/>
      </c>
      <c r="AI1762" s="20">
        <f>IF(AH1762=1,SUM($AH$5:AH1762),"")</f>
        <v/>
      </c>
      <c r="AJ1762" s="20">
        <f>IF(OR(S1762="",'報告書'!$C$4=""),"",IF(S1762&amp;""='報告書'!$C$4&amp;"",COUNTIF($S$5:S1762,'報告書'!$C$4),""))</f>
        <v/>
      </c>
      <c r="AK1762" s="20" t="n"/>
      <c r="AL1762" s="47" t="n"/>
      <c r="AM1762" s="47" t="n"/>
      <c r="AN1762" s="53" t="n"/>
      <c r="AO1762" s="47" t="n"/>
      <c r="AP1762" s="47" t="n"/>
      <c r="AQ1762" s="47" t="n"/>
      <c r="AR1762" s="47" t="n"/>
      <c r="AS1762" s="47" t="n"/>
      <c r="AT1762" s="47" t="n"/>
      <c r="AU1762" s="47" t="n"/>
      <c r="AV1762" s="47" t="n"/>
      <c r="AW1762" s="52" t="n"/>
    </row>
    <row r="1763">
      <c r="A1763" s="48" t="n"/>
      <c r="B1763" s="52" t="n"/>
      <c r="C1763" s="47">
        <f>IF(B1763="","",IFERROR(INDEX('隊員マスタ'!$B$5:$B$204,MATCH(B1763&amp;"",'隊員マスタ'!$F$5:$F$204,0)),IF(AK1763="","番号なし",AK1763)))</f>
        <v/>
      </c>
      <c r="D1763" s="47" t="n"/>
      <c r="E1763" s="47" t="n"/>
      <c r="F1763" s="47" t="n"/>
      <c r="G1763" s="47" t="n"/>
      <c r="H1763" s="47" t="n"/>
      <c r="I1763" s="47" t="n"/>
      <c r="J1763" s="47" t="n"/>
      <c r="K1763" s="47" t="n"/>
      <c r="L1763" s="47" t="n"/>
      <c r="M1763" s="47" t="n"/>
      <c r="N1763" s="47" t="n"/>
      <c r="O1763" s="47" t="n"/>
      <c r="P1763" s="47" t="n"/>
      <c r="Q1763" s="47" t="n"/>
      <c r="R1763" s="47" t="n"/>
      <c r="S1763" s="47" t="n"/>
      <c r="T1763" s="47" t="n"/>
      <c r="U1763" s="53" t="n"/>
      <c r="V1763" s="53" t="n"/>
      <c r="W1763" s="47" t="n"/>
      <c r="X1763" s="47" t="n"/>
      <c r="Y1763" s="47" t="n"/>
      <c r="Z1763" s="47" t="n"/>
      <c r="AA1763" s="47" t="n"/>
      <c r="AB1763" s="47" t="n"/>
      <c r="AC1763" s="47" t="n"/>
      <c r="AD1763" s="47" t="n"/>
      <c r="AE1763" s="47" t="n"/>
      <c r="AF1763" s="20">
        <f>IF(A1763="","",YEAR(EDATE(A1763,-3)))</f>
        <v/>
      </c>
      <c r="AG1763" s="20">
        <f>IF(OR(B1763="",'経歴簿'!$C$4=""),"",IF(B1763&amp;""='経歴簿'!$C$4&amp;"",MAX($AG$4:AG1762)+1,""))</f>
        <v/>
      </c>
      <c r="AH1763" s="20">
        <f>IF(A1763="",0,IF(AND(OR('CSV抽出'!$C$4="",A1763&gt;='CSV抽出'!$C$4),OR('CSV抽出'!$C$5="",A1763&lt;='CSV抽出'!$C$5),OR('CSV抽出'!$C$6="すべて",'CSV抽出'!$C$6="",D1763='CSV抽出'!$C$6),OR('CSV抽出'!$C$7="",B1763&amp;""='CSV抽出'!$C$7&amp;"")),1,0))</f>
        <v/>
      </c>
      <c r="AI1763" s="20">
        <f>IF(AH1763=1,SUM($AH$5:AH1763),"")</f>
        <v/>
      </c>
      <c r="AJ1763" s="20">
        <f>IF(OR(S1763="",'報告書'!$C$4=""),"",IF(S1763&amp;""='報告書'!$C$4&amp;"",COUNTIF($S$5:S1763,'報告書'!$C$4),""))</f>
        <v/>
      </c>
      <c r="AK1763" s="20" t="n"/>
      <c r="AL1763" s="47" t="n"/>
      <c r="AM1763" s="47" t="n"/>
      <c r="AN1763" s="53" t="n"/>
      <c r="AO1763" s="47" t="n"/>
      <c r="AP1763" s="47" t="n"/>
      <c r="AQ1763" s="47" t="n"/>
      <c r="AR1763" s="47" t="n"/>
      <c r="AS1763" s="47" t="n"/>
      <c r="AT1763" s="47" t="n"/>
      <c r="AU1763" s="47" t="n"/>
      <c r="AV1763" s="47" t="n"/>
      <c r="AW1763" s="52" t="n"/>
    </row>
    <row r="1764">
      <c r="A1764" s="48" t="n"/>
      <c r="B1764" s="52" t="n"/>
      <c r="C1764" s="47">
        <f>IF(B1764="","",IFERROR(INDEX('隊員マスタ'!$B$5:$B$204,MATCH(B1764&amp;"",'隊員マスタ'!$F$5:$F$204,0)),IF(AK1764="","番号なし",AK1764)))</f>
        <v/>
      </c>
      <c r="D1764" s="47" t="n"/>
      <c r="E1764" s="47" t="n"/>
      <c r="F1764" s="47" t="n"/>
      <c r="G1764" s="47" t="n"/>
      <c r="H1764" s="47" t="n"/>
      <c r="I1764" s="47" t="n"/>
      <c r="J1764" s="47" t="n"/>
      <c r="K1764" s="47" t="n"/>
      <c r="L1764" s="47" t="n"/>
      <c r="M1764" s="47" t="n"/>
      <c r="N1764" s="47" t="n"/>
      <c r="O1764" s="47" t="n"/>
      <c r="P1764" s="47" t="n"/>
      <c r="Q1764" s="47" t="n"/>
      <c r="R1764" s="47" t="n"/>
      <c r="S1764" s="47" t="n"/>
      <c r="T1764" s="47" t="n"/>
      <c r="U1764" s="53" t="n"/>
      <c r="V1764" s="53" t="n"/>
      <c r="W1764" s="47" t="n"/>
      <c r="X1764" s="47" t="n"/>
      <c r="Y1764" s="47" t="n"/>
      <c r="Z1764" s="47" t="n"/>
      <c r="AA1764" s="47" t="n"/>
      <c r="AB1764" s="47" t="n"/>
      <c r="AC1764" s="47" t="n"/>
      <c r="AD1764" s="47" t="n"/>
      <c r="AE1764" s="47" t="n"/>
      <c r="AF1764" s="20">
        <f>IF(A1764="","",YEAR(EDATE(A1764,-3)))</f>
        <v/>
      </c>
      <c r="AG1764" s="20">
        <f>IF(OR(B1764="",'経歴簿'!$C$4=""),"",IF(B1764&amp;""='経歴簿'!$C$4&amp;"",MAX($AG$4:AG1763)+1,""))</f>
        <v/>
      </c>
      <c r="AH1764" s="20">
        <f>IF(A1764="",0,IF(AND(OR('CSV抽出'!$C$4="",A1764&gt;='CSV抽出'!$C$4),OR('CSV抽出'!$C$5="",A1764&lt;='CSV抽出'!$C$5),OR('CSV抽出'!$C$6="すべて",'CSV抽出'!$C$6="",D1764='CSV抽出'!$C$6),OR('CSV抽出'!$C$7="",B1764&amp;""='CSV抽出'!$C$7&amp;"")),1,0))</f>
        <v/>
      </c>
      <c r="AI1764" s="20">
        <f>IF(AH1764=1,SUM($AH$5:AH1764),"")</f>
        <v/>
      </c>
      <c r="AJ1764" s="20">
        <f>IF(OR(S1764="",'報告書'!$C$4=""),"",IF(S1764&amp;""='報告書'!$C$4&amp;"",COUNTIF($S$5:S1764,'報告書'!$C$4),""))</f>
        <v/>
      </c>
      <c r="AK1764" s="20" t="n"/>
      <c r="AL1764" s="47" t="n"/>
      <c r="AM1764" s="47" t="n"/>
      <c r="AN1764" s="53" t="n"/>
      <c r="AO1764" s="47" t="n"/>
      <c r="AP1764" s="47" t="n"/>
      <c r="AQ1764" s="47" t="n"/>
      <c r="AR1764" s="47" t="n"/>
      <c r="AS1764" s="47" t="n"/>
      <c r="AT1764" s="47" t="n"/>
      <c r="AU1764" s="47" t="n"/>
      <c r="AV1764" s="47" t="n"/>
      <c r="AW1764" s="52" t="n"/>
    </row>
    <row r="1765">
      <c r="A1765" s="48" t="n"/>
      <c r="B1765" s="52" t="n"/>
      <c r="C1765" s="47">
        <f>IF(B1765="","",IFERROR(INDEX('隊員マスタ'!$B$5:$B$204,MATCH(B1765&amp;"",'隊員マスタ'!$F$5:$F$204,0)),IF(AK1765="","番号なし",AK1765)))</f>
        <v/>
      </c>
      <c r="D1765" s="47" t="n"/>
      <c r="E1765" s="47" t="n"/>
      <c r="F1765" s="47" t="n"/>
      <c r="G1765" s="47" t="n"/>
      <c r="H1765" s="47" t="n"/>
      <c r="I1765" s="47" t="n"/>
      <c r="J1765" s="47" t="n"/>
      <c r="K1765" s="47" t="n"/>
      <c r="L1765" s="47" t="n"/>
      <c r="M1765" s="47" t="n"/>
      <c r="N1765" s="47" t="n"/>
      <c r="O1765" s="47" t="n"/>
      <c r="P1765" s="47" t="n"/>
      <c r="Q1765" s="47" t="n"/>
      <c r="R1765" s="47" t="n"/>
      <c r="S1765" s="47" t="n"/>
      <c r="T1765" s="47" t="n"/>
      <c r="U1765" s="53" t="n"/>
      <c r="V1765" s="53" t="n"/>
      <c r="W1765" s="47" t="n"/>
      <c r="X1765" s="47" t="n"/>
      <c r="Y1765" s="47" t="n"/>
      <c r="Z1765" s="47" t="n"/>
      <c r="AA1765" s="47" t="n"/>
      <c r="AB1765" s="47" t="n"/>
      <c r="AC1765" s="47" t="n"/>
      <c r="AD1765" s="47" t="n"/>
      <c r="AE1765" s="47" t="n"/>
      <c r="AF1765" s="20">
        <f>IF(A1765="","",YEAR(EDATE(A1765,-3)))</f>
        <v/>
      </c>
      <c r="AG1765" s="20">
        <f>IF(OR(B1765="",'経歴簿'!$C$4=""),"",IF(B1765&amp;""='経歴簿'!$C$4&amp;"",MAX($AG$4:AG1764)+1,""))</f>
        <v/>
      </c>
      <c r="AH1765" s="20">
        <f>IF(A1765="",0,IF(AND(OR('CSV抽出'!$C$4="",A1765&gt;='CSV抽出'!$C$4),OR('CSV抽出'!$C$5="",A1765&lt;='CSV抽出'!$C$5),OR('CSV抽出'!$C$6="すべて",'CSV抽出'!$C$6="",D1765='CSV抽出'!$C$6),OR('CSV抽出'!$C$7="",B1765&amp;""='CSV抽出'!$C$7&amp;"")),1,0))</f>
        <v/>
      </c>
      <c r="AI1765" s="20">
        <f>IF(AH1765=1,SUM($AH$5:AH1765),"")</f>
        <v/>
      </c>
      <c r="AJ1765" s="20">
        <f>IF(OR(S1765="",'報告書'!$C$4=""),"",IF(S1765&amp;""='報告書'!$C$4&amp;"",COUNTIF($S$5:S1765,'報告書'!$C$4),""))</f>
        <v/>
      </c>
      <c r="AK1765" s="20" t="n"/>
      <c r="AL1765" s="47" t="n"/>
      <c r="AM1765" s="47" t="n"/>
      <c r="AN1765" s="53" t="n"/>
      <c r="AO1765" s="47" t="n"/>
      <c r="AP1765" s="47" t="n"/>
      <c r="AQ1765" s="47" t="n"/>
      <c r="AR1765" s="47" t="n"/>
      <c r="AS1765" s="47" t="n"/>
      <c r="AT1765" s="47" t="n"/>
      <c r="AU1765" s="47" t="n"/>
      <c r="AV1765" s="47" t="n"/>
      <c r="AW1765" s="52" t="n"/>
    </row>
    <row r="1766">
      <c r="A1766" s="48" t="n"/>
      <c r="B1766" s="52" t="n"/>
      <c r="C1766" s="47">
        <f>IF(B1766="","",IFERROR(INDEX('隊員マスタ'!$B$5:$B$204,MATCH(B1766&amp;"",'隊員マスタ'!$F$5:$F$204,0)),IF(AK1766="","番号なし",AK1766)))</f>
        <v/>
      </c>
      <c r="D1766" s="47" t="n"/>
      <c r="E1766" s="47" t="n"/>
      <c r="F1766" s="47" t="n"/>
      <c r="G1766" s="47" t="n"/>
      <c r="H1766" s="47" t="n"/>
      <c r="I1766" s="47" t="n"/>
      <c r="J1766" s="47" t="n"/>
      <c r="K1766" s="47" t="n"/>
      <c r="L1766" s="47" t="n"/>
      <c r="M1766" s="47" t="n"/>
      <c r="N1766" s="47" t="n"/>
      <c r="O1766" s="47" t="n"/>
      <c r="P1766" s="47" t="n"/>
      <c r="Q1766" s="47" t="n"/>
      <c r="R1766" s="47" t="n"/>
      <c r="S1766" s="47" t="n"/>
      <c r="T1766" s="47" t="n"/>
      <c r="U1766" s="53" t="n"/>
      <c r="V1766" s="53" t="n"/>
      <c r="W1766" s="47" t="n"/>
      <c r="X1766" s="47" t="n"/>
      <c r="Y1766" s="47" t="n"/>
      <c r="Z1766" s="47" t="n"/>
      <c r="AA1766" s="47" t="n"/>
      <c r="AB1766" s="47" t="n"/>
      <c r="AC1766" s="47" t="n"/>
      <c r="AD1766" s="47" t="n"/>
      <c r="AE1766" s="47" t="n"/>
      <c r="AF1766" s="20">
        <f>IF(A1766="","",YEAR(EDATE(A1766,-3)))</f>
        <v/>
      </c>
      <c r="AG1766" s="20">
        <f>IF(OR(B1766="",'経歴簿'!$C$4=""),"",IF(B1766&amp;""='経歴簿'!$C$4&amp;"",MAX($AG$4:AG1765)+1,""))</f>
        <v/>
      </c>
      <c r="AH1766" s="20">
        <f>IF(A1766="",0,IF(AND(OR('CSV抽出'!$C$4="",A1766&gt;='CSV抽出'!$C$4),OR('CSV抽出'!$C$5="",A1766&lt;='CSV抽出'!$C$5),OR('CSV抽出'!$C$6="すべて",'CSV抽出'!$C$6="",D1766='CSV抽出'!$C$6),OR('CSV抽出'!$C$7="",B1766&amp;""='CSV抽出'!$C$7&amp;"")),1,0))</f>
        <v/>
      </c>
      <c r="AI1766" s="20">
        <f>IF(AH1766=1,SUM($AH$5:AH1766),"")</f>
        <v/>
      </c>
      <c r="AJ1766" s="20">
        <f>IF(OR(S1766="",'報告書'!$C$4=""),"",IF(S1766&amp;""='報告書'!$C$4&amp;"",COUNTIF($S$5:S1766,'報告書'!$C$4),""))</f>
        <v/>
      </c>
      <c r="AK1766" s="20" t="n"/>
      <c r="AL1766" s="47" t="n"/>
      <c r="AM1766" s="47" t="n"/>
      <c r="AN1766" s="53" t="n"/>
      <c r="AO1766" s="47" t="n"/>
      <c r="AP1766" s="47" t="n"/>
      <c r="AQ1766" s="47" t="n"/>
      <c r="AR1766" s="47" t="n"/>
      <c r="AS1766" s="47" t="n"/>
      <c r="AT1766" s="47" t="n"/>
      <c r="AU1766" s="47" t="n"/>
      <c r="AV1766" s="47" t="n"/>
      <c r="AW1766" s="52" t="n"/>
    </row>
    <row r="1767">
      <c r="A1767" s="48" t="n"/>
      <c r="B1767" s="52" t="n"/>
      <c r="C1767" s="47">
        <f>IF(B1767="","",IFERROR(INDEX('隊員マスタ'!$B$5:$B$204,MATCH(B1767&amp;"",'隊員マスタ'!$F$5:$F$204,0)),IF(AK1767="","番号なし",AK1767)))</f>
        <v/>
      </c>
      <c r="D1767" s="47" t="n"/>
      <c r="E1767" s="47" t="n"/>
      <c r="F1767" s="47" t="n"/>
      <c r="G1767" s="47" t="n"/>
      <c r="H1767" s="47" t="n"/>
      <c r="I1767" s="47" t="n"/>
      <c r="J1767" s="47" t="n"/>
      <c r="K1767" s="47" t="n"/>
      <c r="L1767" s="47" t="n"/>
      <c r="M1767" s="47" t="n"/>
      <c r="N1767" s="47" t="n"/>
      <c r="O1767" s="47" t="n"/>
      <c r="P1767" s="47" t="n"/>
      <c r="Q1767" s="47" t="n"/>
      <c r="R1767" s="47" t="n"/>
      <c r="S1767" s="47" t="n"/>
      <c r="T1767" s="47" t="n"/>
      <c r="U1767" s="53" t="n"/>
      <c r="V1767" s="53" t="n"/>
      <c r="W1767" s="47" t="n"/>
      <c r="X1767" s="47" t="n"/>
      <c r="Y1767" s="47" t="n"/>
      <c r="Z1767" s="47" t="n"/>
      <c r="AA1767" s="47" t="n"/>
      <c r="AB1767" s="47" t="n"/>
      <c r="AC1767" s="47" t="n"/>
      <c r="AD1767" s="47" t="n"/>
      <c r="AE1767" s="47" t="n"/>
      <c r="AF1767" s="20">
        <f>IF(A1767="","",YEAR(EDATE(A1767,-3)))</f>
        <v/>
      </c>
      <c r="AG1767" s="20">
        <f>IF(OR(B1767="",'経歴簿'!$C$4=""),"",IF(B1767&amp;""='経歴簿'!$C$4&amp;"",MAX($AG$4:AG1766)+1,""))</f>
        <v/>
      </c>
      <c r="AH1767" s="20">
        <f>IF(A1767="",0,IF(AND(OR('CSV抽出'!$C$4="",A1767&gt;='CSV抽出'!$C$4),OR('CSV抽出'!$C$5="",A1767&lt;='CSV抽出'!$C$5),OR('CSV抽出'!$C$6="すべて",'CSV抽出'!$C$6="",D1767='CSV抽出'!$C$6),OR('CSV抽出'!$C$7="",B1767&amp;""='CSV抽出'!$C$7&amp;"")),1,0))</f>
        <v/>
      </c>
      <c r="AI1767" s="20">
        <f>IF(AH1767=1,SUM($AH$5:AH1767),"")</f>
        <v/>
      </c>
      <c r="AJ1767" s="20">
        <f>IF(OR(S1767="",'報告書'!$C$4=""),"",IF(S1767&amp;""='報告書'!$C$4&amp;"",COUNTIF($S$5:S1767,'報告書'!$C$4),""))</f>
        <v/>
      </c>
      <c r="AK1767" s="20" t="n"/>
      <c r="AL1767" s="47" t="n"/>
      <c r="AM1767" s="47" t="n"/>
      <c r="AN1767" s="53" t="n"/>
      <c r="AO1767" s="47" t="n"/>
      <c r="AP1767" s="47" t="n"/>
      <c r="AQ1767" s="47" t="n"/>
      <c r="AR1767" s="47" t="n"/>
      <c r="AS1767" s="47" t="n"/>
      <c r="AT1767" s="47" t="n"/>
      <c r="AU1767" s="47" t="n"/>
      <c r="AV1767" s="47" t="n"/>
      <c r="AW1767" s="52" t="n"/>
    </row>
    <row r="1768">
      <c r="A1768" s="48" t="n"/>
      <c r="B1768" s="52" t="n"/>
      <c r="C1768" s="47">
        <f>IF(B1768="","",IFERROR(INDEX('隊員マスタ'!$B$5:$B$204,MATCH(B1768&amp;"",'隊員マスタ'!$F$5:$F$204,0)),IF(AK1768="","番号なし",AK1768)))</f>
        <v/>
      </c>
      <c r="D1768" s="47" t="n"/>
      <c r="E1768" s="47" t="n"/>
      <c r="F1768" s="47" t="n"/>
      <c r="G1768" s="47" t="n"/>
      <c r="H1768" s="47" t="n"/>
      <c r="I1768" s="47" t="n"/>
      <c r="J1768" s="47" t="n"/>
      <c r="K1768" s="47" t="n"/>
      <c r="L1768" s="47" t="n"/>
      <c r="M1768" s="47" t="n"/>
      <c r="N1768" s="47" t="n"/>
      <c r="O1768" s="47" t="n"/>
      <c r="P1768" s="47" t="n"/>
      <c r="Q1768" s="47" t="n"/>
      <c r="R1768" s="47" t="n"/>
      <c r="S1768" s="47" t="n"/>
      <c r="T1768" s="47" t="n"/>
      <c r="U1768" s="53" t="n"/>
      <c r="V1768" s="53" t="n"/>
      <c r="W1768" s="47" t="n"/>
      <c r="X1768" s="47" t="n"/>
      <c r="Y1768" s="47" t="n"/>
      <c r="Z1768" s="47" t="n"/>
      <c r="AA1768" s="47" t="n"/>
      <c r="AB1768" s="47" t="n"/>
      <c r="AC1768" s="47" t="n"/>
      <c r="AD1768" s="47" t="n"/>
      <c r="AE1768" s="47" t="n"/>
      <c r="AF1768" s="20">
        <f>IF(A1768="","",YEAR(EDATE(A1768,-3)))</f>
        <v/>
      </c>
      <c r="AG1768" s="20">
        <f>IF(OR(B1768="",'経歴簿'!$C$4=""),"",IF(B1768&amp;""='経歴簿'!$C$4&amp;"",MAX($AG$4:AG1767)+1,""))</f>
        <v/>
      </c>
      <c r="AH1768" s="20">
        <f>IF(A1768="",0,IF(AND(OR('CSV抽出'!$C$4="",A1768&gt;='CSV抽出'!$C$4),OR('CSV抽出'!$C$5="",A1768&lt;='CSV抽出'!$C$5),OR('CSV抽出'!$C$6="すべて",'CSV抽出'!$C$6="",D1768='CSV抽出'!$C$6),OR('CSV抽出'!$C$7="",B1768&amp;""='CSV抽出'!$C$7&amp;"")),1,0))</f>
        <v/>
      </c>
      <c r="AI1768" s="20">
        <f>IF(AH1768=1,SUM($AH$5:AH1768),"")</f>
        <v/>
      </c>
      <c r="AJ1768" s="20">
        <f>IF(OR(S1768="",'報告書'!$C$4=""),"",IF(S1768&amp;""='報告書'!$C$4&amp;"",COUNTIF($S$5:S1768,'報告書'!$C$4),""))</f>
        <v/>
      </c>
      <c r="AK1768" s="20" t="n"/>
      <c r="AL1768" s="47" t="n"/>
      <c r="AM1768" s="47" t="n"/>
      <c r="AN1768" s="53" t="n"/>
      <c r="AO1768" s="47" t="n"/>
      <c r="AP1768" s="47" t="n"/>
      <c r="AQ1768" s="47" t="n"/>
      <c r="AR1768" s="47" t="n"/>
      <c r="AS1768" s="47" t="n"/>
      <c r="AT1768" s="47" t="n"/>
      <c r="AU1768" s="47" t="n"/>
      <c r="AV1768" s="47" t="n"/>
      <c r="AW1768" s="52" t="n"/>
    </row>
    <row r="1769">
      <c r="A1769" s="48" t="n"/>
      <c r="B1769" s="52" t="n"/>
      <c r="C1769" s="47">
        <f>IF(B1769="","",IFERROR(INDEX('隊員マスタ'!$B$5:$B$204,MATCH(B1769&amp;"",'隊員マスタ'!$F$5:$F$204,0)),IF(AK1769="","番号なし",AK1769)))</f>
        <v/>
      </c>
      <c r="D1769" s="47" t="n"/>
      <c r="E1769" s="47" t="n"/>
      <c r="F1769" s="47" t="n"/>
      <c r="G1769" s="47" t="n"/>
      <c r="H1769" s="47" t="n"/>
      <c r="I1769" s="47" t="n"/>
      <c r="J1769" s="47" t="n"/>
      <c r="K1769" s="47" t="n"/>
      <c r="L1769" s="47" t="n"/>
      <c r="M1769" s="47" t="n"/>
      <c r="N1769" s="47" t="n"/>
      <c r="O1769" s="47" t="n"/>
      <c r="P1769" s="47" t="n"/>
      <c r="Q1769" s="47" t="n"/>
      <c r="R1769" s="47" t="n"/>
      <c r="S1769" s="47" t="n"/>
      <c r="T1769" s="47" t="n"/>
      <c r="U1769" s="53" t="n"/>
      <c r="V1769" s="53" t="n"/>
      <c r="W1769" s="47" t="n"/>
      <c r="X1769" s="47" t="n"/>
      <c r="Y1769" s="47" t="n"/>
      <c r="Z1769" s="47" t="n"/>
      <c r="AA1769" s="47" t="n"/>
      <c r="AB1769" s="47" t="n"/>
      <c r="AC1769" s="47" t="n"/>
      <c r="AD1769" s="47" t="n"/>
      <c r="AE1769" s="47" t="n"/>
      <c r="AF1769" s="20">
        <f>IF(A1769="","",YEAR(EDATE(A1769,-3)))</f>
        <v/>
      </c>
      <c r="AG1769" s="20">
        <f>IF(OR(B1769="",'経歴簿'!$C$4=""),"",IF(B1769&amp;""='経歴簿'!$C$4&amp;"",MAX($AG$4:AG1768)+1,""))</f>
        <v/>
      </c>
      <c r="AH1769" s="20">
        <f>IF(A1769="",0,IF(AND(OR('CSV抽出'!$C$4="",A1769&gt;='CSV抽出'!$C$4),OR('CSV抽出'!$C$5="",A1769&lt;='CSV抽出'!$C$5),OR('CSV抽出'!$C$6="すべて",'CSV抽出'!$C$6="",D1769='CSV抽出'!$C$6),OR('CSV抽出'!$C$7="",B1769&amp;""='CSV抽出'!$C$7&amp;"")),1,0))</f>
        <v/>
      </c>
      <c r="AI1769" s="20">
        <f>IF(AH1769=1,SUM($AH$5:AH1769),"")</f>
        <v/>
      </c>
      <c r="AJ1769" s="20">
        <f>IF(OR(S1769="",'報告書'!$C$4=""),"",IF(S1769&amp;""='報告書'!$C$4&amp;"",COUNTIF($S$5:S1769,'報告書'!$C$4),""))</f>
        <v/>
      </c>
      <c r="AK1769" s="20" t="n"/>
      <c r="AL1769" s="47" t="n"/>
      <c r="AM1769" s="47" t="n"/>
      <c r="AN1769" s="53" t="n"/>
      <c r="AO1769" s="47" t="n"/>
      <c r="AP1769" s="47" t="n"/>
      <c r="AQ1769" s="47" t="n"/>
      <c r="AR1769" s="47" t="n"/>
      <c r="AS1769" s="47" t="n"/>
      <c r="AT1769" s="47" t="n"/>
      <c r="AU1769" s="47" t="n"/>
      <c r="AV1769" s="47" t="n"/>
      <c r="AW1769" s="52" t="n"/>
    </row>
    <row r="1770">
      <c r="A1770" s="48" t="n"/>
      <c r="B1770" s="52" t="n"/>
      <c r="C1770" s="47">
        <f>IF(B1770="","",IFERROR(INDEX('隊員マスタ'!$B$5:$B$204,MATCH(B1770&amp;"",'隊員マスタ'!$F$5:$F$204,0)),IF(AK1770="","番号なし",AK1770)))</f>
        <v/>
      </c>
      <c r="D1770" s="47" t="n"/>
      <c r="E1770" s="47" t="n"/>
      <c r="F1770" s="47" t="n"/>
      <c r="G1770" s="47" t="n"/>
      <c r="H1770" s="47" t="n"/>
      <c r="I1770" s="47" t="n"/>
      <c r="J1770" s="47" t="n"/>
      <c r="K1770" s="47" t="n"/>
      <c r="L1770" s="47" t="n"/>
      <c r="M1770" s="47" t="n"/>
      <c r="N1770" s="47" t="n"/>
      <c r="O1770" s="47" t="n"/>
      <c r="P1770" s="47" t="n"/>
      <c r="Q1770" s="47" t="n"/>
      <c r="R1770" s="47" t="n"/>
      <c r="S1770" s="47" t="n"/>
      <c r="T1770" s="47" t="n"/>
      <c r="U1770" s="53" t="n"/>
      <c r="V1770" s="53" t="n"/>
      <c r="W1770" s="47" t="n"/>
      <c r="X1770" s="47" t="n"/>
      <c r="Y1770" s="47" t="n"/>
      <c r="Z1770" s="47" t="n"/>
      <c r="AA1770" s="47" t="n"/>
      <c r="AB1770" s="47" t="n"/>
      <c r="AC1770" s="47" t="n"/>
      <c r="AD1770" s="47" t="n"/>
      <c r="AE1770" s="47" t="n"/>
      <c r="AF1770" s="20">
        <f>IF(A1770="","",YEAR(EDATE(A1770,-3)))</f>
        <v/>
      </c>
      <c r="AG1770" s="20">
        <f>IF(OR(B1770="",'経歴簿'!$C$4=""),"",IF(B1770&amp;""='経歴簿'!$C$4&amp;"",MAX($AG$4:AG1769)+1,""))</f>
        <v/>
      </c>
      <c r="AH1770" s="20">
        <f>IF(A1770="",0,IF(AND(OR('CSV抽出'!$C$4="",A1770&gt;='CSV抽出'!$C$4),OR('CSV抽出'!$C$5="",A1770&lt;='CSV抽出'!$C$5),OR('CSV抽出'!$C$6="すべて",'CSV抽出'!$C$6="",D1770='CSV抽出'!$C$6),OR('CSV抽出'!$C$7="",B1770&amp;""='CSV抽出'!$C$7&amp;"")),1,0))</f>
        <v/>
      </c>
      <c r="AI1770" s="20">
        <f>IF(AH1770=1,SUM($AH$5:AH1770),"")</f>
        <v/>
      </c>
      <c r="AJ1770" s="20">
        <f>IF(OR(S1770="",'報告書'!$C$4=""),"",IF(S1770&amp;""='報告書'!$C$4&amp;"",COUNTIF($S$5:S1770,'報告書'!$C$4),""))</f>
        <v/>
      </c>
      <c r="AK1770" s="20" t="n"/>
      <c r="AL1770" s="47" t="n"/>
      <c r="AM1770" s="47" t="n"/>
      <c r="AN1770" s="53" t="n"/>
      <c r="AO1770" s="47" t="n"/>
      <c r="AP1770" s="47" t="n"/>
      <c r="AQ1770" s="47" t="n"/>
      <c r="AR1770" s="47" t="n"/>
      <c r="AS1770" s="47" t="n"/>
      <c r="AT1770" s="47" t="n"/>
      <c r="AU1770" s="47" t="n"/>
      <c r="AV1770" s="47" t="n"/>
      <c r="AW1770" s="52" t="n"/>
    </row>
    <row r="1771">
      <c r="A1771" s="48" t="n"/>
      <c r="B1771" s="52" t="n"/>
      <c r="C1771" s="47">
        <f>IF(B1771="","",IFERROR(INDEX('隊員マスタ'!$B$5:$B$204,MATCH(B1771&amp;"",'隊員マスタ'!$F$5:$F$204,0)),IF(AK1771="","番号なし",AK1771)))</f>
        <v/>
      </c>
      <c r="D1771" s="47" t="n"/>
      <c r="E1771" s="47" t="n"/>
      <c r="F1771" s="47" t="n"/>
      <c r="G1771" s="47" t="n"/>
      <c r="H1771" s="47" t="n"/>
      <c r="I1771" s="47" t="n"/>
      <c r="J1771" s="47" t="n"/>
      <c r="K1771" s="47" t="n"/>
      <c r="L1771" s="47" t="n"/>
      <c r="M1771" s="47" t="n"/>
      <c r="N1771" s="47" t="n"/>
      <c r="O1771" s="47" t="n"/>
      <c r="P1771" s="47" t="n"/>
      <c r="Q1771" s="47" t="n"/>
      <c r="R1771" s="47" t="n"/>
      <c r="S1771" s="47" t="n"/>
      <c r="T1771" s="47" t="n"/>
      <c r="U1771" s="53" t="n"/>
      <c r="V1771" s="53" t="n"/>
      <c r="W1771" s="47" t="n"/>
      <c r="X1771" s="47" t="n"/>
      <c r="Y1771" s="47" t="n"/>
      <c r="Z1771" s="47" t="n"/>
      <c r="AA1771" s="47" t="n"/>
      <c r="AB1771" s="47" t="n"/>
      <c r="AC1771" s="47" t="n"/>
      <c r="AD1771" s="47" t="n"/>
      <c r="AE1771" s="47" t="n"/>
      <c r="AF1771" s="20">
        <f>IF(A1771="","",YEAR(EDATE(A1771,-3)))</f>
        <v/>
      </c>
      <c r="AG1771" s="20">
        <f>IF(OR(B1771="",'経歴簿'!$C$4=""),"",IF(B1771&amp;""='経歴簿'!$C$4&amp;"",MAX($AG$4:AG1770)+1,""))</f>
        <v/>
      </c>
      <c r="AH1771" s="20">
        <f>IF(A1771="",0,IF(AND(OR('CSV抽出'!$C$4="",A1771&gt;='CSV抽出'!$C$4),OR('CSV抽出'!$C$5="",A1771&lt;='CSV抽出'!$C$5),OR('CSV抽出'!$C$6="すべて",'CSV抽出'!$C$6="",D1771='CSV抽出'!$C$6),OR('CSV抽出'!$C$7="",B1771&amp;""='CSV抽出'!$C$7&amp;"")),1,0))</f>
        <v/>
      </c>
      <c r="AI1771" s="20">
        <f>IF(AH1771=1,SUM($AH$5:AH1771),"")</f>
        <v/>
      </c>
      <c r="AJ1771" s="20">
        <f>IF(OR(S1771="",'報告書'!$C$4=""),"",IF(S1771&amp;""='報告書'!$C$4&amp;"",COUNTIF($S$5:S1771,'報告書'!$C$4),""))</f>
        <v/>
      </c>
      <c r="AK1771" s="20" t="n"/>
      <c r="AL1771" s="47" t="n"/>
      <c r="AM1771" s="47" t="n"/>
      <c r="AN1771" s="53" t="n"/>
      <c r="AO1771" s="47" t="n"/>
      <c r="AP1771" s="47" t="n"/>
      <c r="AQ1771" s="47" t="n"/>
      <c r="AR1771" s="47" t="n"/>
      <c r="AS1771" s="47" t="n"/>
      <c r="AT1771" s="47" t="n"/>
      <c r="AU1771" s="47" t="n"/>
      <c r="AV1771" s="47" t="n"/>
      <c r="AW1771" s="52" t="n"/>
    </row>
    <row r="1772">
      <c r="A1772" s="48" t="n"/>
      <c r="B1772" s="52" t="n"/>
      <c r="C1772" s="47">
        <f>IF(B1772="","",IFERROR(INDEX('隊員マスタ'!$B$5:$B$204,MATCH(B1772&amp;"",'隊員マスタ'!$F$5:$F$204,0)),IF(AK1772="","番号なし",AK1772)))</f>
        <v/>
      </c>
      <c r="D1772" s="47" t="n"/>
      <c r="E1772" s="47" t="n"/>
      <c r="F1772" s="47" t="n"/>
      <c r="G1772" s="47" t="n"/>
      <c r="H1772" s="47" t="n"/>
      <c r="I1772" s="47" t="n"/>
      <c r="J1772" s="47" t="n"/>
      <c r="K1772" s="47" t="n"/>
      <c r="L1772" s="47" t="n"/>
      <c r="M1772" s="47" t="n"/>
      <c r="N1772" s="47" t="n"/>
      <c r="O1772" s="47" t="n"/>
      <c r="P1772" s="47" t="n"/>
      <c r="Q1772" s="47" t="n"/>
      <c r="R1772" s="47" t="n"/>
      <c r="S1772" s="47" t="n"/>
      <c r="T1772" s="47" t="n"/>
      <c r="U1772" s="53" t="n"/>
      <c r="V1772" s="53" t="n"/>
      <c r="W1772" s="47" t="n"/>
      <c r="X1772" s="47" t="n"/>
      <c r="Y1772" s="47" t="n"/>
      <c r="Z1772" s="47" t="n"/>
      <c r="AA1772" s="47" t="n"/>
      <c r="AB1772" s="47" t="n"/>
      <c r="AC1772" s="47" t="n"/>
      <c r="AD1772" s="47" t="n"/>
      <c r="AE1772" s="47" t="n"/>
      <c r="AF1772" s="20">
        <f>IF(A1772="","",YEAR(EDATE(A1772,-3)))</f>
        <v/>
      </c>
      <c r="AG1772" s="20">
        <f>IF(OR(B1772="",'経歴簿'!$C$4=""),"",IF(B1772&amp;""='経歴簿'!$C$4&amp;"",MAX($AG$4:AG1771)+1,""))</f>
        <v/>
      </c>
      <c r="AH1772" s="20">
        <f>IF(A1772="",0,IF(AND(OR('CSV抽出'!$C$4="",A1772&gt;='CSV抽出'!$C$4),OR('CSV抽出'!$C$5="",A1772&lt;='CSV抽出'!$C$5),OR('CSV抽出'!$C$6="すべて",'CSV抽出'!$C$6="",D1772='CSV抽出'!$C$6),OR('CSV抽出'!$C$7="",B1772&amp;""='CSV抽出'!$C$7&amp;"")),1,0))</f>
        <v/>
      </c>
      <c r="AI1772" s="20">
        <f>IF(AH1772=1,SUM($AH$5:AH1772),"")</f>
        <v/>
      </c>
      <c r="AJ1772" s="20">
        <f>IF(OR(S1772="",'報告書'!$C$4=""),"",IF(S1772&amp;""='報告書'!$C$4&amp;"",COUNTIF($S$5:S1772,'報告書'!$C$4),""))</f>
        <v/>
      </c>
      <c r="AK1772" s="20" t="n"/>
      <c r="AL1772" s="47" t="n"/>
      <c r="AM1772" s="47" t="n"/>
      <c r="AN1772" s="53" t="n"/>
      <c r="AO1772" s="47" t="n"/>
      <c r="AP1772" s="47" t="n"/>
      <c r="AQ1772" s="47" t="n"/>
      <c r="AR1772" s="47" t="n"/>
      <c r="AS1772" s="47" t="n"/>
      <c r="AT1772" s="47" t="n"/>
      <c r="AU1772" s="47" t="n"/>
      <c r="AV1772" s="47" t="n"/>
      <c r="AW1772" s="52" t="n"/>
    </row>
    <row r="1773">
      <c r="A1773" s="48" t="n"/>
      <c r="B1773" s="52" t="n"/>
      <c r="C1773" s="47">
        <f>IF(B1773="","",IFERROR(INDEX('隊員マスタ'!$B$5:$B$204,MATCH(B1773&amp;"",'隊員マスタ'!$F$5:$F$204,0)),IF(AK1773="","番号なし",AK1773)))</f>
        <v/>
      </c>
      <c r="D1773" s="47" t="n"/>
      <c r="E1773" s="47" t="n"/>
      <c r="F1773" s="47" t="n"/>
      <c r="G1773" s="47" t="n"/>
      <c r="H1773" s="47" t="n"/>
      <c r="I1773" s="47" t="n"/>
      <c r="J1773" s="47" t="n"/>
      <c r="K1773" s="47" t="n"/>
      <c r="L1773" s="47" t="n"/>
      <c r="M1773" s="47" t="n"/>
      <c r="N1773" s="47" t="n"/>
      <c r="O1773" s="47" t="n"/>
      <c r="P1773" s="47" t="n"/>
      <c r="Q1773" s="47" t="n"/>
      <c r="R1773" s="47" t="n"/>
      <c r="S1773" s="47" t="n"/>
      <c r="T1773" s="47" t="n"/>
      <c r="U1773" s="53" t="n"/>
      <c r="V1773" s="53" t="n"/>
      <c r="W1773" s="47" t="n"/>
      <c r="X1773" s="47" t="n"/>
      <c r="Y1773" s="47" t="n"/>
      <c r="Z1773" s="47" t="n"/>
      <c r="AA1773" s="47" t="n"/>
      <c r="AB1773" s="47" t="n"/>
      <c r="AC1773" s="47" t="n"/>
      <c r="AD1773" s="47" t="n"/>
      <c r="AE1773" s="47" t="n"/>
      <c r="AF1773" s="20">
        <f>IF(A1773="","",YEAR(EDATE(A1773,-3)))</f>
        <v/>
      </c>
      <c r="AG1773" s="20">
        <f>IF(OR(B1773="",'経歴簿'!$C$4=""),"",IF(B1773&amp;""='経歴簿'!$C$4&amp;"",MAX($AG$4:AG1772)+1,""))</f>
        <v/>
      </c>
      <c r="AH1773" s="20">
        <f>IF(A1773="",0,IF(AND(OR('CSV抽出'!$C$4="",A1773&gt;='CSV抽出'!$C$4),OR('CSV抽出'!$C$5="",A1773&lt;='CSV抽出'!$C$5),OR('CSV抽出'!$C$6="すべて",'CSV抽出'!$C$6="",D1773='CSV抽出'!$C$6),OR('CSV抽出'!$C$7="",B1773&amp;""='CSV抽出'!$C$7&amp;"")),1,0))</f>
        <v/>
      </c>
      <c r="AI1773" s="20">
        <f>IF(AH1773=1,SUM($AH$5:AH1773),"")</f>
        <v/>
      </c>
      <c r="AJ1773" s="20">
        <f>IF(OR(S1773="",'報告書'!$C$4=""),"",IF(S1773&amp;""='報告書'!$C$4&amp;"",COUNTIF($S$5:S1773,'報告書'!$C$4),""))</f>
        <v/>
      </c>
      <c r="AK1773" s="20" t="n"/>
      <c r="AL1773" s="47" t="n"/>
      <c r="AM1773" s="47" t="n"/>
      <c r="AN1773" s="53" t="n"/>
      <c r="AO1773" s="47" t="n"/>
      <c r="AP1773" s="47" t="n"/>
      <c r="AQ1773" s="47" t="n"/>
      <c r="AR1773" s="47" t="n"/>
      <c r="AS1773" s="47" t="n"/>
      <c r="AT1773" s="47" t="n"/>
      <c r="AU1773" s="47" t="n"/>
      <c r="AV1773" s="47" t="n"/>
      <c r="AW1773" s="52" t="n"/>
    </row>
    <row r="1774">
      <c r="A1774" s="48" t="n"/>
      <c r="B1774" s="52" t="n"/>
      <c r="C1774" s="47">
        <f>IF(B1774="","",IFERROR(INDEX('隊員マスタ'!$B$5:$B$204,MATCH(B1774&amp;"",'隊員マスタ'!$F$5:$F$204,0)),IF(AK1774="","番号なし",AK1774)))</f>
        <v/>
      </c>
      <c r="D1774" s="47" t="n"/>
      <c r="E1774" s="47" t="n"/>
      <c r="F1774" s="47" t="n"/>
      <c r="G1774" s="47" t="n"/>
      <c r="H1774" s="47" t="n"/>
      <c r="I1774" s="47" t="n"/>
      <c r="J1774" s="47" t="n"/>
      <c r="K1774" s="47" t="n"/>
      <c r="L1774" s="47" t="n"/>
      <c r="M1774" s="47" t="n"/>
      <c r="N1774" s="47" t="n"/>
      <c r="O1774" s="47" t="n"/>
      <c r="P1774" s="47" t="n"/>
      <c r="Q1774" s="47" t="n"/>
      <c r="R1774" s="47" t="n"/>
      <c r="S1774" s="47" t="n"/>
      <c r="T1774" s="47" t="n"/>
      <c r="U1774" s="53" t="n"/>
      <c r="V1774" s="53" t="n"/>
      <c r="W1774" s="47" t="n"/>
      <c r="X1774" s="47" t="n"/>
      <c r="Y1774" s="47" t="n"/>
      <c r="Z1774" s="47" t="n"/>
      <c r="AA1774" s="47" t="n"/>
      <c r="AB1774" s="47" t="n"/>
      <c r="AC1774" s="47" t="n"/>
      <c r="AD1774" s="47" t="n"/>
      <c r="AE1774" s="47" t="n"/>
      <c r="AF1774" s="20">
        <f>IF(A1774="","",YEAR(EDATE(A1774,-3)))</f>
        <v/>
      </c>
      <c r="AG1774" s="20">
        <f>IF(OR(B1774="",'経歴簿'!$C$4=""),"",IF(B1774&amp;""='経歴簿'!$C$4&amp;"",MAX($AG$4:AG1773)+1,""))</f>
        <v/>
      </c>
      <c r="AH1774" s="20">
        <f>IF(A1774="",0,IF(AND(OR('CSV抽出'!$C$4="",A1774&gt;='CSV抽出'!$C$4),OR('CSV抽出'!$C$5="",A1774&lt;='CSV抽出'!$C$5),OR('CSV抽出'!$C$6="すべて",'CSV抽出'!$C$6="",D1774='CSV抽出'!$C$6),OR('CSV抽出'!$C$7="",B1774&amp;""='CSV抽出'!$C$7&amp;"")),1,0))</f>
        <v/>
      </c>
      <c r="AI1774" s="20">
        <f>IF(AH1774=1,SUM($AH$5:AH1774),"")</f>
        <v/>
      </c>
      <c r="AJ1774" s="20">
        <f>IF(OR(S1774="",'報告書'!$C$4=""),"",IF(S1774&amp;""='報告書'!$C$4&amp;"",COUNTIF($S$5:S1774,'報告書'!$C$4),""))</f>
        <v/>
      </c>
      <c r="AK1774" s="20" t="n"/>
      <c r="AL1774" s="47" t="n"/>
      <c r="AM1774" s="47" t="n"/>
      <c r="AN1774" s="53" t="n"/>
      <c r="AO1774" s="47" t="n"/>
      <c r="AP1774" s="47" t="n"/>
      <c r="AQ1774" s="47" t="n"/>
      <c r="AR1774" s="47" t="n"/>
      <c r="AS1774" s="47" t="n"/>
      <c r="AT1774" s="47" t="n"/>
      <c r="AU1774" s="47" t="n"/>
      <c r="AV1774" s="47" t="n"/>
      <c r="AW1774" s="52" t="n"/>
    </row>
    <row r="1775">
      <c r="A1775" s="48" t="n"/>
      <c r="B1775" s="52" t="n"/>
      <c r="C1775" s="47">
        <f>IF(B1775="","",IFERROR(INDEX('隊員マスタ'!$B$5:$B$204,MATCH(B1775&amp;"",'隊員マスタ'!$F$5:$F$204,0)),IF(AK1775="","番号なし",AK1775)))</f>
        <v/>
      </c>
      <c r="D1775" s="47" t="n"/>
      <c r="E1775" s="47" t="n"/>
      <c r="F1775" s="47" t="n"/>
      <c r="G1775" s="47" t="n"/>
      <c r="H1775" s="47" t="n"/>
      <c r="I1775" s="47" t="n"/>
      <c r="J1775" s="47" t="n"/>
      <c r="K1775" s="47" t="n"/>
      <c r="L1775" s="47" t="n"/>
      <c r="M1775" s="47" t="n"/>
      <c r="N1775" s="47" t="n"/>
      <c r="O1775" s="47" t="n"/>
      <c r="P1775" s="47" t="n"/>
      <c r="Q1775" s="47" t="n"/>
      <c r="R1775" s="47" t="n"/>
      <c r="S1775" s="47" t="n"/>
      <c r="T1775" s="47" t="n"/>
      <c r="U1775" s="53" t="n"/>
      <c r="V1775" s="53" t="n"/>
      <c r="W1775" s="47" t="n"/>
      <c r="X1775" s="47" t="n"/>
      <c r="Y1775" s="47" t="n"/>
      <c r="Z1775" s="47" t="n"/>
      <c r="AA1775" s="47" t="n"/>
      <c r="AB1775" s="47" t="n"/>
      <c r="AC1775" s="47" t="n"/>
      <c r="AD1775" s="47" t="n"/>
      <c r="AE1775" s="47" t="n"/>
      <c r="AF1775" s="20">
        <f>IF(A1775="","",YEAR(EDATE(A1775,-3)))</f>
        <v/>
      </c>
      <c r="AG1775" s="20">
        <f>IF(OR(B1775="",'経歴簿'!$C$4=""),"",IF(B1775&amp;""='経歴簿'!$C$4&amp;"",MAX($AG$4:AG1774)+1,""))</f>
        <v/>
      </c>
      <c r="AH1775" s="20">
        <f>IF(A1775="",0,IF(AND(OR('CSV抽出'!$C$4="",A1775&gt;='CSV抽出'!$C$4),OR('CSV抽出'!$C$5="",A1775&lt;='CSV抽出'!$C$5),OR('CSV抽出'!$C$6="すべて",'CSV抽出'!$C$6="",D1775='CSV抽出'!$C$6),OR('CSV抽出'!$C$7="",B1775&amp;""='CSV抽出'!$C$7&amp;"")),1,0))</f>
        <v/>
      </c>
      <c r="AI1775" s="20">
        <f>IF(AH1775=1,SUM($AH$5:AH1775),"")</f>
        <v/>
      </c>
      <c r="AJ1775" s="20">
        <f>IF(OR(S1775="",'報告書'!$C$4=""),"",IF(S1775&amp;""='報告書'!$C$4&amp;"",COUNTIF($S$5:S1775,'報告書'!$C$4),""))</f>
        <v/>
      </c>
      <c r="AK1775" s="20" t="n"/>
      <c r="AL1775" s="47" t="n"/>
      <c r="AM1775" s="47" t="n"/>
      <c r="AN1775" s="53" t="n"/>
      <c r="AO1775" s="47" t="n"/>
      <c r="AP1775" s="47" t="n"/>
      <c r="AQ1775" s="47" t="n"/>
      <c r="AR1775" s="47" t="n"/>
      <c r="AS1775" s="47" t="n"/>
      <c r="AT1775" s="47" t="n"/>
      <c r="AU1775" s="47" t="n"/>
      <c r="AV1775" s="47" t="n"/>
      <c r="AW1775" s="52" t="n"/>
    </row>
    <row r="1776">
      <c r="A1776" s="48" t="n"/>
      <c r="B1776" s="52" t="n"/>
      <c r="C1776" s="47">
        <f>IF(B1776="","",IFERROR(INDEX('隊員マスタ'!$B$5:$B$204,MATCH(B1776&amp;"",'隊員マスタ'!$F$5:$F$204,0)),IF(AK1776="","番号なし",AK1776)))</f>
        <v/>
      </c>
      <c r="D1776" s="47" t="n"/>
      <c r="E1776" s="47" t="n"/>
      <c r="F1776" s="47" t="n"/>
      <c r="G1776" s="47" t="n"/>
      <c r="H1776" s="47" t="n"/>
      <c r="I1776" s="47" t="n"/>
      <c r="J1776" s="47" t="n"/>
      <c r="K1776" s="47" t="n"/>
      <c r="L1776" s="47" t="n"/>
      <c r="M1776" s="47" t="n"/>
      <c r="N1776" s="47" t="n"/>
      <c r="O1776" s="47" t="n"/>
      <c r="P1776" s="47" t="n"/>
      <c r="Q1776" s="47" t="n"/>
      <c r="R1776" s="47" t="n"/>
      <c r="S1776" s="47" t="n"/>
      <c r="T1776" s="47" t="n"/>
      <c r="U1776" s="53" t="n"/>
      <c r="V1776" s="53" t="n"/>
      <c r="W1776" s="47" t="n"/>
      <c r="X1776" s="47" t="n"/>
      <c r="Y1776" s="47" t="n"/>
      <c r="Z1776" s="47" t="n"/>
      <c r="AA1776" s="47" t="n"/>
      <c r="AB1776" s="47" t="n"/>
      <c r="AC1776" s="47" t="n"/>
      <c r="AD1776" s="47" t="n"/>
      <c r="AE1776" s="47" t="n"/>
      <c r="AF1776" s="20">
        <f>IF(A1776="","",YEAR(EDATE(A1776,-3)))</f>
        <v/>
      </c>
      <c r="AG1776" s="20">
        <f>IF(OR(B1776="",'経歴簿'!$C$4=""),"",IF(B1776&amp;""='経歴簿'!$C$4&amp;"",MAX($AG$4:AG1775)+1,""))</f>
        <v/>
      </c>
      <c r="AH1776" s="20">
        <f>IF(A1776="",0,IF(AND(OR('CSV抽出'!$C$4="",A1776&gt;='CSV抽出'!$C$4),OR('CSV抽出'!$C$5="",A1776&lt;='CSV抽出'!$C$5),OR('CSV抽出'!$C$6="すべて",'CSV抽出'!$C$6="",D1776='CSV抽出'!$C$6),OR('CSV抽出'!$C$7="",B1776&amp;""='CSV抽出'!$C$7&amp;"")),1,0))</f>
        <v/>
      </c>
      <c r="AI1776" s="20">
        <f>IF(AH1776=1,SUM($AH$5:AH1776),"")</f>
        <v/>
      </c>
      <c r="AJ1776" s="20">
        <f>IF(OR(S1776="",'報告書'!$C$4=""),"",IF(S1776&amp;""='報告書'!$C$4&amp;"",COUNTIF($S$5:S1776,'報告書'!$C$4),""))</f>
        <v/>
      </c>
      <c r="AK1776" s="20" t="n"/>
      <c r="AL1776" s="47" t="n"/>
      <c r="AM1776" s="47" t="n"/>
      <c r="AN1776" s="53" t="n"/>
      <c r="AO1776" s="47" t="n"/>
      <c r="AP1776" s="47" t="n"/>
      <c r="AQ1776" s="47" t="n"/>
      <c r="AR1776" s="47" t="n"/>
      <c r="AS1776" s="47" t="n"/>
      <c r="AT1776" s="47" t="n"/>
      <c r="AU1776" s="47" t="n"/>
      <c r="AV1776" s="47" t="n"/>
      <c r="AW1776" s="52" t="n"/>
    </row>
    <row r="1777">
      <c r="A1777" s="48" t="n"/>
      <c r="B1777" s="52" t="n"/>
      <c r="C1777" s="47">
        <f>IF(B1777="","",IFERROR(INDEX('隊員マスタ'!$B$5:$B$204,MATCH(B1777&amp;"",'隊員マスタ'!$F$5:$F$204,0)),IF(AK1777="","番号なし",AK1777)))</f>
        <v/>
      </c>
      <c r="D1777" s="47" t="n"/>
      <c r="E1777" s="47" t="n"/>
      <c r="F1777" s="47" t="n"/>
      <c r="G1777" s="47" t="n"/>
      <c r="H1777" s="47" t="n"/>
      <c r="I1777" s="47" t="n"/>
      <c r="J1777" s="47" t="n"/>
      <c r="K1777" s="47" t="n"/>
      <c r="L1777" s="47" t="n"/>
      <c r="M1777" s="47" t="n"/>
      <c r="N1777" s="47" t="n"/>
      <c r="O1777" s="47" t="n"/>
      <c r="P1777" s="47" t="n"/>
      <c r="Q1777" s="47" t="n"/>
      <c r="R1777" s="47" t="n"/>
      <c r="S1777" s="47" t="n"/>
      <c r="T1777" s="47" t="n"/>
      <c r="U1777" s="53" t="n"/>
      <c r="V1777" s="53" t="n"/>
      <c r="W1777" s="47" t="n"/>
      <c r="X1777" s="47" t="n"/>
      <c r="Y1777" s="47" t="n"/>
      <c r="Z1777" s="47" t="n"/>
      <c r="AA1777" s="47" t="n"/>
      <c r="AB1777" s="47" t="n"/>
      <c r="AC1777" s="47" t="n"/>
      <c r="AD1777" s="47" t="n"/>
      <c r="AE1777" s="47" t="n"/>
      <c r="AF1777" s="20">
        <f>IF(A1777="","",YEAR(EDATE(A1777,-3)))</f>
        <v/>
      </c>
      <c r="AG1777" s="20">
        <f>IF(OR(B1777="",'経歴簿'!$C$4=""),"",IF(B1777&amp;""='経歴簿'!$C$4&amp;"",MAX($AG$4:AG1776)+1,""))</f>
        <v/>
      </c>
      <c r="AH1777" s="20">
        <f>IF(A1777="",0,IF(AND(OR('CSV抽出'!$C$4="",A1777&gt;='CSV抽出'!$C$4),OR('CSV抽出'!$C$5="",A1777&lt;='CSV抽出'!$C$5),OR('CSV抽出'!$C$6="すべて",'CSV抽出'!$C$6="",D1777='CSV抽出'!$C$6),OR('CSV抽出'!$C$7="",B1777&amp;""='CSV抽出'!$C$7&amp;"")),1,0))</f>
        <v/>
      </c>
      <c r="AI1777" s="20">
        <f>IF(AH1777=1,SUM($AH$5:AH1777),"")</f>
        <v/>
      </c>
      <c r="AJ1777" s="20">
        <f>IF(OR(S1777="",'報告書'!$C$4=""),"",IF(S1777&amp;""='報告書'!$C$4&amp;"",COUNTIF($S$5:S1777,'報告書'!$C$4),""))</f>
        <v/>
      </c>
      <c r="AK1777" s="20" t="n"/>
      <c r="AL1777" s="47" t="n"/>
      <c r="AM1777" s="47" t="n"/>
      <c r="AN1777" s="53" t="n"/>
      <c r="AO1777" s="47" t="n"/>
      <c r="AP1777" s="47" t="n"/>
      <c r="AQ1777" s="47" t="n"/>
      <c r="AR1777" s="47" t="n"/>
      <c r="AS1777" s="47" t="n"/>
      <c r="AT1777" s="47" t="n"/>
      <c r="AU1777" s="47" t="n"/>
      <c r="AV1777" s="47" t="n"/>
      <c r="AW1777" s="52" t="n"/>
    </row>
    <row r="1778">
      <c r="A1778" s="48" t="n"/>
      <c r="B1778" s="52" t="n"/>
      <c r="C1778" s="47">
        <f>IF(B1778="","",IFERROR(INDEX('隊員マスタ'!$B$5:$B$204,MATCH(B1778&amp;"",'隊員マスタ'!$F$5:$F$204,0)),IF(AK1778="","番号なし",AK1778)))</f>
        <v/>
      </c>
      <c r="D1778" s="47" t="n"/>
      <c r="E1778" s="47" t="n"/>
      <c r="F1778" s="47" t="n"/>
      <c r="G1778" s="47" t="n"/>
      <c r="H1778" s="47" t="n"/>
      <c r="I1778" s="47" t="n"/>
      <c r="J1778" s="47" t="n"/>
      <c r="K1778" s="47" t="n"/>
      <c r="L1778" s="47" t="n"/>
      <c r="M1778" s="47" t="n"/>
      <c r="N1778" s="47" t="n"/>
      <c r="O1778" s="47" t="n"/>
      <c r="P1778" s="47" t="n"/>
      <c r="Q1778" s="47" t="n"/>
      <c r="R1778" s="47" t="n"/>
      <c r="S1778" s="47" t="n"/>
      <c r="T1778" s="47" t="n"/>
      <c r="U1778" s="53" t="n"/>
      <c r="V1778" s="53" t="n"/>
      <c r="W1778" s="47" t="n"/>
      <c r="X1778" s="47" t="n"/>
      <c r="Y1778" s="47" t="n"/>
      <c r="Z1778" s="47" t="n"/>
      <c r="AA1778" s="47" t="n"/>
      <c r="AB1778" s="47" t="n"/>
      <c r="AC1778" s="47" t="n"/>
      <c r="AD1778" s="47" t="n"/>
      <c r="AE1778" s="47" t="n"/>
      <c r="AF1778" s="20">
        <f>IF(A1778="","",YEAR(EDATE(A1778,-3)))</f>
        <v/>
      </c>
      <c r="AG1778" s="20">
        <f>IF(OR(B1778="",'経歴簿'!$C$4=""),"",IF(B1778&amp;""='経歴簿'!$C$4&amp;"",MAX($AG$4:AG1777)+1,""))</f>
        <v/>
      </c>
      <c r="AH1778" s="20">
        <f>IF(A1778="",0,IF(AND(OR('CSV抽出'!$C$4="",A1778&gt;='CSV抽出'!$C$4),OR('CSV抽出'!$C$5="",A1778&lt;='CSV抽出'!$C$5),OR('CSV抽出'!$C$6="すべて",'CSV抽出'!$C$6="",D1778='CSV抽出'!$C$6),OR('CSV抽出'!$C$7="",B1778&amp;""='CSV抽出'!$C$7&amp;"")),1,0))</f>
        <v/>
      </c>
      <c r="AI1778" s="20">
        <f>IF(AH1778=1,SUM($AH$5:AH1778),"")</f>
        <v/>
      </c>
      <c r="AJ1778" s="20">
        <f>IF(OR(S1778="",'報告書'!$C$4=""),"",IF(S1778&amp;""='報告書'!$C$4&amp;"",COUNTIF($S$5:S1778,'報告書'!$C$4),""))</f>
        <v/>
      </c>
      <c r="AK1778" s="20" t="n"/>
      <c r="AL1778" s="47" t="n"/>
      <c r="AM1778" s="47" t="n"/>
      <c r="AN1778" s="53" t="n"/>
      <c r="AO1778" s="47" t="n"/>
      <c r="AP1778" s="47" t="n"/>
      <c r="AQ1778" s="47" t="n"/>
      <c r="AR1778" s="47" t="n"/>
      <c r="AS1778" s="47" t="n"/>
      <c r="AT1778" s="47" t="n"/>
      <c r="AU1778" s="47" t="n"/>
      <c r="AV1778" s="47" t="n"/>
      <c r="AW1778" s="52" t="n"/>
    </row>
    <row r="1779">
      <c r="A1779" s="48" t="n"/>
      <c r="B1779" s="52" t="n"/>
      <c r="C1779" s="47">
        <f>IF(B1779="","",IFERROR(INDEX('隊員マスタ'!$B$5:$B$204,MATCH(B1779&amp;"",'隊員マスタ'!$F$5:$F$204,0)),IF(AK1779="","番号なし",AK1779)))</f>
        <v/>
      </c>
      <c r="D1779" s="47" t="n"/>
      <c r="E1779" s="47" t="n"/>
      <c r="F1779" s="47" t="n"/>
      <c r="G1779" s="47" t="n"/>
      <c r="H1779" s="47" t="n"/>
      <c r="I1779" s="47" t="n"/>
      <c r="J1779" s="47" t="n"/>
      <c r="K1779" s="47" t="n"/>
      <c r="L1779" s="47" t="n"/>
      <c r="M1779" s="47" t="n"/>
      <c r="N1779" s="47" t="n"/>
      <c r="O1779" s="47" t="n"/>
      <c r="P1779" s="47" t="n"/>
      <c r="Q1779" s="47" t="n"/>
      <c r="R1779" s="47" t="n"/>
      <c r="S1779" s="47" t="n"/>
      <c r="T1779" s="47" t="n"/>
      <c r="U1779" s="53" t="n"/>
      <c r="V1779" s="53" t="n"/>
      <c r="W1779" s="47" t="n"/>
      <c r="X1779" s="47" t="n"/>
      <c r="Y1779" s="47" t="n"/>
      <c r="Z1779" s="47" t="n"/>
      <c r="AA1779" s="47" t="n"/>
      <c r="AB1779" s="47" t="n"/>
      <c r="AC1779" s="47" t="n"/>
      <c r="AD1779" s="47" t="n"/>
      <c r="AE1779" s="47" t="n"/>
      <c r="AF1779" s="20">
        <f>IF(A1779="","",YEAR(EDATE(A1779,-3)))</f>
        <v/>
      </c>
      <c r="AG1779" s="20">
        <f>IF(OR(B1779="",'経歴簿'!$C$4=""),"",IF(B1779&amp;""='経歴簿'!$C$4&amp;"",MAX($AG$4:AG1778)+1,""))</f>
        <v/>
      </c>
      <c r="AH1779" s="20">
        <f>IF(A1779="",0,IF(AND(OR('CSV抽出'!$C$4="",A1779&gt;='CSV抽出'!$C$4),OR('CSV抽出'!$C$5="",A1779&lt;='CSV抽出'!$C$5),OR('CSV抽出'!$C$6="すべて",'CSV抽出'!$C$6="",D1779='CSV抽出'!$C$6),OR('CSV抽出'!$C$7="",B1779&amp;""='CSV抽出'!$C$7&amp;"")),1,0))</f>
        <v/>
      </c>
      <c r="AI1779" s="20">
        <f>IF(AH1779=1,SUM($AH$5:AH1779),"")</f>
        <v/>
      </c>
      <c r="AJ1779" s="20">
        <f>IF(OR(S1779="",'報告書'!$C$4=""),"",IF(S1779&amp;""='報告書'!$C$4&amp;"",COUNTIF($S$5:S1779,'報告書'!$C$4),""))</f>
        <v/>
      </c>
      <c r="AK1779" s="20" t="n"/>
      <c r="AL1779" s="47" t="n"/>
      <c r="AM1779" s="47" t="n"/>
      <c r="AN1779" s="53" t="n"/>
      <c r="AO1779" s="47" t="n"/>
      <c r="AP1779" s="47" t="n"/>
      <c r="AQ1779" s="47" t="n"/>
      <c r="AR1779" s="47" t="n"/>
      <c r="AS1779" s="47" t="n"/>
      <c r="AT1779" s="47" t="n"/>
      <c r="AU1779" s="47" t="n"/>
      <c r="AV1779" s="47" t="n"/>
      <c r="AW1779" s="52" t="n"/>
    </row>
    <row r="1780">
      <c r="A1780" s="48" t="n"/>
      <c r="B1780" s="52" t="n"/>
      <c r="C1780" s="47">
        <f>IF(B1780="","",IFERROR(INDEX('隊員マスタ'!$B$5:$B$204,MATCH(B1780&amp;"",'隊員マスタ'!$F$5:$F$204,0)),IF(AK1780="","番号なし",AK1780)))</f>
        <v/>
      </c>
      <c r="D1780" s="47" t="n"/>
      <c r="E1780" s="47" t="n"/>
      <c r="F1780" s="47" t="n"/>
      <c r="G1780" s="47" t="n"/>
      <c r="H1780" s="47" t="n"/>
      <c r="I1780" s="47" t="n"/>
      <c r="J1780" s="47" t="n"/>
      <c r="K1780" s="47" t="n"/>
      <c r="L1780" s="47" t="n"/>
      <c r="M1780" s="47" t="n"/>
      <c r="N1780" s="47" t="n"/>
      <c r="O1780" s="47" t="n"/>
      <c r="P1780" s="47" t="n"/>
      <c r="Q1780" s="47" t="n"/>
      <c r="R1780" s="47" t="n"/>
      <c r="S1780" s="47" t="n"/>
      <c r="T1780" s="47" t="n"/>
      <c r="U1780" s="53" t="n"/>
      <c r="V1780" s="53" t="n"/>
      <c r="W1780" s="47" t="n"/>
      <c r="X1780" s="47" t="n"/>
      <c r="Y1780" s="47" t="n"/>
      <c r="Z1780" s="47" t="n"/>
      <c r="AA1780" s="47" t="n"/>
      <c r="AB1780" s="47" t="n"/>
      <c r="AC1780" s="47" t="n"/>
      <c r="AD1780" s="47" t="n"/>
      <c r="AE1780" s="47" t="n"/>
      <c r="AF1780" s="20">
        <f>IF(A1780="","",YEAR(EDATE(A1780,-3)))</f>
        <v/>
      </c>
      <c r="AG1780" s="20">
        <f>IF(OR(B1780="",'経歴簿'!$C$4=""),"",IF(B1780&amp;""='経歴簿'!$C$4&amp;"",MAX($AG$4:AG1779)+1,""))</f>
        <v/>
      </c>
      <c r="AH1780" s="20">
        <f>IF(A1780="",0,IF(AND(OR('CSV抽出'!$C$4="",A1780&gt;='CSV抽出'!$C$4),OR('CSV抽出'!$C$5="",A1780&lt;='CSV抽出'!$C$5),OR('CSV抽出'!$C$6="すべて",'CSV抽出'!$C$6="",D1780='CSV抽出'!$C$6),OR('CSV抽出'!$C$7="",B1780&amp;""='CSV抽出'!$C$7&amp;"")),1,0))</f>
        <v/>
      </c>
      <c r="AI1780" s="20">
        <f>IF(AH1780=1,SUM($AH$5:AH1780),"")</f>
        <v/>
      </c>
      <c r="AJ1780" s="20">
        <f>IF(OR(S1780="",'報告書'!$C$4=""),"",IF(S1780&amp;""='報告書'!$C$4&amp;"",COUNTIF($S$5:S1780,'報告書'!$C$4),""))</f>
        <v/>
      </c>
      <c r="AK1780" s="20" t="n"/>
      <c r="AL1780" s="47" t="n"/>
      <c r="AM1780" s="47" t="n"/>
      <c r="AN1780" s="53" t="n"/>
      <c r="AO1780" s="47" t="n"/>
      <c r="AP1780" s="47" t="n"/>
      <c r="AQ1780" s="47" t="n"/>
      <c r="AR1780" s="47" t="n"/>
      <c r="AS1780" s="47" t="n"/>
      <c r="AT1780" s="47" t="n"/>
      <c r="AU1780" s="47" t="n"/>
      <c r="AV1780" s="47" t="n"/>
      <c r="AW1780" s="52" t="n"/>
    </row>
    <row r="1781">
      <c r="A1781" s="48" t="n"/>
      <c r="B1781" s="52" t="n"/>
      <c r="C1781" s="47">
        <f>IF(B1781="","",IFERROR(INDEX('隊員マスタ'!$B$5:$B$204,MATCH(B1781&amp;"",'隊員マスタ'!$F$5:$F$204,0)),IF(AK1781="","番号なし",AK1781)))</f>
        <v/>
      </c>
      <c r="D1781" s="47" t="n"/>
      <c r="E1781" s="47" t="n"/>
      <c r="F1781" s="47" t="n"/>
      <c r="G1781" s="47" t="n"/>
      <c r="H1781" s="47" t="n"/>
      <c r="I1781" s="47" t="n"/>
      <c r="J1781" s="47" t="n"/>
      <c r="K1781" s="47" t="n"/>
      <c r="L1781" s="47" t="n"/>
      <c r="M1781" s="47" t="n"/>
      <c r="N1781" s="47" t="n"/>
      <c r="O1781" s="47" t="n"/>
      <c r="P1781" s="47" t="n"/>
      <c r="Q1781" s="47" t="n"/>
      <c r="R1781" s="47" t="n"/>
      <c r="S1781" s="47" t="n"/>
      <c r="T1781" s="47" t="n"/>
      <c r="U1781" s="53" t="n"/>
      <c r="V1781" s="53" t="n"/>
      <c r="W1781" s="47" t="n"/>
      <c r="X1781" s="47" t="n"/>
      <c r="Y1781" s="47" t="n"/>
      <c r="Z1781" s="47" t="n"/>
      <c r="AA1781" s="47" t="n"/>
      <c r="AB1781" s="47" t="n"/>
      <c r="AC1781" s="47" t="n"/>
      <c r="AD1781" s="47" t="n"/>
      <c r="AE1781" s="47" t="n"/>
      <c r="AF1781" s="20">
        <f>IF(A1781="","",YEAR(EDATE(A1781,-3)))</f>
        <v/>
      </c>
      <c r="AG1781" s="20">
        <f>IF(OR(B1781="",'経歴簿'!$C$4=""),"",IF(B1781&amp;""='経歴簿'!$C$4&amp;"",MAX($AG$4:AG1780)+1,""))</f>
        <v/>
      </c>
      <c r="AH1781" s="20">
        <f>IF(A1781="",0,IF(AND(OR('CSV抽出'!$C$4="",A1781&gt;='CSV抽出'!$C$4),OR('CSV抽出'!$C$5="",A1781&lt;='CSV抽出'!$C$5),OR('CSV抽出'!$C$6="すべて",'CSV抽出'!$C$6="",D1781='CSV抽出'!$C$6),OR('CSV抽出'!$C$7="",B1781&amp;""='CSV抽出'!$C$7&amp;"")),1,0))</f>
        <v/>
      </c>
      <c r="AI1781" s="20">
        <f>IF(AH1781=1,SUM($AH$5:AH1781),"")</f>
        <v/>
      </c>
      <c r="AJ1781" s="20">
        <f>IF(OR(S1781="",'報告書'!$C$4=""),"",IF(S1781&amp;""='報告書'!$C$4&amp;"",COUNTIF($S$5:S1781,'報告書'!$C$4),""))</f>
        <v/>
      </c>
      <c r="AK1781" s="20" t="n"/>
      <c r="AL1781" s="47" t="n"/>
      <c r="AM1781" s="47" t="n"/>
      <c r="AN1781" s="53" t="n"/>
      <c r="AO1781" s="47" t="n"/>
      <c r="AP1781" s="47" t="n"/>
      <c r="AQ1781" s="47" t="n"/>
      <c r="AR1781" s="47" t="n"/>
      <c r="AS1781" s="47" t="n"/>
      <c r="AT1781" s="47" t="n"/>
      <c r="AU1781" s="47" t="n"/>
      <c r="AV1781" s="47" t="n"/>
      <c r="AW1781" s="52" t="n"/>
    </row>
    <row r="1782">
      <c r="A1782" s="48" t="n"/>
      <c r="B1782" s="52" t="n"/>
      <c r="C1782" s="47">
        <f>IF(B1782="","",IFERROR(INDEX('隊員マスタ'!$B$5:$B$204,MATCH(B1782&amp;"",'隊員マスタ'!$F$5:$F$204,0)),IF(AK1782="","番号なし",AK1782)))</f>
        <v/>
      </c>
      <c r="D1782" s="47" t="n"/>
      <c r="E1782" s="47" t="n"/>
      <c r="F1782" s="47" t="n"/>
      <c r="G1782" s="47" t="n"/>
      <c r="H1782" s="47" t="n"/>
      <c r="I1782" s="47" t="n"/>
      <c r="J1782" s="47" t="n"/>
      <c r="K1782" s="47" t="n"/>
      <c r="L1782" s="47" t="n"/>
      <c r="M1782" s="47" t="n"/>
      <c r="N1782" s="47" t="n"/>
      <c r="O1782" s="47" t="n"/>
      <c r="P1782" s="47" t="n"/>
      <c r="Q1782" s="47" t="n"/>
      <c r="R1782" s="47" t="n"/>
      <c r="S1782" s="47" t="n"/>
      <c r="T1782" s="47" t="n"/>
      <c r="U1782" s="53" t="n"/>
      <c r="V1782" s="53" t="n"/>
      <c r="W1782" s="47" t="n"/>
      <c r="X1782" s="47" t="n"/>
      <c r="Y1782" s="47" t="n"/>
      <c r="Z1782" s="47" t="n"/>
      <c r="AA1782" s="47" t="n"/>
      <c r="AB1782" s="47" t="n"/>
      <c r="AC1782" s="47" t="n"/>
      <c r="AD1782" s="47" t="n"/>
      <c r="AE1782" s="47" t="n"/>
      <c r="AF1782" s="20">
        <f>IF(A1782="","",YEAR(EDATE(A1782,-3)))</f>
        <v/>
      </c>
      <c r="AG1782" s="20">
        <f>IF(OR(B1782="",'経歴簿'!$C$4=""),"",IF(B1782&amp;""='経歴簿'!$C$4&amp;"",MAX($AG$4:AG1781)+1,""))</f>
        <v/>
      </c>
      <c r="AH1782" s="20">
        <f>IF(A1782="",0,IF(AND(OR('CSV抽出'!$C$4="",A1782&gt;='CSV抽出'!$C$4),OR('CSV抽出'!$C$5="",A1782&lt;='CSV抽出'!$C$5),OR('CSV抽出'!$C$6="すべて",'CSV抽出'!$C$6="",D1782='CSV抽出'!$C$6),OR('CSV抽出'!$C$7="",B1782&amp;""='CSV抽出'!$C$7&amp;"")),1,0))</f>
        <v/>
      </c>
      <c r="AI1782" s="20">
        <f>IF(AH1782=1,SUM($AH$5:AH1782),"")</f>
        <v/>
      </c>
      <c r="AJ1782" s="20">
        <f>IF(OR(S1782="",'報告書'!$C$4=""),"",IF(S1782&amp;""='報告書'!$C$4&amp;"",COUNTIF($S$5:S1782,'報告書'!$C$4),""))</f>
        <v/>
      </c>
      <c r="AK1782" s="20" t="n"/>
      <c r="AL1782" s="47" t="n"/>
      <c r="AM1782" s="47" t="n"/>
      <c r="AN1782" s="53" t="n"/>
      <c r="AO1782" s="47" t="n"/>
      <c r="AP1782" s="47" t="n"/>
      <c r="AQ1782" s="47" t="n"/>
      <c r="AR1782" s="47" t="n"/>
      <c r="AS1782" s="47" t="n"/>
      <c r="AT1782" s="47" t="n"/>
      <c r="AU1782" s="47" t="n"/>
      <c r="AV1782" s="47" t="n"/>
      <c r="AW1782" s="52" t="n"/>
    </row>
    <row r="1783">
      <c r="A1783" s="48" t="n"/>
      <c r="B1783" s="52" t="n"/>
      <c r="C1783" s="47">
        <f>IF(B1783="","",IFERROR(INDEX('隊員マスタ'!$B$5:$B$204,MATCH(B1783&amp;"",'隊員マスタ'!$F$5:$F$204,0)),IF(AK1783="","番号なし",AK1783)))</f>
        <v/>
      </c>
      <c r="D1783" s="47" t="n"/>
      <c r="E1783" s="47" t="n"/>
      <c r="F1783" s="47" t="n"/>
      <c r="G1783" s="47" t="n"/>
      <c r="H1783" s="47" t="n"/>
      <c r="I1783" s="47" t="n"/>
      <c r="J1783" s="47" t="n"/>
      <c r="K1783" s="47" t="n"/>
      <c r="L1783" s="47" t="n"/>
      <c r="M1783" s="47" t="n"/>
      <c r="N1783" s="47" t="n"/>
      <c r="O1783" s="47" t="n"/>
      <c r="P1783" s="47" t="n"/>
      <c r="Q1783" s="47" t="n"/>
      <c r="R1783" s="47" t="n"/>
      <c r="S1783" s="47" t="n"/>
      <c r="T1783" s="47" t="n"/>
      <c r="U1783" s="53" t="n"/>
      <c r="V1783" s="53" t="n"/>
      <c r="W1783" s="47" t="n"/>
      <c r="X1783" s="47" t="n"/>
      <c r="Y1783" s="47" t="n"/>
      <c r="Z1783" s="47" t="n"/>
      <c r="AA1783" s="47" t="n"/>
      <c r="AB1783" s="47" t="n"/>
      <c r="AC1783" s="47" t="n"/>
      <c r="AD1783" s="47" t="n"/>
      <c r="AE1783" s="47" t="n"/>
      <c r="AF1783" s="20">
        <f>IF(A1783="","",YEAR(EDATE(A1783,-3)))</f>
        <v/>
      </c>
      <c r="AG1783" s="20">
        <f>IF(OR(B1783="",'経歴簿'!$C$4=""),"",IF(B1783&amp;""='経歴簿'!$C$4&amp;"",MAX($AG$4:AG1782)+1,""))</f>
        <v/>
      </c>
      <c r="AH1783" s="20">
        <f>IF(A1783="",0,IF(AND(OR('CSV抽出'!$C$4="",A1783&gt;='CSV抽出'!$C$4),OR('CSV抽出'!$C$5="",A1783&lt;='CSV抽出'!$C$5),OR('CSV抽出'!$C$6="すべて",'CSV抽出'!$C$6="",D1783='CSV抽出'!$C$6),OR('CSV抽出'!$C$7="",B1783&amp;""='CSV抽出'!$C$7&amp;"")),1,0))</f>
        <v/>
      </c>
      <c r="AI1783" s="20">
        <f>IF(AH1783=1,SUM($AH$5:AH1783),"")</f>
        <v/>
      </c>
      <c r="AJ1783" s="20">
        <f>IF(OR(S1783="",'報告書'!$C$4=""),"",IF(S1783&amp;""='報告書'!$C$4&amp;"",COUNTIF($S$5:S1783,'報告書'!$C$4),""))</f>
        <v/>
      </c>
      <c r="AK1783" s="20" t="n"/>
      <c r="AL1783" s="47" t="n"/>
      <c r="AM1783" s="47" t="n"/>
      <c r="AN1783" s="53" t="n"/>
      <c r="AO1783" s="47" t="n"/>
      <c r="AP1783" s="47" t="n"/>
      <c r="AQ1783" s="47" t="n"/>
      <c r="AR1783" s="47" t="n"/>
      <c r="AS1783" s="47" t="n"/>
      <c r="AT1783" s="47" t="n"/>
      <c r="AU1783" s="47" t="n"/>
      <c r="AV1783" s="47" t="n"/>
      <c r="AW1783" s="52" t="n"/>
    </row>
    <row r="1784">
      <c r="A1784" s="48" t="n"/>
      <c r="B1784" s="52" t="n"/>
      <c r="C1784" s="47">
        <f>IF(B1784="","",IFERROR(INDEX('隊員マスタ'!$B$5:$B$204,MATCH(B1784&amp;"",'隊員マスタ'!$F$5:$F$204,0)),IF(AK1784="","番号なし",AK1784)))</f>
        <v/>
      </c>
      <c r="D1784" s="47" t="n"/>
      <c r="E1784" s="47" t="n"/>
      <c r="F1784" s="47" t="n"/>
      <c r="G1784" s="47" t="n"/>
      <c r="H1784" s="47" t="n"/>
      <c r="I1784" s="47" t="n"/>
      <c r="J1784" s="47" t="n"/>
      <c r="K1784" s="47" t="n"/>
      <c r="L1784" s="47" t="n"/>
      <c r="M1784" s="47" t="n"/>
      <c r="N1784" s="47" t="n"/>
      <c r="O1784" s="47" t="n"/>
      <c r="P1784" s="47" t="n"/>
      <c r="Q1784" s="47" t="n"/>
      <c r="R1784" s="47" t="n"/>
      <c r="S1784" s="47" t="n"/>
      <c r="T1784" s="47" t="n"/>
      <c r="U1784" s="53" t="n"/>
      <c r="V1784" s="53" t="n"/>
      <c r="W1784" s="47" t="n"/>
      <c r="X1784" s="47" t="n"/>
      <c r="Y1784" s="47" t="n"/>
      <c r="Z1784" s="47" t="n"/>
      <c r="AA1784" s="47" t="n"/>
      <c r="AB1784" s="47" t="n"/>
      <c r="AC1784" s="47" t="n"/>
      <c r="AD1784" s="47" t="n"/>
      <c r="AE1784" s="47" t="n"/>
      <c r="AF1784" s="20">
        <f>IF(A1784="","",YEAR(EDATE(A1784,-3)))</f>
        <v/>
      </c>
      <c r="AG1784" s="20">
        <f>IF(OR(B1784="",'経歴簿'!$C$4=""),"",IF(B1784&amp;""='経歴簿'!$C$4&amp;"",MAX($AG$4:AG1783)+1,""))</f>
        <v/>
      </c>
      <c r="AH1784" s="20">
        <f>IF(A1784="",0,IF(AND(OR('CSV抽出'!$C$4="",A1784&gt;='CSV抽出'!$C$4),OR('CSV抽出'!$C$5="",A1784&lt;='CSV抽出'!$C$5),OR('CSV抽出'!$C$6="すべて",'CSV抽出'!$C$6="",D1784='CSV抽出'!$C$6),OR('CSV抽出'!$C$7="",B1784&amp;""='CSV抽出'!$C$7&amp;"")),1,0))</f>
        <v/>
      </c>
      <c r="AI1784" s="20">
        <f>IF(AH1784=1,SUM($AH$5:AH1784),"")</f>
        <v/>
      </c>
      <c r="AJ1784" s="20">
        <f>IF(OR(S1784="",'報告書'!$C$4=""),"",IF(S1784&amp;""='報告書'!$C$4&amp;"",COUNTIF($S$5:S1784,'報告書'!$C$4),""))</f>
        <v/>
      </c>
      <c r="AK1784" s="20" t="n"/>
      <c r="AL1784" s="47" t="n"/>
      <c r="AM1784" s="47" t="n"/>
      <c r="AN1784" s="53" t="n"/>
      <c r="AO1784" s="47" t="n"/>
      <c r="AP1784" s="47" t="n"/>
      <c r="AQ1784" s="47" t="n"/>
      <c r="AR1784" s="47" t="n"/>
      <c r="AS1784" s="47" t="n"/>
      <c r="AT1784" s="47" t="n"/>
      <c r="AU1784" s="47" t="n"/>
      <c r="AV1784" s="47" t="n"/>
      <c r="AW1784" s="52" t="n"/>
    </row>
    <row r="1785">
      <c r="A1785" s="48" t="n"/>
      <c r="B1785" s="52" t="n"/>
      <c r="C1785" s="47">
        <f>IF(B1785="","",IFERROR(INDEX('隊員マスタ'!$B$5:$B$204,MATCH(B1785&amp;"",'隊員マスタ'!$F$5:$F$204,0)),IF(AK1785="","番号なし",AK1785)))</f>
        <v/>
      </c>
      <c r="D1785" s="47" t="n"/>
      <c r="E1785" s="47" t="n"/>
      <c r="F1785" s="47" t="n"/>
      <c r="G1785" s="47" t="n"/>
      <c r="H1785" s="47" t="n"/>
      <c r="I1785" s="47" t="n"/>
      <c r="J1785" s="47" t="n"/>
      <c r="K1785" s="47" t="n"/>
      <c r="L1785" s="47" t="n"/>
      <c r="M1785" s="47" t="n"/>
      <c r="N1785" s="47" t="n"/>
      <c r="O1785" s="47" t="n"/>
      <c r="P1785" s="47" t="n"/>
      <c r="Q1785" s="47" t="n"/>
      <c r="R1785" s="47" t="n"/>
      <c r="S1785" s="47" t="n"/>
      <c r="T1785" s="47" t="n"/>
      <c r="U1785" s="53" t="n"/>
      <c r="V1785" s="53" t="n"/>
      <c r="W1785" s="47" t="n"/>
      <c r="X1785" s="47" t="n"/>
      <c r="Y1785" s="47" t="n"/>
      <c r="Z1785" s="47" t="n"/>
      <c r="AA1785" s="47" t="n"/>
      <c r="AB1785" s="47" t="n"/>
      <c r="AC1785" s="47" t="n"/>
      <c r="AD1785" s="47" t="n"/>
      <c r="AE1785" s="47" t="n"/>
      <c r="AF1785" s="20">
        <f>IF(A1785="","",YEAR(EDATE(A1785,-3)))</f>
        <v/>
      </c>
      <c r="AG1785" s="20">
        <f>IF(OR(B1785="",'経歴簿'!$C$4=""),"",IF(B1785&amp;""='経歴簿'!$C$4&amp;"",MAX($AG$4:AG1784)+1,""))</f>
        <v/>
      </c>
      <c r="AH1785" s="20">
        <f>IF(A1785="",0,IF(AND(OR('CSV抽出'!$C$4="",A1785&gt;='CSV抽出'!$C$4),OR('CSV抽出'!$C$5="",A1785&lt;='CSV抽出'!$C$5),OR('CSV抽出'!$C$6="すべて",'CSV抽出'!$C$6="",D1785='CSV抽出'!$C$6),OR('CSV抽出'!$C$7="",B1785&amp;""='CSV抽出'!$C$7&amp;"")),1,0))</f>
        <v/>
      </c>
      <c r="AI1785" s="20">
        <f>IF(AH1785=1,SUM($AH$5:AH1785),"")</f>
        <v/>
      </c>
      <c r="AJ1785" s="20">
        <f>IF(OR(S1785="",'報告書'!$C$4=""),"",IF(S1785&amp;""='報告書'!$C$4&amp;"",COUNTIF($S$5:S1785,'報告書'!$C$4),""))</f>
        <v/>
      </c>
      <c r="AK1785" s="20" t="n"/>
      <c r="AL1785" s="47" t="n"/>
      <c r="AM1785" s="47" t="n"/>
      <c r="AN1785" s="53" t="n"/>
      <c r="AO1785" s="47" t="n"/>
      <c r="AP1785" s="47" t="n"/>
      <c r="AQ1785" s="47" t="n"/>
      <c r="AR1785" s="47" t="n"/>
      <c r="AS1785" s="47" t="n"/>
      <c r="AT1785" s="47" t="n"/>
      <c r="AU1785" s="47" t="n"/>
      <c r="AV1785" s="47" t="n"/>
      <c r="AW1785" s="52" t="n"/>
    </row>
    <row r="1786">
      <c r="A1786" s="48" t="n"/>
      <c r="B1786" s="52" t="n"/>
      <c r="C1786" s="47">
        <f>IF(B1786="","",IFERROR(INDEX('隊員マスタ'!$B$5:$B$204,MATCH(B1786&amp;"",'隊員マスタ'!$F$5:$F$204,0)),IF(AK1786="","番号なし",AK1786)))</f>
        <v/>
      </c>
      <c r="D1786" s="47" t="n"/>
      <c r="E1786" s="47" t="n"/>
      <c r="F1786" s="47" t="n"/>
      <c r="G1786" s="47" t="n"/>
      <c r="H1786" s="47" t="n"/>
      <c r="I1786" s="47" t="n"/>
      <c r="J1786" s="47" t="n"/>
      <c r="K1786" s="47" t="n"/>
      <c r="L1786" s="47" t="n"/>
      <c r="M1786" s="47" t="n"/>
      <c r="N1786" s="47" t="n"/>
      <c r="O1786" s="47" t="n"/>
      <c r="P1786" s="47" t="n"/>
      <c r="Q1786" s="47" t="n"/>
      <c r="R1786" s="47" t="n"/>
      <c r="S1786" s="47" t="n"/>
      <c r="T1786" s="47" t="n"/>
      <c r="U1786" s="53" t="n"/>
      <c r="V1786" s="53" t="n"/>
      <c r="W1786" s="47" t="n"/>
      <c r="X1786" s="47" t="n"/>
      <c r="Y1786" s="47" t="n"/>
      <c r="Z1786" s="47" t="n"/>
      <c r="AA1786" s="47" t="n"/>
      <c r="AB1786" s="47" t="n"/>
      <c r="AC1786" s="47" t="n"/>
      <c r="AD1786" s="47" t="n"/>
      <c r="AE1786" s="47" t="n"/>
      <c r="AF1786" s="20">
        <f>IF(A1786="","",YEAR(EDATE(A1786,-3)))</f>
        <v/>
      </c>
      <c r="AG1786" s="20">
        <f>IF(OR(B1786="",'経歴簿'!$C$4=""),"",IF(B1786&amp;""='経歴簿'!$C$4&amp;"",MAX($AG$4:AG1785)+1,""))</f>
        <v/>
      </c>
      <c r="AH1786" s="20">
        <f>IF(A1786="",0,IF(AND(OR('CSV抽出'!$C$4="",A1786&gt;='CSV抽出'!$C$4),OR('CSV抽出'!$C$5="",A1786&lt;='CSV抽出'!$C$5),OR('CSV抽出'!$C$6="すべて",'CSV抽出'!$C$6="",D1786='CSV抽出'!$C$6),OR('CSV抽出'!$C$7="",B1786&amp;""='CSV抽出'!$C$7&amp;"")),1,0))</f>
        <v/>
      </c>
      <c r="AI1786" s="20">
        <f>IF(AH1786=1,SUM($AH$5:AH1786),"")</f>
        <v/>
      </c>
      <c r="AJ1786" s="20">
        <f>IF(OR(S1786="",'報告書'!$C$4=""),"",IF(S1786&amp;""='報告書'!$C$4&amp;"",COUNTIF($S$5:S1786,'報告書'!$C$4),""))</f>
        <v/>
      </c>
      <c r="AK1786" s="20" t="n"/>
      <c r="AL1786" s="47" t="n"/>
      <c r="AM1786" s="47" t="n"/>
      <c r="AN1786" s="53" t="n"/>
      <c r="AO1786" s="47" t="n"/>
      <c r="AP1786" s="47" t="n"/>
      <c r="AQ1786" s="47" t="n"/>
      <c r="AR1786" s="47" t="n"/>
      <c r="AS1786" s="47" t="n"/>
      <c r="AT1786" s="47" t="n"/>
      <c r="AU1786" s="47" t="n"/>
      <c r="AV1786" s="47" t="n"/>
      <c r="AW1786" s="52" t="n"/>
    </row>
    <row r="1787">
      <c r="A1787" s="48" t="n"/>
      <c r="B1787" s="52" t="n"/>
      <c r="C1787" s="47">
        <f>IF(B1787="","",IFERROR(INDEX('隊員マスタ'!$B$5:$B$204,MATCH(B1787&amp;"",'隊員マスタ'!$F$5:$F$204,0)),IF(AK1787="","番号なし",AK1787)))</f>
        <v/>
      </c>
      <c r="D1787" s="47" t="n"/>
      <c r="E1787" s="47" t="n"/>
      <c r="F1787" s="47" t="n"/>
      <c r="G1787" s="47" t="n"/>
      <c r="H1787" s="47" t="n"/>
      <c r="I1787" s="47" t="n"/>
      <c r="J1787" s="47" t="n"/>
      <c r="K1787" s="47" t="n"/>
      <c r="L1787" s="47" t="n"/>
      <c r="M1787" s="47" t="n"/>
      <c r="N1787" s="47" t="n"/>
      <c r="O1787" s="47" t="n"/>
      <c r="P1787" s="47" t="n"/>
      <c r="Q1787" s="47" t="n"/>
      <c r="R1787" s="47" t="n"/>
      <c r="S1787" s="47" t="n"/>
      <c r="T1787" s="47" t="n"/>
      <c r="U1787" s="53" t="n"/>
      <c r="V1787" s="53" t="n"/>
      <c r="W1787" s="47" t="n"/>
      <c r="X1787" s="47" t="n"/>
      <c r="Y1787" s="47" t="n"/>
      <c r="Z1787" s="47" t="n"/>
      <c r="AA1787" s="47" t="n"/>
      <c r="AB1787" s="47" t="n"/>
      <c r="AC1787" s="47" t="n"/>
      <c r="AD1787" s="47" t="n"/>
      <c r="AE1787" s="47" t="n"/>
      <c r="AF1787" s="20">
        <f>IF(A1787="","",YEAR(EDATE(A1787,-3)))</f>
        <v/>
      </c>
      <c r="AG1787" s="20">
        <f>IF(OR(B1787="",'経歴簿'!$C$4=""),"",IF(B1787&amp;""='経歴簿'!$C$4&amp;"",MAX($AG$4:AG1786)+1,""))</f>
        <v/>
      </c>
      <c r="AH1787" s="20">
        <f>IF(A1787="",0,IF(AND(OR('CSV抽出'!$C$4="",A1787&gt;='CSV抽出'!$C$4),OR('CSV抽出'!$C$5="",A1787&lt;='CSV抽出'!$C$5),OR('CSV抽出'!$C$6="すべて",'CSV抽出'!$C$6="",D1787='CSV抽出'!$C$6),OR('CSV抽出'!$C$7="",B1787&amp;""='CSV抽出'!$C$7&amp;"")),1,0))</f>
        <v/>
      </c>
      <c r="AI1787" s="20">
        <f>IF(AH1787=1,SUM($AH$5:AH1787),"")</f>
        <v/>
      </c>
      <c r="AJ1787" s="20">
        <f>IF(OR(S1787="",'報告書'!$C$4=""),"",IF(S1787&amp;""='報告書'!$C$4&amp;"",COUNTIF($S$5:S1787,'報告書'!$C$4),""))</f>
        <v/>
      </c>
      <c r="AK1787" s="20" t="n"/>
      <c r="AL1787" s="47" t="n"/>
      <c r="AM1787" s="47" t="n"/>
      <c r="AN1787" s="53" t="n"/>
      <c r="AO1787" s="47" t="n"/>
      <c r="AP1787" s="47" t="n"/>
      <c r="AQ1787" s="47" t="n"/>
      <c r="AR1787" s="47" t="n"/>
      <c r="AS1787" s="47" t="n"/>
      <c r="AT1787" s="47" t="n"/>
      <c r="AU1787" s="47" t="n"/>
      <c r="AV1787" s="47" t="n"/>
      <c r="AW1787" s="52" t="n"/>
    </row>
    <row r="1788">
      <c r="A1788" s="48" t="n"/>
      <c r="B1788" s="52" t="n"/>
      <c r="C1788" s="47">
        <f>IF(B1788="","",IFERROR(INDEX('隊員マスタ'!$B$5:$B$204,MATCH(B1788&amp;"",'隊員マスタ'!$F$5:$F$204,0)),IF(AK1788="","番号なし",AK1788)))</f>
        <v/>
      </c>
      <c r="D1788" s="47" t="n"/>
      <c r="E1788" s="47" t="n"/>
      <c r="F1788" s="47" t="n"/>
      <c r="G1788" s="47" t="n"/>
      <c r="H1788" s="47" t="n"/>
      <c r="I1788" s="47" t="n"/>
      <c r="J1788" s="47" t="n"/>
      <c r="K1788" s="47" t="n"/>
      <c r="L1788" s="47" t="n"/>
      <c r="M1788" s="47" t="n"/>
      <c r="N1788" s="47" t="n"/>
      <c r="O1788" s="47" t="n"/>
      <c r="P1788" s="47" t="n"/>
      <c r="Q1788" s="47" t="n"/>
      <c r="R1788" s="47" t="n"/>
      <c r="S1788" s="47" t="n"/>
      <c r="T1788" s="47" t="n"/>
      <c r="U1788" s="53" t="n"/>
      <c r="V1788" s="53" t="n"/>
      <c r="W1788" s="47" t="n"/>
      <c r="X1788" s="47" t="n"/>
      <c r="Y1788" s="47" t="n"/>
      <c r="Z1788" s="47" t="n"/>
      <c r="AA1788" s="47" t="n"/>
      <c r="AB1788" s="47" t="n"/>
      <c r="AC1788" s="47" t="n"/>
      <c r="AD1788" s="47" t="n"/>
      <c r="AE1788" s="47" t="n"/>
      <c r="AF1788" s="20">
        <f>IF(A1788="","",YEAR(EDATE(A1788,-3)))</f>
        <v/>
      </c>
      <c r="AG1788" s="20">
        <f>IF(OR(B1788="",'経歴簿'!$C$4=""),"",IF(B1788&amp;""='経歴簿'!$C$4&amp;"",MAX($AG$4:AG1787)+1,""))</f>
        <v/>
      </c>
      <c r="AH1788" s="20">
        <f>IF(A1788="",0,IF(AND(OR('CSV抽出'!$C$4="",A1788&gt;='CSV抽出'!$C$4),OR('CSV抽出'!$C$5="",A1788&lt;='CSV抽出'!$C$5),OR('CSV抽出'!$C$6="すべて",'CSV抽出'!$C$6="",D1788='CSV抽出'!$C$6),OR('CSV抽出'!$C$7="",B1788&amp;""='CSV抽出'!$C$7&amp;"")),1,0))</f>
        <v/>
      </c>
      <c r="AI1788" s="20">
        <f>IF(AH1788=1,SUM($AH$5:AH1788),"")</f>
        <v/>
      </c>
      <c r="AJ1788" s="20">
        <f>IF(OR(S1788="",'報告書'!$C$4=""),"",IF(S1788&amp;""='報告書'!$C$4&amp;"",COUNTIF($S$5:S1788,'報告書'!$C$4),""))</f>
        <v/>
      </c>
      <c r="AK1788" s="20" t="n"/>
      <c r="AL1788" s="47" t="n"/>
      <c r="AM1788" s="47" t="n"/>
      <c r="AN1788" s="53" t="n"/>
      <c r="AO1788" s="47" t="n"/>
      <c r="AP1788" s="47" t="n"/>
      <c r="AQ1788" s="47" t="n"/>
      <c r="AR1788" s="47" t="n"/>
      <c r="AS1788" s="47" t="n"/>
      <c r="AT1788" s="47" t="n"/>
      <c r="AU1788" s="47" t="n"/>
      <c r="AV1788" s="47" t="n"/>
      <c r="AW1788" s="52" t="n"/>
    </row>
    <row r="1789">
      <c r="A1789" s="48" t="n"/>
      <c r="B1789" s="52" t="n"/>
      <c r="C1789" s="47">
        <f>IF(B1789="","",IFERROR(INDEX('隊員マスタ'!$B$5:$B$204,MATCH(B1789&amp;"",'隊員マスタ'!$F$5:$F$204,0)),IF(AK1789="","番号なし",AK1789)))</f>
        <v/>
      </c>
      <c r="D1789" s="47" t="n"/>
      <c r="E1789" s="47" t="n"/>
      <c r="F1789" s="47" t="n"/>
      <c r="G1789" s="47" t="n"/>
      <c r="H1789" s="47" t="n"/>
      <c r="I1789" s="47" t="n"/>
      <c r="J1789" s="47" t="n"/>
      <c r="K1789" s="47" t="n"/>
      <c r="L1789" s="47" t="n"/>
      <c r="M1789" s="47" t="n"/>
      <c r="N1789" s="47" t="n"/>
      <c r="O1789" s="47" t="n"/>
      <c r="P1789" s="47" t="n"/>
      <c r="Q1789" s="47" t="n"/>
      <c r="R1789" s="47" t="n"/>
      <c r="S1789" s="47" t="n"/>
      <c r="T1789" s="47" t="n"/>
      <c r="U1789" s="53" t="n"/>
      <c r="V1789" s="53" t="n"/>
      <c r="W1789" s="47" t="n"/>
      <c r="X1789" s="47" t="n"/>
      <c r="Y1789" s="47" t="n"/>
      <c r="Z1789" s="47" t="n"/>
      <c r="AA1789" s="47" t="n"/>
      <c r="AB1789" s="47" t="n"/>
      <c r="AC1789" s="47" t="n"/>
      <c r="AD1789" s="47" t="n"/>
      <c r="AE1789" s="47" t="n"/>
      <c r="AF1789" s="20">
        <f>IF(A1789="","",YEAR(EDATE(A1789,-3)))</f>
        <v/>
      </c>
      <c r="AG1789" s="20">
        <f>IF(OR(B1789="",'経歴簿'!$C$4=""),"",IF(B1789&amp;""='経歴簿'!$C$4&amp;"",MAX($AG$4:AG1788)+1,""))</f>
        <v/>
      </c>
      <c r="AH1789" s="20">
        <f>IF(A1789="",0,IF(AND(OR('CSV抽出'!$C$4="",A1789&gt;='CSV抽出'!$C$4),OR('CSV抽出'!$C$5="",A1789&lt;='CSV抽出'!$C$5),OR('CSV抽出'!$C$6="すべて",'CSV抽出'!$C$6="",D1789='CSV抽出'!$C$6),OR('CSV抽出'!$C$7="",B1789&amp;""='CSV抽出'!$C$7&amp;"")),1,0))</f>
        <v/>
      </c>
      <c r="AI1789" s="20">
        <f>IF(AH1789=1,SUM($AH$5:AH1789),"")</f>
        <v/>
      </c>
      <c r="AJ1789" s="20">
        <f>IF(OR(S1789="",'報告書'!$C$4=""),"",IF(S1789&amp;""='報告書'!$C$4&amp;"",COUNTIF($S$5:S1789,'報告書'!$C$4),""))</f>
        <v/>
      </c>
      <c r="AK1789" s="20" t="n"/>
      <c r="AL1789" s="47" t="n"/>
      <c r="AM1789" s="47" t="n"/>
      <c r="AN1789" s="53" t="n"/>
      <c r="AO1789" s="47" t="n"/>
      <c r="AP1789" s="47" t="n"/>
      <c r="AQ1789" s="47" t="n"/>
      <c r="AR1789" s="47" t="n"/>
      <c r="AS1789" s="47" t="n"/>
      <c r="AT1789" s="47" t="n"/>
      <c r="AU1789" s="47" t="n"/>
      <c r="AV1789" s="47" t="n"/>
      <c r="AW1789" s="52" t="n"/>
    </row>
    <row r="1790">
      <c r="A1790" s="48" t="n"/>
      <c r="B1790" s="52" t="n"/>
      <c r="C1790" s="47">
        <f>IF(B1790="","",IFERROR(INDEX('隊員マスタ'!$B$5:$B$204,MATCH(B1790&amp;"",'隊員マスタ'!$F$5:$F$204,0)),IF(AK1790="","番号なし",AK1790)))</f>
        <v/>
      </c>
      <c r="D1790" s="47" t="n"/>
      <c r="E1790" s="47" t="n"/>
      <c r="F1790" s="47" t="n"/>
      <c r="G1790" s="47" t="n"/>
      <c r="H1790" s="47" t="n"/>
      <c r="I1790" s="47" t="n"/>
      <c r="J1790" s="47" t="n"/>
      <c r="K1790" s="47" t="n"/>
      <c r="L1790" s="47" t="n"/>
      <c r="M1790" s="47" t="n"/>
      <c r="N1790" s="47" t="n"/>
      <c r="O1790" s="47" t="n"/>
      <c r="P1790" s="47" t="n"/>
      <c r="Q1790" s="47" t="n"/>
      <c r="R1790" s="47" t="n"/>
      <c r="S1790" s="47" t="n"/>
      <c r="T1790" s="47" t="n"/>
      <c r="U1790" s="53" t="n"/>
      <c r="V1790" s="53" t="n"/>
      <c r="W1790" s="47" t="n"/>
      <c r="X1790" s="47" t="n"/>
      <c r="Y1790" s="47" t="n"/>
      <c r="Z1790" s="47" t="n"/>
      <c r="AA1790" s="47" t="n"/>
      <c r="AB1790" s="47" t="n"/>
      <c r="AC1790" s="47" t="n"/>
      <c r="AD1790" s="47" t="n"/>
      <c r="AE1790" s="47" t="n"/>
      <c r="AF1790" s="20">
        <f>IF(A1790="","",YEAR(EDATE(A1790,-3)))</f>
        <v/>
      </c>
      <c r="AG1790" s="20">
        <f>IF(OR(B1790="",'経歴簿'!$C$4=""),"",IF(B1790&amp;""='経歴簿'!$C$4&amp;"",MAX($AG$4:AG1789)+1,""))</f>
        <v/>
      </c>
      <c r="AH1790" s="20">
        <f>IF(A1790="",0,IF(AND(OR('CSV抽出'!$C$4="",A1790&gt;='CSV抽出'!$C$4),OR('CSV抽出'!$C$5="",A1790&lt;='CSV抽出'!$C$5),OR('CSV抽出'!$C$6="すべて",'CSV抽出'!$C$6="",D1790='CSV抽出'!$C$6),OR('CSV抽出'!$C$7="",B1790&amp;""='CSV抽出'!$C$7&amp;"")),1,0))</f>
        <v/>
      </c>
      <c r="AI1790" s="20">
        <f>IF(AH1790=1,SUM($AH$5:AH1790),"")</f>
        <v/>
      </c>
      <c r="AJ1790" s="20">
        <f>IF(OR(S1790="",'報告書'!$C$4=""),"",IF(S1790&amp;""='報告書'!$C$4&amp;"",COUNTIF($S$5:S1790,'報告書'!$C$4),""))</f>
        <v/>
      </c>
      <c r="AK1790" s="20" t="n"/>
      <c r="AL1790" s="47" t="n"/>
      <c r="AM1790" s="47" t="n"/>
      <c r="AN1790" s="53" t="n"/>
      <c r="AO1790" s="47" t="n"/>
      <c r="AP1790" s="47" t="n"/>
      <c r="AQ1790" s="47" t="n"/>
      <c r="AR1790" s="47" t="n"/>
      <c r="AS1790" s="47" t="n"/>
      <c r="AT1790" s="47" t="n"/>
      <c r="AU1790" s="47" t="n"/>
      <c r="AV1790" s="47" t="n"/>
      <c r="AW1790" s="52" t="n"/>
    </row>
    <row r="1791">
      <c r="A1791" s="48" t="n"/>
      <c r="B1791" s="52" t="n"/>
      <c r="C1791" s="47">
        <f>IF(B1791="","",IFERROR(INDEX('隊員マスタ'!$B$5:$B$204,MATCH(B1791&amp;"",'隊員マスタ'!$F$5:$F$204,0)),IF(AK1791="","番号なし",AK1791)))</f>
        <v/>
      </c>
      <c r="D1791" s="47" t="n"/>
      <c r="E1791" s="47" t="n"/>
      <c r="F1791" s="47" t="n"/>
      <c r="G1791" s="47" t="n"/>
      <c r="H1791" s="47" t="n"/>
      <c r="I1791" s="47" t="n"/>
      <c r="J1791" s="47" t="n"/>
      <c r="K1791" s="47" t="n"/>
      <c r="L1791" s="47" t="n"/>
      <c r="M1791" s="47" t="n"/>
      <c r="N1791" s="47" t="n"/>
      <c r="O1791" s="47" t="n"/>
      <c r="P1791" s="47" t="n"/>
      <c r="Q1791" s="47" t="n"/>
      <c r="R1791" s="47" t="n"/>
      <c r="S1791" s="47" t="n"/>
      <c r="T1791" s="47" t="n"/>
      <c r="U1791" s="53" t="n"/>
      <c r="V1791" s="53" t="n"/>
      <c r="W1791" s="47" t="n"/>
      <c r="X1791" s="47" t="n"/>
      <c r="Y1791" s="47" t="n"/>
      <c r="Z1791" s="47" t="n"/>
      <c r="AA1791" s="47" t="n"/>
      <c r="AB1791" s="47" t="n"/>
      <c r="AC1791" s="47" t="n"/>
      <c r="AD1791" s="47" t="n"/>
      <c r="AE1791" s="47" t="n"/>
      <c r="AF1791" s="20">
        <f>IF(A1791="","",YEAR(EDATE(A1791,-3)))</f>
        <v/>
      </c>
      <c r="AG1791" s="20">
        <f>IF(OR(B1791="",'経歴簿'!$C$4=""),"",IF(B1791&amp;""='経歴簿'!$C$4&amp;"",MAX($AG$4:AG1790)+1,""))</f>
        <v/>
      </c>
      <c r="AH1791" s="20">
        <f>IF(A1791="",0,IF(AND(OR('CSV抽出'!$C$4="",A1791&gt;='CSV抽出'!$C$4),OR('CSV抽出'!$C$5="",A1791&lt;='CSV抽出'!$C$5),OR('CSV抽出'!$C$6="すべて",'CSV抽出'!$C$6="",D1791='CSV抽出'!$C$6),OR('CSV抽出'!$C$7="",B1791&amp;""='CSV抽出'!$C$7&amp;"")),1,0))</f>
        <v/>
      </c>
      <c r="AI1791" s="20">
        <f>IF(AH1791=1,SUM($AH$5:AH1791),"")</f>
        <v/>
      </c>
      <c r="AJ1791" s="20">
        <f>IF(OR(S1791="",'報告書'!$C$4=""),"",IF(S1791&amp;""='報告書'!$C$4&amp;"",COUNTIF($S$5:S1791,'報告書'!$C$4),""))</f>
        <v/>
      </c>
      <c r="AK1791" s="20" t="n"/>
      <c r="AL1791" s="47" t="n"/>
      <c r="AM1791" s="47" t="n"/>
      <c r="AN1791" s="53" t="n"/>
      <c r="AO1791" s="47" t="n"/>
      <c r="AP1791" s="47" t="n"/>
      <c r="AQ1791" s="47" t="n"/>
      <c r="AR1791" s="47" t="n"/>
      <c r="AS1791" s="47" t="n"/>
      <c r="AT1791" s="47" t="n"/>
      <c r="AU1791" s="47" t="n"/>
      <c r="AV1791" s="47" t="n"/>
      <c r="AW1791" s="52" t="n"/>
    </row>
    <row r="1792">
      <c r="A1792" s="48" t="n"/>
      <c r="B1792" s="52" t="n"/>
      <c r="C1792" s="47">
        <f>IF(B1792="","",IFERROR(INDEX('隊員マスタ'!$B$5:$B$204,MATCH(B1792&amp;"",'隊員マスタ'!$F$5:$F$204,0)),IF(AK1792="","番号なし",AK1792)))</f>
        <v/>
      </c>
      <c r="D1792" s="47" t="n"/>
      <c r="E1792" s="47" t="n"/>
      <c r="F1792" s="47" t="n"/>
      <c r="G1792" s="47" t="n"/>
      <c r="H1792" s="47" t="n"/>
      <c r="I1792" s="47" t="n"/>
      <c r="J1792" s="47" t="n"/>
      <c r="K1792" s="47" t="n"/>
      <c r="L1792" s="47" t="n"/>
      <c r="M1792" s="47" t="n"/>
      <c r="N1792" s="47" t="n"/>
      <c r="O1792" s="47" t="n"/>
      <c r="P1792" s="47" t="n"/>
      <c r="Q1792" s="47" t="n"/>
      <c r="R1792" s="47" t="n"/>
      <c r="S1792" s="47" t="n"/>
      <c r="T1792" s="47" t="n"/>
      <c r="U1792" s="53" t="n"/>
      <c r="V1792" s="53" t="n"/>
      <c r="W1792" s="47" t="n"/>
      <c r="X1792" s="47" t="n"/>
      <c r="Y1792" s="47" t="n"/>
      <c r="Z1792" s="47" t="n"/>
      <c r="AA1792" s="47" t="n"/>
      <c r="AB1792" s="47" t="n"/>
      <c r="AC1792" s="47" t="n"/>
      <c r="AD1792" s="47" t="n"/>
      <c r="AE1792" s="47" t="n"/>
      <c r="AF1792" s="20">
        <f>IF(A1792="","",YEAR(EDATE(A1792,-3)))</f>
        <v/>
      </c>
      <c r="AG1792" s="20">
        <f>IF(OR(B1792="",'経歴簿'!$C$4=""),"",IF(B1792&amp;""='経歴簿'!$C$4&amp;"",MAX($AG$4:AG1791)+1,""))</f>
        <v/>
      </c>
      <c r="AH1792" s="20">
        <f>IF(A1792="",0,IF(AND(OR('CSV抽出'!$C$4="",A1792&gt;='CSV抽出'!$C$4),OR('CSV抽出'!$C$5="",A1792&lt;='CSV抽出'!$C$5),OR('CSV抽出'!$C$6="すべて",'CSV抽出'!$C$6="",D1792='CSV抽出'!$C$6),OR('CSV抽出'!$C$7="",B1792&amp;""='CSV抽出'!$C$7&amp;"")),1,0))</f>
        <v/>
      </c>
      <c r="AI1792" s="20">
        <f>IF(AH1792=1,SUM($AH$5:AH1792),"")</f>
        <v/>
      </c>
      <c r="AJ1792" s="20">
        <f>IF(OR(S1792="",'報告書'!$C$4=""),"",IF(S1792&amp;""='報告書'!$C$4&amp;"",COUNTIF($S$5:S1792,'報告書'!$C$4),""))</f>
        <v/>
      </c>
      <c r="AK1792" s="20" t="n"/>
      <c r="AL1792" s="47" t="n"/>
      <c r="AM1792" s="47" t="n"/>
      <c r="AN1792" s="53" t="n"/>
      <c r="AO1792" s="47" t="n"/>
      <c r="AP1792" s="47" t="n"/>
      <c r="AQ1792" s="47" t="n"/>
      <c r="AR1792" s="47" t="n"/>
      <c r="AS1792" s="47" t="n"/>
      <c r="AT1792" s="47" t="n"/>
      <c r="AU1792" s="47" t="n"/>
      <c r="AV1792" s="47" t="n"/>
      <c r="AW1792" s="52" t="n"/>
    </row>
    <row r="1793">
      <c r="A1793" s="48" t="n"/>
      <c r="B1793" s="52" t="n"/>
      <c r="C1793" s="47">
        <f>IF(B1793="","",IFERROR(INDEX('隊員マスタ'!$B$5:$B$204,MATCH(B1793&amp;"",'隊員マスタ'!$F$5:$F$204,0)),IF(AK1793="","番号なし",AK1793)))</f>
        <v/>
      </c>
      <c r="D1793" s="47" t="n"/>
      <c r="E1793" s="47" t="n"/>
      <c r="F1793" s="47" t="n"/>
      <c r="G1793" s="47" t="n"/>
      <c r="H1793" s="47" t="n"/>
      <c r="I1793" s="47" t="n"/>
      <c r="J1793" s="47" t="n"/>
      <c r="K1793" s="47" t="n"/>
      <c r="L1793" s="47" t="n"/>
      <c r="M1793" s="47" t="n"/>
      <c r="N1793" s="47" t="n"/>
      <c r="O1793" s="47" t="n"/>
      <c r="P1793" s="47" t="n"/>
      <c r="Q1793" s="47" t="n"/>
      <c r="R1793" s="47" t="n"/>
      <c r="S1793" s="47" t="n"/>
      <c r="T1793" s="47" t="n"/>
      <c r="U1793" s="53" t="n"/>
      <c r="V1793" s="53" t="n"/>
      <c r="W1793" s="47" t="n"/>
      <c r="X1793" s="47" t="n"/>
      <c r="Y1793" s="47" t="n"/>
      <c r="Z1793" s="47" t="n"/>
      <c r="AA1793" s="47" t="n"/>
      <c r="AB1793" s="47" t="n"/>
      <c r="AC1793" s="47" t="n"/>
      <c r="AD1793" s="47" t="n"/>
      <c r="AE1793" s="47" t="n"/>
      <c r="AF1793" s="20">
        <f>IF(A1793="","",YEAR(EDATE(A1793,-3)))</f>
        <v/>
      </c>
      <c r="AG1793" s="20">
        <f>IF(OR(B1793="",'経歴簿'!$C$4=""),"",IF(B1793&amp;""='経歴簿'!$C$4&amp;"",MAX($AG$4:AG1792)+1,""))</f>
        <v/>
      </c>
      <c r="AH1793" s="20">
        <f>IF(A1793="",0,IF(AND(OR('CSV抽出'!$C$4="",A1793&gt;='CSV抽出'!$C$4),OR('CSV抽出'!$C$5="",A1793&lt;='CSV抽出'!$C$5),OR('CSV抽出'!$C$6="すべて",'CSV抽出'!$C$6="",D1793='CSV抽出'!$C$6),OR('CSV抽出'!$C$7="",B1793&amp;""='CSV抽出'!$C$7&amp;"")),1,0))</f>
        <v/>
      </c>
      <c r="AI1793" s="20">
        <f>IF(AH1793=1,SUM($AH$5:AH1793),"")</f>
        <v/>
      </c>
      <c r="AJ1793" s="20">
        <f>IF(OR(S1793="",'報告書'!$C$4=""),"",IF(S1793&amp;""='報告書'!$C$4&amp;"",COUNTIF($S$5:S1793,'報告書'!$C$4),""))</f>
        <v/>
      </c>
      <c r="AK1793" s="20" t="n"/>
      <c r="AL1793" s="47" t="n"/>
      <c r="AM1793" s="47" t="n"/>
      <c r="AN1793" s="53" t="n"/>
      <c r="AO1793" s="47" t="n"/>
      <c r="AP1793" s="47" t="n"/>
      <c r="AQ1793" s="47" t="n"/>
      <c r="AR1793" s="47" t="n"/>
      <c r="AS1793" s="47" t="n"/>
      <c r="AT1793" s="47" t="n"/>
      <c r="AU1793" s="47" t="n"/>
      <c r="AV1793" s="47" t="n"/>
      <c r="AW1793" s="52" t="n"/>
    </row>
    <row r="1794">
      <c r="A1794" s="48" t="n"/>
      <c r="B1794" s="52" t="n"/>
      <c r="C1794" s="47">
        <f>IF(B1794="","",IFERROR(INDEX('隊員マスタ'!$B$5:$B$204,MATCH(B1794&amp;"",'隊員マスタ'!$F$5:$F$204,0)),IF(AK1794="","番号なし",AK1794)))</f>
        <v/>
      </c>
      <c r="D1794" s="47" t="n"/>
      <c r="E1794" s="47" t="n"/>
      <c r="F1794" s="47" t="n"/>
      <c r="G1794" s="47" t="n"/>
      <c r="H1794" s="47" t="n"/>
      <c r="I1794" s="47" t="n"/>
      <c r="J1794" s="47" t="n"/>
      <c r="K1794" s="47" t="n"/>
      <c r="L1794" s="47" t="n"/>
      <c r="M1794" s="47" t="n"/>
      <c r="N1794" s="47" t="n"/>
      <c r="O1794" s="47" t="n"/>
      <c r="P1794" s="47" t="n"/>
      <c r="Q1794" s="47" t="n"/>
      <c r="R1794" s="47" t="n"/>
      <c r="S1794" s="47" t="n"/>
      <c r="T1794" s="47" t="n"/>
      <c r="U1794" s="53" t="n"/>
      <c r="V1794" s="53" t="n"/>
      <c r="W1794" s="47" t="n"/>
      <c r="X1794" s="47" t="n"/>
      <c r="Y1794" s="47" t="n"/>
      <c r="Z1794" s="47" t="n"/>
      <c r="AA1794" s="47" t="n"/>
      <c r="AB1794" s="47" t="n"/>
      <c r="AC1794" s="47" t="n"/>
      <c r="AD1794" s="47" t="n"/>
      <c r="AE1794" s="47" t="n"/>
      <c r="AF1794" s="20">
        <f>IF(A1794="","",YEAR(EDATE(A1794,-3)))</f>
        <v/>
      </c>
      <c r="AG1794" s="20">
        <f>IF(OR(B1794="",'経歴簿'!$C$4=""),"",IF(B1794&amp;""='経歴簿'!$C$4&amp;"",MAX($AG$4:AG1793)+1,""))</f>
        <v/>
      </c>
      <c r="AH1794" s="20">
        <f>IF(A1794="",0,IF(AND(OR('CSV抽出'!$C$4="",A1794&gt;='CSV抽出'!$C$4),OR('CSV抽出'!$C$5="",A1794&lt;='CSV抽出'!$C$5),OR('CSV抽出'!$C$6="すべて",'CSV抽出'!$C$6="",D1794='CSV抽出'!$C$6),OR('CSV抽出'!$C$7="",B1794&amp;""='CSV抽出'!$C$7&amp;"")),1,0))</f>
        <v/>
      </c>
      <c r="AI1794" s="20">
        <f>IF(AH1794=1,SUM($AH$5:AH1794),"")</f>
        <v/>
      </c>
      <c r="AJ1794" s="20">
        <f>IF(OR(S1794="",'報告書'!$C$4=""),"",IF(S1794&amp;""='報告書'!$C$4&amp;"",COUNTIF($S$5:S1794,'報告書'!$C$4),""))</f>
        <v/>
      </c>
      <c r="AK1794" s="20" t="n"/>
      <c r="AL1794" s="47" t="n"/>
      <c r="AM1794" s="47" t="n"/>
      <c r="AN1794" s="53" t="n"/>
      <c r="AO1794" s="47" t="n"/>
      <c r="AP1794" s="47" t="n"/>
      <c r="AQ1794" s="47" t="n"/>
      <c r="AR1794" s="47" t="n"/>
      <c r="AS1794" s="47" t="n"/>
      <c r="AT1794" s="47" t="n"/>
      <c r="AU1794" s="47" t="n"/>
      <c r="AV1794" s="47" t="n"/>
      <c r="AW1794" s="52" t="n"/>
    </row>
    <row r="1795">
      <c r="A1795" s="48" t="n"/>
      <c r="B1795" s="52" t="n"/>
      <c r="C1795" s="47">
        <f>IF(B1795="","",IFERROR(INDEX('隊員マスタ'!$B$5:$B$204,MATCH(B1795&amp;"",'隊員マスタ'!$F$5:$F$204,0)),IF(AK1795="","番号なし",AK1795)))</f>
        <v/>
      </c>
      <c r="D1795" s="47" t="n"/>
      <c r="E1795" s="47" t="n"/>
      <c r="F1795" s="47" t="n"/>
      <c r="G1795" s="47" t="n"/>
      <c r="H1795" s="47" t="n"/>
      <c r="I1795" s="47" t="n"/>
      <c r="J1795" s="47" t="n"/>
      <c r="K1795" s="47" t="n"/>
      <c r="L1795" s="47" t="n"/>
      <c r="M1795" s="47" t="n"/>
      <c r="N1795" s="47" t="n"/>
      <c r="O1795" s="47" t="n"/>
      <c r="P1795" s="47" t="n"/>
      <c r="Q1795" s="47" t="n"/>
      <c r="R1795" s="47" t="n"/>
      <c r="S1795" s="47" t="n"/>
      <c r="T1795" s="47" t="n"/>
      <c r="U1795" s="53" t="n"/>
      <c r="V1795" s="53" t="n"/>
      <c r="W1795" s="47" t="n"/>
      <c r="X1795" s="47" t="n"/>
      <c r="Y1795" s="47" t="n"/>
      <c r="Z1795" s="47" t="n"/>
      <c r="AA1795" s="47" t="n"/>
      <c r="AB1795" s="47" t="n"/>
      <c r="AC1795" s="47" t="n"/>
      <c r="AD1795" s="47" t="n"/>
      <c r="AE1795" s="47" t="n"/>
      <c r="AF1795" s="20">
        <f>IF(A1795="","",YEAR(EDATE(A1795,-3)))</f>
        <v/>
      </c>
      <c r="AG1795" s="20">
        <f>IF(OR(B1795="",'経歴簿'!$C$4=""),"",IF(B1795&amp;""='経歴簿'!$C$4&amp;"",MAX($AG$4:AG1794)+1,""))</f>
        <v/>
      </c>
      <c r="AH1795" s="20">
        <f>IF(A1795="",0,IF(AND(OR('CSV抽出'!$C$4="",A1795&gt;='CSV抽出'!$C$4),OR('CSV抽出'!$C$5="",A1795&lt;='CSV抽出'!$C$5),OR('CSV抽出'!$C$6="すべて",'CSV抽出'!$C$6="",D1795='CSV抽出'!$C$6),OR('CSV抽出'!$C$7="",B1795&amp;""='CSV抽出'!$C$7&amp;"")),1,0))</f>
        <v/>
      </c>
      <c r="AI1795" s="20">
        <f>IF(AH1795=1,SUM($AH$5:AH1795),"")</f>
        <v/>
      </c>
      <c r="AJ1795" s="20">
        <f>IF(OR(S1795="",'報告書'!$C$4=""),"",IF(S1795&amp;""='報告書'!$C$4&amp;"",COUNTIF($S$5:S1795,'報告書'!$C$4),""))</f>
        <v/>
      </c>
      <c r="AK1795" s="20" t="n"/>
      <c r="AL1795" s="47" t="n"/>
      <c r="AM1795" s="47" t="n"/>
      <c r="AN1795" s="53" t="n"/>
      <c r="AO1795" s="47" t="n"/>
      <c r="AP1795" s="47" t="n"/>
      <c r="AQ1795" s="47" t="n"/>
      <c r="AR1795" s="47" t="n"/>
      <c r="AS1795" s="47" t="n"/>
      <c r="AT1795" s="47" t="n"/>
      <c r="AU1795" s="47" t="n"/>
      <c r="AV1795" s="47" t="n"/>
      <c r="AW1795" s="52" t="n"/>
    </row>
    <row r="1796">
      <c r="A1796" s="48" t="n"/>
      <c r="B1796" s="52" t="n"/>
      <c r="C1796" s="47">
        <f>IF(B1796="","",IFERROR(INDEX('隊員マスタ'!$B$5:$B$204,MATCH(B1796&amp;"",'隊員マスタ'!$F$5:$F$204,0)),IF(AK1796="","番号なし",AK1796)))</f>
        <v/>
      </c>
      <c r="D1796" s="47" t="n"/>
      <c r="E1796" s="47" t="n"/>
      <c r="F1796" s="47" t="n"/>
      <c r="G1796" s="47" t="n"/>
      <c r="H1796" s="47" t="n"/>
      <c r="I1796" s="47" t="n"/>
      <c r="J1796" s="47" t="n"/>
      <c r="K1796" s="47" t="n"/>
      <c r="L1796" s="47" t="n"/>
      <c r="M1796" s="47" t="n"/>
      <c r="N1796" s="47" t="n"/>
      <c r="O1796" s="47" t="n"/>
      <c r="P1796" s="47" t="n"/>
      <c r="Q1796" s="47" t="n"/>
      <c r="R1796" s="47" t="n"/>
      <c r="S1796" s="47" t="n"/>
      <c r="T1796" s="47" t="n"/>
      <c r="U1796" s="53" t="n"/>
      <c r="V1796" s="53" t="n"/>
      <c r="W1796" s="47" t="n"/>
      <c r="X1796" s="47" t="n"/>
      <c r="Y1796" s="47" t="n"/>
      <c r="Z1796" s="47" t="n"/>
      <c r="AA1796" s="47" t="n"/>
      <c r="AB1796" s="47" t="n"/>
      <c r="AC1796" s="47" t="n"/>
      <c r="AD1796" s="47" t="n"/>
      <c r="AE1796" s="47" t="n"/>
      <c r="AF1796" s="20">
        <f>IF(A1796="","",YEAR(EDATE(A1796,-3)))</f>
        <v/>
      </c>
      <c r="AG1796" s="20">
        <f>IF(OR(B1796="",'経歴簿'!$C$4=""),"",IF(B1796&amp;""='経歴簿'!$C$4&amp;"",MAX($AG$4:AG1795)+1,""))</f>
        <v/>
      </c>
      <c r="AH1796" s="20">
        <f>IF(A1796="",0,IF(AND(OR('CSV抽出'!$C$4="",A1796&gt;='CSV抽出'!$C$4),OR('CSV抽出'!$C$5="",A1796&lt;='CSV抽出'!$C$5),OR('CSV抽出'!$C$6="すべて",'CSV抽出'!$C$6="",D1796='CSV抽出'!$C$6),OR('CSV抽出'!$C$7="",B1796&amp;""='CSV抽出'!$C$7&amp;"")),1,0))</f>
        <v/>
      </c>
      <c r="AI1796" s="20">
        <f>IF(AH1796=1,SUM($AH$5:AH1796),"")</f>
        <v/>
      </c>
      <c r="AJ1796" s="20">
        <f>IF(OR(S1796="",'報告書'!$C$4=""),"",IF(S1796&amp;""='報告書'!$C$4&amp;"",COUNTIF($S$5:S1796,'報告書'!$C$4),""))</f>
        <v/>
      </c>
      <c r="AK1796" s="20" t="n"/>
      <c r="AL1796" s="47" t="n"/>
      <c r="AM1796" s="47" t="n"/>
      <c r="AN1796" s="53" t="n"/>
      <c r="AO1796" s="47" t="n"/>
      <c r="AP1796" s="47" t="n"/>
      <c r="AQ1796" s="47" t="n"/>
      <c r="AR1796" s="47" t="n"/>
      <c r="AS1796" s="47" t="n"/>
      <c r="AT1796" s="47" t="n"/>
      <c r="AU1796" s="47" t="n"/>
      <c r="AV1796" s="47" t="n"/>
      <c r="AW1796" s="52" t="n"/>
    </row>
    <row r="1797">
      <c r="A1797" s="48" t="n"/>
      <c r="B1797" s="52" t="n"/>
      <c r="C1797" s="47">
        <f>IF(B1797="","",IFERROR(INDEX('隊員マスタ'!$B$5:$B$204,MATCH(B1797&amp;"",'隊員マスタ'!$F$5:$F$204,0)),IF(AK1797="","番号なし",AK1797)))</f>
        <v/>
      </c>
      <c r="D1797" s="47" t="n"/>
      <c r="E1797" s="47" t="n"/>
      <c r="F1797" s="47" t="n"/>
      <c r="G1797" s="47" t="n"/>
      <c r="H1797" s="47" t="n"/>
      <c r="I1797" s="47" t="n"/>
      <c r="J1797" s="47" t="n"/>
      <c r="K1797" s="47" t="n"/>
      <c r="L1797" s="47" t="n"/>
      <c r="M1797" s="47" t="n"/>
      <c r="N1797" s="47" t="n"/>
      <c r="O1797" s="47" t="n"/>
      <c r="P1797" s="47" t="n"/>
      <c r="Q1797" s="47" t="n"/>
      <c r="R1797" s="47" t="n"/>
      <c r="S1797" s="47" t="n"/>
      <c r="T1797" s="47" t="n"/>
      <c r="U1797" s="53" t="n"/>
      <c r="V1797" s="53" t="n"/>
      <c r="W1797" s="47" t="n"/>
      <c r="X1797" s="47" t="n"/>
      <c r="Y1797" s="47" t="n"/>
      <c r="Z1797" s="47" t="n"/>
      <c r="AA1797" s="47" t="n"/>
      <c r="AB1797" s="47" t="n"/>
      <c r="AC1797" s="47" t="n"/>
      <c r="AD1797" s="47" t="n"/>
      <c r="AE1797" s="47" t="n"/>
      <c r="AF1797" s="20">
        <f>IF(A1797="","",YEAR(EDATE(A1797,-3)))</f>
        <v/>
      </c>
      <c r="AG1797" s="20">
        <f>IF(OR(B1797="",'経歴簿'!$C$4=""),"",IF(B1797&amp;""='経歴簿'!$C$4&amp;"",MAX($AG$4:AG1796)+1,""))</f>
        <v/>
      </c>
      <c r="AH1797" s="20">
        <f>IF(A1797="",0,IF(AND(OR('CSV抽出'!$C$4="",A1797&gt;='CSV抽出'!$C$4),OR('CSV抽出'!$C$5="",A1797&lt;='CSV抽出'!$C$5),OR('CSV抽出'!$C$6="すべて",'CSV抽出'!$C$6="",D1797='CSV抽出'!$C$6),OR('CSV抽出'!$C$7="",B1797&amp;""='CSV抽出'!$C$7&amp;"")),1,0))</f>
        <v/>
      </c>
      <c r="AI1797" s="20">
        <f>IF(AH1797=1,SUM($AH$5:AH1797),"")</f>
        <v/>
      </c>
      <c r="AJ1797" s="20">
        <f>IF(OR(S1797="",'報告書'!$C$4=""),"",IF(S1797&amp;""='報告書'!$C$4&amp;"",COUNTIF($S$5:S1797,'報告書'!$C$4),""))</f>
        <v/>
      </c>
      <c r="AK1797" s="20" t="n"/>
      <c r="AL1797" s="47" t="n"/>
      <c r="AM1797" s="47" t="n"/>
      <c r="AN1797" s="53" t="n"/>
      <c r="AO1797" s="47" t="n"/>
      <c r="AP1797" s="47" t="n"/>
      <c r="AQ1797" s="47" t="n"/>
      <c r="AR1797" s="47" t="n"/>
      <c r="AS1797" s="47" t="n"/>
      <c r="AT1797" s="47" t="n"/>
      <c r="AU1797" s="47" t="n"/>
      <c r="AV1797" s="47" t="n"/>
      <c r="AW1797" s="52" t="n"/>
    </row>
    <row r="1798">
      <c r="A1798" s="48" t="n"/>
      <c r="B1798" s="52" t="n"/>
      <c r="C1798" s="47">
        <f>IF(B1798="","",IFERROR(INDEX('隊員マスタ'!$B$5:$B$204,MATCH(B1798&amp;"",'隊員マスタ'!$F$5:$F$204,0)),IF(AK1798="","番号なし",AK1798)))</f>
        <v/>
      </c>
      <c r="D1798" s="47" t="n"/>
      <c r="E1798" s="47" t="n"/>
      <c r="F1798" s="47" t="n"/>
      <c r="G1798" s="47" t="n"/>
      <c r="H1798" s="47" t="n"/>
      <c r="I1798" s="47" t="n"/>
      <c r="J1798" s="47" t="n"/>
      <c r="K1798" s="47" t="n"/>
      <c r="L1798" s="47" t="n"/>
      <c r="M1798" s="47" t="n"/>
      <c r="N1798" s="47" t="n"/>
      <c r="O1798" s="47" t="n"/>
      <c r="P1798" s="47" t="n"/>
      <c r="Q1798" s="47" t="n"/>
      <c r="R1798" s="47" t="n"/>
      <c r="S1798" s="47" t="n"/>
      <c r="T1798" s="47" t="n"/>
      <c r="U1798" s="53" t="n"/>
      <c r="V1798" s="53" t="n"/>
      <c r="W1798" s="47" t="n"/>
      <c r="X1798" s="47" t="n"/>
      <c r="Y1798" s="47" t="n"/>
      <c r="Z1798" s="47" t="n"/>
      <c r="AA1798" s="47" t="n"/>
      <c r="AB1798" s="47" t="n"/>
      <c r="AC1798" s="47" t="n"/>
      <c r="AD1798" s="47" t="n"/>
      <c r="AE1798" s="47" t="n"/>
      <c r="AF1798" s="20">
        <f>IF(A1798="","",YEAR(EDATE(A1798,-3)))</f>
        <v/>
      </c>
      <c r="AG1798" s="20">
        <f>IF(OR(B1798="",'経歴簿'!$C$4=""),"",IF(B1798&amp;""='経歴簿'!$C$4&amp;"",MAX($AG$4:AG1797)+1,""))</f>
        <v/>
      </c>
      <c r="AH1798" s="20">
        <f>IF(A1798="",0,IF(AND(OR('CSV抽出'!$C$4="",A1798&gt;='CSV抽出'!$C$4),OR('CSV抽出'!$C$5="",A1798&lt;='CSV抽出'!$C$5),OR('CSV抽出'!$C$6="すべて",'CSV抽出'!$C$6="",D1798='CSV抽出'!$C$6),OR('CSV抽出'!$C$7="",B1798&amp;""='CSV抽出'!$C$7&amp;"")),1,0))</f>
        <v/>
      </c>
      <c r="AI1798" s="20">
        <f>IF(AH1798=1,SUM($AH$5:AH1798),"")</f>
        <v/>
      </c>
      <c r="AJ1798" s="20">
        <f>IF(OR(S1798="",'報告書'!$C$4=""),"",IF(S1798&amp;""='報告書'!$C$4&amp;"",COUNTIF($S$5:S1798,'報告書'!$C$4),""))</f>
        <v/>
      </c>
      <c r="AK1798" s="20" t="n"/>
      <c r="AL1798" s="47" t="n"/>
      <c r="AM1798" s="47" t="n"/>
      <c r="AN1798" s="53" t="n"/>
      <c r="AO1798" s="47" t="n"/>
      <c r="AP1798" s="47" t="n"/>
      <c r="AQ1798" s="47" t="n"/>
      <c r="AR1798" s="47" t="n"/>
      <c r="AS1798" s="47" t="n"/>
      <c r="AT1798" s="47" t="n"/>
      <c r="AU1798" s="47" t="n"/>
      <c r="AV1798" s="47" t="n"/>
      <c r="AW1798" s="52" t="n"/>
    </row>
    <row r="1799">
      <c r="A1799" s="48" t="n"/>
      <c r="B1799" s="52" t="n"/>
      <c r="C1799" s="47">
        <f>IF(B1799="","",IFERROR(INDEX('隊員マスタ'!$B$5:$B$204,MATCH(B1799&amp;"",'隊員マスタ'!$F$5:$F$204,0)),IF(AK1799="","番号なし",AK1799)))</f>
        <v/>
      </c>
      <c r="D1799" s="47" t="n"/>
      <c r="E1799" s="47" t="n"/>
      <c r="F1799" s="47" t="n"/>
      <c r="G1799" s="47" t="n"/>
      <c r="H1799" s="47" t="n"/>
      <c r="I1799" s="47" t="n"/>
      <c r="J1799" s="47" t="n"/>
      <c r="K1799" s="47" t="n"/>
      <c r="L1799" s="47" t="n"/>
      <c r="M1799" s="47" t="n"/>
      <c r="N1799" s="47" t="n"/>
      <c r="O1799" s="47" t="n"/>
      <c r="P1799" s="47" t="n"/>
      <c r="Q1799" s="47" t="n"/>
      <c r="R1799" s="47" t="n"/>
      <c r="S1799" s="47" t="n"/>
      <c r="T1799" s="47" t="n"/>
      <c r="U1799" s="53" t="n"/>
      <c r="V1799" s="53" t="n"/>
      <c r="W1799" s="47" t="n"/>
      <c r="X1799" s="47" t="n"/>
      <c r="Y1799" s="47" t="n"/>
      <c r="Z1799" s="47" t="n"/>
      <c r="AA1799" s="47" t="n"/>
      <c r="AB1799" s="47" t="n"/>
      <c r="AC1799" s="47" t="n"/>
      <c r="AD1799" s="47" t="n"/>
      <c r="AE1799" s="47" t="n"/>
      <c r="AF1799" s="20">
        <f>IF(A1799="","",YEAR(EDATE(A1799,-3)))</f>
        <v/>
      </c>
      <c r="AG1799" s="20">
        <f>IF(OR(B1799="",'経歴簿'!$C$4=""),"",IF(B1799&amp;""='経歴簿'!$C$4&amp;"",MAX($AG$4:AG1798)+1,""))</f>
        <v/>
      </c>
      <c r="AH1799" s="20">
        <f>IF(A1799="",0,IF(AND(OR('CSV抽出'!$C$4="",A1799&gt;='CSV抽出'!$C$4),OR('CSV抽出'!$C$5="",A1799&lt;='CSV抽出'!$C$5),OR('CSV抽出'!$C$6="すべて",'CSV抽出'!$C$6="",D1799='CSV抽出'!$C$6),OR('CSV抽出'!$C$7="",B1799&amp;""='CSV抽出'!$C$7&amp;"")),1,0))</f>
        <v/>
      </c>
      <c r="AI1799" s="20">
        <f>IF(AH1799=1,SUM($AH$5:AH1799),"")</f>
        <v/>
      </c>
      <c r="AJ1799" s="20">
        <f>IF(OR(S1799="",'報告書'!$C$4=""),"",IF(S1799&amp;""='報告書'!$C$4&amp;"",COUNTIF($S$5:S1799,'報告書'!$C$4),""))</f>
        <v/>
      </c>
      <c r="AK1799" s="20" t="n"/>
      <c r="AL1799" s="47" t="n"/>
      <c r="AM1799" s="47" t="n"/>
      <c r="AN1799" s="53" t="n"/>
      <c r="AO1799" s="47" t="n"/>
      <c r="AP1799" s="47" t="n"/>
      <c r="AQ1799" s="47" t="n"/>
      <c r="AR1799" s="47" t="n"/>
      <c r="AS1799" s="47" t="n"/>
      <c r="AT1799" s="47" t="n"/>
      <c r="AU1799" s="47" t="n"/>
      <c r="AV1799" s="47" t="n"/>
      <c r="AW1799" s="52" t="n"/>
    </row>
    <row r="1800">
      <c r="A1800" s="48" t="n"/>
      <c r="B1800" s="52" t="n"/>
      <c r="C1800" s="47">
        <f>IF(B1800="","",IFERROR(INDEX('隊員マスタ'!$B$5:$B$204,MATCH(B1800&amp;"",'隊員マスタ'!$F$5:$F$204,0)),IF(AK1800="","番号なし",AK1800)))</f>
        <v/>
      </c>
      <c r="D1800" s="47" t="n"/>
      <c r="E1800" s="47" t="n"/>
      <c r="F1800" s="47" t="n"/>
      <c r="G1800" s="47" t="n"/>
      <c r="H1800" s="47" t="n"/>
      <c r="I1800" s="47" t="n"/>
      <c r="J1800" s="47" t="n"/>
      <c r="K1800" s="47" t="n"/>
      <c r="L1800" s="47" t="n"/>
      <c r="M1800" s="47" t="n"/>
      <c r="N1800" s="47" t="n"/>
      <c r="O1800" s="47" t="n"/>
      <c r="P1800" s="47" t="n"/>
      <c r="Q1800" s="47" t="n"/>
      <c r="R1800" s="47" t="n"/>
      <c r="S1800" s="47" t="n"/>
      <c r="T1800" s="47" t="n"/>
      <c r="U1800" s="53" t="n"/>
      <c r="V1800" s="53" t="n"/>
      <c r="W1800" s="47" t="n"/>
      <c r="X1800" s="47" t="n"/>
      <c r="Y1800" s="47" t="n"/>
      <c r="Z1800" s="47" t="n"/>
      <c r="AA1800" s="47" t="n"/>
      <c r="AB1800" s="47" t="n"/>
      <c r="AC1800" s="47" t="n"/>
      <c r="AD1800" s="47" t="n"/>
      <c r="AE1800" s="47" t="n"/>
      <c r="AF1800" s="20">
        <f>IF(A1800="","",YEAR(EDATE(A1800,-3)))</f>
        <v/>
      </c>
      <c r="AG1800" s="20">
        <f>IF(OR(B1800="",'経歴簿'!$C$4=""),"",IF(B1800&amp;""='経歴簿'!$C$4&amp;"",MAX($AG$4:AG1799)+1,""))</f>
        <v/>
      </c>
      <c r="AH1800" s="20">
        <f>IF(A1800="",0,IF(AND(OR('CSV抽出'!$C$4="",A1800&gt;='CSV抽出'!$C$4),OR('CSV抽出'!$C$5="",A1800&lt;='CSV抽出'!$C$5),OR('CSV抽出'!$C$6="すべて",'CSV抽出'!$C$6="",D1800='CSV抽出'!$C$6),OR('CSV抽出'!$C$7="",B1800&amp;""='CSV抽出'!$C$7&amp;"")),1,0))</f>
        <v/>
      </c>
      <c r="AI1800" s="20">
        <f>IF(AH1800=1,SUM($AH$5:AH1800),"")</f>
        <v/>
      </c>
      <c r="AJ1800" s="20">
        <f>IF(OR(S1800="",'報告書'!$C$4=""),"",IF(S1800&amp;""='報告書'!$C$4&amp;"",COUNTIF($S$5:S1800,'報告書'!$C$4),""))</f>
        <v/>
      </c>
      <c r="AK1800" s="20" t="n"/>
      <c r="AL1800" s="47" t="n"/>
      <c r="AM1800" s="47" t="n"/>
      <c r="AN1800" s="53" t="n"/>
      <c r="AO1800" s="47" t="n"/>
      <c r="AP1800" s="47" t="n"/>
      <c r="AQ1800" s="47" t="n"/>
      <c r="AR1800" s="47" t="n"/>
      <c r="AS1800" s="47" t="n"/>
      <c r="AT1800" s="47" t="n"/>
      <c r="AU1800" s="47" t="n"/>
      <c r="AV1800" s="47" t="n"/>
      <c r="AW1800" s="52" t="n"/>
    </row>
    <row r="1801">
      <c r="A1801" s="48" t="n"/>
      <c r="B1801" s="52" t="n"/>
      <c r="C1801" s="47">
        <f>IF(B1801="","",IFERROR(INDEX('隊員マスタ'!$B$5:$B$204,MATCH(B1801&amp;"",'隊員マスタ'!$F$5:$F$204,0)),IF(AK1801="","番号なし",AK1801)))</f>
        <v/>
      </c>
      <c r="D1801" s="47" t="n"/>
      <c r="E1801" s="47" t="n"/>
      <c r="F1801" s="47" t="n"/>
      <c r="G1801" s="47" t="n"/>
      <c r="H1801" s="47" t="n"/>
      <c r="I1801" s="47" t="n"/>
      <c r="J1801" s="47" t="n"/>
      <c r="K1801" s="47" t="n"/>
      <c r="L1801" s="47" t="n"/>
      <c r="M1801" s="47" t="n"/>
      <c r="N1801" s="47" t="n"/>
      <c r="O1801" s="47" t="n"/>
      <c r="P1801" s="47" t="n"/>
      <c r="Q1801" s="47" t="n"/>
      <c r="R1801" s="47" t="n"/>
      <c r="S1801" s="47" t="n"/>
      <c r="T1801" s="47" t="n"/>
      <c r="U1801" s="53" t="n"/>
      <c r="V1801" s="53" t="n"/>
      <c r="W1801" s="47" t="n"/>
      <c r="X1801" s="47" t="n"/>
      <c r="Y1801" s="47" t="n"/>
      <c r="Z1801" s="47" t="n"/>
      <c r="AA1801" s="47" t="n"/>
      <c r="AB1801" s="47" t="n"/>
      <c r="AC1801" s="47" t="n"/>
      <c r="AD1801" s="47" t="n"/>
      <c r="AE1801" s="47" t="n"/>
      <c r="AF1801" s="20">
        <f>IF(A1801="","",YEAR(EDATE(A1801,-3)))</f>
        <v/>
      </c>
      <c r="AG1801" s="20">
        <f>IF(OR(B1801="",'経歴簿'!$C$4=""),"",IF(B1801&amp;""='経歴簿'!$C$4&amp;"",MAX($AG$4:AG1800)+1,""))</f>
        <v/>
      </c>
      <c r="AH1801" s="20">
        <f>IF(A1801="",0,IF(AND(OR('CSV抽出'!$C$4="",A1801&gt;='CSV抽出'!$C$4),OR('CSV抽出'!$C$5="",A1801&lt;='CSV抽出'!$C$5),OR('CSV抽出'!$C$6="すべて",'CSV抽出'!$C$6="",D1801='CSV抽出'!$C$6),OR('CSV抽出'!$C$7="",B1801&amp;""='CSV抽出'!$C$7&amp;"")),1,0))</f>
        <v/>
      </c>
      <c r="AI1801" s="20">
        <f>IF(AH1801=1,SUM($AH$5:AH1801),"")</f>
        <v/>
      </c>
      <c r="AJ1801" s="20">
        <f>IF(OR(S1801="",'報告書'!$C$4=""),"",IF(S1801&amp;""='報告書'!$C$4&amp;"",COUNTIF($S$5:S1801,'報告書'!$C$4),""))</f>
        <v/>
      </c>
      <c r="AK1801" s="20" t="n"/>
      <c r="AL1801" s="47" t="n"/>
      <c r="AM1801" s="47" t="n"/>
      <c r="AN1801" s="53" t="n"/>
      <c r="AO1801" s="47" t="n"/>
      <c r="AP1801" s="47" t="n"/>
      <c r="AQ1801" s="47" t="n"/>
      <c r="AR1801" s="47" t="n"/>
      <c r="AS1801" s="47" t="n"/>
      <c r="AT1801" s="47" t="n"/>
      <c r="AU1801" s="47" t="n"/>
      <c r="AV1801" s="47" t="n"/>
      <c r="AW1801" s="52" t="n"/>
    </row>
    <row r="1802">
      <c r="A1802" s="48" t="n"/>
      <c r="B1802" s="52" t="n"/>
      <c r="C1802" s="47">
        <f>IF(B1802="","",IFERROR(INDEX('隊員マスタ'!$B$5:$B$204,MATCH(B1802&amp;"",'隊員マスタ'!$F$5:$F$204,0)),IF(AK1802="","番号なし",AK1802)))</f>
        <v/>
      </c>
      <c r="D1802" s="47" t="n"/>
      <c r="E1802" s="47" t="n"/>
      <c r="F1802" s="47" t="n"/>
      <c r="G1802" s="47" t="n"/>
      <c r="H1802" s="47" t="n"/>
      <c r="I1802" s="47" t="n"/>
      <c r="J1802" s="47" t="n"/>
      <c r="K1802" s="47" t="n"/>
      <c r="L1802" s="47" t="n"/>
      <c r="M1802" s="47" t="n"/>
      <c r="N1802" s="47" t="n"/>
      <c r="O1802" s="47" t="n"/>
      <c r="P1802" s="47" t="n"/>
      <c r="Q1802" s="47" t="n"/>
      <c r="R1802" s="47" t="n"/>
      <c r="S1802" s="47" t="n"/>
      <c r="T1802" s="47" t="n"/>
      <c r="U1802" s="53" t="n"/>
      <c r="V1802" s="53" t="n"/>
      <c r="W1802" s="47" t="n"/>
      <c r="X1802" s="47" t="n"/>
      <c r="Y1802" s="47" t="n"/>
      <c r="Z1802" s="47" t="n"/>
      <c r="AA1802" s="47" t="n"/>
      <c r="AB1802" s="47" t="n"/>
      <c r="AC1802" s="47" t="n"/>
      <c r="AD1802" s="47" t="n"/>
      <c r="AE1802" s="47" t="n"/>
      <c r="AF1802" s="20">
        <f>IF(A1802="","",YEAR(EDATE(A1802,-3)))</f>
        <v/>
      </c>
      <c r="AG1802" s="20">
        <f>IF(OR(B1802="",'経歴簿'!$C$4=""),"",IF(B1802&amp;""='経歴簿'!$C$4&amp;"",MAX($AG$4:AG1801)+1,""))</f>
        <v/>
      </c>
      <c r="AH1802" s="20">
        <f>IF(A1802="",0,IF(AND(OR('CSV抽出'!$C$4="",A1802&gt;='CSV抽出'!$C$4),OR('CSV抽出'!$C$5="",A1802&lt;='CSV抽出'!$C$5),OR('CSV抽出'!$C$6="すべて",'CSV抽出'!$C$6="",D1802='CSV抽出'!$C$6),OR('CSV抽出'!$C$7="",B1802&amp;""='CSV抽出'!$C$7&amp;"")),1,0))</f>
        <v/>
      </c>
      <c r="AI1802" s="20">
        <f>IF(AH1802=1,SUM($AH$5:AH1802),"")</f>
        <v/>
      </c>
      <c r="AJ1802" s="20">
        <f>IF(OR(S1802="",'報告書'!$C$4=""),"",IF(S1802&amp;""='報告書'!$C$4&amp;"",COUNTIF($S$5:S1802,'報告書'!$C$4),""))</f>
        <v/>
      </c>
      <c r="AK1802" s="20" t="n"/>
      <c r="AL1802" s="47" t="n"/>
      <c r="AM1802" s="47" t="n"/>
      <c r="AN1802" s="53" t="n"/>
      <c r="AO1802" s="47" t="n"/>
      <c r="AP1802" s="47" t="n"/>
      <c r="AQ1802" s="47" t="n"/>
      <c r="AR1802" s="47" t="n"/>
      <c r="AS1802" s="47" t="n"/>
      <c r="AT1802" s="47" t="n"/>
      <c r="AU1802" s="47" t="n"/>
      <c r="AV1802" s="47" t="n"/>
      <c r="AW1802" s="52" t="n"/>
    </row>
    <row r="1803">
      <c r="A1803" s="48" t="n"/>
      <c r="B1803" s="52" t="n"/>
      <c r="C1803" s="47">
        <f>IF(B1803="","",IFERROR(INDEX('隊員マスタ'!$B$5:$B$204,MATCH(B1803&amp;"",'隊員マスタ'!$F$5:$F$204,0)),IF(AK1803="","番号なし",AK1803)))</f>
        <v/>
      </c>
      <c r="D1803" s="47" t="n"/>
      <c r="E1803" s="47" t="n"/>
      <c r="F1803" s="47" t="n"/>
      <c r="G1803" s="47" t="n"/>
      <c r="H1803" s="47" t="n"/>
      <c r="I1803" s="47" t="n"/>
      <c r="J1803" s="47" t="n"/>
      <c r="K1803" s="47" t="n"/>
      <c r="L1803" s="47" t="n"/>
      <c r="M1803" s="47" t="n"/>
      <c r="N1803" s="47" t="n"/>
      <c r="O1803" s="47" t="n"/>
      <c r="P1803" s="47" t="n"/>
      <c r="Q1803" s="47" t="n"/>
      <c r="R1803" s="47" t="n"/>
      <c r="S1803" s="47" t="n"/>
      <c r="T1803" s="47" t="n"/>
      <c r="U1803" s="53" t="n"/>
      <c r="V1803" s="53" t="n"/>
      <c r="W1803" s="47" t="n"/>
      <c r="X1803" s="47" t="n"/>
      <c r="Y1803" s="47" t="n"/>
      <c r="Z1803" s="47" t="n"/>
      <c r="AA1803" s="47" t="n"/>
      <c r="AB1803" s="47" t="n"/>
      <c r="AC1803" s="47" t="n"/>
      <c r="AD1803" s="47" t="n"/>
      <c r="AE1803" s="47" t="n"/>
      <c r="AF1803" s="20">
        <f>IF(A1803="","",YEAR(EDATE(A1803,-3)))</f>
        <v/>
      </c>
      <c r="AG1803" s="20">
        <f>IF(OR(B1803="",'経歴簿'!$C$4=""),"",IF(B1803&amp;""='経歴簿'!$C$4&amp;"",MAX($AG$4:AG1802)+1,""))</f>
        <v/>
      </c>
      <c r="AH1803" s="20">
        <f>IF(A1803="",0,IF(AND(OR('CSV抽出'!$C$4="",A1803&gt;='CSV抽出'!$C$4),OR('CSV抽出'!$C$5="",A1803&lt;='CSV抽出'!$C$5),OR('CSV抽出'!$C$6="すべて",'CSV抽出'!$C$6="",D1803='CSV抽出'!$C$6),OR('CSV抽出'!$C$7="",B1803&amp;""='CSV抽出'!$C$7&amp;"")),1,0))</f>
        <v/>
      </c>
      <c r="AI1803" s="20">
        <f>IF(AH1803=1,SUM($AH$5:AH1803),"")</f>
        <v/>
      </c>
      <c r="AJ1803" s="20">
        <f>IF(OR(S1803="",'報告書'!$C$4=""),"",IF(S1803&amp;""='報告書'!$C$4&amp;"",COUNTIF($S$5:S1803,'報告書'!$C$4),""))</f>
        <v/>
      </c>
      <c r="AK1803" s="20" t="n"/>
      <c r="AL1803" s="47" t="n"/>
      <c r="AM1803" s="47" t="n"/>
      <c r="AN1803" s="53" t="n"/>
      <c r="AO1803" s="47" t="n"/>
      <c r="AP1803" s="47" t="n"/>
      <c r="AQ1803" s="47" t="n"/>
      <c r="AR1803" s="47" t="n"/>
      <c r="AS1803" s="47" t="n"/>
      <c r="AT1803" s="47" t="n"/>
      <c r="AU1803" s="47" t="n"/>
      <c r="AV1803" s="47" t="n"/>
      <c r="AW1803" s="52" t="n"/>
    </row>
    <row r="1804">
      <c r="A1804" s="48" t="n"/>
      <c r="B1804" s="52" t="n"/>
      <c r="C1804" s="47">
        <f>IF(B1804="","",IFERROR(INDEX('隊員マスタ'!$B$5:$B$204,MATCH(B1804&amp;"",'隊員マスタ'!$F$5:$F$204,0)),IF(AK1804="","番号なし",AK1804)))</f>
        <v/>
      </c>
      <c r="D1804" s="47" t="n"/>
      <c r="E1804" s="47" t="n"/>
      <c r="F1804" s="47" t="n"/>
      <c r="G1804" s="47" t="n"/>
      <c r="H1804" s="47" t="n"/>
      <c r="I1804" s="47" t="n"/>
      <c r="J1804" s="47" t="n"/>
      <c r="K1804" s="47" t="n"/>
      <c r="L1804" s="47" t="n"/>
      <c r="M1804" s="47" t="n"/>
      <c r="N1804" s="47" t="n"/>
      <c r="O1804" s="47" t="n"/>
      <c r="P1804" s="47" t="n"/>
      <c r="Q1804" s="47" t="n"/>
      <c r="R1804" s="47" t="n"/>
      <c r="S1804" s="47" t="n"/>
      <c r="T1804" s="47" t="n"/>
      <c r="U1804" s="53" t="n"/>
      <c r="V1804" s="53" t="n"/>
      <c r="W1804" s="47" t="n"/>
      <c r="X1804" s="47" t="n"/>
      <c r="Y1804" s="47" t="n"/>
      <c r="Z1804" s="47" t="n"/>
      <c r="AA1804" s="47" t="n"/>
      <c r="AB1804" s="47" t="n"/>
      <c r="AC1804" s="47" t="n"/>
      <c r="AD1804" s="47" t="n"/>
      <c r="AE1804" s="47" t="n"/>
      <c r="AF1804" s="20">
        <f>IF(A1804="","",YEAR(EDATE(A1804,-3)))</f>
        <v/>
      </c>
      <c r="AG1804" s="20">
        <f>IF(OR(B1804="",'経歴簿'!$C$4=""),"",IF(B1804&amp;""='経歴簿'!$C$4&amp;"",MAX($AG$4:AG1803)+1,""))</f>
        <v/>
      </c>
      <c r="AH1804" s="20">
        <f>IF(A1804="",0,IF(AND(OR('CSV抽出'!$C$4="",A1804&gt;='CSV抽出'!$C$4),OR('CSV抽出'!$C$5="",A1804&lt;='CSV抽出'!$C$5),OR('CSV抽出'!$C$6="すべて",'CSV抽出'!$C$6="",D1804='CSV抽出'!$C$6),OR('CSV抽出'!$C$7="",B1804&amp;""='CSV抽出'!$C$7&amp;"")),1,0))</f>
        <v/>
      </c>
      <c r="AI1804" s="20">
        <f>IF(AH1804=1,SUM($AH$5:AH1804),"")</f>
        <v/>
      </c>
      <c r="AJ1804" s="20">
        <f>IF(OR(S1804="",'報告書'!$C$4=""),"",IF(S1804&amp;""='報告書'!$C$4&amp;"",COUNTIF($S$5:S1804,'報告書'!$C$4),""))</f>
        <v/>
      </c>
      <c r="AK1804" s="20" t="n"/>
      <c r="AL1804" s="47" t="n"/>
      <c r="AM1804" s="47" t="n"/>
      <c r="AN1804" s="53" t="n"/>
      <c r="AO1804" s="47" t="n"/>
      <c r="AP1804" s="47" t="n"/>
      <c r="AQ1804" s="47" t="n"/>
      <c r="AR1804" s="47" t="n"/>
      <c r="AS1804" s="47" t="n"/>
      <c r="AT1804" s="47" t="n"/>
      <c r="AU1804" s="47" t="n"/>
      <c r="AV1804" s="47" t="n"/>
      <c r="AW1804" s="52" t="n"/>
    </row>
    <row r="1805">
      <c r="A1805" s="48" t="n"/>
      <c r="B1805" s="52" t="n"/>
      <c r="C1805" s="47">
        <f>IF(B1805="","",IFERROR(INDEX('隊員マスタ'!$B$5:$B$204,MATCH(B1805&amp;"",'隊員マスタ'!$F$5:$F$204,0)),IF(AK1805="","番号なし",AK1805)))</f>
        <v/>
      </c>
      <c r="D1805" s="47" t="n"/>
      <c r="E1805" s="47" t="n"/>
      <c r="F1805" s="47" t="n"/>
      <c r="G1805" s="47" t="n"/>
      <c r="H1805" s="47" t="n"/>
      <c r="I1805" s="47" t="n"/>
      <c r="J1805" s="47" t="n"/>
      <c r="K1805" s="47" t="n"/>
      <c r="L1805" s="47" t="n"/>
      <c r="M1805" s="47" t="n"/>
      <c r="N1805" s="47" t="n"/>
      <c r="O1805" s="47" t="n"/>
      <c r="P1805" s="47" t="n"/>
      <c r="Q1805" s="47" t="n"/>
      <c r="R1805" s="47" t="n"/>
      <c r="S1805" s="47" t="n"/>
      <c r="T1805" s="47" t="n"/>
      <c r="U1805" s="53" t="n"/>
      <c r="V1805" s="53" t="n"/>
      <c r="W1805" s="47" t="n"/>
      <c r="X1805" s="47" t="n"/>
      <c r="Y1805" s="47" t="n"/>
      <c r="Z1805" s="47" t="n"/>
      <c r="AA1805" s="47" t="n"/>
      <c r="AB1805" s="47" t="n"/>
      <c r="AC1805" s="47" t="n"/>
      <c r="AD1805" s="47" t="n"/>
      <c r="AE1805" s="47" t="n"/>
      <c r="AF1805" s="20">
        <f>IF(A1805="","",YEAR(EDATE(A1805,-3)))</f>
        <v/>
      </c>
      <c r="AG1805" s="20">
        <f>IF(OR(B1805="",'経歴簿'!$C$4=""),"",IF(B1805&amp;""='経歴簿'!$C$4&amp;"",MAX($AG$4:AG1804)+1,""))</f>
        <v/>
      </c>
      <c r="AH1805" s="20">
        <f>IF(A1805="",0,IF(AND(OR('CSV抽出'!$C$4="",A1805&gt;='CSV抽出'!$C$4),OR('CSV抽出'!$C$5="",A1805&lt;='CSV抽出'!$C$5),OR('CSV抽出'!$C$6="すべて",'CSV抽出'!$C$6="",D1805='CSV抽出'!$C$6),OR('CSV抽出'!$C$7="",B1805&amp;""='CSV抽出'!$C$7&amp;"")),1,0))</f>
        <v/>
      </c>
      <c r="AI1805" s="20">
        <f>IF(AH1805=1,SUM($AH$5:AH1805),"")</f>
        <v/>
      </c>
      <c r="AJ1805" s="20">
        <f>IF(OR(S1805="",'報告書'!$C$4=""),"",IF(S1805&amp;""='報告書'!$C$4&amp;"",COUNTIF($S$5:S1805,'報告書'!$C$4),""))</f>
        <v/>
      </c>
      <c r="AK1805" s="20" t="n"/>
      <c r="AL1805" s="47" t="n"/>
      <c r="AM1805" s="47" t="n"/>
      <c r="AN1805" s="53" t="n"/>
      <c r="AO1805" s="47" t="n"/>
      <c r="AP1805" s="47" t="n"/>
      <c r="AQ1805" s="47" t="n"/>
      <c r="AR1805" s="47" t="n"/>
      <c r="AS1805" s="47" t="n"/>
      <c r="AT1805" s="47" t="n"/>
      <c r="AU1805" s="47" t="n"/>
      <c r="AV1805" s="47" t="n"/>
      <c r="AW1805" s="52" t="n"/>
    </row>
    <row r="1806">
      <c r="A1806" s="48" t="n"/>
      <c r="B1806" s="52" t="n"/>
      <c r="C1806" s="47">
        <f>IF(B1806="","",IFERROR(INDEX('隊員マスタ'!$B$5:$B$204,MATCH(B1806&amp;"",'隊員マスタ'!$F$5:$F$204,0)),IF(AK1806="","番号なし",AK1806)))</f>
        <v/>
      </c>
      <c r="D1806" s="47" t="n"/>
      <c r="E1806" s="47" t="n"/>
      <c r="F1806" s="47" t="n"/>
      <c r="G1806" s="47" t="n"/>
      <c r="H1806" s="47" t="n"/>
      <c r="I1806" s="47" t="n"/>
      <c r="J1806" s="47" t="n"/>
      <c r="K1806" s="47" t="n"/>
      <c r="L1806" s="47" t="n"/>
      <c r="M1806" s="47" t="n"/>
      <c r="N1806" s="47" t="n"/>
      <c r="O1806" s="47" t="n"/>
      <c r="P1806" s="47" t="n"/>
      <c r="Q1806" s="47" t="n"/>
      <c r="R1806" s="47" t="n"/>
      <c r="S1806" s="47" t="n"/>
      <c r="T1806" s="47" t="n"/>
      <c r="U1806" s="53" t="n"/>
      <c r="V1806" s="53" t="n"/>
      <c r="W1806" s="47" t="n"/>
      <c r="X1806" s="47" t="n"/>
      <c r="Y1806" s="47" t="n"/>
      <c r="Z1806" s="47" t="n"/>
      <c r="AA1806" s="47" t="n"/>
      <c r="AB1806" s="47" t="n"/>
      <c r="AC1806" s="47" t="n"/>
      <c r="AD1806" s="47" t="n"/>
      <c r="AE1806" s="47" t="n"/>
      <c r="AF1806" s="20">
        <f>IF(A1806="","",YEAR(EDATE(A1806,-3)))</f>
        <v/>
      </c>
      <c r="AG1806" s="20">
        <f>IF(OR(B1806="",'経歴簿'!$C$4=""),"",IF(B1806&amp;""='経歴簿'!$C$4&amp;"",MAX($AG$4:AG1805)+1,""))</f>
        <v/>
      </c>
      <c r="AH1806" s="20">
        <f>IF(A1806="",0,IF(AND(OR('CSV抽出'!$C$4="",A1806&gt;='CSV抽出'!$C$4),OR('CSV抽出'!$C$5="",A1806&lt;='CSV抽出'!$C$5),OR('CSV抽出'!$C$6="すべて",'CSV抽出'!$C$6="",D1806='CSV抽出'!$C$6),OR('CSV抽出'!$C$7="",B1806&amp;""='CSV抽出'!$C$7&amp;"")),1,0))</f>
        <v/>
      </c>
      <c r="AI1806" s="20">
        <f>IF(AH1806=1,SUM($AH$5:AH1806),"")</f>
        <v/>
      </c>
      <c r="AJ1806" s="20">
        <f>IF(OR(S1806="",'報告書'!$C$4=""),"",IF(S1806&amp;""='報告書'!$C$4&amp;"",COUNTIF($S$5:S1806,'報告書'!$C$4),""))</f>
        <v/>
      </c>
      <c r="AK1806" s="20" t="n"/>
      <c r="AL1806" s="47" t="n"/>
      <c r="AM1806" s="47" t="n"/>
      <c r="AN1806" s="53" t="n"/>
      <c r="AO1806" s="47" t="n"/>
      <c r="AP1806" s="47" t="n"/>
      <c r="AQ1806" s="47" t="n"/>
      <c r="AR1806" s="47" t="n"/>
      <c r="AS1806" s="47" t="n"/>
      <c r="AT1806" s="47" t="n"/>
      <c r="AU1806" s="47" t="n"/>
      <c r="AV1806" s="47" t="n"/>
      <c r="AW1806" s="52" t="n"/>
    </row>
    <row r="1807">
      <c r="A1807" s="48" t="n"/>
      <c r="B1807" s="52" t="n"/>
      <c r="C1807" s="47">
        <f>IF(B1807="","",IFERROR(INDEX('隊員マスタ'!$B$5:$B$204,MATCH(B1807&amp;"",'隊員マスタ'!$F$5:$F$204,0)),IF(AK1807="","番号なし",AK1807)))</f>
        <v/>
      </c>
      <c r="D1807" s="47" t="n"/>
      <c r="E1807" s="47" t="n"/>
      <c r="F1807" s="47" t="n"/>
      <c r="G1807" s="47" t="n"/>
      <c r="H1807" s="47" t="n"/>
      <c r="I1807" s="47" t="n"/>
      <c r="J1807" s="47" t="n"/>
      <c r="K1807" s="47" t="n"/>
      <c r="L1807" s="47" t="n"/>
      <c r="M1807" s="47" t="n"/>
      <c r="N1807" s="47" t="n"/>
      <c r="O1807" s="47" t="n"/>
      <c r="P1807" s="47" t="n"/>
      <c r="Q1807" s="47" t="n"/>
      <c r="R1807" s="47" t="n"/>
      <c r="S1807" s="47" t="n"/>
      <c r="T1807" s="47" t="n"/>
      <c r="U1807" s="53" t="n"/>
      <c r="V1807" s="53" t="n"/>
      <c r="W1807" s="47" t="n"/>
      <c r="X1807" s="47" t="n"/>
      <c r="Y1807" s="47" t="n"/>
      <c r="Z1807" s="47" t="n"/>
      <c r="AA1807" s="47" t="n"/>
      <c r="AB1807" s="47" t="n"/>
      <c r="AC1807" s="47" t="n"/>
      <c r="AD1807" s="47" t="n"/>
      <c r="AE1807" s="47" t="n"/>
      <c r="AF1807" s="20">
        <f>IF(A1807="","",YEAR(EDATE(A1807,-3)))</f>
        <v/>
      </c>
      <c r="AG1807" s="20">
        <f>IF(OR(B1807="",'経歴簿'!$C$4=""),"",IF(B1807&amp;""='経歴簿'!$C$4&amp;"",MAX($AG$4:AG1806)+1,""))</f>
        <v/>
      </c>
      <c r="AH1807" s="20">
        <f>IF(A1807="",0,IF(AND(OR('CSV抽出'!$C$4="",A1807&gt;='CSV抽出'!$C$4),OR('CSV抽出'!$C$5="",A1807&lt;='CSV抽出'!$C$5),OR('CSV抽出'!$C$6="すべて",'CSV抽出'!$C$6="",D1807='CSV抽出'!$C$6),OR('CSV抽出'!$C$7="",B1807&amp;""='CSV抽出'!$C$7&amp;"")),1,0))</f>
        <v/>
      </c>
      <c r="AI1807" s="20">
        <f>IF(AH1807=1,SUM($AH$5:AH1807),"")</f>
        <v/>
      </c>
      <c r="AJ1807" s="20">
        <f>IF(OR(S1807="",'報告書'!$C$4=""),"",IF(S1807&amp;""='報告書'!$C$4&amp;"",COUNTIF($S$5:S1807,'報告書'!$C$4),""))</f>
        <v/>
      </c>
      <c r="AK1807" s="20" t="n"/>
      <c r="AL1807" s="47" t="n"/>
      <c r="AM1807" s="47" t="n"/>
      <c r="AN1807" s="53" t="n"/>
      <c r="AO1807" s="47" t="n"/>
      <c r="AP1807" s="47" t="n"/>
      <c r="AQ1807" s="47" t="n"/>
      <c r="AR1807" s="47" t="n"/>
      <c r="AS1807" s="47" t="n"/>
      <c r="AT1807" s="47" t="n"/>
      <c r="AU1807" s="47" t="n"/>
      <c r="AV1807" s="47" t="n"/>
      <c r="AW1807" s="52" t="n"/>
    </row>
    <row r="1808">
      <c r="A1808" s="48" t="n"/>
      <c r="B1808" s="52" t="n"/>
      <c r="C1808" s="47">
        <f>IF(B1808="","",IFERROR(INDEX('隊員マスタ'!$B$5:$B$204,MATCH(B1808&amp;"",'隊員マスタ'!$F$5:$F$204,0)),IF(AK1808="","番号なし",AK1808)))</f>
        <v/>
      </c>
      <c r="D1808" s="47" t="n"/>
      <c r="E1808" s="47" t="n"/>
      <c r="F1808" s="47" t="n"/>
      <c r="G1808" s="47" t="n"/>
      <c r="H1808" s="47" t="n"/>
      <c r="I1808" s="47" t="n"/>
      <c r="J1808" s="47" t="n"/>
      <c r="K1808" s="47" t="n"/>
      <c r="L1808" s="47" t="n"/>
      <c r="M1808" s="47" t="n"/>
      <c r="N1808" s="47" t="n"/>
      <c r="O1808" s="47" t="n"/>
      <c r="P1808" s="47" t="n"/>
      <c r="Q1808" s="47" t="n"/>
      <c r="R1808" s="47" t="n"/>
      <c r="S1808" s="47" t="n"/>
      <c r="T1808" s="47" t="n"/>
      <c r="U1808" s="53" t="n"/>
      <c r="V1808" s="53" t="n"/>
      <c r="W1808" s="47" t="n"/>
      <c r="X1808" s="47" t="n"/>
      <c r="Y1808" s="47" t="n"/>
      <c r="Z1808" s="47" t="n"/>
      <c r="AA1808" s="47" t="n"/>
      <c r="AB1808" s="47" t="n"/>
      <c r="AC1808" s="47" t="n"/>
      <c r="AD1808" s="47" t="n"/>
      <c r="AE1808" s="47" t="n"/>
      <c r="AF1808" s="20">
        <f>IF(A1808="","",YEAR(EDATE(A1808,-3)))</f>
        <v/>
      </c>
      <c r="AG1808" s="20">
        <f>IF(OR(B1808="",'経歴簿'!$C$4=""),"",IF(B1808&amp;""='経歴簿'!$C$4&amp;"",MAX($AG$4:AG1807)+1,""))</f>
        <v/>
      </c>
      <c r="AH1808" s="20">
        <f>IF(A1808="",0,IF(AND(OR('CSV抽出'!$C$4="",A1808&gt;='CSV抽出'!$C$4),OR('CSV抽出'!$C$5="",A1808&lt;='CSV抽出'!$C$5),OR('CSV抽出'!$C$6="すべて",'CSV抽出'!$C$6="",D1808='CSV抽出'!$C$6),OR('CSV抽出'!$C$7="",B1808&amp;""='CSV抽出'!$C$7&amp;"")),1,0))</f>
        <v/>
      </c>
      <c r="AI1808" s="20">
        <f>IF(AH1808=1,SUM($AH$5:AH1808),"")</f>
        <v/>
      </c>
      <c r="AJ1808" s="20">
        <f>IF(OR(S1808="",'報告書'!$C$4=""),"",IF(S1808&amp;""='報告書'!$C$4&amp;"",COUNTIF($S$5:S1808,'報告書'!$C$4),""))</f>
        <v/>
      </c>
      <c r="AK1808" s="20" t="n"/>
      <c r="AL1808" s="47" t="n"/>
      <c r="AM1808" s="47" t="n"/>
      <c r="AN1808" s="53" t="n"/>
      <c r="AO1808" s="47" t="n"/>
      <c r="AP1808" s="47" t="n"/>
      <c r="AQ1808" s="47" t="n"/>
      <c r="AR1808" s="47" t="n"/>
      <c r="AS1808" s="47" t="n"/>
      <c r="AT1808" s="47" t="n"/>
      <c r="AU1808" s="47" t="n"/>
      <c r="AV1808" s="47" t="n"/>
      <c r="AW1808" s="52" t="n"/>
    </row>
    <row r="1809">
      <c r="A1809" s="48" t="n"/>
      <c r="B1809" s="52" t="n"/>
      <c r="C1809" s="47">
        <f>IF(B1809="","",IFERROR(INDEX('隊員マスタ'!$B$5:$B$204,MATCH(B1809&amp;"",'隊員マスタ'!$F$5:$F$204,0)),IF(AK1809="","番号なし",AK1809)))</f>
        <v/>
      </c>
      <c r="D1809" s="47" t="n"/>
      <c r="E1809" s="47" t="n"/>
      <c r="F1809" s="47" t="n"/>
      <c r="G1809" s="47" t="n"/>
      <c r="H1809" s="47" t="n"/>
      <c r="I1809" s="47" t="n"/>
      <c r="J1809" s="47" t="n"/>
      <c r="K1809" s="47" t="n"/>
      <c r="L1809" s="47" t="n"/>
      <c r="M1809" s="47" t="n"/>
      <c r="N1809" s="47" t="n"/>
      <c r="O1809" s="47" t="n"/>
      <c r="P1809" s="47" t="n"/>
      <c r="Q1809" s="47" t="n"/>
      <c r="R1809" s="47" t="n"/>
      <c r="S1809" s="47" t="n"/>
      <c r="T1809" s="47" t="n"/>
      <c r="U1809" s="53" t="n"/>
      <c r="V1809" s="53" t="n"/>
      <c r="W1809" s="47" t="n"/>
      <c r="X1809" s="47" t="n"/>
      <c r="Y1809" s="47" t="n"/>
      <c r="Z1809" s="47" t="n"/>
      <c r="AA1809" s="47" t="n"/>
      <c r="AB1809" s="47" t="n"/>
      <c r="AC1809" s="47" t="n"/>
      <c r="AD1809" s="47" t="n"/>
      <c r="AE1809" s="47" t="n"/>
      <c r="AF1809" s="20">
        <f>IF(A1809="","",YEAR(EDATE(A1809,-3)))</f>
        <v/>
      </c>
      <c r="AG1809" s="20">
        <f>IF(OR(B1809="",'経歴簿'!$C$4=""),"",IF(B1809&amp;""='経歴簿'!$C$4&amp;"",MAX($AG$4:AG1808)+1,""))</f>
        <v/>
      </c>
      <c r="AH1809" s="20">
        <f>IF(A1809="",0,IF(AND(OR('CSV抽出'!$C$4="",A1809&gt;='CSV抽出'!$C$4),OR('CSV抽出'!$C$5="",A1809&lt;='CSV抽出'!$C$5),OR('CSV抽出'!$C$6="すべて",'CSV抽出'!$C$6="",D1809='CSV抽出'!$C$6),OR('CSV抽出'!$C$7="",B1809&amp;""='CSV抽出'!$C$7&amp;"")),1,0))</f>
        <v/>
      </c>
      <c r="AI1809" s="20">
        <f>IF(AH1809=1,SUM($AH$5:AH1809),"")</f>
        <v/>
      </c>
      <c r="AJ1809" s="20">
        <f>IF(OR(S1809="",'報告書'!$C$4=""),"",IF(S1809&amp;""='報告書'!$C$4&amp;"",COUNTIF($S$5:S1809,'報告書'!$C$4),""))</f>
        <v/>
      </c>
      <c r="AK1809" s="20" t="n"/>
      <c r="AL1809" s="47" t="n"/>
      <c r="AM1809" s="47" t="n"/>
      <c r="AN1809" s="53" t="n"/>
      <c r="AO1809" s="47" t="n"/>
      <c r="AP1809" s="47" t="n"/>
      <c r="AQ1809" s="47" t="n"/>
      <c r="AR1809" s="47" t="n"/>
      <c r="AS1809" s="47" t="n"/>
      <c r="AT1809" s="47" t="n"/>
      <c r="AU1809" s="47" t="n"/>
      <c r="AV1809" s="47" t="n"/>
      <c r="AW1809" s="52" t="n"/>
    </row>
    <row r="1810">
      <c r="A1810" s="48" t="n"/>
      <c r="B1810" s="52" t="n"/>
      <c r="C1810" s="47">
        <f>IF(B1810="","",IFERROR(INDEX('隊員マスタ'!$B$5:$B$204,MATCH(B1810&amp;"",'隊員マスタ'!$F$5:$F$204,0)),IF(AK1810="","番号なし",AK1810)))</f>
        <v/>
      </c>
      <c r="D1810" s="47" t="n"/>
      <c r="E1810" s="47" t="n"/>
      <c r="F1810" s="47" t="n"/>
      <c r="G1810" s="47" t="n"/>
      <c r="H1810" s="47" t="n"/>
      <c r="I1810" s="47" t="n"/>
      <c r="J1810" s="47" t="n"/>
      <c r="K1810" s="47" t="n"/>
      <c r="L1810" s="47" t="n"/>
      <c r="M1810" s="47" t="n"/>
      <c r="N1810" s="47" t="n"/>
      <c r="O1810" s="47" t="n"/>
      <c r="P1810" s="47" t="n"/>
      <c r="Q1810" s="47" t="n"/>
      <c r="R1810" s="47" t="n"/>
      <c r="S1810" s="47" t="n"/>
      <c r="T1810" s="47" t="n"/>
      <c r="U1810" s="53" t="n"/>
      <c r="V1810" s="53" t="n"/>
      <c r="W1810" s="47" t="n"/>
      <c r="X1810" s="47" t="n"/>
      <c r="Y1810" s="47" t="n"/>
      <c r="Z1810" s="47" t="n"/>
      <c r="AA1810" s="47" t="n"/>
      <c r="AB1810" s="47" t="n"/>
      <c r="AC1810" s="47" t="n"/>
      <c r="AD1810" s="47" t="n"/>
      <c r="AE1810" s="47" t="n"/>
      <c r="AF1810" s="20">
        <f>IF(A1810="","",YEAR(EDATE(A1810,-3)))</f>
        <v/>
      </c>
      <c r="AG1810" s="20">
        <f>IF(OR(B1810="",'経歴簿'!$C$4=""),"",IF(B1810&amp;""='経歴簿'!$C$4&amp;"",MAX($AG$4:AG1809)+1,""))</f>
        <v/>
      </c>
      <c r="AH1810" s="20">
        <f>IF(A1810="",0,IF(AND(OR('CSV抽出'!$C$4="",A1810&gt;='CSV抽出'!$C$4),OR('CSV抽出'!$C$5="",A1810&lt;='CSV抽出'!$C$5),OR('CSV抽出'!$C$6="すべて",'CSV抽出'!$C$6="",D1810='CSV抽出'!$C$6),OR('CSV抽出'!$C$7="",B1810&amp;""='CSV抽出'!$C$7&amp;"")),1,0))</f>
        <v/>
      </c>
      <c r="AI1810" s="20">
        <f>IF(AH1810=1,SUM($AH$5:AH1810),"")</f>
        <v/>
      </c>
      <c r="AJ1810" s="20">
        <f>IF(OR(S1810="",'報告書'!$C$4=""),"",IF(S1810&amp;""='報告書'!$C$4&amp;"",COUNTIF($S$5:S1810,'報告書'!$C$4),""))</f>
        <v/>
      </c>
      <c r="AK1810" s="20" t="n"/>
      <c r="AL1810" s="47" t="n"/>
      <c r="AM1810" s="47" t="n"/>
      <c r="AN1810" s="53" t="n"/>
      <c r="AO1810" s="47" t="n"/>
      <c r="AP1810" s="47" t="n"/>
      <c r="AQ1810" s="47" t="n"/>
      <c r="AR1810" s="47" t="n"/>
      <c r="AS1810" s="47" t="n"/>
      <c r="AT1810" s="47" t="n"/>
      <c r="AU1810" s="47" t="n"/>
      <c r="AV1810" s="47" t="n"/>
      <c r="AW1810" s="52" t="n"/>
    </row>
    <row r="1811">
      <c r="A1811" s="48" t="n"/>
      <c r="B1811" s="52" t="n"/>
      <c r="C1811" s="47">
        <f>IF(B1811="","",IFERROR(INDEX('隊員マスタ'!$B$5:$B$204,MATCH(B1811&amp;"",'隊員マスタ'!$F$5:$F$204,0)),IF(AK1811="","番号なし",AK1811)))</f>
        <v/>
      </c>
      <c r="D1811" s="47" t="n"/>
      <c r="E1811" s="47" t="n"/>
      <c r="F1811" s="47" t="n"/>
      <c r="G1811" s="47" t="n"/>
      <c r="H1811" s="47" t="n"/>
      <c r="I1811" s="47" t="n"/>
      <c r="J1811" s="47" t="n"/>
      <c r="K1811" s="47" t="n"/>
      <c r="L1811" s="47" t="n"/>
      <c r="M1811" s="47" t="n"/>
      <c r="N1811" s="47" t="n"/>
      <c r="O1811" s="47" t="n"/>
      <c r="P1811" s="47" t="n"/>
      <c r="Q1811" s="47" t="n"/>
      <c r="R1811" s="47" t="n"/>
      <c r="S1811" s="47" t="n"/>
      <c r="T1811" s="47" t="n"/>
      <c r="U1811" s="53" t="n"/>
      <c r="V1811" s="53" t="n"/>
      <c r="W1811" s="47" t="n"/>
      <c r="X1811" s="47" t="n"/>
      <c r="Y1811" s="47" t="n"/>
      <c r="Z1811" s="47" t="n"/>
      <c r="AA1811" s="47" t="n"/>
      <c r="AB1811" s="47" t="n"/>
      <c r="AC1811" s="47" t="n"/>
      <c r="AD1811" s="47" t="n"/>
      <c r="AE1811" s="47" t="n"/>
      <c r="AF1811" s="20">
        <f>IF(A1811="","",YEAR(EDATE(A1811,-3)))</f>
        <v/>
      </c>
      <c r="AG1811" s="20">
        <f>IF(OR(B1811="",'経歴簿'!$C$4=""),"",IF(B1811&amp;""='経歴簿'!$C$4&amp;"",MAX($AG$4:AG1810)+1,""))</f>
        <v/>
      </c>
      <c r="AH1811" s="20">
        <f>IF(A1811="",0,IF(AND(OR('CSV抽出'!$C$4="",A1811&gt;='CSV抽出'!$C$4),OR('CSV抽出'!$C$5="",A1811&lt;='CSV抽出'!$C$5),OR('CSV抽出'!$C$6="すべて",'CSV抽出'!$C$6="",D1811='CSV抽出'!$C$6),OR('CSV抽出'!$C$7="",B1811&amp;""='CSV抽出'!$C$7&amp;"")),1,0))</f>
        <v/>
      </c>
      <c r="AI1811" s="20">
        <f>IF(AH1811=1,SUM($AH$5:AH1811),"")</f>
        <v/>
      </c>
      <c r="AJ1811" s="20">
        <f>IF(OR(S1811="",'報告書'!$C$4=""),"",IF(S1811&amp;""='報告書'!$C$4&amp;"",COUNTIF($S$5:S1811,'報告書'!$C$4),""))</f>
        <v/>
      </c>
      <c r="AK1811" s="20" t="n"/>
      <c r="AL1811" s="47" t="n"/>
      <c r="AM1811" s="47" t="n"/>
      <c r="AN1811" s="53" t="n"/>
      <c r="AO1811" s="47" t="n"/>
      <c r="AP1811" s="47" t="n"/>
      <c r="AQ1811" s="47" t="n"/>
      <c r="AR1811" s="47" t="n"/>
      <c r="AS1811" s="47" t="n"/>
      <c r="AT1811" s="47" t="n"/>
      <c r="AU1811" s="47" t="n"/>
      <c r="AV1811" s="47" t="n"/>
      <c r="AW1811" s="52" t="n"/>
    </row>
    <row r="1812">
      <c r="A1812" s="48" t="n"/>
      <c r="B1812" s="52" t="n"/>
      <c r="C1812" s="47">
        <f>IF(B1812="","",IFERROR(INDEX('隊員マスタ'!$B$5:$B$204,MATCH(B1812&amp;"",'隊員マスタ'!$F$5:$F$204,0)),IF(AK1812="","番号なし",AK1812)))</f>
        <v/>
      </c>
      <c r="D1812" s="47" t="n"/>
      <c r="E1812" s="47" t="n"/>
      <c r="F1812" s="47" t="n"/>
      <c r="G1812" s="47" t="n"/>
      <c r="H1812" s="47" t="n"/>
      <c r="I1812" s="47" t="n"/>
      <c r="J1812" s="47" t="n"/>
      <c r="K1812" s="47" t="n"/>
      <c r="L1812" s="47" t="n"/>
      <c r="M1812" s="47" t="n"/>
      <c r="N1812" s="47" t="n"/>
      <c r="O1812" s="47" t="n"/>
      <c r="P1812" s="47" t="n"/>
      <c r="Q1812" s="47" t="n"/>
      <c r="R1812" s="47" t="n"/>
      <c r="S1812" s="47" t="n"/>
      <c r="T1812" s="47" t="n"/>
      <c r="U1812" s="53" t="n"/>
      <c r="V1812" s="53" t="n"/>
      <c r="W1812" s="47" t="n"/>
      <c r="X1812" s="47" t="n"/>
      <c r="Y1812" s="47" t="n"/>
      <c r="Z1812" s="47" t="n"/>
      <c r="AA1812" s="47" t="n"/>
      <c r="AB1812" s="47" t="n"/>
      <c r="AC1812" s="47" t="n"/>
      <c r="AD1812" s="47" t="n"/>
      <c r="AE1812" s="47" t="n"/>
      <c r="AF1812" s="20">
        <f>IF(A1812="","",YEAR(EDATE(A1812,-3)))</f>
        <v/>
      </c>
      <c r="AG1812" s="20">
        <f>IF(OR(B1812="",'経歴簿'!$C$4=""),"",IF(B1812&amp;""='経歴簿'!$C$4&amp;"",MAX($AG$4:AG1811)+1,""))</f>
        <v/>
      </c>
      <c r="AH1812" s="20">
        <f>IF(A1812="",0,IF(AND(OR('CSV抽出'!$C$4="",A1812&gt;='CSV抽出'!$C$4),OR('CSV抽出'!$C$5="",A1812&lt;='CSV抽出'!$C$5),OR('CSV抽出'!$C$6="すべて",'CSV抽出'!$C$6="",D1812='CSV抽出'!$C$6),OR('CSV抽出'!$C$7="",B1812&amp;""='CSV抽出'!$C$7&amp;"")),1,0))</f>
        <v/>
      </c>
      <c r="AI1812" s="20">
        <f>IF(AH1812=1,SUM($AH$5:AH1812),"")</f>
        <v/>
      </c>
      <c r="AJ1812" s="20">
        <f>IF(OR(S1812="",'報告書'!$C$4=""),"",IF(S1812&amp;""='報告書'!$C$4&amp;"",COUNTIF($S$5:S1812,'報告書'!$C$4),""))</f>
        <v/>
      </c>
      <c r="AK1812" s="20" t="n"/>
      <c r="AL1812" s="47" t="n"/>
      <c r="AM1812" s="47" t="n"/>
      <c r="AN1812" s="53" t="n"/>
      <c r="AO1812" s="47" t="n"/>
      <c r="AP1812" s="47" t="n"/>
      <c r="AQ1812" s="47" t="n"/>
      <c r="AR1812" s="47" t="n"/>
      <c r="AS1812" s="47" t="n"/>
      <c r="AT1812" s="47" t="n"/>
      <c r="AU1812" s="47" t="n"/>
      <c r="AV1812" s="47" t="n"/>
      <c r="AW1812" s="52" t="n"/>
    </row>
    <row r="1813">
      <c r="A1813" s="48" t="n"/>
      <c r="B1813" s="52" t="n"/>
      <c r="C1813" s="47">
        <f>IF(B1813="","",IFERROR(INDEX('隊員マスタ'!$B$5:$B$204,MATCH(B1813&amp;"",'隊員マスタ'!$F$5:$F$204,0)),IF(AK1813="","番号なし",AK1813)))</f>
        <v/>
      </c>
      <c r="D1813" s="47" t="n"/>
      <c r="E1813" s="47" t="n"/>
      <c r="F1813" s="47" t="n"/>
      <c r="G1813" s="47" t="n"/>
      <c r="H1813" s="47" t="n"/>
      <c r="I1813" s="47" t="n"/>
      <c r="J1813" s="47" t="n"/>
      <c r="K1813" s="47" t="n"/>
      <c r="L1813" s="47" t="n"/>
      <c r="M1813" s="47" t="n"/>
      <c r="N1813" s="47" t="n"/>
      <c r="O1813" s="47" t="n"/>
      <c r="P1813" s="47" t="n"/>
      <c r="Q1813" s="47" t="n"/>
      <c r="R1813" s="47" t="n"/>
      <c r="S1813" s="47" t="n"/>
      <c r="T1813" s="47" t="n"/>
      <c r="U1813" s="53" t="n"/>
      <c r="V1813" s="53" t="n"/>
      <c r="W1813" s="47" t="n"/>
      <c r="X1813" s="47" t="n"/>
      <c r="Y1813" s="47" t="n"/>
      <c r="Z1813" s="47" t="n"/>
      <c r="AA1813" s="47" t="n"/>
      <c r="AB1813" s="47" t="n"/>
      <c r="AC1813" s="47" t="n"/>
      <c r="AD1813" s="47" t="n"/>
      <c r="AE1813" s="47" t="n"/>
      <c r="AF1813" s="20">
        <f>IF(A1813="","",YEAR(EDATE(A1813,-3)))</f>
        <v/>
      </c>
      <c r="AG1813" s="20">
        <f>IF(OR(B1813="",'経歴簿'!$C$4=""),"",IF(B1813&amp;""='経歴簿'!$C$4&amp;"",MAX($AG$4:AG1812)+1,""))</f>
        <v/>
      </c>
      <c r="AH1813" s="20">
        <f>IF(A1813="",0,IF(AND(OR('CSV抽出'!$C$4="",A1813&gt;='CSV抽出'!$C$4),OR('CSV抽出'!$C$5="",A1813&lt;='CSV抽出'!$C$5),OR('CSV抽出'!$C$6="すべて",'CSV抽出'!$C$6="",D1813='CSV抽出'!$C$6),OR('CSV抽出'!$C$7="",B1813&amp;""='CSV抽出'!$C$7&amp;"")),1,0))</f>
        <v/>
      </c>
      <c r="AI1813" s="20">
        <f>IF(AH1813=1,SUM($AH$5:AH1813),"")</f>
        <v/>
      </c>
      <c r="AJ1813" s="20">
        <f>IF(OR(S1813="",'報告書'!$C$4=""),"",IF(S1813&amp;""='報告書'!$C$4&amp;"",COUNTIF($S$5:S1813,'報告書'!$C$4),""))</f>
        <v/>
      </c>
      <c r="AK1813" s="20" t="n"/>
      <c r="AL1813" s="47" t="n"/>
      <c r="AM1813" s="47" t="n"/>
      <c r="AN1813" s="53" t="n"/>
      <c r="AO1813" s="47" t="n"/>
      <c r="AP1813" s="47" t="n"/>
      <c r="AQ1813" s="47" t="n"/>
      <c r="AR1813" s="47" t="n"/>
      <c r="AS1813" s="47" t="n"/>
      <c r="AT1813" s="47" t="n"/>
      <c r="AU1813" s="47" t="n"/>
      <c r="AV1813" s="47" t="n"/>
      <c r="AW1813" s="52" t="n"/>
    </row>
    <row r="1814">
      <c r="A1814" s="48" t="n"/>
      <c r="B1814" s="52" t="n"/>
      <c r="C1814" s="47">
        <f>IF(B1814="","",IFERROR(INDEX('隊員マスタ'!$B$5:$B$204,MATCH(B1814&amp;"",'隊員マスタ'!$F$5:$F$204,0)),IF(AK1814="","番号なし",AK1814)))</f>
        <v/>
      </c>
      <c r="D1814" s="47" t="n"/>
      <c r="E1814" s="47" t="n"/>
      <c r="F1814" s="47" t="n"/>
      <c r="G1814" s="47" t="n"/>
      <c r="H1814" s="47" t="n"/>
      <c r="I1814" s="47" t="n"/>
      <c r="J1814" s="47" t="n"/>
      <c r="K1814" s="47" t="n"/>
      <c r="L1814" s="47" t="n"/>
      <c r="M1814" s="47" t="n"/>
      <c r="N1814" s="47" t="n"/>
      <c r="O1814" s="47" t="n"/>
      <c r="P1814" s="47" t="n"/>
      <c r="Q1814" s="47" t="n"/>
      <c r="R1814" s="47" t="n"/>
      <c r="S1814" s="47" t="n"/>
      <c r="T1814" s="47" t="n"/>
      <c r="U1814" s="53" t="n"/>
      <c r="V1814" s="53" t="n"/>
      <c r="W1814" s="47" t="n"/>
      <c r="X1814" s="47" t="n"/>
      <c r="Y1814" s="47" t="n"/>
      <c r="Z1814" s="47" t="n"/>
      <c r="AA1814" s="47" t="n"/>
      <c r="AB1814" s="47" t="n"/>
      <c r="AC1814" s="47" t="n"/>
      <c r="AD1814" s="47" t="n"/>
      <c r="AE1814" s="47" t="n"/>
      <c r="AF1814" s="20">
        <f>IF(A1814="","",YEAR(EDATE(A1814,-3)))</f>
        <v/>
      </c>
      <c r="AG1814" s="20">
        <f>IF(OR(B1814="",'経歴簿'!$C$4=""),"",IF(B1814&amp;""='経歴簿'!$C$4&amp;"",MAX($AG$4:AG1813)+1,""))</f>
        <v/>
      </c>
      <c r="AH1814" s="20">
        <f>IF(A1814="",0,IF(AND(OR('CSV抽出'!$C$4="",A1814&gt;='CSV抽出'!$C$4),OR('CSV抽出'!$C$5="",A1814&lt;='CSV抽出'!$C$5),OR('CSV抽出'!$C$6="すべて",'CSV抽出'!$C$6="",D1814='CSV抽出'!$C$6),OR('CSV抽出'!$C$7="",B1814&amp;""='CSV抽出'!$C$7&amp;"")),1,0))</f>
        <v/>
      </c>
      <c r="AI1814" s="20">
        <f>IF(AH1814=1,SUM($AH$5:AH1814),"")</f>
        <v/>
      </c>
      <c r="AJ1814" s="20">
        <f>IF(OR(S1814="",'報告書'!$C$4=""),"",IF(S1814&amp;""='報告書'!$C$4&amp;"",COUNTIF($S$5:S1814,'報告書'!$C$4),""))</f>
        <v/>
      </c>
      <c r="AK1814" s="20" t="n"/>
      <c r="AL1814" s="47" t="n"/>
      <c r="AM1814" s="47" t="n"/>
      <c r="AN1814" s="53" t="n"/>
      <c r="AO1814" s="47" t="n"/>
      <c r="AP1814" s="47" t="n"/>
      <c r="AQ1814" s="47" t="n"/>
      <c r="AR1814" s="47" t="n"/>
      <c r="AS1814" s="47" t="n"/>
      <c r="AT1814" s="47" t="n"/>
      <c r="AU1814" s="47" t="n"/>
      <c r="AV1814" s="47" t="n"/>
      <c r="AW1814" s="52" t="n"/>
    </row>
    <row r="1815">
      <c r="A1815" s="48" t="n"/>
      <c r="B1815" s="52" t="n"/>
      <c r="C1815" s="47">
        <f>IF(B1815="","",IFERROR(INDEX('隊員マスタ'!$B$5:$B$204,MATCH(B1815&amp;"",'隊員マスタ'!$F$5:$F$204,0)),IF(AK1815="","番号なし",AK1815)))</f>
        <v/>
      </c>
      <c r="D1815" s="47" t="n"/>
      <c r="E1815" s="47" t="n"/>
      <c r="F1815" s="47" t="n"/>
      <c r="G1815" s="47" t="n"/>
      <c r="H1815" s="47" t="n"/>
      <c r="I1815" s="47" t="n"/>
      <c r="J1815" s="47" t="n"/>
      <c r="K1815" s="47" t="n"/>
      <c r="L1815" s="47" t="n"/>
      <c r="M1815" s="47" t="n"/>
      <c r="N1815" s="47" t="n"/>
      <c r="O1815" s="47" t="n"/>
      <c r="P1815" s="47" t="n"/>
      <c r="Q1815" s="47" t="n"/>
      <c r="R1815" s="47" t="n"/>
      <c r="S1815" s="47" t="n"/>
      <c r="T1815" s="47" t="n"/>
      <c r="U1815" s="53" t="n"/>
      <c r="V1815" s="53" t="n"/>
      <c r="W1815" s="47" t="n"/>
      <c r="X1815" s="47" t="n"/>
      <c r="Y1815" s="47" t="n"/>
      <c r="Z1815" s="47" t="n"/>
      <c r="AA1815" s="47" t="n"/>
      <c r="AB1815" s="47" t="n"/>
      <c r="AC1815" s="47" t="n"/>
      <c r="AD1815" s="47" t="n"/>
      <c r="AE1815" s="47" t="n"/>
      <c r="AF1815" s="20">
        <f>IF(A1815="","",YEAR(EDATE(A1815,-3)))</f>
        <v/>
      </c>
      <c r="AG1815" s="20">
        <f>IF(OR(B1815="",'経歴簿'!$C$4=""),"",IF(B1815&amp;""='経歴簿'!$C$4&amp;"",MAX($AG$4:AG1814)+1,""))</f>
        <v/>
      </c>
      <c r="AH1815" s="20">
        <f>IF(A1815="",0,IF(AND(OR('CSV抽出'!$C$4="",A1815&gt;='CSV抽出'!$C$4),OR('CSV抽出'!$C$5="",A1815&lt;='CSV抽出'!$C$5),OR('CSV抽出'!$C$6="すべて",'CSV抽出'!$C$6="",D1815='CSV抽出'!$C$6),OR('CSV抽出'!$C$7="",B1815&amp;""='CSV抽出'!$C$7&amp;"")),1,0))</f>
        <v/>
      </c>
      <c r="AI1815" s="20">
        <f>IF(AH1815=1,SUM($AH$5:AH1815),"")</f>
        <v/>
      </c>
      <c r="AJ1815" s="20">
        <f>IF(OR(S1815="",'報告書'!$C$4=""),"",IF(S1815&amp;""='報告書'!$C$4&amp;"",COUNTIF($S$5:S1815,'報告書'!$C$4),""))</f>
        <v/>
      </c>
      <c r="AK1815" s="20" t="n"/>
      <c r="AL1815" s="47" t="n"/>
      <c r="AM1815" s="47" t="n"/>
      <c r="AN1815" s="53" t="n"/>
      <c r="AO1815" s="47" t="n"/>
      <c r="AP1815" s="47" t="n"/>
      <c r="AQ1815" s="47" t="n"/>
      <c r="AR1815" s="47" t="n"/>
      <c r="AS1815" s="47" t="n"/>
      <c r="AT1815" s="47" t="n"/>
      <c r="AU1815" s="47" t="n"/>
      <c r="AV1815" s="47" t="n"/>
      <c r="AW1815" s="52" t="n"/>
    </row>
    <row r="1816">
      <c r="A1816" s="48" t="n"/>
      <c r="B1816" s="52" t="n"/>
      <c r="C1816" s="47">
        <f>IF(B1816="","",IFERROR(INDEX('隊員マスタ'!$B$5:$B$204,MATCH(B1816&amp;"",'隊員マスタ'!$F$5:$F$204,0)),IF(AK1816="","番号なし",AK1816)))</f>
        <v/>
      </c>
      <c r="D1816" s="47" t="n"/>
      <c r="E1816" s="47" t="n"/>
      <c r="F1816" s="47" t="n"/>
      <c r="G1816" s="47" t="n"/>
      <c r="H1816" s="47" t="n"/>
      <c r="I1816" s="47" t="n"/>
      <c r="J1816" s="47" t="n"/>
      <c r="K1816" s="47" t="n"/>
      <c r="L1816" s="47" t="n"/>
      <c r="M1816" s="47" t="n"/>
      <c r="N1816" s="47" t="n"/>
      <c r="O1816" s="47" t="n"/>
      <c r="P1816" s="47" t="n"/>
      <c r="Q1816" s="47" t="n"/>
      <c r="R1816" s="47" t="n"/>
      <c r="S1816" s="47" t="n"/>
      <c r="T1816" s="47" t="n"/>
      <c r="U1816" s="53" t="n"/>
      <c r="V1816" s="53" t="n"/>
      <c r="W1816" s="47" t="n"/>
      <c r="X1816" s="47" t="n"/>
      <c r="Y1816" s="47" t="n"/>
      <c r="Z1816" s="47" t="n"/>
      <c r="AA1816" s="47" t="n"/>
      <c r="AB1816" s="47" t="n"/>
      <c r="AC1816" s="47" t="n"/>
      <c r="AD1816" s="47" t="n"/>
      <c r="AE1816" s="47" t="n"/>
      <c r="AF1816" s="20">
        <f>IF(A1816="","",YEAR(EDATE(A1816,-3)))</f>
        <v/>
      </c>
      <c r="AG1816" s="20">
        <f>IF(OR(B1816="",'経歴簿'!$C$4=""),"",IF(B1816&amp;""='経歴簿'!$C$4&amp;"",MAX($AG$4:AG1815)+1,""))</f>
        <v/>
      </c>
      <c r="AH1816" s="20">
        <f>IF(A1816="",0,IF(AND(OR('CSV抽出'!$C$4="",A1816&gt;='CSV抽出'!$C$4),OR('CSV抽出'!$C$5="",A1816&lt;='CSV抽出'!$C$5),OR('CSV抽出'!$C$6="すべて",'CSV抽出'!$C$6="",D1816='CSV抽出'!$C$6),OR('CSV抽出'!$C$7="",B1816&amp;""='CSV抽出'!$C$7&amp;"")),1,0))</f>
        <v/>
      </c>
      <c r="AI1816" s="20">
        <f>IF(AH1816=1,SUM($AH$5:AH1816),"")</f>
        <v/>
      </c>
      <c r="AJ1816" s="20">
        <f>IF(OR(S1816="",'報告書'!$C$4=""),"",IF(S1816&amp;""='報告書'!$C$4&amp;"",COUNTIF($S$5:S1816,'報告書'!$C$4),""))</f>
        <v/>
      </c>
      <c r="AK1816" s="20" t="n"/>
      <c r="AL1816" s="47" t="n"/>
      <c r="AM1816" s="47" t="n"/>
      <c r="AN1816" s="53" t="n"/>
      <c r="AO1816" s="47" t="n"/>
      <c r="AP1816" s="47" t="n"/>
      <c r="AQ1816" s="47" t="n"/>
      <c r="AR1816" s="47" t="n"/>
      <c r="AS1816" s="47" t="n"/>
      <c r="AT1816" s="47" t="n"/>
      <c r="AU1816" s="47" t="n"/>
      <c r="AV1816" s="47" t="n"/>
      <c r="AW1816" s="52" t="n"/>
    </row>
    <row r="1817">
      <c r="A1817" s="48" t="n"/>
      <c r="B1817" s="52" t="n"/>
      <c r="C1817" s="47">
        <f>IF(B1817="","",IFERROR(INDEX('隊員マスタ'!$B$5:$B$204,MATCH(B1817&amp;"",'隊員マスタ'!$F$5:$F$204,0)),IF(AK1817="","番号なし",AK1817)))</f>
        <v/>
      </c>
      <c r="D1817" s="47" t="n"/>
      <c r="E1817" s="47" t="n"/>
      <c r="F1817" s="47" t="n"/>
      <c r="G1817" s="47" t="n"/>
      <c r="H1817" s="47" t="n"/>
      <c r="I1817" s="47" t="n"/>
      <c r="J1817" s="47" t="n"/>
      <c r="K1817" s="47" t="n"/>
      <c r="L1817" s="47" t="n"/>
      <c r="M1817" s="47" t="n"/>
      <c r="N1817" s="47" t="n"/>
      <c r="O1817" s="47" t="n"/>
      <c r="P1817" s="47" t="n"/>
      <c r="Q1817" s="47" t="n"/>
      <c r="R1817" s="47" t="n"/>
      <c r="S1817" s="47" t="n"/>
      <c r="T1817" s="47" t="n"/>
      <c r="U1817" s="53" t="n"/>
      <c r="V1817" s="53" t="n"/>
      <c r="W1817" s="47" t="n"/>
      <c r="X1817" s="47" t="n"/>
      <c r="Y1817" s="47" t="n"/>
      <c r="Z1817" s="47" t="n"/>
      <c r="AA1817" s="47" t="n"/>
      <c r="AB1817" s="47" t="n"/>
      <c r="AC1817" s="47" t="n"/>
      <c r="AD1817" s="47" t="n"/>
      <c r="AE1817" s="47" t="n"/>
      <c r="AF1817" s="20">
        <f>IF(A1817="","",YEAR(EDATE(A1817,-3)))</f>
        <v/>
      </c>
      <c r="AG1817" s="20">
        <f>IF(OR(B1817="",'経歴簿'!$C$4=""),"",IF(B1817&amp;""='経歴簿'!$C$4&amp;"",MAX($AG$4:AG1816)+1,""))</f>
        <v/>
      </c>
      <c r="AH1817" s="20">
        <f>IF(A1817="",0,IF(AND(OR('CSV抽出'!$C$4="",A1817&gt;='CSV抽出'!$C$4),OR('CSV抽出'!$C$5="",A1817&lt;='CSV抽出'!$C$5),OR('CSV抽出'!$C$6="すべて",'CSV抽出'!$C$6="",D1817='CSV抽出'!$C$6),OR('CSV抽出'!$C$7="",B1817&amp;""='CSV抽出'!$C$7&amp;"")),1,0))</f>
        <v/>
      </c>
      <c r="AI1817" s="20">
        <f>IF(AH1817=1,SUM($AH$5:AH1817),"")</f>
        <v/>
      </c>
      <c r="AJ1817" s="20">
        <f>IF(OR(S1817="",'報告書'!$C$4=""),"",IF(S1817&amp;""='報告書'!$C$4&amp;"",COUNTIF($S$5:S1817,'報告書'!$C$4),""))</f>
        <v/>
      </c>
      <c r="AK1817" s="20" t="n"/>
      <c r="AL1817" s="47" t="n"/>
      <c r="AM1817" s="47" t="n"/>
      <c r="AN1817" s="53" t="n"/>
      <c r="AO1817" s="47" t="n"/>
      <c r="AP1817" s="47" t="n"/>
      <c r="AQ1817" s="47" t="n"/>
      <c r="AR1817" s="47" t="n"/>
      <c r="AS1817" s="47" t="n"/>
      <c r="AT1817" s="47" t="n"/>
      <c r="AU1817" s="47" t="n"/>
      <c r="AV1817" s="47" t="n"/>
      <c r="AW1817" s="52" t="n"/>
    </row>
    <row r="1818">
      <c r="A1818" s="48" t="n"/>
      <c r="B1818" s="52" t="n"/>
      <c r="C1818" s="47">
        <f>IF(B1818="","",IFERROR(INDEX('隊員マスタ'!$B$5:$B$204,MATCH(B1818&amp;"",'隊員マスタ'!$F$5:$F$204,0)),IF(AK1818="","番号なし",AK1818)))</f>
        <v/>
      </c>
      <c r="D1818" s="47" t="n"/>
      <c r="E1818" s="47" t="n"/>
      <c r="F1818" s="47" t="n"/>
      <c r="G1818" s="47" t="n"/>
      <c r="H1818" s="47" t="n"/>
      <c r="I1818" s="47" t="n"/>
      <c r="J1818" s="47" t="n"/>
      <c r="K1818" s="47" t="n"/>
      <c r="L1818" s="47" t="n"/>
      <c r="M1818" s="47" t="n"/>
      <c r="N1818" s="47" t="n"/>
      <c r="O1818" s="47" t="n"/>
      <c r="P1818" s="47" t="n"/>
      <c r="Q1818" s="47" t="n"/>
      <c r="R1818" s="47" t="n"/>
      <c r="S1818" s="47" t="n"/>
      <c r="T1818" s="47" t="n"/>
      <c r="U1818" s="53" t="n"/>
      <c r="V1818" s="53" t="n"/>
      <c r="W1818" s="47" t="n"/>
      <c r="X1818" s="47" t="n"/>
      <c r="Y1818" s="47" t="n"/>
      <c r="Z1818" s="47" t="n"/>
      <c r="AA1818" s="47" t="n"/>
      <c r="AB1818" s="47" t="n"/>
      <c r="AC1818" s="47" t="n"/>
      <c r="AD1818" s="47" t="n"/>
      <c r="AE1818" s="47" t="n"/>
      <c r="AF1818" s="20">
        <f>IF(A1818="","",YEAR(EDATE(A1818,-3)))</f>
        <v/>
      </c>
      <c r="AG1818" s="20">
        <f>IF(OR(B1818="",'経歴簿'!$C$4=""),"",IF(B1818&amp;""='経歴簿'!$C$4&amp;"",MAX($AG$4:AG1817)+1,""))</f>
        <v/>
      </c>
      <c r="AH1818" s="20">
        <f>IF(A1818="",0,IF(AND(OR('CSV抽出'!$C$4="",A1818&gt;='CSV抽出'!$C$4),OR('CSV抽出'!$C$5="",A1818&lt;='CSV抽出'!$C$5),OR('CSV抽出'!$C$6="すべて",'CSV抽出'!$C$6="",D1818='CSV抽出'!$C$6),OR('CSV抽出'!$C$7="",B1818&amp;""='CSV抽出'!$C$7&amp;"")),1,0))</f>
        <v/>
      </c>
      <c r="AI1818" s="20">
        <f>IF(AH1818=1,SUM($AH$5:AH1818),"")</f>
        <v/>
      </c>
      <c r="AJ1818" s="20">
        <f>IF(OR(S1818="",'報告書'!$C$4=""),"",IF(S1818&amp;""='報告書'!$C$4&amp;"",COUNTIF($S$5:S1818,'報告書'!$C$4),""))</f>
        <v/>
      </c>
      <c r="AK1818" s="20" t="n"/>
      <c r="AL1818" s="47" t="n"/>
      <c r="AM1818" s="47" t="n"/>
      <c r="AN1818" s="53" t="n"/>
      <c r="AO1818" s="47" t="n"/>
      <c r="AP1818" s="47" t="n"/>
      <c r="AQ1818" s="47" t="n"/>
      <c r="AR1818" s="47" t="n"/>
      <c r="AS1818" s="47" t="n"/>
      <c r="AT1818" s="47" t="n"/>
      <c r="AU1818" s="47" t="n"/>
      <c r="AV1818" s="47" t="n"/>
      <c r="AW1818" s="52" t="n"/>
    </row>
    <row r="1819">
      <c r="A1819" s="48" t="n"/>
      <c r="B1819" s="52" t="n"/>
      <c r="C1819" s="47">
        <f>IF(B1819="","",IFERROR(INDEX('隊員マスタ'!$B$5:$B$204,MATCH(B1819&amp;"",'隊員マスタ'!$F$5:$F$204,0)),IF(AK1819="","番号なし",AK1819)))</f>
        <v/>
      </c>
      <c r="D1819" s="47" t="n"/>
      <c r="E1819" s="47" t="n"/>
      <c r="F1819" s="47" t="n"/>
      <c r="G1819" s="47" t="n"/>
      <c r="H1819" s="47" t="n"/>
      <c r="I1819" s="47" t="n"/>
      <c r="J1819" s="47" t="n"/>
      <c r="K1819" s="47" t="n"/>
      <c r="L1819" s="47" t="n"/>
      <c r="M1819" s="47" t="n"/>
      <c r="N1819" s="47" t="n"/>
      <c r="O1819" s="47" t="n"/>
      <c r="P1819" s="47" t="n"/>
      <c r="Q1819" s="47" t="n"/>
      <c r="R1819" s="47" t="n"/>
      <c r="S1819" s="47" t="n"/>
      <c r="T1819" s="47" t="n"/>
      <c r="U1819" s="53" t="n"/>
      <c r="V1819" s="53" t="n"/>
      <c r="W1819" s="47" t="n"/>
      <c r="X1819" s="47" t="n"/>
      <c r="Y1819" s="47" t="n"/>
      <c r="Z1819" s="47" t="n"/>
      <c r="AA1819" s="47" t="n"/>
      <c r="AB1819" s="47" t="n"/>
      <c r="AC1819" s="47" t="n"/>
      <c r="AD1819" s="47" t="n"/>
      <c r="AE1819" s="47" t="n"/>
      <c r="AF1819" s="20">
        <f>IF(A1819="","",YEAR(EDATE(A1819,-3)))</f>
        <v/>
      </c>
      <c r="AG1819" s="20">
        <f>IF(OR(B1819="",'経歴簿'!$C$4=""),"",IF(B1819&amp;""='経歴簿'!$C$4&amp;"",MAX($AG$4:AG1818)+1,""))</f>
        <v/>
      </c>
      <c r="AH1819" s="20">
        <f>IF(A1819="",0,IF(AND(OR('CSV抽出'!$C$4="",A1819&gt;='CSV抽出'!$C$4),OR('CSV抽出'!$C$5="",A1819&lt;='CSV抽出'!$C$5),OR('CSV抽出'!$C$6="すべて",'CSV抽出'!$C$6="",D1819='CSV抽出'!$C$6),OR('CSV抽出'!$C$7="",B1819&amp;""='CSV抽出'!$C$7&amp;"")),1,0))</f>
        <v/>
      </c>
      <c r="AI1819" s="20">
        <f>IF(AH1819=1,SUM($AH$5:AH1819),"")</f>
        <v/>
      </c>
      <c r="AJ1819" s="20">
        <f>IF(OR(S1819="",'報告書'!$C$4=""),"",IF(S1819&amp;""='報告書'!$C$4&amp;"",COUNTIF($S$5:S1819,'報告書'!$C$4),""))</f>
        <v/>
      </c>
      <c r="AK1819" s="20" t="n"/>
      <c r="AL1819" s="47" t="n"/>
      <c r="AM1819" s="47" t="n"/>
      <c r="AN1819" s="53" t="n"/>
      <c r="AO1819" s="47" t="n"/>
      <c r="AP1819" s="47" t="n"/>
      <c r="AQ1819" s="47" t="n"/>
      <c r="AR1819" s="47" t="n"/>
      <c r="AS1819" s="47" t="n"/>
      <c r="AT1819" s="47" t="n"/>
      <c r="AU1819" s="47" t="n"/>
      <c r="AV1819" s="47" t="n"/>
      <c r="AW1819" s="52" t="n"/>
    </row>
    <row r="1820">
      <c r="A1820" s="48" t="n"/>
      <c r="B1820" s="52" t="n"/>
      <c r="C1820" s="47">
        <f>IF(B1820="","",IFERROR(INDEX('隊員マスタ'!$B$5:$B$204,MATCH(B1820&amp;"",'隊員マスタ'!$F$5:$F$204,0)),IF(AK1820="","番号なし",AK1820)))</f>
        <v/>
      </c>
      <c r="D1820" s="47" t="n"/>
      <c r="E1820" s="47" t="n"/>
      <c r="F1820" s="47" t="n"/>
      <c r="G1820" s="47" t="n"/>
      <c r="H1820" s="47" t="n"/>
      <c r="I1820" s="47" t="n"/>
      <c r="J1820" s="47" t="n"/>
      <c r="K1820" s="47" t="n"/>
      <c r="L1820" s="47" t="n"/>
      <c r="M1820" s="47" t="n"/>
      <c r="N1820" s="47" t="n"/>
      <c r="O1820" s="47" t="n"/>
      <c r="P1820" s="47" t="n"/>
      <c r="Q1820" s="47" t="n"/>
      <c r="R1820" s="47" t="n"/>
      <c r="S1820" s="47" t="n"/>
      <c r="T1820" s="47" t="n"/>
      <c r="U1820" s="53" t="n"/>
      <c r="V1820" s="53" t="n"/>
      <c r="W1820" s="47" t="n"/>
      <c r="X1820" s="47" t="n"/>
      <c r="Y1820" s="47" t="n"/>
      <c r="Z1820" s="47" t="n"/>
      <c r="AA1820" s="47" t="n"/>
      <c r="AB1820" s="47" t="n"/>
      <c r="AC1820" s="47" t="n"/>
      <c r="AD1820" s="47" t="n"/>
      <c r="AE1820" s="47" t="n"/>
      <c r="AF1820" s="20">
        <f>IF(A1820="","",YEAR(EDATE(A1820,-3)))</f>
        <v/>
      </c>
      <c r="AG1820" s="20">
        <f>IF(OR(B1820="",'経歴簿'!$C$4=""),"",IF(B1820&amp;""='経歴簿'!$C$4&amp;"",MAX($AG$4:AG1819)+1,""))</f>
        <v/>
      </c>
      <c r="AH1820" s="20">
        <f>IF(A1820="",0,IF(AND(OR('CSV抽出'!$C$4="",A1820&gt;='CSV抽出'!$C$4),OR('CSV抽出'!$C$5="",A1820&lt;='CSV抽出'!$C$5),OR('CSV抽出'!$C$6="すべて",'CSV抽出'!$C$6="",D1820='CSV抽出'!$C$6),OR('CSV抽出'!$C$7="",B1820&amp;""='CSV抽出'!$C$7&amp;"")),1,0))</f>
        <v/>
      </c>
      <c r="AI1820" s="20">
        <f>IF(AH1820=1,SUM($AH$5:AH1820),"")</f>
        <v/>
      </c>
      <c r="AJ1820" s="20">
        <f>IF(OR(S1820="",'報告書'!$C$4=""),"",IF(S1820&amp;""='報告書'!$C$4&amp;"",COUNTIF($S$5:S1820,'報告書'!$C$4),""))</f>
        <v/>
      </c>
      <c r="AK1820" s="20" t="n"/>
      <c r="AL1820" s="47" t="n"/>
      <c r="AM1820" s="47" t="n"/>
      <c r="AN1820" s="53" t="n"/>
      <c r="AO1820" s="47" t="n"/>
      <c r="AP1820" s="47" t="n"/>
      <c r="AQ1820" s="47" t="n"/>
      <c r="AR1820" s="47" t="n"/>
      <c r="AS1820" s="47" t="n"/>
      <c r="AT1820" s="47" t="n"/>
      <c r="AU1820" s="47" t="n"/>
      <c r="AV1820" s="47" t="n"/>
      <c r="AW1820" s="52" t="n"/>
    </row>
    <row r="1821">
      <c r="A1821" s="48" t="n"/>
      <c r="B1821" s="52" t="n"/>
      <c r="C1821" s="47">
        <f>IF(B1821="","",IFERROR(INDEX('隊員マスタ'!$B$5:$B$204,MATCH(B1821&amp;"",'隊員マスタ'!$F$5:$F$204,0)),IF(AK1821="","番号なし",AK1821)))</f>
        <v/>
      </c>
      <c r="D1821" s="47" t="n"/>
      <c r="E1821" s="47" t="n"/>
      <c r="F1821" s="47" t="n"/>
      <c r="G1821" s="47" t="n"/>
      <c r="H1821" s="47" t="n"/>
      <c r="I1821" s="47" t="n"/>
      <c r="J1821" s="47" t="n"/>
      <c r="K1821" s="47" t="n"/>
      <c r="L1821" s="47" t="n"/>
      <c r="M1821" s="47" t="n"/>
      <c r="N1821" s="47" t="n"/>
      <c r="O1821" s="47" t="n"/>
      <c r="P1821" s="47" t="n"/>
      <c r="Q1821" s="47" t="n"/>
      <c r="R1821" s="47" t="n"/>
      <c r="S1821" s="47" t="n"/>
      <c r="T1821" s="47" t="n"/>
      <c r="U1821" s="53" t="n"/>
      <c r="V1821" s="53" t="n"/>
      <c r="W1821" s="47" t="n"/>
      <c r="X1821" s="47" t="n"/>
      <c r="Y1821" s="47" t="n"/>
      <c r="Z1821" s="47" t="n"/>
      <c r="AA1821" s="47" t="n"/>
      <c r="AB1821" s="47" t="n"/>
      <c r="AC1821" s="47" t="n"/>
      <c r="AD1821" s="47" t="n"/>
      <c r="AE1821" s="47" t="n"/>
      <c r="AF1821" s="20">
        <f>IF(A1821="","",YEAR(EDATE(A1821,-3)))</f>
        <v/>
      </c>
      <c r="AG1821" s="20">
        <f>IF(OR(B1821="",'経歴簿'!$C$4=""),"",IF(B1821&amp;""='経歴簿'!$C$4&amp;"",MAX($AG$4:AG1820)+1,""))</f>
        <v/>
      </c>
      <c r="AH1821" s="20">
        <f>IF(A1821="",0,IF(AND(OR('CSV抽出'!$C$4="",A1821&gt;='CSV抽出'!$C$4),OR('CSV抽出'!$C$5="",A1821&lt;='CSV抽出'!$C$5),OR('CSV抽出'!$C$6="すべて",'CSV抽出'!$C$6="",D1821='CSV抽出'!$C$6),OR('CSV抽出'!$C$7="",B1821&amp;""='CSV抽出'!$C$7&amp;"")),1,0))</f>
        <v/>
      </c>
      <c r="AI1821" s="20">
        <f>IF(AH1821=1,SUM($AH$5:AH1821),"")</f>
        <v/>
      </c>
      <c r="AJ1821" s="20">
        <f>IF(OR(S1821="",'報告書'!$C$4=""),"",IF(S1821&amp;""='報告書'!$C$4&amp;"",COUNTIF($S$5:S1821,'報告書'!$C$4),""))</f>
        <v/>
      </c>
      <c r="AK1821" s="20" t="n"/>
      <c r="AL1821" s="47" t="n"/>
      <c r="AM1821" s="47" t="n"/>
      <c r="AN1821" s="53" t="n"/>
      <c r="AO1821" s="47" t="n"/>
      <c r="AP1821" s="47" t="n"/>
      <c r="AQ1821" s="47" t="n"/>
      <c r="AR1821" s="47" t="n"/>
      <c r="AS1821" s="47" t="n"/>
      <c r="AT1821" s="47" t="n"/>
      <c r="AU1821" s="47" t="n"/>
      <c r="AV1821" s="47" t="n"/>
      <c r="AW1821" s="52" t="n"/>
    </row>
    <row r="1822">
      <c r="A1822" s="48" t="n"/>
      <c r="B1822" s="52" t="n"/>
      <c r="C1822" s="47">
        <f>IF(B1822="","",IFERROR(INDEX('隊員マスタ'!$B$5:$B$204,MATCH(B1822&amp;"",'隊員マスタ'!$F$5:$F$204,0)),IF(AK1822="","番号なし",AK1822)))</f>
        <v/>
      </c>
      <c r="D1822" s="47" t="n"/>
      <c r="E1822" s="47" t="n"/>
      <c r="F1822" s="47" t="n"/>
      <c r="G1822" s="47" t="n"/>
      <c r="H1822" s="47" t="n"/>
      <c r="I1822" s="47" t="n"/>
      <c r="J1822" s="47" t="n"/>
      <c r="K1822" s="47" t="n"/>
      <c r="L1822" s="47" t="n"/>
      <c r="M1822" s="47" t="n"/>
      <c r="N1822" s="47" t="n"/>
      <c r="O1822" s="47" t="n"/>
      <c r="P1822" s="47" t="n"/>
      <c r="Q1822" s="47" t="n"/>
      <c r="R1822" s="47" t="n"/>
      <c r="S1822" s="47" t="n"/>
      <c r="T1822" s="47" t="n"/>
      <c r="U1822" s="53" t="n"/>
      <c r="V1822" s="53" t="n"/>
      <c r="W1822" s="47" t="n"/>
      <c r="X1822" s="47" t="n"/>
      <c r="Y1822" s="47" t="n"/>
      <c r="Z1822" s="47" t="n"/>
      <c r="AA1822" s="47" t="n"/>
      <c r="AB1822" s="47" t="n"/>
      <c r="AC1822" s="47" t="n"/>
      <c r="AD1822" s="47" t="n"/>
      <c r="AE1822" s="47" t="n"/>
      <c r="AF1822" s="20">
        <f>IF(A1822="","",YEAR(EDATE(A1822,-3)))</f>
        <v/>
      </c>
      <c r="AG1822" s="20">
        <f>IF(OR(B1822="",'経歴簿'!$C$4=""),"",IF(B1822&amp;""='経歴簿'!$C$4&amp;"",MAX($AG$4:AG1821)+1,""))</f>
        <v/>
      </c>
      <c r="AH1822" s="20">
        <f>IF(A1822="",0,IF(AND(OR('CSV抽出'!$C$4="",A1822&gt;='CSV抽出'!$C$4),OR('CSV抽出'!$C$5="",A1822&lt;='CSV抽出'!$C$5),OR('CSV抽出'!$C$6="すべて",'CSV抽出'!$C$6="",D1822='CSV抽出'!$C$6),OR('CSV抽出'!$C$7="",B1822&amp;""='CSV抽出'!$C$7&amp;"")),1,0))</f>
        <v/>
      </c>
      <c r="AI1822" s="20">
        <f>IF(AH1822=1,SUM($AH$5:AH1822),"")</f>
        <v/>
      </c>
      <c r="AJ1822" s="20">
        <f>IF(OR(S1822="",'報告書'!$C$4=""),"",IF(S1822&amp;""='報告書'!$C$4&amp;"",COUNTIF($S$5:S1822,'報告書'!$C$4),""))</f>
        <v/>
      </c>
      <c r="AK1822" s="20" t="n"/>
      <c r="AL1822" s="47" t="n"/>
      <c r="AM1822" s="47" t="n"/>
      <c r="AN1822" s="53" t="n"/>
      <c r="AO1822" s="47" t="n"/>
      <c r="AP1822" s="47" t="n"/>
      <c r="AQ1822" s="47" t="n"/>
      <c r="AR1822" s="47" t="n"/>
      <c r="AS1822" s="47" t="n"/>
      <c r="AT1822" s="47" t="n"/>
      <c r="AU1822" s="47" t="n"/>
      <c r="AV1822" s="47" t="n"/>
      <c r="AW1822" s="52" t="n"/>
    </row>
    <row r="1823">
      <c r="A1823" s="48" t="n"/>
      <c r="B1823" s="52" t="n"/>
      <c r="C1823" s="47">
        <f>IF(B1823="","",IFERROR(INDEX('隊員マスタ'!$B$5:$B$204,MATCH(B1823&amp;"",'隊員マスタ'!$F$5:$F$204,0)),IF(AK1823="","番号なし",AK1823)))</f>
        <v/>
      </c>
      <c r="D1823" s="47" t="n"/>
      <c r="E1823" s="47" t="n"/>
      <c r="F1823" s="47" t="n"/>
      <c r="G1823" s="47" t="n"/>
      <c r="H1823" s="47" t="n"/>
      <c r="I1823" s="47" t="n"/>
      <c r="J1823" s="47" t="n"/>
      <c r="K1823" s="47" t="n"/>
      <c r="L1823" s="47" t="n"/>
      <c r="M1823" s="47" t="n"/>
      <c r="N1823" s="47" t="n"/>
      <c r="O1823" s="47" t="n"/>
      <c r="P1823" s="47" t="n"/>
      <c r="Q1823" s="47" t="n"/>
      <c r="R1823" s="47" t="n"/>
      <c r="S1823" s="47" t="n"/>
      <c r="T1823" s="47" t="n"/>
      <c r="U1823" s="53" t="n"/>
      <c r="V1823" s="53" t="n"/>
      <c r="W1823" s="47" t="n"/>
      <c r="X1823" s="47" t="n"/>
      <c r="Y1823" s="47" t="n"/>
      <c r="Z1823" s="47" t="n"/>
      <c r="AA1823" s="47" t="n"/>
      <c r="AB1823" s="47" t="n"/>
      <c r="AC1823" s="47" t="n"/>
      <c r="AD1823" s="47" t="n"/>
      <c r="AE1823" s="47" t="n"/>
      <c r="AF1823" s="20">
        <f>IF(A1823="","",YEAR(EDATE(A1823,-3)))</f>
        <v/>
      </c>
      <c r="AG1823" s="20">
        <f>IF(OR(B1823="",'経歴簿'!$C$4=""),"",IF(B1823&amp;""='経歴簿'!$C$4&amp;"",MAX($AG$4:AG1822)+1,""))</f>
        <v/>
      </c>
      <c r="AH1823" s="20">
        <f>IF(A1823="",0,IF(AND(OR('CSV抽出'!$C$4="",A1823&gt;='CSV抽出'!$C$4),OR('CSV抽出'!$C$5="",A1823&lt;='CSV抽出'!$C$5),OR('CSV抽出'!$C$6="すべて",'CSV抽出'!$C$6="",D1823='CSV抽出'!$C$6),OR('CSV抽出'!$C$7="",B1823&amp;""='CSV抽出'!$C$7&amp;"")),1,0))</f>
        <v/>
      </c>
      <c r="AI1823" s="20">
        <f>IF(AH1823=1,SUM($AH$5:AH1823),"")</f>
        <v/>
      </c>
      <c r="AJ1823" s="20">
        <f>IF(OR(S1823="",'報告書'!$C$4=""),"",IF(S1823&amp;""='報告書'!$C$4&amp;"",COUNTIF($S$5:S1823,'報告書'!$C$4),""))</f>
        <v/>
      </c>
      <c r="AK1823" s="20" t="n"/>
      <c r="AL1823" s="47" t="n"/>
      <c r="AM1823" s="47" t="n"/>
      <c r="AN1823" s="53" t="n"/>
      <c r="AO1823" s="47" t="n"/>
      <c r="AP1823" s="47" t="n"/>
      <c r="AQ1823" s="47" t="n"/>
      <c r="AR1823" s="47" t="n"/>
      <c r="AS1823" s="47" t="n"/>
      <c r="AT1823" s="47" t="n"/>
      <c r="AU1823" s="47" t="n"/>
      <c r="AV1823" s="47" t="n"/>
      <c r="AW1823" s="52" t="n"/>
    </row>
    <row r="1824">
      <c r="A1824" s="48" t="n"/>
      <c r="B1824" s="52" t="n"/>
      <c r="C1824" s="47">
        <f>IF(B1824="","",IFERROR(INDEX('隊員マスタ'!$B$5:$B$204,MATCH(B1824&amp;"",'隊員マスタ'!$F$5:$F$204,0)),IF(AK1824="","番号なし",AK1824)))</f>
        <v/>
      </c>
      <c r="D1824" s="47" t="n"/>
      <c r="E1824" s="47" t="n"/>
      <c r="F1824" s="47" t="n"/>
      <c r="G1824" s="47" t="n"/>
      <c r="H1824" s="47" t="n"/>
      <c r="I1824" s="47" t="n"/>
      <c r="J1824" s="47" t="n"/>
      <c r="K1824" s="47" t="n"/>
      <c r="L1824" s="47" t="n"/>
      <c r="M1824" s="47" t="n"/>
      <c r="N1824" s="47" t="n"/>
      <c r="O1824" s="47" t="n"/>
      <c r="P1824" s="47" t="n"/>
      <c r="Q1824" s="47" t="n"/>
      <c r="R1824" s="47" t="n"/>
      <c r="S1824" s="47" t="n"/>
      <c r="T1824" s="47" t="n"/>
      <c r="U1824" s="53" t="n"/>
      <c r="V1824" s="53" t="n"/>
      <c r="W1824" s="47" t="n"/>
      <c r="X1824" s="47" t="n"/>
      <c r="Y1824" s="47" t="n"/>
      <c r="Z1824" s="47" t="n"/>
      <c r="AA1824" s="47" t="n"/>
      <c r="AB1824" s="47" t="n"/>
      <c r="AC1824" s="47" t="n"/>
      <c r="AD1824" s="47" t="n"/>
      <c r="AE1824" s="47" t="n"/>
      <c r="AF1824" s="20">
        <f>IF(A1824="","",YEAR(EDATE(A1824,-3)))</f>
        <v/>
      </c>
      <c r="AG1824" s="20">
        <f>IF(OR(B1824="",'経歴簿'!$C$4=""),"",IF(B1824&amp;""='経歴簿'!$C$4&amp;"",MAX($AG$4:AG1823)+1,""))</f>
        <v/>
      </c>
      <c r="AH1824" s="20">
        <f>IF(A1824="",0,IF(AND(OR('CSV抽出'!$C$4="",A1824&gt;='CSV抽出'!$C$4),OR('CSV抽出'!$C$5="",A1824&lt;='CSV抽出'!$C$5),OR('CSV抽出'!$C$6="すべて",'CSV抽出'!$C$6="",D1824='CSV抽出'!$C$6),OR('CSV抽出'!$C$7="",B1824&amp;""='CSV抽出'!$C$7&amp;"")),1,0))</f>
        <v/>
      </c>
      <c r="AI1824" s="20">
        <f>IF(AH1824=1,SUM($AH$5:AH1824),"")</f>
        <v/>
      </c>
      <c r="AJ1824" s="20">
        <f>IF(OR(S1824="",'報告書'!$C$4=""),"",IF(S1824&amp;""='報告書'!$C$4&amp;"",COUNTIF($S$5:S1824,'報告書'!$C$4),""))</f>
        <v/>
      </c>
      <c r="AK1824" s="20" t="n"/>
      <c r="AL1824" s="47" t="n"/>
      <c r="AM1824" s="47" t="n"/>
      <c r="AN1824" s="53" t="n"/>
      <c r="AO1824" s="47" t="n"/>
      <c r="AP1824" s="47" t="n"/>
      <c r="AQ1824" s="47" t="n"/>
      <c r="AR1824" s="47" t="n"/>
      <c r="AS1824" s="47" t="n"/>
      <c r="AT1824" s="47" t="n"/>
      <c r="AU1824" s="47" t="n"/>
      <c r="AV1824" s="47" t="n"/>
      <c r="AW1824" s="52" t="n"/>
    </row>
    <row r="1825">
      <c r="A1825" s="48" t="n"/>
      <c r="B1825" s="52" t="n"/>
      <c r="C1825" s="47">
        <f>IF(B1825="","",IFERROR(INDEX('隊員マスタ'!$B$5:$B$204,MATCH(B1825&amp;"",'隊員マスタ'!$F$5:$F$204,0)),IF(AK1825="","番号なし",AK1825)))</f>
        <v/>
      </c>
      <c r="D1825" s="47" t="n"/>
      <c r="E1825" s="47" t="n"/>
      <c r="F1825" s="47" t="n"/>
      <c r="G1825" s="47" t="n"/>
      <c r="H1825" s="47" t="n"/>
      <c r="I1825" s="47" t="n"/>
      <c r="J1825" s="47" t="n"/>
      <c r="K1825" s="47" t="n"/>
      <c r="L1825" s="47" t="n"/>
      <c r="M1825" s="47" t="n"/>
      <c r="N1825" s="47" t="n"/>
      <c r="O1825" s="47" t="n"/>
      <c r="P1825" s="47" t="n"/>
      <c r="Q1825" s="47" t="n"/>
      <c r="R1825" s="47" t="n"/>
      <c r="S1825" s="47" t="n"/>
      <c r="T1825" s="47" t="n"/>
      <c r="U1825" s="53" t="n"/>
      <c r="V1825" s="53" t="n"/>
      <c r="W1825" s="47" t="n"/>
      <c r="X1825" s="47" t="n"/>
      <c r="Y1825" s="47" t="n"/>
      <c r="Z1825" s="47" t="n"/>
      <c r="AA1825" s="47" t="n"/>
      <c r="AB1825" s="47" t="n"/>
      <c r="AC1825" s="47" t="n"/>
      <c r="AD1825" s="47" t="n"/>
      <c r="AE1825" s="47" t="n"/>
      <c r="AF1825" s="20">
        <f>IF(A1825="","",YEAR(EDATE(A1825,-3)))</f>
        <v/>
      </c>
      <c r="AG1825" s="20">
        <f>IF(OR(B1825="",'経歴簿'!$C$4=""),"",IF(B1825&amp;""='経歴簿'!$C$4&amp;"",MAX($AG$4:AG1824)+1,""))</f>
        <v/>
      </c>
      <c r="AH1825" s="20">
        <f>IF(A1825="",0,IF(AND(OR('CSV抽出'!$C$4="",A1825&gt;='CSV抽出'!$C$4),OR('CSV抽出'!$C$5="",A1825&lt;='CSV抽出'!$C$5),OR('CSV抽出'!$C$6="すべて",'CSV抽出'!$C$6="",D1825='CSV抽出'!$C$6),OR('CSV抽出'!$C$7="",B1825&amp;""='CSV抽出'!$C$7&amp;"")),1,0))</f>
        <v/>
      </c>
      <c r="AI1825" s="20">
        <f>IF(AH1825=1,SUM($AH$5:AH1825),"")</f>
        <v/>
      </c>
      <c r="AJ1825" s="20">
        <f>IF(OR(S1825="",'報告書'!$C$4=""),"",IF(S1825&amp;""='報告書'!$C$4&amp;"",COUNTIF($S$5:S1825,'報告書'!$C$4),""))</f>
        <v/>
      </c>
      <c r="AK1825" s="20" t="n"/>
      <c r="AL1825" s="47" t="n"/>
      <c r="AM1825" s="47" t="n"/>
      <c r="AN1825" s="53" t="n"/>
      <c r="AO1825" s="47" t="n"/>
      <c r="AP1825" s="47" t="n"/>
      <c r="AQ1825" s="47" t="n"/>
      <c r="AR1825" s="47" t="n"/>
      <c r="AS1825" s="47" t="n"/>
      <c r="AT1825" s="47" t="n"/>
      <c r="AU1825" s="47" t="n"/>
      <c r="AV1825" s="47" t="n"/>
      <c r="AW1825" s="52" t="n"/>
    </row>
    <row r="1826">
      <c r="A1826" s="48" t="n"/>
      <c r="B1826" s="52" t="n"/>
      <c r="C1826" s="47">
        <f>IF(B1826="","",IFERROR(INDEX('隊員マスタ'!$B$5:$B$204,MATCH(B1826&amp;"",'隊員マスタ'!$F$5:$F$204,0)),IF(AK1826="","番号なし",AK1826)))</f>
        <v/>
      </c>
      <c r="D1826" s="47" t="n"/>
      <c r="E1826" s="47" t="n"/>
      <c r="F1826" s="47" t="n"/>
      <c r="G1826" s="47" t="n"/>
      <c r="H1826" s="47" t="n"/>
      <c r="I1826" s="47" t="n"/>
      <c r="J1826" s="47" t="n"/>
      <c r="K1826" s="47" t="n"/>
      <c r="L1826" s="47" t="n"/>
      <c r="M1826" s="47" t="n"/>
      <c r="N1826" s="47" t="n"/>
      <c r="O1826" s="47" t="n"/>
      <c r="P1826" s="47" t="n"/>
      <c r="Q1826" s="47" t="n"/>
      <c r="R1826" s="47" t="n"/>
      <c r="S1826" s="47" t="n"/>
      <c r="T1826" s="47" t="n"/>
      <c r="U1826" s="53" t="n"/>
      <c r="V1826" s="53" t="n"/>
      <c r="W1826" s="47" t="n"/>
      <c r="X1826" s="47" t="n"/>
      <c r="Y1826" s="47" t="n"/>
      <c r="Z1826" s="47" t="n"/>
      <c r="AA1826" s="47" t="n"/>
      <c r="AB1826" s="47" t="n"/>
      <c r="AC1826" s="47" t="n"/>
      <c r="AD1826" s="47" t="n"/>
      <c r="AE1826" s="47" t="n"/>
      <c r="AF1826" s="20">
        <f>IF(A1826="","",YEAR(EDATE(A1826,-3)))</f>
        <v/>
      </c>
      <c r="AG1826" s="20">
        <f>IF(OR(B1826="",'経歴簿'!$C$4=""),"",IF(B1826&amp;""='経歴簿'!$C$4&amp;"",MAX($AG$4:AG1825)+1,""))</f>
        <v/>
      </c>
      <c r="AH1826" s="20">
        <f>IF(A1826="",0,IF(AND(OR('CSV抽出'!$C$4="",A1826&gt;='CSV抽出'!$C$4),OR('CSV抽出'!$C$5="",A1826&lt;='CSV抽出'!$C$5),OR('CSV抽出'!$C$6="すべて",'CSV抽出'!$C$6="",D1826='CSV抽出'!$C$6),OR('CSV抽出'!$C$7="",B1826&amp;""='CSV抽出'!$C$7&amp;"")),1,0))</f>
        <v/>
      </c>
      <c r="AI1826" s="20">
        <f>IF(AH1826=1,SUM($AH$5:AH1826),"")</f>
        <v/>
      </c>
      <c r="AJ1826" s="20">
        <f>IF(OR(S1826="",'報告書'!$C$4=""),"",IF(S1826&amp;""='報告書'!$C$4&amp;"",COUNTIF($S$5:S1826,'報告書'!$C$4),""))</f>
        <v/>
      </c>
      <c r="AK1826" s="20" t="n"/>
      <c r="AL1826" s="47" t="n"/>
      <c r="AM1826" s="47" t="n"/>
      <c r="AN1826" s="53" t="n"/>
      <c r="AO1826" s="47" t="n"/>
      <c r="AP1826" s="47" t="n"/>
      <c r="AQ1826" s="47" t="n"/>
      <c r="AR1826" s="47" t="n"/>
      <c r="AS1826" s="47" t="n"/>
      <c r="AT1826" s="47" t="n"/>
      <c r="AU1826" s="47" t="n"/>
      <c r="AV1826" s="47" t="n"/>
      <c r="AW1826" s="52" t="n"/>
    </row>
    <row r="1827">
      <c r="A1827" s="48" t="n"/>
      <c r="B1827" s="52" t="n"/>
      <c r="C1827" s="47">
        <f>IF(B1827="","",IFERROR(INDEX('隊員マスタ'!$B$5:$B$204,MATCH(B1827&amp;"",'隊員マスタ'!$F$5:$F$204,0)),IF(AK1827="","番号なし",AK1827)))</f>
        <v/>
      </c>
      <c r="D1827" s="47" t="n"/>
      <c r="E1827" s="47" t="n"/>
      <c r="F1827" s="47" t="n"/>
      <c r="G1827" s="47" t="n"/>
      <c r="H1827" s="47" t="n"/>
      <c r="I1827" s="47" t="n"/>
      <c r="J1827" s="47" t="n"/>
      <c r="K1827" s="47" t="n"/>
      <c r="L1827" s="47" t="n"/>
      <c r="M1827" s="47" t="n"/>
      <c r="N1827" s="47" t="n"/>
      <c r="O1827" s="47" t="n"/>
      <c r="P1827" s="47" t="n"/>
      <c r="Q1827" s="47" t="n"/>
      <c r="R1827" s="47" t="n"/>
      <c r="S1827" s="47" t="n"/>
      <c r="T1827" s="47" t="n"/>
      <c r="U1827" s="53" t="n"/>
      <c r="V1827" s="53" t="n"/>
      <c r="W1827" s="47" t="n"/>
      <c r="X1827" s="47" t="n"/>
      <c r="Y1827" s="47" t="n"/>
      <c r="Z1827" s="47" t="n"/>
      <c r="AA1827" s="47" t="n"/>
      <c r="AB1827" s="47" t="n"/>
      <c r="AC1827" s="47" t="n"/>
      <c r="AD1827" s="47" t="n"/>
      <c r="AE1827" s="47" t="n"/>
      <c r="AF1827" s="20">
        <f>IF(A1827="","",YEAR(EDATE(A1827,-3)))</f>
        <v/>
      </c>
      <c r="AG1827" s="20">
        <f>IF(OR(B1827="",'経歴簿'!$C$4=""),"",IF(B1827&amp;""='経歴簿'!$C$4&amp;"",MAX($AG$4:AG1826)+1,""))</f>
        <v/>
      </c>
      <c r="AH1827" s="20">
        <f>IF(A1827="",0,IF(AND(OR('CSV抽出'!$C$4="",A1827&gt;='CSV抽出'!$C$4),OR('CSV抽出'!$C$5="",A1827&lt;='CSV抽出'!$C$5),OR('CSV抽出'!$C$6="すべて",'CSV抽出'!$C$6="",D1827='CSV抽出'!$C$6),OR('CSV抽出'!$C$7="",B1827&amp;""='CSV抽出'!$C$7&amp;"")),1,0))</f>
        <v/>
      </c>
      <c r="AI1827" s="20">
        <f>IF(AH1827=1,SUM($AH$5:AH1827),"")</f>
        <v/>
      </c>
      <c r="AJ1827" s="20">
        <f>IF(OR(S1827="",'報告書'!$C$4=""),"",IF(S1827&amp;""='報告書'!$C$4&amp;"",COUNTIF($S$5:S1827,'報告書'!$C$4),""))</f>
        <v/>
      </c>
      <c r="AK1827" s="20" t="n"/>
      <c r="AL1827" s="47" t="n"/>
      <c r="AM1827" s="47" t="n"/>
      <c r="AN1827" s="53" t="n"/>
      <c r="AO1827" s="47" t="n"/>
      <c r="AP1827" s="47" t="n"/>
      <c r="AQ1827" s="47" t="n"/>
      <c r="AR1827" s="47" t="n"/>
      <c r="AS1827" s="47" t="n"/>
      <c r="AT1827" s="47" t="n"/>
      <c r="AU1827" s="47" t="n"/>
      <c r="AV1827" s="47" t="n"/>
      <c r="AW1827" s="52" t="n"/>
    </row>
    <row r="1828">
      <c r="A1828" s="48" t="n"/>
      <c r="B1828" s="52" t="n"/>
      <c r="C1828" s="47">
        <f>IF(B1828="","",IFERROR(INDEX('隊員マスタ'!$B$5:$B$204,MATCH(B1828&amp;"",'隊員マスタ'!$F$5:$F$204,0)),IF(AK1828="","番号なし",AK1828)))</f>
        <v/>
      </c>
      <c r="D1828" s="47" t="n"/>
      <c r="E1828" s="47" t="n"/>
      <c r="F1828" s="47" t="n"/>
      <c r="G1828" s="47" t="n"/>
      <c r="H1828" s="47" t="n"/>
      <c r="I1828" s="47" t="n"/>
      <c r="J1828" s="47" t="n"/>
      <c r="K1828" s="47" t="n"/>
      <c r="L1828" s="47" t="n"/>
      <c r="M1828" s="47" t="n"/>
      <c r="N1828" s="47" t="n"/>
      <c r="O1828" s="47" t="n"/>
      <c r="P1828" s="47" t="n"/>
      <c r="Q1828" s="47" t="n"/>
      <c r="R1828" s="47" t="n"/>
      <c r="S1828" s="47" t="n"/>
      <c r="T1828" s="47" t="n"/>
      <c r="U1828" s="53" t="n"/>
      <c r="V1828" s="53" t="n"/>
      <c r="W1828" s="47" t="n"/>
      <c r="X1828" s="47" t="n"/>
      <c r="Y1828" s="47" t="n"/>
      <c r="Z1828" s="47" t="n"/>
      <c r="AA1828" s="47" t="n"/>
      <c r="AB1828" s="47" t="n"/>
      <c r="AC1828" s="47" t="n"/>
      <c r="AD1828" s="47" t="n"/>
      <c r="AE1828" s="47" t="n"/>
      <c r="AF1828" s="20">
        <f>IF(A1828="","",YEAR(EDATE(A1828,-3)))</f>
        <v/>
      </c>
      <c r="AG1828" s="20">
        <f>IF(OR(B1828="",'経歴簿'!$C$4=""),"",IF(B1828&amp;""='経歴簿'!$C$4&amp;"",MAX($AG$4:AG1827)+1,""))</f>
        <v/>
      </c>
      <c r="AH1828" s="20">
        <f>IF(A1828="",0,IF(AND(OR('CSV抽出'!$C$4="",A1828&gt;='CSV抽出'!$C$4),OR('CSV抽出'!$C$5="",A1828&lt;='CSV抽出'!$C$5),OR('CSV抽出'!$C$6="すべて",'CSV抽出'!$C$6="",D1828='CSV抽出'!$C$6),OR('CSV抽出'!$C$7="",B1828&amp;""='CSV抽出'!$C$7&amp;"")),1,0))</f>
        <v/>
      </c>
      <c r="AI1828" s="20">
        <f>IF(AH1828=1,SUM($AH$5:AH1828),"")</f>
        <v/>
      </c>
      <c r="AJ1828" s="20">
        <f>IF(OR(S1828="",'報告書'!$C$4=""),"",IF(S1828&amp;""='報告書'!$C$4&amp;"",COUNTIF($S$5:S1828,'報告書'!$C$4),""))</f>
        <v/>
      </c>
      <c r="AK1828" s="20" t="n"/>
      <c r="AL1828" s="47" t="n"/>
      <c r="AM1828" s="47" t="n"/>
      <c r="AN1828" s="53" t="n"/>
      <c r="AO1828" s="47" t="n"/>
      <c r="AP1828" s="47" t="n"/>
      <c r="AQ1828" s="47" t="n"/>
      <c r="AR1828" s="47" t="n"/>
      <c r="AS1828" s="47" t="n"/>
      <c r="AT1828" s="47" t="n"/>
      <c r="AU1828" s="47" t="n"/>
      <c r="AV1828" s="47" t="n"/>
      <c r="AW1828" s="52" t="n"/>
    </row>
    <row r="1829">
      <c r="A1829" s="48" t="n"/>
      <c r="B1829" s="52" t="n"/>
      <c r="C1829" s="47">
        <f>IF(B1829="","",IFERROR(INDEX('隊員マスタ'!$B$5:$B$204,MATCH(B1829&amp;"",'隊員マスタ'!$F$5:$F$204,0)),IF(AK1829="","番号なし",AK1829)))</f>
        <v/>
      </c>
      <c r="D1829" s="47" t="n"/>
      <c r="E1829" s="47" t="n"/>
      <c r="F1829" s="47" t="n"/>
      <c r="G1829" s="47" t="n"/>
      <c r="H1829" s="47" t="n"/>
      <c r="I1829" s="47" t="n"/>
      <c r="J1829" s="47" t="n"/>
      <c r="K1829" s="47" t="n"/>
      <c r="L1829" s="47" t="n"/>
      <c r="M1829" s="47" t="n"/>
      <c r="N1829" s="47" t="n"/>
      <c r="O1829" s="47" t="n"/>
      <c r="P1829" s="47" t="n"/>
      <c r="Q1829" s="47" t="n"/>
      <c r="R1829" s="47" t="n"/>
      <c r="S1829" s="47" t="n"/>
      <c r="T1829" s="47" t="n"/>
      <c r="U1829" s="53" t="n"/>
      <c r="V1829" s="53" t="n"/>
      <c r="W1829" s="47" t="n"/>
      <c r="X1829" s="47" t="n"/>
      <c r="Y1829" s="47" t="n"/>
      <c r="Z1829" s="47" t="n"/>
      <c r="AA1829" s="47" t="n"/>
      <c r="AB1829" s="47" t="n"/>
      <c r="AC1829" s="47" t="n"/>
      <c r="AD1829" s="47" t="n"/>
      <c r="AE1829" s="47" t="n"/>
      <c r="AF1829" s="20">
        <f>IF(A1829="","",YEAR(EDATE(A1829,-3)))</f>
        <v/>
      </c>
      <c r="AG1829" s="20">
        <f>IF(OR(B1829="",'経歴簿'!$C$4=""),"",IF(B1829&amp;""='経歴簿'!$C$4&amp;"",MAX($AG$4:AG1828)+1,""))</f>
        <v/>
      </c>
      <c r="AH1829" s="20">
        <f>IF(A1829="",0,IF(AND(OR('CSV抽出'!$C$4="",A1829&gt;='CSV抽出'!$C$4),OR('CSV抽出'!$C$5="",A1829&lt;='CSV抽出'!$C$5),OR('CSV抽出'!$C$6="すべて",'CSV抽出'!$C$6="",D1829='CSV抽出'!$C$6),OR('CSV抽出'!$C$7="",B1829&amp;""='CSV抽出'!$C$7&amp;"")),1,0))</f>
        <v/>
      </c>
      <c r="AI1829" s="20">
        <f>IF(AH1829=1,SUM($AH$5:AH1829),"")</f>
        <v/>
      </c>
      <c r="AJ1829" s="20">
        <f>IF(OR(S1829="",'報告書'!$C$4=""),"",IF(S1829&amp;""='報告書'!$C$4&amp;"",COUNTIF($S$5:S1829,'報告書'!$C$4),""))</f>
        <v/>
      </c>
      <c r="AK1829" s="20" t="n"/>
      <c r="AL1829" s="47" t="n"/>
      <c r="AM1829" s="47" t="n"/>
      <c r="AN1829" s="53" t="n"/>
      <c r="AO1829" s="47" t="n"/>
      <c r="AP1829" s="47" t="n"/>
      <c r="AQ1829" s="47" t="n"/>
      <c r="AR1829" s="47" t="n"/>
      <c r="AS1829" s="47" t="n"/>
      <c r="AT1829" s="47" t="n"/>
      <c r="AU1829" s="47" t="n"/>
      <c r="AV1829" s="47" t="n"/>
      <c r="AW1829" s="52" t="n"/>
    </row>
    <row r="1830">
      <c r="A1830" s="48" t="n"/>
      <c r="B1830" s="52" t="n"/>
      <c r="C1830" s="47">
        <f>IF(B1830="","",IFERROR(INDEX('隊員マスタ'!$B$5:$B$204,MATCH(B1830&amp;"",'隊員マスタ'!$F$5:$F$204,0)),IF(AK1830="","番号なし",AK1830)))</f>
        <v/>
      </c>
      <c r="D1830" s="47" t="n"/>
      <c r="E1830" s="47" t="n"/>
      <c r="F1830" s="47" t="n"/>
      <c r="G1830" s="47" t="n"/>
      <c r="H1830" s="47" t="n"/>
      <c r="I1830" s="47" t="n"/>
      <c r="J1830" s="47" t="n"/>
      <c r="K1830" s="47" t="n"/>
      <c r="L1830" s="47" t="n"/>
      <c r="M1830" s="47" t="n"/>
      <c r="N1830" s="47" t="n"/>
      <c r="O1830" s="47" t="n"/>
      <c r="P1830" s="47" t="n"/>
      <c r="Q1830" s="47" t="n"/>
      <c r="R1830" s="47" t="n"/>
      <c r="S1830" s="47" t="n"/>
      <c r="T1830" s="47" t="n"/>
      <c r="U1830" s="53" t="n"/>
      <c r="V1830" s="53" t="n"/>
      <c r="W1830" s="47" t="n"/>
      <c r="X1830" s="47" t="n"/>
      <c r="Y1830" s="47" t="n"/>
      <c r="Z1830" s="47" t="n"/>
      <c r="AA1830" s="47" t="n"/>
      <c r="AB1830" s="47" t="n"/>
      <c r="AC1830" s="47" t="n"/>
      <c r="AD1830" s="47" t="n"/>
      <c r="AE1830" s="47" t="n"/>
      <c r="AF1830" s="20">
        <f>IF(A1830="","",YEAR(EDATE(A1830,-3)))</f>
        <v/>
      </c>
      <c r="AG1830" s="20">
        <f>IF(OR(B1830="",'経歴簿'!$C$4=""),"",IF(B1830&amp;""='経歴簿'!$C$4&amp;"",MAX($AG$4:AG1829)+1,""))</f>
        <v/>
      </c>
      <c r="AH1830" s="20">
        <f>IF(A1830="",0,IF(AND(OR('CSV抽出'!$C$4="",A1830&gt;='CSV抽出'!$C$4),OR('CSV抽出'!$C$5="",A1830&lt;='CSV抽出'!$C$5),OR('CSV抽出'!$C$6="すべて",'CSV抽出'!$C$6="",D1830='CSV抽出'!$C$6),OR('CSV抽出'!$C$7="",B1830&amp;""='CSV抽出'!$C$7&amp;"")),1,0))</f>
        <v/>
      </c>
      <c r="AI1830" s="20">
        <f>IF(AH1830=1,SUM($AH$5:AH1830),"")</f>
        <v/>
      </c>
      <c r="AJ1830" s="20">
        <f>IF(OR(S1830="",'報告書'!$C$4=""),"",IF(S1830&amp;""='報告書'!$C$4&amp;"",COUNTIF($S$5:S1830,'報告書'!$C$4),""))</f>
        <v/>
      </c>
      <c r="AK1830" s="20" t="n"/>
      <c r="AL1830" s="47" t="n"/>
      <c r="AM1830" s="47" t="n"/>
      <c r="AN1830" s="53" t="n"/>
      <c r="AO1830" s="47" t="n"/>
      <c r="AP1830" s="47" t="n"/>
      <c r="AQ1830" s="47" t="n"/>
      <c r="AR1830" s="47" t="n"/>
      <c r="AS1830" s="47" t="n"/>
      <c r="AT1830" s="47" t="n"/>
      <c r="AU1830" s="47" t="n"/>
      <c r="AV1830" s="47" t="n"/>
      <c r="AW1830" s="52" t="n"/>
    </row>
    <row r="1831">
      <c r="A1831" s="48" t="n"/>
      <c r="B1831" s="52" t="n"/>
      <c r="C1831" s="47">
        <f>IF(B1831="","",IFERROR(INDEX('隊員マスタ'!$B$5:$B$204,MATCH(B1831&amp;"",'隊員マスタ'!$F$5:$F$204,0)),IF(AK1831="","番号なし",AK1831)))</f>
        <v/>
      </c>
      <c r="D1831" s="47" t="n"/>
      <c r="E1831" s="47" t="n"/>
      <c r="F1831" s="47" t="n"/>
      <c r="G1831" s="47" t="n"/>
      <c r="H1831" s="47" t="n"/>
      <c r="I1831" s="47" t="n"/>
      <c r="J1831" s="47" t="n"/>
      <c r="K1831" s="47" t="n"/>
      <c r="L1831" s="47" t="n"/>
      <c r="M1831" s="47" t="n"/>
      <c r="N1831" s="47" t="n"/>
      <c r="O1831" s="47" t="n"/>
      <c r="P1831" s="47" t="n"/>
      <c r="Q1831" s="47" t="n"/>
      <c r="R1831" s="47" t="n"/>
      <c r="S1831" s="47" t="n"/>
      <c r="T1831" s="47" t="n"/>
      <c r="U1831" s="53" t="n"/>
      <c r="V1831" s="53" t="n"/>
      <c r="W1831" s="47" t="n"/>
      <c r="X1831" s="47" t="n"/>
      <c r="Y1831" s="47" t="n"/>
      <c r="Z1831" s="47" t="n"/>
      <c r="AA1831" s="47" t="n"/>
      <c r="AB1831" s="47" t="n"/>
      <c r="AC1831" s="47" t="n"/>
      <c r="AD1831" s="47" t="n"/>
      <c r="AE1831" s="47" t="n"/>
      <c r="AF1831" s="20">
        <f>IF(A1831="","",YEAR(EDATE(A1831,-3)))</f>
        <v/>
      </c>
      <c r="AG1831" s="20">
        <f>IF(OR(B1831="",'経歴簿'!$C$4=""),"",IF(B1831&amp;""='経歴簿'!$C$4&amp;"",MAX($AG$4:AG1830)+1,""))</f>
        <v/>
      </c>
      <c r="AH1831" s="20">
        <f>IF(A1831="",0,IF(AND(OR('CSV抽出'!$C$4="",A1831&gt;='CSV抽出'!$C$4),OR('CSV抽出'!$C$5="",A1831&lt;='CSV抽出'!$C$5),OR('CSV抽出'!$C$6="すべて",'CSV抽出'!$C$6="",D1831='CSV抽出'!$C$6),OR('CSV抽出'!$C$7="",B1831&amp;""='CSV抽出'!$C$7&amp;"")),1,0))</f>
        <v/>
      </c>
      <c r="AI1831" s="20">
        <f>IF(AH1831=1,SUM($AH$5:AH1831),"")</f>
        <v/>
      </c>
      <c r="AJ1831" s="20">
        <f>IF(OR(S1831="",'報告書'!$C$4=""),"",IF(S1831&amp;""='報告書'!$C$4&amp;"",COUNTIF($S$5:S1831,'報告書'!$C$4),""))</f>
        <v/>
      </c>
      <c r="AK1831" s="20" t="n"/>
      <c r="AL1831" s="47" t="n"/>
      <c r="AM1831" s="47" t="n"/>
      <c r="AN1831" s="53" t="n"/>
      <c r="AO1831" s="47" t="n"/>
      <c r="AP1831" s="47" t="n"/>
      <c r="AQ1831" s="47" t="n"/>
      <c r="AR1831" s="47" t="n"/>
      <c r="AS1831" s="47" t="n"/>
      <c r="AT1831" s="47" t="n"/>
      <c r="AU1831" s="47" t="n"/>
      <c r="AV1831" s="47" t="n"/>
      <c r="AW1831" s="52" t="n"/>
    </row>
    <row r="1832">
      <c r="A1832" s="48" t="n"/>
      <c r="B1832" s="52" t="n"/>
      <c r="C1832" s="47">
        <f>IF(B1832="","",IFERROR(INDEX('隊員マスタ'!$B$5:$B$204,MATCH(B1832&amp;"",'隊員マスタ'!$F$5:$F$204,0)),IF(AK1832="","番号なし",AK1832)))</f>
        <v/>
      </c>
      <c r="D1832" s="47" t="n"/>
      <c r="E1832" s="47" t="n"/>
      <c r="F1832" s="47" t="n"/>
      <c r="G1832" s="47" t="n"/>
      <c r="H1832" s="47" t="n"/>
      <c r="I1832" s="47" t="n"/>
      <c r="J1832" s="47" t="n"/>
      <c r="K1832" s="47" t="n"/>
      <c r="L1832" s="47" t="n"/>
      <c r="M1832" s="47" t="n"/>
      <c r="N1832" s="47" t="n"/>
      <c r="O1832" s="47" t="n"/>
      <c r="P1832" s="47" t="n"/>
      <c r="Q1832" s="47" t="n"/>
      <c r="R1832" s="47" t="n"/>
      <c r="S1832" s="47" t="n"/>
      <c r="T1832" s="47" t="n"/>
      <c r="U1832" s="53" t="n"/>
      <c r="V1832" s="53" t="n"/>
      <c r="W1832" s="47" t="n"/>
      <c r="X1832" s="47" t="n"/>
      <c r="Y1832" s="47" t="n"/>
      <c r="Z1832" s="47" t="n"/>
      <c r="AA1832" s="47" t="n"/>
      <c r="AB1832" s="47" t="n"/>
      <c r="AC1832" s="47" t="n"/>
      <c r="AD1832" s="47" t="n"/>
      <c r="AE1832" s="47" t="n"/>
      <c r="AF1832" s="20">
        <f>IF(A1832="","",YEAR(EDATE(A1832,-3)))</f>
        <v/>
      </c>
      <c r="AG1832" s="20">
        <f>IF(OR(B1832="",'経歴簿'!$C$4=""),"",IF(B1832&amp;""='経歴簿'!$C$4&amp;"",MAX($AG$4:AG1831)+1,""))</f>
        <v/>
      </c>
      <c r="AH1832" s="20">
        <f>IF(A1832="",0,IF(AND(OR('CSV抽出'!$C$4="",A1832&gt;='CSV抽出'!$C$4),OR('CSV抽出'!$C$5="",A1832&lt;='CSV抽出'!$C$5),OR('CSV抽出'!$C$6="すべて",'CSV抽出'!$C$6="",D1832='CSV抽出'!$C$6),OR('CSV抽出'!$C$7="",B1832&amp;""='CSV抽出'!$C$7&amp;"")),1,0))</f>
        <v/>
      </c>
      <c r="AI1832" s="20">
        <f>IF(AH1832=1,SUM($AH$5:AH1832),"")</f>
        <v/>
      </c>
      <c r="AJ1832" s="20">
        <f>IF(OR(S1832="",'報告書'!$C$4=""),"",IF(S1832&amp;""='報告書'!$C$4&amp;"",COUNTIF($S$5:S1832,'報告書'!$C$4),""))</f>
        <v/>
      </c>
      <c r="AK1832" s="20" t="n"/>
      <c r="AL1832" s="47" t="n"/>
      <c r="AM1832" s="47" t="n"/>
      <c r="AN1832" s="53" t="n"/>
      <c r="AO1832" s="47" t="n"/>
      <c r="AP1832" s="47" t="n"/>
      <c r="AQ1832" s="47" t="n"/>
      <c r="AR1832" s="47" t="n"/>
      <c r="AS1832" s="47" t="n"/>
      <c r="AT1832" s="47" t="n"/>
      <c r="AU1832" s="47" t="n"/>
      <c r="AV1832" s="47" t="n"/>
      <c r="AW1832" s="52" t="n"/>
    </row>
    <row r="1833">
      <c r="A1833" s="48" t="n"/>
      <c r="B1833" s="52" t="n"/>
      <c r="C1833" s="47">
        <f>IF(B1833="","",IFERROR(INDEX('隊員マスタ'!$B$5:$B$204,MATCH(B1833&amp;"",'隊員マスタ'!$F$5:$F$204,0)),IF(AK1833="","番号なし",AK1833)))</f>
        <v/>
      </c>
      <c r="D1833" s="47" t="n"/>
      <c r="E1833" s="47" t="n"/>
      <c r="F1833" s="47" t="n"/>
      <c r="G1833" s="47" t="n"/>
      <c r="H1833" s="47" t="n"/>
      <c r="I1833" s="47" t="n"/>
      <c r="J1833" s="47" t="n"/>
      <c r="K1833" s="47" t="n"/>
      <c r="L1833" s="47" t="n"/>
      <c r="M1833" s="47" t="n"/>
      <c r="N1833" s="47" t="n"/>
      <c r="O1833" s="47" t="n"/>
      <c r="P1833" s="47" t="n"/>
      <c r="Q1833" s="47" t="n"/>
      <c r="R1833" s="47" t="n"/>
      <c r="S1833" s="47" t="n"/>
      <c r="T1833" s="47" t="n"/>
      <c r="U1833" s="53" t="n"/>
      <c r="V1833" s="53" t="n"/>
      <c r="W1833" s="47" t="n"/>
      <c r="X1833" s="47" t="n"/>
      <c r="Y1833" s="47" t="n"/>
      <c r="Z1833" s="47" t="n"/>
      <c r="AA1833" s="47" t="n"/>
      <c r="AB1833" s="47" t="n"/>
      <c r="AC1833" s="47" t="n"/>
      <c r="AD1833" s="47" t="n"/>
      <c r="AE1833" s="47" t="n"/>
      <c r="AF1833" s="20">
        <f>IF(A1833="","",YEAR(EDATE(A1833,-3)))</f>
        <v/>
      </c>
      <c r="AG1833" s="20">
        <f>IF(OR(B1833="",'経歴簿'!$C$4=""),"",IF(B1833&amp;""='経歴簿'!$C$4&amp;"",MAX($AG$4:AG1832)+1,""))</f>
        <v/>
      </c>
      <c r="AH1833" s="20">
        <f>IF(A1833="",0,IF(AND(OR('CSV抽出'!$C$4="",A1833&gt;='CSV抽出'!$C$4),OR('CSV抽出'!$C$5="",A1833&lt;='CSV抽出'!$C$5),OR('CSV抽出'!$C$6="すべて",'CSV抽出'!$C$6="",D1833='CSV抽出'!$C$6),OR('CSV抽出'!$C$7="",B1833&amp;""='CSV抽出'!$C$7&amp;"")),1,0))</f>
        <v/>
      </c>
      <c r="AI1833" s="20">
        <f>IF(AH1833=1,SUM($AH$5:AH1833),"")</f>
        <v/>
      </c>
      <c r="AJ1833" s="20">
        <f>IF(OR(S1833="",'報告書'!$C$4=""),"",IF(S1833&amp;""='報告書'!$C$4&amp;"",COUNTIF($S$5:S1833,'報告書'!$C$4),""))</f>
        <v/>
      </c>
      <c r="AK1833" s="20" t="n"/>
      <c r="AL1833" s="47" t="n"/>
      <c r="AM1833" s="47" t="n"/>
      <c r="AN1833" s="53" t="n"/>
      <c r="AO1833" s="47" t="n"/>
      <c r="AP1833" s="47" t="n"/>
      <c r="AQ1833" s="47" t="n"/>
      <c r="AR1833" s="47" t="n"/>
      <c r="AS1833" s="47" t="n"/>
      <c r="AT1833" s="47" t="n"/>
      <c r="AU1833" s="47" t="n"/>
      <c r="AV1833" s="47" t="n"/>
      <c r="AW1833" s="52" t="n"/>
    </row>
    <row r="1834">
      <c r="A1834" s="48" t="n"/>
      <c r="B1834" s="52" t="n"/>
      <c r="C1834" s="47">
        <f>IF(B1834="","",IFERROR(INDEX('隊員マスタ'!$B$5:$B$204,MATCH(B1834&amp;"",'隊員マスタ'!$F$5:$F$204,0)),IF(AK1834="","番号なし",AK1834)))</f>
        <v/>
      </c>
      <c r="D1834" s="47" t="n"/>
      <c r="E1834" s="47" t="n"/>
      <c r="F1834" s="47" t="n"/>
      <c r="G1834" s="47" t="n"/>
      <c r="H1834" s="47" t="n"/>
      <c r="I1834" s="47" t="n"/>
      <c r="J1834" s="47" t="n"/>
      <c r="K1834" s="47" t="n"/>
      <c r="L1834" s="47" t="n"/>
      <c r="M1834" s="47" t="n"/>
      <c r="N1834" s="47" t="n"/>
      <c r="O1834" s="47" t="n"/>
      <c r="P1834" s="47" t="n"/>
      <c r="Q1834" s="47" t="n"/>
      <c r="R1834" s="47" t="n"/>
      <c r="S1834" s="47" t="n"/>
      <c r="T1834" s="47" t="n"/>
      <c r="U1834" s="53" t="n"/>
      <c r="V1834" s="53" t="n"/>
      <c r="W1834" s="47" t="n"/>
      <c r="X1834" s="47" t="n"/>
      <c r="Y1834" s="47" t="n"/>
      <c r="Z1834" s="47" t="n"/>
      <c r="AA1834" s="47" t="n"/>
      <c r="AB1834" s="47" t="n"/>
      <c r="AC1834" s="47" t="n"/>
      <c r="AD1834" s="47" t="n"/>
      <c r="AE1834" s="47" t="n"/>
      <c r="AF1834" s="20">
        <f>IF(A1834="","",YEAR(EDATE(A1834,-3)))</f>
        <v/>
      </c>
      <c r="AG1834" s="20">
        <f>IF(OR(B1834="",'経歴簿'!$C$4=""),"",IF(B1834&amp;""='経歴簿'!$C$4&amp;"",MAX($AG$4:AG1833)+1,""))</f>
        <v/>
      </c>
      <c r="AH1834" s="20">
        <f>IF(A1834="",0,IF(AND(OR('CSV抽出'!$C$4="",A1834&gt;='CSV抽出'!$C$4),OR('CSV抽出'!$C$5="",A1834&lt;='CSV抽出'!$C$5),OR('CSV抽出'!$C$6="すべて",'CSV抽出'!$C$6="",D1834='CSV抽出'!$C$6),OR('CSV抽出'!$C$7="",B1834&amp;""='CSV抽出'!$C$7&amp;"")),1,0))</f>
        <v/>
      </c>
      <c r="AI1834" s="20">
        <f>IF(AH1834=1,SUM($AH$5:AH1834),"")</f>
        <v/>
      </c>
      <c r="AJ1834" s="20">
        <f>IF(OR(S1834="",'報告書'!$C$4=""),"",IF(S1834&amp;""='報告書'!$C$4&amp;"",COUNTIF($S$5:S1834,'報告書'!$C$4),""))</f>
        <v/>
      </c>
      <c r="AK1834" s="20" t="n"/>
      <c r="AL1834" s="47" t="n"/>
      <c r="AM1834" s="47" t="n"/>
      <c r="AN1834" s="53" t="n"/>
      <c r="AO1834" s="47" t="n"/>
      <c r="AP1834" s="47" t="n"/>
      <c r="AQ1834" s="47" t="n"/>
      <c r="AR1834" s="47" t="n"/>
      <c r="AS1834" s="47" t="n"/>
      <c r="AT1834" s="47" t="n"/>
      <c r="AU1834" s="47" t="n"/>
      <c r="AV1834" s="47" t="n"/>
      <c r="AW1834" s="52" t="n"/>
    </row>
    <row r="1835">
      <c r="A1835" s="48" t="n"/>
      <c r="B1835" s="52" t="n"/>
      <c r="C1835" s="47">
        <f>IF(B1835="","",IFERROR(INDEX('隊員マスタ'!$B$5:$B$204,MATCH(B1835&amp;"",'隊員マスタ'!$F$5:$F$204,0)),IF(AK1835="","番号なし",AK1835)))</f>
        <v/>
      </c>
      <c r="D1835" s="47" t="n"/>
      <c r="E1835" s="47" t="n"/>
      <c r="F1835" s="47" t="n"/>
      <c r="G1835" s="47" t="n"/>
      <c r="H1835" s="47" t="n"/>
      <c r="I1835" s="47" t="n"/>
      <c r="J1835" s="47" t="n"/>
      <c r="K1835" s="47" t="n"/>
      <c r="L1835" s="47" t="n"/>
      <c r="M1835" s="47" t="n"/>
      <c r="N1835" s="47" t="n"/>
      <c r="O1835" s="47" t="n"/>
      <c r="P1835" s="47" t="n"/>
      <c r="Q1835" s="47" t="n"/>
      <c r="R1835" s="47" t="n"/>
      <c r="S1835" s="47" t="n"/>
      <c r="T1835" s="47" t="n"/>
      <c r="U1835" s="53" t="n"/>
      <c r="V1835" s="53" t="n"/>
      <c r="W1835" s="47" t="n"/>
      <c r="X1835" s="47" t="n"/>
      <c r="Y1835" s="47" t="n"/>
      <c r="Z1835" s="47" t="n"/>
      <c r="AA1835" s="47" t="n"/>
      <c r="AB1835" s="47" t="n"/>
      <c r="AC1835" s="47" t="n"/>
      <c r="AD1835" s="47" t="n"/>
      <c r="AE1835" s="47" t="n"/>
      <c r="AF1835" s="20">
        <f>IF(A1835="","",YEAR(EDATE(A1835,-3)))</f>
        <v/>
      </c>
      <c r="AG1835" s="20">
        <f>IF(OR(B1835="",'経歴簿'!$C$4=""),"",IF(B1835&amp;""='経歴簿'!$C$4&amp;"",MAX($AG$4:AG1834)+1,""))</f>
        <v/>
      </c>
      <c r="AH1835" s="20">
        <f>IF(A1835="",0,IF(AND(OR('CSV抽出'!$C$4="",A1835&gt;='CSV抽出'!$C$4),OR('CSV抽出'!$C$5="",A1835&lt;='CSV抽出'!$C$5),OR('CSV抽出'!$C$6="すべて",'CSV抽出'!$C$6="",D1835='CSV抽出'!$C$6),OR('CSV抽出'!$C$7="",B1835&amp;""='CSV抽出'!$C$7&amp;"")),1,0))</f>
        <v/>
      </c>
      <c r="AI1835" s="20">
        <f>IF(AH1835=1,SUM($AH$5:AH1835),"")</f>
        <v/>
      </c>
      <c r="AJ1835" s="20">
        <f>IF(OR(S1835="",'報告書'!$C$4=""),"",IF(S1835&amp;""='報告書'!$C$4&amp;"",COUNTIF($S$5:S1835,'報告書'!$C$4),""))</f>
        <v/>
      </c>
      <c r="AK1835" s="20" t="n"/>
      <c r="AL1835" s="47" t="n"/>
      <c r="AM1835" s="47" t="n"/>
      <c r="AN1835" s="53" t="n"/>
      <c r="AO1835" s="47" t="n"/>
      <c r="AP1835" s="47" t="n"/>
      <c r="AQ1835" s="47" t="n"/>
      <c r="AR1835" s="47" t="n"/>
      <c r="AS1835" s="47" t="n"/>
      <c r="AT1835" s="47" t="n"/>
      <c r="AU1835" s="47" t="n"/>
      <c r="AV1835" s="47" t="n"/>
      <c r="AW1835" s="52" t="n"/>
    </row>
    <row r="1836">
      <c r="A1836" s="48" t="n"/>
      <c r="B1836" s="52" t="n"/>
      <c r="C1836" s="47">
        <f>IF(B1836="","",IFERROR(INDEX('隊員マスタ'!$B$5:$B$204,MATCH(B1836&amp;"",'隊員マスタ'!$F$5:$F$204,0)),IF(AK1836="","番号なし",AK1836)))</f>
        <v/>
      </c>
      <c r="D1836" s="47" t="n"/>
      <c r="E1836" s="47" t="n"/>
      <c r="F1836" s="47" t="n"/>
      <c r="G1836" s="47" t="n"/>
      <c r="H1836" s="47" t="n"/>
      <c r="I1836" s="47" t="n"/>
      <c r="J1836" s="47" t="n"/>
      <c r="K1836" s="47" t="n"/>
      <c r="L1836" s="47" t="n"/>
      <c r="M1836" s="47" t="n"/>
      <c r="N1836" s="47" t="n"/>
      <c r="O1836" s="47" t="n"/>
      <c r="P1836" s="47" t="n"/>
      <c r="Q1836" s="47" t="n"/>
      <c r="R1836" s="47" t="n"/>
      <c r="S1836" s="47" t="n"/>
      <c r="T1836" s="47" t="n"/>
      <c r="U1836" s="53" t="n"/>
      <c r="V1836" s="53" t="n"/>
      <c r="W1836" s="47" t="n"/>
      <c r="X1836" s="47" t="n"/>
      <c r="Y1836" s="47" t="n"/>
      <c r="Z1836" s="47" t="n"/>
      <c r="AA1836" s="47" t="n"/>
      <c r="AB1836" s="47" t="n"/>
      <c r="AC1836" s="47" t="n"/>
      <c r="AD1836" s="47" t="n"/>
      <c r="AE1836" s="47" t="n"/>
      <c r="AF1836" s="20">
        <f>IF(A1836="","",YEAR(EDATE(A1836,-3)))</f>
        <v/>
      </c>
      <c r="AG1836" s="20">
        <f>IF(OR(B1836="",'経歴簿'!$C$4=""),"",IF(B1836&amp;""='経歴簿'!$C$4&amp;"",MAX($AG$4:AG1835)+1,""))</f>
        <v/>
      </c>
      <c r="AH1836" s="20">
        <f>IF(A1836="",0,IF(AND(OR('CSV抽出'!$C$4="",A1836&gt;='CSV抽出'!$C$4),OR('CSV抽出'!$C$5="",A1836&lt;='CSV抽出'!$C$5),OR('CSV抽出'!$C$6="すべて",'CSV抽出'!$C$6="",D1836='CSV抽出'!$C$6),OR('CSV抽出'!$C$7="",B1836&amp;""='CSV抽出'!$C$7&amp;"")),1,0))</f>
        <v/>
      </c>
      <c r="AI1836" s="20">
        <f>IF(AH1836=1,SUM($AH$5:AH1836),"")</f>
        <v/>
      </c>
      <c r="AJ1836" s="20">
        <f>IF(OR(S1836="",'報告書'!$C$4=""),"",IF(S1836&amp;""='報告書'!$C$4&amp;"",COUNTIF($S$5:S1836,'報告書'!$C$4),""))</f>
        <v/>
      </c>
      <c r="AK1836" s="20" t="n"/>
      <c r="AL1836" s="47" t="n"/>
      <c r="AM1836" s="47" t="n"/>
      <c r="AN1836" s="53" t="n"/>
      <c r="AO1836" s="47" t="n"/>
      <c r="AP1836" s="47" t="n"/>
      <c r="AQ1836" s="47" t="n"/>
      <c r="AR1836" s="47" t="n"/>
      <c r="AS1836" s="47" t="n"/>
      <c r="AT1836" s="47" t="n"/>
      <c r="AU1836" s="47" t="n"/>
      <c r="AV1836" s="47" t="n"/>
      <c r="AW1836" s="52" t="n"/>
    </row>
    <row r="1837">
      <c r="A1837" s="48" t="n"/>
      <c r="B1837" s="52" t="n"/>
      <c r="C1837" s="47">
        <f>IF(B1837="","",IFERROR(INDEX('隊員マスタ'!$B$5:$B$204,MATCH(B1837&amp;"",'隊員マスタ'!$F$5:$F$204,0)),IF(AK1837="","番号なし",AK1837)))</f>
        <v/>
      </c>
      <c r="D1837" s="47" t="n"/>
      <c r="E1837" s="47" t="n"/>
      <c r="F1837" s="47" t="n"/>
      <c r="G1837" s="47" t="n"/>
      <c r="H1837" s="47" t="n"/>
      <c r="I1837" s="47" t="n"/>
      <c r="J1837" s="47" t="n"/>
      <c r="K1837" s="47" t="n"/>
      <c r="L1837" s="47" t="n"/>
      <c r="M1837" s="47" t="n"/>
      <c r="N1837" s="47" t="n"/>
      <c r="O1837" s="47" t="n"/>
      <c r="P1837" s="47" t="n"/>
      <c r="Q1837" s="47" t="n"/>
      <c r="R1837" s="47" t="n"/>
      <c r="S1837" s="47" t="n"/>
      <c r="T1837" s="47" t="n"/>
      <c r="U1837" s="53" t="n"/>
      <c r="V1837" s="53" t="n"/>
      <c r="W1837" s="47" t="n"/>
      <c r="X1837" s="47" t="n"/>
      <c r="Y1837" s="47" t="n"/>
      <c r="Z1837" s="47" t="n"/>
      <c r="AA1837" s="47" t="n"/>
      <c r="AB1837" s="47" t="n"/>
      <c r="AC1837" s="47" t="n"/>
      <c r="AD1837" s="47" t="n"/>
      <c r="AE1837" s="47" t="n"/>
      <c r="AF1837" s="20">
        <f>IF(A1837="","",YEAR(EDATE(A1837,-3)))</f>
        <v/>
      </c>
      <c r="AG1837" s="20">
        <f>IF(OR(B1837="",'経歴簿'!$C$4=""),"",IF(B1837&amp;""='経歴簿'!$C$4&amp;"",MAX($AG$4:AG1836)+1,""))</f>
        <v/>
      </c>
      <c r="AH1837" s="20">
        <f>IF(A1837="",0,IF(AND(OR('CSV抽出'!$C$4="",A1837&gt;='CSV抽出'!$C$4),OR('CSV抽出'!$C$5="",A1837&lt;='CSV抽出'!$C$5),OR('CSV抽出'!$C$6="すべて",'CSV抽出'!$C$6="",D1837='CSV抽出'!$C$6),OR('CSV抽出'!$C$7="",B1837&amp;""='CSV抽出'!$C$7&amp;"")),1,0))</f>
        <v/>
      </c>
      <c r="AI1837" s="20">
        <f>IF(AH1837=1,SUM($AH$5:AH1837),"")</f>
        <v/>
      </c>
      <c r="AJ1837" s="20">
        <f>IF(OR(S1837="",'報告書'!$C$4=""),"",IF(S1837&amp;""='報告書'!$C$4&amp;"",COUNTIF($S$5:S1837,'報告書'!$C$4),""))</f>
        <v/>
      </c>
      <c r="AK1837" s="20" t="n"/>
      <c r="AL1837" s="47" t="n"/>
      <c r="AM1837" s="47" t="n"/>
      <c r="AN1837" s="53" t="n"/>
      <c r="AO1837" s="47" t="n"/>
      <c r="AP1837" s="47" t="n"/>
      <c r="AQ1837" s="47" t="n"/>
      <c r="AR1837" s="47" t="n"/>
      <c r="AS1837" s="47" t="n"/>
      <c r="AT1837" s="47" t="n"/>
      <c r="AU1837" s="47" t="n"/>
      <c r="AV1837" s="47" t="n"/>
      <c r="AW1837" s="52" t="n"/>
    </row>
    <row r="1838">
      <c r="A1838" s="48" t="n"/>
      <c r="B1838" s="52" t="n"/>
      <c r="C1838" s="47">
        <f>IF(B1838="","",IFERROR(INDEX('隊員マスタ'!$B$5:$B$204,MATCH(B1838&amp;"",'隊員マスタ'!$F$5:$F$204,0)),IF(AK1838="","番号なし",AK1838)))</f>
        <v/>
      </c>
      <c r="D1838" s="47" t="n"/>
      <c r="E1838" s="47" t="n"/>
      <c r="F1838" s="47" t="n"/>
      <c r="G1838" s="47" t="n"/>
      <c r="H1838" s="47" t="n"/>
      <c r="I1838" s="47" t="n"/>
      <c r="J1838" s="47" t="n"/>
      <c r="K1838" s="47" t="n"/>
      <c r="L1838" s="47" t="n"/>
      <c r="M1838" s="47" t="n"/>
      <c r="N1838" s="47" t="n"/>
      <c r="O1838" s="47" t="n"/>
      <c r="P1838" s="47" t="n"/>
      <c r="Q1838" s="47" t="n"/>
      <c r="R1838" s="47" t="n"/>
      <c r="S1838" s="47" t="n"/>
      <c r="T1838" s="47" t="n"/>
      <c r="U1838" s="53" t="n"/>
      <c r="V1838" s="53" t="n"/>
      <c r="W1838" s="47" t="n"/>
      <c r="X1838" s="47" t="n"/>
      <c r="Y1838" s="47" t="n"/>
      <c r="Z1838" s="47" t="n"/>
      <c r="AA1838" s="47" t="n"/>
      <c r="AB1838" s="47" t="n"/>
      <c r="AC1838" s="47" t="n"/>
      <c r="AD1838" s="47" t="n"/>
      <c r="AE1838" s="47" t="n"/>
      <c r="AF1838" s="20">
        <f>IF(A1838="","",YEAR(EDATE(A1838,-3)))</f>
        <v/>
      </c>
      <c r="AG1838" s="20">
        <f>IF(OR(B1838="",'経歴簿'!$C$4=""),"",IF(B1838&amp;""='経歴簿'!$C$4&amp;"",MAX($AG$4:AG1837)+1,""))</f>
        <v/>
      </c>
      <c r="AH1838" s="20">
        <f>IF(A1838="",0,IF(AND(OR('CSV抽出'!$C$4="",A1838&gt;='CSV抽出'!$C$4),OR('CSV抽出'!$C$5="",A1838&lt;='CSV抽出'!$C$5),OR('CSV抽出'!$C$6="すべて",'CSV抽出'!$C$6="",D1838='CSV抽出'!$C$6),OR('CSV抽出'!$C$7="",B1838&amp;""='CSV抽出'!$C$7&amp;"")),1,0))</f>
        <v/>
      </c>
      <c r="AI1838" s="20">
        <f>IF(AH1838=1,SUM($AH$5:AH1838),"")</f>
        <v/>
      </c>
      <c r="AJ1838" s="20">
        <f>IF(OR(S1838="",'報告書'!$C$4=""),"",IF(S1838&amp;""='報告書'!$C$4&amp;"",COUNTIF($S$5:S1838,'報告書'!$C$4),""))</f>
        <v/>
      </c>
      <c r="AK1838" s="20" t="n"/>
      <c r="AL1838" s="47" t="n"/>
      <c r="AM1838" s="47" t="n"/>
      <c r="AN1838" s="53" t="n"/>
      <c r="AO1838" s="47" t="n"/>
      <c r="AP1838" s="47" t="n"/>
      <c r="AQ1838" s="47" t="n"/>
      <c r="AR1838" s="47" t="n"/>
      <c r="AS1838" s="47" t="n"/>
      <c r="AT1838" s="47" t="n"/>
      <c r="AU1838" s="47" t="n"/>
      <c r="AV1838" s="47" t="n"/>
      <c r="AW1838" s="52" t="n"/>
    </row>
    <row r="1839">
      <c r="A1839" s="48" t="n"/>
      <c r="B1839" s="52" t="n"/>
      <c r="C1839" s="47">
        <f>IF(B1839="","",IFERROR(INDEX('隊員マスタ'!$B$5:$B$204,MATCH(B1839&amp;"",'隊員マスタ'!$F$5:$F$204,0)),IF(AK1839="","番号なし",AK1839)))</f>
        <v/>
      </c>
      <c r="D1839" s="47" t="n"/>
      <c r="E1839" s="47" t="n"/>
      <c r="F1839" s="47" t="n"/>
      <c r="G1839" s="47" t="n"/>
      <c r="H1839" s="47" t="n"/>
      <c r="I1839" s="47" t="n"/>
      <c r="J1839" s="47" t="n"/>
      <c r="K1839" s="47" t="n"/>
      <c r="L1839" s="47" t="n"/>
      <c r="M1839" s="47" t="n"/>
      <c r="N1839" s="47" t="n"/>
      <c r="O1839" s="47" t="n"/>
      <c r="P1839" s="47" t="n"/>
      <c r="Q1839" s="47" t="n"/>
      <c r="R1839" s="47" t="n"/>
      <c r="S1839" s="47" t="n"/>
      <c r="T1839" s="47" t="n"/>
      <c r="U1839" s="53" t="n"/>
      <c r="V1839" s="53" t="n"/>
      <c r="W1839" s="47" t="n"/>
      <c r="X1839" s="47" t="n"/>
      <c r="Y1839" s="47" t="n"/>
      <c r="Z1839" s="47" t="n"/>
      <c r="AA1839" s="47" t="n"/>
      <c r="AB1839" s="47" t="n"/>
      <c r="AC1839" s="47" t="n"/>
      <c r="AD1839" s="47" t="n"/>
      <c r="AE1839" s="47" t="n"/>
      <c r="AF1839" s="20">
        <f>IF(A1839="","",YEAR(EDATE(A1839,-3)))</f>
        <v/>
      </c>
      <c r="AG1839" s="20">
        <f>IF(OR(B1839="",'経歴簿'!$C$4=""),"",IF(B1839&amp;""='経歴簿'!$C$4&amp;"",MAX($AG$4:AG1838)+1,""))</f>
        <v/>
      </c>
      <c r="AH1839" s="20">
        <f>IF(A1839="",0,IF(AND(OR('CSV抽出'!$C$4="",A1839&gt;='CSV抽出'!$C$4),OR('CSV抽出'!$C$5="",A1839&lt;='CSV抽出'!$C$5),OR('CSV抽出'!$C$6="すべて",'CSV抽出'!$C$6="",D1839='CSV抽出'!$C$6),OR('CSV抽出'!$C$7="",B1839&amp;""='CSV抽出'!$C$7&amp;"")),1,0))</f>
        <v/>
      </c>
      <c r="AI1839" s="20">
        <f>IF(AH1839=1,SUM($AH$5:AH1839),"")</f>
        <v/>
      </c>
      <c r="AJ1839" s="20">
        <f>IF(OR(S1839="",'報告書'!$C$4=""),"",IF(S1839&amp;""='報告書'!$C$4&amp;"",COUNTIF($S$5:S1839,'報告書'!$C$4),""))</f>
        <v/>
      </c>
      <c r="AK1839" s="20" t="n"/>
      <c r="AL1839" s="47" t="n"/>
      <c r="AM1839" s="47" t="n"/>
      <c r="AN1839" s="53" t="n"/>
      <c r="AO1839" s="47" t="n"/>
      <c r="AP1839" s="47" t="n"/>
      <c r="AQ1839" s="47" t="n"/>
      <c r="AR1839" s="47" t="n"/>
      <c r="AS1839" s="47" t="n"/>
      <c r="AT1839" s="47" t="n"/>
      <c r="AU1839" s="47" t="n"/>
      <c r="AV1839" s="47" t="n"/>
      <c r="AW1839" s="52" t="n"/>
    </row>
    <row r="1840">
      <c r="A1840" s="48" t="n"/>
      <c r="B1840" s="52" t="n"/>
      <c r="C1840" s="47">
        <f>IF(B1840="","",IFERROR(INDEX('隊員マスタ'!$B$5:$B$204,MATCH(B1840&amp;"",'隊員マスタ'!$F$5:$F$204,0)),IF(AK1840="","番号なし",AK1840)))</f>
        <v/>
      </c>
      <c r="D1840" s="47" t="n"/>
      <c r="E1840" s="47" t="n"/>
      <c r="F1840" s="47" t="n"/>
      <c r="G1840" s="47" t="n"/>
      <c r="H1840" s="47" t="n"/>
      <c r="I1840" s="47" t="n"/>
      <c r="J1840" s="47" t="n"/>
      <c r="K1840" s="47" t="n"/>
      <c r="L1840" s="47" t="n"/>
      <c r="M1840" s="47" t="n"/>
      <c r="N1840" s="47" t="n"/>
      <c r="O1840" s="47" t="n"/>
      <c r="P1840" s="47" t="n"/>
      <c r="Q1840" s="47" t="n"/>
      <c r="R1840" s="47" t="n"/>
      <c r="S1840" s="47" t="n"/>
      <c r="T1840" s="47" t="n"/>
      <c r="U1840" s="53" t="n"/>
      <c r="V1840" s="53" t="n"/>
      <c r="W1840" s="47" t="n"/>
      <c r="X1840" s="47" t="n"/>
      <c r="Y1840" s="47" t="n"/>
      <c r="Z1840" s="47" t="n"/>
      <c r="AA1840" s="47" t="n"/>
      <c r="AB1840" s="47" t="n"/>
      <c r="AC1840" s="47" t="n"/>
      <c r="AD1840" s="47" t="n"/>
      <c r="AE1840" s="47" t="n"/>
      <c r="AF1840" s="20">
        <f>IF(A1840="","",YEAR(EDATE(A1840,-3)))</f>
        <v/>
      </c>
      <c r="AG1840" s="20">
        <f>IF(OR(B1840="",'経歴簿'!$C$4=""),"",IF(B1840&amp;""='経歴簿'!$C$4&amp;"",MAX($AG$4:AG1839)+1,""))</f>
        <v/>
      </c>
      <c r="AH1840" s="20">
        <f>IF(A1840="",0,IF(AND(OR('CSV抽出'!$C$4="",A1840&gt;='CSV抽出'!$C$4),OR('CSV抽出'!$C$5="",A1840&lt;='CSV抽出'!$C$5),OR('CSV抽出'!$C$6="すべて",'CSV抽出'!$C$6="",D1840='CSV抽出'!$C$6),OR('CSV抽出'!$C$7="",B1840&amp;""='CSV抽出'!$C$7&amp;"")),1,0))</f>
        <v/>
      </c>
      <c r="AI1840" s="20">
        <f>IF(AH1840=1,SUM($AH$5:AH1840),"")</f>
        <v/>
      </c>
      <c r="AJ1840" s="20">
        <f>IF(OR(S1840="",'報告書'!$C$4=""),"",IF(S1840&amp;""='報告書'!$C$4&amp;"",COUNTIF($S$5:S1840,'報告書'!$C$4),""))</f>
        <v/>
      </c>
      <c r="AK1840" s="20" t="n"/>
      <c r="AL1840" s="47" t="n"/>
      <c r="AM1840" s="47" t="n"/>
      <c r="AN1840" s="53" t="n"/>
      <c r="AO1840" s="47" t="n"/>
      <c r="AP1840" s="47" t="n"/>
      <c r="AQ1840" s="47" t="n"/>
      <c r="AR1840" s="47" t="n"/>
      <c r="AS1840" s="47" t="n"/>
      <c r="AT1840" s="47" t="n"/>
      <c r="AU1840" s="47" t="n"/>
      <c r="AV1840" s="47" t="n"/>
      <c r="AW1840" s="52" t="n"/>
    </row>
    <row r="1841">
      <c r="A1841" s="48" t="n"/>
      <c r="B1841" s="52" t="n"/>
      <c r="C1841" s="47">
        <f>IF(B1841="","",IFERROR(INDEX('隊員マスタ'!$B$5:$B$204,MATCH(B1841&amp;"",'隊員マスタ'!$F$5:$F$204,0)),IF(AK1841="","番号なし",AK1841)))</f>
        <v/>
      </c>
      <c r="D1841" s="47" t="n"/>
      <c r="E1841" s="47" t="n"/>
      <c r="F1841" s="47" t="n"/>
      <c r="G1841" s="47" t="n"/>
      <c r="H1841" s="47" t="n"/>
      <c r="I1841" s="47" t="n"/>
      <c r="J1841" s="47" t="n"/>
      <c r="K1841" s="47" t="n"/>
      <c r="L1841" s="47" t="n"/>
      <c r="M1841" s="47" t="n"/>
      <c r="N1841" s="47" t="n"/>
      <c r="O1841" s="47" t="n"/>
      <c r="P1841" s="47" t="n"/>
      <c r="Q1841" s="47" t="n"/>
      <c r="R1841" s="47" t="n"/>
      <c r="S1841" s="47" t="n"/>
      <c r="T1841" s="47" t="n"/>
      <c r="U1841" s="53" t="n"/>
      <c r="V1841" s="53" t="n"/>
      <c r="W1841" s="47" t="n"/>
      <c r="X1841" s="47" t="n"/>
      <c r="Y1841" s="47" t="n"/>
      <c r="Z1841" s="47" t="n"/>
      <c r="AA1841" s="47" t="n"/>
      <c r="AB1841" s="47" t="n"/>
      <c r="AC1841" s="47" t="n"/>
      <c r="AD1841" s="47" t="n"/>
      <c r="AE1841" s="47" t="n"/>
      <c r="AF1841" s="20">
        <f>IF(A1841="","",YEAR(EDATE(A1841,-3)))</f>
        <v/>
      </c>
      <c r="AG1841" s="20">
        <f>IF(OR(B1841="",'経歴簿'!$C$4=""),"",IF(B1841&amp;""='経歴簿'!$C$4&amp;"",MAX($AG$4:AG1840)+1,""))</f>
        <v/>
      </c>
      <c r="AH1841" s="20">
        <f>IF(A1841="",0,IF(AND(OR('CSV抽出'!$C$4="",A1841&gt;='CSV抽出'!$C$4),OR('CSV抽出'!$C$5="",A1841&lt;='CSV抽出'!$C$5),OR('CSV抽出'!$C$6="すべて",'CSV抽出'!$C$6="",D1841='CSV抽出'!$C$6),OR('CSV抽出'!$C$7="",B1841&amp;""='CSV抽出'!$C$7&amp;"")),1,0))</f>
        <v/>
      </c>
      <c r="AI1841" s="20">
        <f>IF(AH1841=1,SUM($AH$5:AH1841),"")</f>
        <v/>
      </c>
      <c r="AJ1841" s="20">
        <f>IF(OR(S1841="",'報告書'!$C$4=""),"",IF(S1841&amp;""='報告書'!$C$4&amp;"",COUNTIF($S$5:S1841,'報告書'!$C$4),""))</f>
        <v/>
      </c>
      <c r="AK1841" s="20" t="n"/>
      <c r="AL1841" s="47" t="n"/>
      <c r="AM1841" s="47" t="n"/>
      <c r="AN1841" s="53" t="n"/>
      <c r="AO1841" s="47" t="n"/>
      <c r="AP1841" s="47" t="n"/>
      <c r="AQ1841" s="47" t="n"/>
      <c r="AR1841" s="47" t="n"/>
      <c r="AS1841" s="47" t="n"/>
      <c r="AT1841" s="47" t="n"/>
      <c r="AU1841" s="47" t="n"/>
      <c r="AV1841" s="47" t="n"/>
      <c r="AW1841" s="52" t="n"/>
    </row>
    <row r="1842">
      <c r="A1842" s="48" t="n"/>
      <c r="B1842" s="52" t="n"/>
      <c r="C1842" s="47">
        <f>IF(B1842="","",IFERROR(INDEX('隊員マスタ'!$B$5:$B$204,MATCH(B1842&amp;"",'隊員マスタ'!$F$5:$F$204,0)),IF(AK1842="","番号なし",AK1842)))</f>
        <v/>
      </c>
      <c r="D1842" s="47" t="n"/>
      <c r="E1842" s="47" t="n"/>
      <c r="F1842" s="47" t="n"/>
      <c r="G1842" s="47" t="n"/>
      <c r="H1842" s="47" t="n"/>
      <c r="I1842" s="47" t="n"/>
      <c r="J1842" s="47" t="n"/>
      <c r="K1842" s="47" t="n"/>
      <c r="L1842" s="47" t="n"/>
      <c r="M1842" s="47" t="n"/>
      <c r="N1842" s="47" t="n"/>
      <c r="O1842" s="47" t="n"/>
      <c r="P1842" s="47" t="n"/>
      <c r="Q1842" s="47" t="n"/>
      <c r="R1842" s="47" t="n"/>
      <c r="S1842" s="47" t="n"/>
      <c r="T1842" s="47" t="n"/>
      <c r="U1842" s="53" t="n"/>
      <c r="V1842" s="53" t="n"/>
      <c r="W1842" s="47" t="n"/>
      <c r="X1842" s="47" t="n"/>
      <c r="Y1842" s="47" t="n"/>
      <c r="Z1842" s="47" t="n"/>
      <c r="AA1842" s="47" t="n"/>
      <c r="AB1842" s="47" t="n"/>
      <c r="AC1842" s="47" t="n"/>
      <c r="AD1842" s="47" t="n"/>
      <c r="AE1842" s="47" t="n"/>
      <c r="AF1842" s="20">
        <f>IF(A1842="","",YEAR(EDATE(A1842,-3)))</f>
        <v/>
      </c>
      <c r="AG1842" s="20">
        <f>IF(OR(B1842="",'経歴簿'!$C$4=""),"",IF(B1842&amp;""='経歴簿'!$C$4&amp;"",MAX($AG$4:AG1841)+1,""))</f>
        <v/>
      </c>
      <c r="AH1842" s="20">
        <f>IF(A1842="",0,IF(AND(OR('CSV抽出'!$C$4="",A1842&gt;='CSV抽出'!$C$4),OR('CSV抽出'!$C$5="",A1842&lt;='CSV抽出'!$C$5),OR('CSV抽出'!$C$6="すべて",'CSV抽出'!$C$6="",D1842='CSV抽出'!$C$6),OR('CSV抽出'!$C$7="",B1842&amp;""='CSV抽出'!$C$7&amp;"")),1,0))</f>
        <v/>
      </c>
      <c r="AI1842" s="20">
        <f>IF(AH1842=1,SUM($AH$5:AH1842),"")</f>
        <v/>
      </c>
      <c r="AJ1842" s="20">
        <f>IF(OR(S1842="",'報告書'!$C$4=""),"",IF(S1842&amp;""='報告書'!$C$4&amp;"",COUNTIF($S$5:S1842,'報告書'!$C$4),""))</f>
        <v/>
      </c>
      <c r="AK1842" s="20" t="n"/>
      <c r="AL1842" s="47" t="n"/>
      <c r="AM1842" s="47" t="n"/>
      <c r="AN1842" s="53" t="n"/>
      <c r="AO1842" s="47" t="n"/>
      <c r="AP1842" s="47" t="n"/>
      <c r="AQ1842" s="47" t="n"/>
      <c r="AR1842" s="47" t="n"/>
      <c r="AS1842" s="47" t="n"/>
      <c r="AT1842" s="47" t="n"/>
      <c r="AU1842" s="47" t="n"/>
      <c r="AV1842" s="47" t="n"/>
      <c r="AW1842" s="52" t="n"/>
    </row>
    <row r="1843">
      <c r="A1843" s="48" t="n"/>
      <c r="B1843" s="52" t="n"/>
      <c r="C1843" s="47">
        <f>IF(B1843="","",IFERROR(INDEX('隊員マスタ'!$B$5:$B$204,MATCH(B1843&amp;"",'隊員マスタ'!$F$5:$F$204,0)),IF(AK1843="","番号なし",AK1843)))</f>
        <v/>
      </c>
      <c r="D1843" s="47" t="n"/>
      <c r="E1843" s="47" t="n"/>
      <c r="F1843" s="47" t="n"/>
      <c r="G1843" s="47" t="n"/>
      <c r="H1843" s="47" t="n"/>
      <c r="I1843" s="47" t="n"/>
      <c r="J1843" s="47" t="n"/>
      <c r="K1843" s="47" t="n"/>
      <c r="L1843" s="47" t="n"/>
      <c r="M1843" s="47" t="n"/>
      <c r="N1843" s="47" t="n"/>
      <c r="O1843" s="47" t="n"/>
      <c r="P1843" s="47" t="n"/>
      <c r="Q1843" s="47" t="n"/>
      <c r="R1843" s="47" t="n"/>
      <c r="S1843" s="47" t="n"/>
      <c r="T1843" s="47" t="n"/>
      <c r="U1843" s="53" t="n"/>
      <c r="V1843" s="53" t="n"/>
      <c r="W1843" s="47" t="n"/>
      <c r="X1843" s="47" t="n"/>
      <c r="Y1843" s="47" t="n"/>
      <c r="Z1843" s="47" t="n"/>
      <c r="AA1843" s="47" t="n"/>
      <c r="AB1843" s="47" t="n"/>
      <c r="AC1843" s="47" t="n"/>
      <c r="AD1843" s="47" t="n"/>
      <c r="AE1843" s="47" t="n"/>
      <c r="AF1843" s="20">
        <f>IF(A1843="","",YEAR(EDATE(A1843,-3)))</f>
        <v/>
      </c>
      <c r="AG1843" s="20">
        <f>IF(OR(B1843="",'経歴簿'!$C$4=""),"",IF(B1843&amp;""='経歴簿'!$C$4&amp;"",MAX($AG$4:AG1842)+1,""))</f>
        <v/>
      </c>
      <c r="AH1843" s="20">
        <f>IF(A1843="",0,IF(AND(OR('CSV抽出'!$C$4="",A1843&gt;='CSV抽出'!$C$4),OR('CSV抽出'!$C$5="",A1843&lt;='CSV抽出'!$C$5),OR('CSV抽出'!$C$6="すべて",'CSV抽出'!$C$6="",D1843='CSV抽出'!$C$6),OR('CSV抽出'!$C$7="",B1843&amp;""='CSV抽出'!$C$7&amp;"")),1,0))</f>
        <v/>
      </c>
      <c r="AI1843" s="20">
        <f>IF(AH1843=1,SUM($AH$5:AH1843),"")</f>
        <v/>
      </c>
      <c r="AJ1843" s="20">
        <f>IF(OR(S1843="",'報告書'!$C$4=""),"",IF(S1843&amp;""='報告書'!$C$4&amp;"",COUNTIF($S$5:S1843,'報告書'!$C$4),""))</f>
        <v/>
      </c>
      <c r="AK1843" s="20" t="n"/>
      <c r="AL1843" s="47" t="n"/>
      <c r="AM1843" s="47" t="n"/>
      <c r="AN1843" s="53" t="n"/>
      <c r="AO1843" s="47" t="n"/>
      <c r="AP1843" s="47" t="n"/>
      <c r="AQ1843" s="47" t="n"/>
      <c r="AR1843" s="47" t="n"/>
      <c r="AS1843" s="47" t="n"/>
      <c r="AT1843" s="47" t="n"/>
      <c r="AU1843" s="47" t="n"/>
      <c r="AV1843" s="47" t="n"/>
      <c r="AW1843" s="52" t="n"/>
    </row>
    <row r="1844">
      <c r="A1844" s="48" t="n"/>
      <c r="B1844" s="52" t="n"/>
      <c r="C1844" s="47">
        <f>IF(B1844="","",IFERROR(INDEX('隊員マスタ'!$B$5:$B$204,MATCH(B1844&amp;"",'隊員マスタ'!$F$5:$F$204,0)),IF(AK1844="","番号なし",AK1844)))</f>
        <v/>
      </c>
      <c r="D1844" s="47" t="n"/>
      <c r="E1844" s="47" t="n"/>
      <c r="F1844" s="47" t="n"/>
      <c r="G1844" s="47" t="n"/>
      <c r="H1844" s="47" t="n"/>
      <c r="I1844" s="47" t="n"/>
      <c r="J1844" s="47" t="n"/>
      <c r="K1844" s="47" t="n"/>
      <c r="L1844" s="47" t="n"/>
      <c r="M1844" s="47" t="n"/>
      <c r="N1844" s="47" t="n"/>
      <c r="O1844" s="47" t="n"/>
      <c r="P1844" s="47" t="n"/>
      <c r="Q1844" s="47" t="n"/>
      <c r="R1844" s="47" t="n"/>
      <c r="S1844" s="47" t="n"/>
      <c r="T1844" s="47" t="n"/>
      <c r="U1844" s="53" t="n"/>
      <c r="V1844" s="53" t="n"/>
      <c r="W1844" s="47" t="n"/>
      <c r="X1844" s="47" t="n"/>
      <c r="Y1844" s="47" t="n"/>
      <c r="Z1844" s="47" t="n"/>
      <c r="AA1844" s="47" t="n"/>
      <c r="AB1844" s="47" t="n"/>
      <c r="AC1844" s="47" t="n"/>
      <c r="AD1844" s="47" t="n"/>
      <c r="AE1844" s="47" t="n"/>
      <c r="AF1844" s="20">
        <f>IF(A1844="","",YEAR(EDATE(A1844,-3)))</f>
        <v/>
      </c>
      <c r="AG1844" s="20">
        <f>IF(OR(B1844="",'経歴簿'!$C$4=""),"",IF(B1844&amp;""='経歴簿'!$C$4&amp;"",MAX($AG$4:AG1843)+1,""))</f>
        <v/>
      </c>
      <c r="AH1844" s="20">
        <f>IF(A1844="",0,IF(AND(OR('CSV抽出'!$C$4="",A1844&gt;='CSV抽出'!$C$4),OR('CSV抽出'!$C$5="",A1844&lt;='CSV抽出'!$C$5),OR('CSV抽出'!$C$6="すべて",'CSV抽出'!$C$6="",D1844='CSV抽出'!$C$6),OR('CSV抽出'!$C$7="",B1844&amp;""='CSV抽出'!$C$7&amp;"")),1,0))</f>
        <v/>
      </c>
      <c r="AI1844" s="20">
        <f>IF(AH1844=1,SUM($AH$5:AH1844),"")</f>
        <v/>
      </c>
      <c r="AJ1844" s="20">
        <f>IF(OR(S1844="",'報告書'!$C$4=""),"",IF(S1844&amp;""='報告書'!$C$4&amp;"",COUNTIF($S$5:S1844,'報告書'!$C$4),""))</f>
        <v/>
      </c>
      <c r="AK1844" s="20" t="n"/>
      <c r="AL1844" s="47" t="n"/>
      <c r="AM1844" s="47" t="n"/>
      <c r="AN1844" s="53" t="n"/>
      <c r="AO1844" s="47" t="n"/>
      <c r="AP1844" s="47" t="n"/>
      <c r="AQ1844" s="47" t="n"/>
      <c r="AR1844" s="47" t="n"/>
      <c r="AS1844" s="47" t="n"/>
      <c r="AT1844" s="47" t="n"/>
      <c r="AU1844" s="47" t="n"/>
      <c r="AV1844" s="47" t="n"/>
      <c r="AW1844" s="52" t="n"/>
    </row>
    <row r="1845">
      <c r="A1845" s="48" t="n"/>
      <c r="B1845" s="52" t="n"/>
      <c r="C1845" s="47">
        <f>IF(B1845="","",IFERROR(INDEX('隊員マスタ'!$B$5:$B$204,MATCH(B1845&amp;"",'隊員マスタ'!$F$5:$F$204,0)),IF(AK1845="","番号なし",AK1845)))</f>
        <v/>
      </c>
      <c r="D1845" s="47" t="n"/>
      <c r="E1845" s="47" t="n"/>
      <c r="F1845" s="47" t="n"/>
      <c r="G1845" s="47" t="n"/>
      <c r="H1845" s="47" t="n"/>
      <c r="I1845" s="47" t="n"/>
      <c r="J1845" s="47" t="n"/>
      <c r="K1845" s="47" t="n"/>
      <c r="L1845" s="47" t="n"/>
      <c r="M1845" s="47" t="n"/>
      <c r="N1845" s="47" t="n"/>
      <c r="O1845" s="47" t="n"/>
      <c r="P1845" s="47" t="n"/>
      <c r="Q1845" s="47" t="n"/>
      <c r="R1845" s="47" t="n"/>
      <c r="S1845" s="47" t="n"/>
      <c r="T1845" s="47" t="n"/>
      <c r="U1845" s="53" t="n"/>
      <c r="V1845" s="53" t="n"/>
      <c r="W1845" s="47" t="n"/>
      <c r="X1845" s="47" t="n"/>
      <c r="Y1845" s="47" t="n"/>
      <c r="Z1845" s="47" t="n"/>
      <c r="AA1845" s="47" t="n"/>
      <c r="AB1845" s="47" t="n"/>
      <c r="AC1845" s="47" t="n"/>
      <c r="AD1845" s="47" t="n"/>
      <c r="AE1845" s="47" t="n"/>
      <c r="AF1845" s="20">
        <f>IF(A1845="","",YEAR(EDATE(A1845,-3)))</f>
        <v/>
      </c>
      <c r="AG1845" s="20">
        <f>IF(OR(B1845="",'経歴簿'!$C$4=""),"",IF(B1845&amp;""='経歴簿'!$C$4&amp;"",MAX($AG$4:AG1844)+1,""))</f>
        <v/>
      </c>
      <c r="AH1845" s="20">
        <f>IF(A1845="",0,IF(AND(OR('CSV抽出'!$C$4="",A1845&gt;='CSV抽出'!$C$4),OR('CSV抽出'!$C$5="",A1845&lt;='CSV抽出'!$C$5),OR('CSV抽出'!$C$6="すべて",'CSV抽出'!$C$6="",D1845='CSV抽出'!$C$6),OR('CSV抽出'!$C$7="",B1845&amp;""='CSV抽出'!$C$7&amp;"")),1,0))</f>
        <v/>
      </c>
      <c r="AI1845" s="20">
        <f>IF(AH1845=1,SUM($AH$5:AH1845),"")</f>
        <v/>
      </c>
      <c r="AJ1845" s="20">
        <f>IF(OR(S1845="",'報告書'!$C$4=""),"",IF(S1845&amp;""='報告書'!$C$4&amp;"",COUNTIF($S$5:S1845,'報告書'!$C$4),""))</f>
        <v/>
      </c>
      <c r="AK1845" s="20" t="n"/>
      <c r="AL1845" s="47" t="n"/>
      <c r="AM1845" s="47" t="n"/>
      <c r="AN1845" s="53" t="n"/>
      <c r="AO1845" s="47" t="n"/>
      <c r="AP1845" s="47" t="n"/>
      <c r="AQ1845" s="47" t="n"/>
      <c r="AR1845" s="47" t="n"/>
      <c r="AS1845" s="47" t="n"/>
      <c r="AT1845" s="47" t="n"/>
      <c r="AU1845" s="47" t="n"/>
      <c r="AV1845" s="47" t="n"/>
      <c r="AW1845" s="52" t="n"/>
    </row>
    <row r="1846">
      <c r="A1846" s="48" t="n"/>
      <c r="B1846" s="52" t="n"/>
      <c r="C1846" s="47">
        <f>IF(B1846="","",IFERROR(INDEX('隊員マスタ'!$B$5:$B$204,MATCH(B1846&amp;"",'隊員マスタ'!$F$5:$F$204,0)),IF(AK1846="","番号なし",AK1846)))</f>
        <v/>
      </c>
      <c r="D1846" s="47" t="n"/>
      <c r="E1846" s="47" t="n"/>
      <c r="F1846" s="47" t="n"/>
      <c r="G1846" s="47" t="n"/>
      <c r="H1846" s="47" t="n"/>
      <c r="I1846" s="47" t="n"/>
      <c r="J1846" s="47" t="n"/>
      <c r="K1846" s="47" t="n"/>
      <c r="L1846" s="47" t="n"/>
      <c r="M1846" s="47" t="n"/>
      <c r="N1846" s="47" t="n"/>
      <c r="O1846" s="47" t="n"/>
      <c r="P1846" s="47" t="n"/>
      <c r="Q1846" s="47" t="n"/>
      <c r="R1846" s="47" t="n"/>
      <c r="S1846" s="47" t="n"/>
      <c r="T1846" s="47" t="n"/>
      <c r="U1846" s="53" t="n"/>
      <c r="V1846" s="53" t="n"/>
      <c r="W1846" s="47" t="n"/>
      <c r="X1846" s="47" t="n"/>
      <c r="Y1846" s="47" t="n"/>
      <c r="Z1846" s="47" t="n"/>
      <c r="AA1846" s="47" t="n"/>
      <c r="AB1846" s="47" t="n"/>
      <c r="AC1846" s="47" t="n"/>
      <c r="AD1846" s="47" t="n"/>
      <c r="AE1846" s="47" t="n"/>
      <c r="AF1846" s="20">
        <f>IF(A1846="","",YEAR(EDATE(A1846,-3)))</f>
        <v/>
      </c>
      <c r="AG1846" s="20">
        <f>IF(OR(B1846="",'経歴簿'!$C$4=""),"",IF(B1846&amp;""='経歴簿'!$C$4&amp;"",MAX($AG$4:AG1845)+1,""))</f>
        <v/>
      </c>
      <c r="AH1846" s="20">
        <f>IF(A1846="",0,IF(AND(OR('CSV抽出'!$C$4="",A1846&gt;='CSV抽出'!$C$4),OR('CSV抽出'!$C$5="",A1846&lt;='CSV抽出'!$C$5),OR('CSV抽出'!$C$6="すべて",'CSV抽出'!$C$6="",D1846='CSV抽出'!$C$6),OR('CSV抽出'!$C$7="",B1846&amp;""='CSV抽出'!$C$7&amp;"")),1,0))</f>
        <v/>
      </c>
      <c r="AI1846" s="20">
        <f>IF(AH1846=1,SUM($AH$5:AH1846),"")</f>
        <v/>
      </c>
      <c r="AJ1846" s="20">
        <f>IF(OR(S1846="",'報告書'!$C$4=""),"",IF(S1846&amp;""='報告書'!$C$4&amp;"",COUNTIF($S$5:S1846,'報告書'!$C$4),""))</f>
        <v/>
      </c>
      <c r="AK1846" s="20" t="n"/>
      <c r="AL1846" s="47" t="n"/>
      <c r="AM1846" s="47" t="n"/>
      <c r="AN1846" s="53" t="n"/>
      <c r="AO1846" s="47" t="n"/>
      <c r="AP1846" s="47" t="n"/>
      <c r="AQ1846" s="47" t="n"/>
      <c r="AR1846" s="47" t="n"/>
      <c r="AS1846" s="47" t="n"/>
      <c r="AT1846" s="47" t="n"/>
      <c r="AU1846" s="47" t="n"/>
      <c r="AV1846" s="47" t="n"/>
      <c r="AW1846" s="52" t="n"/>
    </row>
    <row r="1847">
      <c r="A1847" s="48" t="n"/>
      <c r="B1847" s="52" t="n"/>
      <c r="C1847" s="47">
        <f>IF(B1847="","",IFERROR(INDEX('隊員マスタ'!$B$5:$B$204,MATCH(B1847&amp;"",'隊員マスタ'!$F$5:$F$204,0)),IF(AK1847="","番号なし",AK1847)))</f>
        <v/>
      </c>
      <c r="D1847" s="47" t="n"/>
      <c r="E1847" s="47" t="n"/>
      <c r="F1847" s="47" t="n"/>
      <c r="G1847" s="47" t="n"/>
      <c r="H1847" s="47" t="n"/>
      <c r="I1847" s="47" t="n"/>
      <c r="J1847" s="47" t="n"/>
      <c r="K1847" s="47" t="n"/>
      <c r="L1847" s="47" t="n"/>
      <c r="M1847" s="47" t="n"/>
      <c r="N1847" s="47" t="n"/>
      <c r="O1847" s="47" t="n"/>
      <c r="P1847" s="47" t="n"/>
      <c r="Q1847" s="47" t="n"/>
      <c r="R1847" s="47" t="n"/>
      <c r="S1847" s="47" t="n"/>
      <c r="T1847" s="47" t="n"/>
      <c r="U1847" s="53" t="n"/>
      <c r="V1847" s="53" t="n"/>
      <c r="W1847" s="47" t="n"/>
      <c r="X1847" s="47" t="n"/>
      <c r="Y1847" s="47" t="n"/>
      <c r="Z1847" s="47" t="n"/>
      <c r="AA1847" s="47" t="n"/>
      <c r="AB1847" s="47" t="n"/>
      <c r="AC1847" s="47" t="n"/>
      <c r="AD1847" s="47" t="n"/>
      <c r="AE1847" s="47" t="n"/>
      <c r="AF1847" s="20">
        <f>IF(A1847="","",YEAR(EDATE(A1847,-3)))</f>
        <v/>
      </c>
      <c r="AG1847" s="20">
        <f>IF(OR(B1847="",'経歴簿'!$C$4=""),"",IF(B1847&amp;""='経歴簿'!$C$4&amp;"",MAX($AG$4:AG1846)+1,""))</f>
        <v/>
      </c>
      <c r="AH1847" s="20">
        <f>IF(A1847="",0,IF(AND(OR('CSV抽出'!$C$4="",A1847&gt;='CSV抽出'!$C$4),OR('CSV抽出'!$C$5="",A1847&lt;='CSV抽出'!$C$5),OR('CSV抽出'!$C$6="すべて",'CSV抽出'!$C$6="",D1847='CSV抽出'!$C$6),OR('CSV抽出'!$C$7="",B1847&amp;""='CSV抽出'!$C$7&amp;"")),1,0))</f>
        <v/>
      </c>
      <c r="AI1847" s="20">
        <f>IF(AH1847=1,SUM($AH$5:AH1847),"")</f>
        <v/>
      </c>
      <c r="AJ1847" s="20">
        <f>IF(OR(S1847="",'報告書'!$C$4=""),"",IF(S1847&amp;""='報告書'!$C$4&amp;"",COUNTIF($S$5:S1847,'報告書'!$C$4),""))</f>
        <v/>
      </c>
      <c r="AK1847" s="20" t="n"/>
      <c r="AL1847" s="47" t="n"/>
      <c r="AM1847" s="47" t="n"/>
      <c r="AN1847" s="53" t="n"/>
      <c r="AO1847" s="47" t="n"/>
      <c r="AP1847" s="47" t="n"/>
      <c r="AQ1847" s="47" t="n"/>
      <c r="AR1847" s="47" t="n"/>
      <c r="AS1847" s="47" t="n"/>
      <c r="AT1847" s="47" t="n"/>
      <c r="AU1847" s="47" t="n"/>
      <c r="AV1847" s="47" t="n"/>
      <c r="AW1847" s="52" t="n"/>
    </row>
    <row r="1848">
      <c r="A1848" s="48" t="n"/>
      <c r="B1848" s="52" t="n"/>
      <c r="C1848" s="47">
        <f>IF(B1848="","",IFERROR(INDEX('隊員マスタ'!$B$5:$B$204,MATCH(B1848&amp;"",'隊員マスタ'!$F$5:$F$204,0)),IF(AK1848="","番号なし",AK1848)))</f>
        <v/>
      </c>
      <c r="D1848" s="47" t="n"/>
      <c r="E1848" s="47" t="n"/>
      <c r="F1848" s="47" t="n"/>
      <c r="G1848" s="47" t="n"/>
      <c r="H1848" s="47" t="n"/>
      <c r="I1848" s="47" t="n"/>
      <c r="J1848" s="47" t="n"/>
      <c r="K1848" s="47" t="n"/>
      <c r="L1848" s="47" t="n"/>
      <c r="M1848" s="47" t="n"/>
      <c r="N1848" s="47" t="n"/>
      <c r="O1848" s="47" t="n"/>
      <c r="P1848" s="47" t="n"/>
      <c r="Q1848" s="47" t="n"/>
      <c r="R1848" s="47" t="n"/>
      <c r="S1848" s="47" t="n"/>
      <c r="T1848" s="47" t="n"/>
      <c r="U1848" s="53" t="n"/>
      <c r="V1848" s="53" t="n"/>
      <c r="W1848" s="47" t="n"/>
      <c r="X1848" s="47" t="n"/>
      <c r="Y1848" s="47" t="n"/>
      <c r="Z1848" s="47" t="n"/>
      <c r="AA1848" s="47" t="n"/>
      <c r="AB1848" s="47" t="n"/>
      <c r="AC1848" s="47" t="n"/>
      <c r="AD1848" s="47" t="n"/>
      <c r="AE1848" s="47" t="n"/>
      <c r="AF1848" s="20">
        <f>IF(A1848="","",YEAR(EDATE(A1848,-3)))</f>
        <v/>
      </c>
      <c r="AG1848" s="20">
        <f>IF(OR(B1848="",'経歴簿'!$C$4=""),"",IF(B1848&amp;""='経歴簿'!$C$4&amp;"",MAX($AG$4:AG1847)+1,""))</f>
        <v/>
      </c>
      <c r="AH1848" s="20">
        <f>IF(A1848="",0,IF(AND(OR('CSV抽出'!$C$4="",A1848&gt;='CSV抽出'!$C$4),OR('CSV抽出'!$C$5="",A1848&lt;='CSV抽出'!$C$5),OR('CSV抽出'!$C$6="すべて",'CSV抽出'!$C$6="",D1848='CSV抽出'!$C$6),OR('CSV抽出'!$C$7="",B1848&amp;""='CSV抽出'!$C$7&amp;"")),1,0))</f>
        <v/>
      </c>
      <c r="AI1848" s="20">
        <f>IF(AH1848=1,SUM($AH$5:AH1848),"")</f>
        <v/>
      </c>
      <c r="AJ1848" s="20">
        <f>IF(OR(S1848="",'報告書'!$C$4=""),"",IF(S1848&amp;""='報告書'!$C$4&amp;"",COUNTIF($S$5:S1848,'報告書'!$C$4),""))</f>
        <v/>
      </c>
      <c r="AK1848" s="20" t="n"/>
      <c r="AL1848" s="47" t="n"/>
      <c r="AM1848" s="47" t="n"/>
      <c r="AN1848" s="53" t="n"/>
      <c r="AO1848" s="47" t="n"/>
      <c r="AP1848" s="47" t="n"/>
      <c r="AQ1848" s="47" t="n"/>
      <c r="AR1848" s="47" t="n"/>
      <c r="AS1848" s="47" t="n"/>
      <c r="AT1848" s="47" t="n"/>
      <c r="AU1848" s="47" t="n"/>
      <c r="AV1848" s="47" t="n"/>
      <c r="AW1848" s="52" t="n"/>
    </row>
    <row r="1849">
      <c r="A1849" s="48" t="n"/>
      <c r="B1849" s="52" t="n"/>
      <c r="C1849" s="47">
        <f>IF(B1849="","",IFERROR(INDEX('隊員マスタ'!$B$5:$B$204,MATCH(B1849&amp;"",'隊員マスタ'!$F$5:$F$204,0)),IF(AK1849="","番号なし",AK1849)))</f>
        <v/>
      </c>
      <c r="D1849" s="47" t="n"/>
      <c r="E1849" s="47" t="n"/>
      <c r="F1849" s="47" t="n"/>
      <c r="G1849" s="47" t="n"/>
      <c r="H1849" s="47" t="n"/>
      <c r="I1849" s="47" t="n"/>
      <c r="J1849" s="47" t="n"/>
      <c r="K1849" s="47" t="n"/>
      <c r="L1849" s="47" t="n"/>
      <c r="M1849" s="47" t="n"/>
      <c r="N1849" s="47" t="n"/>
      <c r="O1849" s="47" t="n"/>
      <c r="P1849" s="47" t="n"/>
      <c r="Q1849" s="47" t="n"/>
      <c r="R1849" s="47" t="n"/>
      <c r="S1849" s="47" t="n"/>
      <c r="T1849" s="47" t="n"/>
      <c r="U1849" s="53" t="n"/>
      <c r="V1849" s="53" t="n"/>
      <c r="W1849" s="47" t="n"/>
      <c r="X1849" s="47" t="n"/>
      <c r="Y1849" s="47" t="n"/>
      <c r="Z1849" s="47" t="n"/>
      <c r="AA1849" s="47" t="n"/>
      <c r="AB1849" s="47" t="n"/>
      <c r="AC1849" s="47" t="n"/>
      <c r="AD1849" s="47" t="n"/>
      <c r="AE1849" s="47" t="n"/>
      <c r="AF1849" s="20">
        <f>IF(A1849="","",YEAR(EDATE(A1849,-3)))</f>
        <v/>
      </c>
      <c r="AG1849" s="20">
        <f>IF(OR(B1849="",'経歴簿'!$C$4=""),"",IF(B1849&amp;""='経歴簿'!$C$4&amp;"",MAX($AG$4:AG1848)+1,""))</f>
        <v/>
      </c>
      <c r="AH1849" s="20">
        <f>IF(A1849="",0,IF(AND(OR('CSV抽出'!$C$4="",A1849&gt;='CSV抽出'!$C$4),OR('CSV抽出'!$C$5="",A1849&lt;='CSV抽出'!$C$5),OR('CSV抽出'!$C$6="すべて",'CSV抽出'!$C$6="",D1849='CSV抽出'!$C$6),OR('CSV抽出'!$C$7="",B1849&amp;""='CSV抽出'!$C$7&amp;"")),1,0))</f>
        <v/>
      </c>
      <c r="AI1849" s="20">
        <f>IF(AH1849=1,SUM($AH$5:AH1849),"")</f>
        <v/>
      </c>
      <c r="AJ1849" s="20">
        <f>IF(OR(S1849="",'報告書'!$C$4=""),"",IF(S1849&amp;""='報告書'!$C$4&amp;"",COUNTIF($S$5:S1849,'報告書'!$C$4),""))</f>
        <v/>
      </c>
      <c r="AK1849" s="20" t="n"/>
      <c r="AL1849" s="47" t="n"/>
      <c r="AM1849" s="47" t="n"/>
      <c r="AN1849" s="53" t="n"/>
      <c r="AO1849" s="47" t="n"/>
      <c r="AP1849" s="47" t="n"/>
      <c r="AQ1849" s="47" t="n"/>
      <c r="AR1849" s="47" t="n"/>
      <c r="AS1849" s="47" t="n"/>
      <c r="AT1849" s="47" t="n"/>
      <c r="AU1849" s="47" t="n"/>
      <c r="AV1849" s="47" t="n"/>
      <c r="AW1849" s="52" t="n"/>
    </row>
    <row r="1850">
      <c r="A1850" s="48" t="n"/>
      <c r="B1850" s="52" t="n"/>
      <c r="C1850" s="47">
        <f>IF(B1850="","",IFERROR(INDEX('隊員マスタ'!$B$5:$B$204,MATCH(B1850&amp;"",'隊員マスタ'!$F$5:$F$204,0)),IF(AK1850="","番号なし",AK1850)))</f>
        <v/>
      </c>
      <c r="D1850" s="47" t="n"/>
      <c r="E1850" s="47" t="n"/>
      <c r="F1850" s="47" t="n"/>
      <c r="G1850" s="47" t="n"/>
      <c r="H1850" s="47" t="n"/>
      <c r="I1850" s="47" t="n"/>
      <c r="J1850" s="47" t="n"/>
      <c r="K1850" s="47" t="n"/>
      <c r="L1850" s="47" t="n"/>
      <c r="M1850" s="47" t="n"/>
      <c r="N1850" s="47" t="n"/>
      <c r="O1850" s="47" t="n"/>
      <c r="P1850" s="47" t="n"/>
      <c r="Q1850" s="47" t="n"/>
      <c r="R1850" s="47" t="n"/>
      <c r="S1850" s="47" t="n"/>
      <c r="T1850" s="47" t="n"/>
      <c r="U1850" s="53" t="n"/>
      <c r="V1850" s="53" t="n"/>
      <c r="W1850" s="47" t="n"/>
      <c r="X1850" s="47" t="n"/>
      <c r="Y1850" s="47" t="n"/>
      <c r="Z1850" s="47" t="n"/>
      <c r="AA1850" s="47" t="n"/>
      <c r="AB1850" s="47" t="n"/>
      <c r="AC1850" s="47" t="n"/>
      <c r="AD1850" s="47" t="n"/>
      <c r="AE1850" s="47" t="n"/>
      <c r="AF1850" s="20">
        <f>IF(A1850="","",YEAR(EDATE(A1850,-3)))</f>
        <v/>
      </c>
      <c r="AG1850" s="20">
        <f>IF(OR(B1850="",'経歴簿'!$C$4=""),"",IF(B1850&amp;""='経歴簿'!$C$4&amp;"",MAX($AG$4:AG1849)+1,""))</f>
        <v/>
      </c>
      <c r="AH1850" s="20">
        <f>IF(A1850="",0,IF(AND(OR('CSV抽出'!$C$4="",A1850&gt;='CSV抽出'!$C$4),OR('CSV抽出'!$C$5="",A1850&lt;='CSV抽出'!$C$5),OR('CSV抽出'!$C$6="すべて",'CSV抽出'!$C$6="",D1850='CSV抽出'!$C$6),OR('CSV抽出'!$C$7="",B1850&amp;""='CSV抽出'!$C$7&amp;"")),1,0))</f>
        <v/>
      </c>
      <c r="AI1850" s="20">
        <f>IF(AH1850=1,SUM($AH$5:AH1850),"")</f>
        <v/>
      </c>
      <c r="AJ1850" s="20">
        <f>IF(OR(S1850="",'報告書'!$C$4=""),"",IF(S1850&amp;""='報告書'!$C$4&amp;"",COUNTIF($S$5:S1850,'報告書'!$C$4),""))</f>
        <v/>
      </c>
      <c r="AK1850" s="20" t="n"/>
      <c r="AL1850" s="47" t="n"/>
      <c r="AM1850" s="47" t="n"/>
      <c r="AN1850" s="53" t="n"/>
      <c r="AO1850" s="47" t="n"/>
      <c r="AP1850" s="47" t="n"/>
      <c r="AQ1850" s="47" t="n"/>
      <c r="AR1850" s="47" t="n"/>
      <c r="AS1850" s="47" t="n"/>
      <c r="AT1850" s="47" t="n"/>
      <c r="AU1850" s="47" t="n"/>
      <c r="AV1850" s="47" t="n"/>
      <c r="AW1850" s="52" t="n"/>
    </row>
    <row r="1851">
      <c r="A1851" s="48" t="n"/>
      <c r="B1851" s="52" t="n"/>
      <c r="C1851" s="47">
        <f>IF(B1851="","",IFERROR(INDEX('隊員マスタ'!$B$5:$B$204,MATCH(B1851&amp;"",'隊員マスタ'!$F$5:$F$204,0)),IF(AK1851="","番号なし",AK1851)))</f>
        <v/>
      </c>
      <c r="D1851" s="47" t="n"/>
      <c r="E1851" s="47" t="n"/>
      <c r="F1851" s="47" t="n"/>
      <c r="G1851" s="47" t="n"/>
      <c r="H1851" s="47" t="n"/>
      <c r="I1851" s="47" t="n"/>
      <c r="J1851" s="47" t="n"/>
      <c r="K1851" s="47" t="n"/>
      <c r="L1851" s="47" t="n"/>
      <c r="M1851" s="47" t="n"/>
      <c r="N1851" s="47" t="n"/>
      <c r="O1851" s="47" t="n"/>
      <c r="P1851" s="47" t="n"/>
      <c r="Q1851" s="47" t="n"/>
      <c r="R1851" s="47" t="n"/>
      <c r="S1851" s="47" t="n"/>
      <c r="T1851" s="47" t="n"/>
      <c r="U1851" s="53" t="n"/>
      <c r="V1851" s="53" t="n"/>
      <c r="W1851" s="47" t="n"/>
      <c r="X1851" s="47" t="n"/>
      <c r="Y1851" s="47" t="n"/>
      <c r="Z1851" s="47" t="n"/>
      <c r="AA1851" s="47" t="n"/>
      <c r="AB1851" s="47" t="n"/>
      <c r="AC1851" s="47" t="n"/>
      <c r="AD1851" s="47" t="n"/>
      <c r="AE1851" s="47" t="n"/>
      <c r="AF1851" s="20">
        <f>IF(A1851="","",YEAR(EDATE(A1851,-3)))</f>
        <v/>
      </c>
      <c r="AG1851" s="20">
        <f>IF(OR(B1851="",'経歴簿'!$C$4=""),"",IF(B1851&amp;""='経歴簿'!$C$4&amp;"",MAX($AG$4:AG1850)+1,""))</f>
        <v/>
      </c>
      <c r="AH1851" s="20">
        <f>IF(A1851="",0,IF(AND(OR('CSV抽出'!$C$4="",A1851&gt;='CSV抽出'!$C$4),OR('CSV抽出'!$C$5="",A1851&lt;='CSV抽出'!$C$5),OR('CSV抽出'!$C$6="すべて",'CSV抽出'!$C$6="",D1851='CSV抽出'!$C$6),OR('CSV抽出'!$C$7="",B1851&amp;""='CSV抽出'!$C$7&amp;"")),1,0))</f>
        <v/>
      </c>
      <c r="AI1851" s="20">
        <f>IF(AH1851=1,SUM($AH$5:AH1851),"")</f>
        <v/>
      </c>
      <c r="AJ1851" s="20">
        <f>IF(OR(S1851="",'報告書'!$C$4=""),"",IF(S1851&amp;""='報告書'!$C$4&amp;"",COUNTIF($S$5:S1851,'報告書'!$C$4),""))</f>
        <v/>
      </c>
      <c r="AK1851" s="20" t="n"/>
      <c r="AL1851" s="47" t="n"/>
      <c r="AM1851" s="47" t="n"/>
      <c r="AN1851" s="53" t="n"/>
      <c r="AO1851" s="47" t="n"/>
      <c r="AP1851" s="47" t="n"/>
      <c r="AQ1851" s="47" t="n"/>
      <c r="AR1851" s="47" t="n"/>
      <c r="AS1851" s="47" t="n"/>
      <c r="AT1851" s="47" t="n"/>
      <c r="AU1851" s="47" t="n"/>
      <c r="AV1851" s="47" t="n"/>
      <c r="AW1851" s="52" t="n"/>
    </row>
    <row r="1852">
      <c r="A1852" s="48" t="n"/>
      <c r="B1852" s="52" t="n"/>
      <c r="C1852" s="47">
        <f>IF(B1852="","",IFERROR(INDEX('隊員マスタ'!$B$5:$B$204,MATCH(B1852&amp;"",'隊員マスタ'!$F$5:$F$204,0)),IF(AK1852="","番号なし",AK1852)))</f>
        <v/>
      </c>
      <c r="D1852" s="47" t="n"/>
      <c r="E1852" s="47" t="n"/>
      <c r="F1852" s="47" t="n"/>
      <c r="G1852" s="47" t="n"/>
      <c r="H1852" s="47" t="n"/>
      <c r="I1852" s="47" t="n"/>
      <c r="J1852" s="47" t="n"/>
      <c r="K1852" s="47" t="n"/>
      <c r="L1852" s="47" t="n"/>
      <c r="M1852" s="47" t="n"/>
      <c r="N1852" s="47" t="n"/>
      <c r="O1852" s="47" t="n"/>
      <c r="P1852" s="47" t="n"/>
      <c r="Q1852" s="47" t="n"/>
      <c r="R1852" s="47" t="n"/>
      <c r="S1852" s="47" t="n"/>
      <c r="T1852" s="47" t="n"/>
      <c r="U1852" s="53" t="n"/>
      <c r="V1852" s="53" t="n"/>
      <c r="W1852" s="47" t="n"/>
      <c r="X1852" s="47" t="n"/>
      <c r="Y1852" s="47" t="n"/>
      <c r="Z1852" s="47" t="n"/>
      <c r="AA1852" s="47" t="n"/>
      <c r="AB1852" s="47" t="n"/>
      <c r="AC1852" s="47" t="n"/>
      <c r="AD1852" s="47" t="n"/>
      <c r="AE1852" s="47" t="n"/>
      <c r="AF1852" s="20">
        <f>IF(A1852="","",YEAR(EDATE(A1852,-3)))</f>
        <v/>
      </c>
      <c r="AG1852" s="20">
        <f>IF(OR(B1852="",'経歴簿'!$C$4=""),"",IF(B1852&amp;""='経歴簿'!$C$4&amp;"",MAX($AG$4:AG1851)+1,""))</f>
        <v/>
      </c>
      <c r="AH1852" s="20">
        <f>IF(A1852="",0,IF(AND(OR('CSV抽出'!$C$4="",A1852&gt;='CSV抽出'!$C$4),OR('CSV抽出'!$C$5="",A1852&lt;='CSV抽出'!$C$5),OR('CSV抽出'!$C$6="すべて",'CSV抽出'!$C$6="",D1852='CSV抽出'!$C$6),OR('CSV抽出'!$C$7="",B1852&amp;""='CSV抽出'!$C$7&amp;"")),1,0))</f>
        <v/>
      </c>
      <c r="AI1852" s="20">
        <f>IF(AH1852=1,SUM($AH$5:AH1852),"")</f>
        <v/>
      </c>
      <c r="AJ1852" s="20">
        <f>IF(OR(S1852="",'報告書'!$C$4=""),"",IF(S1852&amp;""='報告書'!$C$4&amp;"",COUNTIF($S$5:S1852,'報告書'!$C$4),""))</f>
        <v/>
      </c>
      <c r="AK1852" s="20" t="n"/>
      <c r="AL1852" s="47" t="n"/>
      <c r="AM1852" s="47" t="n"/>
      <c r="AN1852" s="53" t="n"/>
      <c r="AO1852" s="47" t="n"/>
      <c r="AP1852" s="47" t="n"/>
      <c r="AQ1852" s="47" t="n"/>
      <c r="AR1852" s="47" t="n"/>
      <c r="AS1852" s="47" t="n"/>
      <c r="AT1852" s="47" t="n"/>
      <c r="AU1852" s="47" t="n"/>
      <c r="AV1852" s="47" t="n"/>
      <c r="AW1852" s="52" t="n"/>
    </row>
    <row r="1853">
      <c r="A1853" s="48" t="n"/>
      <c r="B1853" s="52" t="n"/>
      <c r="C1853" s="47">
        <f>IF(B1853="","",IFERROR(INDEX('隊員マスタ'!$B$5:$B$204,MATCH(B1853&amp;"",'隊員マスタ'!$F$5:$F$204,0)),IF(AK1853="","番号なし",AK1853)))</f>
        <v/>
      </c>
      <c r="D1853" s="47" t="n"/>
      <c r="E1853" s="47" t="n"/>
      <c r="F1853" s="47" t="n"/>
      <c r="G1853" s="47" t="n"/>
      <c r="H1853" s="47" t="n"/>
      <c r="I1853" s="47" t="n"/>
      <c r="J1853" s="47" t="n"/>
      <c r="K1853" s="47" t="n"/>
      <c r="L1853" s="47" t="n"/>
      <c r="M1853" s="47" t="n"/>
      <c r="N1853" s="47" t="n"/>
      <c r="O1853" s="47" t="n"/>
      <c r="P1853" s="47" t="n"/>
      <c r="Q1853" s="47" t="n"/>
      <c r="R1853" s="47" t="n"/>
      <c r="S1853" s="47" t="n"/>
      <c r="T1853" s="47" t="n"/>
      <c r="U1853" s="53" t="n"/>
      <c r="V1853" s="53" t="n"/>
      <c r="W1853" s="47" t="n"/>
      <c r="X1853" s="47" t="n"/>
      <c r="Y1853" s="47" t="n"/>
      <c r="Z1853" s="47" t="n"/>
      <c r="AA1853" s="47" t="n"/>
      <c r="AB1853" s="47" t="n"/>
      <c r="AC1853" s="47" t="n"/>
      <c r="AD1853" s="47" t="n"/>
      <c r="AE1853" s="47" t="n"/>
      <c r="AF1853" s="20">
        <f>IF(A1853="","",YEAR(EDATE(A1853,-3)))</f>
        <v/>
      </c>
      <c r="AG1853" s="20">
        <f>IF(OR(B1853="",'経歴簿'!$C$4=""),"",IF(B1853&amp;""='経歴簿'!$C$4&amp;"",MAX($AG$4:AG1852)+1,""))</f>
        <v/>
      </c>
      <c r="AH1853" s="20">
        <f>IF(A1853="",0,IF(AND(OR('CSV抽出'!$C$4="",A1853&gt;='CSV抽出'!$C$4),OR('CSV抽出'!$C$5="",A1853&lt;='CSV抽出'!$C$5),OR('CSV抽出'!$C$6="すべて",'CSV抽出'!$C$6="",D1853='CSV抽出'!$C$6),OR('CSV抽出'!$C$7="",B1853&amp;""='CSV抽出'!$C$7&amp;"")),1,0))</f>
        <v/>
      </c>
      <c r="AI1853" s="20">
        <f>IF(AH1853=1,SUM($AH$5:AH1853),"")</f>
        <v/>
      </c>
      <c r="AJ1853" s="20">
        <f>IF(OR(S1853="",'報告書'!$C$4=""),"",IF(S1853&amp;""='報告書'!$C$4&amp;"",COUNTIF($S$5:S1853,'報告書'!$C$4),""))</f>
        <v/>
      </c>
      <c r="AK1853" s="20" t="n"/>
      <c r="AL1853" s="47" t="n"/>
      <c r="AM1853" s="47" t="n"/>
      <c r="AN1853" s="53" t="n"/>
      <c r="AO1853" s="47" t="n"/>
      <c r="AP1853" s="47" t="n"/>
      <c r="AQ1853" s="47" t="n"/>
      <c r="AR1853" s="47" t="n"/>
      <c r="AS1853" s="47" t="n"/>
      <c r="AT1853" s="47" t="n"/>
      <c r="AU1853" s="47" t="n"/>
      <c r="AV1853" s="47" t="n"/>
      <c r="AW1853" s="52" t="n"/>
    </row>
    <row r="1854">
      <c r="A1854" s="48" t="n"/>
      <c r="B1854" s="52" t="n"/>
      <c r="C1854" s="47">
        <f>IF(B1854="","",IFERROR(INDEX('隊員マスタ'!$B$5:$B$204,MATCH(B1854&amp;"",'隊員マスタ'!$F$5:$F$204,0)),IF(AK1854="","番号なし",AK1854)))</f>
        <v/>
      </c>
      <c r="D1854" s="47" t="n"/>
      <c r="E1854" s="47" t="n"/>
      <c r="F1854" s="47" t="n"/>
      <c r="G1854" s="47" t="n"/>
      <c r="H1854" s="47" t="n"/>
      <c r="I1854" s="47" t="n"/>
      <c r="J1854" s="47" t="n"/>
      <c r="K1854" s="47" t="n"/>
      <c r="L1854" s="47" t="n"/>
      <c r="M1854" s="47" t="n"/>
      <c r="N1854" s="47" t="n"/>
      <c r="O1854" s="47" t="n"/>
      <c r="P1854" s="47" t="n"/>
      <c r="Q1854" s="47" t="n"/>
      <c r="R1854" s="47" t="n"/>
      <c r="S1854" s="47" t="n"/>
      <c r="T1854" s="47" t="n"/>
      <c r="U1854" s="53" t="n"/>
      <c r="V1854" s="53" t="n"/>
      <c r="W1854" s="47" t="n"/>
      <c r="X1854" s="47" t="n"/>
      <c r="Y1854" s="47" t="n"/>
      <c r="Z1854" s="47" t="n"/>
      <c r="AA1854" s="47" t="n"/>
      <c r="AB1854" s="47" t="n"/>
      <c r="AC1854" s="47" t="n"/>
      <c r="AD1854" s="47" t="n"/>
      <c r="AE1854" s="47" t="n"/>
      <c r="AF1854" s="20">
        <f>IF(A1854="","",YEAR(EDATE(A1854,-3)))</f>
        <v/>
      </c>
      <c r="AG1854" s="20">
        <f>IF(OR(B1854="",'経歴簿'!$C$4=""),"",IF(B1854&amp;""='経歴簿'!$C$4&amp;"",MAX($AG$4:AG1853)+1,""))</f>
        <v/>
      </c>
      <c r="AH1854" s="20">
        <f>IF(A1854="",0,IF(AND(OR('CSV抽出'!$C$4="",A1854&gt;='CSV抽出'!$C$4),OR('CSV抽出'!$C$5="",A1854&lt;='CSV抽出'!$C$5),OR('CSV抽出'!$C$6="すべて",'CSV抽出'!$C$6="",D1854='CSV抽出'!$C$6),OR('CSV抽出'!$C$7="",B1854&amp;""='CSV抽出'!$C$7&amp;"")),1,0))</f>
        <v/>
      </c>
      <c r="AI1854" s="20">
        <f>IF(AH1854=1,SUM($AH$5:AH1854),"")</f>
        <v/>
      </c>
      <c r="AJ1854" s="20">
        <f>IF(OR(S1854="",'報告書'!$C$4=""),"",IF(S1854&amp;""='報告書'!$C$4&amp;"",COUNTIF($S$5:S1854,'報告書'!$C$4),""))</f>
        <v/>
      </c>
      <c r="AK1854" s="20" t="n"/>
      <c r="AL1854" s="47" t="n"/>
      <c r="AM1854" s="47" t="n"/>
      <c r="AN1854" s="53" t="n"/>
      <c r="AO1854" s="47" t="n"/>
      <c r="AP1854" s="47" t="n"/>
      <c r="AQ1854" s="47" t="n"/>
      <c r="AR1854" s="47" t="n"/>
      <c r="AS1854" s="47" t="n"/>
      <c r="AT1854" s="47" t="n"/>
      <c r="AU1854" s="47" t="n"/>
      <c r="AV1854" s="47" t="n"/>
      <c r="AW1854" s="52" t="n"/>
    </row>
    <row r="1855">
      <c r="A1855" s="48" t="n"/>
      <c r="B1855" s="52" t="n"/>
      <c r="C1855" s="47">
        <f>IF(B1855="","",IFERROR(INDEX('隊員マスタ'!$B$5:$B$204,MATCH(B1855&amp;"",'隊員マスタ'!$F$5:$F$204,0)),IF(AK1855="","番号なし",AK1855)))</f>
        <v/>
      </c>
      <c r="D1855" s="47" t="n"/>
      <c r="E1855" s="47" t="n"/>
      <c r="F1855" s="47" t="n"/>
      <c r="G1855" s="47" t="n"/>
      <c r="H1855" s="47" t="n"/>
      <c r="I1855" s="47" t="n"/>
      <c r="J1855" s="47" t="n"/>
      <c r="K1855" s="47" t="n"/>
      <c r="L1855" s="47" t="n"/>
      <c r="M1855" s="47" t="n"/>
      <c r="N1855" s="47" t="n"/>
      <c r="O1855" s="47" t="n"/>
      <c r="P1855" s="47" t="n"/>
      <c r="Q1855" s="47" t="n"/>
      <c r="R1855" s="47" t="n"/>
      <c r="S1855" s="47" t="n"/>
      <c r="T1855" s="47" t="n"/>
      <c r="U1855" s="53" t="n"/>
      <c r="V1855" s="53" t="n"/>
      <c r="W1855" s="47" t="n"/>
      <c r="X1855" s="47" t="n"/>
      <c r="Y1855" s="47" t="n"/>
      <c r="Z1855" s="47" t="n"/>
      <c r="AA1855" s="47" t="n"/>
      <c r="AB1855" s="47" t="n"/>
      <c r="AC1855" s="47" t="n"/>
      <c r="AD1855" s="47" t="n"/>
      <c r="AE1855" s="47" t="n"/>
      <c r="AF1855" s="20">
        <f>IF(A1855="","",YEAR(EDATE(A1855,-3)))</f>
        <v/>
      </c>
      <c r="AG1855" s="20">
        <f>IF(OR(B1855="",'経歴簿'!$C$4=""),"",IF(B1855&amp;""='経歴簿'!$C$4&amp;"",MAX($AG$4:AG1854)+1,""))</f>
        <v/>
      </c>
      <c r="AH1855" s="20">
        <f>IF(A1855="",0,IF(AND(OR('CSV抽出'!$C$4="",A1855&gt;='CSV抽出'!$C$4),OR('CSV抽出'!$C$5="",A1855&lt;='CSV抽出'!$C$5),OR('CSV抽出'!$C$6="すべて",'CSV抽出'!$C$6="",D1855='CSV抽出'!$C$6),OR('CSV抽出'!$C$7="",B1855&amp;""='CSV抽出'!$C$7&amp;"")),1,0))</f>
        <v/>
      </c>
      <c r="AI1855" s="20">
        <f>IF(AH1855=1,SUM($AH$5:AH1855),"")</f>
        <v/>
      </c>
      <c r="AJ1855" s="20">
        <f>IF(OR(S1855="",'報告書'!$C$4=""),"",IF(S1855&amp;""='報告書'!$C$4&amp;"",COUNTIF($S$5:S1855,'報告書'!$C$4),""))</f>
        <v/>
      </c>
      <c r="AK1855" s="20" t="n"/>
      <c r="AL1855" s="47" t="n"/>
      <c r="AM1855" s="47" t="n"/>
      <c r="AN1855" s="53" t="n"/>
      <c r="AO1855" s="47" t="n"/>
      <c r="AP1855" s="47" t="n"/>
      <c r="AQ1855" s="47" t="n"/>
      <c r="AR1855" s="47" t="n"/>
      <c r="AS1855" s="47" t="n"/>
      <c r="AT1855" s="47" t="n"/>
      <c r="AU1855" s="47" t="n"/>
      <c r="AV1855" s="47" t="n"/>
      <c r="AW1855" s="52" t="n"/>
    </row>
    <row r="1856">
      <c r="A1856" s="48" t="n"/>
      <c r="B1856" s="52" t="n"/>
      <c r="C1856" s="47">
        <f>IF(B1856="","",IFERROR(INDEX('隊員マスタ'!$B$5:$B$204,MATCH(B1856&amp;"",'隊員マスタ'!$F$5:$F$204,0)),IF(AK1856="","番号なし",AK1856)))</f>
        <v/>
      </c>
      <c r="D1856" s="47" t="n"/>
      <c r="E1856" s="47" t="n"/>
      <c r="F1856" s="47" t="n"/>
      <c r="G1856" s="47" t="n"/>
      <c r="H1856" s="47" t="n"/>
      <c r="I1856" s="47" t="n"/>
      <c r="J1856" s="47" t="n"/>
      <c r="K1856" s="47" t="n"/>
      <c r="L1856" s="47" t="n"/>
      <c r="M1856" s="47" t="n"/>
      <c r="N1856" s="47" t="n"/>
      <c r="O1856" s="47" t="n"/>
      <c r="P1856" s="47" t="n"/>
      <c r="Q1856" s="47" t="n"/>
      <c r="R1856" s="47" t="n"/>
      <c r="S1856" s="47" t="n"/>
      <c r="T1856" s="47" t="n"/>
      <c r="U1856" s="53" t="n"/>
      <c r="V1856" s="53" t="n"/>
      <c r="W1856" s="47" t="n"/>
      <c r="X1856" s="47" t="n"/>
      <c r="Y1856" s="47" t="n"/>
      <c r="Z1856" s="47" t="n"/>
      <c r="AA1856" s="47" t="n"/>
      <c r="AB1856" s="47" t="n"/>
      <c r="AC1856" s="47" t="n"/>
      <c r="AD1856" s="47" t="n"/>
      <c r="AE1856" s="47" t="n"/>
      <c r="AF1856" s="20">
        <f>IF(A1856="","",YEAR(EDATE(A1856,-3)))</f>
        <v/>
      </c>
      <c r="AG1856" s="20">
        <f>IF(OR(B1856="",'経歴簿'!$C$4=""),"",IF(B1856&amp;""='経歴簿'!$C$4&amp;"",MAX($AG$4:AG1855)+1,""))</f>
        <v/>
      </c>
      <c r="AH1856" s="20">
        <f>IF(A1856="",0,IF(AND(OR('CSV抽出'!$C$4="",A1856&gt;='CSV抽出'!$C$4),OR('CSV抽出'!$C$5="",A1856&lt;='CSV抽出'!$C$5),OR('CSV抽出'!$C$6="すべて",'CSV抽出'!$C$6="",D1856='CSV抽出'!$C$6),OR('CSV抽出'!$C$7="",B1856&amp;""='CSV抽出'!$C$7&amp;"")),1,0))</f>
        <v/>
      </c>
      <c r="AI1856" s="20">
        <f>IF(AH1856=1,SUM($AH$5:AH1856),"")</f>
        <v/>
      </c>
      <c r="AJ1856" s="20">
        <f>IF(OR(S1856="",'報告書'!$C$4=""),"",IF(S1856&amp;""='報告書'!$C$4&amp;"",COUNTIF($S$5:S1856,'報告書'!$C$4),""))</f>
        <v/>
      </c>
      <c r="AK1856" s="20" t="n"/>
      <c r="AL1856" s="47" t="n"/>
      <c r="AM1856" s="47" t="n"/>
      <c r="AN1856" s="53" t="n"/>
      <c r="AO1856" s="47" t="n"/>
      <c r="AP1856" s="47" t="n"/>
      <c r="AQ1856" s="47" t="n"/>
      <c r="AR1856" s="47" t="n"/>
      <c r="AS1856" s="47" t="n"/>
      <c r="AT1856" s="47" t="n"/>
      <c r="AU1856" s="47" t="n"/>
      <c r="AV1856" s="47" t="n"/>
      <c r="AW1856" s="52" t="n"/>
    </row>
    <row r="1857">
      <c r="A1857" s="48" t="n"/>
      <c r="B1857" s="52" t="n"/>
      <c r="C1857" s="47">
        <f>IF(B1857="","",IFERROR(INDEX('隊員マスタ'!$B$5:$B$204,MATCH(B1857&amp;"",'隊員マスタ'!$F$5:$F$204,0)),IF(AK1857="","番号なし",AK1857)))</f>
        <v/>
      </c>
      <c r="D1857" s="47" t="n"/>
      <c r="E1857" s="47" t="n"/>
      <c r="F1857" s="47" t="n"/>
      <c r="G1857" s="47" t="n"/>
      <c r="H1857" s="47" t="n"/>
      <c r="I1857" s="47" t="n"/>
      <c r="J1857" s="47" t="n"/>
      <c r="K1857" s="47" t="n"/>
      <c r="L1857" s="47" t="n"/>
      <c r="M1857" s="47" t="n"/>
      <c r="N1857" s="47" t="n"/>
      <c r="O1857" s="47" t="n"/>
      <c r="P1857" s="47" t="n"/>
      <c r="Q1857" s="47" t="n"/>
      <c r="R1857" s="47" t="n"/>
      <c r="S1857" s="47" t="n"/>
      <c r="T1857" s="47" t="n"/>
      <c r="U1857" s="53" t="n"/>
      <c r="V1857" s="53" t="n"/>
      <c r="W1857" s="47" t="n"/>
      <c r="X1857" s="47" t="n"/>
      <c r="Y1857" s="47" t="n"/>
      <c r="Z1857" s="47" t="n"/>
      <c r="AA1857" s="47" t="n"/>
      <c r="AB1857" s="47" t="n"/>
      <c r="AC1857" s="47" t="n"/>
      <c r="AD1857" s="47" t="n"/>
      <c r="AE1857" s="47" t="n"/>
      <c r="AF1857" s="20">
        <f>IF(A1857="","",YEAR(EDATE(A1857,-3)))</f>
        <v/>
      </c>
      <c r="AG1857" s="20">
        <f>IF(OR(B1857="",'経歴簿'!$C$4=""),"",IF(B1857&amp;""='経歴簿'!$C$4&amp;"",MAX($AG$4:AG1856)+1,""))</f>
        <v/>
      </c>
      <c r="AH1857" s="20">
        <f>IF(A1857="",0,IF(AND(OR('CSV抽出'!$C$4="",A1857&gt;='CSV抽出'!$C$4),OR('CSV抽出'!$C$5="",A1857&lt;='CSV抽出'!$C$5),OR('CSV抽出'!$C$6="すべて",'CSV抽出'!$C$6="",D1857='CSV抽出'!$C$6),OR('CSV抽出'!$C$7="",B1857&amp;""='CSV抽出'!$C$7&amp;"")),1,0))</f>
        <v/>
      </c>
      <c r="AI1857" s="20">
        <f>IF(AH1857=1,SUM($AH$5:AH1857),"")</f>
        <v/>
      </c>
      <c r="AJ1857" s="20">
        <f>IF(OR(S1857="",'報告書'!$C$4=""),"",IF(S1857&amp;""='報告書'!$C$4&amp;"",COUNTIF($S$5:S1857,'報告書'!$C$4),""))</f>
        <v/>
      </c>
      <c r="AK1857" s="20" t="n"/>
      <c r="AL1857" s="47" t="n"/>
      <c r="AM1857" s="47" t="n"/>
      <c r="AN1857" s="53" t="n"/>
      <c r="AO1857" s="47" t="n"/>
      <c r="AP1857" s="47" t="n"/>
      <c r="AQ1857" s="47" t="n"/>
      <c r="AR1857" s="47" t="n"/>
      <c r="AS1857" s="47" t="n"/>
      <c r="AT1857" s="47" t="n"/>
      <c r="AU1857" s="47" t="n"/>
      <c r="AV1857" s="47" t="n"/>
      <c r="AW1857" s="52" t="n"/>
    </row>
    <row r="1858">
      <c r="A1858" s="48" t="n"/>
      <c r="B1858" s="52" t="n"/>
      <c r="C1858" s="47">
        <f>IF(B1858="","",IFERROR(INDEX('隊員マスタ'!$B$5:$B$204,MATCH(B1858&amp;"",'隊員マスタ'!$F$5:$F$204,0)),IF(AK1858="","番号なし",AK1858)))</f>
        <v/>
      </c>
      <c r="D1858" s="47" t="n"/>
      <c r="E1858" s="47" t="n"/>
      <c r="F1858" s="47" t="n"/>
      <c r="G1858" s="47" t="n"/>
      <c r="H1858" s="47" t="n"/>
      <c r="I1858" s="47" t="n"/>
      <c r="J1858" s="47" t="n"/>
      <c r="K1858" s="47" t="n"/>
      <c r="L1858" s="47" t="n"/>
      <c r="M1858" s="47" t="n"/>
      <c r="N1858" s="47" t="n"/>
      <c r="O1858" s="47" t="n"/>
      <c r="P1858" s="47" t="n"/>
      <c r="Q1858" s="47" t="n"/>
      <c r="R1858" s="47" t="n"/>
      <c r="S1858" s="47" t="n"/>
      <c r="T1858" s="47" t="n"/>
      <c r="U1858" s="53" t="n"/>
      <c r="V1858" s="53" t="n"/>
      <c r="W1858" s="47" t="n"/>
      <c r="X1858" s="47" t="n"/>
      <c r="Y1858" s="47" t="n"/>
      <c r="Z1858" s="47" t="n"/>
      <c r="AA1858" s="47" t="n"/>
      <c r="AB1858" s="47" t="n"/>
      <c r="AC1858" s="47" t="n"/>
      <c r="AD1858" s="47" t="n"/>
      <c r="AE1858" s="47" t="n"/>
      <c r="AF1858" s="20">
        <f>IF(A1858="","",YEAR(EDATE(A1858,-3)))</f>
        <v/>
      </c>
      <c r="AG1858" s="20">
        <f>IF(OR(B1858="",'経歴簿'!$C$4=""),"",IF(B1858&amp;""='経歴簿'!$C$4&amp;"",MAX($AG$4:AG1857)+1,""))</f>
        <v/>
      </c>
      <c r="AH1858" s="20">
        <f>IF(A1858="",0,IF(AND(OR('CSV抽出'!$C$4="",A1858&gt;='CSV抽出'!$C$4),OR('CSV抽出'!$C$5="",A1858&lt;='CSV抽出'!$C$5),OR('CSV抽出'!$C$6="すべて",'CSV抽出'!$C$6="",D1858='CSV抽出'!$C$6),OR('CSV抽出'!$C$7="",B1858&amp;""='CSV抽出'!$C$7&amp;"")),1,0))</f>
        <v/>
      </c>
      <c r="AI1858" s="20">
        <f>IF(AH1858=1,SUM($AH$5:AH1858),"")</f>
        <v/>
      </c>
      <c r="AJ1858" s="20">
        <f>IF(OR(S1858="",'報告書'!$C$4=""),"",IF(S1858&amp;""='報告書'!$C$4&amp;"",COUNTIF($S$5:S1858,'報告書'!$C$4),""))</f>
        <v/>
      </c>
      <c r="AK1858" s="20" t="n"/>
      <c r="AL1858" s="47" t="n"/>
      <c r="AM1858" s="47" t="n"/>
      <c r="AN1858" s="53" t="n"/>
      <c r="AO1858" s="47" t="n"/>
      <c r="AP1858" s="47" t="n"/>
      <c r="AQ1858" s="47" t="n"/>
      <c r="AR1858" s="47" t="n"/>
      <c r="AS1858" s="47" t="n"/>
      <c r="AT1858" s="47" t="n"/>
      <c r="AU1858" s="47" t="n"/>
      <c r="AV1858" s="47" t="n"/>
      <c r="AW1858" s="52" t="n"/>
    </row>
    <row r="1859">
      <c r="A1859" s="48" t="n"/>
      <c r="B1859" s="52" t="n"/>
      <c r="C1859" s="47">
        <f>IF(B1859="","",IFERROR(INDEX('隊員マスタ'!$B$5:$B$204,MATCH(B1859&amp;"",'隊員マスタ'!$F$5:$F$204,0)),IF(AK1859="","番号なし",AK1859)))</f>
        <v/>
      </c>
      <c r="D1859" s="47" t="n"/>
      <c r="E1859" s="47" t="n"/>
      <c r="F1859" s="47" t="n"/>
      <c r="G1859" s="47" t="n"/>
      <c r="H1859" s="47" t="n"/>
      <c r="I1859" s="47" t="n"/>
      <c r="J1859" s="47" t="n"/>
      <c r="K1859" s="47" t="n"/>
      <c r="L1859" s="47" t="n"/>
      <c r="M1859" s="47" t="n"/>
      <c r="N1859" s="47" t="n"/>
      <c r="O1859" s="47" t="n"/>
      <c r="P1859" s="47" t="n"/>
      <c r="Q1859" s="47" t="n"/>
      <c r="R1859" s="47" t="n"/>
      <c r="S1859" s="47" t="n"/>
      <c r="T1859" s="47" t="n"/>
      <c r="U1859" s="53" t="n"/>
      <c r="V1859" s="53" t="n"/>
      <c r="W1859" s="47" t="n"/>
      <c r="X1859" s="47" t="n"/>
      <c r="Y1859" s="47" t="n"/>
      <c r="Z1859" s="47" t="n"/>
      <c r="AA1859" s="47" t="n"/>
      <c r="AB1859" s="47" t="n"/>
      <c r="AC1859" s="47" t="n"/>
      <c r="AD1859" s="47" t="n"/>
      <c r="AE1859" s="47" t="n"/>
      <c r="AF1859" s="20">
        <f>IF(A1859="","",YEAR(EDATE(A1859,-3)))</f>
        <v/>
      </c>
      <c r="AG1859" s="20">
        <f>IF(OR(B1859="",'経歴簿'!$C$4=""),"",IF(B1859&amp;""='経歴簿'!$C$4&amp;"",MAX($AG$4:AG1858)+1,""))</f>
        <v/>
      </c>
      <c r="AH1859" s="20">
        <f>IF(A1859="",0,IF(AND(OR('CSV抽出'!$C$4="",A1859&gt;='CSV抽出'!$C$4),OR('CSV抽出'!$C$5="",A1859&lt;='CSV抽出'!$C$5),OR('CSV抽出'!$C$6="すべて",'CSV抽出'!$C$6="",D1859='CSV抽出'!$C$6),OR('CSV抽出'!$C$7="",B1859&amp;""='CSV抽出'!$C$7&amp;"")),1,0))</f>
        <v/>
      </c>
      <c r="AI1859" s="20">
        <f>IF(AH1859=1,SUM($AH$5:AH1859),"")</f>
        <v/>
      </c>
      <c r="AJ1859" s="20">
        <f>IF(OR(S1859="",'報告書'!$C$4=""),"",IF(S1859&amp;""='報告書'!$C$4&amp;"",COUNTIF($S$5:S1859,'報告書'!$C$4),""))</f>
        <v/>
      </c>
      <c r="AK1859" s="20" t="n"/>
      <c r="AL1859" s="47" t="n"/>
      <c r="AM1859" s="47" t="n"/>
      <c r="AN1859" s="53" t="n"/>
      <c r="AO1859" s="47" t="n"/>
      <c r="AP1859" s="47" t="n"/>
      <c r="AQ1859" s="47" t="n"/>
      <c r="AR1859" s="47" t="n"/>
      <c r="AS1859" s="47" t="n"/>
      <c r="AT1859" s="47" t="n"/>
      <c r="AU1859" s="47" t="n"/>
      <c r="AV1859" s="47" t="n"/>
      <c r="AW1859" s="52" t="n"/>
    </row>
    <row r="1860">
      <c r="A1860" s="48" t="n"/>
      <c r="B1860" s="52" t="n"/>
      <c r="C1860" s="47">
        <f>IF(B1860="","",IFERROR(INDEX('隊員マスタ'!$B$5:$B$204,MATCH(B1860&amp;"",'隊員マスタ'!$F$5:$F$204,0)),IF(AK1860="","番号なし",AK1860)))</f>
        <v/>
      </c>
      <c r="D1860" s="47" t="n"/>
      <c r="E1860" s="47" t="n"/>
      <c r="F1860" s="47" t="n"/>
      <c r="G1860" s="47" t="n"/>
      <c r="H1860" s="47" t="n"/>
      <c r="I1860" s="47" t="n"/>
      <c r="J1860" s="47" t="n"/>
      <c r="K1860" s="47" t="n"/>
      <c r="L1860" s="47" t="n"/>
      <c r="M1860" s="47" t="n"/>
      <c r="N1860" s="47" t="n"/>
      <c r="O1860" s="47" t="n"/>
      <c r="P1860" s="47" t="n"/>
      <c r="Q1860" s="47" t="n"/>
      <c r="R1860" s="47" t="n"/>
      <c r="S1860" s="47" t="n"/>
      <c r="T1860" s="47" t="n"/>
      <c r="U1860" s="53" t="n"/>
      <c r="V1860" s="53" t="n"/>
      <c r="W1860" s="47" t="n"/>
      <c r="X1860" s="47" t="n"/>
      <c r="Y1860" s="47" t="n"/>
      <c r="Z1860" s="47" t="n"/>
      <c r="AA1860" s="47" t="n"/>
      <c r="AB1860" s="47" t="n"/>
      <c r="AC1860" s="47" t="n"/>
      <c r="AD1860" s="47" t="n"/>
      <c r="AE1860" s="47" t="n"/>
      <c r="AF1860" s="20">
        <f>IF(A1860="","",YEAR(EDATE(A1860,-3)))</f>
        <v/>
      </c>
      <c r="AG1860" s="20">
        <f>IF(OR(B1860="",'経歴簿'!$C$4=""),"",IF(B1860&amp;""='経歴簿'!$C$4&amp;"",MAX($AG$4:AG1859)+1,""))</f>
        <v/>
      </c>
      <c r="AH1860" s="20">
        <f>IF(A1860="",0,IF(AND(OR('CSV抽出'!$C$4="",A1860&gt;='CSV抽出'!$C$4),OR('CSV抽出'!$C$5="",A1860&lt;='CSV抽出'!$C$5),OR('CSV抽出'!$C$6="すべて",'CSV抽出'!$C$6="",D1860='CSV抽出'!$C$6),OR('CSV抽出'!$C$7="",B1860&amp;""='CSV抽出'!$C$7&amp;"")),1,0))</f>
        <v/>
      </c>
      <c r="AI1860" s="20">
        <f>IF(AH1860=1,SUM($AH$5:AH1860),"")</f>
        <v/>
      </c>
      <c r="AJ1860" s="20">
        <f>IF(OR(S1860="",'報告書'!$C$4=""),"",IF(S1860&amp;""='報告書'!$C$4&amp;"",COUNTIF($S$5:S1860,'報告書'!$C$4),""))</f>
        <v/>
      </c>
      <c r="AK1860" s="20" t="n"/>
      <c r="AL1860" s="47" t="n"/>
      <c r="AM1860" s="47" t="n"/>
      <c r="AN1860" s="53" t="n"/>
      <c r="AO1860" s="47" t="n"/>
      <c r="AP1860" s="47" t="n"/>
      <c r="AQ1860" s="47" t="n"/>
      <c r="AR1860" s="47" t="n"/>
      <c r="AS1860" s="47" t="n"/>
      <c r="AT1860" s="47" t="n"/>
      <c r="AU1860" s="47" t="n"/>
      <c r="AV1860" s="47" t="n"/>
      <c r="AW1860" s="52" t="n"/>
    </row>
    <row r="1861">
      <c r="A1861" s="48" t="n"/>
      <c r="B1861" s="52" t="n"/>
      <c r="C1861" s="47">
        <f>IF(B1861="","",IFERROR(INDEX('隊員マスタ'!$B$5:$B$204,MATCH(B1861&amp;"",'隊員マスタ'!$F$5:$F$204,0)),IF(AK1861="","番号なし",AK1861)))</f>
        <v/>
      </c>
      <c r="D1861" s="47" t="n"/>
      <c r="E1861" s="47" t="n"/>
      <c r="F1861" s="47" t="n"/>
      <c r="G1861" s="47" t="n"/>
      <c r="H1861" s="47" t="n"/>
      <c r="I1861" s="47" t="n"/>
      <c r="J1861" s="47" t="n"/>
      <c r="K1861" s="47" t="n"/>
      <c r="L1861" s="47" t="n"/>
      <c r="M1861" s="47" t="n"/>
      <c r="N1861" s="47" t="n"/>
      <c r="O1861" s="47" t="n"/>
      <c r="P1861" s="47" t="n"/>
      <c r="Q1861" s="47" t="n"/>
      <c r="R1861" s="47" t="n"/>
      <c r="S1861" s="47" t="n"/>
      <c r="T1861" s="47" t="n"/>
      <c r="U1861" s="53" t="n"/>
      <c r="V1861" s="53" t="n"/>
      <c r="W1861" s="47" t="n"/>
      <c r="X1861" s="47" t="n"/>
      <c r="Y1861" s="47" t="n"/>
      <c r="Z1861" s="47" t="n"/>
      <c r="AA1861" s="47" t="n"/>
      <c r="AB1861" s="47" t="n"/>
      <c r="AC1861" s="47" t="n"/>
      <c r="AD1861" s="47" t="n"/>
      <c r="AE1861" s="47" t="n"/>
      <c r="AF1861" s="20">
        <f>IF(A1861="","",YEAR(EDATE(A1861,-3)))</f>
        <v/>
      </c>
      <c r="AG1861" s="20">
        <f>IF(OR(B1861="",'経歴簿'!$C$4=""),"",IF(B1861&amp;""='経歴簿'!$C$4&amp;"",MAX($AG$4:AG1860)+1,""))</f>
        <v/>
      </c>
      <c r="AH1861" s="20">
        <f>IF(A1861="",0,IF(AND(OR('CSV抽出'!$C$4="",A1861&gt;='CSV抽出'!$C$4),OR('CSV抽出'!$C$5="",A1861&lt;='CSV抽出'!$C$5),OR('CSV抽出'!$C$6="すべて",'CSV抽出'!$C$6="",D1861='CSV抽出'!$C$6),OR('CSV抽出'!$C$7="",B1861&amp;""='CSV抽出'!$C$7&amp;"")),1,0))</f>
        <v/>
      </c>
      <c r="AI1861" s="20">
        <f>IF(AH1861=1,SUM($AH$5:AH1861),"")</f>
        <v/>
      </c>
      <c r="AJ1861" s="20">
        <f>IF(OR(S1861="",'報告書'!$C$4=""),"",IF(S1861&amp;""='報告書'!$C$4&amp;"",COUNTIF($S$5:S1861,'報告書'!$C$4),""))</f>
        <v/>
      </c>
      <c r="AK1861" s="20" t="n"/>
      <c r="AL1861" s="47" t="n"/>
      <c r="AM1861" s="47" t="n"/>
      <c r="AN1861" s="53" t="n"/>
      <c r="AO1861" s="47" t="n"/>
      <c r="AP1861" s="47" t="n"/>
      <c r="AQ1861" s="47" t="n"/>
      <c r="AR1861" s="47" t="n"/>
      <c r="AS1861" s="47" t="n"/>
      <c r="AT1861" s="47" t="n"/>
      <c r="AU1861" s="47" t="n"/>
      <c r="AV1861" s="47" t="n"/>
      <c r="AW1861" s="52" t="n"/>
    </row>
    <row r="1862">
      <c r="A1862" s="48" t="n"/>
      <c r="B1862" s="52" t="n"/>
      <c r="C1862" s="47">
        <f>IF(B1862="","",IFERROR(INDEX('隊員マスタ'!$B$5:$B$204,MATCH(B1862&amp;"",'隊員マスタ'!$F$5:$F$204,0)),IF(AK1862="","番号なし",AK1862)))</f>
        <v/>
      </c>
      <c r="D1862" s="47" t="n"/>
      <c r="E1862" s="47" t="n"/>
      <c r="F1862" s="47" t="n"/>
      <c r="G1862" s="47" t="n"/>
      <c r="H1862" s="47" t="n"/>
      <c r="I1862" s="47" t="n"/>
      <c r="J1862" s="47" t="n"/>
      <c r="K1862" s="47" t="n"/>
      <c r="L1862" s="47" t="n"/>
      <c r="M1862" s="47" t="n"/>
      <c r="N1862" s="47" t="n"/>
      <c r="O1862" s="47" t="n"/>
      <c r="P1862" s="47" t="n"/>
      <c r="Q1862" s="47" t="n"/>
      <c r="R1862" s="47" t="n"/>
      <c r="S1862" s="47" t="n"/>
      <c r="T1862" s="47" t="n"/>
      <c r="U1862" s="53" t="n"/>
      <c r="V1862" s="53" t="n"/>
      <c r="W1862" s="47" t="n"/>
      <c r="X1862" s="47" t="n"/>
      <c r="Y1862" s="47" t="n"/>
      <c r="Z1862" s="47" t="n"/>
      <c r="AA1862" s="47" t="n"/>
      <c r="AB1862" s="47" t="n"/>
      <c r="AC1862" s="47" t="n"/>
      <c r="AD1862" s="47" t="n"/>
      <c r="AE1862" s="47" t="n"/>
      <c r="AF1862" s="20">
        <f>IF(A1862="","",YEAR(EDATE(A1862,-3)))</f>
        <v/>
      </c>
      <c r="AG1862" s="20">
        <f>IF(OR(B1862="",'経歴簿'!$C$4=""),"",IF(B1862&amp;""='経歴簿'!$C$4&amp;"",MAX($AG$4:AG1861)+1,""))</f>
        <v/>
      </c>
      <c r="AH1862" s="20">
        <f>IF(A1862="",0,IF(AND(OR('CSV抽出'!$C$4="",A1862&gt;='CSV抽出'!$C$4),OR('CSV抽出'!$C$5="",A1862&lt;='CSV抽出'!$C$5),OR('CSV抽出'!$C$6="すべて",'CSV抽出'!$C$6="",D1862='CSV抽出'!$C$6),OR('CSV抽出'!$C$7="",B1862&amp;""='CSV抽出'!$C$7&amp;"")),1,0))</f>
        <v/>
      </c>
      <c r="AI1862" s="20">
        <f>IF(AH1862=1,SUM($AH$5:AH1862),"")</f>
        <v/>
      </c>
      <c r="AJ1862" s="20">
        <f>IF(OR(S1862="",'報告書'!$C$4=""),"",IF(S1862&amp;""='報告書'!$C$4&amp;"",COUNTIF($S$5:S1862,'報告書'!$C$4),""))</f>
        <v/>
      </c>
      <c r="AK1862" s="20" t="n"/>
      <c r="AL1862" s="47" t="n"/>
      <c r="AM1862" s="47" t="n"/>
      <c r="AN1862" s="53" t="n"/>
      <c r="AO1862" s="47" t="n"/>
      <c r="AP1862" s="47" t="n"/>
      <c r="AQ1862" s="47" t="n"/>
      <c r="AR1862" s="47" t="n"/>
      <c r="AS1862" s="47" t="n"/>
      <c r="AT1862" s="47" t="n"/>
      <c r="AU1862" s="47" t="n"/>
      <c r="AV1862" s="47" t="n"/>
      <c r="AW1862" s="52" t="n"/>
    </row>
    <row r="1863">
      <c r="A1863" s="48" t="n"/>
      <c r="B1863" s="52" t="n"/>
      <c r="C1863" s="47">
        <f>IF(B1863="","",IFERROR(INDEX('隊員マスタ'!$B$5:$B$204,MATCH(B1863&amp;"",'隊員マスタ'!$F$5:$F$204,0)),IF(AK1863="","番号なし",AK1863)))</f>
        <v/>
      </c>
      <c r="D1863" s="47" t="n"/>
      <c r="E1863" s="47" t="n"/>
      <c r="F1863" s="47" t="n"/>
      <c r="G1863" s="47" t="n"/>
      <c r="H1863" s="47" t="n"/>
      <c r="I1863" s="47" t="n"/>
      <c r="J1863" s="47" t="n"/>
      <c r="K1863" s="47" t="n"/>
      <c r="L1863" s="47" t="n"/>
      <c r="M1863" s="47" t="n"/>
      <c r="N1863" s="47" t="n"/>
      <c r="O1863" s="47" t="n"/>
      <c r="P1863" s="47" t="n"/>
      <c r="Q1863" s="47" t="n"/>
      <c r="R1863" s="47" t="n"/>
      <c r="S1863" s="47" t="n"/>
      <c r="T1863" s="47" t="n"/>
      <c r="U1863" s="53" t="n"/>
      <c r="V1863" s="53" t="n"/>
      <c r="W1863" s="47" t="n"/>
      <c r="X1863" s="47" t="n"/>
      <c r="Y1863" s="47" t="n"/>
      <c r="Z1863" s="47" t="n"/>
      <c r="AA1863" s="47" t="n"/>
      <c r="AB1863" s="47" t="n"/>
      <c r="AC1863" s="47" t="n"/>
      <c r="AD1863" s="47" t="n"/>
      <c r="AE1863" s="47" t="n"/>
      <c r="AF1863" s="20">
        <f>IF(A1863="","",YEAR(EDATE(A1863,-3)))</f>
        <v/>
      </c>
      <c r="AG1863" s="20">
        <f>IF(OR(B1863="",'経歴簿'!$C$4=""),"",IF(B1863&amp;""='経歴簿'!$C$4&amp;"",MAX($AG$4:AG1862)+1,""))</f>
        <v/>
      </c>
      <c r="AH1863" s="20">
        <f>IF(A1863="",0,IF(AND(OR('CSV抽出'!$C$4="",A1863&gt;='CSV抽出'!$C$4),OR('CSV抽出'!$C$5="",A1863&lt;='CSV抽出'!$C$5),OR('CSV抽出'!$C$6="すべて",'CSV抽出'!$C$6="",D1863='CSV抽出'!$C$6),OR('CSV抽出'!$C$7="",B1863&amp;""='CSV抽出'!$C$7&amp;"")),1,0))</f>
        <v/>
      </c>
      <c r="AI1863" s="20">
        <f>IF(AH1863=1,SUM($AH$5:AH1863),"")</f>
        <v/>
      </c>
      <c r="AJ1863" s="20">
        <f>IF(OR(S1863="",'報告書'!$C$4=""),"",IF(S1863&amp;""='報告書'!$C$4&amp;"",COUNTIF($S$5:S1863,'報告書'!$C$4),""))</f>
        <v/>
      </c>
      <c r="AK1863" s="20" t="n"/>
      <c r="AL1863" s="47" t="n"/>
      <c r="AM1863" s="47" t="n"/>
      <c r="AN1863" s="53" t="n"/>
      <c r="AO1863" s="47" t="n"/>
      <c r="AP1863" s="47" t="n"/>
      <c r="AQ1863" s="47" t="n"/>
      <c r="AR1863" s="47" t="n"/>
      <c r="AS1863" s="47" t="n"/>
      <c r="AT1863" s="47" t="n"/>
      <c r="AU1863" s="47" t="n"/>
      <c r="AV1863" s="47" t="n"/>
      <c r="AW1863" s="52" t="n"/>
    </row>
    <row r="1864">
      <c r="A1864" s="48" t="n"/>
      <c r="B1864" s="52" t="n"/>
      <c r="C1864" s="47">
        <f>IF(B1864="","",IFERROR(INDEX('隊員マスタ'!$B$5:$B$204,MATCH(B1864&amp;"",'隊員マスタ'!$F$5:$F$204,0)),IF(AK1864="","番号なし",AK1864)))</f>
        <v/>
      </c>
      <c r="D1864" s="47" t="n"/>
      <c r="E1864" s="47" t="n"/>
      <c r="F1864" s="47" t="n"/>
      <c r="G1864" s="47" t="n"/>
      <c r="H1864" s="47" t="n"/>
      <c r="I1864" s="47" t="n"/>
      <c r="J1864" s="47" t="n"/>
      <c r="K1864" s="47" t="n"/>
      <c r="L1864" s="47" t="n"/>
      <c r="M1864" s="47" t="n"/>
      <c r="N1864" s="47" t="n"/>
      <c r="O1864" s="47" t="n"/>
      <c r="P1864" s="47" t="n"/>
      <c r="Q1864" s="47" t="n"/>
      <c r="R1864" s="47" t="n"/>
      <c r="S1864" s="47" t="n"/>
      <c r="T1864" s="47" t="n"/>
      <c r="U1864" s="53" t="n"/>
      <c r="V1864" s="53" t="n"/>
      <c r="W1864" s="47" t="n"/>
      <c r="X1864" s="47" t="n"/>
      <c r="Y1864" s="47" t="n"/>
      <c r="Z1864" s="47" t="n"/>
      <c r="AA1864" s="47" t="n"/>
      <c r="AB1864" s="47" t="n"/>
      <c r="AC1864" s="47" t="n"/>
      <c r="AD1864" s="47" t="n"/>
      <c r="AE1864" s="47" t="n"/>
      <c r="AF1864" s="20">
        <f>IF(A1864="","",YEAR(EDATE(A1864,-3)))</f>
        <v/>
      </c>
      <c r="AG1864" s="20">
        <f>IF(OR(B1864="",'経歴簿'!$C$4=""),"",IF(B1864&amp;""='経歴簿'!$C$4&amp;"",MAX($AG$4:AG1863)+1,""))</f>
        <v/>
      </c>
      <c r="AH1864" s="20">
        <f>IF(A1864="",0,IF(AND(OR('CSV抽出'!$C$4="",A1864&gt;='CSV抽出'!$C$4),OR('CSV抽出'!$C$5="",A1864&lt;='CSV抽出'!$C$5),OR('CSV抽出'!$C$6="すべて",'CSV抽出'!$C$6="",D1864='CSV抽出'!$C$6),OR('CSV抽出'!$C$7="",B1864&amp;""='CSV抽出'!$C$7&amp;"")),1,0))</f>
        <v/>
      </c>
      <c r="AI1864" s="20">
        <f>IF(AH1864=1,SUM($AH$5:AH1864),"")</f>
        <v/>
      </c>
      <c r="AJ1864" s="20">
        <f>IF(OR(S1864="",'報告書'!$C$4=""),"",IF(S1864&amp;""='報告書'!$C$4&amp;"",COUNTIF($S$5:S1864,'報告書'!$C$4),""))</f>
        <v/>
      </c>
      <c r="AK1864" s="20" t="n"/>
      <c r="AL1864" s="47" t="n"/>
      <c r="AM1864" s="47" t="n"/>
      <c r="AN1864" s="53" t="n"/>
      <c r="AO1864" s="47" t="n"/>
      <c r="AP1864" s="47" t="n"/>
      <c r="AQ1864" s="47" t="n"/>
      <c r="AR1864" s="47" t="n"/>
      <c r="AS1864" s="47" t="n"/>
      <c r="AT1864" s="47" t="n"/>
      <c r="AU1864" s="47" t="n"/>
      <c r="AV1864" s="47" t="n"/>
      <c r="AW1864" s="52" t="n"/>
    </row>
    <row r="1865">
      <c r="A1865" s="48" t="n"/>
      <c r="B1865" s="52" t="n"/>
      <c r="C1865" s="47">
        <f>IF(B1865="","",IFERROR(INDEX('隊員マスタ'!$B$5:$B$204,MATCH(B1865&amp;"",'隊員マスタ'!$F$5:$F$204,0)),IF(AK1865="","番号なし",AK1865)))</f>
        <v/>
      </c>
      <c r="D1865" s="47" t="n"/>
      <c r="E1865" s="47" t="n"/>
      <c r="F1865" s="47" t="n"/>
      <c r="G1865" s="47" t="n"/>
      <c r="H1865" s="47" t="n"/>
      <c r="I1865" s="47" t="n"/>
      <c r="J1865" s="47" t="n"/>
      <c r="K1865" s="47" t="n"/>
      <c r="L1865" s="47" t="n"/>
      <c r="M1865" s="47" t="n"/>
      <c r="N1865" s="47" t="n"/>
      <c r="O1865" s="47" t="n"/>
      <c r="P1865" s="47" t="n"/>
      <c r="Q1865" s="47" t="n"/>
      <c r="R1865" s="47" t="n"/>
      <c r="S1865" s="47" t="n"/>
      <c r="T1865" s="47" t="n"/>
      <c r="U1865" s="53" t="n"/>
      <c r="V1865" s="53" t="n"/>
      <c r="W1865" s="47" t="n"/>
      <c r="X1865" s="47" t="n"/>
      <c r="Y1865" s="47" t="n"/>
      <c r="Z1865" s="47" t="n"/>
      <c r="AA1865" s="47" t="n"/>
      <c r="AB1865" s="47" t="n"/>
      <c r="AC1865" s="47" t="n"/>
      <c r="AD1865" s="47" t="n"/>
      <c r="AE1865" s="47" t="n"/>
      <c r="AF1865" s="20">
        <f>IF(A1865="","",YEAR(EDATE(A1865,-3)))</f>
        <v/>
      </c>
      <c r="AG1865" s="20">
        <f>IF(OR(B1865="",'経歴簿'!$C$4=""),"",IF(B1865&amp;""='経歴簿'!$C$4&amp;"",MAX($AG$4:AG1864)+1,""))</f>
        <v/>
      </c>
      <c r="AH1865" s="20">
        <f>IF(A1865="",0,IF(AND(OR('CSV抽出'!$C$4="",A1865&gt;='CSV抽出'!$C$4),OR('CSV抽出'!$C$5="",A1865&lt;='CSV抽出'!$C$5),OR('CSV抽出'!$C$6="すべて",'CSV抽出'!$C$6="",D1865='CSV抽出'!$C$6),OR('CSV抽出'!$C$7="",B1865&amp;""='CSV抽出'!$C$7&amp;"")),1,0))</f>
        <v/>
      </c>
      <c r="AI1865" s="20">
        <f>IF(AH1865=1,SUM($AH$5:AH1865),"")</f>
        <v/>
      </c>
      <c r="AJ1865" s="20">
        <f>IF(OR(S1865="",'報告書'!$C$4=""),"",IF(S1865&amp;""='報告書'!$C$4&amp;"",COUNTIF($S$5:S1865,'報告書'!$C$4),""))</f>
        <v/>
      </c>
      <c r="AK1865" s="20" t="n"/>
      <c r="AL1865" s="47" t="n"/>
      <c r="AM1865" s="47" t="n"/>
      <c r="AN1865" s="53" t="n"/>
      <c r="AO1865" s="47" t="n"/>
      <c r="AP1865" s="47" t="n"/>
      <c r="AQ1865" s="47" t="n"/>
      <c r="AR1865" s="47" t="n"/>
      <c r="AS1865" s="47" t="n"/>
      <c r="AT1865" s="47" t="n"/>
      <c r="AU1865" s="47" t="n"/>
      <c r="AV1865" s="47" t="n"/>
      <c r="AW1865" s="52" t="n"/>
    </row>
    <row r="1866">
      <c r="A1866" s="48" t="n"/>
      <c r="B1866" s="52" t="n"/>
      <c r="C1866" s="47">
        <f>IF(B1866="","",IFERROR(INDEX('隊員マスタ'!$B$5:$B$204,MATCH(B1866&amp;"",'隊員マスタ'!$F$5:$F$204,0)),IF(AK1866="","番号なし",AK1866)))</f>
        <v/>
      </c>
      <c r="D1866" s="47" t="n"/>
      <c r="E1866" s="47" t="n"/>
      <c r="F1866" s="47" t="n"/>
      <c r="G1866" s="47" t="n"/>
      <c r="H1866" s="47" t="n"/>
      <c r="I1866" s="47" t="n"/>
      <c r="J1866" s="47" t="n"/>
      <c r="K1866" s="47" t="n"/>
      <c r="L1866" s="47" t="n"/>
      <c r="M1866" s="47" t="n"/>
      <c r="N1866" s="47" t="n"/>
      <c r="O1866" s="47" t="n"/>
      <c r="P1866" s="47" t="n"/>
      <c r="Q1866" s="47" t="n"/>
      <c r="R1866" s="47" t="n"/>
      <c r="S1866" s="47" t="n"/>
      <c r="T1866" s="47" t="n"/>
      <c r="U1866" s="53" t="n"/>
      <c r="V1866" s="53" t="n"/>
      <c r="W1866" s="47" t="n"/>
      <c r="X1866" s="47" t="n"/>
      <c r="Y1866" s="47" t="n"/>
      <c r="Z1866" s="47" t="n"/>
      <c r="AA1866" s="47" t="n"/>
      <c r="AB1866" s="47" t="n"/>
      <c r="AC1866" s="47" t="n"/>
      <c r="AD1866" s="47" t="n"/>
      <c r="AE1866" s="47" t="n"/>
      <c r="AF1866" s="20">
        <f>IF(A1866="","",YEAR(EDATE(A1866,-3)))</f>
        <v/>
      </c>
      <c r="AG1866" s="20">
        <f>IF(OR(B1866="",'経歴簿'!$C$4=""),"",IF(B1866&amp;""='経歴簿'!$C$4&amp;"",MAX($AG$4:AG1865)+1,""))</f>
        <v/>
      </c>
      <c r="AH1866" s="20">
        <f>IF(A1866="",0,IF(AND(OR('CSV抽出'!$C$4="",A1866&gt;='CSV抽出'!$C$4),OR('CSV抽出'!$C$5="",A1866&lt;='CSV抽出'!$C$5),OR('CSV抽出'!$C$6="すべて",'CSV抽出'!$C$6="",D1866='CSV抽出'!$C$6),OR('CSV抽出'!$C$7="",B1866&amp;""='CSV抽出'!$C$7&amp;"")),1,0))</f>
        <v/>
      </c>
      <c r="AI1866" s="20">
        <f>IF(AH1866=1,SUM($AH$5:AH1866),"")</f>
        <v/>
      </c>
      <c r="AJ1866" s="20">
        <f>IF(OR(S1866="",'報告書'!$C$4=""),"",IF(S1866&amp;""='報告書'!$C$4&amp;"",COUNTIF($S$5:S1866,'報告書'!$C$4),""))</f>
        <v/>
      </c>
      <c r="AK1866" s="20" t="n"/>
      <c r="AL1866" s="47" t="n"/>
      <c r="AM1866" s="47" t="n"/>
      <c r="AN1866" s="53" t="n"/>
      <c r="AO1866" s="47" t="n"/>
      <c r="AP1866" s="47" t="n"/>
      <c r="AQ1866" s="47" t="n"/>
      <c r="AR1866" s="47" t="n"/>
      <c r="AS1866" s="47" t="n"/>
      <c r="AT1866" s="47" t="n"/>
      <c r="AU1866" s="47" t="n"/>
      <c r="AV1866" s="47" t="n"/>
      <c r="AW1866" s="52" t="n"/>
    </row>
    <row r="1867">
      <c r="A1867" s="48" t="n"/>
      <c r="B1867" s="52" t="n"/>
      <c r="C1867" s="47">
        <f>IF(B1867="","",IFERROR(INDEX('隊員マスタ'!$B$5:$B$204,MATCH(B1867&amp;"",'隊員マスタ'!$F$5:$F$204,0)),IF(AK1867="","番号なし",AK1867)))</f>
        <v/>
      </c>
      <c r="D1867" s="47" t="n"/>
      <c r="E1867" s="47" t="n"/>
      <c r="F1867" s="47" t="n"/>
      <c r="G1867" s="47" t="n"/>
      <c r="H1867" s="47" t="n"/>
      <c r="I1867" s="47" t="n"/>
      <c r="J1867" s="47" t="n"/>
      <c r="K1867" s="47" t="n"/>
      <c r="L1867" s="47" t="n"/>
      <c r="M1867" s="47" t="n"/>
      <c r="N1867" s="47" t="n"/>
      <c r="O1867" s="47" t="n"/>
      <c r="P1867" s="47" t="n"/>
      <c r="Q1867" s="47" t="n"/>
      <c r="R1867" s="47" t="n"/>
      <c r="S1867" s="47" t="n"/>
      <c r="T1867" s="47" t="n"/>
      <c r="U1867" s="53" t="n"/>
      <c r="V1867" s="53" t="n"/>
      <c r="W1867" s="47" t="n"/>
      <c r="X1867" s="47" t="n"/>
      <c r="Y1867" s="47" t="n"/>
      <c r="Z1867" s="47" t="n"/>
      <c r="AA1867" s="47" t="n"/>
      <c r="AB1867" s="47" t="n"/>
      <c r="AC1867" s="47" t="n"/>
      <c r="AD1867" s="47" t="n"/>
      <c r="AE1867" s="47" t="n"/>
      <c r="AF1867" s="20">
        <f>IF(A1867="","",YEAR(EDATE(A1867,-3)))</f>
        <v/>
      </c>
      <c r="AG1867" s="20">
        <f>IF(OR(B1867="",'経歴簿'!$C$4=""),"",IF(B1867&amp;""='経歴簿'!$C$4&amp;"",MAX($AG$4:AG1866)+1,""))</f>
        <v/>
      </c>
      <c r="AH1867" s="20">
        <f>IF(A1867="",0,IF(AND(OR('CSV抽出'!$C$4="",A1867&gt;='CSV抽出'!$C$4),OR('CSV抽出'!$C$5="",A1867&lt;='CSV抽出'!$C$5),OR('CSV抽出'!$C$6="すべて",'CSV抽出'!$C$6="",D1867='CSV抽出'!$C$6),OR('CSV抽出'!$C$7="",B1867&amp;""='CSV抽出'!$C$7&amp;"")),1,0))</f>
        <v/>
      </c>
      <c r="AI1867" s="20">
        <f>IF(AH1867=1,SUM($AH$5:AH1867),"")</f>
        <v/>
      </c>
      <c r="AJ1867" s="20">
        <f>IF(OR(S1867="",'報告書'!$C$4=""),"",IF(S1867&amp;""='報告書'!$C$4&amp;"",COUNTIF($S$5:S1867,'報告書'!$C$4),""))</f>
        <v/>
      </c>
      <c r="AK1867" s="20" t="n"/>
      <c r="AL1867" s="47" t="n"/>
      <c r="AM1867" s="47" t="n"/>
      <c r="AN1867" s="53" t="n"/>
      <c r="AO1867" s="47" t="n"/>
      <c r="AP1867" s="47" t="n"/>
      <c r="AQ1867" s="47" t="n"/>
      <c r="AR1867" s="47" t="n"/>
      <c r="AS1867" s="47" t="n"/>
      <c r="AT1867" s="47" t="n"/>
      <c r="AU1867" s="47" t="n"/>
      <c r="AV1867" s="47" t="n"/>
      <c r="AW1867" s="52" t="n"/>
    </row>
    <row r="1868">
      <c r="A1868" s="48" t="n"/>
      <c r="B1868" s="52" t="n"/>
      <c r="C1868" s="47">
        <f>IF(B1868="","",IFERROR(INDEX('隊員マスタ'!$B$5:$B$204,MATCH(B1868&amp;"",'隊員マスタ'!$F$5:$F$204,0)),IF(AK1868="","番号なし",AK1868)))</f>
        <v/>
      </c>
      <c r="D1868" s="47" t="n"/>
      <c r="E1868" s="47" t="n"/>
      <c r="F1868" s="47" t="n"/>
      <c r="G1868" s="47" t="n"/>
      <c r="H1868" s="47" t="n"/>
      <c r="I1868" s="47" t="n"/>
      <c r="J1868" s="47" t="n"/>
      <c r="K1868" s="47" t="n"/>
      <c r="L1868" s="47" t="n"/>
      <c r="M1868" s="47" t="n"/>
      <c r="N1868" s="47" t="n"/>
      <c r="O1868" s="47" t="n"/>
      <c r="P1868" s="47" t="n"/>
      <c r="Q1868" s="47" t="n"/>
      <c r="R1868" s="47" t="n"/>
      <c r="S1868" s="47" t="n"/>
      <c r="T1868" s="47" t="n"/>
      <c r="U1868" s="53" t="n"/>
      <c r="V1868" s="53" t="n"/>
      <c r="W1868" s="47" t="n"/>
      <c r="X1868" s="47" t="n"/>
      <c r="Y1868" s="47" t="n"/>
      <c r="Z1868" s="47" t="n"/>
      <c r="AA1868" s="47" t="n"/>
      <c r="AB1868" s="47" t="n"/>
      <c r="AC1868" s="47" t="n"/>
      <c r="AD1868" s="47" t="n"/>
      <c r="AE1868" s="47" t="n"/>
      <c r="AF1868" s="20">
        <f>IF(A1868="","",YEAR(EDATE(A1868,-3)))</f>
        <v/>
      </c>
      <c r="AG1868" s="20">
        <f>IF(OR(B1868="",'経歴簿'!$C$4=""),"",IF(B1868&amp;""='経歴簿'!$C$4&amp;"",MAX($AG$4:AG1867)+1,""))</f>
        <v/>
      </c>
      <c r="AH1868" s="20">
        <f>IF(A1868="",0,IF(AND(OR('CSV抽出'!$C$4="",A1868&gt;='CSV抽出'!$C$4),OR('CSV抽出'!$C$5="",A1868&lt;='CSV抽出'!$C$5),OR('CSV抽出'!$C$6="すべて",'CSV抽出'!$C$6="",D1868='CSV抽出'!$C$6),OR('CSV抽出'!$C$7="",B1868&amp;""='CSV抽出'!$C$7&amp;"")),1,0))</f>
        <v/>
      </c>
      <c r="AI1868" s="20">
        <f>IF(AH1868=1,SUM($AH$5:AH1868),"")</f>
        <v/>
      </c>
      <c r="AJ1868" s="20">
        <f>IF(OR(S1868="",'報告書'!$C$4=""),"",IF(S1868&amp;""='報告書'!$C$4&amp;"",COUNTIF($S$5:S1868,'報告書'!$C$4),""))</f>
        <v/>
      </c>
      <c r="AK1868" s="20" t="n"/>
      <c r="AL1868" s="47" t="n"/>
      <c r="AM1868" s="47" t="n"/>
      <c r="AN1868" s="53" t="n"/>
      <c r="AO1868" s="47" t="n"/>
      <c r="AP1868" s="47" t="n"/>
      <c r="AQ1868" s="47" t="n"/>
      <c r="AR1868" s="47" t="n"/>
      <c r="AS1868" s="47" t="n"/>
      <c r="AT1868" s="47" t="n"/>
      <c r="AU1868" s="47" t="n"/>
      <c r="AV1868" s="47" t="n"/>
      <c r="AW1868" s="52" t="n"/>
    </row>
    <row r="1869">
      <c r="A1869" s="48" t="n"/>
      <c r="B1869" s="52" t="n"/>
      <c r="C1869" s="47">
        <f>IF(B1869="","",IFERROR(INDEX('隊員マスタ'!$B$5:$B$204,MATCH(B1869&amp;"",'隊員マスタ'!$F$5:$F$204,0)),IF(AK1869="","番号なし",AK1869)))</f>
        <v/>
      </c>
      <c r="D1869" s="47" t="n"/>
      <c r="E1869" s="47" t="n"/>
      <c r="F1869" s="47" t="n"/>
      <c r="G1869" s="47" t="n"/>
      <c r="H1869" s="47" t="n"/>
      <c r="I1869" s="47" t="n"/>
      <c r="J1869" s="47" t="n"/>
      <c r="K1869" s="47" t="n"/>
      <c r="L1869" s="47" t="n"/>
      <c r="M1869" s="47" t="n"/>
      <c r="N1869" s="47" t="n"/>
      <c r="O1869" s="47" t="n"/>
      <c r="P1869" s="47" t="n"/>
      <c r="Q1869" s="47" t="n"/>
      <c r="R1869" s="47" t="n"/>
      <c r="S1869" s="47" t="n"/>
      <c r="T1869" s="47" t="n"/>
      <c r="U1869" s="53" t="n"/>
      <c r="V1869" s="53" t="n"/>
      <c r="W1869" s="47" t="n"/>
      <c r="X1869" s="47" t="n"/>
      <c r="Y1869" s="47" t="n"/>
      <c r="Z1869" s="47" t="n"/>
      <c r="AA1869" s="47" t="n"/>
      <c r="AB1869" s="47" t="n"/>
      <c r="AC1869" s="47" t="n"/>
      <c r="AD1869" s="47" t="n"/>
      <c r="AE1869" s="47" t="n"/>
      <c r="AF1869" s="20">
        <f>IF(A1869="","",YEAR(EDATE(A1869,-3)))</f>
        <v/>
      </c>
      <c r="AG1869" s="20">
        <f>IF(OR(B1869="",'経歴簿'!$C$4=""),"",IF(B1869&amp;""='経歴簿'!$C$4&amp;"",MAX($AG$4:AG1868)+1,""))</f>
        <v/>
      </c>
      <c r="AH1869" s="20">
        <f>IF(A1869="",0,IF(AND(OR('CSV抽出'!$C$4="",A1869&gt;='CSV抽出'!$C$4),OR('CSV抽出'!$C$5="",A1869&lt;='CSV抽出'!$C$5),OR('CSV抽出'!$C$6="すべて",'CSV抽出'!$C$6="",D1869='CSV抽出'!$C$6),OR('CSV抽出'!$C$7="",B1869&amp;""='CSV抽出'!$C$7&amp;"")),1,0))</f>
        <v/>
      </c>
      <c r="AI1869" s="20">
        <f>IF(AH1869=1,SUM($AH$5:AH1869),"")</f>
        <v/>
      </c>
      <c r="AJ1869" s="20">
        <f>IF(OR(S1869="",'報告書'!$C$4=""),"",IF(S1869&amp;""='報告書'!$C$4&amp;"",COUNTIF($S$5:S1869,'報告書'!$C$4),""))</f>
        <v/>
      </c>
      <c r="AK1869" s="20" t="n"/>
      <c r="AL1869" s="47" t="n"/>
      <c r="AM1869" s="47" t="n"/>
      <c r="AN1869" s="53" t="n"/>
      <c r="AO1869" s="47" t="n"/>
      <c r="AP1869" s="47" t="n"/>
      <c r="AQ1869" s="47" t="n"/>
      <c r="AR1869" s="47" t="n"/>
      <c r="AS1869" s="47" t="n"/>
      <c r="AT1869" s="47" t="n"/>
      <c r="AU1869" s="47" t="n"/>
      <c r="AV1869" s="47" t="n"/>
      <c r="AW1869" s="52" t="n"/>
    </row>
    <row r="1870">
      <c r="A1870" s="48" t="n"/>
      <c r="B1870" s="52" t="n"/>
      <c r="C1870" s="47">
        <f>IF(B1870="","",IFERROR(INDEX('隊員マスタ'!$B$5:$B$204,MATCH(B1870&amp;"",'隊員マスタ'!$F$5:$F$204,0)),IF(AK1870="","番号なし",AK1870)))</f>
        <v/>
      </c>
      <c r="D1870" s="47" t="n"/>
      <c r="E1870" s="47" t="n"/>
      <c r="F1870" s="47" t="n"/>
      <c r="G1870" s="47" t="n"/>
      <c r="H1870" s="47" t="n"/>
      <c r="I1870" s="47" t="n"/>
      <c r="J1870" s="47" t="n"/>
      <c r="K1870" s="47" t="n"/>
      <c r="L1870" s="47" t="n"/>
      <c r="M1870" s="47" t="n"/>
      <c r="N1870" s="47" t="n"/>
      <c r="O1870" s="47" t="n"/>
      <c r="P1870" s="47" t="n"/>
      <c r="Q1870" s="47" t="n"/>
      <c r="R1870" s="47" t="n"/>
      <c r="S1870" s="47" t="n"/>
      <c r="T1870" s="47" t="n"/>
      <c r="U1870" s="53" t="n"/>
      <c r="V1870" s="53" t="n"/>
      <c r="W1870" s="47" t="n"/>
      <c r="X1870" s="47" t="n"/>
      <c r="Y1870" s="47" t="n"/>
      <c r="Z1870" s="47" t="n"/>
      <c r="AA1870" s="47" t="n"/>
      <c r="AB1870" s="47" t="n"/>
      <c r="AC1870" s="47" t="n"/>
      <c r="AD1870" s="47" t="n"/>
      <c r="AE1870" s="47" t="n"/>
      <c r="AF1870" s="20">
        <f>IF(A1870="","",YEAR(EDATE(A1870,-3)))</f>
        <v/>
      </c>
      <c r="AG1870" s="20">
        <f>IF(OR(B1870="",'経歴簿'!$C$4=""),"",IF(B1870&amp;""='経歴簿'!$C$4&amp;"",MAX($AG$4:AG1869)+1,""))</f>
        <v/>
      </c>
      <c r="AH1870" s="20">
        <f>IF(A1870="",0,IF(AND(OR('CSV抽出'!$C$4="",A1870&gt;='CSV抽出'!$C$4),OR('CSV抽出'!$C$5="",A1870&lt;='CSV抽出'!$C$5),OR('CSV抽出'!$C$6="すべて",'CSV抽出'!$C$6="",D1870='CSV抽出'!$C$6),OR('CSV抽出'!$C$7="",B1870&amp;""='CSV抽出'!$C$7&amp;"")),1,0))</f>
        <v/>
      </c>
      <c r="AI1870" s="20">
        <f>IF(AH1870=1,SUM($AH$5:AH1870),"")</f>
        <v/>
      </c>
      <c r="AJ1870" s="20">
        <f>IF(OR(S1870="",'報告書'!$C$4=""),"",IF(S1870&amp;""='報告書'!$C$4&amp;"",COUNTIF($S$5:S1870,'報告書'!$C$4),""))</f>
        <v/>
      </c>
      <c r="AK1870" s="20" t="n"/>
      <c r="AL1870" s="47" t="n"/>
      <c r="AM1870" s="47" t="n"/>
      <c r="AN1870" s="53" t="n"/>
      <c r="AO1870" s="47" t="n"/>
      <c r="AP1870" s="47" t="n"/>
      <c r="AQ1870" s="47" t="n"/>
      <c r="AR1870" s="47" t="n"/>
      <c r="AS1870" s="47" t="n"/>
      <c r="AT1870" s="47" t="n"/>
      <c r="AU1870" s="47" t="n"/>
      <c r="AV1870" s="47" t="n"/>
      <c r="AW1870" s="52" t="n"/>
    </row>
    <row r="1871">
      <c r="A1871" s="48" t="n"/>
      <c r="B1871" s="52" t="n"/>
      <c r="C1871" s="47">
        <f>IF(B1871="","",IFERROR(INDEX('隊員マスタ'!$B$5:$B$204,MATCH(B1871&amp;"",'隊員マスタ'!$F$5:$F$204,0)),IF(AK1871="","番号なし",AK1871)))</f>
        <v/>
      </c>
      <c r="D1871" s="47" t="n"/>
      <c r="E1871" s="47" t="n"/>
      <c r="F1871" s="47" t="n"/>
      <c r="G1871" s="47" t="n"/>
      <c r="H1871" s="47" t="n"/>
      <c r="I1871" s="47" t="n"/>
      <c r="J1871" s="47" t="n"/>
      <c r="K1871" s="47" t="n"/>
      <c r="L1871" s="47" t="n"/>
      <c r="M1871" s="47" t="n"/>
      <c r="N1871" s="47" t="n"/>
      <c r="O1871" s="47" t="n"/>
      <c r="P1871" s="47" t="n"/>
      <c r="Q1871" s="47" t="n"/>
      <c r="R1871" s="47" t="n"/>
      <c r="S1871" s="47" t="n"/>
      <c r="T1871" s="47" t="n"/>
      <c r="U1871" s="53" t="n"/>
      <c r="V1871" s="53" t="n"/>
      <c r="W1871" s="47" t="n"/>
      <c r="X1871" s="47" t="n"/>
      <c r="Y1871" s="47" t="n"/>
      <c r="Z1871" s="47" t="n"/>
      <c r="AA1871" s="47" t="n"/>
      <c r="AB1871" s="47" t="n"/>
      <c r="AC1871" s="47" t="n"/>
      <c r="AD1871" s="47" t="n"/>
      <c r="AE1871" s="47" t="n"/>
      <c r="AF1871" s="20">
        <f>IF(A1871="","",YEAR(EDATE(A1871,-3)))</f>
        <v/>
      </c>
      <c r="AG1871" s="20">
        <f>IF(OR(B1871="",'経歴簿'!$C$4=""),"",IF(B1871&amp;""='経歴簿'!$C$4&amp;"",MAX($AG$4:AG1870)+1,""))</f>
        <v/>
      </c>
      <c r="AH1871" s="20">
        <f>IF(A1871="",0,IF(AND(OR('CSV抽出'!$C$4="",A1871&gt;='CSV抽出'!$C$4),OR('CSV抽出'!$C$5="",A1871&lt;='CSV抽出'!$C$5),OR('CSV抽出'!$C$6="すべて",'CSV抽出'!$C$6="",D1871='CSV抽出'!$C$6),OR('CSV抽出'!$C$7="",B1871&amp;""='CSV抽出'!$C$7&amp;"")),1,0))</f>
        <v/>
      </c>
      <c r="AI1871" s="20">
        <f>IF(AH1871=1,SUM($AH$5:AH1871),"")</f>
        <v/>
      </c>
      <c r="AJ1871" s="20">
        <f>IF(OR(S1871="",'報告書'!$C$4=""),"",IF(S1871&amp;""='報告書'!$C$4&amp;"",COUNTIF($S$5:S1871,'報告書'!$C$4),""))</f>
        <v/>
      </c>
      <c r="AK1871" s="20" t="n"/>
      <c r="AL1871" s="47" t="n"/>
      <c r="AM1871" s="47" t="n"/>
      <c r="AN1871" s="53" t="n"/>
      <c r="AO1871" s="47" t="n"/>
      <c r="AP1871" s="47" t="n"/>
      <c r="AQ1871" s="47" t="n"/>
      <c r="AR1871" s="47" t="n"/>
      <c r="AS1871" s="47" t="n"/>
      <c r="AT1871" s="47" t="n"/>
      <c r="AU1871" s="47" t="n"/>
      <c r="AV1871" s="47" t="n"/>
      <c r="AW1871" s="52" t="n"/>
    </row>
    <row r="1872">
      <c r="A1872" s="48" t="n"/>
      <c r="B1872" s="52" t="n"/>
      <c r="C1872" s="47">
        <f>IF(B1872="","",IFERROR(INDEX('隊員マスタ'!$B$5:$B$204,MATCH(B1872&amp;"",'隊員マスタ'!$F$5:$F$204,0)),IF(AK1872="","番号なし",AK1872)))</f>
        <v/>
      </c>
      <c r="D1872" s="47" t="n"/>
      <c r="E1872" s="47" t="n"/>
      <c r="F1872" s="47" t="n"/>
      <c r="G1872" s="47" t="n"/>
      <c r="H1872" s="47" t="n"/>
      <c r="I1872" s="47" t="n"/>
      <c r="J1872" s="47" t="n"/>
      <c r="K1872" s="47" t="n"/>
      <c r="L1872" s="47" t="n"/>
      <c r="M1872" s="47" t="n"/>
      <c r="N1872" s="47" t="n"/>
      <c r="O1872" s="47" t="n"/>
      <c r="P1872" s="47" t="n"/>
      <c r="Q1872" s="47" t="n"/>
      <c r="R1872" s="47" t="n"/>
      <c r="S1872" s="47" t="n"/>
      <c r="T1872" s="47" t="n"/>
      <c r="U1872" s="53" t="n"/>
      <c r="V1872" s="53" t="n"/>
      <c r="W1872" s="47" t="n"/>
      <c r="X1872" s="47" t="n"/>
      <c r="Y1872" s="47" t="n"/>
      <c r="Z1872" s="47" t="n"/>
      <c r="AA1872" s="47" t="n"/>
      <c r="AB1872" s="47" t="n"/>
      <c r="AC1872" s="47" t="n"/>
      <c r="AD1872" s="47" t="n"/>
      <c r="AE1872" s="47" t="n"/>
      <c r="AF1872" s="20">
        <f>IF(A1872="","",YEAR(EDATE(A1872,-3)))</f>
        <v/>
      </c>
      <c r="AG1872" s="20">
        <f>IF(OR(B1872="",'経歴簿'!$C$4=""),"",IF(B1872&amp;""='経歴簿'!$C$4&amp;"",MAX($AG$4:AG1871)+1,""))</f>
        <v/>
      </c>
      <c r="AH1872" s="20">
        <f>IF(A1872="",0,IF(AND(OR('CSV抽出'!$C$4="",A1872&gt;='CSV抽出'!$C$4),OR('CSV抽出'!$C$5="",A1872&lt;='CSV抽出'!$C$5),OR('CSV抽出'!$C$6="すべて",'CSV抽出'!$C$6="",D1872='CSV抽出'!$C$6),OR('CSV抽出'!$C$7="",B1872&amp;""='CSV抽出'!$C$7&amp;"")),1,0))</f>
        <v/>
      </c>
      <c r="AI1872" s="20">
        <f>IF(AH1872=1,SUM($AH$5:AH1872),"")</f>
        <v/>
      </c>
      <c r="AJ1872" s="20">
        <f>IF(OR(S1872="",'報告書'!$C$4=""),"",IF(S1872&amp;""='報告書'!$C$4&amp;"",COUNTIF($S$5:S1872,'報告書'!$C$4),""))</f>
        <v/>
      </c>
      <c r="AK1872" s="20" t="n"/>
      <c r="AL1872" s="47" t="n"/>
      <c r="AM1872" s="47" t="n"/>
      <c r="AN1872" s="53" t="n"/>
      <c r="AO1872" s="47" t="n"/>
      <c r="AP1872" s="47" t="n"/>
      <c r="AQ1872" s="47" t="n"/>
      <c r="AR1872" s="47" t="n"/>
      <c r="AS1872" s="47" t="n"/>
      <c r="AT1872" s="47" t="n"/>
      <c r="AU1872" s="47" t="n"/>
      <c r="AV1872" s="47" t="n"/>
      <c r="AW1872" s="52" t="n"/>
    </row>
    <row r="1873">
      <c r="A1873" s="48" t="n"/>
      <c r="B1873" s="52" t="n"/>
      <c r="C1873" s="47">
        <f>IF(B1873="","",IFERROR(INDEX('隊員マスタ'!$B$5:$B$204,MATCH(B1873&amp;"",'隊員マスタ'!$F$5:$F$204,0)),IF(AK1873="","番号なし",AK1873)))</f>
        <v/>
      </c>
      <c r="D1873" s="47" t="n"/>
      <c r="E1873" s="47" t="n"/>
      <c r="F1873" s="47" t="n"/>
      <c r="G1873" s="47" t="n"/>
      <c r="H1873" s="47" t="n"/>
      <c r="I1873" s="47" t="n"/>
      <c r="J1873" s="47" t="n"/>
      <c r="K1873" s="47" t="n"/>
      <c r="L1873" s="47" t="n"/>
      <c r="M1873" s="47" t="n"/>
      <c r="N1873" s="47" t="n"/>
      <c r="O1873" s="47" t="n"/>
      <c r="P1873" s="47" t="n"/>
      <c r="Q1873" s="47" t="n"/>
      <c r="R1873" s="47" t="n"/>
      <c r="S1873" s="47" t="n"/>
      <c r="T1873" s="47" t="n"/>
      <c r="U1873" s="53" t="n"/>
      <c r="V1873" s="53" t="n"/>
      <c r="W1873" s="47" t="n"/>
      <c r="X1873" s="47" t="n"/>
      <c r="Y1873" s="47" t="n"/>
      <c r="Z1873" s="47" t="n"/>
      <c r="AA1873" s="47" t="n"/>
      <c r="AB1873" s="47" t="n"/>
      <c r="AC1873" s="47" t="n"/>
      <c r="AD1873" s="47" t="n"/>
      <c r="AE1873" s="47" t="n"/>
      <c r="AF1873" s="20">
        <f>IF(A1873="","",YEAR(EDATE(A1873,-3)))</f>
        <v/>
      </c>
      <c r="AG1873" s="20">
        <f>IF(OR(B1873="",'経歴簿'!$C$4=""),"",IF(B1873&amp;""='経歴簿'!$C$4&amp;"",MAX($AG$4:AG1872)+1,""))</f>
        <v/>
      </c>
      <c r="AH1873" s="20">
        <f>IF(A1873="",0,IF(AND(OR('CSV抽出'!$C$4="",A1873&gt;='CSV抽出'!$C$4),OR('CSV抽出'!$C$5="",A1873&lt;='CSV抽出'!$C$5),OR('CSV抽出'!$C$6="すべて",'CSV抽出'!$C$6="",D1873='CSV抽出'!$C$6),OR('CSV抽出'!$C$7="",B1873&amp;""='CSV抽出'!$C$7&amp;"")),1,0))</f>
        <v/>
      </c>
      <c r="AI1873" s="20">
        <f>IF(AH1873=1,SUM($AH$5:AH1873),"")</f>
        <v/>
      </c>
      <c r="AJ1873" s="20">
        <f>IF(OR(S1873="",'報告書'!$C$4=""),"",IF(S1873&amp;""='報告書'!$C$4&amp;"",COUNTIF($S$5:S1873,'報告書'!$C$4),""))</f>
        <v/>
      </c>
      <c r="AK1873" s="20" t="n"/>
      <c r="AL1873" s="47" t="n"/>
      <c r="AM1873" s="47" t="n"/>
      <c r="AN1873" s="53" t="n"/>
      <c r="AO1873" s="47" t="n"/>
      <c r="AP1873" s="47" t="n"/>
      <c r="AQ1873" s="47" t="n"/>
      <c r="AR1873" s="47" t="n"/>
      <c r="AS1873" s="47" t="n"/>
      <c r="AT1873" s="47" t="n"/>
      <c r="AU1873" s="47" t="n"/>
      <c r="AV1873" s="47" t="n"/>
      <c r="AW1873" s="52" t="n"/>
    </row>
    <row r="1874">
      <c r="A1874" s="48" t="n"/>
      <c r="B1874" s="52" t="n"/>
      <c r="C1874" s="47">
        <f>IF(B1874="","",IFERROR(INDEX('隊員マスタ'!$B$5:$B$204,MATCH(B1874&amp;"",'隊員マスタ'!$F$5:$F$204,0)),IF(AK1874="","番号なし",AK1874)))</f>
        <v/>
      </c>
      <c r="D1874" s="47" t="n"/>
      <c r="E1874" s="47" t="n"/>
      <c r="F1874" s="47" t="n"/>
      <c r="G1874" s="47" t="n"/>
      <c r="H1874" s="47" t="n"/>
      <c r="I1874" s="47" t="n"/>
      <c r="J1874" s="47" t="n"/>
      <c r="K1874" s="47" t="n"/>
      <c r="L1874" s="47" t="n"/>
      <c r="M1874" s="47" t="n"/>
      <c r="N1874" s="47" t="n"/>
      <c r="O1874" s="47" t="n"/>
      <c r="P1874" s="47" t="n"/>
      <c r="Q1874" s="47" t="n"/>
      <c r="R1874" s="47" t="n"/>
      <c r="S1874" s="47" t="n"/>
      <c r="T1874" s="47" t="n"/>
      <c r="U1874" s="53" t="n"/>
      <c r="V1874" s="53" t="n"/>
      <c r="W1874" s="47" t="n"/>
      <c r="X1874" s="47" t="n"/>
      <c r="Y1874" s="47" t="n"/>
      <c r="Z1874" s="47" t="n"/>
      <c r="AA1874" s="47" t="n"/>
      <c r="AB1874" s="47" t="n"/>
      <c r="AC1874" s="47" t="n"/>
      <c r="AD1874" s="47" t="n"/>
      <c r="AE1874" s="47" t="n"/>
      <c r="AF1874" s="20">
        <f>IF(A1874="","",YEAR(EDATE(A1874,-3)))</f>
        <v/>
      </c>
      <c r="AG1874" s="20">
        <f>IF(OR(B1874="",'経歴簿'!$C$4=""),"",IF(B1874&amp;""='経歴簿'!$C$4&amp;"",MAX($AG$4:AG1873)+1,""))</f>
        <v/>
      </c>
      <c r="AH1874" s="20">
        <f>IF(A1874="",0,IF(AND(OR('CSV抽出'!$C$4="",A1874&gt;='CSV抽出'!$C$4),OR('CSV抽出'!$C$5="",A1874&lt;='CSV抽出'!$C$5),OR('CSV抽出'!$C$6="すべて",'CSV抽出'!$C$6="",D1874='CSV抽出'!$C$6),OR('CSV抽出'!$C$7="",B1874&amp;""='CSV抽出'!$C$7&amp;"")),1,0))</f>
        <v/>
      </c>
      <c r="AI1874" s="20">
        <f>IF(AH1874=1,SUM($AH$5:AH1874),"")</f>
        <v/>
      </c>
      <c r="AJ1874" s="20">
        <f>IF(OR(S1874="",'報告書'!$C$4=""),"",IF(S1874&amp;""='報告書'!$C$4&amp;"",COUNTIF($S$5:S1874,'報告書'!$C$4),""))</f>
        <v/>
      </c>
      <c r="AK1874" s="20" t="n"/>
      <c r="AL1874" s="47" t="n"/>
      <c r="AM1874" s="47" t="n"/>
      <c r="AN1874" s="53" t="n"/>
      <c r="AO1874" s="47" t="n"/>
      <c r="AP1874" s="47" t="n"/>
      <c r="AQ1874" s="47" t="n"/>
      <c r="AR1874" s="47" t="n"/>
      <c r="AS1874" s="47" t="n"/>
      <c r="AT1874" s="47" t="n"/>
      <c r="AU1874" s="47" t="n"/>
      <c r="AV1874" s="47" t="n"/>
      <c r="AW1874" s="52" t="n"/>
    </row>
    <row r="1875">
      <c r="A1875" s="48" t="n"/>
      <c r="B1875" s="52" t="n"/>
      <c r="C1875" s="47">
        <f>IF(B1875="","",IFERROR(INDEX('隊員マスタ'!$B$5:$B$204,MATCH(B1875&amp;"",'隊員マスタ'!$F$5:$F$204,0)),IF(AK1875="","番号なし",AK1875)))</f>
        <v/>
      </c>
      <c r="D1875" s="47" t="n"/>
      <c r="E1875" s="47" t="n"/>
      <c r="F1875" s="47" t="n"/>
      <c r="G1875" s="47" t="n"/>
      <c r="H1875" s="47" t="n"/>
      <c r="I1875" s="47" t="n"/>
      <c r="J1875" s="47" t="n"/>
      <c r="K1875" s="47" t="n"/>
      <c r="L1875" s="47" t="n"/>
      <c r="M1875" s="47" t="n"/>
      <c r="N1875" s="47" t="n"/>
      <c r="O1875" s="47" t="n"/>
      <c r="P1875" s="47" t="n"/>
      <c r="Q1875" s="47" t="n"/>
      <c r="R1875" s="47" t="n"/>
      <c r="S1875" s="47" t="n"/>
      <c r="T1875" s="47" t="n"/>
      <c r="U1875" s="53" t="n"/>
      <c r="V1875" s="53" t="n"/>
      <c r="W1875" s="47" t="n"/>
      <c r="X1875" s="47" t="n"/>
      <c r="Y1875" s="47" t="n"/>
      <c r="Z1875" s="47" t="n"/>
      <c r="AA1875" s="47" t="n"/>
      <c r="AB1875" s="47" t="n"/>
      <c r="AC1875" s="47" t="n"/>
      <c r="AD1875" s="47" t="n"/>
      <c r="AE1875" s="47" t="n"/>
      <c r="AF1875" s="20">
        <f>IF(A1875="","",YEAR(EDATE(A1875,-3)))</f>
        <v/>
      </c>
      <c r="AG1875" s="20">
        <f>IF(OR(B1875="",'経歴簿'!$C$4=""),"",IF(B1875&amp;""='経歴簿'!$C$4&amp;"",MAX($AG$4:AG1874)+1,""))</f>
        <v/>
      </c>
      <c r="AH1875" s="20">
        <f>IF(A1875="",0,IF(AND(OR('CSV抽出'!$C$4="",A1875&gt;='CSV抽出'!$C$4),OR('CSV抽出'!$C$5="",A1875&lt;='CSV抽出'!$C$5),OR('CSV抽出'!$C$6="すべて",'CSV抽出'!$C$6="",D1875='CSV抽出'!$C$6),OR('CSV抽出'!$C$7="",B1875&amp;""='CSV抽出'!$C$7&amp;"")),1,0))</f>
        <v/>
      </c>
      <c r="AI1875" s="20">
        <f>IF(AH1875=1,SUM($AH$5:AH1875),"")</f>
        <v/>
      </c>
      <c r="AJ1875" s="20">
        <f>IF(OR(S1875="",'報告書'!$C$4=""),"",IF(S1875&amp;""='報告書'!$C$4&amp;"",COUNTIF($S$5:S1875,'報告書'!$C$4),""))</f>
        <v/>
      </c>
      <c r="AK1875" s="20" t="n"/>
      <c r="AL1875" s="47" t="n"/>
      <c r="AM1875" s="47" t="n"/>
      <c r="AN1875" s="53" t="n"/>
      <c r="AO1875" s="47" t="n"/>
      <c r="AP1875" s="47" t="n"/>
      <c r="AQ1875" s="47" t="n"/>
      <c r="AR1875" s="47" t="n"/>
      <c r="AS1875" s="47" t="n"/>
      <c r="AT1875" s="47" t="n"/>
      <c r="AU1875" s="47" t="n"/>
      <c r="AV1875" s="47" t="n"/>
      <c r="AW1875" s="52" t="n"/>
    </row>
    <row r="1876">
      <c r="A1876" s="48" t="n"/>
      <c r="B1876" s="52" t="n"/>
      <c r="C1876" s="47">
        <f>IF(B1876="","",IFERROR(INDEX('隊員マスタ'!$B$5:$B$204,MATCH(B1876&amp;"",'隊員マスタ'!$F$5:$F$204,0)),IF(AK1876="","番号なし",AK1876)))</f>
        <v/>
      </c>
      <c r="D1876" s="47" t="n"/>
      <c r="E1876" s="47" t="n"/>
      <c r="F1876" s="47" t="n"/>
      <c r="G1876" s="47" t="n"/>
      <c r="H1876" s="47" t="n"/>
      <c r="I1876" s="47" t="n"/>
      <c r="J1876" s="47" t="n"/>
      <c r="K1876" s="47" t="n"/>
      <c r="L1876" s="47" t="n"/>
      <c r="M1876" s="47" t="n"/>
      <c r="N1876" s="47" t="n"/>
      <c r="O1876" s="47" t="n"/>
      <c r="P1876" s="47" t="n"/>
      <c r="Q1876" s="47" t="n"/>
      <c r="R1876" s="47" t="n"/>
      <c r="S1876" s="47" t="n"/>
      <c r="T1876" s="47" t="n"/>
      <c r="U1876" s="53" t="n"/>
      <c r="V1876" s="53" t="n"/>
      <c r="W1876" s="47" t="n"/>
      <c r="X1876" s="47" t="n"/>
      <c r="Y1876" s="47" t="n"/>
      <c r="Z1876" s="47" t="n"/>
      <c r="AA1876" s="47" t="n"/>
      <c r="AB1876" s="47" t="n"/>
      <c r="AC1876" s="47" t="n"/>
      <c r="AD1876" s="47" t="n"/>
      <c r="AE1876" s="47" t="n"/>
      <c r="AF1876" s="20">
        <f>IF(A1876="","",YEAR(EDATE(A1876,-3)))</f>
        <v/>
      </c>
      <c r="AG1876" s="20">
        <f>IF(OR(B1876="",'経歴簿'!$C$4=""),"",IF(B1876&amp;""='経歴簿'!$C$4&amp;"",MAX($AG$4:AG1875)+1,""))</f>
        <v/>
      </c>
      <c r="AH1876" s="20">
        <f>IF(A1876="",0,IF(AND(OR('CSV抽出'!$C$4="",A1876&gt;='CSV抽出'!$C$4),OR('CSV抽出'!$C$5="",A1876&lt;='CSV抽出'!$C$5),OR('CSV抽出'!$C$6="すべて",'CSV抽出'!$C$6="",D1876='CSV抽出'!$C$6),OR('CSV抽出'!$C$7="",B1876&amp;""='CSV抽出'!$C$7&amp;"")),1,0))</f>
        <v/>
      </c>
      <c r="AI1876" s="20">
        <f>IF(AH1876=1,SUM($AH$5:AH1876),"")</f>
        <v/>
      </c>
      <c r="AJ1876" s="20">
        <f>IF(OR(S1876="",'報告書'!$C$4=""),"",IF(S1876&amp;""='報告書'!$C$4&amp;"",COUNTIF($S$5:S1876,'報告書'!$C$4),""))</f>
        <v/>
      </c>
      <c r="AK1876" s="20" t="n"/>
      <c r="AL1876" s="47" t="n"/>
      <c r="AM1876" s="47" t="n"/>
      <c r="AN1876" s="53" t="n"/>
      <c r="AO1876" s="47" t="n"/>
      <c r="AP1876" s="47" t="n"/>
      <c r="AQ1876" s="47" t="n"/>
      <c r="AR1876" s="47" t="n"/>
      <c r="AS1876" s="47" t="n"/>
      <c r="AT1876" s="47" t="n"/>
      <c r="AU1876" s="47" t="n"/>
      <c r="AV1876" s="47" t="n"/>
      <c r="AW1876" s="52" t="n"/>
    </row>
    <row r="1877">
      <c r="A1877" s="48" t="n"/>
      <c r="B1877" s="52" t="n"/>
      <c r="C1877" s="47">
        <f>IF(B1877="","",IFERROR(INDEX('隊員マスタ'!$B$5:$B$204,MATCH(B1877&amp;"",'隊員マスタ'!$F$5:$F$204,0)),IF(AK1877="","番号なし",AK1877)))</f>
        <v/>
      </c>
      <c r="D1877" s="47" t="n"/>
      <c r="E1877" s="47" t="n"/>
      <c r="F1877" s="47" t="n"/>
      <c r="G1877" s="47" t="n"/>
      <c r="H1877" s="47" t="n"/>
      <c r="I1877" s="47" t="n"/>
      <c r="J1877" s="47" t="n"/>
      <c r="K1877" s="47" t="n"/>
      <c r="L1877" s="47" t="n"/>
      <c r="M1877" s="47" t="n"/>
      <c r="N1877" s="47" t="n"/>
      <c r="O1877" s="47" t="n"/>
      <c r="P1877" s="47" t="n"/>
      <c r="Q1877" s="47" t="n"/>
      <c r="R1877" s="47" t="n"/>
      <c r="S1877" s="47" t="n"/>
      <c r="T1877" s="47" t="n"/>
      <c r="U1877" s="53" t="n"/>
      <c r="V1877" s="53" t="n"/>
      <c r="W1877" s="47" t="n"/>
      <c r="X1877" s="47" t="n"/>
      <c r="Y1877" s="47" t="n"/>
      <c r="Z1877" s="47" t="n"/>
      <c r="AA1877" s="47" t="n"/>
      <c r="AB1877" s="47" t="n"/>
      <c r="AC1877" s="47" t="n"/>
      <c r="AD1877" s="47" t="n"/>
      <c r="AE1877" s="47" t="n"/>
      <c r="AF1877" s="20">
        <f>IF(A1877="","",YEAR(EDATE(A1877,-3)))</f>
        <v/>
      </c>
      <c r="AG1877" s="20">
        <f>IF(OR(B1877="",'経歴簿'!$C$4=""),"",IF(B1877&amp;""='経歴簿'!$C$4&amp;"",MAX($AG$4:AG1876)+1,""))</f>
        <v/>
      </c>
      <c r="AH1877" s="20">
        <f>IF(A1877="",0,IF(AND(OR('CSV抽出'!$C$4="",A1877&gt;='CSV抽出'!$C$4),OR('CSV抽出'!$C$5="",A1877&lt;='CSV抽出'!$C$5),OR('CSV抽出'!$C$6="すべて",'CSV抽出'!$C$6="",D1877='CSV抽出'!$C$6),OR('CSV抽出'!$C$7="",B1877&amp;""='CSV抽出'!$C$7&amp;"")),1,0))</f>
        <v/>
      </c>
      <c r="AI1877" s="20">
        <f>IF(AH1877=1,SUM($AH$5:AH1877),"")</f>
        <v/>
      </c>
      <c r="AJ1877" s="20">
        <f>IF(OR(S1877="",'報告書'!$C$4=""),"",IF(S1877&amp;""='報告書'!$C$4&amp;"",COUNTIF($S$5:S1877,'報告書'!$C$4),""))</f>
        <v/>
      </c>
      <c r="AK1877" s="20" t="n"/>
      <c r="AL1877" s="47" t="n"/>
      <c r="AM1877" s="47" t="n"/>
      <c r="AN1877" s="53" t="n"/>
      <c r="AO1877" s="47" t="n"/>
      <c r="AP1877" s="47" t="n"/>
      <c r="AQ1877" s="47" t="n"/>
      <c r="AR1877" s="47" t="n"/>
      <c r="AS1877" s="47" t="n"/>
      <c r="AT1877" s="47" t="n"/>
      <c r="AU1877" s="47" t="n"/>
      <c r="AV1877" s="47" t="n"/>
      <c r="AW1877" s="52" t="n"/>
    </row>
    <row r="1878">
      <c r="A1878" s="48" t="n"/>
      <c r="B1878" s="52" t="n"/>
      <c r="C1878" s="47">
        <f>IF(B1878="","",IFERROR(INDEX('隊員マスタ'!$B$5:$B$204,MATCH(B1878&amp;"",'隊員マスタ'!$F$5:$F$204,0)),IF(AK1878="","番号なし",AK1878)))</f>
        <v/>
      </c>
      <c r="D1878" s="47" t="n"/>
      <c r="E1878" s="47" t="n"/>
      <c r="F1878" s="47" t="n"/>
      <c r="G1878" s="47" t="n"/>
      <c r="H1878" s="47" t="n"/>
      <c r="I1878" s="47" t="n"/>
      <c r="J1878" s="47" t="n"/>
      <c r="K1878" s="47" t="n"/>
      <c r="L1878" s="47" t="n"/>
      <c r="M1878" s="47" t="n"/>
      <c r="N1878" s="47" t="n"/>
      <c r="O1878" s="47" t="n"/>
      <c r="P1878" s="47" t="n"/>
      <c r="Q1878" s="47" t="n"/>
      <c r="R1878" s="47" t="n"/>
      <c r="S1878" s="47" t="n"/>
      <c r="T1878" s="47" t="n"/>
      <c r="U1878" s="53" t="n"/>
      <c r="V1878" s="53" t="n"/>
      <c r="W1878" s="47" t="n"/>
      <c r="X1878" s="47" t="n"/>
      <c r="Y1878" s="47" t="n"/>
      <c r="Z1878" s="47" t="n"/>
      <c r="AA1878" s="47" t="n"/>
      <c r="AB1878" s="47" t="n"/>
      <c r="AC1878" s="47" t="n"/>
      <c r="AD1878" s="47" t="n"/>
      <c r="AE1878" s="47" t="n"/>
      <c r="AF1878" s="20">
        <f>IF(A1878="","",YEAR(EDATE(A1878,-3)))</f>
        <v/>
      </c>
      <c r="AG1878" s="20">
        <f>IF(OR(B1878="",'経歴簿'!$C$4=""),"",IF(B1878&amp;""='経歴簿'!$C$4&amp;"",MAX($AG$4:AG1877)+1,""))</f>
        <v/>
      </c>
      <c r="AH1878" s="20">
        <f>IF(A1878="",0,IF(AND(OR('CSV抽出'!$C$4="",A1878&gt;='CSV抽出'!$C$4),OR('CSV抽出'!$C$5="",A1878&lt;='CSV抽出'!$C$5),OR('CSV抽出'!$C$6="すべて",'CSV抽出'!$C$6="",D1878='CSV抽出'!$C$6),OR('CSV抽出'!$C$7="",B1878&amp;""='CSV抽出'!$C$7&amp;"")),1,0))</f>
        <v/>
      </c>
      <c r="AI1878" s="20">
        <f>IF(AH1878=1,SUM($AH$5:AH1878),"")</f>
        <v/>
      </c>
      <c r="AJ1878" s="20">
        <f>IF(OR(S1878="",'報告書'!$C$4=""),"",IF(S1878&amp;""='報告書'!$C$4&amp;"",COUNTIF($S$5:S1878,'報告書'!$C$4),""))</f>
        <v/>
      </c>
      <c r="AK1878" s="20" t="n"/>
      <c r="AL1878" s="47" t="n"/>
      <c r="AM1878" s="47" t="n"/>
      <c r="AN1878" s="53" t="n"/>
      <c r="AO1878" s="47" t="n"/>
      <c r="AP1878" s="47" t="n"/>
      <c r="AQ1878" s="47" t="n"/>
      <c r="AR1878" s="47" t="n"/>
      <c r="AS1878" s="47" t="n"/>
      <c r="AT1878" s="47" t="n"/>
      <c r="AU1878" s="47" t="n"/>
      <c r="AV1878" s="47" t="n"/>
      <c r="AW1878" s="52" t="n"/>
    </row>
    <row r="1879">
      <c r="A1879" s="48" t="n"/>
      <c r="B1879" s="52" t="n"/>
      <c r="C1879" s="47">
        <f>IF(B1879="","",IFERROR(INDEX('隊員マスタ'!$B$5:$B$204,MATCH(B1879&amp;"",'隊員マスタ'!$F$5:$F$204,0)),IF(AK1879="","番号なし",AK1879)))</f>
        <v/>
      </c>
      <c r="D1879" s="47" t="n"/>
      <c r="E1879" s="47" t="n"/>
      <c r="F1879" s="47" t="n"/>
      <c r="G1879" s="47" t="n"/>
      <c r="H1879" s="47" t="n"/>
      <c r="I1879" s="47" t="n"/>
      <c r="J1879" s="47" t="n"/>
      <c r="K1879" s="47" t="n"/>
      <c r="L1879" s="47" t="n"/>
      <c r="M1879" s="47" t="n"/>
      <c r="N1879" s="47" t="n"/>
      <c r="O1879" s="47" t="n"/>
      <c r="P1879" s="47" t="n"/>
      <c r="Q1879" s="47" t="n"/>
      <c r="R1879" s="47" t="n"/>
      <c r="S1879" s="47" t="n"/>
      <c r="T1879" s="47" t="n"/>
      <c r="U1879" s="53" t="n"/>
      <c r="V1879" s="53" t="n"/>
      <c r="W1879" s="47" t="n"/>
      <c r="X1879" s="47" t="n"/>
      <c r="Y1879" s="47" t="n"/>
      <c r="Z1879" s="47" t="n"/>
      <c r="AA1879" s="47" t="n"/>
      <c r="AB1879" s="47" t="n"/>
      <c r="AC1879" s="47" t="n"/>
      <c r="AD1879" s="47" t="n"/>
      <c r="AE1879" s="47" t="n"/>
      <c r="AF1879" s="20">
        <f>IF(A1879="","",YEAR(EDATE(A1879,-3)))</f>
        <v/>
      </c>
      <c r="AG1879" s="20">
        <f>IF(OR(B1879="",'経歴簿'!$C$4=""),"",IF(B1879&amp;""='経歴簿'!$C$4&amp;"",MAX($AG$4:AG1878)+1,""))</f>
        <v/>
      </c>
      <c r="AH1879" s="20">
        <f>IF(A1879="",0,IF(AND(OR('CSV抽出'!$C$4="",A1879&gt;='CSV抽出'!$C$4),OR('CSV抽出'!$C$5="",A1879&lt;='CSV抽出'!$C$5),OR('CSV抽出'!$C$6="すべて",'CSV抽出'!$C$6="",D1879='CSV抽出'!$C$6),OR('CSV抽出'!$C$7="",B1879&amp;""='CSV抽出'!$C$7&amp;"")),1,0))</f>
        <v/>
      </c>
      <c r="AI1879" s="20">
        <f>IF(AH1879=1,SUM($AH$5:AH1879),"")</f>
        <v/>
      </c>
      <c r="AJ1879" s="20">
        <f>IF(OR(S1879="",'報告書'!$C$4=""),"",IF(S1879&amp;""='報告書'!$C$4&amp;"",COUNTIF($S$5:S1879,'報告書'!$C$4),""))</f>
        <v/>
      </c>
      <c r="AK1879" s="20" t="n"/>
      <c r="AL1879" s="47" t="n"/>
      <c r="AM1879" s="47" t="n"/>
      <c r="AN1879" s="53" t="n"/>
      <c r="AO1879" s="47" t="n"/>
      <c r="AP1879" s="47" t="n"/>
      <c r="AQ1879" s="47" t="n"/>
      <c r="AR1879" s="47" t="n"/>
      <c r="AS1879" s="47" t="n"/>
      <c r="AT1879" s="47" t="n"/>
      <c r="AU1879" s="47" t="n"/>
      <c r="AV1879" s="47" t="n"/>
      <c r="AW1879" s="52" t="n"/>
    </row>
    <row r="1880">
      <c r="A1880" s="48" t="n"/>
      <c r="B1880" s="52" t="n"/>
      <c r="C1880" s="47">
        <f>IF(B1880="","",IFERROR(INDEX('隊員マスタ'!$B$5:$B$204,MATCH(B1880&amp;"",'隊員マスタ'!$F$5:$F$204,0)),IF(AK1880="","番号なし",AK1880)))</f>
        <v/>
      </c>
      <c r="D1880" s="47" t="n"/>
      <c r="E1880" s="47" t="n"/>
      <c r="F1880" s="47" t="n"/>
      <c r="G1880" s="47" t="n"/>
      <c r="H1880" s="47" t="n"/>
      <c r="I1880" s="47" t="n"/>
      <c r="J1880" s="47" t="n"/>
      <c r="K1880" s="47" t="n"/>
      <c r="L1880" s="47" t="n"/>
      <c r="M1880" s="47" t="n"/>
      <c r="N1880" s="47" t="n"/>
      <c r="O1880" s="47" t="n"/>
      <c r="P1880" s="47" t="n"/>
      <c r="Q1880" s="47" t="n"/>
      <c r="R1880" s="47" t="n"/>
      <c r="S1880" s="47" t="n"/>
      <c r="T1880" s="47" t="n"/>
      <c r="U1880" s="53" t="n"/>
      <c r="V1880" s="53" t="n"/>
      <c r="W1880" s="47" t="n"/>
      <c r="X1880" s="47" t="n"/>
      <c r="Y1880" s="47" t="n"/>
      <c r="Z1880" s="47" t="n"/>
      <c r="AA1880" s="47" t="n"/>
      <c r="AB1880" s="47" t="n"/>
      <c r="AC1880" s="47" t="n"/>
      <c r="AD1880" s="47" t="n"/>
      <c r="AE1880" s="47" t="n"/>
      <c r="AF1880" s="20">
        <f>IF(A1880="","",YEAR(EDATE(A1880,-3)))</f>
        <v/>
      </c>
      <c r="AG1880" s="20">
        <f>IF(OR(B1880="",'経歴簿'!$C$4=""),"",IF(B1880&amp;""='経歴簿'!$C$4&amp;"",MAX($AG$4:AG1879)+1,""))</f>
        <v/>
      </c>
      <c r="AH1880" s="20">
        <f>IF(A1880="",0,IF(AND(OR('CSV抽出'!$C$4="",A1880&gt;='CSV抽出'!$C$4),OR('CSV抽出'!$C$5="",A1880&lt;='CSV抽出'!$C$5),OR('CSV抽出'!$C$6="すべて",'CSV抽出'!$C$6="",D1880='CSV抽出'!$C$6),OR('CSV抽出'!$C$7="",B1880&amp;""='CSV抽出'!$C$7&amp;"")),1,0))</f>
        <v/>
      </c>
      <c r="AI1880" s="20">
        <f>IF(AH1880=1,SUM($AH$5:AH1880),"")</f>
        <v/>
      </c>
      <c r="AJ1880" s="20">
        <f>IF(OR(S1880="",'報告書'!$C$4=""),"",IF(S1880&amp;""='報告書'!$C$4&amp;"",COUNTIF($S$5:S1880,'報告書'!$C$4),""))</f>
        <v/>
      </c>
      <c r="AK1880" s="20" t="n"/>
      <c r="AL1880" s="47" t="n"/>
      <c r="AM1880" s="47" t="n"/>
      <c r="AN1880" s="53" t="n"/>
      <c r="AO1880" s="47" t="n"/>
      <c r="AP1880" s="47" t="n"/>
      <c r="AQ1880" s="47" t="n"/>
      <c r="AR1880" s="47" t="n"/>
      <c r="AS1880" s="47" t="n"/>
      <c r="AT1880" s="47" t="n"/>
      <c r="AU1880" s="47" t="n"/>
      <c r="AV1880" s="47" t="n"/>
      <c r="AW1880" s="52" t="n"/>
    </row>
    <row r="1881">
      <c r="A1881" s="48" t="n"/>
      <c r="B1881" s="52" t="n"/>
      <c r="C1881" s="47">
        <f>IF(B1881="","",IFERROR(INDEX('隊員マスタ'!$B$5:$B$204,MATCH(B1881&amp;"",'隊員マスタ'!$F$5:$F$204,0)),IF(AK1881="","番号なし",AK1881)))</f>
        <v/>
      </c>
      <c r="D1881" s="47" t="n"/>
      <c r="E1881" s="47" t="n"/>
      <c r="F1881" s="47" t="n"/>
      <c r="G1881" s="47" t="n"/>
      <c r="H1881" s="47" t="n"/>
      <c r="I1881" s="47" t="n"/>
      <c r="J1881" s="47" t="n"/>
      <c r="K1881" s="47" t="n"/>
      <c r="L1881" s="47" t="n"/>
      <c r="M1881" s="47" t="n"/>
      <c r="N1881" s="47" t="n"/>
      <c r="O1881" s="47" t="n"/>
      <c r="P1881" s="47" t="n"/>
      <c r="Q1881" s="47" t="n"/>
      <c r="R1881" s="47" t="n"/>
      <c r="S1881" s="47" t="n"/>
      <c r="T1881" s="47" t="n"/>
      <c r="U1881" s="53" t="n"/>
      <c r="V1881" s="53" t="n"/>
      <c r="W1881" s="47" t="n"/>
      <c r="X1881" s="47" t="n"/>
      <c r="Y1881" s="47" t="n"/>
      <c r="Z1881" s="47" t="n"/>
      <c r="AA1881" s="47" t="n"/>
      <c r="AB1881" s="47" t="n"/>
      <c r="AC1881" s="47" t="n"/>
      <c r="AD1881" s="47" t="n"/>
      <c r="AE1881" s="47" t="n"/>
      <c r="AF1881" s="20">
        <f>IF(A1881="","",YEAR(EDATE(A1881,-3)))</f>
        <v/>
      </c>
      <c r="AG1881" s="20">
        <f>IF(OR(B1881="",'経歴簿'!$C$4=""),"",IF(B1881&amp;""='経歴簿'!$C$4&amp;"",MAX($AG$4:AG1880)+1,""))</f>
        <v/>
      </c>
      <c r="AH1881" s="20">
        <f>IF(A1881="",0,IF(AND(OR('CSV抽出'!$C$4="",A1881&gt;='CSV抽出'!$C$4),OR('CSV抽出'!$C$5="",A1881&lt;='CSV抽出'!$C$5),OR('CSV抽出'!$C$6="すべて",'CSV抽出'!$C$6="",D1881='CSV抽出'!$C$6),OR('CSV抽出'!$C$7="",B1881&amp;""='CSV抽出'!$C$7&amp;"")),1,0))</f>
        <v/>
      </c>
      <c r="AI1881" s="20">
        <f>IF(AH1881=1,SUM($AH$5:AH1881),"")</f>
        <v/>
      </c>
      <c r="AJ1881" s="20">
        <f>IF(OR(S1881="",'報告書'!$C$4=""),"",IF(S1881&amp;""='報告書'!$C$4&amp;"",COUNTIF($S$5:S1881,'報告書'!$C$4),""))</f>
        <v/>
      </c>
      <c r="AK1881" s="20" t="n"/>
      <c r="AL1881" s="47" t="n"/>
      <c r="AM1881" s="47" t="n"/>
      <c r="AN1881" s="53" t="n"/>
      <c r="AO1881" s="47" t="n"/>
      <c r="AP1881" s="47" t="n"/>
      <c r="AQ1881" s="47" t="n"/>
      <c r="AR1881" s="47" t="n"/>
      <c r="AS1881" s="47" t="n"/>
      <c r="AT1881" s="47" t="n"/>
      <c r="AU1881" s="47" t="n"/>
      <c r="AV1881" s="47" t="n"/>
      <c r="AW1881" s="52" t="n"/>
    </row>
    <row r="1882">
      <c r="A1882" s="48" t="n"/>
      <c r="B1882" s="52" t="n"/>
      <c r="C1882" s="47">
        <f>IF(B1882="","",IFERROR(INDEX('隊員マスタ'!$B$5:$B$204,MATCH(B1882&amp;"",'隊員マスタ'!$F$5:$F$204,0)),IF(AK1882="","番号なし",AK1882)))</f>
        <v/>
      </c>
      <c r="D1882" s="47" t="n"/>
      <c r="E1882" s="47" t="n"/>
      <c r="F1882" s="47" t="n"/>
      <c r="G1882" s="47" t="n"/>
      <c r="H1882" s="47" t="n"/>
      <c r="I1882" s="47" t="n"/>
      <c r="J1882" s="47" t="n"/>
      <c r="K1882" s="47" t="n"/>
      <c r="L1882" s="47" t="n"/>
      <c r="M1882" s="47" t="n"/>
      <c r="N1882" s="47" t="n"/>
      <c r="O1882" s="47" t="n"/>
      <c r="P1882" s="47" t="n"/>
      <c r="Q1882" s="47" t="n"/>
      <c r="R1882" s="47" t="n"/>
      <c r="S1882" s="47" t="n"/>
      <c r="T1882" s="47" t="n"/>
      <c r="U1882" s="53" t="n"/>
      <c r="V1882" s="53" t="n"/>
      <c r="W1882" s="47" t="n"/>
      <c r="X1882" s="47" t="n"/>
      <c r="Y1882" s="47" t="n"/>
      <c r="Z1882" s="47" t="n"/>
      <c r="AA1882" s="47" t="n"/>
      <c r="AB1882" s="47" t="n"/>
      <c r="AC1882" s="47" t="n"/>
      <c r="AD1882" s="47" t="n"/>
      <c r="AE1882" s="47" t="n"/>
      <c r="AF1882" s="20">
        <f>IF(A1882="","",YEAR(EDATE(A1882,-3)))</f>
        <v/>
      </c>
      <c r="AG1882" s="20">
        <f>IF(OR(B1882="",'経歴簿'!$C$4=""),"",IF(B1882&amp;""='経歴簿'!$C$4&amp;"",MAX($AG$4:AG1881)+1,""))</f>
        <v/>
      </c>
      <c r="AH1882" s="20">
        <f>IF(A1882="",0,IF(AND(OR('CSV抽出'!$C$4="",A1882&gt;='CSV抽出'!$C$4),OR('CSV抽出'!$C$5="",A1882&lt;='CSV抽出'!$C$5),OR('CSV抽出'!$C$6="すべて",'CSV抽出'!$C$6="",D1882='CSV抽出'!$C$6),OR('CSV抽出'!$C$7="",B1882&amp;""='CSV抽出'!$C$7&amp;"")),1,0))</f>
        <v/>
      </c>
      <c r="AI1882" s="20">
        <f>IF(AH1882=1,SUM($AH$5:AH1882),"")</f>
        <v/>
      </c>
      <c r="AJ1882" s="20">
        <f>IF(OR(S1882="",'報告書'!$C$4=""),"",IF(S1882&amp;""='報告書'!$C$4&amp;"",COUNTIF($S$5:S1882,'報告書'!$C$4),""))</f>
        <v/>
      </c>
      <c r="AK1882" s="20" t="n"/>
      <c r="AL1882" s="47" t="n"/>
      <c r="AM1882" s="47" t="n"/>
      <c r="AN1882" s="53" t="n"/>
      <c r="AO1882" s="47" t="n"/>
      <c r="AP1882" s="47" t="n"/>
      <c r="AQ1882" s="47" t="n"/>
      <c r="AR1882" s="47" t="n"/>
      <c r="AS1882" s="47" t="n"/>
      <c r="AT1882" s="47" t="n"/>
      <c r="AU1882" s="47" t="n"/>
      <c r="AV1882" s="47" t="n"/>
      <c r="AW1882" s="52" t="n"/>
    </row>
    <row r="1883">
      <c r="A1883" s="48" t="n"/>
      <c r="B1883" s="52" t="n"/>
      <c r="C1883" s="47">
        <f>IF(B1883="","",IFERROR(INDEX('隊員マスタ'!$B$5:$B$204,MATCH(B1883&amp;"",'隊員マスタ'!$F$5:$F$204,0)),IF(AK1883="","番号なし",AK1883)))</f>
        <v/>
      </c>
      <c r="D1883" s="47" t="n"/>
      <c r="E1883" s="47" t="n"/>
      <c r="F1883" s="47" t="n"/>
      <c r="G1883" s="47" t="n"/>
      <c r="H1883" s="47" t="n"/>
      <c r="I1883" s="47" t="n"/>
      <c r="J1883" s="47" t="n"/>
      <c r="K1883" s="47" t="n"/>
      <c r="L1883" s="47" t="n"/>
      <c r="M1883" s="47" t="n"/>
      <c r="N1883" s="47" t="n"/>
      <c r="O1883" s="47" t="n"/>
      <c r="P1883" s="47" t="n"/>
      <c r="Q1883" s="47" t="n"/>
      <c r="R1883" s="47" t="n"/>
      <c r="S1883" s="47" t="n"/>
      <c r="T1883" s="47" t="n"/>
      <c r="U1883" s="53" t="n"/>
      <c r="V1883" s="53" t="n"/>
      <c r="W1883" s="47" t="n"/>
      <c r="X1883" s="47" t="n"/>
      <c r="Y1883" s="47" t="n"/>
      <c r="Z1883" s="47" t="n"/>
      <c r="AA1883" s="47" t="n"/>
      <c r="AB1883" s="47" t="n"/>
      <c r="AC1883" s="47" t="n"/>
      <c r="AD1883" s="47" t="n"/>
      <c r="AE1883" s="47" t="n"/>
      <c r="AF1883" s="20">
        <f>IF(A1883="","",YEAR(EDATE(A1883,-3)))</f>
        <v/>
      </c>
      <c r="AG1883" s="20">
        <f>IF(OR(B1883="",'経歴簿'!$C$4=""),"",IF(B1883&amp;""='経歴簿'!$C$4&amp;"",MAX($AG$4:AG1882)+1,""))</f>
        <v/>
      </c>
      <c r="AH1883" s="20">
        <f>IF(A1883="",0,IF(AND(OR('CSV抽出'!$C$4="",A1883&gt;='CSV抽出'!$C$4),OR('CSV抽出'!$C$5="",A1883&lt;='CSV抽出'!$C$5),OR('CSV抽出'!$C$6="すべて",'CSV抽出'!$C$6="",D1883='CSV抽出'!$C$6),OR('CSV抽出'!$C$7="",B1883&amp;""='CSV抽出'!$C$7&amp;"")),1,0))</f>
        <v/>
      </c>
      <c r="AI1883" s="20">
        <f>IF(AH1883=1,SUM($AH$5:AH1883),"")</f>
        <v/>
      </c>
      <c r="AJ1883" s="20">
        <f>IF(OR(S1883="",'報告書'!$C$4=""),"",IF(S1883&amp;""='報告書'!$C$4&amp;"",COUNTIF($S$5:S1883,'報告書'!$C$4),""))</f>
        <v/>
      </c>
      <c r="AK1883" s="20" t="n"/>
      <c r="AL1883" s="47" t="n"/>
      <c r="AM1883" s="47" t="n"/>
      <c r="AN1883" s="53" t="n"/>
      <c r="AO1883" s="47" t="n"/>
      <c r="AP1883" s="47" t="n"/>
      <c r="AQ1883" s="47" t="n"/>
      <c r="AR1883" s="47" t="n"/>
      <c r="AS1883" s="47" t="n"/>
      <c r="AT1883" s="47" t="n"/>
      <c r="AU1883" s="47" t="n"/>
      <c r="AV1883" s="47" t="n"/>
      <c r="AW1883" s="52" t="n"/>
    </row>
    <row r="1884">
      <c r="A1884" s="48" t="n"/>
      <c r="B1884" s="52" t="n"/>
      <c r="C1884" s="47">
        <f>IF(B1884="","",IFERROR(INDEX('隊員マスタ'!$B$5:$B$204,MATCH(B1884&amp;"",'隊員マスタ'!$F$5:$F$204,0)),IF(AK1884="","番号なし",AK1884)))</f>
        <v/>
      </c>
      <c r="D1884" s="47" t="n"/>
      <c r="E1884" s="47" t="n"/>
      <c r="F1884" s="47" t="n"/>
      <c r="G1884" s="47" t="n"/>
      <c r="H1884" s="47" t="n"/>
      <c r="I1884" s="47" t="n"/>
      <c r="J1884" s="47" t="n"/>
      <c r="K1884" s="47" t="n"/>
      <c r="L1884" s="47" t="n"/>
      <c r="M1884" s="47" t="n"/>
      <c r="N1884" s="47" t="n"/>
      <c r="O1884" s="47" t="n"/>
      <c r="P1884" s="47" t="n"/>
      <c r="Q1884" s="47" t="n"/>
      <c r="R1884" s="47" t="n"/>
      <c r="S1884" s="47" t="n"/>
      <c r="T1884" s="47" t="n"/>
      <c r="U1884" s="53" t="n"/>
      <c r="V1884" s="53" t="n"/>
      <c r="W1884" s="47" t="n"/>
      <c r="X1884" s="47" t="n"/>
      <c r="Y1884" s="47" t="n"/>
      <c r="Z1884" s="47" t="n"/>
      <c r="AA1884" s="47" t="n"/>
      <c r="AB1884" s="47" t="n"/>
      <c r="AC1884" s="47" t="n"/>
      <c r="AD1884" s="47" t="n"/>
      <c r="AE1884" s="47" t="n"/>
      <c r="AF1884" s="20">
        <f>IF(A1884="","",YEAR(EDATE(A1884,-3)))</f>
        <v/>
      </c>
      <c r="AG1884" s="20">
        <f>IF(OR(B1884="",'経歴簿'!$C$4=""),"",IF(B1884&amp;""='経歴簿'!$C$4&amp;"",MAX($AG$4:AG1883)+1,""))</f>
        <v/>
      </c>
      <c r="AH1884" s="20">
        <f>IF(A1884="",0,IF(AND(OR('CSV抽出'!$C$4="",A1884&gt;='CSV抽出'!$C$4),OR('CSV抽出'!$C$5="",A1884&lt;='CSV抽出'!$C$5),OR('CSV抽出'!$C$6="すべて",'CSV抽出'!$C$6="",D1884='CSV抽出'!$C$6),OR('CSV抽出'!$C$7="",B1884&amp;""='CSV抽出'!$C$7&amp;"")),1,0))</f>
        <v/>
      </c>
      <c r="AI1884" s="20">
        <f>IF(AH1884=1,SUM($AH$5:AH1884),"")</f>
        <v/>
      </c>
      <c r="AJ1884" s="20">
        <f>IF(OR(S1884="",'報告書'!$C$4=""),"",IF(S1884&amp;""='報告書'!$C$4&amp;"",COUNTIF($S$5:S1884,'報告書'!$C$4),""))</f>
        <v/>
      </c>
      <c r="AK1884" s="20" t="n"/>
      <c r="AL1884" s="47" t="n"/>
      <c r="AM1884" s="47" t="n"/>
      <c r="AN1884" s="53" t="n"/>
      <c r="AO1884" s="47" t="n"/>
      <c r="AP1884" s="47" t="n"/>
      <c r="AQ1884" s="47" t="n"/>
      <c r="AR1884" s="47" t="n"/>
      <c r="AS1884" s="47" t="n"/>
      <c r="AT1884" s="47" t="n"/>
      <c r="AU1884" s="47" t="n"/>
      <c r="AV1884" s="47" t="n"/>
      <c r="AW1884" s="52" t="n"/>
    </row>
    <row r="1885">
      <c r="A1885" s="48" t="n"/>
      <c r="B1885" s="52" t="n"/>
      <c r="C1885" s="47">
        <f>IF(B1885="","",IFERROR(INDEX('隊員マスタ'!$B$5:$B$204,MATCH(B1885&amp;"",'隊員マスタ'!$F$5:$F$204,0)),IF(AK1885="","番号なし",AK1885)))</f>
        <v/>
      </c>
      <c r="D1885" s="47" t="n"/>
      <c r="E1885" s="47" t="n"/>
      <c r="F1885" s="47" t="n"/>
      <c r="G1885" s="47" t="n"/>
      <c r="H1885" s="47" t="n"/>
      <c r="I1885" s="47" t="n"/>
      <c r="J1885" s="47" t="n"/>
      <c r="K1885" s="47" t="n"/>
      <c r="L1885" s="47" t="n"/>
      <c r="M1885" s="47" t="n"/>
      <c r="N1885" s="47" t="n"/>
      <c r="O1885" s="47" t="n"/>
      <c r="P1885" s="47" t="n"/>
      <c r="Q1885" s="47" t="n"/>
      <c r="R1885" s="47" t="n"/>
      <c r="S1885" s="47" t="n"/>
      <c r="T1885" s="47" t="n"/>
      <c r="U1885" s="53" t="n"/>
      <c r="V1885" s="53" t="n"/>
      <c r="W1885" s="47" t="n"/>
      <c r="X1885" s="47" t="n"/>
      <c r="Y1885" s="47" t="n"/>
      <c r="Z1885" s="47" t="n"/>
      <c r="AA1885" s="47" t="n"/>
      <c r="AB1885" s="47" t="n"/>
      <c r="AC1885" s="47" t="n"/>
      <c r="AD1885" s="47" t="n"/>
      <c r="AE1885" s="47" t="n"/>
      <c r="AF1885" s="20">
        <f>IF(A1885="","",YEAR(EDATE(A1885,-3)))</f>
        <v/>
      </c>
      <c r="AG1885" s="20">
        <f>IF(OR(B1885="",'経歴簿'!$C$4=""),"",IF(B1885&amp;""='経歴簿'!$C$4&amp;"",MAX($AG$4:AG1884)+1,""))</f>
        <v/>
      </c>
      <c r="AH1885" s="20">
        <f>IF(A1885="",0,IF(AND(OR('CSV抽出'!$C$4="",A1885&gt;='CSV抽出'!$C$4),OR('CSV抽出'!$C$5="",A1885&lt;='CSV抽出'!$C$5),OR('CSV抽出'!$C$6="すべて",'CSV抽出'!$C$6="",D1885='CSV抽出'!$C$6),OR('CSV抽出'!$C$7="",B1885&amp;""='CSV抽出'!$C$7&amp;"")),1,0))</f>
        <v/>
      </c>
      <c r="AI1885" s="20">
        <f>IF(AH1885=1,SUM($AH$5:AH1885),"")</f>
        <v/>
      </c>
      <c r="AJ1885" s="20">
        <f>IF(OR(S1885="",'報告書'!$C$4=""),"",IF(S1885&amp;""='報告書'!$C$4&amp;"",COUNTIF($S$5:S1885,'報告書'!$C$4),""))</f>
        <v/>
      </c>
      <c r="AK1885" s="20" t="n"/>
      <c r="AL1885" s="47" t="n"/>
      <c r="AM1885" s="47" t="n"/>
      <c r="AN1885" s="53" t="n"/>
      <c r="AO1885" s="47" t="n"/>
      <c r="AP1885" s="47" t="n"/>
      <c r="AQ1885" s="47" t="n"/>
      <c r="AR1885" s="47" t="n"/>
      <c r="AS1885" s="47" t="n"/>
      <c r="AT1885" s="47" t="n"/>
      <c r="AU1885" s="47" t="n"/>
      <c r="AV1885" s="47" t="n"/>
      <c r="AW1885" s="52" t="n"/>
    </row>
    <row r="1886">
      <c r="A1886" s="48" t="n"/>
      <c r="B1886" s="52" t="n"/>
      <c r="C1886" s="47">
        <f>IF(B1886="","",IFERROR(INDEX('隊員マスタ'!$B$5:$B$204,MATCH(B1886&amp;"",'隊員マスタ'!$F$5:$F$204,0)),IF(AK1886="","番号なし",AK1886)))</f>
        <v/>
      </c>
      <c r="D1886" s="47" t="n"/>
      <c r="E1886" s="47" t="n"/>
      <c r="F1886" s="47" t="n"/>
      <c r="G1886" s="47" t="n"/>
      <c r="H1886" s="47" t="n"/>
      <c r="I1886" s="47" t="n"/>
      <c r="J1886" s="47" t="n"/>
      <c r="K1886" s="47" t="n"/>
      <c r="L1886" s="47" t="n"/>
      <c r="M1886" s="47" t="n"/>
      <c r="N1886" s="47" t="n"/>
      <c r="O1886" s="47" t="n"/>
      <c r="P1886" s="47" t="n"/>
      <c r="Q1886" s="47" t="n"/>
      <c r="R1886" s="47" t="n"/>
      <c r="S1886" s="47" t="n"/>
      <c r="T1886" s="47" t="n"/>
      <c r="U1886" s="53" t="n"/>
      <c r="V1886" s="53" t="n"/>
      <c r="W1886" s="47" t="n"/>
      <c r="X1886" s="47" t="n"/>
      <c r="Y1886" s="47" t="n"/>
      <c r="Z1886" s="47" t="n"/>
      <c r="AA1886" s="47" t="n"/>
      <c r="AB1886" s="47" t="n"/>
      <c r="AC1886" s="47" t="n"/>
      <c r="AD1886" s="47" t="n"/>
      <c r="AE1886" s="47" t="n"/>
      <c r="AF1886" s="20">
        <f>IF(A1886="","",YEAR(EDATE(A1886,-3)))</f>
        <v/>
      </c>
      <c r="AG1886" s="20">
        <f>IF(OR(B1886="",'経歴簿'!$C$4=""),"",IF(B1886&amp;""='経歴簿'!$C$4&amp;"",MAX($AG$4:AG1885)+1,""))</f>
        <v/>
      </c>
      <c r="AH1886" s="20">
        <f>IF(A1886="",0,IF(AND(OR('CSV抽出'!$C$4="",A1886&gt;='CSV抽出'!$C$4),OR('CSV抽出'!$C$5="",A1886&lt;='CSV抽出'!$C$5),OR('CSV抽出'!$C$6="すべて",'CSV抽出'!$C$6="",D1886='CSV抽出'!$C$6),OR('CSV抽出'!$C$7="",B1886&amp;""='CSV抽出'!$C$7&amp;"")),1,0))</f>
        <v/>
      </c>
      <c r="AI1886" s="20">
        <f>IF(AH1886=1,SUM($AH$5:AH1886),"")</f>
        <v/>
      </c>
      <c r="AJ1886" s="20">
        <f>IF(OR(S1886="",'報告書'!$C$4=""),"",IF(S1886&amp;""='報告書'!$C$4&amp;"",COUNTIF($S$5:S1886,'報告書'!$C$4),""))</f>
        <v/>
      </c>
      <c r="AK1886" s="20" t="n"/>
      <c r="AL1886" s="47" t="n"/>
      <c r="AM1886" s="47" t="n"/>
      <c r="AN1886" s="53" t="n"/>
      <c r="AO1886" s="47" t="n"/>
      <c r="AP1886" s="47" t="n"/>
      <c r="AQ1886" s="47" t="n"/>
      <c r="AR1886" s="47" t="n"/>
      <c r="AS1886" s="47" t="n"/>
      <c r="AT1886" s="47" t="n"/>
      <c r="AU1886" s="47" t="n"/>
      <c r="AV1886" s="47" t="n"/>
      <c r="AW1886" s="52" t="n"/>
    </row>
    <row r="1887">
      <c r="A1887" s="48" t="n"/>
      <c r="B1887" s="52" t="n"/>
      <c r="C1887" s="47">
        <f>IF(B1887="","",IFERROR(INDEX('隊員マスタ'!$B$5:$B$204,MATCH(B1887&amp;"",'隊員マスタ'!$F$5:$F$204,0)),IF(AK1887="","番号なし",AK1887)))</f>
        <v/>
      </c>
      <c r="D1887" s="47" t="n"/>
      <c r="E1887" s="47" t="n"/>
      <c r="F1887" s="47" t="n"/>
      <c r="G1887" s="47" t="n"/>
      <c r="H1887" s="47" t="n"/>
      <c r="I1887" s="47" t="n"/>
      <c r="J1887" s="47" t="n"/>
      <c r="K1887" s="47" t="n"/>
      <c r="L1887" s="47" t="n"/>
      <c r="M1887" s="47" t="n"/>
      <c r="N1887" s="47" t="n"/>
      <c r="O1887" s="47" t="n"/>
      <c r="P1887" s="47" t="n"/>
      <c r="Q1887" s="47" t="n"/>
      <c r="R1887" s="47" t="n"/>
      <c r="S1887" s="47" t="n"/>
      <c r="T1887" s="47" t="n"/>
      <c r="U1887" s="53" t="n"/>
      <c r="V1887" s="53" t="n"/>
      <c r="W1887" s="47" t="n"/>
      <c r="X1887" s="47" t="n"/>
      <c r="Y1887" s="47" t="n"/>
      <c r="Z1887" s="47" t="n"/>
      <c r="AA1887" s="47" t="n"/>
      <c r="AB1887" s="47" t="n"/>
      <c r="AC1887" s="47" t="n"/>
      <c r="AD1887" s="47" t="n"/>
      <c r="AE1887" s="47" t="n"/>
      <c r="AF1887" s="20">
        <f>IF(A1887="","",YEAR(EDATE(A1887,-3)))</f>
        <v/>
      </c>
      <c r="AG1887" s="20">
        <f>IF(OR(B1887="",'経歴簿'!$C$4=""),"",IF(B1887&amp;""='経歴簿'!$C$4&amp;"",MAX($AG$4:AG1886)+1,""))</f>
        <v/>
      </c>
      <c r="AH1887" s="20">
        <f>IF(A1887="",0,IF(AND(OR('CSV抽出'!$C$4="",A1887&gt;='CSV抽出'!$C$4),OR('CSV抽出'!$C$5="",A1887&lt;='CSV抽出'!$C$5),OR('CSV抽出'!$C$6="すべて",'CSV抽出'!$C$6="",D1887='CSV抽出'!$C$6),OR('CSV抽出'!$C$7="",B1887&amp;""='CSV抽出'!$C$7&amp;"")),1,0))</f>
        <v/>
      </c>
      <c r="AI1887" s="20">
        <f>IF(AH1887=1,SUM($AH$5:AH1887),"")</f>
        <v/>
      </c>
      <c r="AJ1887" s="20">
        <f>IF(OR(S1887="",'報告書'!$C$4=""),"",IF(S1887&amp;""='報告書'!$C$4&amp;"",COUNTIF($S$5:S1887,'報告書'!$C$4),""))</f>
        <v/>
      </c>
      <c r="AK1887" s="20" t="n"/>
      <c r="AL1887" s="47" t="n"/>
      <c r="AM1887" s="47" t="n"/>
      <c r="AN1887" s="53" t="n"/>
      <c r="AO1887" s="47" t="n"/>
      <c r="AP1887" s="47" t="n"/>
      <c r="AQ1887" s="47" t="n"/>
      <c r="AR1887" s="47" t="n"/>
      <c r="AS1887" s="47" t="n"/>
      <c r="AT1887" s="47" t="n"/>
      <c r="AU1887" s="47" t="n"/>
      <c r="AV1887" s="47" t="n"/>
      <c r="AW1887" s="52" t="n"/>
    </row>
    <row r="1888">
      <c r="A1888" s="48" t="n"/>
      <c r="B1888" s="52" t="n"/>
      <c r="C1888" s="47">
        <f>IF(B1888="","",IFERROR(INDEX('隊員マスタ'!$B$5:$B$204,MATCH(B1888&amp;"",'隊員マスタ'!$F$5:$F$204,0)),IF(AK1888="","番号なし",AK1888)))</f>
        <v/>
      </c>
      <c r="D1888" s="47" t="n"/>
      <c r="E1888" s="47" t="n"/>
      <c r="F1888" s="47" t="n"/>
      <c r="G1888" s="47" t="n"/>
      <c r="H1888" s="47" t="n"/>
      <c r="I1888" s="47" t="n"/>
      <c r="J1888" s="47" t="n"/>
      <c r="K1888" s="47" t="n"/>
      <c r="L1888" s="47" t="n"/>
      <c r="M1888" s="47" t="n"/>
      <c r="N1888" s="47" t="n"/>
      <c r="O1888" s="47" t="n"/>
      <c r="P1888" s="47" t="n"/>
      <c r="Q1888" s="47" t="n"/>
      <c r="R1888" s="47" t="n"/>
      <c r="S1888" s="47" t="n"/>
      <c r="T1888" s="47" t="n"/>
      <c r="U1888" s="53" t="n"/>
      <c r="V1888" s="53" t="n"/>
      <c r="W1888" s="47" t="n"/>
      <c r="X1888" s="47" t="n"/>
      <c r="Y1888" s="47" t="n"/>
      <c r="Z1888" s="47" t="n"/>
      <c r="AA1888" s="47" t="n"/>
      <c r="AB1888" s="47" t="n"/>
      <c r="AC1888" s="47" t="n"/>
      <c r="AD1888" s="47" t="n"/>
      <c r="AE1888" s="47" t="n"/>
      <c r="AF1888" s="20">
        <f>IF(A1888="","",YEAR(EDATE(A1888,-3)))</f>
        <v/>
      </c>
      <c r="AG1888" s="20">
        <f>IF(OR(B1888="",'経歴簿'!$C$4=""),"",IF(B1888&amp;""='経歴簿'!$C$4&amp;"",MAX($AG$4:AG1887)+1,""))</f>
        <v/>
      </c>
      <c r="AH1888" s="20">
        <f>IF(A1888="",0,IF(AND(OR('CSV抽出'!$C$4="",A1888&gt;='CSV抽出'!$C$4),OR('CSV抽出'!$C$5="",A1888&lt;='CSV抽出'!$C$5),OR('CSV抽出'!$C$6="すべて",'CSV抽出'!$C$6="",D1888='CSV抽出'!$C$6),OR('CSV抽出'!$C$7="",B1888&amp;""='CSV抽出'!$C$7&amp;"")),1,0))</f>
        <v/>
      </c>
      <c r="AI1888" s="20">
        <f>IF(AH1888=1,SUM($AH$5:AH1888),"")</f>
        <v/>
      </c>
      <c r="AJ1888" s="20">
        <f>IF(OR(S1888="",'報告書'!$C$4=""),"",IF(S1888&amp;""='報告書'!$C$4&amp;"",COUNTIF($S$5:S1888,'報告書'!$C$4),""))</f>
        <v/>
      </c>
      <c r="AK1888" s="20" t="n"/>
      <c r="AL1888" s="47" t="n"/>
      <c r="AM1888" s="47" t="n"/>
      <c r="AN1888" s="53" t="n"/>
      <c r="AO1888" s="47" t="n"/>
      <c r="AP1888" s="47" t="n"/>
      <c r="AQ1888" s="47" t="n"/>
      <c r="AR1888" s="47" t="n"/>
      <c r="AS1888" s="47" t="n"/>
      <c r="AT1888" s="47" t="n"/>
      <c r="AU1888" s="47" t="n"/>
      <c r="AV1888" s="47" t="n"/>
      <c r="AW1888" s="52" t="n"/>
    </row>
    <row r="1889">
      <c r="A1889" s="48" t="n"/>
      <c r="B1889" s="52" t="n"/>
      <c r="C1889" s="47">
        <f>IF(B1889="","",IFERROR(INDEX('隊員マスタ'!$B$5:$B$204,MATCH(B1889&amp;"",'隊員マスタ'!$F$5:$F$204,0)),IF(AK1889="","番号なし",AK1889)))</f>
        <v/>
      </c>
      <c r="D1889" s="47" t="n"/>
      <c r="E1889" s="47" t="n"/>
      <c r="F1889" s="47" t="n"/>
      <c r="G1889" s="47" t="n"/>
      <c r="H1889" s="47" t="n"/>
      <c r="I1889" s="47" t="n"/>
      <c r="J1889" s="47" t="n"/>
      <c r="K1889" s="47" t="n"/>
      <c r="L1889" s="47" t="n"/>
      <c r="M1889" s="47" t="n"/>
      <c r="N1889" s="47" t="n"/>
      <c r="O1889" s="47" t="n"/>
      <c r="P1889" s="47" t="n"/>
      <c r="Q1889" s="47" t="n"/>
      <c r="R1889" s="47" t="n"/>
      <c r="S1889" s="47" t="n"/>
      <c r="T1889" s="47" t="n"/>
      <c r="U1889" s="53" t="n"/>
      <c r="V1889" s="53" t="n"/>
      <c r="W1889" s="47" t="n"/>
      <c r="X1889" s="47" t="n"/>
      <c r="Y1889" s="47" t="n"/>
      <c r="Z1889" s="47" t="n"/>
      <c r="AA1889" s="47" t="n"/>
      <c r="AB1889" s="47" t="n"/>
      <c r="AC1889" s="47" t="n"/>
      <c r="AD1889" s="47" t="n"/>
      <c r="AE1889" s="47" t="n"/>
      <c r="AF1889" s="20">
        <f>IF(A1889="","",YEAR(EDATE(A1889,-3)))</f>
        <v/>
      </c>
      <c r="AG1889" s="20">
        <f>IF(OR(B1889="",'経歴簿'!$C$4=""),"",IF(B1889&amp;""='経歴簿'!$C$4&amp;"",MAX($AG$4:AG1888)+1,""))</f>
        <v/>
      </c>
      <c r="AH1889" s="20">
        <f>IF(A1889="",0,IF(AND(OR('CSV抽出'!$C$4="",A1889&gt;='CSV抽出'!$C$4),OR('CSV抽出'!$C$5="",A1889&lt;='CSV抽出'!$C$5),OR('CSV抽出'!$C$6="すべて",'CSV抽出'!$C$6="",D1889='CSV抽出'!$C$6),OR('CSV抽出'!$C$7="",B1889&amp;""='CSV抽出'!$C$7&amp;"")),1,0))</f>
        <v/>
      </c>
      <c r="AI1889" s="20">
        <f>IF(AH1889=1,SUM($AH$5:AH1889),"")</f>
        <v/>
      </c>
      <c r="AJ1889" s="20">
        <f>IF(OR(S1889="",'報告書'!$C$4=""),"",IF(S1889&amp;""='報告書'!$C$4&amp;"",COUNTIF($S$5:S1889,'報告書'!$C$4),""))</f>
        <v/>
      </c>
      <c r="AK1889" s="20" t="n"/>
      <c r="AL1889" s="47" t="n"/>
      <c r="AM1889" s="47" t="n"/>
      <c r="AN1889" s="53" t="n"/>
      <c r="AO1889" s="47" t="n"/>
      <c r="AP1889" s="47" t="n"/>
      <c r="AQ1889" s="47" t="n"/>
      <c r="AR1889" s="47" t="n"/>
      <c r="AS1889" s="47" t="n"/>
      <c r="AT1889" s="47" t="n"/>
      <c r="AU1889" s="47" t="n"/>
      <c r="AV1889" s="47" t="n"/>
      <c r="AW1889" s="52" t="n"/>
    </row>
    <row r="1890">
      <c r="A1890" s="48" t="n"/>
      <c r="B1890" s="52" t="n"/>
      <c r="C1890" s="47">
        <f>IF(B1890="","",IFERROR(INDEX('隊員マスタ'!$B$5:$B$204,MATCH(B1890&amp;"",'隊員マスタ'!$F$5:$F$204,0)),IF(AK1890="","番号なし",AK1890)))</f>
        <v/>
      </c>
      <c r="D1890" s="47" t="n"/>
      <c r="E1890" s="47" t="n"/>
      <c r="F1890" s="47" t="n"/>
      <c r="G1890" s="47" t="n"/>
      <c r="H1890" s="47" t="n"/>
      <c r="I1890" s="47" t="n"/>
      <c r="J1890" s="47" t="n"/>
      <c r="K1890" s="47" t="n"/>
      <c r="L1890" s="47" t="n"/>
      <c r="M1890" s="47" t="n"/>
      <c r="N1890" s="47" t="n"/>
      <c r="O1890" s="47" t="n"/>
      <c r="P1890" s="47" t="n"/>
      <c r="Q1890" s="47" t="n"/>
      <c r="R1890" s="47" t="n"/>
      <c r="S1890" s="47" t="n"/>
      <c r="T1890" s="47" t="n"/>
      <c r="U1890" s="53" t="n"/>
      <c r="V1890" s="53" t="n"/>
      <c r="W1890" s="47" t="n"/>
      <c r="X1890" s="47" t="n"/>
      <c r="Y1890" s="47" t="n"/>
      <c r="Z1890" s="47" t="n"/>
      <c r="AA1890" s="47" t="n"/>
      <c r="AB1890" s="47" t="n"/>
      <c r="AC1890" s="47" t="n"/>
      <c r="AD1890" s="47" t="n"/>
      <c r="AE1890" s="47" t="n"/>
      <c r="AF1890" s="20">
        <f>IF(A1890="","",YEAR(EDATE(A1890,-3)))</f>
        <v/>
      </c>
      <c r="AG1890" s="20">
        <f>IF(OR(B1890="",'経歴簿'!$C$4=""),"",IF(B1890&amp;""='経歴簿'!$C$4&amp;"",MAX($AG$4:AG1889)+1,""))</f>
        <v/>
      </c>
      <c r="AH1890" s="20">
        <f>IF(A1890="",0,IF(AND(OR('CSV抽出'!$C$4="",A1890&gt;='CSV抽出'!$C$4),OR('CSV抽出'!$C$5="",A1890&lt;='CSV抽出'!$C$5),OR('CSV抽出'!$C$6="すべて",'CSV抽出'!$C$6="",D1890='CSV抽出'!$C$6),OR('CSV抽出'!$C$7="",B1890&amp;""='CSV抽出'!$C$7&amp;"")),1,0))</f>
        <v/>
      </c>
      <c r="AI1890" s="20">
        <f>IF(AH1890=1,SUM($AH$5:AH1890),"")</f>
        <v/>
      </c>
      <c r="AJ1890" s="20">
        <f>IF(OR(S1890="",'報告書'!$C$4=""),"",IF(S1890&amp;""='報告書'!$C$4&amp;"",COUNTIF($S$5:S1890,'報告書'!$C$4),""))</f>
        <v/>
      </c>
      <c r="AK1890" s="20" t="n"/>
      <c r="AL1890" s="47" t="n"/>
      <c r="AM1890" s="47" t="n"/>
      <c r="AN1890" s="53" t="n"/>
      <c r="AO1890" s="47" t="n"/>
      <c r="AP1890" s="47" t="n"/>
      <c r="AQ1890" s="47" t="n"/>
      <c r="AR1890" s="47" t="n"/>
      <c r="AS1890" s="47" t="n"/>
      <c r="AT1890" s="47" t="n"/>
      <c r="AU1890" s="47" t="n"/>
      <c r="AV1890" s="47" t="n"/>
      <c r="AW1890" s="52" t="n"/>
    </row>
    <row r="1891">
      <c r="A1891" s="48" t="n"/>
      <c r="B1891" s="52" t="n"/>
      <c r="C1891" s="47">
        <f>IF(B1891="","",IFERROR(INDEX('隊員マスタ'!$B$5:$B$204,MATCH(B1891&amp;"",'隊員マスタ'!$F$5:$F$204,0)),IF(AK1891="","番号なし",AK1891)))</f>
        <v/>
      </c>
      <c r="D1891" s="47" t="n"/>
      <c r="E1891" s="47" t="n"/>
      <c r="F1891" s="47" t="n"/>
      <c r="G1891" s="47" t="n"/>
      <c r="H1891" s="47" t="n"/>
      <c r="I1891" s="47" t="n"/>
      <c r="J1891" s="47" t="n"/>
      <c r="K1891" s="47" t="n"/>
      <c r="L1891" s="47" t="n"/>
      <c r="M1891" s="47" t="n"/>
      <c r="N1891" s="47" t="n"/>
      <c r="O1891" s="47" t="n"/>
      <c r="P1891" s="47" t="n"/>
      <c r="Q1891" s="47" t="n"/>
      <c r="R1891" s="47" t="n"/>
      <c r="S1891" s="47" t="n"/>
      <c r="T1891" s="47" t="n"/>
      <c r="U1891" s="53" t="n"/>
      <c r="V1891" s="53" t="n"/>
      <c r="W1891" s="47" t="n"/>
      <c r="X1891" s="47" t="n"/>
      <c r="Y1891" s="47" t="n"/>
      <c r="Z1891" s="47" t="n"/>
      <c r="AA1891" s="47" t="n"/>
      <c r="AB1891" s="47" t="n"/>
      <c r="AC1891" s="47" t="n"/>
      <c r="AD1891" s="47" t="n"/>
      <c r="AE1891" s="47" t="n"/>
      <c r="AF1891" s="20">
        <f>IF(A1891="","",YEAR(EDATE(A1891,-3)))</f>
        <v/>
      </c>
      <c r="AG1891" s="20">
        <f>IF(OR(B1891="",'経歴簿'!$C$4=""),"",IF(B1891&amp;""='経歴簿'!$C$4&amp;"",MAX($AG$4:AG1890)+1,""))</f>
        <v/>
      </c>
      <c r="AH1891" s="20">
        <f>IF(A1891="",0,IF(AND(OR('CSV抽出'!$C$4="",A1891&gt;='CSV抽出'!$C$4),OR('CSV抽出'!$C$5="",A1891&lt;='CSV抽出'!$C$5),OR('CSV抽出'!$C$6="すべて",'CSV抽出'!$C$6="",D1891='CSV抽出'!$C$6),OR('CSV抽出'!$C$7="",B1891&amp;""='CSV抽出'!$C$7&amp;"")),1,0))</f>
        <v/>
      </c>
      <c r="AI1891" s="20">
        <f>IF(AH1891=1,SUM($AH$5:AH1891),"")</f>
        <v/>
      </c>
      <c r="AJ1891" s="20">
        <f>IF(OR(S1891="",'報告書'!$C$4=""),"",IF(S1891&amp;""='報告書'!$C$4&amp;"",COUNTIF($S$5:S1891,'報告書'!$C$4),""))</f>
        <v/>
      </c>
      <c r="AK1891" s="20" t="n"/>
      <c r="AL1891" s="47" t="n"/>
      <c r="AM1891" s="47" t="n"/>
      <c r="AN1891" s="53" t="n"/>
      <c r="AO1891" s="47" t="n"/>
      <c r="AP1891" s="47" t="n"/>
      <c r="AQ1891" s="47" t="n"/>
      <c r="AR1891" s="47" t="n"/>
      <c r="AS1891" s="47" t="n"/>
      <c r="AT1891" s="47" t="n"/>
      <c r="AU1891" s="47" t="n"/>
      <c r="AV1891" s="47" t="n"/>
      <c r="AW1891" s="52" t="n"/>
    </row>
    <row r="1892">
      <c r="A1892" s="48" t="n"/>
      <c r="B1892" s="52" t="n"/>
      <c r="C1892" s="47">
        <f>IF(B1892="","",IFERROR(INDEX('隊員マスタ'!$B$5:$B$204,MATCH(B1892&amp;"",'隊員マスタ'!$F$5:$F$204,0)),IF(AK1892="","番号なし",AK1892)))</f>
        <v/>
      </c>
      <c r="D1892" s="47" t="n"/>
      <c r="E1892" s="47" t="n"/>
      <c r="F1892" s="47" t="n"/>
      <c r="G1892" s="47" t="n"/>
      <c r="H1892" s="47" t="n"/>
      <c r="I1892" s="47" t="n"/>
      <c r="J1892" s="47" t="n"/>
      <c r="K1892" s="47" t="n"/>
      <c r="L1892" s="47" t="n"/>
      <c r="M1892" s="47" t="n"/>
      <c r="N1892" s="47" t="n"/>
      <c r="O1892" s="47" t="n"/>
      <c r="P1892" s="47" t="n"/>
      <c r="Q1892" s="47" t="n"/>
      <c r="R1892" s="47" t="n"/>
      <c r="S1892" s="47" t="n"/>
      <c r="T1892" s="47" t="n"/>
      <c r="U1892" s="53" t="n"/>
      <c r="V1892" s="53" t="n"/>
      <c r="W1892" s="47" t="n"/>
      <c r="X1892" s="47" t="n"/>
      <c r="Y1892" s="47" t="n"/>
      <c r="Z1892" s="47" t="n"/>
      <c r="AA1892" s="47" t="n"/>
      <c r="AB1892" s="47" t="n"/>
      <c r="AC1892" s="47" t="n"/>
      <c r="AD1892" s="47" t="n"/>
      <c r="AE1892" s="47" t="n"/>
      <c r="AF1892" s="20">
        <f>IF(A1892="","",YEAR(EDATE(A1892,-3)))</f>
        <v/>
      </c>
      <c r="AG1892" s="20">
        <f>IF(OR(B1892="",'経歴簿'!$C$4=""),"",IF(B1892&amp;""='経歴簿'!$C$4&amp;"",MAX($AG$4:AG1891)+1,""))</f>
        <v/>
      </c>
      <c r="AH1892" s="20">
        <f>IF(A1892="",0,IF(AND(OR('CSV抽出'!$C$4="",A1892&gt;='CSV抽出'!$C$4),OR('CSV抽出'!$C$5="",A1892&lt;='CSV抽出'!$C$5),OR('CSV抽出'!$C$6="すべて",'CSV抽出'!$C$6="",D1892='CSV抽出'!$C$6),OR('CSV抽出'!$C$7="",B1892&amp;""='CSV抽出'!$C$7&amp;"")),1,0))</f>
        <v/>
      </c>
      <c r="AI1892" s="20">
        <f>IF(AH1892=1,SUM($AH$5:AH1892),"")</f>
        <v/>
      </c>
      <c r="AJ1892" s="20">
        <f>IF(OR(S1892="",'報告書'!$C$4=""),"",IF(S1892&amp;""='報告書'!$C$4&amp;"",COUNTIF($S$5:S1892,'報告書'!$C$4),""))</f>
        <v/>
      </c>
      <c r="AK1892" s="20" t="n"/>
      <c r="AL1892" s="47" t="n"/>
      <c r="AM1892" s="47" t="n"/>
      <c r="AN1892" s="53" t="n"/>
      <c r="AO1892" s="47" t="n"/>
      <c r="AP1892" s="47" t="n"/>
      <c r="AQ1892" s="47" t="n"/>
      <c r="AR1892" s="47" t="n"/>
      <c r="AS1892" s="47" t="n"/>
      <c r="AT1892" s="47" t="n"/>
      <c r="AU1892" s="47" t="n"/>
      <c r="AV1892" s="47" t="n"/>
      <c r="AW1892" s="52" t="n"/>
    </row>
    <row r="1893">
      <c r="A1893" s="48" t="n"/>
      <c r="B1893" s="52" t="n"/>
      <c r="C1893" s="47">
        <f>IF(B1893="","",IFERROR(INDEX('隊員マスタ'!$B$5:$B$204,MATCH(B1893&amp;"",'隊員マスタ'!$F$5:$F$204,0)),IF(AK1893="","番号なし",AK1893)))</f>
        <v/>
      </c>
      <c r="D1893" s="47" t="n"/>
      <c r="E1893" s="47" t="n"/>
      <c r="F1893" s="47" t="n"/>
      <c r="G1893" s="47" t="n"/>
      <c r="H1893" s="47" t="n"/>
      <c r="I1893" s="47" t="n"/>
      <c r="J1893" s="47" t="n"/>
      <c r="K1893" s="47" t="n"/>
      <c r="L1893" s="47" t="n"/>
      <c r="M1893" s="47" t="n"/>
      <c r="N1893" s="47" t="n"/>
      <c r="O1893" s="47" t="n"/>
      <c r="P1893" s="47" t="n"/>
      <c r="Q1893" s="47" t="n"/>
      <c r="R1893" s="47" t="n"/>
      <c r="S1893" s="47" t="n"/>
      <c r="T1893" s="47" t="n"/>
      <c r="U1893" s="53" t="n"/>
      <c r="V1893" s="53" t="n"/>
      <c r="W1893" s="47" t="n"/>
      <c r="X1893" s="47" t="n"/>
      <c r="Y1893" s="47" t="n"/>
      <c r="Z1893" s="47" t="n"/>
      <c r="AA1893" s="47" t="n"/>
      <c r="AB1893" s="47" t="n"/>
      <c r="AC1893" s="47" t="n"/>
      <c r="AD1893" s="47" t="n"/>
      <c r="AE1893" s="47" t="n"/>
      <c r="AF1893" s="20">
        <f>IF(A1893="","",YEAR(EDATE(A1893,-3)))</f>
        <v/>
      </c>
      <c r="AG1893" s="20">
        <f>IF(OR(B1893="",'経歴簿'!$C$4=""),"",IF(B1893&amp;""='経歴簿'!$C$4&amp;"",MAX($AG$4:AG1892)+1,""))</f>
        <v/>
      </c>
      <c r="AH1893" s="20">
        <f>IF(A1893="",0,IF(AND(OR('CSV抽出'!$C$4="",A1893&gt;='CSV抽出'!$C$4),OR('CSV抽出'!$C$5="",A1893&lt;='CSV抽出'!$C$5),OR('CSV抽出'!$C$6="すべて",'CSV抽出'!$C$6="",D1893='CSV抽出'!$C$6),OR('CSV抽出'!$C$7="",B1893&amp;""='CSV抽出'!$C$7&amp;"")),1,0))</f>
        <v/>
      </c>
      <c r="AI1893" s="20">
        <f>IF(AH1893=1,SUM($AH$5:AH1893),"")</f>
        <v/>
      </c>
      <c r="AJ1893" s="20">
        <f>IF(OR(S1893="",'報告書'!$C$4=""),"",IF(S1893&amp;""='報告書'!$C$4&amp;"",COUNTIF($S$5:S1893,'報告書'!$C$4),""))</f>
        <v/>
      </c>
      <c r="AK1893" s="20" t="n"/>
      <c r="AL1893" s="47" t="n"/>
      <c r="AM1893" s="47" t="n"/>
      <c r="AN1893" s="53" t="n"/>
      <c r="AO1893" s="47" t="n"/>
      <c r="AP1893" s="47" t="n"/>
      <c r="AQ1893" s="47" t="n"/>
      <c r="AR1893" s="47" t="n"/>
      <c r="AS1893" s="47" t="n"/>
      <c r="AT1893" s="47" t="n"/>
      <c r="AU1893" s="47" t="n"/>
      <c r="AV1893" s="47" t="n"/>
      <c r="AW1893" s="52" t="n"/>
    </row>
    <row r="1894">
      <c r="A1894" s="48" t="n"/>
      <c r="B1894" s="52" t="n"/>
      <c r="C1894" s="47">
        <f>IF(B1894="","",IFERROR(INDEX('隊員マスタ'!$B$5:$B$204,MATCH(B1894&amp;"",'隊員マスタ'!$F$5:$F$204,0)),IF(AK1894="","番号なし",AK1894)))</f>
        <v/>
      </c>
      <c r="D1894" s="47" t="n"/>
      <c r="E1894" s="47" t="n"/>
      <c r="F1894" s="47" t="n"/>
      <c r="G1894" s="47" t="n"/>
      <c r="H1894" s="47" t="n"/>
      <c r="I1894" s="47" t="n"/>
      <c r="J1894" s="47" t="n"/>
      <c r="K1894" s="47" t="n"/>
      <c r="L1894" s="47" t="n"/>
      <c r="M1894" s="47" t="n"/>
      <c r="N1894" s="47" t="n"/>
      <c r="O1894" s="47" t="n"/>
      <c r="P1894" s="47" t="n"/>
      <c r="Q1894" s="47" t="n"/>
      <c r="R1894" s="47" t="n"/>
      <c r="S1894" s="47" t="n"/>
      <c r="T1894" s="47" t="n"/>
      <c r="U1894" s="53" t="n"/>
      <c r="V1894" s="53" t="n"/>
      <c r="W1894" s="47" t="n"/>
      <c r="X1894" s="47" t="n"/>
      <c r="Y1894" s="47" t="n"/>
      <c r="Z1894" s="47" t="n"/>
      <c r="AA1894" s="47" t="n"/>
      <c r="AB1894" s="47" t="n"/>
      <c r="AC1894" s="47" t="n"/>
      <c r="AD1894" s="47" t="n"/>
      <c r="AE1894" s="47" t="n"/>
      <c r="AF1894" s="20">
        <f>IF(A1894="","",YEAR(EDATE(A1894,-3)))</f>
        <v/>
      </c>
      <c r="AG1894" s="20">
        <f>IF(OR(B1894="",'経歴簿'!$C$4=""),"",IF(B1894&amp;""='経歴簿'!$C$4&amp;"",MAX($AG$4:AG1893)+1,""))</f>
        <v/>
      </c>
      <c r="AH1894" s="20">
        <f>IF(A1894="",0,IF(AND(OR('CSV抽出'!$C$4="",A1894&gt;='CSV抽出'!$C$4),OR('CSV抽出'!$C$5="",A1894&lt;='CSV抽出'!$C$5),OR('CSV抽出'!$C$6="すべて",'CSV抽出'!$C$6="",D1894='CSV抽出'!$C$6),OR('CSV抽出'!$C$7="",B1894&amp;""='CSV抽出'!$C$7&amp;"")),1,0))</f>
        <v/>
      </c>
      <c r="AI1894" s="20">
        <f>IF(AH1894=1,SUM($AH$5:AH1894),"")</f>
        <v/>
      </c>
      <c r="AJ1894" s="20">
        <f>IF(OR(S1894="",'報告書'!$C$4=""),"",IF(S1894&amp;""='報告書'!$C$4&amp;"",COUNTIF($S$5:S1894,'報告書'!$C$4),""))</f>
        <v/>
      </c>
      <c r="AK1894" s="20" t="n"/>
      <c r="AL1894" s="47" t="n"/>
      <c r="AM1894" s="47" t="n"/>
      <c r="AN1894" s="53" t="n"/>
      <c r="AO1894" s="47" t="n"/>
      <c r="AP1894" s="47" t="n"/>
      <c r="AQ1894" s="47" t="n"/>
      <c r="AR1894" s="47" t="n"/>
      <c r="AS1894" s="47" t="n"/>
      <c r="AT1894" s="47" t="n"/>
      <c r="AU1894" s="47" t="n"/>
      <c r="AV1894" s="47" t="n"/>
      <c r="AW1894" s="52" t="n"/>
    </row>
    <row r="1895">
      <c r="A1895" s="48" t="n"/>
      <c r="B1895" s="52" t="n"/>
      <c r="C1895" s="47">
        <f>IF(B1895="","",IFERROR(INDEX('隊員マスタ'!$B$5:$B$204,MATCH(B1895&amp;"",'隊員マスタ'!$F$5:$F$204,0)),IF(AK1895="","番号なし",AK1895)))</f>
        <v/>
      </c>
      <c r="D1895" s="47" t="n"/>
      <c r="E1895" s="47" t="n"/>
      <c r="F1895" s="47" t="n"/>
      <c r="G1895" s="47" t="n"/>
      <c r="H1895" s="47" t="n"/>
      <c r="I1895" s="47" t="n"/>
      <c r="J1895" s="47" t="n"/>
      <c r="K1895" s="47" t="n"/>
      <c r="L1895" s="47" t="n"/>
      <c r="M1895" s="47" t="n"/>
      <c r="N1895" s="47" t="n"/>
      <c r="O1895" s="47" t="n"/>
      <c r="P1895" s="47" t="n"/>
      <c r="Q1895" s="47" t="n"/>
      <c r="R1895" s="47" t="n"/>
      <c r="S1895" s="47" t="n"/>
      <c r="T1895" s="47" t="n"/>
      <c r="U1895" s="53" t="n"/>
      <c r="V1895" s="53" t="n"/>
      <c r="W1895" s="47" t="n"/>
      <c r="X1895" s="47" t="n"/>
      <c r="Y1895" s="47" t="n"/>
      <c r="Z1895" s="47" t="n"/>
      <c r="AA1895" s="47" t="n"/>
      <c r="AB1895" s="47" t="n"/>
      <c r="AC1895" s="47" t="n"/>
      <c r="AD1895" s="47" t="n"/>
      <c r="AE1895" s="47" t="n"/>
      <c r="AF1895" s="20">
        <f>IF(A1895="","",YEAR(EDATE(A1895,-3)))</f>
        <v/>
      </c>
      <c r="AG1895" s="20">
        <f>IF(OR(B1895="",'経歴簿'!$C$4=""),"",IF(B1895&amp;""='経歴簿'!$C$4&amp;"",MAX($AG$4:AG1894)+1,""))</f>
        <v/>
      </c>
      <c r="AH1895" s="20">
        <f>IF(A1895="",0,IF(AND(OR('CSV抽出'!$C$4="",A1895&gt;='CSV抽出'!$C$4),OR('CSV抽出'!$C$5="",A1895&lt;='CSV抽出'!$C$5),OR('CSV抽出'!$C$6="すべて",'CSV抽出'!$C$6="",D1895='CSV抽出'!$C$6),OR('CSV抽出'!$C$7="",B1895&amp;""='CSV抽出'!$C$7&amp;"")),1,0))</f>
        <v/>
      </c>
      <c r="AI1895" s="20">
        <f>IF(AH1895=1,SUM($AH$5:AH1895),"")</f>
        <v/>
      </c>
      <c r="AJ1895" s="20">
        <f>IF(OR(S1895="",'報告書'!$C$4=""),"",IF(S1895&amp;""='報告書'!$C$4&amp;"",COUNTIF($S$5:S1895,'報告書'!$C$4),""))</f>
        <v/>
      </c>
      <c r="AK1895" s="20" t="n"/>
      <c r="AL1895" s="47" t="n"/>
      <c r="AM1895" s="47" t="n"/>
      <c r="AN1895" s="53" t="n"/>
      <c r="AO1895" s="47" t="n"/>
      <c r="AP1895" s="47" t="n"/>
      <c r="AQ1895" s="47" t="n"/>
      <c r="AR1895" s="47" t="n"/>
      <c r="AS1895" s="47" t="n"/>
      <c r="AT1895" s="47" t="n"/>
      <c r="AU1895" s="47" t="n"/>
      <c r="AV1895" s="47" t="n"/>
      <c r="AW1895" s="52" t="n"/>
    </row>
    <row r="1896">
      <c r="A1896" s="48" t="n"/>
      <c r="B1896" s="52" t="n"/>
      <c r="C1896" s="47">
        <f>IF(B1896="","",IFERROR(INDEX('隊員マスタ'!$B$5:$B$204,MATCH(B1896&amp;"",'隊員マスタ'!$F$5:$F$204,0)),IF(AK1896="","番号なし",AK1896)))</f>
        <v/>
      </c>
      <c r="D1896" s="47" t="n"/>
      <c r="E1896" s="47" t="n"/>
      <c r="F1896" s="47" t="n"/>
      <c r="G1896" s="47" t="n"/>
      <c r="H1896" s="47" t="n"/>
      <c r="I1896" s="47" t="n"/>
      <c r="J1896" s="47" t="n"/>
      <c r="K1896" s="47" t="n"/>
      <c r="L1896" s="47" t="n"/>
      <c r="M1896" s="47" t="n"/>
      <c r="N1896" s="47" t="n"/>
      <c r="O1896" s="47" t="n"/>
      <c r="P1896" s="47" t="n"/>
      <c r="Q1896" s="47" t="n"/>
      <c r="R1896" s="47" t="n"/>
      <c r="S1896" s="47" t="n"/>
      <c r="T1896" s="47" t="n"/>
      <c r="U1896" s="53" t="n"/>
      <c r="V1896" s="53" t="n"/>
      <c r="W1896" s="47" t="n"/>
      <c r="X1896" s="47" t="n"/>
      <c r="Y1896" s="47" t="n"/>
      <c r="Z1896" s="47" t="n"/>
      <c r="AA1896" s="47" t="n"/>
      <c r="AB1896" s="47" t="n"/>
      <c r="AC1896" s="47" t="n"/>
      <c r="AD1896" s="47" t="n"/>
      <c r="AE1896" s="47" t="n"/>
      <c r="AF1896" s="20">
        <f>IF(A1896="","",YEAR(EDATE(A1896,-3)))</f>
        <v/>
      </c>
      <c r="AG1896" s="20">
        <f>IF(OR(B1896="",'経歴簿'!$C$4=""),"",IF(B1896&amp;""='経歴簿'!$C$4&amp;"",MAX($AG$4:AG1895)+1,""))</f>
        <v/>
      </c>
      <c r="AH1896" s="20">
        <f>IF(A1896="",0,IF(AND(OR('CSV抽出'!$C$4="",A1896&gt;='CSV抽出'!$C$4),OR('CSV抽出'!$C$5="",A1896&lt;='CSV抽出'!$C$5),OR('CSV抽出'!$C$6="すべて",'CSV抽出'!$C$6="",D1896='CSV抽出'!$C$6),OR('CSV抽出'!$C$7="",B1896&amp;""='CSV抽出'!$C$7&amp;"")),1,0))</f>
        <v/>
      </c>
      <c r="AI1896" s="20">
        <f>IF(AH1896=1,SUM($AH$5:AH1896),"")</f>
        <v/>
      </c>
      <c r="AJ1896" s="20">
        <f>IF(OR(S1896="",'報告書'!$C$4=""),"",IF(S1896&amp;""='報告書'!$C$4&amp;"",COUNTIF($S$5:S1896,'報告書'!$C$4),""))</f>
        <v/>
      </c>
      <c r="AK1896" s="20" t="n"/>
      <c r="AL1896" s="47" t="n"/>
      <c r="AM1896" s="47" t="n"/>
      <c r="AN1896" s="53" t="n"/>
      <c r="AO1896" s="47" t="n"/>
      <c r="AP1896" s="47" t="n"/>
      <c r="AQ1896" s="47" t="n"/>
      <c r="AR1896" s="47" t="n"/>
      <c r="AS1896" s="47" t="n"/>
      <c r="AT1896" s="47" t="n"/>
      <c r="AU1896" s="47" t="n"/>
      <c r="AV1896" s="47" t="n"/>
      <c r="AW1896" s="52" t="n"/>
    </row>
    <row r="1897">
      <c r="A1897" s="48" t="n"/>
      <c r="B1897" s="52" t="n"/>
      <c r="C1897" s="47">
        <f>IF(B1897="","",IFERROR(INDEX('隊員マスタ'!$B$5:$B$204,MATCH(B1897&amp;"",'隊員マスタ'!$F$5:$F$204,0)),IF(AK1897="","番号なし",AK1897)))</f>
        <v/>
      </c>
      <c r="D1897" s="47" t="n"/>
      <c r="E1897" s="47" t="n"/>
      <c r="F1897" s="47" t="n"/>
      <c r="G1897" s="47" t="n"/>
      <c r="H1897" s="47" t="n"/>
      <c r="I1897" s="47" t="n"/>
      <c r="J1897" s="47" t="n"/>
      <c r="K1897" s="47" t="n"/>
      <c r="L1897" s="47" t="n"/>
      <c r="M1897" s="47" t="n"/>
      <c r="N1897" s="47" t="n"/>
      <c r="O1897" s="47" t="n"/>
      <c r="P1897" s="47" t="n"/>
      <c r="Q1897" s="47" t="n"/>
      <c r="R1897" s="47" t="n"/>
      <c r="S1897" s="47" t="n"/>
      <c r="T1897" s="47" t="n"/>
      <c r="U1897" s="53" t="n"/>
      <c r="V1897" s="53" t="n"/>
      <c r="W1897" s="47" t="n"/>
      <c r="X1897" s="47" t="n"/>
      <c r="Y1897" s="47" t="n"/>
      <c r="Z1897" s="47" t="n"/>
      <c r="AA1897" s="47" t="n"/>
      <c r="AB1897" s="47" t="n"/>
      <c r="AC1897" s="47" t="n"/>
      <c r="AD1897" s="47" t="n"/>
      <c r="AE1897" s="47" t="n"/>
      <c r="AF1897" s="20">
        <f>IF(A1897="","",YEAR(EDATE(A1897,-3)))</f>
        <v/>
      </c>
      <c r="AG1897" s="20">
        <f>IF(OR(B1897="",'経歴簿'!$C$4=""),"",IF(B1897&amp;""='経歴簿'!$C$4&amp;"",MAX($AG$4:AG1896)+1,""))</f>
        <v/>
      </c>
      <c r="AH1897" s="20">
        <f>IF(A1897="",0,IF(AND(OR('CSV抽出'!$C$4="",A1897&gt;='CSV抽出'!$C$4),OR('CSV抽出'!$C$5="",A1897&lt;='CSV抽出'!$C$5),OR('CSV抽出'!$C$6="すべて",'CSV抽出'!$C$6="",D1897='CSV抽出'!$C$6),OR('CSV抽出'!$C$7="",B1897&amp;""='CSV抽出'!$C$7&amp;"")),1,0))</f>
        <v/>
      </c>
      <c r="AI1897" s="20">
        <f>IF(AH1897=1,SUM($AH$5:AH1897),"")</f>
        <v/>
      </c>
      <c r="AJ1897" s="20">
        <f>IF(OR(S1897="",'報告書'!$C$4=""),"",IF(S1897&amp;""='報告書'!$C$4&amp;"",COUNTIF($S$5:S1897,'報告書'!$C$4),""))</f>
        <v/>
      </c>
      <c r="AK1897" s="20" t="n"/>
      <c r="AL1897" s="47" t="n"/>
      <c r="AM1897" s="47" t="n"/>
      <c r="AN1897" s="53" t="n"/>
      <c r="AO1897" s="47" t="n"/>
      <c r="AP1897" s="47" t="n"/>
      <c r="AQ1897" s="47" t="n"/>
      <c r="AR1897" s="47" t="n"/>
      <c r="AS1897" s="47" t="n"/>
      <c r="AT1897" s="47" t="n"/>
      <c r="AU1897" s="47" t="n"/>
      <c r="AV1897" s="47" t="n"/>
      <c r="AW1897" s="52" t="n"/>
    </row>
    <row r="1898">
      <c r="A1898" s="48" t="n"/>
      <c r="B1898" s="52" t="n"/>
      <c r="C1898" s="47">
        <f>IF(B1898="","",IFERROR(INDEX('隊員マスタ'!$B$5:$B$204,MATCH(B1898&amp;"",'隊員マスタ'!$F$5:$F$204,0)),IF(AK1898="","番号なし",AK1898)))</f>
        <v/>
      </c>
      <c r="D1898" s="47" t="n"/>
      <c r="E1898" s="47" t="n"/>
      <c r="F1898" s="47" t="n"/>
      <c r="G1898" s="47" t="n"/>
      <c r="H1898" s="47" t="n"/>
      <c r="I1898" s="47" t="n"/>
      <c r="J1898" s="47" t="n"/>
      <c r="K1898" s="47" t="n"/>
      <c r="L1898" s="47" t="n"/>
      <c r="M1898" s="47" t="n"/>
      <c r="N1898" s="47" t="n"/>
      <c r="O1898" s="47" t="n"/>
      <c r="P1898" s="47" t="n"/>
      <c r="Q1898" s="47" t="n"/>
      <c r="R1898" s="47" t="n"/>
      <c r="S1898" s="47" t="n"/>
      <c r="T1898" s="47" t="n"/>
      <c r="U1898" s="53" t="n"/>
      <c r="V1898" s="53" t="n"/>
      <c r="W1898" s="47" t="n"/>
      <c r="X1898" s="47" t="n"/>
      <c r="Y1898" s="47" t="n"/>
      <c r="Z1898" s="47" t="n"/>
      <c r="AA1898" s="47" t="n"/>
      <c r="AB1898" s="47" t="n"/>
      <c r="AC1898" s="47" t="n"/>
      <c r="AD1898" s="47" t="n"/>
      <c r="AE1898" s="47" t="n"/>
      <c r="AF1898" s="20">
        <f>IF(A1898="","",YEAR(EDATE(A1898,-3)))</f>
        <v/>
      </c>
      <c r="AG1898" s="20">
        <f>IF(OR(B1898="",'経歴簿'!$C$4=""),"",IF(B1898&amp;""='経歴簿'!$C$4&amp;"",MAX($AG$4:AG1897)+1,""))</f>
        <v/>
      </c>
      <c r="AH1898" s="20">
        <f>IF(A1898="",0,IF(AND(OR('CSV抽出'!$C$4="",A1898&gt;='CSV抽出'!$C$4),OR('CSV抽出'!$C$5="",A1898&lt;='CSV抽出'!$C$5),OR('CSV抽出'!$C$6="すべて",'CSV抽出'!$C$6="",D1898='CSV抽出'!$C$6),OR('CSV抽出'!$C$7="",B1898&amp;""='CSV抽出'!$C$7&amp;"")),1,0))</f>
        <v/>
      </c>
      <c r="AI1898" s="20">
        <f>IF(AH1898=1,SUM($AH$5:AH1898),"")</f>
        <v/>
      </c>
      <c r="AJ1898" s="20">
        <f>IF(OR(S1898="",'報告書'!$C$4=""),"",IF(S1898&amp;""='報告書'!$C$4&amp;"",COUNTIF($S$5:S1898,'報告書'!$C$4),""))</f>
        <v/>
      </c>
      <c r="AK1898" s="20" t="n"/>
      <c r="AL1898" s="47" t="n"/>
      <c r="AM1898" s="47" t="n"/>
      <c r="AN1898" s="53" t="n"/>
      <c r="AO1898" s="47" t="n"/>
      <c r="AP1898" s="47" t="n"/>
      <c r="AQ1898" s="47" t="n"/>
      <c r="AR1898" s="47" t="n"/>
      <c r="AS1898" s="47" t="n"/>
      <c r="AT1898" s="47" t="n"/>
      <c r="AU1898" s="47" t="n"/>
      <c r="AV1898" s="47" t="n"/>
      <c r="AW1898" s="52" t="n"/>
    </row>
    <row r="1899">
      <c r="A1899" s="48" t="n"/>
      <c r="B1899" s="52" t="n"/>
      <c r="C1899" s="47">
        <f>IF(B1899="","",IFERROR(INDEX('隊員マスタ'!$B$5:$B$204,MATCH(B1899&amp;"",'隊員マスタ'!$F$5:$F$204,0)),IF(AK1899="","番号なし",AK1899)))</f>
        <v/>
      </c>
      <c r="D1899" s="47" t="n"/>
      <c r="E1899" s="47" t="n"/>
      <c r="F1899" s="47" t="n"/>
      <c r="G1899" s="47" t="n"/>
      <c r="H1899" s="47" t="n"/>
      <c r="I1899" s="47" t="n"/>
      <c r="J1899" s="47" t="n"/>
      <c r="K1899" s="47" t="n"/>
      <c r="L1899" s="47" t="n"/>
      <c r="M1899" s="47" t="n"/>
      <c r="N1899" s="47" t="n"/>
      <c r="O1899" s="47" t="n"/>
      <c r="P1899" s="47" t="n"/>
      <c r="Q1899" s="47" t="n"/>
      <c r="R1899" s="47" t="n"/>
      <c r="S1899" s="47" t="n"/>
      <c r="T1899" s="47" t="n"/>
      <c r="U1899" s="53" t="n"/>
      <c r="V1899" s="53" t="n"/>
      <c r="W1899" s="47" t="n"/>
      <c r="X1899" s="47" t="n"/>
      <c r="Y1899" s="47" t="n"/>
      <c r="Z1899" s="47" t="n"/>
      <c r="AA1899" s="47" t="n"/>
      <c r="AB1899" s="47" t="n"/>
      <c r="AC1899" s="47" t="n"/>
      <c r="AD1899" s="47" t="n"/>
      <c r="AE1899" s="47" t="n"/>
      <c r="AF1899" s="20">
        <f>IF(A1899="","",YEAR(EDATE(A1899,-3)))</f>
        <v/>
      </c>
      <c r="AG1899" s="20">
        <f>IF(OR(B1899="",'経歴簿'!$C$4=""),"",IF(B1899&amp;""='経歴簿'!$C$4&amp;"",MAX($AG$4:AG1898)+1,""))</f>
        <v/>
      </c>
      <c r="AH1899" s="20">
        <f>IF(A1899="",0,IF(AND(OR('CSV抽出'!$C$4="",A1899&gt;='CSV抽出'!$C$4),OR('CSV抽出'!$C$5="",A1899&lt;='CSV抽出'!$C$5),OR('CSV抽出'!$C$6="すべて",'CSV抽出'!$C$6="",D1899='CSV抽出'!$C$6),OR('CSV抽出'!$C$7="",B1899&amp;""='CSV抽出'!$C$7&amp;"")),1,0))</f>
        <v/>
      </c>
      <c r="AI1899" s="20">
        <f>IF(AH1899=1,SUM($AH$5:AH1899),"")</f>
        <v/>
      </c>
      <c r="AJ1899" s="20">
        <f>IF(OR(S1899="",'報告書'!$C$4=""),"",IF(S1899&amp;""='報告書'!$C$4&amp;"",COUNTIF($S$5:S1899,'報告書'!$C$4),""))</f>
        <v/>
      </c>
      <c r="AK1899" s="20" t="n"/>
      <c r="AL1899" s="47" t="n"/>
      <c r="AM1899" s="47" t="n"/>
      <c r="AN1899" s="53" t="n"/>
      <c r="AO1899" s="47" t="n"/>
      <c r="AP1899" s="47" t="n"/>
      <c r="AQ1899" s="47" t="n"/>
      <c r="AR1899" s="47" t="n"/>
      <c r="AS1899" s="47" t="n"/>
      <c r="AT1899" s="47" t="n"/>
      <c r="AU1899" s="47" t="n"/>
      <c r="AV1899" s="47" t="n"/>
      <c r="AW1899" s="52" t="n"/>
    </row>
    <row r="1900">
      <c r="A1900" s="48" t="n"/>
      <c r="B1900" s="52" t="n"/>
      <c r="C1900" s="47">
        <f>IF(B1900="","",IFERROR(INDEX('隊員マスタ'!$B$5:$B$204,MATCH(B1900&amp;"",'隊員マスタ'!$F$5:$F$204,0)),IF(AK1900="","番号なし",AK1900)))</f>
        <v/>
      </c>
      <c r="D1900" s="47" t="n"/>
      <c r="E1900" s="47" t="n"/>
      <c r="F1900" s="47" t="n"/>
      <c r="G1900" s="47" t="n"/>
      <c r="H1900" s="47" t="n"/>
      <c r="I1900" s="47" t="n"/>
      <c r="J1900" s="47" t="n"/>
      <c r="K1900" s="47" t="n"/>
      <c r="L1900" s="47" t="n"/>
      <c r="M1900" s="47" t="n"/>
      <c r="N1900" s="47" t="n"/>
      <c r="O1900" s="47" t="n"/>
      <c r="P1900" s="47" t="n"/>
      <c r="Q1900" s="47" t="n"/>
      <c r="R1900" s="47" t="n"/>
      <c r="S1900" s="47" t="n"/>
      <c r="T1900" s="47" t="n"/>
      <c r="U1900" s="53" t="n"/>
      <c r="V1900" s="53" t="n"/>
      <c r="W1900" s="47" t="n"/>
      <c r="X1900" s="47" t="n"/>
      <c r="Y1900" s="47" t="n"/>
      <c r="Z1900" s="47" t="n"/>
      <c r="AA1900" s="47" t="n"/>
      <c r="AB1900" s="47" t="n"/>
      <c r="AC1900" s="47" t="n"/>
      <c r="AD1900" s="47" t="n"/>
      <c r="AE1900" s="47" t="n"/>
      <c r="AF1900" s="20">
        <f>IF(A1900="","",YEAR(EDATE(A1900,-3)))</f>
        <v/>
      </c>
      <c r="AG1900" s="20">
        <f>IF(OR(B1900="",'経歴簿'!$C$4=""),"",IF(B1900&amp;""='経歴簿'!$C$4&amp;"",MAX($AG$4:AG1899)+1,""))</f>
        <v/>
      </c>
      <c r="AH1900" s="20">
        <f>IF(A1900="",0,IF(AND(OR('CSV抽出'!$C$4="",A1900&gt;='CSV抽出'!$C$4),OR('CSV抽出'!$C$5="",A1900&lt;='CSV抽出'!$C$5),OR('CSV抽出'!$C$6="すべて",'CSV抽出'!$C$6="",D1900='CSV抽出'!$C$6),OR('CSV抽出'!$C$7="",B1900&amp;""='CSV抽出'!$C$7&amp;"")),1,0))</f>
        <v/>
      </c>
      <c r="AI1900" s="20">
        <f>IF(AH1900=1,SUM($AH$5:AH1900),"")</f>
        <v/>
      </c>
      <c r="AJ1900" s="20">
        <f>IF(OR(S1900="",'報告書'!$C$4=""),"",IF(S1900&amp;""='報告書'!$C$4&amp;"",COUNTIF($S$5:S1900,'報告書'!$C$4),""))</f>
        <v/>
      </c>
      <c r="AK1900" s="20" t="n"/>
      <c r="AL1900" s="47" t="n"/>
      <c r="AM1900" s="47" t="n"/>
      <c r="AN1900" s="53" t="n"/>
      <c r="AO1900" s="47" t="n"/>
      <c r="AP1900" s="47" t="n"/>
      <c r="AQ1900" s="47" t="n"/>
      <c r="AR1900" s="47" t="n"/>
      <c r="AS1900" s="47" t="n"/>
      <c r="AT1900" s="47" t="n"/>
      <c r="AU1900" s="47" t="n"/>
      <c r="AV1900" s="47" t="n"/>
      <c r="AW1900" s="52" t="n"/>
    </row>
    <row r="1901">
      <c r="A1901" s="48" t="n"/>
      <c r="B1901" s="52" t="n"/>
      <c r="C1901" s="47">
        <f>IF(B1901="","",IFERROR(INDEX('隊員マスタ'!$B$5:$B$204,MATCH(B1901&amp;"",'隊員マスタ'!$F$5:$F$204,0)),IF(AK1901="","番号なし",AK1901)))</f>
        <v/>
      </c>
      <c r="D1901" s="47" t="n"/>
      <c r="E1901" s="47" t="n"/>
      <c r="F1901" s="47" t="n"/>
      <c r="G1901" s="47" t="n"/>
      <c r="H1901" s="47" t="n"/>
      <c r="I1901" s="47" t="n"/>
      <c r="J1901" s="47" t="n"/>
      <c r="K1901" s="47" t="n"/>
      <c r="L1901" s="47" t="n"/>
      <c r="M1901" s="47" t="n"/>
      <c r="N1901" s="47" t="n"/>
      <c r="O1901" s="47" t="n"/>
      <c r="P1901" s="47" t="n"/>
      <c r="Q1901" s="47" t="n"/>
      <c r="R1901" s="47" t="n"/>
      <c r="S1901" s="47" t="n"/>
      <c r="T1901" s="47" t="n"/>
      <c r="U1901" s="53" t="n"/>
      <c r="V1901" s="53" t="n"/>
      <c r="W1901" s="47" t="n"/>
      <c r="X1901" s="47" t="n"/>
      <c r="Y1901" s="47" t="n"/>
      <c r="Z1901" s="47" t="n"/>
      <c r="AA1901" s="47" t="n"/>
      <c r="AB1901" s="47" t="n"/>
      <c r="AC1901" s="47" t="n"/>
      <c r="AD1901" s="47" t="n"/>
      <c r="AE1901" s="47" t="n"/>
      <c r="AF1901" s="20">
        <f>IF(A1901="","",YEAR(EDATE(A1901,-3)))</f>
        <v/>
      </c>
      <c r="AG1901" s="20">
        <f>IF(OR(B1901="",'経歴簿'!$C$4=""),"",IF(B1901&amp;""='経歴簿'!$C$4&amp;"",MAX($AG$4:AG1900)+1,""))</f>
        <v/>
      </c>
      <c r="AH1901" s="20">
        <f>IF(A1901="",0,IF(AND(OR('CSV抽出'!$C$4="",A1901&gt;='CSV抽出'!$C$4),OR('CSV抽出'!$C$5="",A1901&lt;='CSV抽出'!$C$5),OR('CSV抽出'!$C$6="すべて",'CSV抽出'!$C$6="",D1901='CSV抽出'!$C$6),OR('CSV抽出'!$C$7="",B1901&amp;""='CSV抽出'!$C$7&amp;"")),1,0))</f>
        <v/>
      </c>
      <c r="AI1901" s="20">
        <f>IF(AH1901=1,SUM($AH$5:AH1901),"")</f>
        <v/>
      </c>
      <c r="AJ1901" s="20">
        <f>IF(OR(S1901="",'報告書'!$C$4=""),"",IF(S1901&amp;""='報告書'!$C$4&amp;"",COUNTIF($S$5:S1901,'報告書'!$C$4),""))</f>
        <v/>
      </c>
      <c r="AK1901" s="20" t="n"/>
      <c r="AL1901" s="47" t="n"/>
      <c r="AM1901" s="47" t="n"/>
      <c r="AN1901" s="53" t="n"/>
      <c r="AO1901" s="47" t="n"/>
      <c r="AP1901" s="47" t="n"/>
      <c r="AQ1901" s="47" t="n"/>
      <c r="AR1901" s="47" t="n"/>
      <c r="AS1901" s="47" t="n"/>
      <c r="AT1901" s="47" t="n"/>
      <c r="AU1901" s="47" t="n"/>
      <c r="AV1901" s="47" t="n"/>
      <c r="AW1901" s="52" t="n"/>
    </row>
    <row r="1902">
      <c r="A1902" s="48" t="n"/>
      <c r="B1902" s="52" t="n"/>
      <c r="C1902" s="47">
        <f>IF(B1902="","",IFERROR(INDEX('隊員マスタ'!$B$5:$B$204,MATCH(B1902&amp;"",'隊員マスタ'!$F$5:$F$204,0)),IF(AK1902="","番号なし",AK1902)))</f>
        <v/>
      </c>
      <c r="D1902" s="47" t="n"/>
      <c r="E1902" s="47" t="n"/>
      <c r="F1902" s="47" t="n"/>
      <c r="G1902" s="47" t="n"/>
      <c r="H1902" s="47" t="n"/>
      <c r="I1902" s="47" t="n"/>
      <c r="J1902" s="47" t="n"/>
      <c r="K1902" s="47" t="n"/>
      <c r="L1902" s="47" t="n"/>
      <c r="M1902" s="47" t="n"/>
      <c r="N1902" s="47" t="n"/>
      <c r="O1902" s="47" t="n"/>
      <c r="P1902" s="47" t="n"/>
      <c r="Q1902" s="47" t="n"/>
      <c r="R1902" s="47" t="n"/>
      <c r="S1902" s="47" t="n"/>
      <c r="T1902" s="47" t="n"/>
      <c r="U1902" s="53" t="n"/>
      <c r="V1902" s="53" t="n"/>
      <c r="W1902" s="47" t="n"/>
      <c r="X1902" s="47" t="n"/>
      <c r="Y1902" s="47" t="n"/>
      <c r="Z1902" s="47" t="n"/>
      <c r="AA1902" s="47" t="n"/>
      <c r="AB1902" s="47" t="n"/>
      <c r="AC1902" s="47" t="n"/>
      <c r="AD1902" s="47" t="n"/>
      <c r="AE1902" s="47" t="n"/>
      <c r="AF1902" s="20">
        <f>IF(A1902="","",YEAR(EDATE(A1902,-3)))</f>
        <v/>
      </c>
      <c r="AG1902" s="20">
        <f>IF(OR(B1902="",'経歴簿'!$C$4=""),"",IF(B1902&amp;""='経歴簿'!$C$4&amp;"",MAX($AG$4:AG1901)+1,""))</f>
        <v/>
      </c>
      <c r="AH1902" s="20">
        <f>IF(A1902="",0,IF(AND(OR('CSV抽出'!$C$4="",A1902&gt;='CSV抽出'!$C$4),OR('CSV抽出'!$C$5="",A1902&lt;='CSV抽出'!$C$5),OR('CSV抽出'!$C$6="すべて",'CSV抽出'!$C$6="",D1902='CSV抽出'!$C$6),OR('CSV抽出'!$C$7="",B1902&amp;""='CSV抽出'!$C$7&amp;"")),1,0))</f>
        <v/>
      </c>
      <c r="AI1902" s="20">
        <f>IF(AH1902=1,SUM($AH$5:AH1902),"")</f>
        <v/>
      </c>
      <c r="AJ1902" s="20">
        <f>IF(OR(S1902="",'報告書'!$C$4=""),"",IF(S1902&amp;""='報告書'!$C$4&amp;"",COUNTIF($S$5:S1902,'報告書'!$C$4),""))</f>
        <v/>
      </c>
      <c r="AK1902" s="20" t="n"/>
      <c r="AL1902" s="47" t="n"/>
      <c r="AM1902" s="47" t="n"/>
      <c r="AN1902" s="53" t="n"/>
      <c r="AO1902" s="47" t="n"/>
      <c r="AP1902" s="47" t="n"/>
      <c r="AQ1902" s="47" t="n"/>
      <c r="AR1902" s="47" t="n"/>
      <c r="AS1902" s="47" t="n"/>
      <c r="AT1902" s="47" t="n"/>
      <c r="AU1902" s="47" t="n"/>
      <c r="AV1902" s="47" t="n"/>
      <c r="AW1902" s="52" t="n"/>
    </row>
    <row r="1903">
      <c r="A1903" s="48" t="n"/>
      <c r="B1903" s="52" t="n"/>
      <c r="C1903" s="47">
        <f>IF(B1903="","",IFERROR(INDEX('隊員マスタ'!$B$5:$B$204,MATCH(B1903&amp;"",'隊員マスタ'!$F$5:$F$204,0)),IF(AK1903="","番号なし",AK1903)))</f>
        <v/>
      </c>
      <c r="D1903" s="47" t="n"/>
      <c r="E1903" s="47" t="n"/>
      <c r="F1903" s="47" t="n"/>
      <c r="G1903" s="47" t="n"/>
      <c r="H1903" s="47" t="n"/>
      <c r="I1903" s="47" t="n"/>
      <c r="J1903" s="47" t="n"/>
      <c r="K1903" s="47" t="n"/>
      <c r="L1903" s="47" t="n"/>
      <c r="M1903" s="47" t="n"/>
      <c r="N1903" s="47" t="n"/>
      <c r="O1903" s="47" t="n"/>
      <c r="P1903" s="47" t="n"/>
      <c r="Q1903" s="47" t="n"/>
      <c r="R1903" s="47" t="n"/>
      <c r="S1903" s="47" t="n"/>
      <c r="T1903" s="47" t="n"/>
      <c r="U1903" s="53" t="n"/>
      <c r="V1903" s="53" t="n"/>
      <c r="W1903" s="47" t="n"/>
      <c r="X1903" s="47" t="n"/>
      <c r="Y1903" s="47" t="n"/>
      <c r="Z1903" s="47" t="n"/>
      <c r="AA1903" s="47" t="n"/>
      <c r="AB1903" s="47" t="n"/>
      <c r="AC1903" s="47" t="n"/>
      <c r="AD1903" s="47" t="n"/>
      <c r="AE1903" s="47" t="n"/>
      <c r="AF1903" s="20">
        <f>IF(A1903="","",YEAR(EDATE(A1903,-3)))</f>
        <v/>
      </c>
      <c r="AG1903" s="20">
        <f>IF(OR(B1903="",'経歴簿'!$C$4=""),"",IF(B1903&amp;""='経歴簿'!$C$4&amp;"",MAX($AG$4:AG1902)+1,""))</f>
        <v/>
      </c>
      <c r="AH1903" s="20">
        <f>IF(A1903="",0,IF(AND(OR('CSV抽出'!$C$4="",A1903&gt;='CSV抽出'!$C$4),OR('CSV抽出'!$C$5="",A1903&lt;='CSV抽出'!$C$5),OR('CSV抽出'!$C$6="すべて",'CSV抽出'!$C$6="",D1903='CSV抽出'!$C$6),OR('CSV抽出'!$C$7="",B1903&amp;""='CSV抽出'!$C$7&amp;"")),1,0))</f>
        <v/>
      </c>
      <c r="AI1903" s="20">
        <f>IF(AH1903=1,SUM($AH$5:AH1903),"")</f>
        <v/>
      </c>
      <c r="AJ1903" s="20">
        <f>IF(OR(S1903="",'報告書'!$C$4=""),"",IF(S1903&amp;""='報告書'!$C$4&amp;"",COUNTIF($S$5:S1903,'報告書'!$C$4),""))</f>
        <v/>
      </c>
      <c r="AK1903" s="20" t="n"/>
      <c r="AL1903" s="47" t="n"/>
      <c r="AM1903" s="47" t="n"/>
      <c r="AN1903" s="53" t="n"/>
      <c r="AO1903" s="47" t="n"/>
      <c r="AP1903" s="47" t="n"/>
      <c r="AQ1903" s="47" t="n"/>
      <c r="AR1903" s="47" t="n"/>
      <c r="AS1903" s="47" t="n"/>
      <c r="AT1903" s="47" t="n"/>
      <c r="AU1903" s="47" t="n"/>
      <c r="AV1903" s="47" t="n"/>
      <c r="AW1903" s="52" t="n"/>
    </row>
    <row r="1904">
      <c r="A1904" s="48" t="n"/>
      <c r="B1904" s="52" t="n"/>
      <c r="C1904" s="47">
        <f>IF(B1904="","",IFERROR(INDEX('隊員マスタ'!$B$5:$B$204,MATCH(B1904&amp;"",'隊員マスタ'!$F$5:$F$204,0)),IF(AK1904="","番号なし",AK1904)))</f>
        <v/>
      </c>
      <c r="D1904" s="47" t="n"/>
      <c r="E1904" s="47" t="n"/>
      <c r="F1904" s="47" t="n"/>
      <c r="G1904" s="47" t="n"/>
      <c r="H1904" s="47" t="n"/>
      <c r="I1904" s="47" t="n"/>
      <c r="J1904" s="47" t="n"/>
      <c r="K1904" s="47" t="n"/>
      <c r="L1904" s="47" t="n"/>
      <c r="M1904" s="47" t="n"/>
      <c r="N1904" s="47" t="n"/>
      <c r="O1904" s="47" t="n"/>
      <c r="P1904" s="47" t="n"/>
      <c r="Q1904" s="47" t="n"/>
      <c r="R1904" s="47" t="n"/>
      <c r="S1904" s="47" t="n"/>
      <c r="T1904" s="47" t="n"/>
      <c r="U1904" s="53" t="n"/>
      <c r="V1904" s="53" t="n"/>
      <c r="W1904" s="47" t="n"/>
      <c r="X1904" s="47" t="n"/>
      <c r="Y1904" s="47" t="n"/>
      <c r="Z1904" s="47" t="n"/>
      <c r="AA1904" s="47" t="n"/>
      <c r="AB1904" s="47" t="n"/>
      <c r="AC1904" s="47" t="n"/>
      <c r="AD1904" s="47" t="n"/>
      <c r="AE1904" s="47" t="n"/>
      <c r="AF1904" s="20">
        <f>IF(A1904="","",YEAR(EDATE(A1904,-3)))</f>
        <v/>
      </c>
      <c r="AG1904" s="20">
        <f>IF(OR(B1904="",'経歴簿'!$C$4=""),"",IF(B1904&amp;""='経歴簿'!$C$4&amp;"",MAX($AG$4:AG1903)+1,""))</f>
        <v/>
      </c>
      <c r="AH1904" s="20">
        <f>IF(A1904="",0,IF(AND(OR('CSV抽出'!$C$4="",A1904&gt;='CSV抽出'!$C$4),OR('CSV抽出'!$C$5="",A1904&lt;='CSV抽出'!$C$5),OR('CSV抽出'!$C$6="すべて",'CSV抽出'!$C$6="",D1904='CSV抽出'!$C$6),OR('CSV抽出'!$C$7="",B1904&amp;""='CSV抽出'!$C$7&amp;"")),1,0))</f>
        <v/>
      </c>
      <c r="AI1904" s="20">
        <f>IF(AH1904=1,SUM($AH$5:AH1904),"")</f>
        <v/>
      </c>
      <c r="AJ1904" s="20">
        <f>IF(OR(S1904="",'報告書'!$C$4=""),"",IF(S1904&amp;""='報告書'!$C$4&amp;"",COUNTIF($S$5:S1904,'報告書'!$C$4),""))</f>
        <v/>
      </c>
      <c r="AK1904" s="20" t="n"/>
      <c r="AL1904" s="47" t="n"/>
      <c r="AM1904" s="47" t="n"/>
      <c r="AN1904" s="53" t="n"/>
      <c r="AO1904" s="47" t="n"/>
      <c r="AP1904" s="47" t="n"/>
      <c r="AQ1904" s="47" t="n"/>
      <c r="AR1904" s="47" t="n"/>
      <c r="AS1904" s="47" t="n"/>
      <c r="AT1904" s="47" t="n"/>
      <c r="AU1904" s="47" t="n"/>
      <c r="AV1904" s="47" t="n"/>
      <c r="AW1904" s="52" t="n"/>
    </row>
    <row r="1905">
      <c r="A1905" s="48" t="n"/>
      <c r="B1905" s="52" t="n"/>
      <c r="C1905" s="47">
        <f>IF(B1905="","",IFERROR(INDEX('隊員マスタ'!$B$5:$B$204,MATCH(B1905&amp;"",'隊員マスタ'!$F$5:$F$204,0)),IF(AK1905="","番号なし",AK1905)))</f>
        <v/>
      </c>
      <c r="D1905" s="47" t="n"/>
      <c r="E1905" s="47" t="n"/>
      <c r="F1905" s="47" t="n"/>
      <c r="G1905" s="47" t="n"/>
      <c r="H1905" s="47" t="n"/>
      <c r="I1905" s="47" t="n"/>
      <c r="J1905" s="47" t="n"/>
      <c r="K1905" s="47" t="n"/>
      <c r="L1905" s="47" t="n"/>
      <c r="M1905" s="47" t="n"/>
      <c r="N1905" s="47" t="n"/>
      <c r="O1905" s="47" t="n"/>
      <c r="P1905" s="47" t="n"/>
      <c r="Q1905" s="47" t="n"/>
      <c r="R1905" s="47" t="n"/>
      <c r="S1905" s="47" t="n"/>
      <c r="T1905" s="47" t="n"/>
      <c r="U1905" s="53" t="n"/>
      <c r="V1905" s="53" t="n"/>
      <c r="W1905" s="47" t="n"/>
      <c r="X1905" s="47" t="n"/>
      <c r="Y1905" s="47" t="n"/>
      <c r="Z1905" s="47" t="n"/>
      <c r="AA1905" s="47" t="n"/>
      <c r="AB1905" s="47" t="n"/>
      <c r="AC1905" s="47" t="n"/>
      <c r="AD1905" s="47" t="n"/>
      <c r="AE1905" s="47" t="n"/>
      <c r="AF1905" s="20">
        <f>IF(A1905="","",YEAR(EDATE(A1905,-3)))</f>
        <v/>
      </c>
      <c r="AG1905" s="20">
        <f>IF(OR(B1905="",'経歴簿'!$C$4=""),"",IF(B1905&amp;""='経歴簿'!$C$4&amp;"",MAX($AG$4:AG1904)+1,""))</f>
        <v/>
      </c>
      <c r="AH1905" s="20">
        <f>IF(A1905="",0,IF(AND(OR('CSV抽出'!$C$4="",A1905&gt;='CSV抽出'!$C$4),OR('CSV抽出'!$C$5="",A1905&lt;='CSV抽出'!$C$5),OR('CSV抽出'!$C$6="すべて",'CSV抽出'!$C$6="",D1905='CSV抽出'!$C$6),OR('CSV抽出'!$C$7="",B1905&amp;""='CSV抽出'!$C$7&amp;"")),1,0))</f>
        <v/>
      </c>
      <c r="AI1905" s="20">
        <f>IF(AH1905=1,SUM($AH$5:AH1905),"")</f>
        <v/>
      </c>
      <c r="AJ1905" s="20">
        <f>IF(OR(S1905="",'報告書'!$C$4=""),"",IF(S1905&amp;""='報告書'!$C$4&amp;"",COUNTIF($S$5:S1905,'報告書'!$C$4),""))</f>
        <v/>
      </c>
      <c r="AK1905" s="20" t="n"/>
      <c r="AL1905" s="47" t="n"/>
      <c r="AM1905" s="47" t="n"/>
      <c r="AN1905" s="53" t="n"/>
      <c r="AO1905" s="47" t="n"/>
      <c r="AP1905" s="47" t="n"/>
      <c r="AQ1905" s="47" t="n"/>
      <c r="AR1905" s="47" t="n"/>
      <c r="AS1905" s="47" t="n"/>
      <c r="AT1905" s="47" t="n"/>
      <c r="AU1905" s="47" t="n"/>
      <c r="AV1905" s="47" t="n"/>
      <c r="AW1905" s="52" t="n"/>
    </row>
    <row r="1906">
      <c r="A1906" s="48" t="n"/>
      <c r="B1906" s="52" t="n"/>
      <c r="C1906" s="47">
        <f>IF(B1906="","",IFERROR(INDEX('隊員マスタ'!$B$5:$B$204,MATCH(B1906&amp;"",'隊員マスタ'!$F$5:$F$204,0)),IF(AK1906="","番号なし",AK1906)))</f>
        <v/>
      </c>
      <c r="D1906" s="47" t="n"/>
      <c r="E1906" s="47" t="n"/>
      <c r="F1906" s="47" t="n"/>
      <c r="G1906" s="47" t="n"/>
      <c r="H1906" s="47" t="n"/>
      <c r="I1906" s="47" t="n"/>
      <c r="J1906" s="47" t="n"/>
      <c r="K1906" s="47" t="n"/>
      <c r="L1906" s="47" t="n"/>
      <c r="M1906" s="47" t="n"/>
      <c r="N1906" s="47" t="n"/>
      <c r="O1906" s="47" t="n"/>
      <c r="P1906" s="47" t="n"/>
      <c r="Q1906" s="47" t="n"/>
      <c r="R1906" s="47" t="n"/>
      <c r="S1906" s="47" t="n"/>
      <c r="T1906" s="47" t="n"/>
      <c r="U1906" s="53" t="n"/>
      <c r="V1906" s="53" t="n"/>
      <c r="W1906" s="47" t="n"/>
      <c r="X1906" s="47" t="n"/>
      <c r="Y1906" s="47" t="n"/>
      <c r="Z1906" s="47" t="n"/>
      <c r="AA1906" s="47" t="n"/>
      <c r="AB1906" s="47" t="n"/>
      <c r="AC1906" s="47" t="n"/>
      <c r="AD1906" s="47" t="n"/>
      <c r="AE1906" s="47" t="n"/>
      <c r="AF1906" s="20">
        <f>IF(A1906="","",YEAR(EDATE(A1906,-3)))</f>
        <v/>
      </c>
      <c r="AG1906" s="20">
        <f>IF(OR(B1906="",'経歴簿'!$C$4=""),"",IF(B1906&amp;""='経歴簿'!$C$4&amp;"",MAX($AG$4:AG1905)+1,""))</f>
        <v/>
      </c>
      <c r="AH1906" s="20">
        <f>IF(A1906="",0,IF(AND(OR('CSV抽出'!$C$4="",A1906&gt;='CSV抽出'!$C$4),OR('CSV抽出'!$C$5="",A1906&lt;='CSV抽出'!$C$5),OR('CSV抽出'!$C$6="すべて",'CSV抽出'!$C$6="",D1906='CSV抽出'!$C$6),OR('CSV抽出'!$C$7="",B1906&amp;""='CSV抽出'!$C$7&amp;"")),1,0))</f>
        <v/>
      </c>
      <c r="AI1906" s="20">
        <f>IF(AH1906=1,SUM($AH$5:AH1906),"")</f>
        <v/>
      </c>
      <c r="AJ1906" s="20">
        <f>IF(OR(S1906="",'報告書'!$C$4=""),"",IF(S1906&amp;""='報告書'!$C$4&amp;"",COUNTIF($S$5:S1906,'報告書'!$C$4),""))</f>
        <v/>
      </c>
      <c r="AK1906" s="20" t="n"/>
      <c r="AL1906" s="47" t="n"/>
      <c r="AM1906" s="47" t="n"/>
      <c r="AN1906" s="53" t="n"/>
      <c r="AO1906" s="47" t="n"/>
      <c r="AP1906" s="47" t="n"/>
      <c r="AQ1906" s="47" t="n"/>
      <c r="AR1906" s="47" t="n"/>
      <c r="AS1906" s="47" t="n"/>
      <c r="AT1906" s="47" t="n"/>
      <c r="AU1906" s="47" t="n"/>
      <c r="AV1906" s="47" t="n"/>
      <c r="AW1906" s="52" t="n"/>
    </row>
    <row r="1907">
      <c r="A1907" s="48" t="n"/>
      <c r="B1907" s="52" t="n"/>
      <c r="C1907" s="47">
        <f>IF(B1907="","",IFERROR(INDEX('隊員マスタ'!$B$5:$B$204,MATCH(B1907&amp;"",'隊員マスタ'!$F$5:$F$204,0)),IF(AK1907="","番号なし",AK1907)))</f>
        <v/>
      </c>
      <c r="D1907" s="47" t="n"/>
      <c r="E1907" s="47" t="n"/>
      <c r="F1907" s="47" t="n"/>
      <c r="G1907" s="47" t="n"/>
      <c r="H1907" s="47" t="n"/>
      <c r="I1907" s="47" t="n"/>
      <c r="J1907" s="47" t="n"/>
      <c r="K1907" s="47" t="n"/>
      <c r="L1907" s="47" t="n"/>
      <c r="M1907" s="47" t="n"/>
      <c r="N1907" s="47" t="n"/>
      <c r="O1907" s="47" t="n"/>
      <c r="P1907" s="47" t="n"/>
      <c r="Q1907" s="47" t="n"/>
      <c r="R1907" s="47" t="n"/>
      <c r="S1907" s="47" t="n"/>
      <c r="T1907" s="47" t="n"/>
      <c r="U1907" s="53" t="n"/>
      <c r="V1907" s="53" t="n"/>
      <c r="W1907" s="47" t="n"/>
      <c r="X1907" s="47" t="n"/>
      <c r="Y1907" s="47" t="n"/>
      <c r="Z1907" s="47" t="n"/>
      <c r="AA1907" s="47" t="n"/>
      <c r="AB1907" s="47" t="n"/>
      <c r="AC1907" s="47" t="n"/>
      <c r="AD1907" s="47" t="n"/>
      <c r="AE1907" s="47" t="n"/>
      <c r="AF1907" s="20">
        <f>IF(A1907="","",YEAR(EDATE(A1907,-3)))</f>
        <v/>
      </c>
      <c r="AG1907" s="20">
        <f>IF(OR(B1907="",'経歴簿'!$C$4=""),"",IF(B1907&amp;""='経歴簿'!$C$4&amp;"",MAX($AG$4:AG1906)+1,""))</f>
        <v/>
      </c>
      <c r="AH1907" s="20">
        <f>IF(A1907="",0,IF(AND(OR('CSV抽出'!$C$4="",A1907&gt;='CSV抽出'!$C$4),OR('CSV抽出'!$C$5="",A1907&lt;='CSV抽出'!$C$5),OR('CSV抽出'!$C$6="すべて",'CSV抽出'!$C$6="",D1907='CSV抽出'!$C$6),OR('CSV抽出'!$C$7="",B1907&amp;""='CSV抽出'!$C$7&amp;"")),1,0))</f>
        <v/>
      </c>
      <c r="AI1907" s="20">
        <f>IF(AH1907=1,SUM($AH$5:AH1907),"")</f>
        <v/>
      </c>
      <c r="AJ1907" s="20">
        <f>IF(OR(S1907="",'報告書'!$C$4=""),"",IF(S1907&amp;""='報告書'!$C$4&amp;"",COUNTIF($S$5:S1907,'報告書'!$C$4),""))</f>
        <v/>
      </c>
      <c r="AK1907" s="20" t="n"/>
      <c r="AL1907" s="47" t="n"/>
      <c r="AM1907" s="47" t="n"/>
      <c r="AN1907" s="53" t="n"/>
      <c r="AO1907" s="47" t="n"/>
      <c r="AP1907" s="47" t="n"/>
      <c r="AQ1907" s="47" t="n"/>
      <c r="AR1907" s="47" t="n"/>
      <c r="AS1907" s="47" t="n"/>
      <c r="AT1907" s="47" t="n"/>
      <c r="AU1907" s="47" t="n"/>
      <c r="AV1907" s="47" t="n"/>
      <c r="AW1907" s="52" t="n"/>
    </row>
    <row r="1908">
      <c r="A1908" s="48" t="n"/>
      <c r="B1908" s="52" t="n"/>
      <c r="C1908" s="47">
        <f>IF(B1908="","",IFERROR(INDEX('隊員マスタ'!$B$5:$B$204,MATCH(B1908&amp;"",'隊員マスタ'!$F$5:$F$204,0)),IF(AK1908="","番号なし",AK1908)))</f>
        <v/>
      </c>
      <c r="D1908" s="47" t="n"/>
      <c r="E1908" s="47" t="n"/>
      <c r="F1908" s="47" t="n"/>
      <c r="G1908" s="47" t="n"/>
      <c r="H1908" s="47" t="n"/>
      <c r="I1908" s="47" t="n"/>
      <c r="J1908" s="47" t="n"/>
      <c r="K1908" s="47" t="n"/>
      <c r="L1908" s="47" t="n"/>
      <c r="M1908" s="47" t="n"/>
      <c r="N1908" s="47" t="n"/>
      <c r="O1908" s="47" t="n"/>
      <c r="P1908" s="47" t="n"/>
      <c r="Q1908" s="47" t="n"/>
      <c r="R1908" s="47" t="n"/>
      <c r="S1908" s="47" t="n"/>
      <c r="T1908" s="47" t="n"/>
      <c r="U1908" s="53" t="n"/>
      <c r="V1908" s="53" t="n"/>
      <c r="W1908" s="47" t="n"/>
      <c r="X1908" s="47" t="n"/>
      <c r="Y1908" s="47" t="n"/>
      <c r="Z1908" s="47" t="n"/>
      <c r="AA1908" s="47" t="n"/>
      <c r="AB1908" s="47" t="n"/>
      <c r="AC1908" s="47" t="n"/>
      <c r="AD1908" s="47" t="n"/>
      <c r="AE1908" s="47" t="n"/>
      <c r="AF1908" s="20">
        <f>IF(A1908="","",YEAR(EDATE(A1908,-3)))</f>
        <v/>
      </c>
      <c r="AG1908" s="20">
        <f>IF(OR(B1908="",'経歴簿'!$C$4=""),"",IF(B1908&amp;""='経歴簿'!$C$4&amp;"",MAX($AG$4:AG1907)+1,""))</f>
        <v/>
      </c>
      <c r="AH1908" s="20">
        <f>IF(A1908="",0,IF(AND(OR('CSV抽出'!$C$4="",A1908&gt;='CSV抽出'!$C$4),OR('CSV抽出'!$C$5="",A1908&lt;='CSV抽出'!$C$5),OR('CSV抽出'!$C$6="すべて",'CSV抽出'!$C$6="",D1908='CSV抽出'!$C$6),OR('CSV抽出'!$C$7="",B1908&amp;""='CSV抽出'!$C$7&amp;"")),1,0))</f>
        <v/>
      </c>
      <c r="AI1908" s="20">
        <f>IF(AH1908=1,SUM($AH$5:AH1908),"")</f>
        <v/>
      </c>
      <c r="AJ1908" s="20">
        <f>IF(OR(S1908="",'報告書'!$C$4=""),"",IF(S1908&amp;""='報告書'!$C$4&amp;"",COUNTIF($S$5:S1908,'報告書'!$C$4),""))</f>
        <v/>
      </c>
      <c r="AK1908" s="20" t="n"/>
      <c r="AL1908" s="47" t="n"/>
      <c r="AM1908" s="47" t="n"/>
      <c r="AN1908" s="53" t="n"/>
      <c r="AO1908" s="47" t="n"/>
      <c r="AP1908" s="47" t="n"/>
      <c r="AQ1908" s="47" t="n"/>
      <c r="AR1908" s="47" t="n"/>
      <c r="AS1908" s="47" t="n"/>
      <c r="AT1908" s="47" t="n"/>
      <c r="AU1908" s="47" t="n"/>
      <c r="AV1908" s="47" t="n"/>
      <c r="AW1908" s="52" t="n"/>
    </row>
    <row r="1909">
      <c r="A1909" s="48" t="n"/>
      <c r="B1909" s="52" t="n"/>
      <c r="C1909" s="47">
        <f>IF(B1909="","",IFERROR(INDEX('隊員マスタ'!$B$5:$B$204,MATCH(B1909&amp;"",'隊員マスタ'!$F$5:$F$204,0)),IF(AK1909="","番号なし",AK1909)))</f>
        <v/>
      </c>
      <c r="D1909" s="47" t="n"/>
      <c r="E1909" s="47" t="n"/>
      <c r="F1909" s="47" t="n"/>
      <c r="G1909" s="47" t="n"/>
      <c r="H1909" s="47" t="n"/>
      <c r="I1909" s="47" t="n"/>
      <c r="J1909" s="47" t="n"/>
      <c r="K1909" s="47" t="n"/>
      <c r="L1909" s="47" t="n"/>
      <c r="M1909" s="47" t="n"/>
      <c r="N1909" s="47" t="n"/>
      <c r="O1909" s="47" t="n"/>
      <c r="P1909" s="47" t="n"/>
      <c r="Q1909" s="47" t="n"/>
      <c r="R1909" s="47" t="n"/>
      <c r="S1909" s="47" t="n"/>
      <c r="T1909" s="47" t="n"/>
      <c r="U1909" s="53" t="n"/>
      <c r="V1909" s="53" t="n"/>
      <c r="W1909" s="47" t="n"/>
      <c r="X1909" s="47" t="n"/>
      <c r="Y1909" s="47" t="n"/>
      <c r="Z1909" s="47" t="n"/>
      <c r="AA1909" s="47" t="n"/>
      <c r="AB1909" s="47" t="n"/>
      <c r="AC1909" s="47" t="n"/>
      <c r="AD1909" s="47" t="n"/>
      <c r="AE1909" s="47" t="n"/>
      <c r="AF1909" s="20">
        <f>IF(A1909="","",YEAR(EDATE(A1909,-3)))</f>
        <v/>
      </c>
      <c r="AG1909" s="20">
        <f>IF(OR(B1909="",'経歴簿'!$C$4=""),"",IF(B1909&amp;""='経歴簿'!$C$4&amp;"",MAX($AG$4:AG1908)+1,""))</f>
        <v/>
      </c>
      <c r="AH1909" s="20">
        <f>IF(A1909="",0,IF(AND(OR('CSV抽出'!$C$4="",A1909&gt;='CSV抽出'!$C$4),OR('CSV抽出'!$C$5="",A1909&lt;='CSV抽出'!$C$5),OR('CSV抽出'!$C$6="すべて",'CSV抽出'!$C$6="",D1909='CSV抽出'!$C$6),OR('CSV抽出'!$C$7="",B1909&amp;""='CSV抽出'!$C$7&amp;"")),1,0))</f>
        <v/>
      </c>
      <c r="AI1909" s="20">
        <f>IF(AH1909=1,SUM($AH$5:AH1909),"")</f>
        <v/>
      </c>
      <c r="AJ1909" s="20">
        <f>IF(OR(S1909="",'報告書'!$C$4=""),"",IF(S1909&amp;""='報告書'!$C$4&amp;"",COUNTIF($S$5:S1909,'報告書'!$C$4),""))</f>
        <v/>
      </c>
      <c r="AK1909" s="20" t="n"/>
      <c r="AL1909" s="47" t="n"/>
      <c r="AM1909" s="47" t="n"/>
      <c r="AN1909" s="53" t="n"/>
      <c r="AO1909" s="47" t="n"/>
      <c r="AP1909" s="47" t="n"/>
      <c r="AQ1909" s="47" t="n"/>
      <c r="AR1909" s="47" t="n"/>
      <c r="AS1909" s="47" t="n"/>
      <c r="AT1909" s="47" t="n"/>
      <c r="AU1909" s="47" t="n"/>
      <c r="AV1909" s="47" t="n"/>
      <c r="AW1909" s="52" t="n"/>
    </row>
    <row r="1910">
      <c r="A1910" s="48" t="n"/>
      <c r="B1910" s="52" t="n"/>
      <c r="C1910" s="47">
        <f>IF(B1910="","",IFERROR(INDEX('隊員マスタ'!$B$5:$B$204,MATCH(B1910&amp;"",'隊員マスタ'!$F$5:$F$204,0)),IF(AK1910="","番号なし",AK1910)))</f>
        <v/>
      </c>
      <c r="D1910" s="47" t="n"/>
      <c r="E1910" s="47" t="n"/>
      <c r="F1910" s="47" t="n"/>
      <c r="G1910" s="47" t="n"/>
      <c r="H1910" s="47" t="n"/>
      <c r="I1910" s="47" t="n"/>
      <c r="J1910" s="47" t="n"/>
      <c r="K1910" s="47" t="n"/>
      <c r="L1910" s="47" t="n"/>
      <c r="M1910" s="47" t="n"/>
      <c r="N1910" s="47" t="n"/>
      <c r="O1910" s="47" t="n"/>
      <c r="P1910" s="47" t="n"/>
      <c r="Q1910" s="47" t="n"/>
      <c r="R1910" s="47" t="n"/>
      <c r="S1910" s="47" t="n"/>
      <c r="T1910" s="47" t="n"/>
      <c r="U1910" s="53" t="n"/>
      <c r="V1910" s="53" t="n"/>
      <c r="W1910" s="47" t="n"/>
      <c r="X1910" s="47" t="n"/>
      <c r="Y1910" s="47" t="n"/>
      <c r="Z1910" s="47" t="n"/>
      <c r="AA1910" s="47" t="n"/>
      <c r="AB1910" s="47" t="n"/>
      <c r="AC1910" s="47" t="n"/>
      <c r="AD1910" s="47" t="n"/>
      <c r="AE1910" s="47" t="n"/>
      <c r="AF1910" s="20">
        <f>IF(A1910="","",YEAR(EDATE(A1910,-3)))</f>
        <v/>
      </c>
      <c r="AG1910" s="20">
        <f>IF(OR(B1910="",'経歴簿'!$C$4=""),"",IF(B1910&amp;""='経歴簿'!$C$4&amp;"",MAX($AG$4:AG1909)+1,""))</f>
        <v/>
      </c>
      <c r="AH1910" s="20">
        <f>IF(A1910="",0,IF(AND(OR('CSV抽出'!$C$4="",A1910&gt;='CSV抽出'!$C$4),OR('CSV抽出'!$C$5="",A1910&lt;='CSV抽出'!$C$5),OR('CSV抽出'!$C$6="すべて",'CSV抽出'!$C$6="",D1910='CSV抽出'!$C$6),OR('CSV抽出'!$C$7="",B1910&amp;""='CSV抽出'!$C$7&amp;"")),1,0))</f>
        <v/>
      </c>
      <c r="AI1910" s="20">
        <f>IF(AH1910=1,SUM($AH$5:AH1910),"")</f>
        <v/>
      </c>
      <c r="AJ1910" s="20">
        <f>IF(OR(S1910="",'報告書'!$C$4=""),"",IF(S1910&amp;""='報告書'!$C$4&amp;"",COUNTIF($S$5:S1910,'報告書'!$C$4),""))</f>
        <v/>
      </c>
      <c r="AK1910" s="20" t="n"/>
      <c r="AL1910" s="47" t="n"/>
      <c r="AM1910" s="47" t="n"/>
      <c r="AN1910" s="53" t="n"/>
      <c r="AO1910" s="47" t="n"/>
      <c r="AP1910" s="47" t="n"/>
      <c r="AQ1910" s="47" t="n"/>
      <c r="AR1910" s="47" t="n"/>
      <c r="AS1910" s="47" t="n"/>
      <c r="AT1910" s="47" t="n"/>
      <c r="AU1910" s="47" t="n"/>
      <c r="AV1910" s="47" t="n"/>
      <c r="AW1910" s="52" t="n"/>
    </row>
    <row r="1911">
      <c r="A1911" s="48" t="n"/>
      <c r="B1911" s="52" t="n"/>
      <c r="C1911" s="47">
        <f>IF(B1911="","",IFERROR(INDEX('隊員マスタ'!$B$5:$B$204,MATCH(B1911&amp;"",'隊員マスタ'!$F$5:$F$204,0)),IF(AK1911="","番号なし",AK1911)))</f>
        <v/>
      </c>
      <c r="D1911" s="47" t="n"/>
      <c r="E1911" s="47" t="n"/>
      <c r="F1911" s="47" t="n"/>
      <c r="G1911" s="47" t="n"/>
      <c r="H1911" s="47" t="n"/>
      <c r="I1911" s="47" t="n"/>
      <c r="J1911" s="47" t="n"/>
      <c r="K1911" s="47" t="n"/>
      <c r="L1911" s="47" t="n"/>
      <c r="M1911" s="47" t="n"/>
      <c r="N1911" s="47" t="n"/>
      <c r="O1911" s="47" t="n"/>
      <c r="P1911" s="47" t="n"/>
      <c r="Q1911" s="47" t="n"/>
      <c r="R1911" s="47" t="n"/>
      <c r="S1911" s="47" t="n"/>
      <c r="T1911" s="47" t="n"/>
      <c r="U1911" s="53" t="n"/>
      <c r="V1911" s="53" t="n"/>
      <c r="W1911" s="47" t="n"/>
      <c r="X1911" s="47" t="n"/>
      <c r="Y1911" s="47" t="n"/>
      <c r="Z1911" s="47" t="n"/>
      <c r="AA1911" s="47" t="n"/>
      <c r="AB1911" s="47" t="n"/>
      <c r="AC1911" s="47" t="n"/>
      <c r="AD1911" s="47" t="n"/>
      <c r="AE1911" s="47" t="n"/>
      <c r="AF1911" s="20">
        <f>IF(A1911="","",YEAR(EDATE(A1911,-3)))</f>
        <v/>
      </c>
      <c r="AG1911" s="20">
        <f>IF(OR(B1911="",'経歴簿'!$C$4=""),"",IF(B1911&amp;""='経歴簿'!$C$4&amp;"",MAX($AG$4:AG1910)+1,""))</f>
        <v/>
      </c>
      <c r="AH1911" s="20">
        <f>IF(A1911="",0,IF(AND(OR('CSV抽出'!$C$4="",A1911&gt;='CSV抽出'!$C$4),OR('CSV抽出'!$C$5="",A1911&lt;='CSV抽出'!$C$5),OR('CSV抽出'!$C$6="すべて",'CSV抽出'!$C$6="",D1911='CSV抽出'!$C$6),OR('CSV抽出'!$C$7="",B1911&amp;""='CSV抽出'!$C$7&amp;"")),1,0))</f>
        <v/>
      </c>
      <c r="AI1911" s="20">
        <f>IF(AH1911=1,SUM($AH$5:AH1911),"")</f>
        <v/>
      </c>
      <c r="AJ1911" s="20">
        <f>IF(OR(S1911="",'報告書'!$C$4=""),"",IF(S1911&amp;""='報告書'!$C$4&amp;"",COUNTIF($S$5:S1911,'報告書'!$C$4),""))</f>
        <v/>
      </c>
      <c r="AK1911" s="20" t="n"/>
      <c r="AL1911" s="47" t="n"/>
      <c r="AM1911" s="47" t="n"/>
      <c r="AN1911" s="53" t="n"/>
      <c r="AO1911" s="47" t="n"/>
      <c r="AP1911" s="47" t="n"/>
      <c r="AQ1911" s="47" t="n"/>
      <c r="AR1911" s="47" t="n"/>
      <c r="AS1911" s="47" t="n"/>
      <c r="AT1911" s="47" t="n"/>
      <c r="AU1911" s="47" t="n"/>
      <c r="AV1911" s="47" t="n"/>
      <c r="AW1911" s="52" t="n"/>
    </row>
    <row r="1912">
      <c r="A1912" s="48" t="n"/>
      <c r="B1912" s="52" t="n"/>
      <c r="C1912" s="47">
        <f>IF(B1912="","",IFERROR(INDEX('隊員マスタ'!$B$5:$B$204,MATCH(B1912&amp;"",'隊員マスタ'!$F$5:$F$204,0)),IF(AK1912="","番号なし",AK1912)))</f>
        <v/>
      </c>
      <c r="D1912" s="47" t="n"/>
      <c r="E1912" s="47" t="n"/>
      <c r="F1912" s="47" t="n"/>
      <c r="G1912" s="47" t="n"/>
      <c r="H1912" s="47" t="n"/>
      <c r="I1912" s="47" t="n"/>
      <c r="J1912" s="47" t="n"/>
      <c r="K1912" s="47" t="n"/>
      <c r="L1912" s="47" t="n"/>
      <c r="M1912" s="47" t="n"/>
      <c r="N1912" s="47" t="n"/>
      <c r="O1912" s="47" t="n"/>
      <c r="P1912" s="47" t="n"/>
      <c r="Q1912" s="47" t="n"/>
      <c r="R1912" s="47" t="n"/>
      <c r="S1912" s="47" t="n"/>
      <c r="T1912" s="47" t="n"/>
      <c r="U1912" s="53" t="n"/>
      <c r="V1912" s="53" t="n"/>
      <c r="W1912" s="47" t="n"/>
      <c r="X1912" s="47" t="n"/>
      <c r="Y1912" s="47" t="n"/>
      <c r="Z1912" s="47" t="n"/>
      <c r="AA1912" s="47" t="n"/>
      <c r="AB1912" s="47" t="n"/>
      <c r="AC1912" s="47" t="n"/>
      <c r="AD1912" s="47" t="n"/>
      <c r="AE1912" s="47" t="n"/>
      <c r="AF1912" s="20">
        <f>IF(A1912="","",YEAR(EDATE(A1912,-3)))</f>
        <v/>
      </c>
      <c r="AG1912" s="20">
        <f>IF(OR(B1912="",'経歴簿'!$C$4=""),"",IF(B1912&amp;""='経歴簿'!$C$4&amp;"",MAX($AG$4:AG1911)+1,""))</f>
        <v/>
      </c>
      <c r="AH1912" s="20">
        <f>IF(A1912="",0,IF(AND(OR('CSV抽出'!$C$4="",A1912&gt;='CSV抽出'!$C$4),OR('CSV抽出'!$C$5="",A1912&lt;='CSV抽出'!$C$5),OR('CSV抽出'!$C$6="すべて",'CSV抽出'!$C$6="",D1912='CSV抽出'!$C$6),OR('CSV抽出'!$C$7="",B1912&amp;""='CSV抽出'!$C$7&amp;"")),1,0))</f>
        <v/>
      </c>
      <c r="AI1912" s="20">
        <f>IF(AH1912=1,SUM($AH$5:AH1912),"")</f>
        <v/>
      </c>
      <c r="AJ1912" s="20">
        <f>IF(OR(S1912="",'報告書'!$C$4=""),"",IF(S1912&amp;""='報告書'!$C$4&amp;"",COUNTIF($S$5:S1912,'報告書'!$C$4),""))</f>
        <v/>
      </c>
      <c r="AK1912" s="20" t="n"/>
      <c r="AL1912" s="47" t="n"/>
      <c r="AM1912" s="47" t="n"/>
      <c r="AN1912" s="53" t="n"/>
      <c r="AO1912" s="47" t="n"/>
      <c r="AP1912" s="47" t="n"/>
      <c r="AQ1912" s="47" t="n"/>
      <c r="AR1912" s="47" t="n"/>
      <c r="AS1912" s="47" t="n"/>
      <c r="AT1912" s="47" t="n"/>
      <c r="AU1912" s="47" t="n"/>
      <c r="AV1912" s="47" t="n"/>
      <c r="AW1912" s="52" t="n"/>
    </row>
    <row r="1913">
      <c r="A1913" s="48" t="n"/>
      <c r="B1913" s="52" t="n"/>
      <c r="C1913" s="47">
        <f>IF(B1913="","",IFERROR(INDEX('隊員マスタ'!$B$5:$B$204,MATCH(B1913&amp;"",'隊員マスタ'!$F$5:$F$204,0)),IF(AK1913="","番号なし",AK1913)))</f>
        <v/>
      </c>
      <c r="D1913" s="47" t="n"/>
      <c r="E1913" s="47" t="n"/>
      <c r="F1913" s="47" t="n"/>
      <c r="G1913" s="47" t="n"/>
      <c r="H1913" s="47" t="n"/>
      <c r="I1913" s="47" t="n"/>
      <c r="J1913" s="47" t="n"/>
      <c r="K1913" s="47" t="n"/>
      <c r="L1913" s="47" t="n"/>
      <c r="M1913" s="47" t="n"/>
      <c r="N1913" s="47" t="n"/>
      <c r="O1913" s="47" t="n"/>
      <c r="P1913" s="47" t="n"/>
      <c r="Q1913" s="47" t="n"/>
      <c r="R1913" s="47" t="n"/>
      <c r="S1913" s="47" t="n"/>
      <c r="T1913" s="47" t="n"/>
      <c r="U1913" s="53" t="n"/>
      <c r="V1913" s="53" t="n"/>
      <c r="W1913" s="47" t="n"/>
      <c r="X1913" s="47" t="n"/>
      <c r="Y1913" s="47" t="n"/>
      <c r="Z1913" s="47" t="n"/>
      <c r="AA1913" s="47" t="n"/>
      <c r="AB1913" s="47" t="n"/>
      <c r="AC1913" s="47" t="n"/>
      <c r="AD1913" s="47" t="n"/>
      <c r="AE1913" s="47" t="n"/>
      <c r="AF1913" s="20">
        <f>IF(A1913="","",YEAR(EDATE(A1913,-3)))</f>
        <v/>
      </c>
      <c r="AG1913" s="20">
        <f>IF(OR(B1913="",'経歴簿'!$C$4=""),"",IF(B1913&amp;""='経歴簿'!$C$4&amp;"",MAX($AG$4:AG1912)+1,""))</f>
        <v/>
      </c>
      <c r="AH1913" s="20">
        <f>IF(A1913="",0,IF(AND(OR('CSV抽出'!$C$4="",A1913&gt;='CSV抽出'!$C$4),OR('CSV抽出'!$C$5="",A1913&lt;='CSV抽出'!$C$5),OR('CSV抽出'!$C$6="すべて",'CSV抽出'!$C$6="",D1913='CSV抽出'!$C$6),OR('CSV抽出'!$C$7="",B1913&amp;""='CSV抽出'!$C$7&amp;"")),1,0))</f>
        <v/>
      </c>
      <c r="AI1913" s="20">
        <f>IF(AH1913=1,SUM($AH$5:AH1913),"")</f>
        <v/>
      </c>
      <c r="AJ1913" s="20">
        <f>IF(OR(S1913="",'報告書'!$C$4=""),"",IF(S1913&amp;""='報告書'!$C$4&amp;"",COUNTIF($S$5:S1913,'報告書'!$C$4),""))</f>
        <v/>
      </c>
      <c r="AK1913" s="20" t="n"/>
      <c r="AL1913" s="47" t="n"/>
      <c r="AM1913" s="47" t="n"/>
      <c r="AN1913" s="53" t="n"/>
      <c r="AO1913" s="47" t="n"/>
      <c r="AP1913" s="47" t="n"/>
      <c r="AQ1913" s="47" t="n"/>
      <c r="AR1913" s="47" t="n"/>
      <c r="AS1913" s="47" t="n"/>
      <c r="AT1913" s="47" t="n"/>
      <c r="AU1913" s="47" t="n"/>
      <c r="AV1913" s="47" t="n"/>
      <c r="AW1913" s="52" t="n"/>
    </row>
    <row r="1914">
      <c r="A1914" s="48" t="n"/>
      <c r="B1914" s="52" t="n"/>
      <c r="C1914" s="47">
        <f>IF(B1914="","",IFERROR(INDEX('隊員マスタ'!$B$5:$B$204,MATCH(B1914&amp;"",'隊員マスタ'!$F$5:$F$204,0)),IF(AK1914="","番号なし",AK1914)))</f>
        <v/>
      </c>
      <c r="D1914" s="47" t="n"/>
      <c r="E1914" s="47" t="n"/>
      <c r="F1914" s="47" t="n"/>
      <c r="G1914" s="47" t="n"/>
      <c r="H1914" s="47" t="n"/>
      <c r="I1914" s="47" t="n"/>
      <c r="J1914" s="47" t="n"/>
      <c r="K1914" s="47" t="n"/>
      <c r="L1914" s="47" t="n"/>
      <c r="M1914" s="47" t="n"/>
      <c r="N1914" s="47" t="n"/>
      <c r="O1914" s="47" t="n"/>
      <c r="P1914" s="47" t="n"/>
      <c r="Q1914" s="47" t="n"/>
      <c r="R1914" s="47" t="n"/>
      <c r="S1914" s="47" t="n"/>
      <c r="T1914" s="47" t="n"/>
      <c r="U1914" s="53" t="n"/>
      <c r="V1914" s="53" t="n"/>
      <c r="W1914" s="47" t="n"/>
      <c r="X1914" s="47" t="n"/>
      <c r="Y1914" s="47" t="n"/>
      <c r="Z1914" s="47" t="n"/>
      <c r="AA1914" s="47" t="n"/>
      <c r="AB1914" s="47" t="n"/>
      <c r="AC1914" s="47" t="n"/>
      <c r="AD1914" s="47" t="n"/>
      <c r="AE1914" s="47" t="n"/>
      <c r="AF1914" s="20">
        <f>IF(A1914="","",YEAR(EDATE(A1914,-3)))</f>
        <v/>
      </c>
      <c r="AG1914" s="20">
        <f>IF(OR(B1914="",'経歴簿'!$C$4=""),"",IF(B1914&amp;""='経歴簿'!$C$4&amp;"",MAX($AG$4:AG1913)+1,""))</f>
        <v/>
      </c>
      <c r="AH1914" s="20">
        <f>IF(A1914="",0,IF(AND(OR('CSV抽出'!$C$4="",A1914&gt;='CSV抽出'!$C$4),OR('CSV抽出'!$C$5="",A1914&lt;='CSV抽出'!$C$5),OR('CSV抽出'!$C$6="すべて",'CSV抽出'!$C$6="",D1914='CSV抽出'!$C$6),OR('CSV抽出'!$C$7="",B1914&amp;""='CSV抽出'!$C$7&amp;"")),1,0))</f>
        <v/>
      </c>
      <c r="AI1914" s="20">
        <f>IF(AH1914=1,SUM($AH$5:AH1914),"")</f>
        <v/>
      </c>
      <c r="AJ1914" s="20">
        <f>IF(OR(S1914="",'報告書'!$C$4=""),"",IF(S1914&amp;""='報告書'!$C$4&amp;"",COUNTIF($S$5:S1914,'報告書'!$C$4),""))</f>
        <v/>
      </c>
      <c r="AK1914" s="20" t="n"/>
      <c r="AL1914" s="47" t="n"/>
      <c r="AM1914" s="47" t="n"/>
      <c r="AN1914" s="53" t="n"/>
      <c r="AO1914" s="47" t="n"/>
      <c r="AP1914" s="47" t="n"/>
      <c r="AQ1914" s="47" t="n"/>
      <c r="AR1914" s="47" t="n"/>
      <c r="AS1914" s="47" t="n"/>
      <c r="AT1914" s="47" t="n"/>
      <c r="AU1914" s="47" t="n"/>
      <c r="AV1914" s="47" t="n"/>
      <c r="AW1914" s="52" t="n"/>
    </row>
    <row r="1915">
      <c r="A1915" s="48" t="n"/>
      <c r="B1915" s="52" t="n"/>
      <c r="C1915" s="47">
        <f>IF(B1915="","",IFERROR(INDEX('隊員マスタ'!$B$5:$B$204,MATCH(B1915&amp;"",'隊員マスタ'!$F$5:$F$204,0)),IF(AK1915="","番号なし",AK1915)))</f>
        <v/>
      </c>
      <c r="D1915" s="47" t="n"/>
      <c r="E1915" s="47" t="n"/>
      <c r="F1915" s="47" t="n"/>
      <c r="G1915" s="47" t="n"/>
      <c r="H1915" s="47" t="n"/>
      <c r="I1915" s="47" t="n"/>
      <c r="J1915" s="47" t="n"/>
      <c r="K1915" s="47" t="n"/>
      <c r="L1915" s="47" t="n"/>
      <c r="M1915" s="47" t="n"/>
      <c r="N1915" s="47" t="n"/>
      <c r="O1915" s="47" t="n"/>
      <c r="P1915" s="47" t="n"/>
      <c r="Q1915" s="47" t="n"/>
      <c r="R1915" s="47" t="n"/>
      <c r="S1915" s="47" t="n"/>
      <c r="T1915" s="47" t="n"/>
      <c r="U1915" s="53" t="n"/>
      <c r="V1915" s="53" t="n"/>
      <c r="W1915" s="47" t="n"/>
      <c r="X1915" s="47" t="n"/>
      <c r="Y1915" s="47" t="n"/>
      <c r="Z1915" s="47" t="n"/>
      <c r="AA1915" s="47" t="n"/>
      <c r="AB1915" s="47" t="n"/>
      <c r="AC1915" s="47" t="n"/>
      <c r="AD1915" s="47" t="n"/>
      <c r="AE1915" s="47" t="n"/>
      <c r="AF1915" s="20">
        <f>IF(A1915="","",YEAR(EDATE(A1915,-3)))</f>
        <v/>
      </c>
      <c r="AG1915" s="20">
        <f>IF(OR(B1915="",'経歴簿'!$C$4=""),"",IF(B1915&amp;""='経歴簿'!$C$4&amp;"",MAX($AG$4:AG1914)+1,""))</f>
        <v/>
      </c>
      <c r="AH1915" s="20">
        <f>IF(A1915="",0,IF(AND(OR('CSV抽出'!$C$4="",A1915&gt;='CSV抽出'!$C$4),OR('CSV抽出'!$C$5="",A1915&lt;='CSV抽出'!$C$5),OR('CSV抽出'!$C$6="すべて",'CSV抽出'!$C$6="",D1915='CSV抽出'!$C$6),OR('CSV抽出'!$C$7="",B1915&amp;""='CSV抽出'!$C$7&amp;"")),1,0))</f>
        <v/>
      </c>
      <c r="AI1915" s="20">
        <f>IF(AH1915=1,SUM($AH$5:AH1915),"")</f>
        <v/>
      </c>
      <c r="AJ1915" s="20">
        <f>IF(OR(S1915="",'報告書'!$C$4=""),"",IF(S1915&amp;""='報告書'!$C$4&amp;"",COUNTIF($S$5:S1915,'報告書'!$C$4),""))</f>
        <v/>
      </c>
      <c r="AK1915" s="20" t="n"/>
      <c r="AL1915" s="47" t="n"/>
      <c r="AM1915" s="47" t="n"/>
      <c r="AN1915" s="53" t="n"/>
      <c r="AO1915" s="47" t="n"/>
      <c r="AP1915" s="47" t="n"/>
      <c r="AQ1915" s="47" t="n"/>
      <c r="AR1915" s="47" t="n"/>
      <c r="AS1915" s="47" t="n"/>
      <c r="AT1915" s="47" t="n"/>
      <c r="AU1915" s="47" t="n"/>
      <c r="AV1915" s="47" t="n"/>
      <c r="AW1915" s="52" t="n"/>
    </row>
    <row r="1916">
      <c r="A1916" s="48" t="n"/>
      <c r="B1916" s="52" t="n"/>
      <c r="C1916" s="47">
        <f>IF(B1916="","",IFERROR(INDEX('隊員マスタ'!$B$5:$B$204,MATCH(B1916&amp;"",'隊員マスタ'!$F$5:$F$204,0)),IF(AK1916="","番号なし",AK1916)))</f>
        <v/>
      </c>
      <c r="D1916" s="47" t="n"/>
      <c r="E1916" s="47" t="n"/>
      <c r="F1916" s="47" t="n"/>
      <c r="G1916" s="47" t="n"/>
      <c r="H1916" s="47" t="n"/>
      <c r="I1916" s="47" t="n"/>
      <c r="J1916" s="47" t="n"/>
      <c r="K1916" s="47" t="n"/>
      <c r="L1916" s="47" t="n"/>
      <c r="M1916" s="47" t="n"/>
      <c r="N1916" s="47" t="n"/>
      <c r="O1916" s="47" t="n"/>
      <c r="P1916" s="47" t="n"/>
      <c r="Q1916" s="47" t="n"/>
      <c r="R1916" s="47" t="n"/>
      <c r="S1916" s="47" t="n"/>
      <c r="T1916" s="47" t="n"/>
      <c r="U1916" s="53" t="n"/>
      <c r="V1916" s="53" t="n"/>
      <c r="W1916" s="47" t="n"/>
      <c r="X1916" s="47" t="n"/>
      <c r="Y1916" s="47" t="n"/>
      <c r="Z1916" s="47" t="n"/>
      <c r="AA1916" s="47" t="n"/>
      <c r="AB1916" s="47" t="n"/>
      <c r="AC1916" s="47" t="n"/>
      <c r="AD1916" s="47" t="n"/>
      <c r="AE1916" s="47" t="n"/>
      <c r="AF1916" s="20">
        <f>IF(A1916="","",YEAR(EDATE(A1916,-3)))</f>
        <v/>
      </c>
      <c r="AG1916" s="20">
        <f>IF(OR(B1916="",'経歴簿'!$C$4=""),"",IF(B1916&amp;""='経歴簿'!$C$4&amp;"",MAX($AG$4:AG1915)+1,""))</f>
        <v/>
      </c>
      <c r="AH1916" s="20">
        <f>IF(A1916="",0,IF(AND(OR('CSV抽出'!$C$4="",A1916&gt;='CSV抽出'!$C$4),OR('CSV抽出'!$C$5="",A1916&lt;='CSV抽出'!$C$5),OR('CSV抽出'!$C$6="すべて",'CSV抽出'!$C$6="",D1916='CSV抽出'!$C$6),OR('CSV抽出'!$C$7="",B1916&amp;""='CSV抽出'!$C$7&amp;"")),1,0))</f>
        <v/>
      </c>
      <c r="AI1916" s="20">
        <f>IF(AH1916=1,SUM($AH$5:AH1916),"")</f>
        <v/>
      </c>
      <c r="AJ1916" s="20">
        <f>IF(OR(S1916="",'報告書'!$C$4=""),"",IF(S1916&amp;""='報告書'!$C$4&amp;"",COUNTIF($S$5:S1916,'報告書'!$C$4),""))</f>
        <v/>
      </c>
      <c r="AK1916" s="20" t="n"/>
      <c r="AL1916" s="47" t="n"/>
      <c r="AM1916" s="47" t="n"/>
      <c r="AN1916" s="53" t="n"/>
      <c r="AO1916" s="47" t="n"/>
      <c r="AP1916" s="47" t="n"/>
      <c r="AQ1916" s="47" t="n"/>
      <c r="AR1916" s="47" t="n"/>
      <c r="AS1916" s="47" t="n"/>
      <c r="AT1916" s="47" t="n"/>
      <c r="AU1916" s="47" t="n"/>
      <c r="AV1916" s="47" t="n"/>
      <c r="AW1916" s="52" t="n"/>
    </row>
    <row r="1917">
      <c r="A1917" s="48" t="n"/>
      <c r="B1917" s="52" t="n"/>
      <c r="C1917" s="47">
        <f>IF(B1917="","",IFERROR(INDEX('隊員マスタ'!$B$5:$B$204,MATCH(B1917&amp;"",'隊員マスタ'!$F$5:$F$204,0)),IF(AK1917="","番号なし",AK1917)))</f>
        <v/>
      </c>
      <c r="D1917" s="47" t="n"/>
      <c r="E1917" s="47" t="n"/>
      <c r="F1917" s="47" t="n"/>
      <c r="G1917" s="47" t="n"/>
      <c r="H1917" s="47" t="n"/>
      <c r="I1917" s="47" t="n"/>
      <c r="J1917" s="47" t="n"/>
      <c r="K1917" s="47" t="n"/>
      <c r="L1917" s="47" t="n"/>
      <c r="M1917" s="47" t="n"/>
      <c r="N1917" s="47" t="n"/>
      <c r="O1917" s="47" t="n"/>
      <c r="P1917" s="47" t="n"/>
      <c r="Q1917" s="47" t="n"/>
      <c r="R1917" s="47" t="n"/>
      <c r="S1917" s="47" t="n"/>
      <c r="T1917" s="47" t="n"/>
      <c r="U1917" s="53" t="n"/>
      <c r="V1917" s="53" t="n"/>
      <c r="W1917" s="47" t="n"/>
      <c r="X1917" s="47" t="n"/>
      <c r="Y1917" s="47" t="n"/>
      <c r="Z1917" s="47" t="n"/>
      <c r="AA1917" s="47" t="n"/>
      <c r="AB1917" s="47" t="n"/>
      <c r="AC1917" s="47" t="n"/>
      <c r="AD1917" s="47" t="n"/>
      <c r="AE1917" s="47" t="n"/>
      <c r="AF1917" s="20">
        <f>IF(A1917="","",YEAR(EDATE(A1917,-3)))</f>
        <v/>
      </c>
      <c r="AG1917" s="20">
        <f>IF(OR(B1917="",'経歴簿'!$C$4=""),"",IF(B1917&amp;""='経歴簿'!$C$4&amp;"",MAX($AG$4:AG1916)+1,""))</f>
        <v/>
      </c>
      <c r="AH1917" s="20">
        <f>IF(A1917="",0,IF(AND(OR('CSV抽出'!$C$4="",A1917&gt;='CSV抽出'!$C$4),OR('CSV抽出'!$C$5="",A1917&lt;='CSV抽出'!$C$5),OR('CSV抽出'!$C$6="すべて",'CSV抽出'!$C$6="",D1917='CSV抽出'!$C$6),OR('CSV抽出'!$C$7="",B1917&amp;""='CSV抽出'!$C$7&amp;"")),1,0))</f>
        <v/>
      </c>
      <c r="AI1917" s="20">
        <f>IF(AH1917=1,SUM($AH$5:AH1917),"")</f>
        <v/>
      </c>
      <c r="AJ1917" s="20">
        <f>IF(OR(S1917="",'報告書'!$C$4=""),"",IF(S1917&amp;""='報告書'!$C$4&amp;"",COUNTIF($S$5:S1917,'報告書'!$C$4),""))</f>
        <v/>
      </c>
      <c r="AK1917" s="20" t="n"/>
      <c r="AL1917" s="47" t="n"/>
      <c r="AM1917" s="47" t="n"/>
      <c r="AN1917" s="53" t="n"/>
      <c r="AO1917" s="47" t="n"/>
      <c r="AP1917" s="47" t="n"/>
      <c r="AQ1917" s="47" t="n"/>
      <c r="AR1917" s="47" t="n"/>
      <c r="AS1917" s="47" t="n"/>
      <c r="AT1917" s="47" t="n"/>
      <c r="AU1917" s="47" t="n"/>
      <c r="AV1917" s="47" t="n"/>
      <c r="AW1917" s="52" t="n"/>
    </row>
    <row r="1918">
      <c r="A1918" s="48" t="n"/>
      <c r="B1918" s="52" t="n"/>
      <c r="C1918" s="47">
        <f>IF(B1918="","",IFERROR(INDEX('隊員マスタ'!$B$5:$B$204,MATCH(B1918&amp;"",'隊員マスタ'!$F$5:$F$204,0)),IF(AK1918="","番号なし",AK1918)))</f>
        <v/>
      </c>
      <c r="D1918" s="47" t="n"/>
      <c r="E1918" s="47" t="n"/>
      <c r="F1918" s="47" t="n"/>
      <c r="G1918" s="47" t="n"/>
      <c r="H1918" s="47" t="n"/>
      <c r="I1918" s="47" t="n"/>
      <c r="J1918" s="47" t="n"/>
      <c r="K1918" s="47" t="n"/>
      <c r="L1918" s="47" t="n"/>
      <c r="M1918" s="47" t="n"/>
      <c r="N1918" s="47" t="n"/>
      <c r="O1918" s="47" t="n"/>
      <c r="P1918" s="47" t="n"/>
      <c r="Q1918" s="47" t="n"/>
      <c r="R1918" s="47" t="n"/>
      <c r="S1918" s="47" t="n"/>
      <c r="T1918" s="47" t="n"/>
      <c r="U1918" s="53" t="n"/>
      <c r="V1918" s="53" t="n"/>
      <c r="W1918" s="47" t="n"/>
      <c r="X1918" s="47" t="n"/>
      <c r="Y1918" s="47" t="n"/>
      <c r="Z1918" s="47" t="n"/>
      <c r="AA1918" s="47" t="n"/>
      <c r="AB1918" s="47" t="n"/>
      <c r="AC1918" s="47" t="n"/>
      <c r="AD1918" s="47" t="n"/>
      <c r="AE1918" s="47" t="n"/>
      <c r="AF1918" s="20">
        <f>IF(A1918="","",YEAR(EDATE(A1918,-3)))</f>
        <v/>
      </c>
      <c r="AG1918" s="20">
        <f>IF(OR(B1918="",'経歴簿'!$C$4=""),"",IF(B1918&amp;""='経歴簿'!$C$4&amp;"",MAX($AG$4:AG1917)+1,""))</f>
        <v/>
      </c>
      <c r="AH1918" s="20">
        <f>IF(A1918="",0,IF(AND(OR('CSV抽出'!$C$4="",A1918&gt;='CSV抽出'!$C$4),OR('CSV抽出'!$C$5="",A1918&lt;='CSV抽出'!$C$5),OR('CSV抽出'!$C$6="すべて",'CSV抽出'!$C$6="",D1918='CSV抽出'!$C$6),OR('CSV抽出'!$C$7="",B1918&amp;""='CSV抽出'!$C$7&amp;"")),1,0))</f>
        <v/>
      </c>
      <c r="AI1918" s="20">
        <f>IF(AH1918=1,SUM($AH$5:AH1918),"")</f>
        <v/>
      </c>
      <c r="AJ1918" s="20">
        <f>IF(OR(S1918="",'報告書'!$C$4=""),"",IF(S1918&amp;""='報告書'!$C$4&amp;"",COUNTIF($S$5:S1918,'報告書'!$C$4),""))</f>
        <v/>
      </c>
      <c r="AK1918" s="20" t="n"/>
      <c r="AL1918" s="47" t="n"/>
      <c r="AM1918" s="47" t="n"/>
      <c r="AN1918" s="53" t="n"/>
      <c r="AO1918" s="47" t="n"/>
      <c r="AP1918" s="47" t="n"/>
      <c r="AQ1918" s="47" t="n"/>
      <c r="AR1918" s="47" t="n"/>
      <c r="AS1918" s="47" t="n"/>
      <c r="AT1918" s="47" t="n"/>
      <c r="AU1918" s="47" t="n"/>
      <c r="AV1918" s="47" t="n"/>
      <c r="AW1918" s="52" t="n"/>
    </row>
    <row r="1919">
      <c r="A1919" s="48" t="n"/>
      <c r="B1919" s="52" t="n"/>
      <c r="C1919" s="47">
        <f>IF(B1919="","",IFERROR(INDEX('隊員マスタ'!$B$5:$B$204,MATCH(B1919&amp;"",'隊員マスタ'!$F$5:$F$204,0)),IF(AK1919="","番号なし",AK1919)))</f>
        <v/>
      </c>
      <c r="D1919" s="47" t="n"/>
      <c r="E1919" s="47" t="n"/>
      <c r="F1919" s="47" t="n"/>
      <c r="G1919" s="47" t="n"/>
      <c r="H1919" s="47" t="n"/>
      <c r="I1919" s="47" t="n"/>
      <c r="J1919" s="47" t="n"/>
      <c r="K1919" s="47" t="n"/>
      <c r="L1919" s="47" t="n"/>
      <c r="M1919" s="47" t="n"/>
      <c r="N1919" s="47" t="n"/>
      <c r="O1919" s="47" t="n"/>
      <c r="P1919" s="47" t="n"/>
      <c r="Q1919" s="47" t="n"/>
      <c r="R1919" s="47" t="n"/>
      <c r="S1919" s="47" t="n"/>
      <c r="T1919" s="47" t="n"/>
      <c r="U1919" s="53" t="n"/>
      <c r="V1919" s="53" t="n"/>
      <c r="W1919" s="47" t="n"/>
      <c r="X1919" s="47" t="n"/>
      <c r="Y1919" s="47" t="n"/>
      <c r="Z1919" s="47" t="n"/>
      <c r="AA1919" s="47" t="n"/>
      <c r="AB1919" s="47" t="n"/>
      <c r="AC1919" s="47" t="n"/>
      <c r="AD1919" s="47" t="n"/>
      <c r="AE1919" s="47" t="n"/>
      <c r="AF1919" s="20">
        <f>IF(A1919="","",YEAR(EDATE(A1919,-3)))</f>
        <v/>
      </c>
      <c r="AG1919" s="20">
        <f>IF(OR(B1919="",'経歴簿'!$C$4=""),"",IF(B1919&amp;""='経歴簿'!$C$4&amp;"",MAX($AG$4:AG1918)+1,""))</f>
        <v/>
      </c>
      <c r="AH1919" s="20">
        <f>IF(A1919="",0,IF(AND(OR('CSV抽出'!$C$4="",A1919&gt;='CSV抽出'!$C$4),OR('CSV抽出'!$C$5="",A1919&lt;='CSV抽出'!$C$5),OR('CSV抽出'!$C$6="すべて",'CSV抽出'!$C$6="",D1919='CSV抽出'!$C$6),OR('CSV抽出'!$C$7="",B1919&amp;""='CSV抽出'!$C$7&amp;"")),1,0))</f>
        <v/>
      </c>
      <c r="AI1919" s="20">
        <f>IF(AH1919=1,SUM($AH$5:AH1919),"")</f>
        <v/>
      </c>
      <c r="AJ1919" s="20">
        <f>IF(OR(S1919="",'報告書'!$C$4=""),"",IF(S1919&amp;""='報告書'!$C$4&amp;"",COUNTIF($S$5:S1919,'報告書'!$C$4),""))</f>
        <v/>
      </c>
      <c r="AK1919" s="20" t="n"/>
      <c r="AL1919" s="47" t="n"/>
      <c r="AM1919" s="47" t="n"/>
      <c r="AN1919" s="53" t="n"/>
      <c r="AO1919" s="47" t="n"/>
      <c r="AP1919" s="47" t="n"/>
      <c r="AQ1919" s="47" t="n"/>
      <c r="AR1919" s="47" t="n"/>
      <c r="AS1919" s="47" t="n"/>
      <c r="AT1919" s="47" t="n"/>
      <c r="AU1919" s="47" t="n"/>
      <c r="AV1919" s="47" t="n"/>
      <c r="AW1919" s="52" t="n"/>
    </row>
    <row r="1920">
      <c r="A1920" s="48" t="n"/>
      <c r="B1920" s="52" t="n"/>
      <c r="C1920" s="47">
        <f>IF(B1920="","",IFERROR(INDEX('隊員マスタ'!$B$5:$B$204,MATCH(B1920&amp;"",'隊員マスタ'!$F$5:$F$204,0)),IF(AK1920="","番号なし",AK1920)))</f>
        <v/>
      </c>
      <c r="D1920" s="47" t="n"/>
      <c r="E1920" s="47" t="n"/>
      <c r="F1920" s="47" t="n"/>
      <c r="G1920" s="47" t="n"/>
      <c r="H1920" s="47" t="n"/>
      <c r="I1920" s="47" t="n"/>
      <c r="J1920" s="47" t="n"/>
      <c r="K1920" s="47" t="n"/>
      <c r="L1920" s="47" t="n"/>
      <c r="M1920" s="47" t="n"/>
      <c r="N1920" s="47" t="n"/>
      <c r="O1920" s="47" t="n"/>
      <c r="P1920" s="47" t="n"/>
      <c r="Q1920" s="47" t="n"/>
      <c r="R1920" s="47" t="n"/>
      <c r="S1920" s="47" t="n"/>
      <c r="T1920" s="47" t="n"/>
      <c r="U1920" s="53" t="n"/>
      <c r="V1920" s="53" t="n"/>
      <c r="W1920" s="47" t="n"/>
      <c r="X1920" s="47" t="n"/>
      <c r="Y1920" s="47" t="n"/>
      <c r="Z1920" s="47" t="n"/>
      <c r="AA1920" s="47" t="n"/>
      <c r="AB1920" s="47" t="n"/>
      <c r="AC1920" s="47" t="n"/>
      <c r="AD1920" s="47" t="n"/>
      <c r="AE1920" s="47" t="n"/>
      <c r="AF1920" s="20">
        <f>IF(A1920="","",YEAR(EDATE(A1920,-3)))</f>
        <v/>
      </c>
      <c r="AG1920" s="20">
        <f>IF(OR(B1920="",'経歴簿'!$C$4=""),"",IF(B1920&amp;""='経歴簿'!$C$4&amp;"",MAX($AG$4:AG1919)+1,""))</f>
        <v/>
      </c>
      <c r="AH1920" s="20">
        <f>IF(A1920="",0,IF(AND(OR('CSV抽出'!$C$4="",A1920&gt;='CSV抽出'!$C$4),OR('CSV抽出'!$C$5="",A1920&lt;='CSV抽出'!$C$5),OR('CSV抽出'!$C$6="すべて",'CSV抽出'!$C$6="",D1920='CSV抽出'!$C$6),OR('CSV抽出'!$C$7="",B1920&amp;""='CSV抽出'!$C$7&amp;"")),1,0))</f>
        <v/>
      </c>
      <c r="AI1920" s="20">
        <f>IF(AH1920=1,SUM($AH$5:AH1920),"")</f>
        <v/>
      </c>
      <c r="AJ1920" s="20">
        <f>IF(OR(S1920="",'報告書'!$C$4=""),"",IF(S1920&amp;""='報告書'!$C$4&amp;"",COUNTIF($S$5:S1920,'報告書'!$C$4),""))</f>
        <v/>
      </c>
      <c r="AK1920" s="20" t="n"/>
      <c r="AL1920" s="47" t="n"/>
      <c r="AM1920" s="47" t="n"/>
      <c r="AN1920" s="53" t="n"/>
      <c r="AO1920" s="47" t="n"/>
      <c r="AP1920" s="47" t="n"/>
      <c r="AQ1920" s="47" t="n"/>
      <c r="AR1920" s="47" t="n"/>
      <c r="AS1920" s="47" t="n"/>
      <c r="AT1920" s="47" t="n"/>
      <c r="AU1920" s="47" t="n"/>
      <c r="AV1920" s="47" t="n"/>
      <c r="AW1920" s="52" t="n"/>
    </row>
    <row r="1921">
      <c r="A1921" s="48" t="n"/>
      <c r="B1921" s="52" t="n"/>
      <c r="C1921" s="47">
        <f>IF(B1921="","",IFERROR(INDEX('隊員マスタ'!$B$5:$B$204,MATCH(B1921&amp;"",'隊員マスタ'!$F$5:$F$204,0)),IF(AK1921="","番号なし",AK1921)))</f>
        <v/>
      </c>
      <c r="D1921" s="47" t="n"/>
      <c r="E1921" s="47" t="n"/>
      <c r="F1921" s="47" t="n"/>
      <c r="G1921" s="47" t="n"/>
      <c r="H1921" s="47" t="n"/>
      <c r="I1921" s="47" t="n"/>
      <c r="J1921" s="47" t="n"/>
      <c r="K1921" s="47" t="n"/>
      <c r="L1921" s="47" t="n"/>
      <c r="M1921" s="47" t="n"/>
      <c r="N1921" s="47" t="n"/>
      <c r="O1921" s="47" t="n"/>
      <c r="P1921" s="47" t="n"/>
      <c r="Q1921" s="47" t="n"/>
      <c r="R1921" s="47" t="n"/>
      <c r="S1921" s="47" t="n"/>
      <c r="T1921" s="47" t="n"/>
      <c r="U1921" s="53" t="n"/>
      <c r="V1921" s="53" t="n"/>
      <c r="W1921" s="47" t="n"/>
      <c r="X1921" s="47" t="n"/>
      <c r="Y1921" s="47" t="n"/>
      <c r="Z1921" s="47" t="n"/>
      <c r="AA1921" s="47" t="n"/>
      <c r="AB1921" s="47" t="n"/>
      <c r="AC1921" s="47" t="n"/>
      <c r="AD1921" s="47" t="n"/>
      <c r="AE1921" s="47" t="n"/>
      <c r="AF1921" s="20">
        <f>IF(A1921="","",YEAR(EDATE(A1921,-3)))</f>
        <v/>
      </c>
      <c r="AG1921" s="20">
        <f>IF(OR(B1921="",'経歴簿'!$C$4=""),"",IF(B1921&amp;""='経歴簿'!$C$4&amp;"",MAX($AG$4:AG1920)+1,""))</f>
        <v/>
      </c>
      <c r="AH1921" s="20">
        <f>IF(A1921="",0,IF(AND(OR('CSV抽出'!$C$4="",A1921&gt;='CSV抽出'!$C$4),OR('CSV抽出'!$C$5="",A1921&lt;='CSV抽出'!$C$5),OR('CSV抽出'!$C$6="すべて",'CSV抽出'!$C$6="",D1921='CSV抽出'!$C$6),OR('CSV抽出'!$C$7="",B1921&amp;""='CSV抽出'!$C$7&amp;"")),1,0))</f>
        <v/>
      </c>
      <c r="AI1921" s="20">
        <f>IF(AH1921=1,SUM($AH$5:AH1921),"")</f>
        <v/>
      </c>
      <c r="AJ1921" s="20">
        <f>IF(OR(S1921="",'報告書'!$C$4=""),"",IF(S1921&amp;""='報告書'!$C$4&amp;"",COUNTIF($S$5:S1921,'報告書'!$C$4),""))</f>
        <v/>
      </c>
      <c r="AK1921" s="20" t="n"/>
      <c r="AL1921" s="47" t="n"/>
      <c r="AM1921" s="47" t="n"/>
      <c r="AN1921" s="53" t="n"/>
      <c r="AO1921" s="47" t="n"/>
      <c r="AP1921" s="47" t="n"/>
      <c r="AQ1921" s="47" t="n"/>
      <c r="AR1921" s="47" t="n"/>
      <c r="AS1921" s="47" t="n"/>
      <c r="AT1921" s="47" t="n"/>
      <c r="AU1921" s="47" t="n"/>
      <c r="AV1921" s="47" t="n"/>
      <c r="AW1921" s="52" t="n"/>
    </row>
    <row r="1922">
      <c r="A1922" s="48" t="n"/>
      <c r="B1922" s="52" t="n"/>
      <c r="C1922" s="47">
        <f>IF(B1922="","",IFERROR(INDEX('隊員マスタ'!$B$5:$B$204,MATCH(B1922&amp;"",'隊員マスタ'!$F$5:$F$204,0)),IF(AK1922="","番号なし",AK1922)))</f>
        <v/>
      </c>
      <c r="D1922" s="47" t="n"/>
      <c r="E1922" s="47" t="n"/>
      <c r="F1922" s="47" t="n"/>
      <c r="G1922" s="47" t="n"/>
      <c r="H1922" s="47" t="n"/>
      <c r="I1922" s="47" t="n"/>
      <c r="J1922" s="47" t="n"/>
      <c r="K1922" s="47" t="n"/>
      <c r="L1922" s="47" t="n"/>
      <c r="M1922" s="47" t="n"/>
      <c r="N1922" s="47" t="n"/>
      <c r="O1922" s="47" t="n"/>
      <c r="P1922" s="47" t="n"/>
      <c r="Q1922" s="47" t="n"/>
      <c r="R1922" s="47" t="n"/>
      <c r="S1922" s="47" t="n"/>
      <c r="T1922" s="47" t="n"/>
      <c r="U1922" s="53" t="n"/>
      <c r="V1922" s="53" t="n"/>
      <c r="W1922" s="47" t="n"/>
      <c r="X1922" s="47" t="n"/>
      <c r="Y1922" s="47" t="n"/>
      <c r="Z1922" s="47" t="n"/>
      <c r="AA1922" s="47" t="n"/>
      <c r="AB1922" s="47" t="n"/>
      <c r="AC1922" s="47" t="n"/>
      <c r="AD1922" s="47" t="n"/>
      <c r="AE1922" s="47" t="n"/>
      <c r="AF1922" s="20">
        <f>IF(A1922="","",YEAR(EDATE(A1922,-3)))</f>
        <v/>
      </c>
      <c r="AG1922" s="20">
        <f>IF(OR(B1922="",'経歴簿'!$C$4=""),"",IF(B1922&amp;""='経歴簿'!$C$4&amp;"",MAX($AG$4:AG1921)+1,""))</f>
        <v/>
      </c>
      <c r="AH1922" s="20">
        <f>IF(A1922="",0,IF(AND(OR('CSV抽出'!$C$4="",A1922&gt;='CSV抽出'!$C$4),OR('CSV抽出'!$C$5="",A1922&lt;='CSV抽出'!$C$5),OR('CSV抽出'!$C$6="すべて",'CSV抽出'!$C$6="",D1922='CSV抽出'!$C$6),OR('CSV抽出'!$C$7="",B1922&amp;""='CSV抽出'!$C$7&amp;"")),1,0))</f>
        <v/>
      </c>
      <c r="AI1922" s="20">
        <f>IF(AH1922=1,SUM($AH$5:AH1922),"")</f>
        <v/>
      </c>
      <c r="AJ1922" s="20">
        <f>IF(OR(S1922="",'報告書'!$C$4=""),"",IF(S1922&amp;""='報告書'!$C$4&amp;"",COUNTIF($S$5:S1922,'報告書'!$C$4),""))</f>
        <v/>
      </c>
      <c r="AK1922" s="20" t="n"/>
      <c r="AL1922" s="47" t="n"/>
      <c r="AM1922" s="47" t="n"/>
      <c r="AN1922" s="53" t="n"/>
      <c r="AO1922" s="47" t="n"/>
      <c r="AP1922" s="47" t="n"/>
      <c r="AQ1922" s="47" t="n"/>
      <c r="AR1922" s="47" t="n"/>
      <c r="AS1922" s="47" t="n"/>
      <c r="AT1922" s="47" t="n"/>
      <c r="AU1922" s="47" t="n"/>
      <c r="AV1922" s="47" t="n"/>
      <c r="AW1922" s="52" t="n"/>
    </row>
    <row r="1923">
      <c r="A1923" s="48" t="n"/>
      <c r="B1923" s="52" t="n"/>
      <c r="C1923" s="47">
        <f>IF(B1923="","",IFERROR(INDEX('隊員マスタ'!$B$5:$B$204,MATCH(B1923&amp;"",'隊員マスタ'!$F$5:$F$204,0)),IF(AK1923="","番号なし",AK1923)))</f>
        <v/>
      </c>
      <c r="D1923" s="47" t="n"/>
      <c r="E1923" s="47" t="n"/>
      <c r="F1923" s="47" t="n"/>
      <c r="G1923" s="47" t="n"/>
      <c r="H1923" s="47" t="n"/>
      <c r="I1923" s="47" t="n"/>
      <c r="J1923" s="47" t="n"/>
      <c r="K1923" s="47" t="n"/>
      <c r="L1923" s="47" t="n"/>
      <c r="M1923" s="47" t="n"/>
      <c r="N1923" s="47" t="n"/>
      <c r="O1923" s="47" t="n"/>
      <c r="P1923" s="47" t="n"/>
      <c r="Q1923" s="47" t="n"/>
      <c r="R1923" s="47" t="n"/>
      <c r="S1923" s="47" t="n"/>
      <c r="T1923" s="47" t="n"/>
      <c r="U1923" s="53" t="n"/>
      <c r="V1923" s="53" t="n"/>
      <c r="W1923" s="47" t="n"/>
      <c r="X1923" s="47" t="n"/>
      <c r="Y1923" s="47" t="n"/>
      <c r="Z1923" s="47" t="n"/>
      <c r="AA1923" s="47" t="n"/>
      <c r="AB1923" s="47" t="n"/>
      <c r="AC1923" s="47" t="n"/>
      <c r="AD1923" s="47" t="n"/>
      <c r="AE1923" s="47" t="n"/>
      <c r="AF1923" s="20">
        <f>IF(A1923="","",YEAR(EDATE(A1923,-3)))</f>
        <v/>
      </c>
      <c r="AG1923" s="20">
        <f>IF(OR(B1923="",'経歴簿'!$C$4=""),"",IF(B1923&amp;""='経歴簿'!$C$4&amp;"",MAX($AG$4:AG1922)+1,""))</f>
        <v/>
      </c>
      <c r="AH1923" s="20">
        <f>IF(A1923="",0,IF(AND(OR('CSV抽出'!$C$4="",A1923&gt;='CSV抽出'!$C$4),OR('CSV抽出'!$C$5="",A1923&lt;='CSV抽出'!$C$5),OR('CSV抽出'!$C$6="すべて",'CSV抽出'!$C$6="",D1923='CSV抽出'!$C$6),OR('CSV抽出'!$C$7="",B1923&amp;""='CSV抽出'!$C$7&amp;"")),1,0))</f>
        <v/>
      </c>
      <c r="AI1923" s="20">
        <f>IF(AH1923=1,SUM($AH$5:AH1923),"")</f>
        <v/>
      </c>
      <c r="AJ1923" s="20">
        <f>IF(OR(S1923="",'報告書'!$C$4=""),"",IF(S1923&amp;""='報告書'!$C$4&amp;"",COUNTIF($S$5:S1923,'報告書'!$C$4),""))</f>
        <v/>
      </c>
      <c r="AK1923" s="20" t="n"/>
      <c r="AL1923" s="47" t="n"/>
      <c r="AM1923" s="47" t="n"/>
      <c r="AN1923" s="53" t="n"/>
      <c r="AO1923" s="47" t="n"/>
      <c r="AP1923" s="47" t="n"/>
      <c r="AQ1923" s="47" t="n"/>
      <c r="AR1923" s="47" t="n"/>
      <c r="AS1923" s="47" t="n"/>
      <c r="AT1923" s="47" t="n"/>
      <c r="AU1923" s="47" t="n"/>
      <c r="AV1923" s="47" t="n"/>
      <c r="AW1923" s="52" t="n"/>
    </row>
    <row r="1924">
      <c r="A1924" s="48" t="n"/>
      <c r="B1924" s="52" t="n"/>
      <c r="C1924" s="47">
        <f>IF(B1924="","",IFERROR(INDEX('隊員マスタ'!$B$5:$B$204,MATCH(B1924&amp;"",'隊員マスタ'!$F$5:$F$204,0)),IF(AK1924="","番号なし",AK1924)))</f>
        <v/>
      </c>
      <c r="D1924" s="47" t="n"/>
      <c r="E1924" s="47" t="n"/>
      <c r="F1924" s="47" t="n"/>
      <c r="G1924" s="47" t="n"/>
      <c r="H1924" s="47" t="n"/>
      <c r="I1924" s="47" t="n"/>
      <c r="J1924" s="47" t="n"/>
      <c r="K1924" s="47" t="n"/>
      <c r="L1924" s="47" t="n"/>
      <c r="M1924" s="47" t="n"/>
      <c r="N1924" s="47" t="n"/>
      <c r="O1924" s="47" t="n"/>
      <c r="P1924" s="47" t="n"/>
      <c r="Q1924" s="47" t="n"/>
      <c r="R1924" s="47" t="n"/>
      <c r="S1924" s="47" t="n"/>
      <c r="T1924" s="47" t="n"/>
      <c r="U1924" s="53" t="n"/>
      <c r="V1924" s="53" t="n"/>
      <c r="W1924" s="47" t="n"/>
      <c r="X1924" s="47" t="n"/>
      <c r="Y1924" s="47" t="n"/>
      <c r="Z1924" s="47" t="n"/>
      <c r="AA1924" s="47" t="n"/>
      <c r="AB1924" s="47" t="n"/>
      <c r="AC1924" s="47" t="n"/>
      <c r="AD1924" s="47" t="n"/>
      <c r="AE1924" s="47" t="n"/>
      <c r="AF1924" s="20">
        <f>IF(A1924="","",YEAR(EDATE(A1924,-3)))</f>
        <v/>
      </c>
      <c r="AG1924" s="20">
        <f>IF(OR(B1924="",'経歴簿'!$C$4=""),"",IF(B1924&amp;""='経歴簿'!$C$4&amp;"",MAX($AG$4:AG1923)+1,""))</f>
        <v/>
      </c>
      <c r="AH1924" s="20">
        <f>IF(A1924="",0,IF(AND(OR('CSV抽出'!$C$4="",A1924&gt;='CSV抽出'!$C$4),OR('CSV抽出'!$C$5="",A1924&lt;='CSV抽出'!$C$5),OR('CSV抽出'!$C$6="すべて",'CSV抽出'!$C$6="",D1924='CSV抽出'!$C$6),OR('CSV抽出'!$C$7="",B1924&amp;""='CSV抽出'!$C$7&amp;"")),1,0))</f>
        <v/>
      </c>
      <c r="AI1924" s="20">
        <f>IF(AH1924=1,SUM($AH$5:AH1924),"")</f>
        <v/>
      </c>
      <c r="AJ1924" s="20">
        <f>IF(OR(S1924="",'報告書'!$C$4=""),"",IF(S1924&amp;""='報告書'!$C$4&amp;"",COUNTIF($S$5:S1924,'報告書'!$C$4),""))</f>
        <v/>
      </c>
      <c r="AK1924" s="20" t="n"/>
      <c r="AL1924" s="47" t="n"/>
      <c r="AM1924" s="47" t="n"/>
      <c r="AN1924" s="53" t="n"/>
      <c r="AO1924" s="47" t="n"/>
      <c r="AP1924" s="47" t="n"/>
      <c r="AQ1924" s="47" t="n"/>
      <c r="AR1924" s="47" t="n"/>
      <c r="AS1924" s="47" t="n"/>
      <c r="AT1924" s="47" t="n"/>
      <c r="AU1924" s="47" t="n"/>
      <c r="AV1924" s="47" t="n"/>
      <c r="AW1924" s="52" t="n"/>
    </row>
    <row r="1925">
      <c r="A1925" s="48" t="n"/>
      <c r="B1925" s="52" t="n"/>
      <c r="C1925" s="47">
        <f>IF(B1925="","",IFERROR(INDEX('隊員マスタ'!$B$5:$B$204,MATCH(B1925&amp;"",'隊員マスタ'!$F$5:$F$204,0)),IF(AK1925="","番号なし",AK1925)))</f>
        <v/>
      </c>
      <c r="D1925" s="47" t="n"/>
      <c r="E1925" s="47" t="n"/>
      <c r="F1925" s="47" t="n"/>
      <c r="G1925" s="47" t="n"/>
      <c r="H1925" s="47" t="n"/>
      <c r="I1925" s="47" t="n"/>
      <c r="J1925" s="47" t="n"/>
      <c r="K1925" s="47" t="n"/>
      <c r="L1925" s="47" t="n"/>
      <c r="M1925" s="47" t="n"/>
      <c r="N1925" s="47" t="n"/>
      <c r="O1925" s="47" t="n"/>
      <c r="P1925" s="47" t="n"/>
      <c r="Q1925" s="47" t="n"/>
      <c r="R1925" s="47" t="n"/>
      <c r="S1925" s="47" t="n"/>
      <c r="T1925" s="47" t="n"/>
      <c r="U1925" s="53" t="n"/>
      <c r="V1925" s="53" t="n"/>
      <c r="W1925" s="47" t="n"/>
      <c r="X1925" s="47" t="n"/>
      <c r="Y1925" s="47" t="n"/>
      <c r="Z1925" s="47" t="n"/>
      <c r="AA1925" s="47" t="n"/>
      <c r="AB1925" s="47" t="n"/>
      <c r="AC1925" s="47" t="n"/>
      <c r="AD1925" s="47" t="n"/>
      <c r="AE1925" s="47" t="n"/>
      <c r="AF1925" s="20">
        <f>IF(A1925="","",YEAR(EDATE(A1925,-3)))</f>
        <v/>
      </c>
      <c r="AG1925" s="20">
        <f>IF(OR(B1925="",'経歴簿'!$C$4=""),"",IF(B1925&amp;""='経歴簿'!$C$4&amp;"",MAX($AG$4:AG1924)+1,""))</f>
        <v/>
      </c>
      <c r="AH1925" s="20">
        <f>IF(A1925="",0,IF(AND(OR('CSV抽出'!$C$4="",A1925&gt;='CSV抽出'!$C$4),OR('CSV抽出'!$C$5="",A1925&lt;='CSV抽出'!$C$5),OR('CSV抽出'!$C$6="すべて",'CSV抽出'!$C$6="",D1925='CSV抽出'!$C$6),OR('CSV抽出'!$C$7="",B1925&amp;""='CSV抽出'!$C$7&amp;"")),1,0))</f>
        <v/>
      </c>
      <c r="AI1925" s="20">
        <f>IF(AH1925=1,SUM($AH$5:AH1925),"")</f>
        <v/>
      </c>
      <c r="AJ1925" s="20">
        <f>IF(OR(S1925="",'報告書'!$C$4=""),"",IF(S1925&amp;""='報告書'!$C$4&amp;"",COUNTIF($S$5:S1925,'報告書'!$C$4),""))</f>
        <v/>
      </c>
      <c r="AK1925" s="20" t="n"/>
      <c r="AL1925" s="47" t="n"/>
      <c r="AM1925" s="47" t="n"/>
      <c r="AN1925" s="53" t="n"/>
      <c r="AO1925" s="47" t="n"/>
      <c r="AP1925" s="47" t="n"/>
      <c r="AQ1925" s="47" t="n"/>
      <c r="AR1925" s="47" t="n"/>
      <c r="AS1925" s="47" t="n"/>
      <c r="AT1925" s="47" t="n"/>
      <c r="AU1925" s="47" t="n"/>
      <c r="AV1925" s="47" t="n"/>
      <c r="AW1925" s="52" t="n"/>
    </row>
    <row r="1926">
      <c r="A1926" s="48" t="n"/>
      <c r="B1926" s="52" t="n"/>
      <c r="C1926" s="47">
        <f>IF(B1926="","",IFERROR(INDEX('隊員マスタ'!$B$5:$B$204,MATCH(B1926&amp;"",'隊員マスタ'!$F$5:$F$204,0)),IF(AK1926="","番号なし",AK1926)))</f>
        <v/>
      </c>
      <c r="D1926" s="47" t="n"/>
      <c r="E1926" s="47" t="n"/>
      <c r="F1926" s="47" t="n"/>
      <c r="G1926" s="47" t="n"/>
      <c r="H1926" s="47" t="n"/>
      <c r="I1926" s="47" t="n"/>
      <c r="J1926" s="47" t="n"/>
      <c r="K1926" s="47" t="n"/>
      <c r="L1926" s="47" t="n"/>
      <c r="M1926" s="47" t="n"/>
      <c r="N1926" s="47" t="n"/>
      <c r="O1926" s="47" t="n"/>
      <c r="P1926" s="47" t="n"/>
      <c r="Q1926" s="47" t="n"/>
      <c r="R1926" s="47" t="n"/>
      <c r="S1926" s="47" t="n"/>
      <c r="T1926" s="47" t="n"/>
      <c r="U1926" s="53" t="n"/>
      <c r="V1926" s="53" t="n"/>
      <c r="W1926" s="47" t="n"/>
      <c r="X1926" s="47" t="n"/>
      <c r="Y1926" s="47" t="n"/>
      <c r="Z1926" s="47" t="n"/>
      <c r="AA1926" s="47" t="n"/>
      <c r="AB1926" s="47" t="n"/>
      <c r="AC1926" s="47" t="n"/>
      <c r="AD1926" s="47" t="n"/>
      <c r="AE1926" s="47" t="n"/>
      <c r="AF1926" s="20">
        <f>IF(A1926="","",YEAR(EDATE(A1926,-3)))</f>
        <v/>
      </c>
      <c r="AG1926" s="20">
        <f>IF(OR(B1926="",'経歴簿'!$C$4=""),"",IF(B1926&amp;""='経歴簿'!$C$4&amp;"",MAX($AG$4:AG1925)+1,""))</f>
        <v/>
      </c>
      <c r="AH1926" s="20">
        <f>IF(A1926="",0,IF(AND(OR('CSV抽出'!$C$4="",A1926&gt;='CSV抽出'!$C$4),OR('CSV抽出'!$C$5="",A1926&lt;='CSV抽出'!$C$5),OR('CSV抽出'!$C$6="すべて",'CSV抽出'!$C$6="",D1926='CSV抽出'!$C$6),OR('CSV抽出'!$C$7="",B1926&amp;""='CSV抽出'!$C$7&amp;"")),1,0))</f>
        <v/>
      </c>
      <c r="AI1926" s="20">
        <f>IF(AH1926=1,SUM($AH$5:AH1926),"")</f>
        <v/>
      </c>
      <c r="AJ1926" s="20">
        <f>IF(OR(S1926="",'報告書'!$C$4=""),"",IF(S1926&amp;""='報告書'!$C$4&amp;"",COUNTIF($S$5:S1926,'報告書'!$C$4),""))</f>
        <v/>
      </c>
      <c r="AK1926" s="20" t="n"/>
      <c r="AL1926" s="47" t="n"/>
      <c r="AM1926" s="47" t="n"/>
      <c r="AN1926" s="53" t="n"/>
      <c r="AO1926" s="47" t="n"/>
      <c r="AP1926" s="47" t="n"/>
      <c r="AQ1926" s="47" t="n"/>
      <c r="AR1926" s="47" t="n"/>
      <c r="AS1926" s="47" t="n"/>
      <c r="AT1926" s="47" t="n"/>
      <c r="AU1926" s="47" t="n"/>
      <c r="AV1926" s="47" t="n"/>
      <c r="AW1926" s="52" t="n"/>
    </row>
    <row r="1927">
      <c r="A1927" s="48" t="n"/>
      <c r="B1927" s="52" t="n"/>
      <c r="C1927" s="47">
        <f>IF(B1927="","",IFERROR(INDEX('隊員マスタ'!$B$5:$B$204,MATCH(B1927&amp;"",'隊員マスタ'!$F$5:$F$204,0)),IF(AK1927="","番号なし",AK1927)))</f>
        <v/>
      </c>
      <c r="D1927" s="47" t="n"/>
      <c r="E1927" s="47" t="n"/>
      <c r="F1927" s="47" t="n"/>
      <c r="G1927" s="47" t="n"/>
      <c r="H1927" s="47" t="n"/>
      <c r="I1927" s="47" t="n"/>
      <c r="J1927" s="47" t="n"/>
      <c r="K1927" s="47" t="n"/>
      <c r="L1927" s="47" t="n"/>
      <c r="M1927" s="47" t="n"/>
      <c r="N1927" s="47" t="n"/>
      <c r="O1927" s="47" t="n"/>
      <c r="P1927" s="47" t="n"/>
      <c r="Q1927" s="47" t="n"/>
      <c r="R1927" s="47" t="n"/>
      <c r="S1927" s="47" t="n"/>
      <c r="T1927" s="47" t="n"/>
      <c r="U1927" s="53" t="n"/>
      <c r="V1927" s="53" t="n"/>
      <c r="W1927" s="47" t="n"/>
      <c r="X1927" s="47" t="n"/>
      <c r="Y1927" s="47" t="n"/>
      <c r="Z1927" s="47" t="n"/>
      <c r="AA1927" s="47" t="n"/>
      <c r="AB1927" s="47" t="n"/>
      <c r="AC1927" s="47" t="n"/>
      <c r="AD1927" s="47" t="n"/>
      <c r="AE1927" s="47" t="n"/>
      <c r="AF1927" s="20">
        <f>IF(A1927="","",YEAR(EDATE(A1927,-3)))</f>
        <v/>
      </c>
      <c r="AG1927" s="20">
        <f>IF(OR(B1927="",'経歴簿'!$C$4=""),"",IF(B1927&amp;""='経歴簿'!$C$4&amp;"",MAX($AG$4:AG1926)+1,""))</f>
        <v/>
      </c>
      <c r="AH1927" s="20">
        <f>IF(A1927="",0,IF(AND(OR('CSV抽出'!$C$4="",A1927&gt;='CSV抽出'!$C$4),OR('CSV抽出'!$C$5="",A1927&lt;='CSV抽出'!$C$5),OR('CSV抽出'!$C$6="すべて",'CSV抽出'!$C$6="",D1927='CSV抽出'!$C$6),OR('CSV抽出'!$C$7="",B1927&amp;""='CSV抽出'!$C$7&amp;"")),1,0))</f>
        <v/>
      </c>
      <c r="AI1927" s="20">
        <f>IF(AH1927=1,SUM($AH$5:AH1927),"")</f>
        <v/>
      </c>
      <c r="AJ1927" s="20">
        <f>IF(OR(S1927="",'報告書'!$C$4=""),"",IF(S1927&amp;""='報告書'!$C$4&amp;"",COUNTIF($S$5:S1927,'報告書'!$C$4),""))</f>
        <v/>
      </c>
      <c r="AK1927" s="20" t="n"/>
      <c r="AL1927" s="47" t="n"/>
      <c r="AM1927" s="47" t="n"/>
      <c r="AN1927" s="53" t="n"/>
      <c r="AO1927" s="47" t="n"/>
      <c r="AP1927" s="47" t="n"/>
      <c r="AQ1927" s="47" t="n"/>
      <c r="AR1927" s="47" t="n"/>
      <c r="AS1927" s="47" t="n"/>
      <c r="AT1927" s="47" t="n"/>
      <c r="AU1927" s="47" t="n"/>
      <c r="AV1927" s="47" t="n"/>
      <c r="AW1927" s="52" t="n"/>
    </row>
    <row r="1928">
      <c r="A1928" s="48" t="n"/>
      <c r="B1928" s="52" t="n"/>
      <c r="C1928" s="47">
        <f>IF(B1928="","",IFERROR(INDEX('隊員マスタ'!$B$5:$B$204,MATCH(B1928&amp;"",'隊員マスタ'!$F$5:$F$204,0)),IF(AK1928="","番号なし",AK1928)))</f>
        <v/>
      </c>
      <c r="D1928" s="47" t="n"/>
      <c r="E1928" s="47" t="n"/>
      <c r="F1928" s="47" t="n"/>
      <c r="G1928" s="47" t="n"/>
      <c r="H1928" s="47" t="n"/>
      <c r="I1928" s="47" t="n"/>
      <c r="J1928" s="47" t="n"/>
      <c r="K1928" s="47" t="n"/>
      <c r="L1928" s="47" t="n"/>
      <c r="M1928" s="47" t="n"/>
      <c r="N1928" s="47" t="n"/>
      <c r="O1928" s="47" t="n"/>
      <c r="P1928" s="47" t="n"/>
      <c r="Q1928" s="47" t="n"/>
      <c r="R1928" s="47" t="n"/>
      <c r="S1928" s="47" t="n"/>
      <c r="T1928" s="47" t="n"/>
      <c r="U1928" s="53" t="n"/>
      <c r="V1928" s="53" t="n"/>
      <c r="W1928" s="47" t="n"/>
      <c r="X1928" s="47" t="n"/>
      <c r="Y1928" s="47" t="n"/>
      <c r="Z1928" s="47" t="n"/>
      <c r="AA1928" s="47" t="n"/>
      <c r="AB1928" s="47" t="n"/>
      <c r="AC1928" s="47" t="n"/>
      <c r="AD1928" s="47" t="n"/>
      <c r="AE1928" s="47" t="n"/>
      <c r="AF1928" s="20">
        <f>IF(A1928="","",YEAR(EDATE(A1928,-3)))</f>
        <v/>
      </c>
      <c r="AG1928" s="20">
        <f>IF(OR(B1928="",'経歴簿'!$C$4=""),"",IF(B1928&amp;""='経歴簿'!$C$4&amp;"",MAX($AG$4:AG1927)+1,""))</f>
        <v/>
      </c>
      <c r="AH1928" s="20">
        <f>IF(A1928="",0,IF(AND(OR('CSV抽出'!$C$4="",A1928&gt;='CSV抽出'!$C$4),OR('CSV抽出'!$C$5="",A1928&lt;='CSV抽出'!$C$5),OR('CSV抽出'!$C$6="すべて",'CSV抽出'!$C$6="",D1928='CSV抽出'!$C$6),OR('CSV抽出'!$C$7="",B1928&amp;""='CSV抽出'!$C$7&amp;"")),1,0))</f>
        <v/>
      </c>
      <c r="AI1928" s="20">
        <f>IF(AH1928=1,SUM($AH$5:AH1928),"")</f>
        <v/>
      </c>
      <c r="AJ1928" s="20">
        <f>IF(OR(S1928="",'報告書'!$C$4=""),"",IF(S1928&amp;""='報告書'!$C$4&amp;"",COUNTIF($S$5:S1928,'報告書'!$C$4),""))</f>
        <v/>
      </c>
      <c r="AK1928" s="20" t="n"/>
      <c r="AL1928" s="47" t="n"/>
      <c r="AM1928" s="47" t="n"/>
      <c r="AN1928" s="53" t="n"/>
      <c r="AO1928" s="47" t="n"/>
      <c r="AP1928" s="47" t="n"/>
      <c r="AQ1928" s="47" t="n"/>
      <c r="AR1928" s="47" t="n"/>
      <c r="AS1928" s="47" t="n"/>
      <c r="AT1928" s="47" t="n"/>
      <c r="AU1928" s="47" t="n"/>
      <c r="AV1928" s="47" t="n"/>
      <c r="AW1928" s="52" t="n"/>
    </row>
    <row r="1929">
      <c r="A1929" s="48" t="n"/>
      <c r="B1929" s="52" t="n"/>
      <c r="C1929" s="47">
        <f>IF(B1929="","",IFERROR(INDEX('隊員マスタ'!$B$5:$B$204,MATCH(B1929&amp;"",'隊員マスタ'!$F$5:$F$204,0)),IF(AK1929="","番号なし",AK1929)))</f>
        <v/>
      </c>
      <c r="D1929" s="47" t="n"/>
      <c r="E1929" s="47" t="n"/>
      <c r="F1929" s="47" t="n"/>
      <c r="G1929" s="47" t="n"/>
      <c r="H1929" s="47" t="n"/>
      <c r="I1929" s="47" t="n"/>
      <c r="J1929" s="47" t="n"/>
      <c r="K1929" s="47" t="n"/>
      <c r="L1929" s="47" t="n"/>
      <c r="M1929" s="47" t="n"/>
      <c r="N1929" s="47" t="n"/>
      <c r="O1929" s="47" t="n"/>
      <c r="P1929" s="47" t="n"/>
      <c r="Q1929" s="47" t="n"/>
      <c r="R1929" s="47" t="n"/>
      <c r="S1929" s="47" t="n"/>
      <c r="T1929" s="47" t="n"/>
      <c r="U1929" s="53" t="n"/>
      <c r="V1929" s="53" t="n"/>
      <c r="W1929" s="47" t="n"/>
      <c r="X1929" s="47" t="n"/>
      <c r="Y1929" s="47" t="n"/>
      <c r="Z1929" s="47" t="n"/>
      <c r="AA1929" s="47" t="n"/>
      <c r="AB1929" s="47" t="n"/>
      <c r="AC1929" s="47" t="n"/>
      <c r="AD1929" s="47" t="n"/>
      <c r="AE1929" s="47" t="n"/>
      <c r="AF1929" s="20">
        <f>IF(A1929="","",YEAR(EDATE(A1929,-3)))</f>
        <v/>
      </c>
      <c r="AG1929" s="20">
        <f>IF(OR(B1929="",'経歴簿'!$C$4=""),"",IF(B1929&amp;""='経歴簿'!$C$4&amp;"",MAX($AG$4:AG1928)+1,""))</f>
        <v/>
      </c>
      <c r="AH1929" s="20">
        <f>IF(A1929="",0,IF(AND(OR('CSV抽出'!$C$4="",A1929&gt;='CSV抽出'!$C$4),OR('CSV抽出'!$C$5="",A1929&lt;='CSV抽出'!$C$5),OR('CSV抽出'!$C$6="すべて",'CSV抽出'!$C$6="",D1929='CSV抽出'!$C$6),OR('CSV抽出'!$C$7="",B1929&amp;""='CSV抽出'!$C$7&amp;"")),1,0))</f>
        <v/>
      </c>
      <c r="AI1929" s="20">
        <f>IF(AH1929=1,SUM($AH$5:AH1929),"")</f>
        <v/>
      </c>
      <c r="AJ1929" s="20">
        <f>IF(OR(S1929="",'報告書'!$C$4=""),"",IF(S1929&amp;""='報告書'!$C$4&amp;"",COUNTIF($S$5:S1929,'報告書'!$C$4),""))</f>
        <v/>
      </c>
      <c r="AK1929" s="20" t="n"/>
      <c r="AL1929" s="47" t="n"/>
      <c r="AM1929" s="47" t="n"/>
      <c r="AN1929" s="53" t="n"/>
      <c r="AO1929" s="47" t="n"/>
      <c r="AP1929" s="47" t="n"/>
      <c r="AQ1929" s="47" t="n"/>
      <c r="AR1929" s="47" t="n"/>
      <c r="AS1929" s="47" t="n"/>
      <c r="AT1929" s="47" t="n"/>
      <c r="AU1929" s="47" t="n"/>
      <c r="AV1929" s="47" t="n"/>
      <c r="AW1929" s="52" t="n"/>
    </row>
    <row r="1930">
      <c r="A1930" s="48" t="n"/>
      <c r="B1930" s="52" t="n"/>
      <c r="C1930" s="47">
        <f>IF(B1930="","",IFERROR(INDEX('隊員マスタ'!$B$5:$B$204,MATCH(B1930&amp;"",'隊員マスタ'!$F$5:$F$204,0)),IF(AK1930="","番号なし",AK1930)))</f>
        <v/>
      </c>
      <c r="D1930" s="47" t="n"/>
      <c r="E1930" s="47" t="n"/>
      <c r="F1930" s="47" t="n"/>
      <c r="G1930" s="47" t="n"/>
      <c r="H1930" s="47" t="n"/>
      <c r="I1930" s="47" t="n"/>
      <c r="J1930" s="47" t="n"/>
      <c r="K1930" s="47" t="n"/>
      <c r="L1930" s="47" t="n"/>
      <c r="M1930" s="47" t="n"/>
      <c r="N1930" s="47" t="n"/>
      <c r="O1930" s="47" t="n"/>
      <c r="P1930" s="47" t="n"/>
      <c r="Q1930" s="47" t="n"/>
      <c r="R1930" s="47" t="n"/>
      <c r="S1930" s="47" t="n"/>
      <c r="T1930" s="47" t="n"/>
      <c r="U1930" s="53" t="n"/>
      <c r="V1930" s="53" t="n"/>
      <c r="W1930" s="47" t="n"/>
      <c r="X1930" s="47" t="n"/>
      <c r="Y1930" s="47" t="n"/>
      <c r="Z1930" s="47" t="n"/>
      <c r="AA1930" s="47" t="n"/>
      <c r="AB1930" s="47" t="n"/>
      <c r="AC1930" s="47" t="n"/>
      <c r="AD1930" s="47" t="n"/>
      <c r="AE1930" s="47" t="n"/>
      <c r="AF1930" s="20">
        <f>IF(A1930="","",YEAR(EDATE(A1930,-3)))</f>
        <v/>
      </c>
      <c r="AG1930" s="20">
        <f>IF(OR(B1930="",'経歴簿'!$C$4=""),"",IF(B1930&amp;""='経歴簿'!$C$4&amp;"",MAX($AG$4:AG1929)+1,""))</f>
        <v/>
      </c>
      <c r="AH1930" s="20">
        <f>IF(A1930="",0,IF(AND(OR('CSV抽出'!$C$4="",A1930&gt;='CSV抽出'!$C$4),OR('CSV抽出'!$C$5="",A1930&lt;='CSV抽出'!$C$5),OR('CSV抽出'!$C$6="すべて",'CSV抽出'!$C$6="",D1930='CSV抽出'!$C$6),OR('CSV抽出'!$C$7="",B1930&amp;""='CSV抽出'!$C$7&amp;"")),1,0))</f>
        <v/>
      </c>
      <c r="AI1930" s="20">
        <f>IF(AH1930=1,SUM($AH$5:AH1930),"")</f>
        <v/>
      </c>
      <c r="AJ1930" s="20">
        <f>IF(OR(S1930="",'報告書'!$C$4=""),"",IF(S1930&amp;""='報告書'!$C$4&amp;"",COUNTIF($S$5:S1930,'報告書'!$C$4),""))</f>
        <v/>
      </c>
      <c r="AK1930" s="20" t="n"/>
      <c r="AL1930" s="47" t="n"/>
      <c r="AM1930" s="47" t="n"/>
      <c r="AN1930" s="53" t="n"/>
      <c r="AO1930" s="47" t="n"/>
      <c r="AP1930" s="47" t="n"/>
      <c r="AQ1930" s="47" t="n"/>
      <c r="AR1930" s="47" t="n"/>
      <c r="AS1930" s="47" t="n"/>
      <c r="AT1930" s="47" t="n"/>
      <c r="AU1930" s="47" t="n"/>
      <c r="AV1930" s="47" t="n"/>
      <c r="AW1930" s="52" t="n"/>
    </row>
    <row r="1931">
      <c r="A1931" s="48" t="n"/>
      <c r="B1931" s="52" t="n"/>
      <c r="C1931" s="47">
        <f>IF(B1931="","",IFERROR(INDEX('隊員マスタ'!$B$5:$B$204,MATCH(B1931&amp;"",'隊員マスタ'!$F$5:$F$204,0)),IF(AK1931="","番号なし",AK1931)))</f>
        <v/>
      </c>
      <c r="D1931" s="47" t="n"/>
      <c r="E1931" s="47" t="n"/>
      <c r="F1931" s="47" t="n"/>
      <c r="G1931" s="47" t="n"/>
      <c r="H1931" s="47" t="n"/>
      <c r="I1931" s="47" t="n"/>
      <c r="J1931" s="47" t="n"/>
      <c r="K1931" s="47" t="n"/>
      <c r="L1931" s="47" t="n"/>
      <c r="M1931" s="47" t="n"/>
      <c r="N1931" s="47" t="n"/>
      <c r="O1931" s="47" t="n"/>
      <c r="P1931" s="47" t="n"/>
      <c r="Q1931" s="47" t="n"/>
      <c r="R1931" s="47" t="n"/>
      <c r="S1931" s="47" t="n"/>
      <c r="T1931" s="47" t="n"/>
      <c r="U1931" s="53" t="n"/>
      <c r="V1931" s="53" t="n"/>
      <c r="W1931" s="47" t="n"/>
      <c r="X1931" s="47" t="n"/>
      <c r="Y1931" s="47" t="n"/>
      <c r="Z1931" s="47" t="n"/>
      <c r="AA1931" s="47" t="n"/>
      <c r="AB1931" s="47" t="n"/>
      <c r="AC1931" s="47" t="n"/>
      <c r="AD1931" s="47" t="n"/>
      <c r="AE1931" s="47" t="n"/>
      <c r="AF1931" s="20">
        <f>IF(A1931="","",YEAR(EDATE(A1931,-3)))</f>
        <v/>
      </c>
      <c r="AG1931" s="20">
        <f>IF(OR(B1931="",'経歴簿'!$C$4=""),"",IF(B1931&amp;""='経歴簿'!$C$4&amp;"",MAX($AG$4:AG1930)+1,""))</f>
        <v/>
      </c>
      <c r="AH1931" s="20">
        <f>IF(A1931="",0,IF(AND(OR('CSV抽出'!$C$4="",A1931&gt;='CSV抽出'!$C$4),OR('CSV抽出'!$C$5="",A1931&lt;='CSV抽出'!$C$5),OR('CSV抽出'!$C$6="すべて",'CSV抽出'!$C$6="",D1931='CSV抽出'!$C$6),OR('CSV抽出'!$C$7="",B1931&amp;""='CSV抽出'!$C$7&amp;"")),1,0))</f>
        <v/>
      </c>
      <c r="AI1931" s="20">
        <f>IF(AH1931=1,SUM($AH$5:AH1931),"")</f>
        <v/>
      </c>
      <c r="AJ1931" s="20">
        <f>IF(OR(S1931="",'報告書'!$C$4=""),"",IF(S1931&amp;""='報告書'!$C$4&amp;"",COUNTIF($S$5:S1931,'報告書'!$C$4),""))</f>
        <v/>
      </c>
      <c r="AK1931" s="20" t="n"/>
      <c r="AL1931" s="47" t="n"/>
      <c r="AM1931" s="47" t="n"/>
      <c r="AN1931" s="53" t="n"/>
      <c r="AO1931" s="47" t="n"/>
      <c r="AP1931" s="47" t="n"/>
      <c r="AQ1931" s="47" t="n"/>
      <c r="AR1931" s="47" t="n"/>
      <c r="AS1931" s="47" t="n"/>
      <c r="AT1931" s="47" t="n"/>
      <c r="AU1931" s="47" t="n"/>
      <c r="AV1931" s="47" t="n"/>
      <c r="AW1931" s="52" t="n"/>
    </row>
    <row r="1932">
      <c r="A1932" s="48" t="n"/>
      <c r="B1932" s="52" t="n"/>
      <c r="C1932" s="47">
        <f>IF(B1932="","",IFERROR(INDEX('隊員マスタ'!$B$5:$B$204,MATCH(B1932&amp;"",'隊員マスタ'!$F$5:$F$204,0)),IF(AK1932="","番号なし",AK1932)))</f>
        <v/>
      </c>
      <c r="D1932" s="47" t="n"/>
      <c r="E1932" s="47" t="n"/>
      <c r="F1932" s="47" t="n"/>
      <c r="G1932" s="47" t="n"/>
      <c r="H1932" s="47" t="n"/>
      <c r="I1932" s="47" t="n"/>
      <c r="J1932" s="47" t="n"/>
      <c r="K1932" s="47" t="n"/>
      <c r="L1932" s="47" t="n"/>
      <c r="M1932" s="47" t="n"/>
      <c r="N1932" s="47" t="n"/>
      <c r="O1932" s="47" t="n"/>
      <c r="P1932" s="47" t="n"/>
      <c r="Q1932" s="47" t="n"/>
      <c r="R1932" s="47" t="n"/>
      <c r="S1932" s="47" t="n"/>
      <c r="T1932" s="47" t="n"/>
      <c r="U1932" s="53" t="n"/>
      <c r="V1932" s="53" t="n"/>
      <c r="W1932" s="47" t="n"/>
      <c r="X1932" s="47" t="n"/>
      <c r="Y1932" s="47" t="n"/>
      <c r="Z1932" s="47" t="n"/>
      <c r="AA1932" s="47" t="n"/>
      <c r="AB1932" s="47" t="n"/>
      <c r="AC1932" s="47" t="n"/>
      <c r="AD1932" s="47" t="n"/>
      <c r="AE1932" s="47" t="n"/>
      <c r="AF1932" s="20">
        <f>IF(A1932="","",YEAR(EDATE(A1932,-3)))</f>
        <v/>
      </c>
      <c r="AG1932" s="20">
        <f>IF(OR(B1932="",'経歴簿'!$C$4=""),"",IF(B1932&amp;""='経歴簿'!$C$4&amp;"",MAX($AG$4:AG1931)+1,""))</f>
        <v/>
      </c>
      <c r="AH1932" s="20">
        <f>IF(A1932="",0,IF(AND(OR('CSV抽出'!$C$4="",A1932&gt;='CSV抽出'!$C$4),OR('CSV抽出'!$C$5="",A1932&lt;='CSV抽出'!$C$5),OR('CSV抽出'!$C$6="すべて",'CSV抽出'!$C$6="",D1932='CSV抽出'!$C$6),OR('CSV抽出'!$C$7="",B1932&amp;""='CSV抽出'!$C$7&amp;"")),1,0))</f>
        <v/>
      </c>
      <c r="AI1932" s="20">
        <f>IF(AH1932=1,SUM($AH$5:AH1932),"")</f>
        <v/>
      </c>
      <c r="AJ1932" s="20">
        <f>IF(OR(S1932="",'報告書'!$C$4=""),"",IF(S1932&amp;""='報告書'!$C$4&amp;"",COUNTIF($S$5:S1932,'報告書'!$C$4),""))</f>
        <v/>
      </c>
      <c r="AK1932" s="20" t="n"/>
      <c r="AL1932" s="47" t="n"/>
      <c r="AM1932" s="47" t="n"/>
      <c r="AN1932" s="53" t="n"/>
      <c r="AO1932" s="47" t="n"/>
      <c r="AP1932" s="47" t="n"/>
      <c r="AQ1932" s="47" t="n"/>
      <c r="AR1932" s="47" t="n"/>
      <c r="AS1932" s="47" t="n"/>
      <c r="AT1932" s="47" t="n"/>
      <c r="AU1932" s="47" t="n"/>
      <c r="AV1932" s="47" t="n"/>
      <c r="AW1932" s="52" t="n"/>
    </row>
    <row r="1933">
      <c r="A1933" s="48" t="n"/>
      <c r="B1933" s="52" t="n"/>
      <c r="C1933" s="47">
        <f>IF(B1933="","",IFERROR(INDEX('隊員マスタ'!$B$5:$B$204,MATCH(B1933&amp;"",'隊員マスタ'!$F$5:$F$204,0)),IF(AK1933="","番号なし",AK1933)))</f>
        <v/>
      </c>
      <c r="D1933" s="47" t="n"/>
      <c r="E1933" s="47" t="n"/>
      <c r="F1933" s="47" t="n"/>
      <c r="G1933" s="47" t="n"/>
      <c r="H1933" s="47" t="n"/>
      <c r="I1933" s="47" t="n"/>
      <c r="J1933" s="47" t="n"/>
      <c r="K1933" s="47" t="n"/>
      <c r="L1933" s="47" t="n"/>
      <c r="M1933" s="47" t="n"/>
      <c r="N1933" s="47" t="n"/>
      <c r="O1933" s="47" t="n"/>
      <c r="P1933" s="47" t="n"/>
      <c r="Q1933" s="47" t="n"/>
      <c r="R1933" s="47" t="n"/>
      <c r="S1933" s="47" t="n"/>
      <c r="T1933" s="47" t="n"/>
      <c r="U1933" s="53" t="n"/>
      <c r="V1933" s="53" t="n"/>
      <c r="W1933" s="47" t="n"/>
      <c r="X1933" s="47" t="n"/>
      <c r="Y1933" s="47" t="n"/>
      <c r="Z1933" s="47" t="n"/>
      <c r="AA1933" s="47" t="n"/>
      <c r="AB1933" s="47" t="n"/>
      <c r="AC1933" s="47" t="n"/>
      <c r="AD1933" s="47" t="n"/>
      <c r="AE1933" s="47" t="n"/>
      <c r="AF1933" s="20">
        <f>IF(A1933="","",YEAR(EDATE(A1933,-3)))</f>
        <v/>
      </c>
      <c r="AG1933" s="20">
        <f>IF(OR(B1933="",'経歴簿'!$C$4=""),"",IF(B1933&amp;""='経歴簿'!$C$4&amp;"",MAX($AG$4:AG1932)+1,""))</f>
        <v/>
      </c>
      <c r="AH1933" s="20">
        <f>IF(A1933="",0,IF(AND(OR('CSV抽出'!$C$4="",A1933&gt;='CSV抽出'!$C$4),OR('CSV抽出'!$C$5="",A1933&lt;='CSV抽出'!$C$5),OR('CSV抽出'!$C$6="すべて",'CSV抽出'!$C$6="",D1933='CSV抽出'!$C$6),OR('CSV抽出'!$C$7="",B1933&amp;""='CSV抽出'!$C$7&amp;"")),1,0))</f>
        <v/>
      </c>
      <c r="AI1933" s="20">
        <f>IF(AH1933=1,SUM($AH$5:AH1933),"")</f>
        <v/>
      </c>
      <c r="AJ1933" s="20">
        <f>IF(OR(S1933="",'報告書'!$C$4=""),"",IF(S1933&amp;""='報告書'!$C$4&amp;"",COUNTIF($S$5:S1933,'報告書'!$C$4),""))</f>
        <v/>
      </c>
      <c r="AK1933" s="20" t="n"/>
      <c r="AL1933" s="47" t="n"/>
      <c r="AM1933" s="47" t="n"/>
      <c r="AN1933" s="53" t="n"/>
      <c r="AO1933" s="47" t="n"/>
      <c r="AP1933" s="47" t="n"/>
      <c r="AQ1933" s="47" t="n"/>
      <c r="AR1933" s="47" t="n"/>
      <c r="AS1933" s="47" t="n"/>
      <c r="AT1933" s="47" t="n"/>
      <c r="AU1933" s="47" t="n"/>
      <c r="AV1933" s="47" t="n"/>
      <c r="AW1933" s="52" t="n"/>
    </row>
    <row r="1934">
      <c r="A1934" s="48" t="n"/>
      <c r="B1934" s="52" t="n"/>
      <c r="C1934" s="47">
        <f>IF(B1934="","",IFERROR(INDEX('隊員マスタ'!$B$5:$B$204,MATCH(B1934&amp;"",'隊員マスタ'!$F$5:$F$204,0)),IF(AK1934="","番号なし",AK1934)))</f>
        <v/>
      </c>
      <c r="D1934" s="47" t="n"/>
      <c r="E1934" s="47" t="n"/>
      <c r="F1934" s="47" t="n"/>
      <c r="G1934" s="47" t="n"/>
      <c r="H1934" s="47" t="n"/>
      <c r="I1934" s="47" t="n"/>
      <c r="J1934" s="47" t="n"/>
      <c r="K1934" s="47" t="n"/>
      <c r="L1934" s="47" t="n"/>
      <c r="M1934" s="47" t="n"/>
      <c r="N1934" s="47" t="n"/>
      <c r="O1934" s="47" t="n"/>
      <c r="P1934" s="47" t="n"/>
      <c r="Q1934" s="47" t="n"/>
      <c r="R1934" s="47" t="n"/>
      <c r="S1934" s="47" t="n"/>
      <c r="T1934" s="47" t="n"/>
      <c r="U1934" s="53" t="n"/>
      <c r="V1934" s="53" t="n"/>
      <c r="W1934" s="47" t="n"/>
      <c r="X1934" s="47" t="n"/>
      <c r="Y1934" s="47" t="n"/>
      <c r="Z1934" s="47" t="n"/>
      <c r="AA1934" s="47" t="n"/>
      <c r="AB1934" s="47" t="n"/>
      <c r="AC1934" s="47" t="n"/>
      <c r="AD1934" s="47" t="n"/>
      <c r="AE1934" s="47" t="n"/>
      <c r="AF1934" s="20">
        <f>IF(A1934="","",YEAR(EDATE(A1934,-3)))</f>
        <v/>
      </c>
      <c r="AG1934" s="20">
        <f>IF(OR(B1934="",'経歴簿'!$C$4=""),"",IF(B1934&amp;""='経歴簿'!$C$4&amp;"",MAX($AG$4:AG1933)+1,""))</f>
        <v/>
      </c>
      <c r="AH1934" s="20">
        <f>IF(A1934="",0,IF(AND(OR('CSV抽出'!$C$4="",A1934&gt;='CSV抽出'!$C$4),OR('CSV抽出'!$C$5="",A1934&lt;='CSV抽出'!$C$5),OR('CSV抽出'!$C$6="すべて",'CSV抽出'!$C$6="",D1934='CSV抽出'!$C$6),OR('CSV抽出'!$C$7="",B1934&amp;""='CSV抽出'!$C$7&amp;"")),1,0))</f>
        <v/>
      </c>
      <c r="AI1934" s="20">
        <f>IF(AH1934=1,SUM($AH$5:AH1934),"")</f>
        <v/>
      </c>
      <c r="AJ1934" s="20">
        <f>IF(OR(S1934="",'報告書'!$C$4=""),"",IF(S1934&amp;""='報告書'!$C$4&amp;"",COUNTIF($S$5:S1934,'報告書'!$C$4),""))</f>
        <v/>
      </c>
      <c r="AK1934" s="20" t="n"/>
      <c r="AL1934" s="47" t="n"/>
      <c r="AM1934" s="47" t="n"/>
      <c r="AN1934" s="53" t="n"/>
      <c r="AO1934" s="47" t="n"/>
      <c r="AP1934" s="47" t="n"/>
      <c r="AQ1934" s="47" t="n"/>
      <c r="AR1934" s="47" t="n"/>
      <c r="AS1934" s="47" t="n"/>
      <c r="AT1934" s="47" t="n"/>
      <c r="AU1934" s="47" t="n"/>
      <c r="AV1934" s="47" t="n"/>
      <c r="AW1934" s="52" t="n"/>
    </row>
    <row r="1935">
      <c r="A1935" s="48" t="n"/>
      <c r="B1935" s="52" t="n"/>
      <c r="C1935" s="47">
        <f>IF(B1935="","",IFERROR(INDEX('隊員マスタ'!$B$5:$B$204,MATCH(B1935&amp;"",'隊員マスタ'!$F$5:$F$204,0)),IF(AK1935="","番号なし",AK1935)))</f>
        <v/>
      </c>
      <c r="D1935" s="47" t="n"/>
      <c r="E1935" s="47" t="n"/>
      <c r="F1935" s="47" t="n"/>
      <c r="G1935" s="47" t="n"/>
      <c r="H1935" s="47" t="n"/>
      <c r="I1935" s="47" t="n"/>
      <c r="J1935" s="47" t="n"/>
      <c r="K1935" s="47" t="n"/>
      <c r="L1935" s="47" t="n"/>
      <c r="M1935" s="47" t="n"/>
      <c r="N1935" s="47" t="n"/>
      <c r="O1935" s="47" t="n"/>
      <c r="P1935" s="47" t="n"/>
      <c r="Q1935" s="47" t="n"/>
      <c r="R1935" s="47" t="n"/>
      <c r="S1935" s="47" t="n"/>
      <c r="T1935" s="47" t="n"/>
      <c r="U1935" s="53" t="n"/>
      <c r="V1935" s="53" t="n"/>
      <c r="W1935" s="47" t="n"/>
      <c r="X1935" s="47" t="n"/>
      <c r="Y1935" s="47" t="n"/>
      <c r="Z1935" s="47" t="n"/>
      <c r="AA1935" s="47" t="n"/>
      <c r="AB1935" s="47" t="n"/>
      <c r="AC1935" s="47" t="n"/>
      <c r="AD1935" s="47" t="n"/>
      <c r="AE1935" s="47" t="n"/>
      <c r="AF1935" s="20">
        <f>IF(A1935="","",YEAR(EDATE(A1935,-3)))</f>
        <v/>
      </c>
      <c r="AG1935" s="20">
        <f>IF(OR(B1935="",'経歴簿'!$C$4=""),"",IF(B1935&amp;""='経歴簿'!$C$4&amp;"",MAX($AG$4:AG1934)+1,""))</f>
        <v/>
      </c>
      <c r="AH1935" s="20">
        <f>IF(A1935="",0,IF(AND(OR('CSV抽出'!$C$4="",A1935&gt;='CSV抽出'!$C$4),OR('CSV抽出'!$C$5="",A1935&lt;='CSV抽出'!$C$5),OR('CSV抽出'!$C$6="すべて",'CSV抽出'!$C$6="",D1935='CSV抽出'!$C$6),OR('CSV抽出'!$C$7="",B1935&amp;""='CSV抽出'!$C$7&amp;"")),1,0))</f>
        <v/>
      </c>
      <c r="AI1935" s="20">
        <f>IF(AH1935=1,SUM($AH$5:AH1935),"")</f>
        <v/>
      </c>
      <c r="AJ1935" s="20">
        <f>IF(OR(S1935="",'報告書'!$C$4=""),"",IF(S1935&amp;""='報告書'!$C$4&amp;"",COUNTIF($S$5:S1935,'報告書'!$C$4),""))</f>
        <v/>
      </c>
      <c r="AK1935" s="20" t="n"/>
      <c r="AL1935" s="47" t="n"/>
      <c r="AM1935" s="47" t="n"/>
      <c r="AN1935" s="53" t="n"/>
      <c r="AO1935" s="47" t="n"/>
      <c r="AP1935" s="47" t="n"/>
      <c r="AQ1935" s="47" t="n"/>
      <c r="AR1935" s="47" t="n"/>
      <c r="AS1935" s="47" t="n"/>
      <c r="AT1935" s="47" t="n"/>
      <c r="AU1935" s="47" t="n"/>
      <c r="AV1935" s="47" t="n"/>
      <c r="AW1935" s="52" t="n"/>
    </row>
    <row r="1936">
      <c r="A1936" s="48" t="n"/>
      <c r="B1936" s="52" t="n"/>
      <c r="C1936" s="47">
        <f>IF(B1936="","",IFERROR(INDEX('隊員マスタ'!$B$5:$B$204,MATCH(B1936&amp;"",'隊員マスタ'!$F$5:$F$204,0)),IF(AK1936="","番号なし",AK1936)))</f>
        <v/>
      </c>
      <c r="D1936" s="47" t="n"/>
      <c r="E1936" s="47" t="n"/>
      <c r="F1936" s="47" t="n"/>
      <c r="G1936" s="47" t="n"/>
      <c r="H1936" s="47" t="n"/>
      <c r="I1936" s="47" t="n"/>
      <c r="J1936" s="47" t="n"/>
      <c r="K1936" s="47" t="n"/>
      <c r="L1936" s="47" t="n"/>
      <c r="M1936" s="47" t="n"/>
      <c r="N1936" s="47" t="n"/>
      <c r="O1936" s="47" t="n"/>
      <c r="P1936" s="47" t="n"/>
      <c r="Q1936" s="47" t="n"/>
      <c r="R1936" s="47" t="n"/>
      <c r="S1936" s="47" t="n"/>
      <c r="T1936" s="47" t="n"/>
      <c r="U1936" s="53" t="n"/>
      <c r="V1936" s="53" t="n"/>
      <c r="W1936" s="47" t="n"/>
      <c r="X1936" s="47" t="n"/>
      <c r="Y1936" s="47" t="n"/>
      <c r="Z1936" s="47" t="n"/>
      <c r="AA1936" s="47" t="n"/>
      <c r="AB1936" s="47" t="n"/>
      <c r="AC1936" s="47" t="n"/>
      <c r="AD1936" s="47" t="n"/>
      <c r="AE1936" s="47" t="n"/>
      <c r="AF1936" s="20">
        <f>IF(A1936="","",YEAR(EDATE(A1936,-3)))</f>
        <v/>
      </c>
      <c r="AG1936" s="20">
        <f>IF(OR(B1936="",'経歴簿'!$C$4=""),"",IF(B1936&amp;""='経歴簿'!$C$4&amp;"",MAX($AG$4:AG1935)+1,""))</f>
        <v/>
      </c>
      <c r="AH1936" s="20">
        <f>IF(A1936="",0,IF(AND(OR('CSV抽出'!$C$4="",A1936&gt;='CSV抽出'!$C$4),OR('CSV抽出'!$C$5="",A1936&lt;='CSV抽出'!$C$5),OR('CSV抽出'!$C$6="すべて",'CSV抽出'!$C$6="",D1936='CSV抽出'!$C$6),OR('CSV抽出'!$C$7="",B1936&amp;""='CSV抽出'!$C$7&amp;"")),1,0))</f>
        <v/>
      </c>
      <c r="AI1936" s="20">
        <f>IF(AH1936=1,SUM($AH$5:AH1936),"")</f>
        <v/>
      </c>
      <c r="AJ1936" s="20">
        <f>IF(OR(S1936="",'報告書'!$C$4=""),"",IF(S1936&amp;""='報告書'!$C$4&amp;"",COUNTIF($S$5:S1936,'報告書'!$C$4),""))</f>
        <v/>
      </c>
      <c r="AK1936" s="20" t="n"/>
      <c r="AL1936" s="47" t="n"/>
      <c r="AM1936" s="47" t="n"/>
      <c r="AN1936" s="53" t="n"/>
      <c r="AO1936" s="47" t="n"/>
      <c r="AP1936" s="47" t="n"/>
      <c r="AQ1936" s="47" t="n"/>
      <c r="AR1936" s="47" t="n"/>
      <c r="AS1936" s="47" t="n"/>
      <c r="AT1936" s="47" t="n"/>
      <c r="AU1936" s="47" t="n"/>
      <c r="AV1936" s="47" t="n"/>
      <c r="AW1936" s="52" t="n"/>
    </row>
    <row r="1937">
      <c r="A1937" s="48" t="n"/>
      <c r="B1937" s="52" t="n"/>
      <c r="C1937" s="47">
        <f>IF(B1937="","",IFERROR(INDEX('隊員マスタ'!$B$5:$B$204,MATCH(B1937&amp;"",'隊員マスタ'!$F$5:$F$204,0)),IF(AK1937="","番号なし",AK1937)))</f>
        <v/>
      </c>
      <c r="D1937" s="47" t="n"/>
      <c r="E1937" s="47" t="n"/>
      <c r="F1937" s="47" t="n"/>
      <c r="G1937" s="47" t="n"/>
      <c r="H1937" s="47" t="n"/>
      <c r="I1937" s="47" t="n"/>
      <c r="J1937" s="47" t="n"/>
      <c r="K1937" s="47" t="n"/>
      <c r="L1937" s="47" t="n"/>
      <c r="M1937" s="47" t="n"/>
      <c r="N1937" s="47" t="n"/>
      <c r="O1937" s="47" t="n"/>
      <c r="P1937" s="47" t="n"/>
      <c r="Q1937" s="47" t="n"/>
      <c r="R1937" s="47" t="n"/>
      <c r="S1937" s="47" t="n"/>
      <c r="T1937" s="47" t="n"/>
      <c r="U1937" s="53" t="n"/>
      <c r="V1937" s="53" t="n"/>
      <c r="W1937" s="47" t="n"/>
      <c r="X1937" s="47" t="n"/>
      <c r="Y1937" s="47" t="n"/>
      <c r="Z1937" s="47" t="n"/>
      <c r="AA1937" s="47" t="n"/>
      <c r="AB1937" s="47" t="n"/>
      <c r="AC1937" s="47" t="n"/>
      <c r="AD1937" s="47" t="n"/>
      <c r="AE1937" s="47" t="n"/>
      <c r="AF1937" s="20">
        <f>IF(A1937="","",YEAR(EDATE(A1937,-3)))</f>
        <v/>
      </c>
      <c r="AG1937" s="20">
        <f>IF(OR(B1937="",'経歴簿'!$C$4=""),"",IF(B1937&amp;""='経歴簿'!$C$4&amp;"",MAX($AG$4:AG1936)+1,""))</f>
        <v/>
      </c>
      <c r="AH1937" s="20">
        <f>IF(A1937="",0,IF(AND(OR('CSV抽出'!$C$4="",A1937&gt;='CSV抽出'!$C$4),OR('CSV抽出'!$C$5="",A1937&lt;='CSV抽出'!$C$5),OR('CSV抽出'!$C$6="すべて",'CSV抽出'!$C$6="",D1937='CSV抽出'!$C$6),OR('CSV抽出'!$C$7="",B1937&amp;""='CSV抽出'!$C$7&amp;"")),1,0))</f>
        <v/>
      </c>
      <c r="AI1937" s="20">
        <f>IF(AH1937=1,SUM($AH$5:AH1937),"")</f>
        <v/>
      </c>
      <c r="AJ1937" s="20">
        <f>IF(OR(S1937="",'報告書'!$C$4=""),"",IF(S1937&amp;""='報告書'!$C$4&amp;"",COUNTIF($S$5:S1937,'報告書'!$C$4),""))</f>
        <v/>
      </c>
      <c r="AK1937" s="20" t="n"/>
      <c r="AL1937" s="47" t="n"/>
      <c r="AM1937" s="47" t="n"/>
      <c r="AN1937" s="53" t="n"/>
      <c r="AO1937" s="47" t="n"/>
      <c r="AP1937" s="47" t="n"/>
      <c r="AQ1937" s="47" t="n"/>
      <c r="AR1937" s="47" t="n"/>
      <c r="AS1937" s="47" t="n"/>
      <c r="AT1937" s="47" t="n"/>
      <c r="AU1937" s="47" t="n"/>
      <c r="AV1937" s="47" t="n"/>
      <c r="AW1937" s="52" t="n"/>
    </row>
    <row r="1938">
      <c r="A1938" s="48" t="n"/>
      <c r="B1938" s="52" t="n"/>
      <c r="C1938" s="47">
        <f>IF(B1938="","",IFERROR(INDEX('隊員マスタ'!$B$5:$B$204,MATCH(B1938&amp;"",'隊員マスタ'!$F$5:$F$204,0)),IF(AK1938="","番号なし",AK1938)))</f>
        <v/>
      </c>
      <c r="D1938" s="47" t="n"/>
      <c r="E1938" s="47" t="n"/>
      <c r="F1938" s="47" t="n"/>
      <c r="G1938" s="47" t="n"/>
      <c r="H1938" s="47" t="n"/>
      <c r="I1938" s="47" t="n"/>
      <c r="J1938" s="47" t="n"/>
      <c r="K1938" s="47" t="n"/>
      <c r="L1938" s="47" t="n"/>
      <c r="M1938" s="47" t="n"/>
      <c r="N1938" s="47" t="n"/>
      <c r="O1938" s="47" t="n"/>
      <c r="P1938" s="47" t="n"/>
      <c r="Q1938" s="47" t="n"/>
      <c r="R1938" s="47" t="n"/>
      <c r="S1938" s="47" t="n"/>
      <c r="T1938" s="47" t="n"/>
      <c r="U1938" s="53" t="n"/>
      <c r="V1938" s="53" t="n"/>
      <c r="W1938" s="47" t="n"/>
      <c r="X1938" s="47" t="n"/>
      <c r="Y1938" s="47" t="n"/>
      <c r="Z1938" s="47" t="n"/>
      <c r="AA1938" s="47" t="n"/>
      <c r="AB1938" s="47" t="n"/>
      <c r="AC1938" s="47" t="n"/>
      <c r="AD1938" s="47" t="n"/>
      <c r="AE1938" s="47" t="n"/>
      <c r="AF1938" s="20">
        <f>IF(A1938="","",YEAR(EDATE(A1938,-3)))</f>
        <v/>
      </c>
      <c r="AG1938" s="20">
        <f>IF(OR(B1938="",'経歴簿'!$C$4=""),"",IF(B1938&amp;""='経歴簿'!$C$4&amp;"",MAX($AG$4:AG1937)+1,""))</f>
        <v/>
      </c>
      <c r="AH1938" s="20">
        <f>IF(A1938="",0,IF(AND(OR('CSV抽出'!$C$4="",A1938&gt;='CSV抽出'!$C$4),OR('CSV抽出'!$C$5="",A1938&lt;='CSV抽出'!$C$5),OR('CSV抽出'!$C$6="すべて",'CSV抽出'!$C$6="",D1938='CSV抽出'!$C$6),OR('CSV抽出'!$C$7="",B1938&amp;""='CSV抽出'!$C$7&amp;"")),1,0))</f>
        <v/>
      </c>
      <c r="AI1938" s="20">
        <f>IF(AH1938=1,SUM($AH$5:AH1938),"")</f>
        <v/>
      </c>
      <c r="AJ1938" s="20">
        <f>IF(OR(S1938="",'報告書'!$C$4=""),"",IF(S1938&amp;""='報告書'!$C$4&amp;"",COUNTIF($S$5:S1938,'報告書'!$C$4),""))</f>
        <v/>
      </c>
      <c r="AK1938" s="20" t="n"/>
      <c r="AL1938" s="47" t="n"/>
      <c r="AM1938" s="47" t="n"/>
      <c r="AN1938" s="53" t="n"/>
      <c r="AO1938" s="47" t="n"/>
      <c r="AP1938" s="47" t="n"/>
      <c r="AQ1938" s="47" t="n"/>
      <c r="AR1938" s="47" t="n"/>
      <c r="AS1938" s="47" t="n"/>
      <c r="AT1938" s="47" t="n"/>
      <c r="AU1938" s="47" t="n"/>
      <c r="AV1938" s="47" t="n"/>
      <c r="AW1938" s="52" t="n"/>
    </row>
    <row r="1939">
      <c r="A1939" s="48" t="n"/>
      <c r="B1939" s="52" t="n"/>
      <c r="C1939" s="47">
        <f>IF(B1939="","",IFERROR(INDEX('隊員マスタ'!$B$5:$B$204,MATCH(B1939&amp;"",'隊員マスタ'!$F$5:$F$204,0)),IF(AK1939="","番号なし",AK1939)))</f>
        <v/>
      </c>
      <c r="D1939" s="47" t="n"/>
      <c r="E1939" s="47" t="n"/>
      <c r="F1939" s="47" t="n"/>
      <c r="G1939" s="47" t="n"/>
      <c r="H1939" s="47" t="n"/>
      <c r="I1939" s="47" t="n"/>
      <c r="J1939" s="47" t="n"/>
      <c r="K1939" s="47" t="n"/>
      <c r="L1939" s="47" t="n"/>
      <c r="M1939" s="47" t="n"/>
      <c r="N1939" s="47" t="n"/>
      <c r="O1939" s="47" t="n"/>
      <c r="P1939" s="47" t="n"/>
      <c r="Q1939" s="47" t="n"/>
      <c r="R1939" s="47" t="n"/>
      <c r="S1939" s="47" t="n"/>
      <c r="T1939" s="47" t="n"/>
      <c r="U1939" s="53" t="n"/>
      <c r="V1939" s="53" t="n"/>
      <c r="W1939" s="47" t="n"/>
      <c r="X1939" s="47" t="n"/>
      <c r="Y1939" s="47" t="n"/>
      <c r="Z1939" s="47" t="n"/>
      <c r="AA1939" s="47" t="n"/>
      <c r="AB1939" s="47" t="n"/>
      <c r="AC1939" s="47" t="n"/>
      <c r="AD1939" s="47" t="n"/>
      <c r="AE1939" s="47" t="n"/>
      <c r="AF1939" s="20">
        <f>IF(A1939="","",YEAR(EDATE(A1939,-3)))</f>
        <v/>
      </c>
      <c r="AG1939" s="20">
        <f>IF(OR(B1939="",'経歴簿'!$C$4=""),"",IF(B1939&amp;""='経歴簿'!$C$4&amp;"",MAX($AG$4:AG1938)+1,""))</f>
        <v/>
      </c>
      <c r="AH1939" s="20">
        <f>IF(A1939="",0,IF(AND(OR('CSV抽出'!$C$4="",A1939&gt;='CSV抽出'!$C$4),OR('CSV抽出'!$C$5="",A1939&lt;='CSV抽出'!$C$5),OR('CSV抽出'!$C$6="すべて",'CSV抽出'!$C$6="",D1939='CSV抽出'!$C$6),OR('CSV抽出'!$C$7="",B1939&amp;""='CSV抽出'!$C$7&amp;"")),1,0))</f>
        <v/>
      </c>
      <c r="AI1939" s="20">
        <f>IF(AH1939=1,SUM($AH$5:AH1939),"")</f>
        <v/>
      </c>
      <c r="AJ1939" s="20">
        <f>IF(OR(S1939="",'報告書'!$C$4=""),"",IF(S1939&amp;""='報告書'!$C$4&amp;"",COUNTIF($S$5:S1939,'報告書'!$C$4),""))</f>
        <v/>
      </c>
      <c r="AK1939" s="20" t="n"/>
      <c r="AL1939" s="47" t="n"/>
      <c r="AM1939" s="47" t="n"/>
      <c r="AN1939" s="53" t="n"/>
      <c r="AO1939" s="47" t="n"/>
      <c r="AP1939" s="47" t="n"/>
      <c r="AQ1939" s="47" t="n"/>
      <c r="AR1939" s="47" t="n"/>
      <c r="AS1939" s="47" t="n"/>
      <c r="AT1939" s="47" t="n"/>
      <c r="AU1939" s="47" t="n"/>
      <c r="AV1939" s="47" t="n"/>
      <c r="AW1939" s="52" t="n"/>
    </row>
    <row r="1940">
      <c r="A1940" s="48" t="n"/>
      <c r="B1940" s="52" t="n"/>
      <c r="C1940" s="47">
        <f>IF(B1940="","",IFERROR(INDEX('隊員マスタ'!$B$5:$B$204,MATCH(B1940&amp;"",'隊員マスタ'!$F$5:$F$204,0)),IF(AK1940="","番号なし",AK1940)))</f>
        <v/>
      </c>
      <c r="D1940" s="47" t="n"/>
      <c r="E1940" s="47" t="n"/>
      <c r="F1940" s="47" t="n"/>
      <c r="G1940" s="47" t="n"/>
      <c r="H1940" s="47" t="n"/>
      <c r="I1940" s="47" t="n"/>
      <c r="J1940" s="47" t="n"/>
      <c r="K1940" s="47" t="n"/>
      <c r="L1940" s="47" t="n"/>
      <c r="M1940" s="47" t="n"/>
      <c r="N1940" s="47" t="n"/>
      <c r="O1940" s="47" t="n"/>
      <c r="P1940" s="47" t="n"/>
      <c r="Q1940" s="47" t="n"/>
      <c r="R1940" s="47" t="n"/>
      <c r="S1940" s="47" t="n"/>
      <c r="T1940" s="47" t="n"/>
      <c r="U1940" s="53" t="n"/>
      <c r="V1940" s="53" t="n"/>
      <c r="W1940" s="47" t="n"/>
      <c r="X1940" s="47" t="n"/>
      <c r="Y1940" s="47" t="n"/>
      <c r="Z1940" s="47" t="n"/>
      <c r="AA1940" s="47" t="n"/>
      <c r="AB1940" s="47" t="n"/>
      <c r="AC1940" s="47" t="n"/>
      <c r="AD1940" s="47" t="n"/>
      <c r="AE1940" s="47" t="n"/>
      <c r="AF1940" s="20">
        <f>IF(A1940="","",YEAR(EDATE(A1940,-3)))</f>
        <v/>
      </c>
      <c r="AG1940" s="20">
        <f>IF(OR(B1940="",'経歴簿'!$C$4=""),"",IF(B1940&amp;""='経歴簿'!$C$4&amp;"",MAX($AG$4:AG1939)+1,""))</f>
        <v/>
      </c>
      <c r="AH1940" s="20">
        <f>IF(A1940="",0,IF(AND(OR('CSV抽出'!$C$4="",A1940&gt;='CSV抽出'!$C$4),OR('CSV抽出'!$C$5="",A1940&lt;='CSV抽出'!$C$5),OR('CSV抽出'!$C$6="すべて",'CSV抽出'!$C$6="",D1940='CSV抽出'!$C$6),OR('CSV抽出'!$C$7="",B1940&amp;""='CSV抽出'!$C$7&amp;"")),1,0))</f>
        <v/>
      </c>
      <c r="AI1940" s="20">
        <f>IF(AH1940=1,SUM($AH$5:AH1940),"")</f>
        <v/>
      </c>
      <c r="AJ1940" s="20">
        <f>IF(OR(S1940="",'報告書'!$C$4=""),"",IF(S1940&amp;""='報告書'!$C$4&amp;"",COUNTIF($S$5:S1940,'報告書'!$C$4),""))</f>
        <v/>
      </c>
      <c r="AK1940" s="20" t="n"/>
      <c r="AL1940" s="47" t="n"/>
      <c r="AM1940" s="47" t="n"/>
      <c r="AN1940" s="53" t="n"/>
      <c r="AO1940" s="47" t="n"/>
      <c r="AP1940" s="47" t="n"/>
      <c r="AQ1940" s="47" t="n"/>
      <c r="AR1940" s="47" t="n"/>
      <c r="AS1940" s="47" t="n"/>
      <c r="AT1940" s="47" t="n"/>
      <c r="AU1940" s="47" t="n"/>
      <c r="AV1940" s="47" t="n"/>
      <c r="AW1940" s="52" t="n"/>
    </row>
    <row r="1941">
      <c r="A1941" s="48" t="n"/>
      <c r="B1941" s="52" t="n"/>
      <c r="C1941" s="47">
        <f>IF(B1941="","",IFERROR(INDEX('隊員マスタ'!$B$5:$B$204,MATCH(B1941&amp;"",'隊員マスタ'!$F$5:$F$204,0)),IF(AK1941="","番号なし",AK1941)))</f>
        <v/>
      </c>
      <c r="D1941" s="47" t="n"/>
      <c r="E1941" s="47" t="n"/>
      <c r="F1941" s="47" t="n"/>
      <c r="G1941" s="47" t="n"/>
      <c r="H1941" s="47" t="n"/>
      <c r="I1941" s="47" t="n"/>
      <c r="J1941" s="47" t="n"/>
      <c r="K1941" s="47" t="n"/>
      <c r="L1941" s="47" t="n"/>
      <c r="M1941" s="47" t="n"/>
      <c r="N1941" s="47" t="n"/>
      <c r="O1941" s="47" t="n"/>
      <c r="P1941" s="47" t="n"/>
      <c r="Q1941" s="47" t="n"/>
      <c r="R1941" s="47" t="n"/>
      <c r="S1941" s="47" t="n"/>
      <c r="T1941" s="47" t="n"/>
      <c r="U1941" s="53" t="n"/>
      <c r="V1941" s="53" t="n"/>
      <c r="W1941" s="47" t="n"/>
      <c r="X1941" s="47" t="n"/>
      <c r="Y1941" s="47" t="n"/>
      <c r="Z1941" s="47" t="n"/>
      <c r="AA1941" s="47" t="n"/>
      <c r="AB1941" s="47" t="n"/>
      <c r="AC1941" s="47" t="n"/>
      <c r="AD1941" s="47" t="n"/>
      <c r="AE1941" s="47" t="n"/>
      <c r="AF1941" s="20">
        <f>IF(A1941="","",YEAR(EDATE(A1941,-3)))</f>
        <v/>
      </c>
      <c r="AG1941" s="20">
        <f>IF(OR(B1941="",'経歴簿'!$C$4=""),"",IF(B1941&amp;""='経歴簿'!$C$4&amp;"",MAX($AG$4:AG1940)+1,""))</f>
        <v/>
      </c>
      <c r="AH1941" s="20">
        <f>IF(A1941="",0,IF(AND(OR('CSV抽出'!$C$4="",A1941&gt;='CSV抽出'!$C$4),OR('CSV抽出'!$C$5="",A1941&lt;='CSV抽出'!$C$5),OR('CSV抽出'!$C$6="すべて",'CSV抽出'!$C$6="",D1941='CSV抽出'!$C$6),OR('CSV抽出'!$C$7="",B1941&amp;""='CSV抽出'!$C$7&amp;"")),1,0))</f>
        <v/>
      </c>
      <c r="AI1941" s="20">
        <f>IF(AH1941=1,SUM($AH$5:AH1941),"")</f>
        <v/>
      </c>
      <c r="AJ1941" s="20">
        <f>IF(OR(S1941="",'報告書'!$C$4=""),"",IF(S1941&amp;""='報告書'!$C$4&amp;"",COUNTIF($S$5:S1941,'報告書'!$C$4),""))</f>
        <v/>
      </c>
      <c r="AK1941" s="20" t="n"/>
      <c r="AL1941" s="47" t="n"/>
      <c r="AM1941" s="47" t="n"/>
      <c r="AN1941" s="53" t="n"/>
      <c r="AO1941" s="47" t="n"/>
      <c r="AP1941" s="47" t="n"/>
      <c r="AQ1941" s="47" t="n"/>
      <c r="AR1941" s="47" t="n"/>
      <c r="AS1941" s="47" t="n"/>
      <c r="AT1941" s="47" t="n"/>
      <c r="AU1941" s="47" t="n"/>
      <c r="AV1941" s="47" t="n"/>
      <c r="AW1941" s="52" t="n"/>
    </row>
    <row r="1942">
      <c r="A1942" s="48" t="n"/>
      <c r="B1942" s="52" t="n"/>
      <c r="C1942" s="47">
        <f>IF(B1942="","",IFERROR(INDEX('隊員マスタ'!$B$5:$B$204,MATCH(B1942&amp;"",'隊員マスタ'!$F$5:$F$204,0)),IF(AK1942="","番号なし",AK1942)))</f>
        <v/>
      </c>
      <c r="D1942" s="47" t="n"/>
      <c r="E1942" s="47" t="n"/>
      <c r="F1942" s="47" t="n"/>
      <c r="G1942" s="47" t="n"/>
      <c r="H1942" s="47" t="n"/>
      <c r="I1942" s="47" t="n"/>
      <c r="J1942" s="47" t="n"/>
      <c r="K1942" s="47" t="n"/>
      <c r="L1942" s="47" t="n"/>
      <c r="M1942" s="47" t="n"/>
      <c r="N1942" s="47" t="n"/>
      <c r="O1942" s="47" t="n"/>
      <c r="P1942" s="47" t="n"/>
      <c r="Q1942" s="47" t="n"/>
      <c r="R1942" s="47" t="n"/>
      <c r="S1942" s="47" t="n"/>
      <c r="T1942" s="47" t="n"/>
      <c r="U1942" s="53" t="n"/>
      <c r="V1942" s="53" t="n"/>
      <c r="W1942" s="47" t="n"/>
      <c r="X1942" s="47" t="n"/>
      <c r="Y1942" s="47" t="n"/>
      <c r="Z1942" s="47" t="n"/>
      <c r="AA1942" s="47" t="n"/>
      <c r="AB1942" s="47" t="n"/>
      <c r="AC1942" s="47" t="n"/>
      <c r="AD1942" s="47" t="n"/>
      <c r="AE1942" s="47" t="n"/>
      <c r="AF1942" s="20">
        <f>IF(A1942="","",YEAR(EDATE(A1942,-3)))</f>
        <v/>
      </c>
      <c r="AG1942" s="20">
        <f>IF(OR(B1942="",'経歴簿'!$C$4=""),"",IF(B1942&amp;""='経歴簿'!$C$4&amp;"",MAX($AG$4:AG1941)+1,""))</f>
        <v/>
      </c>
      <c r="AH1942" s="20">
        <f>IF(A1942="",0,IF(AND(OR('CSV抽出'!$C$4="",A1942&gt;='CSV抽出'!$C$4),OR('CSV抽出'!$C$5="",A1942&lt;='CSV抽出'!$C$5),OR('CSV抽出'!$C$6="すべて",'CSV抽出'!$C$6="",D1942='CSV抽出'!$C$6),OR('CSV抽出'!$C$7="",B1942&amp;""='CSV抽出'!$C$7&amp;"")),1,0))</f>
        <v/>
      </c>
      <c r="AI1942" s="20">
        <f>IF(AH1942=1,SUM($AH$5:AH1942),"")</f>
        <v/>
      </c>
      <c r="AJ1942" s="20">
        <f>IF(OR(S1942="",'報告書'!$C$4=""),"",IF(S1942&amp;""='報告書'!$C$4&amp;"",COUNTIF($S$5:S1942,'報告書'!$C$4),""))</f>
        <v/>
      </c>
      <c r="AK1942" s="20" t="n"/>
      <c r="AL1942" s="47" t="n"/>
      <c r="AM1942" s="47" t="n"/>
      <c r="AN1942" s="53" t="n"/>
      <c r="AO1942" s="47" t="n"/>
      <c r="AP1942" s="47" t="n"/>
      <c r="AQ1942" s="47" t="n"/>
      <c r="AR1942" s="47" t="n"/>
      <c r="AS1942" s="47" t="n"/>
      <c r="AT1942" s="47" t="n"/>
      <c r="AU1942" s="47" t="n"/>
      <c r="AV1942" s="47" t="n"/>
      <c r="AW1942" s="52" t="n"/>
    </row>
    <row r="1943">
      <c r="A1943" s="48" t="n"/>
      <c r="B1943" s="52" t="n"/>
      <c r="C1943" s="47">
        <f>IF(B1943="","",IFERROR(INDEX('隊員マスタ'!$B$5:$B$204,MATCH(B1943&amp;"",'隊員マスタ'!$F$5:$F$204,0)),IF(AK1943="","番号なし",AK1943)))</f>
        <v/>
      </c>
      <c r="D1943" s="47" t="n"/>
      <c r="E1943" s="47" t="n"/>
      <c r="F1943" s="47" t="n"/>
      <c r="G1943" s="47" t="n"/>
      <c r="H1943" s="47" t="n"/>
      <c r="I1943" s="47" t="n"/>
      <c r="J1943" s="47" t="n"/>
      <c r="K1943" s="47" t="n"/>
      <c r="L1943" s="47" t="n"/>
      <c r="M1943" s="47" t="n"/>
      <c r="N1943" s="47" t="n"/>
      <c r="O1943" s="47" t="n"/>
      <c r="P1943" s="47" t="n"/>
      <c r="Q1943" s="47" t="n"/>
      <c r="R1943" s="47" t="n"/>
      <c r="S1943" s="47" t="n"/>
      <c r="T1943" s="47" t="n"/>
      <c r="U1943" s="53" t="n"/>
      <c r="V1943" s="53" t="n"/>
      <c r="W1943" s="47" t="n"/>
      <c r="X1943" s="47" t="n"/>
      <c r="Y1943" s="47" t="n"/>
      <c r="Z1943" s="47" t="n"/>
      <c r="AA1943" s="47" t="n"/>
      <c r="AB1943" s="47" t="n"/>
      <c r="AC1943" s="47" t="n"/>
      <c r="AD1943" s="47" t="n"/>
      <c r="AE1943" s="47" t="n"/>
      <c r="AF1943" s="20">
        <f>IF(A1943="","",YEAR(EDATE(A1943,-3)))</f>
        <v/>
      </c>
      <c r="AG1943" s="20">
        <f>IF(OR(B1943="",'経歴簿'!$C$4=""),"",IF(B1943&amp;""='経歴簿'!$C$4&amp;"",MAX($AG$4:AG1942)+1,""))</f>
        <v/>
      </c>
      <c r="AH1943" s="20">
        <f>IF(A1943="",0,IF(AND(OR('CSV抽出'!$C$4="",A1943&gt;='CSV抽出'!$C$4),OR('CSV抽出'!$C$5="",A1943&lt;='CSV抽出'!$C$5),OR('CSV抽出'!$C$6="すべて",'CSV抽出'!$C$6="",D1943='CSV抽出'!$C$6),OR('CSV抽出'!$C$7="",B1943&amp;""='CSV抽出'!$C$7&amp;"")),1,0))</f>
        <v/>
      </c>
      <c r="AI1943" s="20">
        <f>IF(AH1943=1,SUM($AH$5:AH1943),"")</f>
        <v/>
      </c>
      <c r="AJ1943" s="20">
        <f>IF(OR(S1943="",'報告書'!$C$4=""),"",IF(S1943&amp;""='報告書'!$C$4&amp;"",COUNTIF($S$5:S1943,'報告書'!$C$4),""))</f>
        <v/>
      </c>
      <c r="AK1943" s="20" t="n"/>
      <c r="AL1943" s="47" t="n"/>
      <c r="AM1943" s="47" t="n"/>
      <c r="AN1943" s="53" t="n"/>
      <c r="AO1943" s="47" t="n"/>
      <c r="AP1943" s="47" t="n"/>
      <c r="AQ1943" s="47" t="n"/>
      <c r="AR1943" s="47" t="n"/>
      <c r="AS1943" s="47" t="n"/>
      <c r="AT1943" s="47" t="n"/>
      <c r="AU1943" s="47" t="n"/>
      <c r="AV1943" s="47" t="n"/>
      <c r="AW1943" s="52" t="n"/>
    </row>
    <row r="1944">
      <c r="A1944" s="48" t="n"/>
      <c r="B1944" s="52" t="n"/>
      <c r="C1944" s="47">
        <f>IF(B1944="","",IFERROR(INDEX('隊員マスタ'!$B$5:$B$204,MATCH(B1944&amp;"",'隊員マスタ'!$F$5:$F$204,0)),IF(AK1944="","番号なし",AK1944)))</f>
        <v/>
      </c>
      <c r="D1944" s="47" t="n"/>
      <c r="E1944" s="47" t="n"/>
      <c r="F1944" s="47" t="n"/>
      <c r="G1944" s="47" t="n"/>
      <c r="H1944" s="47" t="n"/>
      <c r="I1944" s="47" t="n"/>
      <c r="J1944" s="47" t="n"/>
      <c r="K1944" s="47" t="n"/>
      <c r="L1944" s="47" t="n"/>
      <c r="M1944" s="47" t="n"/>
      <c r="N1944" s="47" t="n"/>
      <c r="O1944" s="47" t="n"/>
      <c r="P1944" s="47" t="n"/>
      <c r="Q1944" s="47" t="n"/>
      <c r="R1944" s="47" t="n"/>
      <c r="S1944" s="47" t="n"/>
      <c r="T1944" s="47" t="n"/>
      <c r="U1944" s="53" t="n"/>
      <c r="V1944" s="53" t="n"/>
      <c r="W1944" s="47" t="n"/>
      <c r="X1944" s="47" t="n"/>
      <c r="Y1944" s="47" t="n"/>
      <c r="Z1944" s="47" t="n"/>
      <c r="AA1944" s="47" t="n"/>
      <c r="AB1944" s="47" t="n"/>
      <c r="AC1944" s="47" t="n"/>
      <c r="AD1944" s="47" t="n"/>
      <c r="AE1944" s="47" t="n"/>
      <c r="AF1944" s="20">
        <f>IF(A1944="","",YEAR(EDATE(A1944,-3)))</f>
        <v/>
      </c>
      <c r="AG1944" s="20">
        <f>IF(OR(B1944="",'経歴簿'!$C$4=""),"",IF(B1944&amp;""='経歴簿'!$C$4&amp;"",MAX($AG$4:AG1943)+1,""))</f>
        <v/>
      </c>
      <c r="AH1944" s="20">
        <f>IF(A1944="",0,IF(AND(OR('CSV抽出'!$C$4="",A1944&gt;='CSV抽出'!$C$4),OR('CSV抽出'!$C$5="",A1944&lt;='CSV抽出'!$C$5),OR('CSV抽出'!$C$6="すべて",'CSV抽出'!$C$6="",D1944='CSV抽出'!$C$6),OR('CSV抽出'!$C$7="",B1944&amp;""='CSV抽出'!$C$7&amp;"")),1,0))</f>
        <v/>
      </c>
      <c r="AI1944" s="20">
        <f>IF(AH1944=1,SUM($AH$5:AH1944),"")</f>
        <v/>
      </c>
      <c r="AJ1944" s="20">
        <f>IF(OR(S1944="",'報告書'!$C$4=""),"",IF(S1944&amp;""='報告書'!$C$4&amp;"",COUNTIF($S$5:S1944,'報告書'!$C$4),""))</f>
        <v/>
      </c>
      <c r="AK1944" s="20" t="n"/>
      <c r="AL1944" s="47" t="n"/>
      <c r="AM1944" s="47" t="n"/>
      <c r="AN1944" s="53" t="n"/>
      <c r="AO1944" s="47" t="n"/>
      <c r="AP1944" s="47" t="n"/>
      <c r="AQ1944" s="47" t="n"/>
      <c r="AR1944" s="47" t="n"/>
      <c r="AS1944" s="47" t="n"/>
      <c r="AT1944" s="47" t="n"/>
      <c r="AU1944" s="47" t="n"/>
      <c r="AV1944" s="47" t="n"/>
      <c r="AW1944" s="52" t="n"/>
    </row>
    <row r="1945">
      <c r="A1945" s="48" t="n"/>
      <c r="B1945" s="52" t="n"/>
      <c r="C1945" s="47">
        <f>IF(B1945="","",IFERROR(INDEX('隊員マスタ'!$B$5:$B$204,MATCH(B1945&amp;"",'隊員マスタ'!$F$5:$F$204,0)),IF(AK1945="","番号なし",AK1945)))</f>
        <v/>
      </c>
      <c r="D1945" s="47" t="n"/>
      <c r="E1945" s="47" t="n"/>
      <c r="F1945" s="47" t="n"/>
      <c r="G1945" s="47" t="n"/>
      <c r="H1945" s="47" t="n"/>
      <c r="I1945" s="47" t="n"/>
      <c r="J1945" s="47" t="n"/>
      <c r="K1945" s="47" t="n"/>
      <c r="L1945" s="47" t="n"/>
      <c r="M1945" s="47" t="n"/>
      <c r="N1945" s="47" t="n"/>
      <c r="O1945" s="47" t="n"/>
      <c r="P1945" s="47" t="n"/>
      <c r="Q1945" s="47" t="n"/>
      <c r="R1945" s="47" t="n"/>
      <c r="S1945" s="47" t="n"/>
      <c r="T1945" s="47" t="n"/>
      <c r="U1945" s="53" t="n"/>
      <c r="V1945" s="53" t="n"/>
      <c r="W1945" s="47" t="n"/>
      <c r="X1945" s="47" t="n"/>
      <c r="Y1945" s="47" t="n"/>
      <c r="Z1945" s="47" t="n"/>
      <c r="AA1945" s="47" t="n"/>
      <c r="AB1945" s="47" t="n"/>
      <c r="AC1945" s="47" t="n"/>
      <c r="AD1945" s="47" t="n"/>
      <c r="AE1945" s="47" t="n"/>
      <c r="AF1945" s="20">
        <f>IF(A1945="","",YEAR(EDATE(A1945,-3)))</f>
        <v/>
      </c>
      <c r="AG1945" s="20">
        <f>IF(OR(B1945="",'経歴簿'!$C$4=""),"",IF(B1945&amp;""='経歴簿'!$C$4&amp;"",MAX($AG$4:AG1944)+1,""))</f>
        <v/>
      </c>
      <c r="AH1945" s="20">
        <f>IF(A1945="",0,IF(AND(OR('CSV抽出'!$C$4="",A1945&gt;='CSV抽出'!$C$4),OR('CSV抽出'!$C$5="",A1945&lt;='CSV抽出'!$C$5),OR('CSV抽出'!$C$6="すべて",'CSV抽出'!$C$6="",D1945='CSV抽出'!$C$6),OR('CSV抽出'!$C$7="",B1945&amp;""='CSV抽出'!$C$7&amp;"")),1,0))</f>
        <v/>
      </c>
      <c r="AI1945" s="20">
        <f>IF(AH1945=1,SUM($AH$5:AH1945),"")</f>
        <v/>
      </c>
      <c r="AJ1945" s="20">
        <f>IF(OR(S1945="",'報告書'!$C$4=""),"",IF(S1945&amp;""='報告書'!$C$4&amp;"",COUNTIF($S$5:S1945,'報告書'!$C$4),""))</f>
        <v/>
      </c>
      <c r="AK1945" s="20" t="n"/>
      <c r="AL1945" s="47" t="n"/>
      <c r="AM1945" s="47" t="n"/>
      <c r="AN1945" s="53" t="n"/>
      <c r="AO1945" s="47" t="n"/>
      <c r="AP1945" s="47" t="n"/>
      <c r="AQ1945" s="47" t="n"/>
      <c r="AR1945" s="47" t="n"/>
      <c r="AS1945" s="47" t="n"/>
      <c r="AT1945" s="47" t="n"/>
      <c r="AU1945" s="47" t="n"/>
      <c r="AV1945" s="47" t="n"/>
      <c r="AW1945" s="52" t="n"/>
    </row>
    <row r="1946">
      <c r="A1946" s="48" t="n"/>
      <c r="B1946" s="52" t="n"/>
      <c r="C1946" s="47">
        <f>IF(B1946="","",IFERROR(INDEX('隊員マスタ'!$B$5:$B$204,MATCH(B1946&amp;"",'隊員マスタ'!$F$5:$F$204,0)),IF(AK1946="","番号なし",AK1946)))</f>
        <v/>
      </c>
      <c r="D1946" s="47" t="n"/>
      <c r="E1946" s="47" t="n"/>
      <c r="F1946" s="47" t="n"/>
      <c r="G1946" s="47" t="n"/>
      <c r="H1946" s="47" t="n"/>
      <c r="I1946" s="47" t="n"/>
      <c r="J1946" s="47" t="n"/>
      <c r="K1946" s="47" t="n"/>
      <c r="L1946" s="47" t="n"/>
      <c r="M1946" s="47" t="n"/>
      <c r="N1946" s="47" t="n"/>
      <c r="O1946" s="47" t="n"/>
      <c r="P1946" s="47" t="n"/>
      <c r="Q1946" s="47" t="n"/>
      <c r="R1946" s="47" t="n"/>
      <c r="S1946" s="47" t="n"/>
      <c r="T1946" s="47" t="n"/>
      <c r="U1946" s="53" t="n"/>
      <c r="V1946" s="53" t="n"/>
      <c r="W1946" s="47" t="n"/>
      <c r="X1946" s="47" t="n"/>
      <c r="Y1946" s="47" t="n"/>
      <c r="Z1946" s="47" t="n"/>
      <c r="AA1946" s="47" t="n"/>
      <c r="AB1946" s="47" t="n"/>
      <c r="AC1946" s="47" t="n"/>
      <c r="AD1946" s="47" t="n"/>
      <c r="AE1946" s="47" t="n"/>
      <c r="AF1946" s="20">
        <f>IF(A1946="","",YEAR(EDATE(A1946,-3)))</f>
        <v/>
      </c>
      <c r="AG1946" s="20">
        <f>IF(OR(B1946="",'経歴簿'!$C$4=""),"",IF(B1946&amp;""='経歴簿'!$C$4&amp;"",MAX($AG$4:AG1945)+1,""))</f>
        <v/>
      </c>
      <c r="AH1946" s="20">
        <f>IF(A1946="",0,IF(AND(OR('CSV抽出'!$C$4="",A1946&gt;='CSV抽出'!$C$4),OR('CSV抽出'!$C$5="",A1946&lt;='CSV抽出'!$C$5),OR('CSV抽出'!$C$6="すべて",'CSV抽出'!$C$6="",D1946='CSV抽出'!$C$6),OR('CSV抽出'!$C$7="",B1946&amp;""='CSV抽出'!$C$7&amp;"")),1,0))</f>
        <v/>
      </c>
      <c r="AI1946" s="20">
        <f>IF(AH1946=1,SUM($AH$5:AH1946),"")</f>
        <v/>
      </c>
      <c r="AJ1946" s="20">
        <f>IF(OR(S1946="",'報告書'!$C$4=""),"",IF(S1946&amp;""='報告書'!$C$4&amp;"",COUNTIF($S$5:S1946,'報告書'!$C$4),""))</f>
        <v/>
      </c>
      <c r="AK1946" s="20" t="n"/>
      <c r="AL1946" s="47" t="n"/>
      <c r="AM1946" s="47" t="n"/>
      <c r="AN1946" s="53" t="n"/>
      <c r="AO1946" s="47" t="n"/>
      <c r="AP1946" s="47" t="n"/>
      <c r="AQ1946" s="47" t="n"/>
      <c r="AR1946" s="47" t="n"/>
      <c r="AS1946" s="47" t="n"/>
      <c r="AT1946" s="47" t="n"/>
      <c r="AU1946" s="47" t="n"/>
      <c r="AV1946" s="47" t="n"/>
      <c r="AW1946" s="52" t="n"/>
    </row>
    <row r="1947">
      <c r="A1947" s="48" t="n"/>
      <c r="B1947" s="52" t="n"/>
      <c r="C1947" s="47">
        <f>IF(B1947="","",IFERROR(INDEX('隊員マスタ'!$B$5:$B$204,MATCH(B1947&amp;"",'隊員マスタ'!$F$5:$F$204,0)),IF(AK1947="","番号なし",AK1947)))</f>
        <v/>
      </c>
      <c r="D1947" s="47" t="n"/>
      <c r="E1947" s="47" t="n"/>
      <c r="F1947" s="47" t="n"/>
      <c r="G1947" s="47" t="n"/>
      <c r="H1947" s="47" t="n"/>
      <c r="I1947" s="47" t="n"/>
      <c r="J1947" s="47" t="n"/>
      <c r="K1947" s="47" t="n"/>
      <c r="L1947" s="47" t="n"/>
      <c r="M1947" s="47" t="n"/>
      <c r="N1947" s="47" t="n"/>
      <c r="O1947" s="47" t="n"/>
      <c r="P1947" s="47" t="n"/>
      <c r="Q1947" s="47" t="n"/>
      <c r="R1947" s="47" t="n"/>
      <c r="S1947" s="47" t="n"/>
      <c r="T1947" s="47" t="n"/>
      <c r="U1947" s="53" t="n"/>
      <c r="V1947" s="53" t="n"/>
      <c r="W1947" s="47" t="n"/>
      <c r="X1947" s="47" t="n"/>
      <c r="Y1947" s="47" t="n"/>
      <c r="Z1947" s="47" t="n"/>
      <c r="AA1947" s="47" t="n"/>
      <c r="AB1947" s="47" t="n"/>
      <c r="AC1947" s="47" t="n"/>
      <c r="AD1947" s="47" t="n"/>
      <c r="AE1947" s="47" t="n"/>
      <c r="AF1947" s="20">
        <f>IF(A1947="","",YEAR(EDATE(A1947,-3)))</f>
        <v/>
      </c>
      <c r="AG1947" s="20">
        <f>IF(OR(B1947="",'経歴簿'!$C$4=""),"",IF(B1947&amp;""='経歴簿'!$C$4&amp;"",MAX($AG$4:AG1946)+1,""))</f>
        <v/>
      </c>
      <c r="AH1947" s="20">
        <f>IF(A1947="",0,IF(AND(OR('CSV抽出'!$C$4="",A1947&gt;='CSV抽出'!$C$4),OR('CSV抽出'!$C$5="",A1947&lt;='CSV抽出'!$C$5),OR('CSV抽出'!$C$6="すべて",'CSV抽出'!$C$6="",D1947='CSV抽出'!$C$6),OR('CSV抽出'!$C$7="",B1947&amp;""='CSV抽出'!$C$7&amp;"")),1,0))</f>
        <v/>
      </c>
      <c r="AI1947" s="20">
        <f>IF(AH1947=1,SUM($AH$5:AH1947),"")</f>
        <v/>
      </c>
      <c r="AJ1947" s="20">
        <f>IF(OR(S1947="",'報告書'!$C$4=""),"",IF(S1947&amp;""='報告書'!$C$4&amp;"",COUNTIF($S$5:S1947,'報告書'!$C$4),""))</f>
        <v/>
      </c>
      <c r="AK1947" s="20" t="n"/>
      <c r="AL1947" s="47" t="n"/>
      <c r="AM1947" s="47" t="n"/>
      <c r="AN1947" s="53" t="n"/>
      <c r="AO1947" s="47" t="n"/>
      <c r="AP1947" s="47" t="n"/>
      <c r="AQ1947" s="47" t="n"/>
      <c r="AR1947" s="47" t="n"/>
      <c r="AS1947" s="47" t="n"/>
      <c r="AT1947" s="47" t="n"/>
      <c r="AU1947" s="47" t="n"/>
      <c r="AV1947" s="47" t="n"/>
      <c r="AW1947" s="52" t="n"/>
    </row>
    <row r="1948">
      <c r="A1948" s="48" t="n"/>
      <c r="B1948" s="52" t="n"/>
      <c r="C1948" s="47">
        <f>IF(B1948="","",IFERROR(INDEX('隊員マスタ'!$B$5:$B$204,MATCH(B1948&amp;"",'隊員マスタ'!$F$5:$F$204,0)),IF(AK1948="","番号なし",AK1948)))</f>
        <v/>
      </c>
      <c r="D1948" s="47" t="n"/>
      <c r="E1948" s="47" t="n"/>
      <c r="F1948" s="47" t="n"/>
      <c r="G1948" s="47" t="n"/>
      <c r="H1948" s="47" t="n"/>
      <c r="I1948" s="47" t="n"/>
      <c r="J1948" s="47" t="n"/>
      <c r="K1948" s="47" t="n"/>
      <c r="L1948" s="47" t="n"/>
      <c r="M1948" s="47" t="n"/>
      <c r="N1948" s="47" t="n"/>
      <c r="O1948" s="47" t="n"/>
      <c r="P1948" s="47" t="n"/>
      <c r="Q1948" s="47" t="n"/>
      <c r="R1948" s="47" t="n"/>
      <c r="S1948" s="47" t="n"/>
      <c r="T1948" s="47" t="n"/>
      <c r="U1948" s="53" t="n"/>
      <c r="V1948" s="53" t="n"/>
      <c r="W1948" s="47" t="n"/>
      <c r="X1948" s="47" t="n"/>
      <c r="Y1948" s="47" t="n"/>
      <c r="Z1948" s="47" t="n"/>
      <c r="AA1948" s="47" t="n"/>
      <c r="AB1948" s="47" t="n"/>
      <c r="AC1948" s="47" t="n"/>
      <c r="AD1948" s="47" t="n"/>
      <c r="AE1948" s="47" t="n"/>
      <c r="AF1948" s="20">
        <f>IF(A1948="","",YEAR(EDATE(A1948,-3)))</f>
        <v/>
      </c>
      <c r="AG1948" s="20">
        <f>IF(OR(B1948="",'経歴簿'!$C$4=""),"",IF(B1948&amp;""='経歴簿'!$C$4&amp;"",MAX($AG$4:AG1947)+1,""))</f>
        <v/>
      </c>
      <c r="AH1948" s="20">
        <f>IF(A1948="",0,IF(AND(OR('CSV抽出'!$C$4="",A1948&gt;='CSV抽出'!$C$4),OR('CSV抽出'!$C$5="",A1948&lt;='CSV抽出'!$C$5),OR('CSV抽出'!$C$6="すべて",'CSV抽出'!$C$6="",D1948='CSV抽出'!$C$6),OR('CSV抽出'!$C$7="",B1948&amp;""='CSV抽出'!$C$7&amp;"")),1,0))</f>
        <v/>
      </c>
      <c r="AI1948" s="20">
        <f>IF(AH1948=1,SUM($AH$5:AH1948),"")</f>
        <v/>
      </c>
      <c r="AJ1948" s="20">
        <f>IF(OR(S1948="",'報告書'!$C$4=""),"",IF(S1948&amp;""='報告書'!$C$4&amp;"",COUNTIF($S$5:S1948,'報告書'!$C$4),""))</f>
        <v/>
      </c>
      <c r="AK1948" s="20" t="n"/>
      <c r="AL1948" s="47" t="n"/>
      <c r="AM1948" s="47" t="n"/>
      <c r="AN1948" s="53" t="n"/>
      <c r="AO1948" s="47" t="n"/>
      <c r="AP1948" s="47" t="n"/>
      <c r="AQ1948" s="47" t="n"/>
      <c r="AR1948" s="47" t="n"/>
      <c r="AS1948" s="47" t="n"/>
      <c r="AT1948" s="47" t="n"/>
      <c r="AU1948" s="47" t="n"/>
      <c r="AV1948" s="47" t="n"/>
      <c r="AW1948" s="52" t="n"/>
    </row>
    <row r="1949">
      <c r="A1949" s="48" t="n"/>
      <c r="B1949" s="52" t="n"/>
      <c r="C1949" s="47">
        <f>IF(B1949="","",IFERROR(INDEX('隊員マスタ'!$B$5:$B$204,MATCH(B1949&amp;"",'隊員マスタ'!$F$5:$F$204,0)),IF(AK1949="","番号なし",AK1949)))</f>
        <v/>
      </c>
      <c r="D1949" s="47" t="n"/>
      <c r="E1949" s="47" t="n"/>
      <c r="F1949" s="47" t="n"/>
      <c r="G1949" s="47" t="n"/>
      <c r="H1949" s="47" t="n"/>
      <c r="I1949" s="47" t="n"/>
      <c r="J1949" s="47" t="n"/>
      <c r="K1949" s="47" t="n"/>
      <c r="L1949" s="47" t="n"/>
      <c r="M1949" s="47" t="n"/>
      <c r="N1949" s="47" t="n"/>
      <c r="O1949" s="47" t="n"/>
      <c r="P1949" s="47" t="n"/>
      <c r="Q1949" s="47" t="n"/>
      <c r="R1949" s="47" t="n"/>
      <c r="S1949" s="47" t="n"/>
      <c r="T1949" s="47" t="n"/>
      <c r="U1949" s="53" t="n"/>
      <c r="V1949" s="53" t="n"/>
      <c r="W1949" s="47" t="n"/>
      <c r="X1949" s="47" t="n"/>
      <c r="Y1949" s="47" t="n"/>
      <c r="Z1949" s="47" t="n"/>
      <c r="AA1949" s="47" t="n"/>
      <c r="AB1949" s="47" t="n"/>
      <c r="AC1949" s="47" t="n"/>
      <c r="AD1949" s="47" t="n"/>
      <c r="AE1949" s="47" t="n"/>
      <c r="AF1949" s="20">
        <f>IF(A1949="","",YEAR(EDATE(A1949,-3)))</f>
        <v/>
      </c>
      <c r="AG1949" s="20">
        <f>IF(OR(B1949="",'経歴簿'!$C$4=""),"",IF(B1949&amp;""='経歴簿'!$C$4&amp;"",MAX($AG$4:AG1948)+1,""))</f>
        <v/>
      </c>
      <c r="AH1949" s="20">
        <f>IF(A1949="",0,IF(AND(OR('CSV抽出'!$C$4="",A1949&gt;='CSV抽出'!$C$4),OR('CSV抽出'!$C$5="",A1949&lt;='CSV抽出'!$C$5),OR('CSV抽出'!$C$6="すべて",'CSV抽出'!$C$6="",D1949='CSV抽出'!$C$6),OR('CSV抽出'!$C$7="",B1949&amp;""='CSV抽出'!$C$7&amp;"")),1,0))</f>
        <v/>
      </c>
      <c r="AI1949" s="20">
        <f>IF(AH1949=1,SUM($AH$5:AH1949),"")</f>
        <v/>
      </c>
      <c r="AJ1949" s="20">
        <f>IF(OR(S1949="",'報告書'!$C$4=""),"",IF(S1949&amp;""='報告書'!$C$4&amp;"",COUNTIF($S$5:S1949,'報告書'!$C$4),""))</f>
        <v/>
      </c>
      <c r="AK1949" s="20" t="n"/>
      <c r="AL1949" s="47" t="n"/>
      <c r="AM1949" s="47" t="n"/>
      <c r="AN1949" s="53" t="n"/>
      <c r="AO1949" s="47" t="n"/>
      <c r="AP1949" s="47" t="n"/>
      <c r="AQ1949" s="47" t="n"/>
      <c r="AR1949" s="47" t="n"/>
      <c r="AS1949" s="47" t="n"/>
      <c r="AT1949" s="47" t="n"/>
      <c r="AU1949" s="47" t="n"/>
      <c r="AV1949" s="47" t="n"/>
      <c r="AW1949" s="52" t="n"/>
    </row>
    <row r="1950">
      <c r="A1950" s="48" t="n"/>
      <c r="B1950" s="52" t="n"/>
      <c r="C1950" s="47">
        <f>IF(B1950="","",IFERROR(INDEX('隊員マスタ'!$B$5:$B$204,MATCH(B1950&amp;"",'隊員マスタ'!$F$5:$F$204,0)),IF(AK1950="","番号なし",AK1950)))</f>
        <v/>
      </c>
      <c r="D1950" s="47" t="n"/>
      <c r="E1950" s="47" t="n"/>
      <c r="F1950" s="47" t="n"/>
      <c r="G1950" s="47" t="n"/>
      <c r="H1950" s="47" t="n"/>
      <c r="I1950" s="47" t="n"/>
      <c r="J1950" s="47" t="n"/>
      <c r="K1950" s="47" t="n"/>
      <c r="L1950" s="47" t="n"/>
      <c r="M1950" s="47" t="n"/>
      <c r="N1950" s="47" t="n"/>
      <c r="O1950" s="47" t="n"/>
      <c r="P1950" s="47" t="n"/>
      <c r="Q1950" s="47" t="n"/>
      <c r="R1950" s="47" t="n"/>
      <c r="S1950" s="47" t="n"/>
      <c r="T1950" s="47" t="n"/>
      <c r="U1950" s="53" t="n"/>
      <c r="V1950" s="53" t="n"/>
      <c r="W1950" s="47" t="n"/>
      <c r="X1950" s="47" t="n"/>
      <c r="Y1950" s="47" t="n"/>
      <c r="Z1950" s="47" t="n"/>
      <c r="AA1950" s="47" t="n"/>
      <c r="AB1950" s="47" t="n"/>
      <c r="AC1950" s="47" t="n"/>
      <c r="AD1950" s="47" t="n"/>
      <c r="AE1950" s="47" t="n"/>
      <c r="AF1950" s="20">
        <f>IF(A1950="","",YEAR(EDATE(A1950,-3)))</f>
        <v/>
      </c>
      <c r="AG1950" s="20">
        <f>IF(OR(B1950="",'経歴簿'!$C$4=""),"",IF(B1950&amp;""='経歴簿'!$C$4&amp;"",MAX($AG$4:AG1949)+1,""))</f>
        <v/>
      </c>
      <c r="AH1950" s="20">
        <f>IF(A1950="",0,IF(AND(OR('CSV抽出'!$C$4="",A1950&gt;='CSV抽出'!$C$4),OR('CSV抽出'!$C$5="",A1950&lt;='CSV抽出'!$C$5),OR('CSV抽出'!$C$6="すべて",'CSV抽出'!$C$6="",D1950='CSV抽出'!$C$6),OR('CSV抽出'!$C$7="",B1950&amp;""='CSV抽出'!$C$7&amp;"")),1,0))</f>
        <v/>
      </c>
      <c r="AI1950" s="20">
        <f>IF(AH1950=1,SUM($AH$5:AH1950),"")</f>
        <v/>
      </c>
      <c r="AJ1950" s="20">
        <f>IF(OR(S1950="",'報告書'!$C$4=""),"",IF(S1950&amp;""='報告書'!$C$4&amp;"",COUNTIF($S$5:S1950,'報告書'!$C$4),""))</f>
        <v/>
      </c>
      <c r="AK1950" s="20" t="n"/>
      <c r="AL1950" s="47" t="n"/>
      <c r="AM1950" s="47" t="n"/>
      <c r="AN1950" s="53" t="n"/>
      <c r="AO1950" s="47" t="n"/>
      <c r="AP1950" s="47" t="n"/>
      <c r="AQ1950" s="47" t="n"/>
      <c r="AR1950" s="47" t="n"/>
      <c r="AS1950" s="47" t="n"/>
      <c r="AT1950" s="47" t="n"/>
      <c r="AU1950" s="47" t="n"/>
      <c r="AV1950" s="47" t="n"/>
      <c r="AW1950" s="52" t="n"/>
    </row>
    <row r="1951">
      <c r="A1951" s="48" t="n"/>
      <c r="B1951" s="52" t="n"/>
      <c r="C1951" s="47">
        <f>IF(B1951="","",IFERROR(INDEX('隊員マスタ'!$B$5:$B$204,MATCH(B1951&amp;"",'隊員マスタ'!$F$5:$F$204,0)),IF(AK1951="","番号なし",AK1951)))</f>
        <v/>
      </c>
      <c r="D1951" s="47" t="n"/>
      <c r="E1951" s="47" t="n"/>
      <c r="F1951" s="47" t="n"/>
      <c r="G1951" s="47" t="n"/>
      <c r="H1951" s="47" t="n"/>
      <c r="I1951" s="47" t="n"/>
      <c r="J1951" s="47" t="n"/>
      <c r="K1951" s="47" t="n"/>
      <c r="L1951" s="47" t="n"/>
      <c r="M1951" s="47" t="n"/>
      <c r="N1951" s="47" t="n"/>
      <c r="O1951" s="47" t="n"/>
      <c r="P1951" s="47" t="n"/>
      <c r="Q1951" s="47" t="n"/>
      <c r="R1951" s="47" t="n"/>
      <c r="S1951" s="47" t="n"/>
      <c r="T1951" s="47" t="n"/>
      <c r="U1951" s="53" t="n"/>
      <c r="V1951" s="53" t="n"/>
      <c r="W1951" s="47" t="n"/>
      <c r="X1951" s="47" t="n"/>
      <c r="Y1951" s="47" t="n"/>
      <c r="Z1951" s="47" t="n"/>
      <c r="AA1951" s="47" t="n"/>
      <c r="AB1951" s="47" t="n"/>
      <c r="AC1951" s="47" t="n"/>
      <c r="AD1951" s="47" t="n"/>
      <c r="AE1951" s="47" t="n"/>
      <c r="AF1951" s="20">
        <f>IF(A1951="","",YEAR(EDATE(A1951,-3)))</f>
        <v/>
      </c>
      <c r="AG1951" s="20">
        <f>IF(OR(B1951="",'経歴簿'!$C$4=""),"",IF(B1951&amp;""='経歴簿'!$C$4&amp;"",MAX($AG$4:AG1950)+1,""))</f>
        <v/>
      </c>
      <c r="AH1951" s="20">
        <f>IF(A1951="",0,IF(AND(OR('CSV抽出'!$C$4="",A1951&gt;='CSV抽出'!$C$4),OR('CSV抽出'!$C$5="",A1951&lt;='CSV抽出'!$C$5),OR('CSV抽出'!$C$6="すべて",'CSV抽出'!$C$6="",D1951='CSV抽出'!$C$6),OR('CSV抽出'!$C$7="",B1951&amp;""='CSV抽出'!$C$7&amp;"")),1,0))</f>
        <v/>
      </c>
      <c r="AI1951" s="20">
        <f>IF(AH1951=1,SUM($AH$5:AH1951),"")</f>
        <v/>
      </c>
      <c r="AJ1951" s="20">
        <f>IF(OR(S1951="",'報告書'!$C$4=""),"",IF(S1951&amp;""='報告書'!$C$4&amp;"",COUNTIF($S$5:S1951,'報告書'!$C$4),""))</f>
        <v/>
      </c>
      <c r="AK1951" s="20" t="n"/>
      <c r="AL1951" s="47" t="n"/>
      <c r="AM1951" s="47" t="n"/>
      <c r="AN1951" s="53" t="n"/>
      <c r="AO1951" s="47" t="n"/>
      <c r="AP1951" s="47" t="n"/>
      <c r="AQ1951" s="47" t="n"/>
      <c r="AR1951" s="47" t="n"/>
      <c r="AS1951" s="47" t="n"/>
      <c r="AT1951" s="47" t="n"/>
      <c r="AU1951" s="47" t="n"/>
      <c r="AV1951" s="47" t="n"/>
      <c r="AW1951" s="52" t="n"/>
    </row>
    <row r="1952">
      <c r="A1952" s="48" t="n"/>
      <c r="B1952" s="52" t="n"/>
      <c r="C1952" s="47">
        <f>IF(B1952="","",IFERROR(INDEX('隊員マスタ'!$B$5:$B$204,MATCH(B1952&amp;"",'隊員マスタ'!$F$5:$F$204,0)),IF(AK1952="","番号なし",AK1952)))</f>
        <v/>
      </c>
      <c r="D1952" s="47" t="n"/>
      <c r="E1952" s="47" t="n"/>
      <c r="F1952" s="47" t="n"/>
      <c r="G1952" s="47" t="n"/>
      <c r="H1952" s="47" t="n"/>
      <c r="I1952" s="47" t="n"/>
      <c r="J1952" s="47" t="n"/>
      <c r="K1952" s="47" t="n"/>
      <c r="L1952" s="47" t="n"/>
      <c r="M1952" s="47" t="n"/>
      <c r="N1952" s="47" t="n"/>
      <c r="O1952" s="47" t="n"/>
      <c r="P1952" s="47" t="n"/>
      <c r="Q1952" s="47" t="n"/>
      <c r="R1952" s="47" t="n"/>
      <c r="S1952" s="47" t="n"/>
      <c r="T1952" s="47" t="n"/>
      <c r="U1952" s="53" t="n"/>
      <c r="V1952" s="53" t="n"/>
      <c r="W1952" s="47" t="n"/>
      <c r="X1952" s="47" t="n"/>
      <c r="Y1952" s="47" t="n"/>
      <c r="Z1952" s="47" t="n"/>
      <c r="AA1952" s="47" t="n"/>
      <c r="AB1952" s="47" t="n"/>
      <c r="AC1952" s="47" t="n"/>
      <c r="AD1952" s="47" t="n"/>
      <c r="AE1952" s="47" t="n"/>
      <c r="AF1952" s="20">
        <f>IF(A1952="","",YEAR(EDATE(A1952,-3)))</f>
        <v/>
      </c>
      <c r="AG1952" s="20">
        <f>IF(OR(B1952="",'経歴簿'!$C$4=""),"",IF(B1952&amp;""='経歴簿'!$C$4&amp;"",MAX($AG$4:AG1951)+1,""))</f>
        <v/>
      </c>
      <c r="AH1952" s="20">
        <f>IF(A1952="",0,IF(AND(OR('CSV抽出'!$C$4="",A1952&gt;='CSV抽出'!$C$4),OR('CSV抽出'!$C$5="",A1952&lt;='CSV抽出'!$C$5),OR('CSV抽出'!$C$6="すべて",'CSV抽出'!$C$6="",D1952='CSV抽出'!$C$6),OR('CSV抽出'!$C$7="",B1952&amp;""='CSV抽出'!$C$7&amp;"")),1,0))</f>
        <v/>
      </c>
      <c r="AI1952" s="20">
        <f>IF(AH1952=1,SUM($AH$5:AH1952),"")</f>
        <v/>
      </c>
      <c r="AJ1952" s="20">
        <f>IF(OR(S1952="",'報告書'!$C$4=""),"",IF(S1952&amp;""='報告書'!$C$4&amp;"",COUNTIF($S$5:S1952,'報告書'!$C$4),""))</f>
        <v/>
      </c>
      <c r="AK1952" s="20" t="n"/>
      <c r="AL1952" s="47" t="n"/>
      <c r="AM1952" s="47" t="n"/>
      <c r="AN1952" s="53" t="n"/>
      <c r="AO1952" s="47" t="n"/>
      <c r="AP1952" s="47" t="n"/>
      <c r="AQ1952" s="47" t="n"/>
      <c r="AR1952" s="47" t="n"/>
      <c r="AS1952" s="47" t="n"/>
      <c r="AT1952" s="47" t="n"/>
      <c r="AU1952" s="47" t="n"/>
      <c r="AV1952" s="47" t="n"/>
      <c r="AW1952" s="52" t="n"/>
    </row>
    <row r="1953">
      <c r="A1953" s="48" t="n"/>
      <c r="B1953" s="52" t="n"/>
      <c r="C1953" s="47">
        <f>IF(B1953="","",IFERROR(INDEX('隊員マスタ'!$B$5:$B$204,MATCH(B1953&amp;"",'隊員マスタ'!$F$5:$F$204,0)),IF(AK1953="","番号なし",AK1953)))</f>
        <v/>
      </c>
      <c r="D1953" s="47" t="n"/>
      <c r="E1953" s="47" t="n"/>
      <c r="F1953" s="47" t="n"/>
      <c r="G1953" s="47" t="n"/>
      <c r="H1953" s="47" t="n"/>
      <c r="I1953" s="47" t="n"/>
      <c r="J1953" s="47" t="n"/>
      <c r="K1953" s="47" t="n"/>
      <c r="L1953" s="47" t="n"/>
      <c r="M1953" s="47" t="n"/>
      <c r="N1953" s="47" t="n"/>
      <c r="O1953" s="47" t="n"/>
      <c r="P1953" s="47" t="n"/>
      <c r="Q1953" s="47" t="n"/>
      <c r="R1953" s="47" t="n"/>
      <c r="S1953" s="47" t="n"/>
      <c r="T1953" s="47" t="n"/>
      <c r="U1953" s="53" t="n"/>
      <c r="V1953" s="53" t="n"/>
      <c r="W1953" s="47" t="n"/>
      <c r="X1953" s="47" t="n"/>
      <c r="Y1953" s="47" t="n"/>
      <c r="Z1953" s="47" t="n"/>
      <c r="AA1953" s="47" t="n"/>
      <c r="AB1953" s="47" t="n"/>
      <c r="AC1953" s="47" t="n"/>
      <c r="AD1953" s="47" t="n"/>
      <c r="AE1953" s="47" t="n"/>
      <c r="AF1953" s="20">
        <f>IF(A1953="","",YEAR(EDATE(A1953,-3)))</f>
        <v/>
      </c>
      <c r="AG1953" s="20">
        <f>IF(OR(B1953="",'経歴簿'!$C$4=""),"",IF(B1953&amp;""='経歴簿'!$C$4&amp;"",MAX($AG$4:AG1952)+1,""))</f>
        <v/>
      </c>
      <c r="AH1953" s="20">
        <f>IF(A1953="",0,IF(AND(OR('CSV抽出'!$C$4="",A1953&gt;='CSV抽出'!$C$4),OR('CSV抽出'!$C$5="",A1953&lt;='CSV抽出'!$C$5),OR('CSV抽出'!$C$6="すべて",'CSV抽出'!$C$6="",D1953='CSV抽出'!$C$6),OR('CSV抽出'!$C$7="",B1953&amp;""='CSV抽出'!$C$7&amp;"")),1,0))</f>
        <v/>
      </c>
      <c r="AI1953" s="20">
        <f>IF(AH1953=1,SUM($AH$5:AH1953),"")</f>
        <v/>
      </c>
      <c r="AJ1953" s="20">
        <f>IF(OR(S1953="",'報告書'!$C$4=""),"",IF(S1953&amp;""='報告書'!$C$4&amp;"",COUNTIF($S$5:S1953,'報告書'!$C$4),""))</f>
        <v/>
      </c>
      <c r="AK1953" s="20" t="n"/>
      <c r="AL1953" s="47" t="n"/>
      <c r="AM1953" s="47" t="n"/>
      <c r="AN1953" s="53" t="n"/>
      <c r="AO1953" s="47" t="n"/>
      <c r="AP1953" s="47" t="n"/>
      <c r="AQ1953" s="47" t="n"/>
      <c r="AR1953" s="47" t="n"/>
      <c r="AS1953" s="47" t="n"/>
      <c r="AT1953" s="47" t="n"/>
      <c r="AU1953" s="47" t="n"/>
      <c r="AV1953" s="47" t="n"/>
      <c r="AW1953" s="52" t="n"/>
    </row>
    <row r="1954">
      <c r="A1954" s="48" t="n"/>
      <c r="B1954" s="52" t="n"/>
      <c r="C1954" s="47">
        <f>IF(B1954="","",IFERROR(INDEX('隊員マスタ'!$B$5:$B$204,MATCH(B1954&amp;"",'隊員マスタ'!$F$5:$F$204,0)),IF(AK1954="","番号なし",AK1954)))</f>
        <v/>
      </c>
      <c r="D1954" s="47" t="n"/>
      <c r="E1954" s="47" t="n"/>
      <c r="F1954" s="47" t="n"/>
      <c r="G1954" s="47" t="n"/>
      <c r="H1954" s="47" t="n"/>
      <c r="I1954" s="47" t="n"/>
      <c r="J1954" s="47" t="n"/>
      <c r="K1954" s="47" t="n"/>
      <c r="L1954" s="47" t="n"/>
      <c r="M1954" s="47" t="n"/>
      <c r="N1954" s="47" t="n"/>
      <c r="O1954" s="47" t="n"/>
      <c r="P1954" s="47" t="n"/>
      <c r="Q1954" s="47" t="n"/>
      <c r="R1954" s="47" t="n"/>
      <c r="S1954" s="47" t="n"/>
      <c r="T1954" s="47" t="n"/>
      <c r="U1954" s="53" t="n"/>
      <c r="V1954" s="53" t="n"/>
      <c r="W1954" s="47" t="n"/>
      <c r="X1954" s="47" t="n"/>
      <c r="Y1954" s="47" t="n"/>
      <c r="Z1954" s="47" t="n"/>
      <c r="AA1954" s="47" t="n"/>
      <c r="AB1954" s="47" t="n"/>
      <c r="AC1954" s="47" t="n"/>
      <c r="AD1954" s="47" t="n"/>
      <c r="AE1954" s="47" t="n"/>
      <c r="AF1954" s="20">
        <f>IF(A1954="","",YEAR(EDATE(A1954,-3)))</f>
        <v/>
      </c>
      <c r="AG1954" s="20">
        <f>IF(OR(B1954="",'経歴簿'!$C$4=""),"",IF(B1954&amp;""='経歴簿'!$C$4&amp;"",MAX($AG$4:AG1953)+1,""))</f>
        <v/>
      </c>
      <c r="AH1954" s="20">
        <f>IF(A1954="",0,IF(AND(OR('CSV抽出'!$C$4="",A1954&gt;='CSV抽出'!$C$4),OR('CSV抽出'!$C$5="",A1954&lt;='CSV抽出'!$C$5),OR('CSV抽出'!$C$6="すべて",'CSV抽出'!$C$6="",D1954='CSV抽出'!$C$6),OR('CSV抽出'!$C$7="",B1954&amp;""='CSV抽出'!$C$7&amp;"")),1,0))</f>
        <v/>
      </c>
      <c r="AI1954" s="20">
        <f>IF(AH1954=1,SUM($AH$5:AH1954),"")</f>
        <v/>
      </c>
      <c r="AJ1954" s="20">
        <f>IF(OR(S1954="",'報告書'!$C$4=""),"",IF(S1954&amp;""='報告書'!$C$4&amp;"",COUNTIF($S$5:S1954,'報告書'!$C$4),""))</f>
        <v/>
      </c>
      <c r="AK1954" s="20" t="n"/>
      <c r="AL1954" s="47" t="n"/>
      <c r="AM1954" s="47" t="n"/>
      <c r="AN1954" s="53" t="n"/>
      <c r="AO1954" s="47" t="n"/>
      <c r="AP1954" s="47" t="n"/>
      <c r="AQ1954" s="47" t="n"/>
      <c r="AR1954" s="47" t="n"/>
      <c r="AS1954" s="47" t="n"/>
      <c r="AT1954" s="47" t="n"/>
      <c r="AU1954" s="47" t="n"/>
      <c r="AV1954" s="47" t="n"/>
      <c r="AW1954" s="52" t="n"/>
    </row>
    <row r="1955">
      <c r="A1955" s="48" t="n"/>
      <c r="B1955" s="52" t="n"/>
      <c r="C1955" s="47">
        <f>IF(B1955="","",IFERROR(INDEX('隊員マスタ'!$B$5:$B$204,MATCH(B1955&amp;"",'隊員マスタ'!$F$5:$F$204,0)),IF(AK1955="","番号なし",AK1955)))</f>
        <v/>
      </c>
      <c r="D1955" s="47" t="n"/>
      <c r="E1955" s="47" t="n"/>
      <c r="F1955" s="47" t="n"/>
      <c r="G1955" s="47" t="n"/>
      <c r="H1955" s="47" t="n"/>
      <c r="I1955" s="47" t="n"/>
      <c r="J1955" s="47" t="n"/>
      <c r="K1955" s="47" t="n"/>
      <c r="L1955" s="47" t="n"/>
      <c r="M1955" s="47" t="n"/>
      <c r="N1955" s="47" t="n"/>
      <c r="O1955" s="47" t="n"/>
      <c r="P1955" s="47" t="n"/>
      <c r="Q1955" s="47" t="n"/>
      <c r="R1955" s="47" t="n"/>
      <c r="S1955" s="47" t="n"/>
      <c r="T1955" s="47" t="n"/>
      <c r="U1955" s="53" t="n"/>
      <c r="V1955" s="53" t="n"/>
      <c r="W1955" s="47" t="n"/>
      <c r="X1955" s="47" t="n"/>
      <c r="Y1955" s="47" t="n"/>
      <c r="Z1955" s="47" t="n"/>
      <c r="AA1955" s="47" t="n"/>
      <c r="AB1955" s="47" t="n"/>
      <c r="AC1955" s="47" t="n"/>
      <c r="AD1955" s="47" t="n"/>
      <c r="AE1955" s="47" t="n"/>
      <c r="AF1955" s="20">
        <f>IF(A1955="","",YEAR(EDATE(A1955,-3)))</f>
        <v/>
      </c>
      <c r="AG1955" s="20">
        <f>IF(OR(B1955="",'経歴簿'!$C$4=""),"",IF(B1955&amp;""='経歴簿'!$C$4&amp;"",MAX($AG$4:AG1954)+1,""))</f>
        <v/>
      </c>
      <c r="AH1955" s="20">
        <f>IF(A1955="",0,IF(AND(OR('CSV抽出'!$C$4="",A1955&gt;='CSV抽出'!$C$4),OR('CSV抽出'!$C$5="",A1955&lt;='CSV抽出'!$C$5),OR('CSV抽出'!$C$6="すべて",'CSV抽出'!$C$6="",D1955='CSV抽出'!$C$6),OR('CSV抽出'!$C$7="",B1955&amp;""='CSV抽出'!$C$7&amp;"")),1,0))</f>
        <v/>
      </c>
      <c r="AI1955" s="20">
        <f>IF(AH1955=1,SUM($AH$5:AH1955),"")</f>
        <v/>
      </c>
      <c r="AJ1955" s="20">
        <f>IF(OR(S1955="",'報告書'!$C$4=""),"",IF(S1955&amp;""='報告書'!$C$4&amp;"",COUNTIF($S$5:S1955,'報告書'!$C$4),""))</f>
        <v/>
      </c>
      <c r="AK1955" s="20" t="n"/>
      <c r="AL1955" s="47" t="n"/>
      <c r="AM1955" s="47" t="n"/>
      <c r="AN1955" s="53" t="n"/>
      <c r="AO1955" s="47" t="n"/>
      <c r="AP1955" s="47" t="n"/>
      <c r="AQ1955" s="47" t="n"/>
      <c r="AR1955" s="47" t="n"/>
      <c r="AS1955" s="47" t="n"/>
      <c r="AT1955" s="47" t="n"/>
      <c r="AU1955" s="47" t="n"/>
      <c r="AV1955" s="47" t="n"/>
      <c r="AW1955" s="52" t="n"/>
    </row>
    <row r="1956">
      <c r="A1956" s="48" t="n"/>
      <c r="B1956" s="52" t="n"/>
      <c r="C1956" s="47">
        <f>IF(B1956="","",IFERROR(INDEX('隊員マスタ'!$B$5:$B$204,MATCH(B1956&amp;"",'隊員マスタ'!$F$5:$F$204,0)),IF(AK1956="","番号なし",AK1956)))</f>
        <v/>
      </c>
      <c r="D1956" s="47" t="n"/>
      <c r="E1956" s="47" t="n"/>
      <c r="F1956" s="47" t="n"/>
      <c r="G1956" s="47" t="n"/>
      <c r="H1956" s="47" t="n"/>
      <c r="I1956" s="47" t="n"/>
      <c r="J1956" s="47" t="n"/>
      <c r="K1956" s="47" t="n"/>
      <c r="L1956" s="47" t="n"/>
      <c r="M1956" s="47" t="n"/>
      <c r="N1956" s="47" t="n"/>
      <c r="O1956" s="47" t="n"/>
      <c r="P1956" s="47" t="n"/>
      <c r="Q1956" s="47" t="n"/>
      <c r="R1956" s="47" t="n"/>
      <c r="S1956" s="47" t="n"/>
      <c r="T1956" s="47" t="n"/>
      <c r="U1956" s="53" t="n"/>
      <c r="V1956" s="53" t="n"/>
      <c r="W1956" s="47" t="n"/>
      <c r="X1956" s="47" t="n"/>
      <c r="Y1956" s="47" t="n"/>
      <c r="Z1956" s="47" t="n"/>
      <c r="AA1956" s="47" t="n"/>
      <c r="AB1956" s="47" t="n"/>
      <c r="AC1956" s="47" t="n"/>
      <c r="AD1956" s="47" t="n"/>
      <c r="AE1956" s="47" t="n"/>
      <c r="AF1956" s="20">
        <f>IF(A1956="","",YEAR(EDATE(A1956,-3)))</f>
        <v/>
      </c>
      <c r="AG1956" s="20">
        <f>IF(OR(B1956="",'経歴簿'!$C$4=""),"",IF(B1956&amp;""='経歴簿'!$C$4&amp;"",MAX($AG$4:AG1955)+1,""))</f>
        <v/>
      </c>
      <c r="AH1956" s="20">
        <f>IF(A1956="",0,IF(AND(OR('CSV抽出'!$C$4="",A1956&gt;='CSV抽出'!$C$4),OR('CSV抽出'!$C$5="",A1956&lt;='CSV抽出'!$C$5),OR('CSV抽出'!$C$6="すべて",'CSV抽出'!$C$6="",D1956='CSV抽出'!$C$6),OR('CSV抽出'!$C$7="",B1956&amp;""='CSV抽出'!$C$7&amp;"")),1,0))</f>
        <v/>
      </c>
      <c r="AI1956" s="20">
        <f>IF(AH1956=1,SUM($AH$5:AH1956),"")</f>
        <v/>
      </c>
      <c r="AJ1956" s="20">
        <f>IF(OR(S1956="",'報告書'!$C$4=""),"",IF(S1956&amp;""='報告書'!$C$4&amp;"",COUNTIF($S$5:S1956,'報告書'!$C$4),""))</f>
        <v/>
      </c>
      <c r="AK1956" s="20" t="n"/>
      <c r="AL1956" s="47" t="n"/>
      <c r="AM1956" s="47" t="n"/>
      <c r="AN1956" s="53" t="n"/>
      <c r="AO1956" s="47" t="n"/>
      <c r="AP1956" s="47" t="n"/>
      <c r="AQ1956" s="47" t="n"/>
      <c r="AR1956" s="47" t="n"/>
      <c r="AS1956" s="47" t="n"/>
      <c r="AT1956" s="47" t="n"/>
      <c r="AU1956" s="47" t="n"/>
      <c r="AV1956" s="47" t="n"/>
      <c r="AW1956" s="52" t="n"/>
    </row>
    <row r="1957">
      <c r="A1957" s="48" t="n"/>
      <c r="B1957" s="52" t="n"/>
      <c r="C1957" s="47">
        <f>IF(B1957="","",IFERROR(INDEX('隊員マスタ'!$B$5:$B$204,MATCH(B1957&amp;"",'隊員マスタ'!$F$5:$F$204,0)),IF(AK1957="","番号なし",AK1957)))</f>
        <v/>
      </c>
      <c r="D1957" s="47" t="n"/>
      <c r="E1957" s="47" t="n"/>
      <c r="F1957" s="47" t="n"/>
      <c r="G1957" s="47" t="n"/>
      <c r="H1957" s="47" t="n"/>
      <c r="I1957" s="47" t="n"/>
      <c r="J1957" s="47" t="n"/>
      <c r="K1957" s="47" t="n"/>
      <c r="L1957" s="47" t="n"/>
      <c r="M1957" s="47" t="n"/>
      <c r="N1957" s="47" t="n"/>
      <c r="O1957" s="47" t="n"/>
      <c r="P1957" s="47" t="n"/>
      <c r="Q1957" s="47" t="n"/>
      <c r="R1957" s="47" t="n"/>
      <c r="S1957" s="47" t="n"/>
      <c r="T1957" s="47" t="n"/>
      <c r="U1957" s="53" t="n"/>
      <c r="V1957" s="53" t="n"/>
      <c r="W1957" s="47" t="n"/>
      <c r="X1957" s="47" t="n"/>
      <c r="Y1957" s="47" t="n"/>
      <c r="Z1957" s="47" t="n"/>
      <c r="AA1957" s="47" t="n"/>
      <c r="AB1957" s="47" t="n"/>
      <c r="AC1957" s="47" t="n"/>
      <c r="AD1957" s="47" t="n"/>
      <c r="AE1957" s="47" t="n"/>
      <c r="AF1957" s="20">
        <f>IF(A1957="","",YEAR(EDATE(A1957,-3)))</f>
        <v/>
      </c>
      <c r="AG1957" s="20">
        <f>IF(OR(B1957="",'経歴簿'!$C$4=""),"",IF(B1957&amp;""='経歴簿'!$C$4&amp;"",MAX($AG$4:AG1956)+1,""))</f>
        <v/>
      </c>
      <c r="AH1957" s="20">
        <f>IF(A1957="",0,IF(AND(OR('CSV抽出'!$C$4="",A1957&gt;='CSV抽出'!$C$4),OR('CSV抽出'!$C$5="",A1957&lt;='CSV抽出'!$C$5),OR('CSV抽出'!$C$6="すべて",'CSV抽出'!$C$6="",D1957='CSV抽出'!$C$6),OR('CSV抽出'!$C$7="",B1957&amp;""='CSV抽出'!$C$7&amp;"")),1,0))</f>
        <v/>
      </c>
      <c r="AI1957" s="20">
        <f>IF(AH1957=1,SUM($AH$5:AH1957),"")</f>
        <v/>
      </c>
      <c r="AJ1957" s="20">
        <f>IF(OR(S1957="",'報告書'!$C$4=""),"",IF(S1957&amp;""='報告書'!$C$4&amp;"",COUNTIF($S$5:S1957,'報告書'!$C$4),""))</f>
        <v/>
      </c>
      <c r="AK1957" s="20" t="n"/>
      <c r="AL1957" s="47" t="n"/>
      <c r="AM1957" s="47" t="n"/>
      <c r="AN1957" s="53" t="n"/>
      <c r="AO1957" s="47" t="n"/>
      <c r="AP1957" s="47" t="n"/>
      <c r="AQ1957" s="47" t="n"/>
      <c r="AR1957" s="47" t="n"/>
      <c r="AS1957" s="47" t="n"/>
      <c r="AT1957" s="47" t="n"/>
      <c r="AU1957" s="47" t="n"/>
      <c r="AV1957" s="47" t="n"/>
      <c r="AW1957" s="52" t="n"/>
    </row>
    <row r="1958">
      <c r="A1958" s="48" t="n"/>
      <c r="B1958" s="52" t="n"/>
      <c r="C1958" s="47">
        <f>IF(B1958="","",IFERROR(INDEX('隊員マスタ'!$B$5:$B$204,MATCH(B1958&amp;"",'隊員マスタ'!$F$5:$F$204,0)),IF(AK1958="","番号なし",AK1958)))</f>
        <v/>
      </c>
      <c r="D1958" s="47" t="n"/>
      <c r="E1958" s="47" t="n"/>
      <c r="F1958" s="47" t="n"/>
      <c r="G1958" s="47" t="n"/>
      <c r="H1958" s="47" t="n"/>
      <c r="I1958" s="47" t="n"/>
      <c r="J1958" s="47" t="n"/>
      <c r="K1958" s="47" t="n"/>
      <c r="L1958" s="47" t="n"/>
      <c r="M1958" s="47" t="n"/>
      <c r="N1958" s="47" t="n"/>
      <c r="O1958" s="47" t="n"/>
      <c r="P1958" s="47" t="n"/>
      <c r="Q1958" s="47" t="n"/>
      <c r="R1958" s="47" t="n"/>
      <c r="S1958" s="47" t="n"/>
      <c r="T1958" s="47" t="n"/>
      <c r="U1958" s="53" t="n"/>
      <c r="V1958" s="53" t="n"/>
      <c r="W1958" s="47" t="n"/>
      <c r="X1958" s="47" t="n"/>
      <c r="Y1958" s="47" t="n"/>
      <c r="Z1958" s="47" t="n"/>
      <c r="AA1958" s="47" t="n"/>
      <c r="AB1958" s="47" t="n"/>
      <c r="AC1958" s="47" t="n"/>
      <c r="AD1958" s="47" t="n"/>
      <c r="AE1958" s="47" t="n"/>
      <c r="AF1958" s="20">
        <f>IF(A1958="","",YEAR(EDATE(A1958,-3)))</f>
        <v/>
      </c>
      <c r="AG1958" s="20">
        <f>IF(OR(B1958="",'経歴簿'!$C$4=""),"",IF(B1958&amp;""='経歴簿'!$C$4&amp;"",MAX($AG$4:AG1957)+1,""))</f>
        <v/>
      </c>
      <c r="AH1958" s="20">
        <f>IF(A1958="",0,IF(AND(OR('CSV抽出'!$C$4="",A1958&gt;='CSV抽出'!$C$4),OR('CSV抽出'!$C$5="",A1958&lt;='CSV抽出'!$C$5),OR('CSV抽出'!$C$6="すべて",'CSV抽出'!$C$6="",D1958='CSV抽出'!$C$6),OR('CSV抽出'!$C$7="",B1958&amp;""='CSV抽出'!$C$7&amp;"")),1,0))</f>
        <v/>
      </c>
      <c r="AI1958" s="20">
        <f>IF(AH1958=1,SUM($AH$5:AH1958),"")</f>
        <v/>
      </c>
      <c r="AJ1958" s="20">
        <f>IF(OR(S1958="",'報告書'!$C$4=""),"",IF(S1958&amp;""='報告書'!$C$4&amp;"",COUNTIF($S$5:S1958,'報告書'!$C$4),""))</f>
        <v/>
      </c>
      <c r="AK1958" s="20" t="n"/>
      <c r="AL1958" s="47" t="n"/>
      <c r="AM1958" s="47" t="n"/>
      <c r="AN1958" s="53" t="n"/>
      <c r="AO1958" s="47" t="n"/>
      <c r="AP1958" s="47" t="n"/>
      <c r="AQ1958" s="47" t="n"/>
      <c r="AR1958" s="47" t="n"/>
      <c r="AS1958" s="47" t="n"/>
      <c r="AT1958" s="47" t="n"/>
      <c r="AU1958" s="47" t="n"/>
      <c r="AV1958" s="47" t="n"/>
      <c r="AW1958" s="52" t="n"/>
    </row>
    <row r="1959">
      <c r="A1959" s="48" t="n"/>
      <c r="B1959" s="52" t="n"/>
      <c r="C1959" s="47">
        <f>IF(B1959="","",IFERROR(INDEX('隊員マスタ'!$B$5:$B$204,MATCH(B1959&amp;"",'隊員マスタ'!$F$5:$F$204,0)),IF(AK1959="","番号なし",AK1959)))</f>
        <v/>
      </c>
      <c r="D1959" s="47" t="n"/>
      <c r="E1959" s="47" t="n"/>
      <c r="F1959" s="47" t="n"/>
      <c r="G1959" s="47" t="n"/>
      <c r="H1959" s="47" t="n"/>
      <c r="I1959" s="47" t="n"/>
      <c r="J1959" s="47" t="n"/>
      <c r="K1959" s="47" t="n"/>
      <c r="L1959" s="47" t="n"/>
      <c r="M1959" s="47" t="n"/>
      <c r="N1959" s="47" t="n"/>
      <c r="O1959" s="47" t="n"/>
      <c r="P1959" s="47" t="n"/>
      <c r="Q1959" s="47" t="n"/>
      <c r="R1959" s="47" t="n"/>
      <c r="S1959" s="47" t="n"/>
      <c r="T1959" s="47" t="n"/>
      <c r="U1959" s="53" t="n"/>
      <c r="V1959" s="53" t="n"/>
      <c r="W1959" s="47" t="n"/>
      <c r="X1959" s="47" t="n"/>
      <c r="Y1959" s="47" t="n"/>
      <c r="Z1959" s="47" t="n"/>
      <c r="AA1959" s="47" t="n"/>
      <c r="AB1959" s="47" t="n"/>
      <c r="AC1959" s="47" t="n"/>
      <c r="AD1959" s="47" t="n"/>
      <c r="AE1959" s="47" t="n"/>
      <c r="AF1959" s="20">
        <f>IF(A1959="","",YEAR(EDATE(A1959,-3)))</f>
        <v/>
      </c>
      <c r="AG1959" s="20">
        <f>IF(OR(B1959="",'経歴簿'!$C$4=""),"",IF(B1959&amp;""='経歴簿'!$C$4&amp;"",MAX($AG$4:AG1958)+1,""))</f>
        <v/>
      </c>
      <c r="AH1959" s="20">
        <f>IF(A1959="",0,IF(AND(OR('CSV抽出'!$C$4="",A1959&gt;='CSV抽出'!$C$4),OR('CSV抽出'!$C$5="",A1959&lt;='CSV抽出'!$C$5),OR('CSV抽出'!$C$6="すべて",'CSV抽出'!$C$6="",D1959='CSV抽出'!$C$6),OR('CSV抽出'!$C$7="",B1959&amp;""='CSV抽出'!$C$7&amp;"")),1,0))</f>
        <v/>
      </c>
      <c r="AI1959" s="20">
        <f>IF(AH1959=1,SUM($AH$5:AH1959),"")</f>
        <v/>
      </c>
      <c r="AJ1959" s="20">
        <f>IF(OR(S1959="",'報告書'!$C$4=""),"",IF(S1959&amp;""='報告書'!$C$4&amp;"",COUNTIF($S$5:S1959,'報告書'!$C$4),""))</f>
        <v/>
      </c>
      <c r="AK1959" s="20" t="n"/>
      <c r="AL1959" s="47" t="n"/>
      <c r="AM1959" s="47" t="n"/>
      <c r="AN1959" s="53" t="n"/>
      <c r="AO1959" s="47" t="n"/>
      <c r="AP1959" s="47" t="n"/>
      <c r="AQ1959" s="47" t="n"/>
      <c r="AR1959" s="47" t="n"/>
      <c r="AS1959" s="47" t="n"/>
      <c r="AT1959" s="47" t="n"/>
      <c r="AU1959" s="47" t="n"/>
      <c r="AV1959" s="47" t="n"/>
      <c r="AW1959" s="52" t="n"/>
    </row>
    <row r="1960">
      <c r="A1960" s="48" t="n"/>
      <c r="B1960" s="52" t="n"/>
      <c r="C1960" s="47">
        <f>IF(B1960="","",IFERROR(INDEX('隊員マスタ'!$B$5:$B$204,MATCH(B1960&amp;"",'隊員マスタ'!$F$5:$F$204,0)),IF(AK1960="","番号なし",AK1960)))</f>
        <v/>
      </c>
      <c r="D1960" s="47" t="n"/>
      <c r="E1960" s="47" t="n"/>
      <c r="F1960" s="47" t="n"/>
      <c r="G1960" s="47" t="n"/>
      <c r="H1960" s="47" t="n"/>
      <c r="I1960" s="47" t="n"/>
      <c r="J1960" s="47" t="n"/>
      <c r="K1960" s="47" t="n"/>
      <c r="L1960" s="47" t="n"/>
      <c r="M1960" s="47" t="n"/>
      <c r="N1960" s="47" t="n"/>
      <c r="O1960" s="47" t="n"/>
      <c r="P1960" s="47" t="n"/>
      <c r="Q1960" s="47" t="n"/>
      <c r="R1960" s="47" t="n"/>
      <c r="S1960" s="47" t="n"/>
      <c r="T1960" s="47" t="n"/>
      <c r="U1960" s="53" t="n"/>
      <c r="V1960" s="53" t="n"/>
      <c r="W1960" s="47" t="n"/>
      <c r="X1960" s="47" t="n"/>
      <c r="Y1960" s="47" t="n"/>
      <c r="Z1960" s="47" t="n"/>
      <c r="AA1960" s="47" t="n"/>
      <c r="AB1960" s="47" t="n"/>
      <c r="AC1960" s="47" t="n"/>
      <c r="AD1960" s="47" t="n"/>
      <c r="AE1960" s="47" t="n"/>
      <c r="AF1960" s="20">
        <f>IF(A1960="","",YEAR(EDATE(A1960,-3)))</f>
        <v/>
      </c>
      <c r="AG1960" s="20">
        <f>IF(OR(B1960="",'経歴簿'!$C$4=""),"",IF(B1960&amp;""='経歴簿'!$C$4&amp;"",MAX($AG$4:AG1959)+1,""))</f>
        <v/>
      </c>
      <c r="AH1960" s="20">
        <f>IF(A1960="",0,IF(AND(OR('CSV抽出'!$C$4="",A1960&gt;='CSV抽出'!$C$4),OR('CSV抽出'!$C$5="",A1960&lt;='CSV抽出'!$C$5),OR('CSV抽出'!$C$6="すべて",'CSV抽出'!$C$6="",D1960='CSV抽出'!$C$6),OR('CSV抽出'!$C$7="",B1960&amp;""='CSV抽出'!$C$7&amp;"")),1,0))</f>
        <v/>
      </c>
      <c r="AI1960" s="20">
        <f>IF(AH1960=1,SUM($AH$5:AH1960),"")</f>
        <v/>
      </c>
      <c r="AJ1960" s="20">
        <f>IF(OR(S1960="",'報告書'!$C$4=""),"",IF(S1960&amp;""='報告書'!$C$4&amp;"",COUNTIF($S$5:S1960,'報告書'!$C$4),""))</f>
        <v/>
      </c>
      <c r="AK1960" s="20" t="n"/>
      <c r="AL1960" s="47" t="n"/>
      <c r="AM1960" s="47" t="n"/>
      <c r="AN1960" s="53" t="n"/>
      <c r="AO1960" s="47" t="n"/>
      <c r="AP1960" s="47" t="n"/>
      <c r="AQ1960" s="47" t="n"/>
      <c r="AR1960" s="47" t="n"/>
      <c r="AS1960" s="47" t="n"/>
      <c r="AT1960" s="47" t="n"/>
      <c r="AU1960" s="47" t="n"/>
      <c r="AV1960" s="47" t="n"/>
      <c r="AW1960" s="52" t="n"/>
    </row>
    <row r="1961">
      <c r="A1961" s="48" t="n"/>
      <c r="B1961" s="52" t="n"/>
      <c r="C1961" s="47">
        <f>IF(B1961="","",IFERROR(INDEX('隊員マスタ'!$B$5:$B$204,MATCH(B1961&amp;"",'隊員マスタ'!$F$5:$F$204,0)),IF(AK1961="","番号なし",AK1961)))</f>
        <v/>
      </c>
      <c r="D1961" s="47" t="n"/>
      <c r="E1961" s="47" t="n"/>
      <c r="F1961" s="47" t="n"/>
      <c r="G1961" s="47" t="n"/>
      <c r="H1961" s="47" t="n"/>
      <c r="I1961" s="47" t="n"/>
      <c r="J1961" s="47" t="n"/>
      <c r="K1961" s="47" t="n"/>
      <c r="L1961" s="47" t="n"/>
      <c r="M1961" s="47" t="n"/>
      <c r="N1961" s="47" t="n"/>
      <c r="O1961" s="47" t="n"/>
      <c r="P1961" s="47" t="n"/>
      <c r="Q1961" s="47" t="n"/>
      <c r="R1961" s="47" t="n"/>
      <c r="S1961" s="47" t="n"/>
      <c r="T1961" s="47" t="n"/>
      <c r="U1961" s="53" t="n"/>
      <c r="V1961" s="53" t="n"/>
      <c r="W1961" s="47" t="n"/>
      <c r="X1961" s="47" t="n"/>
      <c r="Y1961" s="47" t="n"/>
      <c r="Z1961" s="47" t="n"/>
      <c r="AA1961" s="47" t="n"/>
      <c r="AB1961" s="47" t="n"/>
      <c r="AC1961" s="47" t="n"/>
      <c r="AD1961" s="47" t="n"/>
      <c r="AE1961" s="47" t="n"/>
      <c r="AF1961" s="20">
        <f>IF(A1961="","",YEAR(EDATE(A1961,-3)))</f>
        <v/>
      </c>
      <c r="AG1961" s="20">
        <f>IF(OR(B1961="",'経歴簿'!$C$4=""),"",IF(B1961&amp;""='経歴簿'!$C$4&amp;"",MAX($AG$4:AG1960)+1,""))</f>
        <v/>
      </c>
      <c r="AH1961" s="20">
        <f>IF(A1961="",0,IF(AND(OR('CSV抽出'!$C$4="",A1961&gt;='CSV抽出'!$C$4),OR('CSV抽出'!$C$5="",A1961&lt;='CSV抽出'!$C$5),OR('CSV抽出'!$C$6="すべて",'CSV抽出'!$C$6="",D1961='CSV抽出'!$C$6),OR('CSV抽出'!$C$7="",B1961&amp;""='CSV抽出'!$C$7&amp;"")),1,0))</f>
        <v/>
      </c>
      <c r="AI1961" s="20">
        <f>IF(AH1961=1,SUM($AH$5:AH1961),"")</f>
        <v/>
      </c>
      <c r="AJ1961" s="20">
        <f>IF(OR(S1961="",'報告書'!$C$4=""),"",IF(S1961&amp;""='報告書'!$C$4&amp;"",COUNTIF($S$5:S1961,'報告書'!$C$4),""))</f>
        <v/>
      </c>
      <c r="AK1961" s="20" t="n"/>
      <c r="AL1961" s="47" t="n"/>
      <c r="AM1961" s="47" t="n"/>
      <c r="AN1961" s="53" t="n"/>
      <c r="AO1961" s="47" t="n"/>
      <c r="AP1961" s="47" t="n"/>
      <c r="AQ1961" s="47" t="n"/>
      <c r="AR1961" s="47" t="n"/>
      <c r="AS1961" s="47" t="n"/>
      <c r="AT1961" s="47" t="n"/>
      <c r="AU1961" s="47" t="n"/>
      <c r="AV1961" s="47" t="n"/>
      <c r="AW1961" s="52" t="n"/>
    </row>
    <row r="1962">
      <c r="A1962" s="48" t="n"/>
      <c r="B1962" s="52" t="n"/>
      <c r="C1962" s="47">
        <f>IF(B1962="","",IFERROR(INDEX('隊員マスタ'!$B$5:$B$204,MATCH(B1962&amp;"",'隊員マスタ'!$F$5:$F$204,0)),IF(AK1962="","番号なし",AK1962)))</f>
        <v/>
      </c>
      <c r="D1962" s="47" t="n"/>
      <c r="E1962" s="47" t="n"/>
      <c r="F1962" s="47" t="n"/>
      <c r="G1962" s="47" t="n"/>
      <c r="H1962" s="47" t="n"/>
      <c r="I1962" s="47" t="n"/>
      <c r="J1962" s="47" t="n"/>
      <c r="K1962" s="47" t="n"/>
      <c r="L1962" s="47" t="n"/>
      <c r="M1962" s="47" t="n"/>
      <c r="N1962" s="47" t="n"/>
      <c r="O1962" s="47" t="n"/>
      <c r="P1962" s="47" t="n"/>
      <c r="Q1962" s="47" t="n"/>
      <c r="R1962" s="47" t="n"/>
      <c r="S1962" s="47" t="n"/>
      <c r="T1962" s="47" t="n"/>
      <c r="U1962" s="53" t="n"/>
      <c r="V1962" s="53" t="n"/>
      <c r="W1962" s="47" t="n"/>
      <c r="X1962" s="47" t="n"/>
      <c r="Y1962" s="47" t="n"/>
      <c r="Z1962" s="47" t="n"/>
      <c r="AA1962" s="47" t="n"/>
      <c r="AB1962" s="47" t="n"/>
      <c r="AC1962" s="47" t="n"/>
      <c r="AD1962" s="47" t="n"/>
      <c r="AE1962" s="47" t="n"/>
      <c r="AF1962" s="20">
        <f>IF(A1962="","",YEAR(EDATE(A1962,-3)))</f>
        <v/>
      </c>
      <c r="AG1962" s="20">
        <f>IF(OR(B1962="",'経歴簿'!$C$4=""),"",IF(B1962&amp;""='経歴簿'!$C$4&amp;"",MAX($AG$4:AG1961)+1,""))</f>
        <v/>
      </c>
      <c r="AH1962" s="20">
        <f>IF(A1962="",0,IF(AND(OR('CSV抽出'!$C$4="",A1962&gt;='CSV抽出'!$C$4),OR('CSV抽出'!$C$5="",A1962&lt;='CSV抽出'!$C$5),OR('CSV抽出'!$C$6="すべて",'CSV抽出'!$C$6="",D1962='CSV抽出'!$C$6),OR('CSV抽出'!$C$7="",B1962&amp;""='CSV抽出'!$C$7&amp;"")),1,0))</f>
        <v/>
      </c>
      <c r="AI1962" s="20">
        <f>IF(AH1962=1,SUM($AH$5:AH1962),"")</f>
        <v/>
      </c>
      <c r="AJ1962" s="20">
        <f>IF(OR(S1962="",'報告書'!$C$4=""),"",IF(S1962&amp;""='報告書'!$C$4&amp;"",COUNTIF($S$5:S1962,'報告書'!$C$4),""))</f>
        <v/>
      </c>
      <c r="AK1962" s="20" t="n"/>
      <c r="AL1962" s="47" t="n"/>
      <c r="AM1962" s="47" t="n"/>
      <c r="AN1962" s="53" t="n"/>
      <c r="AO1962" s="47" t="n"/>
      <c r="AP1962" s="47" t="n"/>
      <c r="AQ1962" s="47" t="n"/>
      <c r="AR1962" s="47" t="n"/>
      <c r="AS1962" s="47" t="n"/>
      <c r="AT1962" s="47" t="n"/>
      <c r="AU1962" s="47" t="n"/>
      <c r="AV1962" s="47" t="n"/>
      <c r="AW1962" s="52" t="n"/>
    </row>
    <row r="1963">
      <c r="A1963" s="48" t="n"/>
      <c r="B1963" s="52" t="n"/>
      <c r="C1963" s="47">
        <f>IF(B1963="","",IFERROR(INDEX('隊員マスタ'!$B$5:$B$204,MATCH(B1963&amp;"",'隊員マスタ'!$F$5:$F$204,0)),IF(AK1963="","番号なし",AK1963)))</f>
        <v/>
      </c>
      <c r="D1963" s="47" t="n"/>
      <c r="E1963" s="47" t="n"/>
      <c r="F1963" s="47" t="n"/>
      <c r="G1963" s="47" t="n"/>
      <c r="H1963" s="47" t="n"/>
      <c r="I1963" s="47" t="n"/>
      <c r="J1963" s="47" t="n"/>
      <c r="K1963" s="47" t="n"/>
      <c r="L1963" s="47" t="n"/>
      <c r="M1963" s="47" t="n"/>
      <c r="N1963" s="47" t="n"/>
      <c r="O1963" s="47" t="n"/>
      <c r="P1963" s="47" t="n"/>
      <c r="Q1963" s="47" t="n"/>
      <c r="R1963" s="47" t="n"/>
      <c r="S1963" s="47" t="n"/>
      <c r="T1963" s="47" t="n"/>
      <c r="U1963" s="53" t="n"/>
      <c r="V1963" s="53" t="n"/>
      <c r="W1963" s="47" t="n"/>
      <c r="X1963" s="47" t="n"/>
      <c r="Y1963" s="47" t="n"/>
      <c r="Z1963" s="47" t="n"/>
      <c r="AA1963" s="47" t="n"/>
      <c r="AB1963" s="47" t="n"/>
      <c r="AC1963" s="47" t="n"/>
      <c r="AD1963" s="47" t="n"/>
      <c r="AE1963" s="47" t="n"/>
      <c r="AF1963" s="20">
        <f>IF(A1963="","",YEAR(EDATE(A1963,-3)))</f>
        <v/>
      </c>
      <c r="AG1963" s="20">
        <f>IF(OR(B1963="",'経歴簿'!$C$4=""),"",IF(B1963&amp;""='経歴簿'!$C$4&amp;"",MAX($AG$4:AG1962)+1,""))</f>
        <v/>
      </c>
      <c r="AH1963" s="20">
        <f>IF(A1963="",0,IF(AND(OR('CSV抽出'!$C$4="",A1963&gt;='CSV抽出'!$C$4),OR('CSV抽出'!$C$5="",A1963&lt;='CSV抽出'!$C$5),OR('CSV抽出'!$C$6="すべて",'CSV抽出'!$C$6="",D1963='CSV抽出'!$C$6),OR('CSV抽出'!$C$7="",B1963&amp;""='CSV抽出'!$C$7&amp;"")),1,0))</f>
        <v/>
      </c>
      <c r="AI1963" s="20">
        <f>IF(AH1963=1,SUM($AH$5:AH1963),"")</f>
        <v/>
      </c>
      <c r="AJ1963" s="20">
        <f>IF(OR(S1963="",'報告書'!$C$4=""),"",IF(S1963&amp;""='報告書'!$C$4&amp;"",COUNTIF($S$5:S1963,'報告書'!$C$4),""))</f>
        <v/>
      </c>
      <c r="AK1963" s="20" t="n"/>
      <c r="AL1963" s="47" t="n"/>
      <c r="AM1963" s="47" t="n"/>
      <c r="AN1963" s="53" t="n"/>
      <c r="AO1963" s="47" t="n"/>
      <c r="AP1963" s="47" t="n"/>
      <c r="AQ1963" s="47" t="n"/>
      <c r="AR1963" s="47" t="n"/>
      <c r="AS1963" s="47" t="n"/>
      <c r="AT1963" s="47" t="n"/>
      <c r="AU1963" s="47" t="n"/>
      <c r="AV1963" s="47" t="n"/>
      <c r="AW1963" s="52" t="n"/>
    </row>
    <row r="1964">
      <c r="A1964" s="48" t="n"/>
      <c r="B1964" s="52" t="n"/>
      <c r="C1964" s="47">
        <f>IF(B1964="","",IFERROR(INDEX('隊員マスタ'!$B$5:$B$204,MATCH(B1964&amp;"",'隊員マスタ'!$F$5:$F$204,0)),IF(AK1964="","番号なし",AK1964)))</f>
        <v/>
      </c>
      <c r="D1964" s="47" t="n"/>
      <c r="E1964" s="47" t="n"/>
      <c r="F1964" s="47" t="n"/>
      <c r="G1964" s="47" t="n"/>
      <c r="H1964" s="47" t="n"/>
      <c r="I1964" s="47" t="n"/>
      <c r="J1964" s="47" t="n"/>
      <c r="K1964" s="47" t="n"/>
      <c r="L1964" s="47" t="n"/>
      <c r="M1964" s="47" t="n"/>
      <c r="N1964" s="47" t="n"/>
      <c r="O1964" s="47" t="n"/>
      <c r="P1964" s="47" t="n"/>
      <c r="Q1964" s="47" t="n"/>
      <c r="R1964" s="47" t="n"/>
      <c r="S1964" s="47" t="n"/>
      <c r="T1964" s="47" t="n"/>
      <c r="U1964" s="53" t="n"/>
      <c r="V1964" s="53" t="n"/>
      <c r="W1964" s="47" t="n"/>
      <c r="X1964" s="47" t="n"/>
      <c r="Y1964" s="47" t="n"/>
      <c r="Z1964" s="47" t="n"/>
      <c r="AA1964" s="47" t="n"/>
      <c r="AB1964" s="47" t="n"/>
      <c r="AC1964" s="47" t="n"/>
      <c r="AD1964" s="47" t="n"/>
      <c r="AE1964" s="47" t="n"/>
      <c r="AF1964" s="20">
        <f>IF(A1964="","",YEAR(EDATE(A1964,-3)))</f>
        <v/>
      </c>
      <c r="AG1964" s="20">
        <f>IF(OR(B1964="",'経歴簿'!$C$4=""),"",IF(B1964&amp;""='経歴簿'!$C$4&amp;"",MAX($AG$4:AG1963)+1,""))</f>
        <v/>
      </c>
      <c r="AH1964" s="20">
        <f>IF(A1964="",0,IF(AND(OR('CSV抽出'!$C$4="",A1964&gt;='CSV抽出'!$C$4),OR('CSV抽出'!$C$5="",A1964&lt;='CSV抽出'!$C$5),OR('CSV抽出'!$C$6="すべて",'CSV抽出'!$C$6="",D1964='CSV抽出'!$C$6),OR('CSV抽出'!$C$7="",B1964&amp;""='CSV抽出'!$C$7&amp;"")),1,0))</f>
        <v/>
      </c>
      <c r="AI1964" s="20">
        <f>IF(AH1964=1,SUM($AH$5:AH1964),"")</f>
        <v/>
      </c>
      <c r="AJ1964" s="20">
        <f>IF(OR(S1964="",'報告書'!$C$4=""),"",IF(S1964&amp;""='報告書'!$C$4&amp;"",COUNTIF($S$5:S1964,'報告書'!$C$4),""))</f>
        <v/>
      </c>
      <c r="AK1964" s="20" t="n"/>
      <c r="AL1964" s="47" t="n"/>
      <c r="AM1964" s="47" t="n"/>
      <c r="AN1964" s="53" t="n"/>
      <c r="AO1964" s="47" t="n"/>
      <c r="AP1964" s="47" t="n"/>
      <c r="AQ1964" s="47" t="n"/>
      <c r="AR1964" s="47" t="n"/>
      <c r="AS1964" s="47" t="n"/>
      <c r="AT1964" s="47" t="n"/>
      <c r="AU1964" s="47" t="n"/>
      <c r="AV1964" s="47" t="n"/>
      <c r="AW1964" s="52" t="n"/>
    </row>
    <row r="1965">
      <c r="A1965" s="48" t="n"/>
      <c r="B1965" s="52" t="n"/>
      <c r="C1965" s="47">
        <f>IF(B1965="","",IFERROR(INDEX('隊員マスタ'!$B$5:$B$204,MATCH(B1965&amp;"",'隊員マスタ'!$F$5:$F$204,0)),IF(AK1965="","番号なし",AK1965)))</f>
        <v/>
      </c>
      <c r="D1965" s="47" t="n"/>
      <c r="E1965" s="47" t="n"/>
      <c r="F1965" s="47" t="n"/>
      <c r="G1965" s="47" t="n"/>
      <c r="H1965" s="47" t="n"/>
      <c r="I1965" s="47" t="n"/>
      <c r="J1965" s="47" t="n"/>
      <c r="K1965" s="47" t="n"/>
      <c r="L1965" s="47" t="n"/>
      <c r="M1965" s="47" t="n"/>
      <c r="N1965" s="47" t="n"/>
      <c r="O1965" s="47" t="n"/>
      <c r="P1965" s="47" t="n"/>
      <c r="Q1965" s="47" t="n"/>
      <c r="R1965" s="47" t="n"/>
      <c r="S1965" s="47" t="n"/>
      <c r="T1965" s="47" t="n"/>
      <c r="U1965" s="53" t="n"/>
      <c r="V1965" s="53" t="n"/>
      <c r="W1965" s="47" t="n"/>
      <c r="X1965" s="47" t="n"/>
      <c r="Y1965" s="47" t="n"/>
      <c r="Z1965" s="47" t="n"/>
      <c r="AA1965" s="47" t="n"/>
      <c r="AB1965" s="47" t="n"/>
      <c r="AC1965" s="47" t="n"/>
      <c r="AD1965" s="47" t="n"/>
      <c r="AE1965" s="47" t="n"/>
      <c r="AF1965" s="20">
        <f>IF(A1965="","",YEAR(EDATE(A1965,-3)))</f>
        <v/>
      </c>
      <c r="AG1965" s="20">
        <f>IF(OR(B1965="",'経歴簿'!$C$4=""),"",IF(B1965&amp;""='経歴簿'!$C$4&amp;"",MAX($AG$4:AG1964)+1,""))</f>
        <v/>
      </c>
      <c r="AH1965" s="20">
        <f>IF(A1965="",0,IF(AND(OR('CSV抽出'!$C$4="",A1965&gt;='CSV抽出'!$C$4),OR('CSV抽出'!$C$5="",A1965&lt;='CSV抽出'!$C$5),OR('CSV抽出'!$C$6="すべて",'CSV抽出'!$C$6="",D1965='CSV抽出'!$C$6),OR('CSV抽出'!$C$7="",B1965&amp;""='CSV抽出'!$C$7&amp;"")),1,0))</f>
        <v/>
      </c>
      <c r="AI1965" s="20">
        <f>IF(AH1965=1,SUM($AH$5:AH1965),"")</f>
        <v/>
      </c>
      <c r="AJ1965" s="20">
        <f>IF(OR(S1965="",'報告書'!$C$4=""),"",IF(S1965&amp;""='報告書'!$C$4&amp;"",COUNTIF($S$5:S1965,'報告書'!$C$4),""))</f>
        <v/>
      </c>
      <c r="AK1965" s="20" t="n"/>
      <c r="AL1965" s="47" t="n"/>
      <c r="AM1965" s="47" t="n"/>
      <c r="AN1965" s="53" t="n"/>
      <c r="AO1965" s="47" t="n"/>
      <c r="AP1965" s="47" t="n"/>
      <c r="AQ1965" s="47" t="n"/>
      <c r="AR1965" s="47" t="n"/>
      <c r="AS1965" s="47" t="n"/>
      <c r="AT1965" s="47" t="n"/>
      <c r="AU1965" s="47" t="n"/>
      <c r="AV1965" s="47" t="n"/>
      <c r="AW1965" s="52" t="n"/>
    </row>
    <row r="1966">
      <c r="A1966" s="48" t="n"/>
      <c r="B1966" s="52" t="n"/>
      <c r="C1966" s="47">
        <f>IF(B1966="","",IFERROR(INDEX('隊員マスタ'!$B$5:$B$204,MATCH(B1966&amp;"",'隊員マスタ'!$F$5:$F$204,0)),IF(AK1966="","番号なし",AK1966)))</f>
        <v/>
      </c>
      <c r="D1966" s="47" t="n"/>
      <c r="E1966" s="47" t="n"/>
      <c r="F1966" s="47" t="n"/>
      <c r="G1966" s="47" t="n"/>
      <c r="H1966" s="47" t="n"/>
      <c r="I1966" s="47" t="n"/>
      <c r="J1966" s="47" t="n"/>
      <c r="K1966" s="47" t="n"/>
      <c r="L1966" s="47" t="n"/>
      <c r="M1966" s="47" t="n"/>
      <c r="N1966" s="47" t="n"/>
      <c r="O1966" s="47" t="n"/>
      <c r="P1966" s="47" t="n"/>
      <c r="Q1966" s="47" t="n"/>
      <c r="R1966" s="47" t="n"/>
      <c r="S1966" s="47" t="n"/>
      <c r="T1966" s="47" t="n"/>
      <c r="U1966" s="53" t="n"/>
      <c r="V1966" s="53" t="n"/>
      <c r="W1966" s="47" t="n"/>
      <c r="X1966" s="47" t="n"/>
      <c r="Y1966" s="47" t="n"/>
      <c r="Z1966" s="47" t="n"/>
      <c r="AA1966" s="47" t="n"/>
      <c r="AB1966" s="47" t="n"/>
      <c r="AC1966" s="47" t="n"/>
      <c r="AD1966" s="47" t="n"/>
      <c r="AE1966" s="47" t="n"/>
      <c r="AF1966" s="20">
        <f>IF(A1966="","",YEAR(EDATE(A1966,-3)))</f>
        <v/>
      </c>
      <c r="AG1966" s="20">
        <f>IF(OR(B1966="",'経歴簿'!$C$4=""),"",IF(B1966&amp;""='経歴簿'!$C$4&amp;"",MAX($AG$4:AG1965)+1,""))</f>
        <v/>
      </c>
      <c r="AH1966" s="20">
        <f>IF(A1966="",0,IF(AND(OR('CSV抽出'!$C$4="",A1966&gt;='CSV抽出'!$C$4),OR('CSV抽出'!$C$5="",A1966&lt;='CSV抽出'!$C$5),OR('CSV抽出'!$C$6="すべて",'CSV抽出'!$C$6="",D1966='CSV抽出'!$C$6),OR('CSV抽出'!$C$7="",B1966&amp;""='CSV抽出'!$C$7&amp;"")),1,0))</f>
        <v/>
      </c>
      <c r="AI1966" s="20">
        <f>IF(AH1966=1,SUM($AH$5:AH1966),"")</f>
        <v/>
      </c>
      <c r="AJ1966" s="20">
        <f>IF(OR(S1966="",'報告書'!$C$4=""),"",IF(S1966&amp;""='報告書'!$C$4&amp;"",COUNTIF($S$5:S1966,'報告書'!$C$4),""))</f>
        <v/>
      </c>
      <c r="AK1966" s="20" t="n"/>
      <c r="AL1966" s="47" t="n"/>
      <c r="AM1966" s="47" t="n"/>
      <c r="AN1966" s="53" t="n"/>
      <c r="AO1966" s="47" t="n"/>
      <c r="AP1966" s="47" t="n"/>
      <c r="AQ1966" s="47" t="n"/>
      <c r="AR1966" s="47" t="n"/>
      <c r="AS1966" s="47" t="n"/>
      <c r="AT1966" s="47" t="n"/>
      <c r="AU1966" s="47" t="n"/>
      <c r="AV1966" s="47" t="n"/>
      <c r="AW1966" s="52" t="n"/>
    </row>
    <row r="1967">
      <c r="A1967" s="48" t="n"/>
      <c r="B1967" s="52" t="n"/>
      <c r="C1967" s="47">
        <f>IF(B1967="","",IFERROR(INDEX('隊員マスタ'!$B$5:$B$204,MATCH(B1967&amp;"",'隊員マスタ'!$F$5:$F$204,0)),IF(AK1967="","番号なし",AK1967)))</f>
        <v/>
      </c>
      <c r="D1967" s="47" t="n"/>
      <c r="E1967" s="47" t="n"/>
      <c r="F1967" s="47" t="n"/>
      <c r="G1967" s="47" t="n"/>
      <c r="H1967" s="47" t="n"/>
      <c r="I1967" s="47" t="n"/>
      <c r="J1967" s="47" t="n"/>
      <c r="K1967" s="47" t="n"/>
      <c r="L1967" s="47" t="n"/>
      <c r="M1967" s="47" t="n"/>
      <c r="N1967" s="47" t="n"/>
      <c r="O1967" s="47" t="n"/>
      <c r="P1967" s="47" t="n"/>
      <c r="Q1967" s="47" t="n"/>
      <c r="R1967" s="47" t="n"/>
      <c r="S1967" s="47" t="n"/>
      <c r="T1967" s="47" t="n"/>
      <c r="U1967" s="53" t="n"/>
      <c r="V1967" s="53" t="n"/>
      <c r="W1967" s="47" t="n"/>
      <c r="X1967" s="47" t="n"/>
      <c r="Y1967" s="47" t="n"/>
      <c r="Z1967" s="47" t="n"/>
      <c r="AA1967" s="47" t="n"/>
      <c r="AB1967" s="47" t="n"/>
      <c r="AC1967" s="47" t="n"/>
      <c r="AD1967" s="47" t="n"/>
      <c r="AE1967" s="47" t="n"/>
      <c r="AF1967" s="20">
        <f>IF(A1967="","",YEAR(EDATE(A1967,-3)))</f>
        <v/>
      </c>
      <c r="AG1967" s="20">
        <f>IF(OR(B1967="",'経歴簿'!$C$4=""),"",IF(B1967&amp;""='経歴簿'!$C$4&amp;"",MAX($AG$4:AG1966)+1,""))</f>
        <v/>
      </c>
      <c r="AH1967" s="20">
        <f>IF(A1967="",0,IF(AND(OR('CSV抽出'!$C$4="",A1967&gt;='CSV抽出'!$C$4),OR('CSV抽出'!$C$5="",A1967&lt;='CSV抽出'!$C$5),OR('CSV抽出'!$C$6="すべて",'CSV抽出'!$C$6="",D1967='CSV抽出'!$C$6),OR('CSV抽出'!$C$7="",B1967&amp;""='CSV抽出'!$C$7&amp;"")),1,0))</f>
        <v/>
      </c>
      <c r="AI1967" s="20">
        <f>IF(AH1967=1,SUM($AH$5:AH1967),"")</f>
        <v/>
      </c>
      <c r="AJ1967" s="20">
        <f>IF(OR(S1967="",'報告書'!$C$4=""),"",IF(S1967&amp;""='報告書'!$C$4&amp;"",COUNTIF($S$5:S1967,'報告書'!$C$4),""))</f>
        <v/>
      </c>
      <c r="AK1967" s="20" t="n"/>
      <c r="AL1967" s="47" t="n"/>
      <c r="AM1967" s="47" t="n"/>
      <c r="AN1967" s="53" t="n"/>
      <c r="AO1967" s="47" t="n"/>
      <c r="AP1967" s="47" t="n"/>
      <c r="AQ1967" s="47" t="n"/>
      <c r="AR1967" s="47" t="n"/>
      <c r="AS1967" s="47" t="n"/>
      <c r="AT1967" s="47" t="n"/>
      <c r="AU1967" s="47" t="n"/>
      <c r="AV1967" s="47" t="n"/>
      <c r="AW1967" s="52" t="n"/>
    </row>
    <row r="1968">
      <c r="A1968" s="48" t="n"/>
      <c r="B1968" s="52" t="n"/>
      <c r="C1968" s="47">
        <f>IF(B1968="","",IFERROR(INDEX('隊員マスタ'!$B$5:$B$204,MATCH(B1968&amp;"",'隊員マスタ'!$F$5:$F$204,0)),IF(AK1968="","番号なし",AK1968)))</f>
        <v/>
      </c>
      <c r="D1968" s="47" t="n"/>
      <c r="E1968" s="47" t="n"/>
      <c r="F1968" s="47" t="n"/>
      <c r="G1968" s="47" t="n"/>
      <c r="H1968" s="47" t="n"/>
      <c r="I1968" s="47" t="n"/>
      <c r="J1968" s="47" t="n"/>
      <c r="K1968" s="47" t="n"/>
      <c r="L1968" s="47" t="n"/>
      <c r="M1968" s="47" t="n"/>
      <c r="N1968" s="47" t="n"/>
      <c r="O1968" s="47" t="n"/>
      <c r="P1968" s="47" t="n"/>
      <c r="Q1968" s="47" t="n"/>
      <c r="R1968" s="47" t="n"/>
      <c r="S1968" s="47" t="n"/>
      <c r="T1968" s="47" t="n"/>
      <c r="U1968" s="53" t="n"/>
      <c r="V1968" s="53" t="n"/>
      <c r="W1968" s="47" t="n"/>
      <c r="X1968" s="47" t="n"/>
      <c r="Y1968" s="47" t="n"/>
      <c r="Z1968" s="47" t="n"/>
      <c r="AA1968" s="47" t="n"/>
      <c r="AB1968" s="47" t="n"/>
      <c r="AC1968" s="47" t="n"/>
      <c r="AD1968" s="47" t="n"/>
      <c r="AE1968" s="47" t="n"/>
      <c r="AF1968" s="20">
        <f>IF(A1968="","",YEAR(EDATE(A1968,-3)))</f>
        <v/>
      </c>
      <c r="AG1968" s="20">
        <f>IF(OR(B1968="",'経歴簿'!$C$4=""),"",IF(B1968&amp;""='経歴簿'!$C$4&amp;"",MAX($AG$4:AG1967)+1,""))</f>
        <v/>
      </c>
      <c r="AH1968" s="20">
        <f>IF(A1968="",0,IF(AND(OR('CSV抽出'!$C$4="",A1968&gt;='CSV抽出'!$C$4),OR('CSV抽出'!$C$5="",A1968&lt;='CSV抽出'!$C$5),OR('CSV抽出'!$C$6="すべて",'CSV抽出'!$C$6="",D1968='CSV抽出'!$C$6),OR('CSV抽出'!$C$7="",B1968&amp;""='CSV抽出'!$C$7&amp;"")),1,0))</f>
        <v/>
      </c>
      <c r="AI1968" s="20">
        <f>IF(AH1968=1,SUM($AH$5:AH1968),"")</f>
        <v/>
      </c>
      <c r="AJ1968" s="20">
        <f>IF(OR(S1968="",'報告書'!$C$4=""),"",IF(S1968&amp;""='報告書'!$C$4&amp;"",COUNTIF($S$5:S1968,'報告書'!$C$4),""))</f>
        <v/>
      </c>
      <c r="AK1968" s="20" t="n"/>
      <c r="AL1968" s="47" t="n"/>
      <c r="AM1968" s="47" t="n"/>
      <c r="AN1968" s="53" t="n"/>
      <c r="AO1968" s="47" t="n"/>
      <c r="AP1968" s="47" t="n"/>
      <c r="AQ1968" s="47" t="n"/>
      <c r="AR1968" s="47" t="n"/>
      <c r="AS1968" s="47" t="n"/>
      <c r="AT1968" s="47" t="n"/>
      <c r="AU1968" s="47" t="n"/>
      <c r="AV1968" s="47" t="n"/>
      <c r="AW1968" s="52" t="n"/>
    </row>
    <row r="1969">
      <c r="A1969" s="48" t="n"/>
      <c r="B1969" s="52" t="n"/>
      <c r="C1969" s="47">
        <f>IF(B1969="","",IFERROR(INDEX('隊員マスタ'!$B$5:$B$204,MATCH(B1969&amp;"",'隊員マスタ'!$F$5:$F$204,0)),IF(AK1969="","番号なし",AK1969)))</f>
        <v/>
      </c>
      <c r="D1969" s="47" t="n"/>
      <c r="E1969" s="47" t="n"/>
      <c r="F1969" s="47" t="n"/>
      <c r="G1969" s="47" t="n"/>
      <c r="H1969" s="47" t="n"/>
      <c r="I1969" s="47" t="n"/>
      <c r="J1969" s="47" t="n"/>
      <c r="K1969" s="47" t="n"/>
      <c r="L1969" s="47" t="n"/>
      <c r="M1969" s="47" t="n"/>
      <c r="N1969" s="47" t="n"/>
      <c r="O1969" s="47" t="n"/>
      <c r="P1969" s="47" t="n"/>
      <c r="Q1969" s="47" t="n"/>
      <c r="R1969" s="47" t="n"/>
      <c r="S1969" s="47" t="n"/>
      <c r="T1969" s="47" t="n"/>
      <c r="U1969" s="53" t="n"/>
      <c r="V1969" s="53" t="n"/>
      <c r="W1969" s="47" t="n"/>
      <c r="X1969" s="47" t="n"/>
      <c r="Y1969" s="47" t="n"/>
      <c r="Z1969" s="47" t="n"/>
      <c r="AA1969" s="47" t="n"/>
      <c r="AB1969" s="47" t="n"/>
      <c r="AC1969" s="47" t="n"/>
      <c r="AD1969" s="47" t="n"/>
      <c r="AE1969" s="47" t="n"/>
      <c r="AF1969" s="20">
        <f>IF(A1969="","",YEAR(EDATE(A1969,-3)))</f>
        <v/>
      </c>
      <c r="AG1969" s="20">
        <f>IF(OR(B1969="",'経歴簿'!$C$4=""),"",IF(B1969&amp;""='経歴簿'!$C$4&amp;"",MAX($AG$4:AG1968)+1,""))</f>
        <v/>
      </c>
      <c r="AH1969" s="20">
        <f>IF(A1969="",0,IF(AND(OR('CSV抽出'!$C$4="",A1969&gt;='CSV抽出'!$C$4),OR('CSV抽出'!$C$5="",A1969&lt;='CSV抽出'!$C$5),OR('CSV抽出'!$C$6="すべて",'CSV抽出'!$C$6="",D1969='CSV抽出'!$C$6),OR('CSV抽出'!$C$7="",B1969&amp;""='CSV抽出'!$C$7&amp;"")),1,0))</f>
        <v/>
      </c>
      <c r="AI1969" s="20">
        <f>IF(AH1969=1,SUM($AH$5:AH1969),"")</f>
        <v/>
      </c>
      <c r="AJ1969" s="20">
        <f>IF(OR(S1969="",'報告書'!$C$4=""),"",IF(S1969&amp;""='報告書'!$C$4&amp;"",COUNTIF($S$5:S1969,'報告書'!$C$4),""))</f>
        <v/>
      </c>
      <c r="AK1969" s="20" t="n"/>
      <c r="AL1969" s="47" t="n"/>
      <c r="AM1969" s="47" t="n"/>
      <c r="AN1969" s="53" t="n"/>
      <c r="AO1969" s="47" t="n"/>
      <c r="AP1969" s="47" t="n"/>
      <c r="AQ1969" s="47" t="n"/>
      <c r="AR1969" s="47" t="n"/>
      <c r="AS1969" s="47" t="n"/>
      <c r="AT1969" s="47" t="n"/>
      <c r="AU1969" s="47" t="n"/>
      <c r="AV1969" s="47" t="n"/>
      <c r="AW1969" s="52" t="n"/>
    </row>
    <row r="1970">
      <c r="A1970" s="48" t="n"/>
      <c r="B1970" s="52" t="n"/>
      <c r="C1970" s="47">
        <f>IF(B1970="","",IFERROR(INDEX('隊員マスタ'!$B$5:$B$204,MATCH(B1970&amp;"",'隊員マスタ'!$F$5:$F$204,0)),IF(AK1970="","番号なし",AK1970)))</f>
        <v/>
      </c>
      <c r="D1970" s="47" t="n"/>
      <c r="E1970" s="47" t="n"/>
      <c r="F1970" s="47" t="n"/>
      <c r="G1970" s="47" t="n"/>
      <c r="H1970" s="47" t="n"/>
      <c r="I1970" s="47" t="n"/>
      <c r="J1970" s="47" t="n"/>
      <c r="K1970" s="47" t="n"/>
      <c r="L1970" s="47" t="n"/>
      <c r="M1970" s="47" t="n"/>
      <c r="N1970" s="47" t="n"/>
      <c r="O1970" s="47" t="n"/>
      <c r="P1970" s="47" t="n"/>
      <c r="Q1970" s="47" t="n"/>
      <c r="R1970" s="47" t="n"/>
      <c r="S1970" s="47" t="n"/>
      <c r="T1970" s="47" t="n"/>
      <c r="U1970" s="53" t="n"/>
      <c r="V1970" s="53" t="n"/>
      <c r="W1970" s="47" t="n"/>
      <c r="X1970" s="47" t="n"/>
      <c r="Y1970" s="47" t="n"/>
      <c r="Z1970" s="47" t="n"/>
      <c r="AA1970" s="47" t="n"/>
      <c r="AB1970" s="47" t="n"/>
      <c r="AC1970" s="47" t="n"/>
      <c r="AD1970" s="47" t="n"/>
      <c r="AE1970" s="47" t="n"/>
      <c r="AF1970" s="20">
        <f>IF(A1970="","",YEAR(EDATE(A1970,-3)))</f>
        <v/>
      </c>
      <c r="AG1970" s="20">
        <f>IF(OR(B1970="",'経歴簿'!$C$4=""),"",IF(B1970&amp;""='経歴簿'!$C$4&amp;"",MAX($AG$4:AG1969)+1,""))</f>
        <v/>
      </c>
      <c r="AH1970" s="20">
        <f>IF(A1970="",0,IF(AND(OR('CSV抽出'!$C$4="",A1970&gt;='CSV抽出'!$C$4),OR('CSV抽出'!$C$5="",A1970&lt;='CSV抽出'!$C$5),OR('CSV抽出'!$C$6="すべて",'CSV抽出'!$C$6="",D1970='CSV抽出'!$C$6),OR('CSV抽出'!$C$7="",B1970&amp;""='CSV抽出'!$C$7&amp;"")),1,0))</f>
        <v/>
      </c>
      <c r="AI1970" s="20">
        <f>IF(AH1970=1,SUM($AH$5:AH1970),"")</f>
        <v/>
      </c>
      <c r="AJ1970" s="20">
        <f>IF(OR(S1970="",'報告書'!$C$4=""),"",IF(S1970&amp;""='報告書'!$C$4&amp;"",COUNTIF($S$5:S1970,'報告書'!$C$4),""))</f>
        <v/>
      </c>
      <c r="AK1970" s="20" t="n"/>
      <c r="AL1970" s="47" t="n"/>
      <c r="AM1970" s="47" t="n"/>
      <c r="AN1970" s="53" t="n"/>
      <c r="AO1970" s="47" t="n"/>
      <c r="AP1970" s="47" t="n"/>
      <c r="AQ1970" s="47" t="n"/>
      <c r="AR1970" s="47" t="n"/>
      <c r="AS1970" s="47" t="n"/>
      <c r="AT1970" s="47" t="n"/>
      <c r="AU1970" s="47" t="n"/>
      <c r="AV1970" s="47" t="n"/>
      <c r="AW1970" s="52" t="n"/>
    </row>
    <row r="1971">
      <c r="A1971" s="48" t="n"/>
      <c r="B1971" s="52" t="n"/>
      <c r="C1971" s="47">
        <f>IF(B1971="","",IFERROR(INDEX('隊員マスタ'!$B$5:$B$204,MATCH(B1971&amp;"",'隊員マスタ'!$F$5:$F$204,0)),IF(AK1971="","番号なし",AK1971)))</f>
        <v/>
      </c>
      <c r="D1971" s="47" t="n"/>
      <c r="E1971" s="47" t="n"/>
      <c r="F1971" s="47" t="n"/>
      <c r="G1971" s="47" t="n"/>
      <c r="H1971" s="47" t="n"/>
      <c r="I1971" s="47" t="n"/>
      <c r="J1971" s="47" t="n"/>
      <c r="K1971" s="47" t="n"/>
      <c r="L1971" s="47" t="n"/>
      <c r="M1971" s="47" t="n"/>
      <c r="N1971" s="47" t="n"/>
      <c r="O1971" s="47" t="n"/>
      <c r="P1971" s="47" t="n"/>
      <c r="Q1971" s="47" t="n"/>
      <c r="R1971" s="47" t="n"/>
      <c r="S1971" s="47" t="n"/>
      <c r="T1971" s="47" t="n"/>
      <c r="U1971" s="53" t="n"/>
      <c r="V1971" s="53" t="n"/>
      <c r="W1971" s="47" t="n"/>
      <c r="X1971" s="47" t="n"/>
      <c r="Y1971" s="47" t="n"/>
      <c r="Z1971" s="47" t="n"/>
      <c r="AA1971" s="47" t="n"/>
      <c r="AB1971" s="47" t="n"/>
      <c r="AC1971" s="47" t="n"/>
      <c r="AD1971" s="47" t="n"/>
      <c r="AE1971" s="47" t="n"/>
      <c r="AF1971" s="20">
        <f>IF(A1971="","",YEAR(EDATE(A1971,-3)))</f>
        <v/>
      </c>
      <c r="AG1971" s="20">
        <f>IF(OR(B1971="",'経歴簿'!$C$4=""),"",IF(B1971&amp;""='経歴簿'!$C$4&amp;"",MAX($AG$4:AG1970)+1,""))</f>
        <v/>
      </c>
      <c r="AH1971" s="20">
        <f>IF(A1971="",0,IF(AND(OR('CSV抽出'!$C$4="",A1971&gt;='CSV抽出'!$C$4),OR('CSV抽出'!$C$5="",A1971&lt;='CSV抽出'!$C$5),OR('CSV抽出'!$C$6="すべて",'CSV抽出'!$C$6="",D1971='CSV抽出'!$C$6),OR('CSV抽出'!$C$7="",B1971&amp;""='CSV抽出'!$C$7&amp;"")),1,0))</f>
        <v/>
      </c>
      <c r="AI1971" s="20">
        <f>IF(AH1971=1,SUM($AH$5:AH1971),"")</f>
        <v/>
      </c>
      <c r="AJ1971" s="20">
        <f>IF(OR(S1971="",'報告書'!$C$4=""),"",IF(S1971&amp;""='報告書'!$C$4&amp;"",COUNTIF($S$5:S1971,'報告書'!$C$4),""))</f>
        <v/>
      </c>
      <c r="AK1971" s="20" t="n"/>
      <c r="AL1971" s="47" t="n"/>
      <c r="AM1971" s="47" t="n"/>
      <c r="AN1971" s="53" t="n"/>
      <c r="AO1971" s="47" t="n"/>
      <c r="AP1971" s="47" t="n"/>
      <c r="AQ1971" s="47" t="n"/>
      <c r="AR1971" s="47" t="n"/>
      <c r="AS1971" s="47" t="n"/>
      <c r="AT1971" s="47" t="n"/>
      <c r="AU1971" s="47" t="n"/>
      <c r="AV1971" s="47" t="n"/>
      <c r="AW1971" s="52" t="n"/>
    </row>
    <row r="1972">
      <c r="A1972" s="48" t="n"/>
      <c r="B1972" s="52" t="n"/>
      <c r="C1972" s="47">
        <f>IF(B1972="","",IFERROR(INDEX('隊員マスタ'!$B$5:$B$204,MATCH(B1972&amp;"",'隊員マスタ'!$F$5:$F$204,0)),IF(AK1972="","番号なし",AK1972)))</f>
        <v/>
      </c>
      <c r="D1972" s="47" t="n"/>
      <c r="E1972" s="47" t="n"/>
      <c r="F1972" s="47" t="n"/>
      <c r="G1972" s="47" t="n"/>
      <c r="H1972" s="47" t="n"/>
      <c r="I1972" s="47" t="n"/>
      <c r="J1972" s="47" t="n"/>
      <c r="K1972" s="47" t="n"/>
      <c r="L1972" s="47" t="n"/>
      <c r="M1972" s="47" t="n"/>
      <c r="N1972" s="47" t="n"/>
      <c r="O1972" s="47" t="n"/>
      <c r="P1972" s="47" t="n"/>
      <c r="Q1972" s="47" t="n"/>
      <c r="R1972" s="47" t="n"/>
      <c r="S1972" s="47" t="n"/>
      <c r="T1972" s="47" t="n"/>
      <c r="U1972" s="53" t="n"/>
      <c r="V1972" s="53" t="n"/>
      <c r="W1972" s="47" t="n"/>
      <c r="X1972" s="47" t="n"/>
      <c r="Y1972" s="47" t="n"/>
      <c r="Z1972" s="47" t="n"/>
      <c r="AA1972" s="47" t="n"/>
      <c r="AB1972" s="47" t="n"/>
      <c r="AC1972" s="47" t="n"/>
      <c r="AD1972" s="47" t="n"/>
      <c r="AE1972" s="47" t="n"/>
      <c r="AF1972" s="20">
        <f>IF(A1972="","",YEAR(EDATE(A1972,-3)))</f>
        <v/>
      </c>
      <c r="AG1972" s="20">
        <f>IF(OR(B1972="",'経歴簿'!$C$4=""),"",IF(B1972&amp;""='経歴簿'!$C$4&amp;"",MAX($AG$4:AG1971)+1,""))</f>
        <v/>
      </c>
      <c r="AH1972" s="20">
        <f>IF(A1972="",0,IF(AND(OR('CSV抽出'!$C$4="",A1972&gt;='CSV抽出'!$C$4),OR('CSV抽出'!$C$5="",A1972&lt;='CSV抽出'!$C$5),OR('CSV抽出'!$C$6="すべて",'CSV抽出'!$C$6="",D1972='CSV抽出'!$C$6),OR('CSV抽出'!$C$7="",B1972&amp;""='CSV抽出'!$C$7&amp;"")),1,0))</f>
        <v/>
      </c>
      <c r="AI1972" s="20">
        <f>IF(AH1972=1,SUM($AH$5:AH1972),"")</f>
        <v/>
      </c>
      <c r="AJ1972" s="20">
        <f>IF(OR(S1972="",'報告書'!$C$4=""),"",IF(S1972&amp;""='報告書'!$C$4&amp;"",COUNTIF($S$5:S1972,'報告書'!$C$4),""))</f>
        <v/>
      </c>
      <c r="AK1972" s="20" t="n"/>
      <c r="AL1972" s="47" t="n"/>
      <c r="AM1972" s="47" t="n"/>
      <c r="AN1972" s="53" t="n"/>
      <c r="AO1972" s="47" t="n"/>
      <c r="AP1972" s="47" t="n"/>
      <c r="AQ1972" s="47" t="n"/>
      <c r="AR1972" s="47" t="n"/>
      <c r="AS1972" s="47" t="n"/>
      <c r="AT1972" s="47" t="n"/>
      <c r="AU1972" s="47" t="n"/>
      <c r="AV1972" s="47" t="n"/>
      <c r="AW1972" s="52" t="n"/>
    </row>
    <row r="1973">
      <c r="A1973" s="48" t="n"/>
      <c r="B1973" s="52" t="n"/>
      <c r="C1973" s="47">
        <f>IF(B1973="","",IFERROR(INDEX('隊員マスタ'!$B$5:$B$204,MATCH(B1973&amp;"",'隊員マスタ'!$F$5:$F$204,0)),IF(AK1973="","番号なし",AK1973)))</f>
        <v/>
      </c>
      <c r="D1973" s="47" t="n"/>
      <c r="E1973" s="47" t="n"/>
      <c r="F1973" s="47" t="n"/>
      <c r="G1973" s="47" t="n"/>
      <c r="H1973" s="47" t="n"/>
      <c r="I1973" s="47" t="n"/>
      <c r="J1973" s="47" t="n"/>
      <c r="K1973" s="47" t="n"/>
      <c r="L1973" s="47" t="n"/>
      <c r="M1973" s="47" t="n"/>
      <c r="N1973" s="47" t="n"/>
      <c r="O1973" s="47" t="n"/>
      <c r="P1973" s="47" t="n"/>
      <c r="Q1973" s="47" t="n"/>
      <c r="R1973" s="47" t="n"/>
      <c r="S1973" s="47" t="n"/>
      <c r="T1973" s="47" t="n"/>
      <c r="U1973" s="53" t="n"/>
      <c r="V1973" s="53" t="n"/>
      <c r="W1973" s="47" t="n"/>
      <c r="X1973" s="47" t="n"/>
      <c r="Y1973" s="47" t="n"/>
      <c r="Z1973" s="47" t="n"/>
      <c r="AA1973" s="47" t="n"/>
      <c r="AB1973" s="47" t="n"/>
      <c r="AC1973" s="47" t="n"/>
      <c r="AD1973" s="47" t="n"/>
      <c r="AE1973" s="47" t="n"/>
      <c r="AF1973" s="20">
        <f>IF(A1973="","",YEAR(EDATE(A1973,-3)))</f>
        <v/>
      </c>
      <c r="AG1973" s="20">
        <f>IF(OR(B1973="",'経歴簿'!$C$4=""),"",IF(B1973&amp;""='経歴簿'!$C$4&amp;"",MAX($AG$4:AG1972)+1,""))</f>
        <v/>
      </c>
      <c r="AH1973" s="20">
        <f>IF(A1973="",0,IF(AND(OR('CSV抽出'!$C$4="",A1973&gt;='CSV抽出'!$C$4),OR('CSV抽出'!$C$5="",A1973&lt;='CSV抽出'!$C$5),OR('CSV抽出'!$C$6="すべて",'CSV抽出'!$C$6="",D1973='CSV抽出'!$C$6),OR('CSV抽出'!$C$7="",B1973&amp;""='CSV抽出'!$C$7&amp;"")),1,0))</f>
        <v/>
      </c>
      <c r="AI1973" s="20">
        <f>IF(AH1973=1,SUM($AH$5:AH1973),"")</f>
        <v/>
      </c>
      <c r="AJ1973" s="20">
        <f>IF(OR(S1973="",'報告書'!$C$4=""),"",IF(S1973&amp;""='報告書'!$C$4&amp;"",COUNTIF($S$5:S1973,'報告書'!$C$4),""))</f>
        <v/>
      </c>
      <c r="AK1973" s="20" t="n"/>
      <c r="AL1973" s="47" t="n"/>
      <c r="AM1973" s="47" t="n"/>
      <c r="AN1973" s="53" t="n"/>
      <c r="AO1973" s="47" t="n"/>
      <c r="AP1973" s="47" t="n"/>
      <c r="AQ1973" s="47" t="n"/>
      <c r="AR1973" s="47" t="n"/>
      <c r="AS1973" s="47" t="n"/>
      <c r="AT1973" s="47" t="n"/>
      <c r="AU1973" s="47" t="n"/>
      <c r="AV1973" s="47" t="n"/>
      <c r="AW1973" s="52" t="n"/>
    </row>
    <row r="1974">
      <c r="A1974" s="48" t="n"/>
      <c r="B1974" s="52" t="n"/>
      <c r="C1974" s="47">
        <f>IF(B1974="","",IFERROR(INDEX('隊員マスタ'!$B$5:$B$204,MATCH(B1974&amp;"",'隊員マスタ'!$F$5:$F$204,0)),IF(AK1974="","番号なし",AK1974)))</f>
        <v/>
      </c>
      <c r="D1974" s="47" t="n"/>
      <c r="E1974" s="47" t="n"/>
      <c r="F1974" s="47" t="n"/>
      <c r="G1974" s="47" t="n"/>
      <c r="H1974" s="47" t="n"/>
      <c r="I1974" s="47" t="n"/>
      <c r="J1974" s="47" t="n"/>
      <c r="K1974" s="47" t="n"/>
      <c r="L1974" s="47" t="n"/>
      <c r="M1974" s="47" t="n"/>
      <c r="N1974" s="47" t="n"/>
      <c r="O1974" s="47" t="n"/>
      <c r="P1974" s="47" t="n"/>
      <c r="Q1974" s="47" t="n"/>
      <c r="R1974" s="47" t="n"/>
      <c r="S1974" s="47" t="n"/>
      <c r="T1974" s="47" t="n"/>
      <c r="U1974" s="53" t="n"/>
      <c r="V1974" s="53" t="n"/>
      <c r="W1974" s="47" t="n"/>
      <c r="X1974" s="47" t="n"/>
      <c r="Y1974" s="47" t="n"/>
      <c r="Z1974" s="47" t="n"/>
      <c r="AA1974" s="47" t="n"/>
      <c r="AB1974" s="47" t="n"/>
      <c r="AC1974" s="47" t="n"/>
      <c r="AD1974" s="47" t="n"/>
      <c r="AE1974" s="47" t="n"/>
      <c r="AF1974" s="20">
        <f>IF(A1974="","",YEAR(EDATE(A1974,-3)))</f>
        <v/>
      </c>
      <c r="AG1974" s="20">
        <f>IF(OR(B1974="",'経歴簿'!$C$4=""),"",IF(B1974&amp;""='経歴簿'!$C$4&amp;"",MAX($AG$4:AG1973)+1,""))</f>
        <v/>
      </c>
      <c r="AH1974" s="20">
        <f>IF(A1974="",0,IF(AND(OR('CSV抽出'!$C$4="",A1974&gt;='CSV抽出'!$C$4),OR('CSV抽出'!$C$5="",A1974&lt;='CSV抽出'!$C$5),OR('CSV抽出'!$C$6="すべて",'CSV抽出'!$C$6="",D1974='CSV抽出'!$C$6),OR('CSV抽出'!$C$7="",B1974&amp;""='CSV抽出'!$C$7&amp;"")),1,0))</f>
        <v/>
      </c>
      <c r="AI1974" s="20">
        <f>IF(AH1974=1,SUM($AH$5:AH1974),"")</f>
        <v/>
      </c>
      <c r="AJ1974" s="20">
        <f>IF(OR(S1974="",'報告書'!$C$4=""),"",IF(S1974&amp;""='報告書'!$C$4&amp;"",COUNTIF($S$5:S1974,'報告書'!$C$4),""))</f>
        <v/>
      </c>
      <c r="AK1974" s="20" t="n"/>
      <c r="AL1974" s="47" t="n"/>
      <c r="AM1974" s="47" t="n"/>
      <c r="AN1974" s="53" t="n"/>
      <c r="AO1974" s="47" t="n"/>
      <c r="AP1974" s="47" t="n"/>
      <c r="AQ1974" s="47" t="n"/>
      <c r="AR1974" s="47" t="n"/>
      <c r="AS1974" s="47" t="n"/>
      <c r="AT1974" s="47" t="n"/>
      <c r="AU1974" s="47" t="n"/>
      <c r="AV1974" s="47" t="n"/>
      <c r="AW1974" s="52" t="n"/>
    </row>
    <row r="1975">
      <c r="A1975" s="48" t="n"/>
      <c r="B1975" s="52" t="n"/>
      <c r="C1975" s="47">
        <f>IF(B1975="","",IFERROR(INDEX('隊員マスタ'!$B$5:$B$204,MATCH(B1975&amp;"",'隊員マスタ'!$F$5:$F$204,0)),IF(AK1975="","番号なし",AK1975)))</f>
        <v/>
      </c>
      <c r="D1975" s="47" t="n"/>
      <c r="E1975" s="47" t="n"/>
      <c r="F1975" s="47" t="n"/>
      <c r="G1975" s="47" t="n"/>
      <c r="H1975" s="47" t="n"/>
      <c r="I1975" s="47" t="n"/>
      <c r="J1975" s="47" t="n"/>
      <c r="K1975" s="47" t="n"/>
      <c r="L1975" s="47" t="n"/>
      <c r="M1975" s="47" t="n"/>
      <c r="N1975" s="47" t="n"/>
      <c r="O1975" s="47" t="n"/>
      <c r="P1975" s="47" t="n"/>
      <c r="Q1975" s="47" t="n"/>
      <c r="R1975" s="47" t="n"/>
      <c r="S1975" s="47" t="n"/>
      <c r="T1975" s="47" t="n"/>
      <c r="U1975" s="53" t="n"/>
      <c r="V1975" s="53" t="n"/>
      <c r="W1975" s="47" t="n"/>
      <c r="X1975" s="47" t="n"/>
      <c r="Y1975" s="47" t="n"/>
      <c r="Z1975" s="47" t="n"/>
      <c r="AA1975" s="47" t="n"/>
      <c r="AB1975" s="47" t="n"/>
      <c r="AC1975" s="47" t="n"/>
      <c r="AD1975" s="47" t="n"/>
      <c r="AE1975" s="47" t="n"/>
      <c r="AF1975" s="20">
        <f>IF(A1975="","",YEAR(EDATE(A1975,-3)))</f>
        <v/>
      </c>
      <c r="AG1975" s="20">
        <f>IF(OR(B1975="",'経歴簿'!$C$4=""),"",IF(B1975&amp;""='経歴簿'!$C$4&amp;"",MAX($AG$4:AG1974)+1,""))</f>
        <v/>
      </c>
      <c r="AH1975" s="20">
        <f>IF(A1975="",0,IF(AND(OR('CSV抽出'!$C$4="",A1975&gt;='CSV抽出'!$C$4),OR('CSV抽出'!$C$5="",A1975&lt;='CSV抽出'!$C$5),OR('CSV抽出'!$C$6="すべて",'CSV抽出'!$C$6="",D1975='CSV抽出'!$C$6),OR('CSV抽出'!$C$7="",B1975&amp;""='CSV抽出'!$C$7&amp;"")),1,0))</f>
        <v/>
      </c>
      <c r="AI1975" s="20">
        <f>IF(AH1975=1,SUM($AH$5:AH1975),"")</f>
        <v/>
      </c>
      <c r="AJ1975" s="20">
        <f>IF(OR(S1975="",'報告書'!$C$4=""),"",IF(S1975&amp;""='報告書'!$C$4&amp;"",COUNTIF($S$5:S1975,'報告書'!$C$4),""))</f>
        <v/>
      </c>
      <c r="AK1975" s="20" t="n"/>
      <c r="AL1975" s="47" t="n"/>
      <c r="AM1975" s="47" t="n"/>
      <c r="AN1975" s="53" t="n"/>
      <c r="AO1975" s="47" t="n"/>
      <c r="AP1975" s="47" t="n"/>
      <c r="AQ1975" s="47" t="n"/>
      <c r="AR1975" s="47" t="n"/>
      <c r="AS1975" s="47" t="n"/>
      <c r="AT1975" s="47" t="n"/>
      <c r="AU1975" s="47" t="n"/>
      <c r="AV1975" s="47" t="n"/>
      <c r="AW1975" s="52" t="n"/>
    </row>
    <row r="1976">
      <c r="A1976" s="48" t="n"/>
      <c r="B1976" s="52" t="n"/>
      <c r="C1976" s="47">
        <f>IF(B1976="","",IFERROR(INDEX('隊員マスタ'!$B$5:$B$204,MATCH(B1976&amp;"",'隊員マスタ'!$F$5:$F$204,0)),IF(AK1976="","番号なし",AK1976)))</f>
        <v/>
      </c>
      <c r="D1976" s="47" t="n"/>
      <c r="E1976" s="47" t="n"/>
      <c r="F1976" s="47" t="n"/>
      <c r="G1976" s="47" t="n"/>
      <c r="H1976" s="47" t="n"/>
      <c r="I1976" s="47" t="n"/>
      <c r="J1976" s="47" t="n"/>
      <c r="K1976" s="47" t="n"/>
      <c r="L1976" s="47" t="n"/>
      <c r="M1976" s="47" t="n"/>
      <c r="N1976" s="47" t="n"/>
      <c r="O1976" s="47" t="n"/>
      <c r="P1976" s="47" t="n"/>
      <c r="Q1976" s="47" t="n"/>
      <c r="R1976" s="47" t="n"/>
      <c r="S1976" s="47" t="n"/>
      <c r="T1976" s="47" t="n"/>
      <c r="U1976" s="53" t="n"/>
      <c r="V1976" s="53" t="n"/>
      <c r="W1976" s="47" t="n"/>
      <c r="X1976" s="47" t="n"/>
      <c r="Y1976" s="47" t="n"/>
      <c r="Z1976" s="47" t="n"/>
      <c r="AA1976" s="47" t="n"/>
      <c r="AB1976" s="47" t="n"/>
      <c r="AC1976" s="47" t="n"/>
      <c r="AD1976" s="47" t="n"/>
      <c r="AE1976" s="47" t="n"/>
      <c r="AF1976" s="20">
        <f>IF(A1976="","",YEAR(EDATE(A1976,-3)))</f>
        <v/>
      </c>
      <c r="AG1976" s="20">
        <f>IF(OR(B1976="",'経歴簿'!$C$4=""),"",IF(B1976&amp;""='経歴簿'!$C$4&amp;"",MAX($AG$4:AG1975)+1,""))</f>
        <v/>
      </c>
      <c r="AH1976" s="20">
        <f>IF(A1976="",0,IF(AND(OR('CSV抽出'!$C$4="",A1976&gt;='CSV抽出'!$C$4),OR('CSV抽出'!$C$5="",A1976&lt;='CSV抽出'!$C$5),OR('CSV抽出'!$C$6="すべて",'CSV抽出'!$C$6="",D1976='CSV抽出'!$C$6),OR('CSV抽出'!$C$7="",B1976&amp;""='CSV抽出'!$C$7&amp;"")),1,0))</f>
        <v/>
      </c>
      <c r="AI1976" s="20">
        <f>IF(AH1976=1,SUM($AH$5:AH1976),"")</f>
        <v/>
      </c>
      <c r="AJ1976" s="20">
        <f>IF(OR(S1976="",'報告書'!$C$4=""),"",IF(S1976&amp;""='報告書'!$C$4&amp;"",COUNTIF($S$5:S1976,'報告書'!$C$4),""))</f>
        <v/>
      </c>
      <c r="AK1976" s="20" t="n"/>
      <c r="AL1976" s="47" t="n"/>
      <c r="AM1976" s="47" t="n"/>
      <c r="AN1976" s="53" t="n"/>
      <c r="AO1976" s="47" t="n"/>
      <c r="AP1976" s="47" t="n"/>
      <c r="AQ1976" s="47" t="n"/>
      <c r="AR1976" s="47" t="n"/>
      <c r="AS1976" s="47" t="n"/>
      <c r="AT1976" s="47" t="n"/>
      <c r="AU1976" s="47" t="n"/>
      <c r="AV1976" s="47" t="n"/>
      <c r="AW1976" s="52" t="n"/>
    </row>
    <row r="1977">
      <c r="A1977" s="48" t="n"/>
      <c r="B1977" s="52" t="n"/>
      <c r="C1977" s="47">
        <f>IF(B1977="","",IFERROR(INDEX('隊員マスタ'!$B$5:$B$204,MATCH(B1977&amp;"",'隊員マスタ'!$F$5:$F$204,0)),IF(AK1977="","番号なし",AK1977)))</f>
        <v/>
      </c>
      <c r="D1977" s="47" t="n"/>
      <c r="E1977" s="47" t="n"/>
      <c r="F1977" s="47" t="n"/>
      <c r="G1977" s="47" t="n"/>
      <c r="H1977" s="47" t="n"/>
      <c r="I1977" s="47" t="n"/>
      <c r="J1977" s="47" t="n"/>
      <c r="K1977" s="47" t="n"/>
      <c r="L1977" s="47" t="n"/>
      <c r="M1977" s="47" t="n"/>
      <c r="N1977" s="47" t="n"/>
      <c r="O1977" s="47" t="n"/>
      <c r="P1977" s="47" t="n"/>
      <c r="Q1977" s="47" t="n"/>
      <c r="R1977" s="47" t="n"/>
      <c r="S1977" s="47" t="n"/>
      <c r="T1977" s="47" t="n"/>
      <c r="U1977" s="53" t="n"/>
      <c r="V1977" s="53" t="n"/>
      <c r="W1977" s="47" t="n"/>
      <c r="X1977" s="47" t="n"/>
      <c r="Y1977" s="47" t="n"/>
      <c r="Z1977" s="47" t="n"/>
      <c r="AA1977" s="47" t="n"/>
      <c r="AB1977" s="47" t="n"/>
      <c r="AC1977" s="47" t="n"/>
      <c r="AD1977" s="47" t="n"/>
      <c r="AE1977" s="47" t="n"/>
      <c r="AF1977" s="20">
        <f>IF(A1977="","",YEAR(EDATE(A1977,-3)))</f>
        <v/>
      </c>
      <c r="AG1977" s="20">
        <f>IF(OR(B1977="",'経歴簿'!$C$4=""),"",IF(B1977&amp;""='経歴簿'!$C$4&amp;"",MAX($AG$4:AG1976)+1,""))</f>
        <v/>
      </c>
      <c r="AH1977" s="20">
        <f>IF(A1977="",0,IF(AND(OR('CSV抽出'!$C$4="",A1977&gt;='CSV抽出'!$C$4),OR('CSV抽出'!$C$5="",A1977&lt;='CSV抽出'!$C$5),OR('CSV抽出'!$C$6="すべて",'CSV抽出'!$C$6="",D1977='CSV抽出'!$C$6),OR('CSV抽出'!$C$7="",B1977&amp;""='CSV抽出'!$C$7&amp;"")),1,0))</f>
        <v/>
      </c>
      <c r="AI1977" s="20">
        <f>IF(AH1977=1,SUM($AH$5:AH1977),"")</f>
        <v/>
      </c>
      <c r="AJ1977" s="20">
        <f>IF(OR(S1977="",'報告書'!$C$4=""),"",IF(S1977&amp;""='報告書'!$C$4&amp;"",COUNTIF($S$5:S1977,'報告書'!$C$4),""))</f>
        <v/>
      </c>
      <c r="AK1977" s="20" t="n"/>
      <c r="AL1977" s="47" t="n"/>
      <c r="AM1977" s="47" t="n"/>
      <c r="AN1977" s="53" t="n"/>
      <c r="AO1977" s="47" t="n"/>
      <c r="AP1977" s="47" t="n"/>
      <c r="AQ1977" s="47" t="n"/>
      <c r="AR1977" s="47" t="n"/>
      <c r="AS1977" s="47" t="n"/>
      <c r="AT1977" s="47" t="n"/>
      <c r="AU1977" s="47" t="n"/>
      <c r="AV1977" s="47" t="n"/>
      <c r="AW1977" s="52" t="n"/>
    </row>
    <row r="1978">
      <c r="A1978" s="48" t="n"/>
      <c r="B1978" s="52" t="n"/>
      <c r="C1978" s="47">
        <f>IF(B1978="","",IFERROR(INDEX('隊員マスタ'!$B$5:$B$204,MATCH(B1978&amp;"",'隊員マスタ'!$F$5:$F$204,0)),IF(AK1978="","番号なし",AK1978)))</f>
        <v/>
      </c>
      <c r="D1978" s="47" t="n"/>
      <c r="E1978" s="47" t="n"/>
      <c r="F1978" s="47" t="n"/>
      <c r="G1978" s="47" t="n"/>
      <c r="H1978" s="47" t="n"/>
      <c r="I1978" s="47" t="n"/>
      <c r="J1978" s="47" t="n"/>
      <c r="K1978" s="47" t="n"/>
      <c r="L1978" s="47" t="n"/>
      <c r="M1978" s="47" t="n"/>
      <c r="N1978" s="47" t="n"/>
      <c r="O1978" s="47" t="n"/>
      <c r="P1978" s="47" t="n"/>
      <c r="Q1978" s="47" t="n"/>
      <c r="R1978" s="47" t="n"/>
      <c r="S1978" s="47" t="n"/>
      <c r="T1978" s="47" t="n"/>
      <c r="U1978" s="53" t="n"/>
      <c r="V1978" s="53" t="n"/>
      <c r="W1978" s="47" t="n"/>
      <c r="X1978" s="47" t="n"/>
      <c r="Y1978" s="47" t="n"/>
      <c r="Z1978" s="47" t="n"/>
      <c r="AA1978" s="47" t="n"/>
      <c r="AB1978" s="47" t="n"/>
      <c r="AC1978" s="47" t="n"/>
      <c r="AD1978" s="47" t="n"/>
      <c r="AE1978" s="47" t="n"/>
      <c r="AF1978" s="20">
        <f>IF(A1978="","",YEAR(EDATE(A1978,-3)))</f>
        <v/>
      </c>
      <c r="AG1978" s="20">
        <f>IF(OR(B1978="",'経歴簿'!$C$4=""),"",IF(B1978&amp;""='経歴簿'!$C$4&amp;"",MAX($AG$4:AG1977)+1,""))</f>
        <v/>
      </c>
      <c r="AH1978" s="20">
        <f>IF(A1978="",0,IF(AND(OR('CSV抽出'!$C$4="",A1978&gt;='CSV抽出'!$C$4),OR('CSV抽出'!$C$5="",A1978&lt;='CSV抽出'!$C$5),OR('CSV抽出'!$C$6="すべて",'CSV抽出'!$C$6="",D1978='CSV抽出'!$C$6),OR('CSV抽出'!$C$7="",B1978&amp;""='CSV抽出'!$C$7&amp;"")),1,0))</f>
        <v/>
      </c>
      <c r="AI1978" s="20">
        <f>IF(AH1978=1,SUM($AH$5:AH1978),"")</f>
        <v/>
      </c>
      <c r="AJ1978" s="20">
        <f>IF(OR(S1978="",'報告書'!$C$4=""),"",IF(S1978&amp;""='報告書'!$C$4&amp;"",COUNTIF($S$5:S1978,'報告書'!$C$4),""))</f>
        <v/>
      </c>
      <c r="AK1978" s="20" t="n"/>
      <c r="AL1978" s="47" t="n"/>
      <c r="AM1978" s="47" t="n"/>
      <c r="AN1978" s="53" t="n"/>
      <c r="AO1978" s="47" t="n"/>
      <c r="AP1978" s="47" t="n"/>
      <c r="AQ1978" s="47" t="n"/>
      <c r="AR1978" s="47" t="n"/>
      <c r="AS1978" s="47" t="n"/>
      <c r="AT1978" s="47" t="n"/>
      <c r="AU1978" s="47" t="n"/>
      <c r="AV1978" s="47" t="n"/>
      <c r="AW1978" s="52" t="n"/>
    </row>
    <row r="1979">
      <c r="A1979" s="48" t="n"/>
      <c r="B1979" s="52" t="n"/>
      <c r="C1979" s="47">
        <f>IF(B1979="","",IFERROR(INDEX('隊員マスタ'!$B$5:$B$204,MATCH(B1979&amp;"",'隊員マスタ'!$F$5:$F$204,0)),IF(AK1979="","番号なし",AK1979)))</f>
        <v/>
      </c>
      <c r="D1979" s="47" t="n"/>
      <c r="E1979" s="47" t="n"/>
      <c r="F1979" s="47" t="n"/>
      <c r="G1979" s="47" t="n"/>
      <c r="H1979" s="47" t="n"/>
      <c r="I1979" s="47" t="n"/>
      <c r="J1979" s="47" t="n"/>
      <c r="K1979" s="47" t="n"/>
      <c r="L1979" s="47" t="n"/>
      <c r="M1979" s="47" t="n"/>
      <c r="N1979" s="47" t="n"/>
      <c r="O1979" s="47" t="n"/>
      <c r="P1979" s="47" t="n"/>
      <c r="Q1979" s="47" t="n"/>
      <c r="R1979" s="47" t="n"/>
      <c r="S1979" s="47" t="n"/>
      <c r="T1979" s="47" t="n"/>
      <c r="U1979" s="53" t="n"/>
      <c r="V1979" s="53" t="n"/>
      <c r="W1979" s="47" t="n"/>
      <c r="X1979" s="47" t="n"/>
      <c r="Y1979" s="47" t="n"/>
      <c r="Z1979" s="47" t="n"/>
      <c r="AA1979" s="47" t="n"/>
      <c r="AB1979" s="47" t="n"/>
      <c r="AC1979" s="47" t="n"/>
      <c r="AD1979" s="47" t="n"/>
      <c r="AE1979" s="47" t="n"/>
      <c r="AF1979" s="20">
        <f>IF(A1979="","",YEAR(EDATE(A1979,-3)))</f>
        <v/>
      </c>
      <c r="AG1979" s="20">
        <f>IF(OR(B1979="",'経歴簿'!$C$4=""),"",IF(B1979&amp;""='経歴簿'!$C$4&amp;"",MAX($AG$4:AG1978)+1,""))</f>
        <v/>
      </c>
      <c r="AH1979" s="20">
        <f>IF(A1979="",0,IF(AND(OR('CSV抽出'!$C$4="",A1979&gt;='CSV抽出'!$C$4),OR('CSV抽出'!$C$5="",A1979&lt;='CSV抽出'!$C$5),OR('CSV抽出'!$C$6="すべて",'CSV抽出'!$C$6="",D1979='CSV抽出'!$C$6),OR('CSV抽出'!$C$7="",B1979&amp;""='CSV抽出'!$C$7&amp;"")),1,0))</f>
        <v/>
      </c>
      <c r="AI1979" s="20">
        <f>IF(AH1979=1,SUM($AH$5:AH1979),"")</f>
        <v/>
      </c>
      <c r="AJ1979" s="20">
        <f>IF(OR(S1979="",'報告書'!$C$4=""),"",IF(S1979&amp;""='報告書'!$C$4&amp;"",COUNTIF($S$5:S1979,'報告書'!$C$4),""))</f>
        <v/>
      </c>
      <c r="AK1979" s="20" t="n"/>
      <c r="AL1979" s="47" t="n"/>
      <c r="AM1979" s="47" t="n"/>
      <c r="AN1979" s="53" t="n"/>
      <c r="AO1979" s="47" t="n"/>
      <c r="AP1979" s="47" t="n"/>
      <c r="AQ1979" s="47" t="n"/>
      <c r="AR1979" s="47" t="n"/>
      <c r="AS1979" s="47" t="n"/>
      <c r="AT1979" s="47" t="n"/>
      <c r="AU1979" s="47" t="n"/>
      <c r="AV1979" s="47" t="n"/>
      <c r="AW1979" s="52" t="n"/>
    </row>
    <row r="1980">
      <c r="A1980" s="48" t="n"/>
      <c r="B1980" s="52" t="n"/>
      <c r="C1980" s="47">
        <f>IF(B1980="","",IFERROR(INDEX('隊員マスタ'!$B$5:$B$204,MATCH(B1980&amp;"",'隊員マスタ'!$F$5:$F$204,0)),IF(AK1980="","番号なし",AK1980)))</f>
        <v/>
      </c>
      <c r="D1980" s="47" t="n"/>
      <c r="E1980" s="47" t="n"/>
      <c r="F1980" s="47" t="n"/>
      <c r="G1980" s="47" t="n"/>
      <c r="H1980" s="47" t="n"/>
      <c r="I1980" s="47" t="n"/>
      <c r="J1980" s="47" t="n"/>
      <c r="K1980" s="47" t="n"/>
      <c r="L1980" s="47" t="n"/>
      <c r="M1980" s="47" t="n"/>
      <c r="N1980" s="47" t="n"/>
      <c r="O1980" s="47" t="n"/>
      <c r="P1980" s="47" t="n"/>
      <c r="Q1980" s="47" t="n"/>
      <c r="R1980" s="47" t="n"/>
      <c r="S1980" s="47" t="n"/>
      <c r="T1980" s="47" t="n"/>
      <c r="U1980" s="53" t="n"/>
      <c r="V1980" s="53" t="n"/>
      <c r="W1980" s="47" t="n"/>
      <c r="X1980" s="47" t="n"/>
      <c r="Y1980" s="47" t="n"/>
      <c r="Z1980" s="47" t="n"/>
      <c r="AA1980" s="47" t="n"/>
      <c r="AB1980" s="47" t="n"/>
      <c r="AC1980" s="47" t="n"/>
      <c r="AD1980" s="47" t="n"/>
      <c r="AE1980" s="47" t="n"/>
      <c r="AF1980" s="20">
        <f>IF(A1980="","",YEAR(EDATE(A1980,-3)))</f>
        <v/>
      </c>
      <c r="AG1980" s="20">
        <f>IF(OR(B1980="",'経歴簿'!$C$4=""),"",IF(B1980&amp;""='経歴簿'!$C$4&amp;"",MAX($AG$4:AG1979)+1,""))</f>
        <v/>
      </c>
      <c r="AH1980" s="20">
        <f>IF(A1980="",0,IF(AND(OR('CSV抽出'!$C$4="",A1980&gt;='CSV抽出'!$C$4),OR('CSV抽出'!$C$5="",A1980&lt;='CSV抽出'!$C$5),OR('CSV抽出'!$C$6="すべて",'CSV抽出'!$C$6="",D1980='CSV抽出'!$C$6),OR('CSV抽出'!$C$7="",B1980&amp;""='CSV抽出'!$C$7&amp;"")),1,0))</f>
        <v/>
      </c>
      <c r="AI1980" s="20">
        <f>IF(AH1980=1,SUM($AH$5:AH1980),"")</f>
        <v/>
      </c>
      <c r="AJ1980" s="20">
        <f>IF(OR(S1980="",'報告書'!$C$4=""),"",IF(S1980&amp;""='報告書'!$C$4&amp;"",COUNTIF($S$5:S1980,'報告書'!$C$4),""))</f>
        <v/>
      </c>
      <c r="AK1980" s="20" t="n"/>
      <c r="AL1980" s="47" t="n"/>
      <c r="AM1980" s="47" t="n"/>
      <c r="AN1980" s="53" t="n"/>
      <c r="AO1980" s="47" t="n"/>
      <c r="AP1980" s="47" t="n"/>
      <c r="AQ1980" s="47" t="n"/>
      <c r="AR1980" s="47" t="n"/>
      <c r="AS1980" s="47" t="n"/>
      <c r="AT1980" s="47" t="n"/>
      <c r="AU1980" s="47" t="n"/>
      <c r="AV1980" s="47" t="n"/>
      <c r="AW1980" s="52" t="n"/>
    </row>
    <row r="1981">
      <c r="A1981" s="48" t="n"/>
      <c r="B1981" s="52" t="n"/>
      <c r="C1981" s="47">
        <f>IF(B1981="","",IFERROR(INDEX('隊員マスタ'!$B$5:$B$204,MATCH(B1981&amp;"",'隊員マスタ'!$F$5:$F$204,0)),IF(AK1981="","番号なし",AK1981)))</f>
        <v/>
      </c>
      <c r="D1981" s="47" t="n"/>
      <c r="E1981" s="47" t="n"/>
      <c r="F1981" s="47" t="n"/>
      <c r="G1981" s="47" t="n"/>
      <c r="H1981" s="47" t="n"/>
      <c r="I1981" s="47" t="n"/>
      <c r="J1981" s="47" t="n"/>
      <c r="K1981" s="47" t="n"/>
      <c r="L1981" s="47" t="n"/>
      <c r="M1981" s="47" t="n"/>
      <c r="N1981" s="47" t="n"/>
      <c r="O1981" s="47" t="n"/>
      <c r="P1981" s="47" t="n"/>
      <c r="Q1981" s="47" t="n"/>
      <c r="R1981" s="47" t="n"/>
      <c r="S1981" s="47" t="n"/>
      <c r="T1981" s="47" t="n"/>
      <c r="U1981" s="53" t="n"/>
      <c r="V1981" s="53" t="n"/>
      <c r="W1981" s="47" t="n"/>
      <c r="X1981" s="47" t="n"/>
      <c r="Y1981" s="47" t="n"/>
      <c r="Z1981" s="47" t="n"/>
      <c r="AA1981" s="47" t="n"/>
      <c r="AB1981" s="47" t="n"/>
      <c r="AC1981" s="47" t="n"/>
      <c r="AD1981" s="47" t="n"/>
      <c r="AE1981" s="47" t="n"/>
      <c r="AF1981" s="20">
        <f>IF(A1981="","",YEAR(EDATE(A1981,-3)))</f>
        <v/>
      </c>
      <c r="AG1981" s="20">
        <f>IF(OR(B1981="",'経歴簿'!$C$4=""),"",IF(B1981&amp;""='経歴簿'!$C$4&amp;"",MAX($AG$4:AG1980)+1,""))</f>
        <v/>
      </c>
      <c r="AH1981" s="20">
        <f>IF(A1981="",0,IF(AND(OR('CSV抽出'!$C$4="",A1981&gt;='CSV抽出'!$C$4),OR('CSV抽出'!$C$5="",A1981&lt;='CSV抽出'!$C$5),OR('CSV抽出'!$C$6="すべて",'CSV抽出'!$C$6="",D1981='CSV抽出'!$C$6),OR('CSV抽出'!$C$7="",B1981&amp;""='CSV抽出'!$C$7&amp;"")),1,0))</f>
        <v/>
      </c>
      <c r="AI1981" s="20">
        <f>IF(AH1981=1,SUM($AH$5:AH1981),"")</f>
        <v/>
      </c>
      <c r="AJ1981" s="20">
        <f>IF(OR(S1981="",'報告書'!$C$4=""),"",IF(S1981&amp;""='報告書'!$C$4&amp;"",COUNTIF($S$5:S1981,'報告書'!$C$4),""))</f>
        <v/>
      </c>
      <c r="AK1981" s="20" t="n"/>
      <c r="AL1981" s="47" t="n"/>
      <c r="AM1981" s="47" t="n"/>
      <c r="AN1981" s="53" t="n"/>
      <c r="AO1981" s="47" t="n"/>
      <c r="AP1981" s="47" t="n"/>
      <c r="AQ1981" s="47" t="n"/>
      <c r="AR1981" s="47" t="n"/>
      <c r="AS1981" s="47" t="n"/>
      <c r="AT1981" s="47" t="n"/>
      <c r="AU1981" s="47" t="n"/>
      <c r="AV1981" s="47" t="n"/>
      <c r="AW1981" s="52" t="n"/>
    </row>
    <row r="1982">
      <c r="A1982" s="48" t="n"/>
      <c r="B1982" s="52" t="n"/>
      <c r="C1982" s="47">
        <f>IF(B1982="","",IFERROR(INDEX('隊員マスタ'!$B$5:$B$204,MATCH(B1982&amp;"",'隊員マスタ'!$F$5:$F$204,0)),IF(AK1982="","番号なし",AK1982)))</f>
        <v/>
      </c>
      <c r="D1982" s="47" t="n"/>
      <c r="E1982" s="47" t="n"/>
      <c r="F1982" s="47" t="n"/>
      <c r="G1982" s="47" t="n"/>
      <c r="H1982" s="47" t="n"/>
      <c r="I1982" s="47" t="n"/>
      <c r="J1982" s="47" t="n"/>
      <c r="K1982" s="47" t="n"/>
      <c r="L1982" s="47" t="n"/>
      <c r="M1982" s="47" t="n"/>
      <c r="N1982" s="47" t="n"/>
      <c r="O1982" s="47" t="n"/>
      <c r="P1982" s="47" t="n"/>
      <c r="Q1982" s="47" t="n"/>
      <c r="R1982" s="47" t="n"/>
      <c r="S1982" s="47" t="n"/>
      <c r="T1982" s="47" t="n"/>
      <c r="U1982" s="53" t="n"/>
      <c r="V1982" s="53" t="n"/>
      <c r="W1982" s="47" t="n"/>
      <c r="X1982" s="47" t="n"/>
      <c r="Y1982" s="47" t="n"/>
      <c r="Z1982" s="47" t="n"/>
      <c r="AA1982" s="47" t="n"/>
      <c r="AB1982" s="47" t="n"/>
      <c r="AC1982" s="47" t="n"/>
      <c r="AD1982" s="47" t="n"/>
      <c r="AE1982" s="47" t="n"/>
      <c r="AF1982" s="20">
        <f>IF(A1982="","",YEAR(EDATE(A1982,-3)))</f>
        <v/>
      </c>
      <c r="AG1982" s="20">
        <f>IF(OR(B1982="",'経歴簿'!$C$4=""),"",IF(B1982&amp;""='経歴簿'!$C$4&amp;"",MAX($AG$4:AG1981)+1,""))</f>
        <v/>
      </c>
      <c r="AH1982" s="20">
        <f>IF(A1982="",0,IF(AND(OR('CSV抽出'!$C$4="",A1982&gt;='CSV抽出'!$C$4),OR('CSV抽出'!$C$5="",A1982&lt;='CSV抽出'!$C$5),OR('CSV抽出'!$C$6="すべて",'CSV抽出'!$C$6="",D1982='CSV抽出'!$C$6),OR('CSV抽出'!$C$7="",B1982&amp;""='CSV抽出'!$C$7&amp;"")),1,0))</f>
        <v/>
      </c>
      <c r="AI1982" s="20">
        <f>IF(AH1982=1,SUM($AH$5:AH1982),"")</f>
        <v/>
      </c>
      <c r="AJ1982" s="20">
        <f>IF(OR(S1982="",'報告書'!$C$4=""),"",IF(S1982&amp;""='報告書'!$C$4&amp;"",COUNTIF($S$5:S1982,'報告書'!$C$4),""))</f>
        <v/>
      </c>
      <c r="AK1982" s="20" t="n"/>
      <c r="AL1982" s="47" t="n"/>
      <c r="AM1982" s="47" t="n"/>
      <c r="AN1982" s="53" t="n"/>
      <c r="AO1982" s="47" t="n"/>
      <c r="AP1982" s="47" t="n"/>
      <c r="AQ1982" s="47" t="n"/>
      <c r="AR1982" s="47" t="n"/>
      <c r="AS1982" s="47" t="n"/>
      <c r="AT1982" s="47" t="n"/>
      <c r="AU1982" s="47" t="n"/>
      <c r="AV1982" s="47" t="n"/>
      <c r="AW1982" s="52" t="n"/>
    </row>
    <row r="1983">
      <c r="A1983" s="48" t="n"/>
      <c r="B1983" s="52" t="n"/>
      <c r="C1983" s="47">
        <f>IF(B1983="","",IFERROR(INDEX('隊員マスタ'!$B$5:$B$204,MATCH(B1983&amp;"",'隊員マスタ'!$F$5:$F$204,0)),IF(AK1983="","番号なし",AK1983)))</f>
        <v/>
      </c>
      <c r="D1983" s="47" t="n"/>
      <c r="E1983" s="47" t="n"/>
      <c r="F1983" s="47" t="n"/>
      <c r="G1983" s="47" t="n"/>
      <c r="H1983" s="47" t="n"/>
      <c r="I1983" s="47" t="n"/>
      <c r="J1983" s="47" t="n"/>
      <c r="K1983" s="47" t="n"/>
      <c r="L1983" s="47" t="n"/>
      <c r="M1983" s="47" t="n"/>
      <c r="N1983" s="47" t="n"/>
      <c r="O1983" s="47" t="n"/>
      <c r="P1983" s="47" t="n"/>
      <c r="Q1983" s="47" t="n"/>
      <c r="R1983" s="47" t="n"/>
      <c r="S1983" s="47" t="n"/>
      <c r="T1983" s="47" t="n"/>
      <c r="U1983" s="53" t="n"/>
      <c r="V1983" s="53" t="n"/>
      <c r="W1983" s="47" t="n"/>
      <c r="X1983" s="47" t="n"/>
      <c r="Y1983" s="47" t="n"/>
      <c r="Z1983" s="47" t="n"/>
      <c r="AA1983" s="47" t="n"/>
      <c r="AB1983" s="47" t="n"/>
      <c r="AC1983" s="47" t="n"/>
      <c r="AD1983" s="47" t="n"/>
      <c r="AE1983" s="47" t="n"/>
      <c r="AF1983" s="20">
        <f>IF(A1983="","",YEAR(EDATE(A1983,-3)))</f>
        <v/>
      </c>
      <c r="AG1983" s="20">
        <f>IF(OR(B1983="",'経歴簿'!$C$4=""),"",IF(B1983&amp;""='経歴簿'!$C$4&amp;"",MAX($AG$4:AG1982)+1,""))</f>
        <v/>
      </c>
      <c r="AH1983" s="20">
        <f>IF(A1983="",0,IF(AND(OR('CSV抽出'!$C$4="",A1983&gt;='CSV抽出'!$C$4),OR('CSV抽出'!$C$5="",A1983&lt;='CSV抽出'!$C$5),OR('CSV抽出'!$C$6="すべて",'CSV抽出'!$C$6="",D1983='CSV抽出'!$C$6),OR('CSV抽出'!$C$7="",B1983&amp;""='CSV抽出'!$C$7&amp;"")),1,0))</f>
        <v/>
      </c>
      <c r="AI1983" s="20">
        <f>IF(AH1983=1,SUM($AH$5:AH1983),"")</f>
        <v/>
      </c>
      <c r="AJ1983" s="20">
        <f>IF(OR(S1983="",'報告書'!$C$4=""),"",IF(S1983&amp;""='報告書'!$C$4&amp;"",COUNTIF($S$5:S1983,'報告書'!$C$4),""))</f>
        <v/>
      </c>
      <c r="AK1983" s="20" t="n"/>
      <c r="AL1983" s="47" t="n"/>
      <c r="AM1983" s="47" t="n"/>
      <c r="AN1983" s="53" t="n"/>
      <c r="AO1983" s="47" t="n"/>
      <c r="AP1983" s="47" t="n"/>
      <c r="AQ1983" s="47" t="n"/>
      <c r="AR1983" s="47" t="n"/>
      <c r="AS1983" s="47" t="n"/>
      <c r="AT1983" s="47" t="n"/>
      <c r="AU1983" s="47" t="n"/>
      <c r="AV1983" s="47" t="n"/>
      <c r="AW1983" s="52" t="n"/>
    </row>
    <row r="1984">
      <c r="A1984" s="48" t="n"/>
      <c r="B1984" s="52" t="n"/>
      <c r="C1984" s="47">
        <f>IF(B1984="","",IFERROR(INDEX('隊員マスタ'!$B$5:$B$204,MATCH(B1984&amp;"",'隊員マスタ'!$F$5:$F$204,0)),IF(AK1984="","番号なし",AK1984)))</f>
        <v/>
      </c>
      <c r="D1984" s="47" t="n"/>
      <c r="E1984" s="47" t="n"/>
      <c r="F1984" s="47" t="n"/>
      <c r="G1984" s="47" t="n"/>
      <c r="H1984" s="47" t="n"/>
      <c r="I1984" s="47" t="n"/>
      <c r="J1984" s="47" t="n"/>
      <c r="K1984" s="47" t="n"/>
      <c r="L1984" s="47" t="n"/>
      <c r="M1984" s="47" t="n"/>
      <c r="N1984" s="47" t="n"/>
      <c r="O1984" s="47" t="n"/>
      <c r="P1984" s="47" t="n"/>
      <c r="Q1984" s="47" t="n"/>
      <c r="R1984" s="47" t="n"/>
      <c r="S1984" s="47" t="n"/>
      <c r="T1984" s="47" t="n"/>
      <c r="U1984" s="53" t="n"/>
      <c r="V1984" s="53" t="n"/>
      <c r="W1984" s="47" t="n"/>
      <c r="X1984" s="47" t="n"/>
      <c r="Y1984" s="47" t="n"/>
      <c r="Z1984" s="47" t="n"/>
      <c r="AA1984" s="47" t="n"/>
      <c r="AB1984" s="47" t="n"/>
      <c r="AC1984" s="47" t="n"/>
      <c r="AD1984" s="47" t="n"/>
      <c r="AE1984" s="47" t="n"/>
      <c r="AF1984" s="20">
        <f>IF(A1984="","",YEAR(EDATE(A1984,-3)))</f>
        <v/>
      </c>
      <c r="AG1984" s="20">
        <f>IF(OR(B1984="",'経歴簿'!$C$4=""),"",IF(B1984&amp;""='経歴簿'!$C$4&amp;"",MAX($AG$4:AG1983)+1,""))</f>
        <v/>
      </c>
      <c r="AH1984" s="20">
        <f>IF(A1984="",0,IF(AND(OR('CSV抽出'!$C$4="",A1984&gt;='CSV抽出'!$C$4),OR('CSV抽出'!$C$5="",A1984&lt;='CSV抽出'!$C$5),OR('CSV抽出'!$C$6="すべて",'CSV抽出'!$C$6="",D1984='CSV抽出'!$C$6),OR('CSV抽出'!$C$7="",B1984&amp;""='CSV抽出'!$C$7&amp;"")),1,0))</f>
        <v/>
      </c>
      <c r="AI1984" s="20">
        <f>IF(AH1984=1,SUM($AH$5:AH1984),"")</f>
        <v/>
      </c>
      <c r="AJ1984" s="20">
        <f>IF(OR(S1984="",'報告書'!$C$4=""),"",IF(S1984&amp;""='報告書'!$C$4&amp;"",COUNTIF($S$5:S1984,'報告書'!$C$4),""))</f>
        <v/>
      </c>
      <c r="AK1984" s="20" t="n"/>
      <c r="AL1984" s="47" t="n"/>
      <c r="AM1984" s="47" t="n"/>
      <c r="AN1984" s="53" t="n"/>
      <c r="AO1984" s="47" t="n"/>
      <c r="AP1984" s="47" t="n"/>
      <c r="AQ1984" s="47" t="n"/>
      <c r="AR1984" s="47" t="n"/>
      <c r="AS1984" s="47" t="n"/>
      <c r="AT1984" s="47" t="n"/>
      <c r="AU1984" s="47" t="n"/>
      <c r="AV1984" s="47" t="n"/>
      <c r="AW1984" s="52" t="n"/>
    </row>
    <row r="1985">
      <c r="A1985" s="48" t="n"/>
      <c r="B1985" s="52" t="n"/>
      <c r="C1985" s="47">
        <f>IF(B1985="","",IFERROR(INDEX('隊員マスタ'!$B$5:$B$204,MATCH(B1985&amp;"",'隊員マスタ'!$F$5:$F$204,0)),IF(AK1985="","番号なし",AK1985)))</f>
        <v/>
      </c>
      <c r="D1985" s="47" t="n"/>
      <c r="E1985" s="47" t="n"/>
      <c r="F1985" s="47" t="n"/>
      <c r="G1985" s="47" t="n"/>
      <c r="H1985" s="47" t="n"/>
      <c r="I1985" s="47" t="n"/>
      <c r="J1985" s="47" t="n"/>
      <c r="K1985" s="47" t="n"/>
      <c r="L1985" s="47" t="n"/>
      <c r="M1985" s="47" t="n"/>
      <c r="N1985" s="47" t="n"/>
      <c r="O1985" s="47" t="n"/>
      <c r="P1985" s="47" t="n"/>
      <c r="Q1985" s="47" t="n"/>
      <c r="R1985" s="47" t="n"/>
      <c r="S1985" s="47" t="n"/>
      <c r="T1985" s="47" t="n"/>
      <c r="U1985" s="53" t="n"/>
      <c r="V1985" s="53" t="n"/>
      <c r="W1985" s="47" t="n"/>
      <c r="X1985" s="47" t="n"/>
      <c r="Y1985" s="47" t="n"/>
      <c r="Z1985" s="47" t="n"/>
      <c r="AA1985" s="47" t="n"/>
      <c r="AB1985" s="47" t="n"/>
      <c r="AC1985" s="47" t="n"/>
      <c r="AD1985" s="47" t="n"/>
      <c r="AE1985" s="47" t="n"/>
      <c r="AF1985" s="20">
        <f>IF(A1985="","",YEAR(EDATE(A1985,-3)))</f>
        <v/>
      </c>
      <c r="AG1985" s="20">
        <f>IF(OR(B1985="",'経歴簿'!$C$4=""),"",IF(B1985&amp;""='経歴簿'!$C$4&amp;"",MAX($AG$4:AG1984)+1,""))</f>
        <v/>
      </c>
      <c r="AH1985" s="20">
        <f>IF(A1985="",0,IF(AND(OR('CSV抽出'!$C$4="",A1985&gt;='CSV抽出'!$C$4),OR('CSV抽出'!$C$5="",A1985&lt;='CSV抽出'!$C$5),OR('CSV抽出'!$C$6="すべて",'CSV抽出'!$C$6="",D1985='CSV抽出'!$C$6),OR('CSV抽出'!$C$7="",B1985&amp;""='CSV抽出'!$C$7&amp;"")),1,0))</f>
        <v/>
      </c>
      <c r="AI1985" s="20">
        <f>IF(AH1985=1,SUM($AH$5:AH1985),"")</f>
        <v/>
      </c>
      <c r="AJ1985" s="20">
        <f>IF(OR(S1985="",'報告書'!$C$4=""),"",IF(S1985&amp;""='報告書'!$C$4&amp;"",COUNTIF($S$5:S1985,'報告書'!$C$4),""))</f>
        <v/>
      </c>
      <c r="AK1985" s="20" t="n"/>
      <c r="AL1985" s="47" t="n"/>
      <c r="AM1985" s="47" t="n"/>
      <c r="AN1985" s="53" t="n"/>
      <c r="AO1985" s="47" t="n"/>
      <c r="AP1985" s="47" t="n"/>
      <c r="AQ1985" s="47" t="n"/>
      <c r="AR1985" s="47" t="n"/>
      <c r="AS1985" s="47" t="n"/>
      <c r="AT1985" s="47" t="n"/>
      <c r="AU1985" s="47" t="n"/>
      <c r="AV1985" s="47" t="n"/>
      <c r="AW1985" s="52" t="n"/>
    </row>
    <row r="1986">
      <c r="A1986" s="48" t="n"/>
      <c r="B1986" s="52" t="n"/>
      <c r="C1986" s="47">
        <f>IF(B1986="","",IFERROR(INDEX('隊員マスタ'!$B$5:$B$204,MATCH(B1986&amp;"",'隊員マスタ'!$F$5:$F$204,0)),IF(AK1986="","番号なし",AK1986)))</f>
        <v/>
      </c>
      <c r="D1986" s="47" t="n"/>
      <c r="E1986" s="47" t="n"/>
      <c r="F1986" s="47" t="n"/>
      <c r="G1986" s="47" t="n"/>
      <c r="H1986" s="47" t="n"/>
      <c r="I1986" s="47" t="n"/>
      <c r="J1986" s="47" t="n"/>
      <c r="K1986" s="47" t="n"/>
      <c r="L1986" s="47" t="n"/>
      <c r="M1986" s="47" t="n"/>
      <c r="N1986" s="47" t="n"/>
      <c r="O1986" s="47" t="n"/>
      <c r="P1986" s="47" t="n"/>
      <c r="Q1986" s="47" t="n"/>
      <c r="R1986" s="47" t="n"/>
      <c r="S1986" s="47" t="n"/>
      <c r="T1986" s="47" t="n"/>
      <c r="U1986" s="53" t="n"/>
      <c r="V1986" s="53" t="n"/>
      <c r="W1986" s="47" t="n"/>
      <c r="X1986" s="47" t="n"/>
      <c r="Y1986" s="47" t="n"/>
      <c r="Z1986" s="47" t="n"/>
      <c r="AA1986" s="47" t="n"/>
      <c r="AB1986" s="47" t="n"/>
      <c r="AC1986" s="47" t="n"/>
      <c r="AD1986" s="47" t="n"/>
      <c r="AE1986" s="47" t="n"/>
      <c r="AF1986" s="20">
        <f>IF(A1986="","",YEAR(EDATE(A1986,-3)))</f>
        <v/>
      </c>
      <c r="AG1986" s="20">
        <f>IF(OR(B1986="",'経歴簿'!$C$4=""),"",IF(B1986&amp;""='経歴簿'!$C$4&amp;"",MAX($AG$4:AG1985)+1,""))</f>
        <v/>
      </c>
      <c r="AH1986" s="20">
        <f>IF(A1986="",0,IF(AND(OR('CSV抽出'!$C$4="",A1986&gt;='CSV抽出'!$C$4),OR('CSV抽出'!$C$5="",A1986&lt;='CSV抽出'!$C$5),OR('CSV抽出'!$C$6="すべて",'CSV抽出'!$C$6="",D1986='CSV抽出'!$C$6),OR('CSV抽出'!$C$7="",B1986&amp;""='CSV抽出'!$C$7&amp;"")),1,0))</f>
        <v/>
      </c>
      <c r="AI1986" s="20">
        <f>IF(AH1986=1,SUM($AH$5:AH1986),"")</f>
        <v/>
      </c>
      <c r="AJ1986" s="20">
        <f>IF(OR(S1986="",'報告書'!$C$4=""),"",IF(S1986&amp;""='報告書'!$C$4&amp;"",COUNTIF($S$5:S1986,'報告書'!$C$4),""))</f>
        <v/>
      </c>
      <c r="AK1986" s="20" t="n"/>
      <c r="AL1986" s="47" t="n"/>
      <c r="AM1986" s="47" t="n"/>
      <c r="AN1986" s="53" t="n"/>
      <c r="AO1986" s="47" t="n"/>
      <c r="AP1986" s="47" t="n"/>
      <c r="AQ1986" s="47" t="n"/>
      <c r="AR1986" s="47" t="n"/>
      <c r="AS1986" s="47" t="n"/>
      <c r="AT1986" s="47" t="n"/>
      <c r="AU1986" s="47" t="n"/>
      <c r="AV1986" s="47" t="n"/>
      <c r="AW1986" s="52" t="n"/>
    </row>
    <row r="1987">
      <c r="A1987" s="48" t="n"/>
      <c r="B1987" s="52" t="n"/>
      <c r="C1987" s="47">
        <f>IF(B1987="","",IFERROR(INDEX('隊員マスタ'!$B$5:$B$204,MATCH(B1987&amp;"",'隊員マスタ'!$F$5:$F$204,0)),IF(AK1987="","番号なし",AK1987)))</f>
        <v/>
      </c>
      <c r="D1987" s="47" t="n"/>
      <c r="E1987" s="47" t="n"/>
      <c r="F1987" s="47" t="n"/>
      <c r="G1987" s="47" t="n"/>
      <c r="H1987" s="47" t="n"/>
      <c r="I1987" s="47" t="n"/>
      <c r="J1987" s="47" t="n"/>
      <c r="K1987" s="47" t="n"/>
      <c r="L1987" s="47" t="n"/>
      <c r="M1987" s="47" t="n"/>
      <c r="N1987" s="47" t="n"/>
      <c r="O1987" s="47" t="n"/>
      <c r="P1987" s="47" t="n"/>
      <c r="Q1987" s="47" t="n"/>
      <c r="R1987" s="47" t="n"/>
      <c r="S1987" s="47" t="n"/>
      <c r="T1987" s="47" t="n"/>
      <c r="U1987" s="53" t="n"/>
      <c r="V1987" s="53" t="n"/>
      <c r="W1987" s="47" t="n"/>
      <c r="X1987" s="47" t="n"/>
      <c r="Y1987" s="47" t="n"/>
      <c r="Z1987" s="47" t="n"/>
      <c r="AA1987" s="47" t="n"/>
      <c r="AB1987" s="47" t="n"/>
      <c r="AC1987" s="47" t="n"/>
      <c r="AD1987" s="47" t="n"/>
      <c r="AE1987" s="47" t="n"/>
      <c r="AF1987" s="20">
        <f>IF(A1987="","",YEAR(EDATE(A1987,-3)))</f>
        <v/>
      </c>
      <c r="AG1987" s="20">
        <f>IF(OR(B1987="",'経歴簿'!$C$4=""),"",IF(B1987&amp;""='経歴簿'!$C$4&amp;"",MAX($AG$4:AG1986)+1,""))</f>
        <v/>
      </c>
      <c r="AH1987" s="20">
        <f>IF(A1987="",0,IF(AND(OR('CSV抽出'!$C$4="",A1987&gt;='CSV抽出'!$C$4),OR('CSV抽出'!$C$5="",A1987&lt;='CSV抽出'!$C$5),OR('CSV抽出'!$C$6="すべて",'CSV抽出'!$C$6="",D1987='CSV抽出'!$C$6),OR('CSV抽出'!$C$7="",B1987&amp;""='CSV抽出'!$C$7&amp;"")),1,0))</f>
        <v/>
      </c>
      <c r="AI1987" s="20">
        <f>IF(AH1987=1,SUM($AH$5:AH1987),"")</f>
        <v/>
      </c>
      <c r="AJ1987" s="20">
        <f>IF(OR(S1987="",'報告書'!$C$4=""),"",IF(S1987&amp;""='報告書'!$C$4&amp;"",COUNTIF($S$5:S1987,'報告書'!$C$4),""))</f>
        <v/>
      </c>
      <c r="AK1987" s="20" t="n"/>
      <c r="AL1987" s="47" t="n"/>
      <c r="AM1987" s="47" t="n"/>
      <c r="AN1987" s="53" t="n"/>
      <c r="AO1987" s="47" t="n"/>
      <c r="AP1987" s="47" t="n"/>
      <c r="AQ1987" s="47" t="n"/>
      <c r="AR1987" s="47" t="n"/>
      <c r="AS1987" s="47" t="n"/>
      <c r="AT1987" s="47" t="n"/>
      <c r="AU1987" s="47" t="n"/>
      <c r="AV1987" s="47" t="n"/>
      <c r="AW1987" s="52" t="n"/>
    </row>
    <row r="1988">
      <c r="A1988" s="48" t="n"/>
      <c r="B1988" s="52" t="n"/>
      <c r="C1988" s="47">
        <f>IF(B1988="","",IFERROR(INDEX('隊員マスタ'!$B$5:$B$204,MATCH(B1988&amp;"",'隊員マスタ'!$F$5:$F$204,0)),IF(AK1988="","番号なし",AK1988)))</f>
        <v/>
      </c>
      <c r="D1988" s="47" t="n"/>
      <c r="E1988" s="47" t="n"/>
      <c r="F1988" s="47" t="n"/>
      <c r="G1988" s="47" t="n"/>
      <c r="H1988" s="47" t="n"/>
      <c r="I1988" s="47" t="n"/>
      <c r="J1988" s="47" t="n"/>
      <c r="K1988" s="47" t="n"/>
      <c r="L1988" s="47" t="n"/>
      <c r="M1988" s="47" t="n"/>
      <c r="N1988" s="47" t="n"/>
      <c r="O1988" s="47" t="n"/>
      <c r="P1988" s="47" t="n"/>
      <c r="Q1988" s="47" t="n"/>
      <c r="R1988" s="47" t="n"/>
      <c r="S1988" s="47" t="n"/>
      <c r="T1988" s="47" t="n"/>
      <c r="U1988" s="53" t="n"/>
      <c r="V1988" s="53" t="n"/>
      <c r="W1988" s="47" t="n"/>
      <c r="X1988" s="47" t="n"/>
      <c r="Y1988" s="47" t="n"/>
      <c r="Z1988" s="47" t="n"/>
      <c r="AA1988" s="47" t="n"/>
      <c r="AB1988" s="47" t="n"/>
      <c r="AC1988" s="47" t="n"/>
      <c r="AD1988" s="47" t="n"/>
      <c r="AE1988" s="47" t="n"/>
      <c r="AF1988" s="20">
        <f>IF(A1988="","",YEAR(EDATE(A1988,-3)))</f>
        <v/>
      </c>
      <c r="AG1988" s="20">
        <f>IF(OR(B1988="",'経歴簿'!$C$4=""),"",IF(B1988&amp;""='経歴簿'!$C$4&amp;"",MAX($AG$4:AG1987)+1,""))</f>
        <v/>
      </c>
      <c r="AH1988" s="20">
        <f>IF(A1988="",0,IF(AND(OR('CSV抽出'!$C$4="",A1988&gt;='CSV抽出'!$C$4),OR('CSV抽出'!$C$5="",A1988&lt;='CSV抽出'!$C$5),OR('CSV抽出'!$C$6="すべて",'CSV抽出'!$C$6="",D1988='CSV抽出'!$C$6),OR('CSV抽出'!$C$7="",B1988&amp;""='CSV抽出'!$C$7&amp;"")),1,0))</f>
        <v/>
      </c>
      <c r="AI1988" s="20">
        <f>IF(AH1988=1,SUM($AH$5:AH1988),"")</f>
        <v/>
      </c>
      <c r="AJ1988" s="20">
        <f>IF(OR(S1988="",'報告書'!$C$4=""),"",IF(S1988&amp;""='報告書'!$C$4&amp;"",COUNTIF($S$5:S1988,'報告書'!$C$4),""))</f>
        <v/>
      </c>
      <c r="AK1988" s="20" t="n"/>
      <c r="AL1988" s="47" t="n"/>
      <c r="AM1988" s="47" t="n"/>
      <c r="AN1988" s="53" t="n"/>
      <c r="AO1988" s="47" t="n"/>
      <c r="AP1988" s="47" t="n"/>
      <c r="AQ1988" s="47" t="n"/>
      <c r="AR1988" s="47" t="n"/>
      <c r="AS1988" s="47" t="n"/>
      <c r="AT1988" s="47" t="n"/>
      <c r="AU1988" s="47" t="n"/>
      <c r="AV1988" s="47" t="n"/>
      <c r="AW1988" s="52" t="n"/>
    </row>
    <row r="1989">
      <c r="A1989" s="48" t="n"/>
      <c r="B1989" s="52" t="n"/>
      <c r="C1989" s="47">
        <f>IF(B1989="","",IFERROR(INDEX('隊員マスタ'!$B$5:$B$204,MATCH(B1989&amp;"",'隊員マスタ'!$F$5:$F$204,0)),IF(AK1989="","番号なし",AK1989)))</f>
        <v/>
      </c>
      <c r="D1989" s="47" t="n"/>
      <c r="E1989" s="47" t="n"/>
      <c r="F1989" s="47" t="n"/>
      <c r="G1989" s="47" t="n"/>
      <c r="H1989" s="47" t="n"/>
      <c r="I1989" s="47" t="n"/>
      <c r="J1989" s="47" t="n"/>
      <c r="K1989" s="47" t="n"/>
      <c r="L1989" s="47" t="n"/>
      <c r="M1989" s="47" t="n"/>
      <c r="N1989" s="47" t="n"/>
      <c r="O1989" s="47" t="n"/>
      <c r="P1989" s="47" t="n"/>
      <c r="Q1989" s="47" t="n"/>
      <c r="R1989" s="47" t="n"/>
      <c r="S1989" s="47" t="n"/>
      <c r="T1989" s="47" t="n"/>
      <c r="U1989" s="53" t="n"/>
      <c r="V1989" s="53" t="n"/>
      <c r="W1989" s="47" t="n"/>
      <c r="X1989" s="47" t="n"/>
      <c r="Y1989" s="47" t="n"/>
      <c r="Z1989" s="47" t="n"/>
      <c r="AA1989" s="47" t="n"/>
      <c r="AB1989" s="47" t="n"/>
      <c r="AC1989" s="47" t="n"/>
      <c r="AD1989" s="47" t="n"/>
      <c r="AE1989" s="47" t="n"/>
      <c r="AF1989" s="20">
        <f>IF(A1989="","",YEAR(EDATE(A1989,-3)))</f>
        <v/>
      </c>
      <c r="AG1989" s="20">
        <f>IF(OR(B1989="",'経歴簿'!$C$4=""),"",IF(B1989&amp;""='経歴簿'!$C$4&amp;"",MAX($AG$4:AG1988)+1,""))</f>
        <v/>
      </c>
      <c r="AH1989" s="20">
        <f>IF(A1989="",0,IF(AND(OR('CSV抽出'!$C$4="",A1989&gt;='CSV抽出'!$C$4),OR('CSV抽出'!$C$5="",A1989&lt;='CSV抽出'!$C$5),OR('CSV抽出'!$C$6="すべて",'CSV抽出'!$C$6="",D1989='CSV抽出'!$C$6),OR('CSV抽出'!$C$7="",B1989&amp;""='CSV抽出'!$C$7&amp;"")),1,0))</f>
        <v/>
      </c>
      <c r="AI1989" s="20">
        <f>IF(AH1989=1,SUM($AH$5:AH1989),"")</f>
        <v/>
      </c>
      <c r="AJ1989" s="20">
        <f>IF(OR(S1989="",'報告書'!$C$4=""),"",IF(S1989&amp;""='報告書'!$C$4&amp;"",COUNTIF($S$5:S1989,'報告書'!$C$4),""))</f>
        <v/>
      </c>
      <c r="AK1989" s="20" t="n"/>
      <c r="AL1989" s="47" t="n"/>
      <c r="AM1989" s="47" t="n"/>
      <c r="AN1989" s="53" t="n"/>
      <c r="AO1989" s="47" t="n"/>
      <c r="AP1989" s="47" t="n"/>
      <c r="AQ1989" s="47" t="n"/>
      <c r="AR1989" s="47" t="n"/>
      <c r="AS1989" s="47" t="n"/>
      <c r="AT1989" s="47" t="n"/>
      <c r="AU1989" s="47" t="n"/>
      <c r="AV1989" s="47" t="n"/>
      <c r="AW1989" s="52" t="n"/>
    </row>
    <row r="1990">
      <c r="A1990" s="48" t="n"/>
      <c r="B1990" s="52" t="n"/>
      <c r="C1990" s="47">
        <f>IF(B1990="","",IFERROR(INDEX('隊員マスタ'!$B$5:$B$204,MATCH(B1990&amp;"",'隊員マスタ'!$F$5:$F$204,0)),IF(AK1990="","番号なし",AK1990)))</f>
        <v/>
      </c>
      <c r="D1990" s="47" t="n"/>
      <c r="E1990" s="47" t="n"/>
      <c r="F1990" s="47" t="n"/>
      <c r="G1990" s="47" t="n"/>
      <c r="H1990" s="47" t="n"/>
      <c r="I1990" s="47" t="n"/>
      <c r="J1990" s="47" t="n"/>
      <c r="K1990" s="47" t="n"/>
      <c r="L1990" s="47" t="n"/>
      <c r="M1990" s="47" t="n"/>
      <c r="N1990" s="47" t="n"/>
      <c r="O1990" s="47" t="n"/>
      <c r="P1990" s="47" t="n"/>
      <c r="Q1990" s="47" t="n"/>
      <c r="R1990" s="47" t="n"/>
      <c r="S1990" s="47" t="n"/>
      <c r="T1990" s="47" t="n"/>
      <c r="U1990" s="53" t="n"/>
      <c r="V1990" s="53" t="n"/>
      <c r="W1990" s="47" t="n"/>
      <c r="X1990" s="47" t="n"/>
      <c r="Y1990" s="47" t="n"/>
      <c r="Z1990" s="47" t="n"/>
      <c r="AA1990" s="47" t="n"/>
      <c r="AB1990" s="47" t="n"/>
      <c r="AC1990" s="47" t="n"/>
      <c r="AD1990" s="47" t="n"/>
      <c r="AE1990" s="47" t="n"/>
      <c r="AF1990" s="20">
        <f>IF(A1990="","",YEAR(EDATE(A1990,-3)))</f>
        <v/>
      </c>
      <c r="AG1990" s="20">
        <f>IF(OR(B1990="",'経歴簿'!$C$4=""),"",IF(B1990&amp;""='経歴簿'!$C$4&amp;"",MAX($AG$4:AG1989)+1,""))</f>
        <v/>
      </c>
      <c r="AH1990" s="20">
        <f>IF(A1990="",0,IF(AND(OR('CSV抽出'!$C$4="",A1990&gt;='CSV抽出'!$C$4),OR('CSV抽出'!$C$5="",A1990&lt;='CSV抽出'!$C$5),OR('CSV抽出'!$C$6="すべて",'CSV抽出'!$C$6="",D1990='CSV抽出'!$C$6),OR('CSV抽出'!$C$7="",B1990&amp;""='CSV抽出'!$C$7&amp;"")),1,0))</f>
        <v/>
      </c>
      <c r="AI1990" s="20">
        <f>IF(AH1990=1,SUM($AH$5:AH1990),"")</f>
        <v/>
      </c>
      <c r="AJ1990" s="20">
        <f>IF(OR(S1990="",'報告書'!$C$4=""),"",IF(S1990&amp;""='報告書'!$C$4&amp;"",COUNTIF($S$5:S1990,'報告書'!$C$4),""))</f>
        <v/>
      </c>
      <c r="AK1990" s="20" t="n"/>
      <c r="AL1990" s="47" t="n"/>
      <c r="AM1990" s="47" t="n"/>
      <c r="AN1990" s="53" t="n"/>
      <c r="AO1990" s="47" t="n"/>
      <c r="AP1990" s="47" t="n"/>
      <c r="AQ1990" s="47" t="n"/>
      <c r="AR1990" s="47" t="n"/>
      <c r="AS1990" s="47" t="n"/>
      <c r="AT1990" s="47" t="n"/>
      <c r="AU1990" s="47" t="n"/>
      <c r="AV1990" s="47" t="n"/>
      <c r="AW1990" s="52" t="n"/>
    </row>
    <row r="1991">
      <c r="A1991" s="48" t="n"/>
      <c r="B1991" s="52" t="n"/>
      <c r="C1991" s="47">
        <f>IF(B1991="","",IFERROR(INDEX('隊員マスタ'!$B$5:$B$204,MATCH(B1991&amp;"",'隊員マスタ'!$F$5:$F$204,0)),IF(AK1991="","番号なし",AK1991)))</f>
        <v/>
      </c>
      <c r="D1991" s="47" t="n"/>
      <c r="E1991" s="47" t="n"/>
      <c r="F1991" s="47" t="n"/>
      <c r="G1991" s="47" t="n"/>
      <c r="H1991" s="47" t="n"/>
      <c r="I1991" s="47" t="n"/>
      <c r="J1991" s="47" t="n"/>
      <c r="K1991" s="47" t="n"/>
      <c r="L1991" s="47" t="n"/>
      <c r="M1991" s="47" t="n"/>
      <c r="N1991" s="47" t="n"/>
      <c r="O1991" s="47" t="n"/>
      <c r="P1991" s="47" t="n"/>
      <c r="Q1991" s="47" t="n"/>
      <c r="R1991" s="47" t="n"/>
      <c r="S1991" s="47" t="n"/>
      <c r="T1991" s="47" t="n"/>
      <c r="U1991" s="53" t="n"/>
      <c r="V1991" s="53" t="n"/>
      <c r="W1991" s="47" t="n"/>
      <c r="X1991" s="47" t="n"/>
      <c r="Y1991" s="47" t="n"/>
      <c r="Z1991" s="47" t="n"/>
      <c r="AA1991" s="47" t="n"/>
      <c r="AB1991" s="47" t="n"/>
      <c r="AC1991" s="47" t="n"/>
      <c r="AD1991" s="47" t="n"/>
      <c r="AE1991" s="47" t="n"/>
      <c r="AF1991" s="20">
        <f>IF(A1991="","",YEAR(EDATE(A1991,-3)))</f>
        <v/>
      </c>
      <c r="AG1991" s="20">
        <f>IF(OR(B1991="",'経歴簿'!$C$4=""),"",IF(B1991&amp;""='経歴簿'!$C$4&amp;"",MAX($AG$4:AG1990)+1,""))</f>
        <v/>
      </c>
      <c r="AH1991" s="20">
        <f>IF(A1991="",0,IF(AND(OR('CSV抽出'!$C$4="",A1991&gt;='CSV抽出'!$C$4),OR('CSV抽出'!$C$5="",A1991&lt;='CSV抽出'!$C$5),OR('CSV抽出'!$C$6="すべて",'CSV抽出'!$C$6="",D1991='CSV抽出'!$C$6),OR('CSV抽出'!$C$7="",B1991&amp;""='CSV抽出'!$C$7&amp;"")),1,0))</f>
        <v/>
      </c>
      <c r="AI1991" s="20">
        <f>IF(AH1991=1,SUM($AH$5:AH1991),"")</f>
        <v/>
      </c>
      <c r="AJ1991" s="20">
        <f>IF(OR(S1991="",'報告書'!$C$4=""),"",IF(S1991&amp;""='報告書'!$C$4&amp;"",COUNTIF($S$5:S1991,'報告書'!$C$4),""))</f>
        <v/>
      </c>
      <c r="AK1991" s="20" t="n"/>
      <c r="AL1991" s="47" t="n"/>
      <c r="AM1991" s="47" t="n"/>
      <c r="AN1991" s="53" t="n"/>
      <c r="AO1991" s="47" t="n"/>
      <c r="AP1991" s="47" t="n"/>
      <c r="AQ1991" s="47" t="n"/>
      <c r="AR1991" s="47" t="n"/>
      <c r="AS1991" s="47" t="n"/>
      <c r="AT1991" s="47" t="n"/>
      <c r="AU1991" s="47" t="n"/>
      <c r="AV1991" s="47" t="n"/>
      <c r="AW1991" s="52" t="n"/>
    </row>
    <row r="1992">
      <c r="A1992" s="48" t="n"/>
      <c r="B1992" s="52" t="n"/>
      <c r="C1992" s="47">
        <f>IF(B1992="","",IFERROR(INDEX('隊員マスタ'!$B$5:$B$204,MATCH(B1992&amp;"",'隊員マスタ'!$F$5:$F$204,0)),IF(AK1992="","番号なし",AK1992)))</f>
        <v/>
      </c>
      <c r="D1992" s="47" t="n"/>
      <c r="E1992" s="47" t="n"/>
      <c r="F1992" s="47" t="n"/>
      <c r="G1992" s="47" t="n"/>
      <c r="H1992" s="47" t="n"/>
      <c r="I1992" s="47" t="n"/>
      <c r="J1992" s="47" t="n"/>
      <c r="K1992" s="47" t="n"/>
      <c r="L1992" s="47" t="n"/>
      <c r="M1992" s="47" t="n"/>
      <c r="N1992" s="47" t="n"/>
      <c r="O1992" s="47" t="n"/>
      <c r="P1992" s="47" t="n"/>
      <c r="Q1992" s="47" t="n"/>
      <c r="R1992" s="47" t="n"/>
      <c r="S1992" s="47" t="n"/>
      <c r="T1992" s="47" t="n"/>
      <c r="U1992" s="53" t="n"/>
      <c r="V1992" s="53" t="n"/>
      <c r="W1992" s="47" t="n"/>
      <c r="X1992" s="47" t="n"/>
      <c r="Y1992" s="47" t="n"/>
      <c r="Z1992" s="47" t="n"/>
      <c r="AA1992" s="47" t="n"/>
      <c r="AB1992" s="47" t="n"/>
      <c r="AC1992" s="47" t="n"/>
      <c r="AD1992" s="47" t="n"/>
      <c r="AE1992" s="47" t="n"/>
      <c r="AF1992" s="20">
        <f>IF(A1992="","",YEAR(EDATE(A1992,-3)))</f>
        <v/>
      </c>
      <c r="AG1992" s="20">
        <f>IF(OR(B1992="",'経歴簿'!$C$4=""),"",IF(B1992&amp;""='経歴簿'!$C$4&amp;"",MAX($AG$4:AG1991)+1,""))</f>
        <v/>
      </c>
      <c r="AH1992" s="20">
        <f>IF(A1992="",0,IF(AND(OR('CSV抽出'!$C$4="",A1992&gt;='CSV抽出'!$C$4),OR('CSV抽出'!$C$5="",A1992&lt;='CSV抽出'!$C$5),OR('CSV抽出'!$C$6="すべて",'CSV抽出'!$C$6="",D1992='CSV抽出'!$C$6),OR('CSV抽出'!$C$7="",B1992&amp;""='CSV抽出'!$C$7&amp;"")),1,0))</f>
        <v/>
      </c>
      <c r="AI1992" s="20">
        <f>IF(AH1992=1,SUM($AH$5:AH1992),"")</f>
        <v/>
      </c>
      <c r="AJ1992" s="20">
        <f>IF(OR(S1992="",'報告書'!$C$4=""),"",IF(S1992&amp;""='報告書'!$C$4&amp;"",COUNTIF($S$5:S1992,'報告書'!$C$4),""))</f>
        <v/>
      </c>
      <c r="AK1992" s="20" t="n"/>
      <c r="AL1992" s="47" t="n"/>
      <c r="AM1992" s="47" t="n"/>
      <c r="AN1992" s="53" t="n"/>
      <c r="AO1992" s="47" t="n"/>
      <c r="AP1992" s="47" t="n"/>
      <c r="AQ1992" s="47" t="n"/>
      <c r="AR1992" s="47" t="n"/>
      <c r="AS1992" s="47" t="n"/>
      <c r="AT1992" s="47" t="n"/>
      <c r="AU1992" s="47" t="n"/>
      <c r="AV1992" s="47" t="n"/>
      <c r="AW1992" s="52" t="n"/>
    </row>
    <row r="1993">
      <c r="A1993" s="48" t="n"/>
      <c r="B1993" s="52" t="n"/>
      <c r="C1993" s="47">
        <f>IF(B1993="","",IFERROR(INDEX('隊員マスタ'!$B$5:$B$204,MATCH(B1993&amp;"",'隊員マスタ'!$F$5:$F$204,0)),IF(AK1993="","番号なし",AK1993)))</f>
        <v/>
      </c>
      <c r="D1993" s="47" t="n"/>
      <c r="E1993" s="47" t="n"/>
      <c r="F1993" s="47" t="n"/>
      <c r="G1993" s="47" t="n"/>
      <c r="H1993" s="47" t="n"/>
      <c r="I1993" s="47" t="n"/>
      <c r="J1993" s="47" t="n"/>
      <c r="K1993" s="47" t="n"/>
      <c r="L1993" s="47" t="n"/>
      <c r="M1993" s="47" t="n"/>
      <c r="N1993" s="47" t="n"/>
      <c r="O1993" s="47" t="n"/>
      <c r="P1993" s="47" t="n"/>
      <c r="Q1993" s="47" t="n"/>
      <c r="R1993" s="47" t="n"/>
      <c r="S1993" s="47" t="n"/>
      <c r="T1993" s="47" t="n"/>
      <c r="U1993" s="53" t="n"/>
      <c r="V1993" s="53" t="n"/>
      <c r="W1993" s="47" t="n"/>
      <c r="X1993" s="47" t="n"/>
      <c r="Y1993" s="47" t="n"/>
      <c r="Z1993" s="47" t="n"/>
      <c r="AA1993" s="47" t="n"/>
      <c r="AB1993" s="47" t="n"/>
      <c r="AC1993" s="47" t="n"/>
      <c r="AD1993" s="47" t="n"/>
      <c r="AE1993" s="47" t="n"/>
      <c r="AF1993" s="20">
        <f>IF(A1993="","",YEAR(EDATE(A1993,-3)))</f>
        <v/>
      </c>
      <c r="AG1993" s="20">
        <f>IF(OR(B1993="",'経歴簿'!$C$4=""),"",IF(B1993&amp;""='経歴簿'!$C$4&amp;"",MAX($AG$4:AG1992)+1,""))</f>
        <v/>
      </c>
      <c r="AH1993" s="20">
        <f>IF(A1993="",0,IF(AND(OR('CSV抽出'!$C$4="",A1993&gt;='CSV抽出'!$C$4),OR('CSV抽出'!$C$5="",A1993&lt;='CSV抽出'!$C$5),OR('CSV抽出'!$C$6="すべて",'CSV抽出'!$C$6="",D1993='CSV抽出'!$C$6),OR('CSV抽出'!$C$7="",B1993&amp;""='CSV抽出'!$C$7&amp;"")),1,0))</f>
        <v/>
      </c>
      <c r="AI1993" s="20">
        <f>IF(AH1993=1,SUM($AH$5:AH1993),"")</f>
        <v/>
      </c>
      <c r="AJ1993" s="20">
        <f>IF(OR(S1993="",'報告書'!$C$4=""),"",IF(S1993&amp;""='報告書'!$C$4&amp;"",COUNTIF($S$5:S1993,'報告書'!$C$4),""))</f>
        <v/>
      </c>
      <c r="AK1993" s="20" t="n"/>
      <c r="AL1993" s="47" t="n"/>
      <c r="AM1993" s="47" t="n"/>
      <c r="AN1993" s="53" t="n"/>
      <c r="AO1993" s="47" t="n"/>
      <c r="AP1993" s="47" t="n"/>
      <c r="AQ1993" s="47" t="n"/>
      <c r="AR1993" s="47" t="n"/>
      <c r="AS1993" s="47" t="n"/>
      <c r="AT1993" s="47" t="n"/>
      <c r="AU1993" s="47" t="n"/>
      <c r="AV1993" s="47" t="n"/>
      <c r="AW1993" s="52" t="n"/>
    </row>
    <row r="1994">
      <c r="A1994" s="48" t="n"/>
      <c r="B1994" s="52" t="n"/>
      <c r="C1994" s="47">
        <f>IF(B1994="","",IFERROR(INDEX('隊員マスタ'!$B$5:$B$204,MATCH(B1994&amp;"",'隊員マスタ'!$F$5:$F$204,0)),IF(AK1994="","番号なし",AK1994)))</f>
        <v/>
      </c>
      <c r="D1994" s="47" t="n"/>
      <c r="E1994" s="47" t="n"/>
      <c r="F1994" s="47" t="n"/>
      <c r="G1994" s="47" t="n"/>
      <c r="H1994" s="47" t="n"/>
      <c r="I1994" s="47" t="n"/>
      <c r="J1994" s="47" t="n"/>
      <c r="K1994" s="47" t="n"/>
      <c r="L1994" s="47" t="n"/>
      <c r="M1994" s="47" t="n"/>
      <c r="N1994" s="47" t="n"/>
      <c r="O1994" s="47" t="n"/>
      <c r="P1994" s="47" t="n"/>
      <c r="Q1994" s="47" t="n"/>
      <c r="R1994" s="47" t="n"/>
      <c r="S1994" s="47" t="n"/>
      <c r="T1994" s="47" t="n"/>
      <c r="U1994" s="53" t="n"/>
      <c r="V1994" s="53" t="n"/>
      <c r="W1994" s="47" t="n"/>
      <c r="X1994" s="47" t="n"/>
      <c r="Y1994" s="47" t="n"/>
      <c r="Z1994" s="47" t="n"/>
      <c r="AA1994" s="47" t="n"/>
      <c r="AB1994" s="47" t="n"/>
      <c r="AC1994" s="47" t="n"/>
      <c r="AD1994" s="47" t="n"/>
      <c r="AE1994" s="47" t="n"/>
      <c r="AF1994" s="20">
        <f>IF(A1994="","",YEAR(EDATE(A1994,-3)))</f>
        <v/>
      </c>
      <c r="AG1994" s="20">
        <f>IF(OR(B1994="",'経歴簿'!$C$4=""),"",IF(B1994&amp;""='経歴簿'!$C$4&amp;"",MAX($AG$4:AG1993)+1,""))</f>
        <v/>
      </c>
      <c r="AH1994" s="20">
        <f>IF(A1994="",0,IF(AND(OR('CSV抽出'!$C$4="",A1994&gt;='CSV抽出'!$C$4),OR('CSV抽出'!$C$5="",A1994&lt;='CSV抽出'!$C$5),OR('CSV抽出'!$C$6="すべて",'CSV抽出'!$C$6="",D1994='CSV抽出'!$C$6),OR('CSV抽出'!$C$7="",B1994&amp;""='CSV抽出'!$C$7&amp;"")),1,0))</f>
        <v/>
      </c>
      <c r="AI1994" s="20">
        <f>IF(AH1994=1,SUM($AH$5:AH1994),"")</f>
        <v/>
      </c>
      <c r="AJ1994" s="20">
        <f>IF(OR(S1994="",'報告書'!$C$4=""),"",IF(S1994&amp;""='報告書'!$C$4&amp;"",COUNTIF($S$5:S1994,'報告書'!$C$4),""))</f>
        <v/>
      </c>
      <c r="AK1994" s="20" t="n"/>
      <c r="AL1994" s="47" t="n"/>
      <c r="AM1994" s="47" t="n"/>
      <c r="AN1994" s="53" t="n"/>
      <c r="AO1994" s="47" t="n"/>
      <c r="AP1994" s="47" t="n"/>
      <c r="AQ1994" s="47" t="n"/>
      <c r="AR1994" s="47" t="n"/>
      <c r="AS1994" s="47" t="n"/>
      <c r="AT1994" s="47" t="n"/>
      <c r="AU1994" s="47" t="n"/>
      <c r="AV1994" s="47" t="n"/>
      <c r="AW1994" s="52" t="n"/>
    </row>
    <row r="1995">
      <c r="A1995" s="48" t="n"/>
      <c r="B1995" s="52" t="n"/>
      <c r="C1995" s="47">
        <f>IF(B1995="","",IFERROR(INDEX('隊員マスタ'!$B$5:$B$204,MATCH(B1995&amp;"",'隊員マスタ'!$F$5:$F$204,0)),IF(AK1995="","番号なし",AK1995)))</f>
        <v/>
      </c>
      <c r="D1995" s="47" t="n"/>
      <c r="E1995" s="47" t="n"/>
      <c r="F1995" s="47" t="n"/>
      <c r="G1995" s="47" t="n"/>
      <c r="H1995" s="47" t="n"/>
      <c r="I1995" s="47" t="n"/>
      <c r="J1995" s="47" t="n"/>
      <c r="K1995" s="47" t="n"/>
      <c r="L1995" s="47" t="n"/>
      <c r="M1995" s="47" t="n"/>
      <c r="N1995" s="47" t="n"/>
      <c r="O1995" s="47" t="n"/>
      <c r="P1995" s="47" t="n"/>
      <c r="Q1995" s="47" t="n"/>
      <c r="R1995" s="47" t="n"/>
      <c r="S1995" s="47" t="n"/>
      <c r="T1995" s="47" t="n"/>
      <c r="U1995" s="53" t="n"/>
      <c r="V1995" s="53" t="n"/>
      <c r="W1995" s="47" t="n"/>
      <c r="X1995" s="47" t="n"/>
      <c r="Y1995" s="47" t="n"/>
      <c r="Z1995" s="47" t="n"/>
      <c r="AA1995" s="47" t="n"/>
      <c r="AB1995" s="47" t="n"/>
      <c r="AC1995" s="47" t="n"/>
      <c r="AD1995" s="47" t="n"/>
      <c r="AE1995" s="47" t="n"/>
      <c r="AF1995" s="20">
        <f>IF(A1995="","",YEAR(EDATE(A1995,-3)))</f>
        <v/>
      </c>
      <c r="AG1995" s="20">
        <f>IF(OR(B1995="",'経歴簿'!$C$4=""),"",IF(B1995&amp;""='経歴簿'!$C$4&amp;"",MAX($AG$4:AG1994)+1,""))</f>
        <v/>
      </c>
      <c r="AH1995" s="20">
        <f>IF(A1995="",0,IF(AND(OR('CSV抽出'!$C$4="",A1995&gt;='CSV抽出'!$C$4),OR('CSV抽出'!$C$5="",A1995&lt;='CSV抽出'!$C$5),OR('CSV抽出'!$C$6="すべて",'CSV抽出'!$C$6="",D1995='CSV抽出'!$C$6),OR('CSV抽出'!$C$7="",B1995&amp;""='CSV抽出'!$C$7&amp;"")),1,0))</f>
        <v/>
      </c>
      <c r="AI1995" s="20">
        <f>IF(AH1995=1,SUM($AH$5:AH1995),"")</f>
        <v/>
      </c>
      <c r="AJ1995" s="20">
        <f>IF(OR(S1995="",'報告書'!$C$4=""),"",IF(S1995&amp;""='報告書'!$C$4&amp;"",COUNTIF($S$5:S1995,'報告書'!$C$4),""))</f>
        <v/>
      </c>
      <c r="AK1995" s="20" t="n"/>
      <c r="AL1995" s="47" t="n"/>
      <c r="AM1995" s="47" t="n"/>
      <c r="AN1995" s="53" t="n"/>
      <c r="AO1995" s="47" t="n"/>
      <c r="AP1995" s="47" t="n"/>
      <c r="AQ1995" s="47" t="n"/>
      <c r="AR1995" s="47" t="n"/>
      <c r="AS1995" s="47" t="n"/>
      <c r="AT1995" s="47" t="n"/>
      <c r="AU1995" s="47" t="n"/>
      <c r="AV1995" s="47" t="n"/>
      <c r="AW1995" s="52" t="n"/>
    </row>
    <row r="1996">
      <c r="A1996" s="48" t="n"/>
      <c r="B1996" s="52" t="n"/>
      <c r="C1996" s="47">
        <f>IF(B1996="","",IFERROR(INDEX('隊員マスタ'!$B$5:$B$204,MATCH(B1996&amp;"",'隊員マスタ'!$F$5:$F$204,0)),IF(AK1996="","番号なし",AK1996)))</f>
        <v/>
      </c>
      <c r="D1996" s="47" t="n"/>
      <c r="E1996" s="47" t="n"/>
      <c r="F1996" s="47" t="n"/>
      <c r="G1996" s="47" t="n"/>
      <c r="H1996" s="47" t="n"/>
      <c r="I1996" s="47" t="n"/>
      <c r="J1996" s="47" t="n"/>
      <c r="K1996" s="47" t="n"/>
      <c r="L1996" s="47" t="n"/>
      <c r="M1996" s="47" t="n"/>
      <c r="N1996" s="47" t="n"/>
      <c r="O1996" s="47" t="n"/>
      <c r="P1996" s="47" t="n"/>
      <c r="Q1996" s="47" t="n"/>
      <c r="R1996" s="47" t="n"/>
      <c r="S1996" s="47" t="n"/>
      <c r="T1996" s="47" t="n"/>
      <c r="U1996" s="53" t="n"/>
      <c r="V1996" s="53" t="n"/>
      <c r="W1996" s="47" t="n"/>
      <c r="X1996" s="47" t="n"/>
      <c r="Y1996" s="47" t="n"/>
      <c r="Z1996" s="47" t="n"/>
      <c r="AA1996" s="47" t="n"/>
      <c r="AB1996" s="47" t="n"/>
      <c r="AC1996" s="47" t="n"/>
      <c r="AD1996" s="47" t="n"/>
      <c r="AE1996" s="47" t="n"/>
      <c r="AF1996" s="20">
        <f>IF(A1996="","",YEAR(EDATE(A1996,-3)))</f>
        <v/>
      </c>
      <c r="AG1996" s="20">
        <f>IF(OR(B1996="",'経歴簿'!$C$4=""),"",IF(B1996&amp;""='経歴簿'!$C$4&amp;"",MAX($AG$4:AG1995)+1,""))</f>
        <v/>
      </c>
      <c r="AH1996" s="20">
        <f>IF(A1996="",0,IF(AND(OR('CSV抽出'!$C$4="",A1996&gt;='CSV抽出'!$C$4),OR('CSV抽出'!$C$5="",A1996&lt;='CSV抽出'!$C$5),OR('CSV抽出'!$C$6="すべて",'CSV抽出'!$C$6="",D1996='CSV抽出'!$C$6),OR('CSV抽出'!$C$7="",B1996&amp;""='CSV抽出'!$C$7&amp;"")),1,0))</f>
        <v/>
      </c>
      <c r="AI1996" s="20">
        <f>IF(AH1996=1,SUM($AH$5:AH1996),"")</f>
        <v/>
      </c>
      <c r="AJ1996" s="20">
        <f>IF(OR(S1996="",'報告書'!$C$4=""),"",IF(S1996&amp;""='報告書'!$C$4&amp;"",COUNTIF($S$5:S1996,'報告書'!$C$4),""))</f>
        <v/>
      </c>
      <c r="AK1996" s="20" t="n"/>
      <c r="AL1996" s="47" t="n"/>
      <c r="AM1996" s="47" t="n"/>
      <c r="AN1996" s="53" t="n"/>
      <c r="AO1996" s="47" t="n"/>
      <c r="AP1996" s="47" t="n"/>
      <c r="AQ1996" s="47" t="n"/>
      <c r="AR1996" s="47" t="n"/>
      <c r="AS1996" s="47" t="n"/>
      <c r="AT1996" s="47" t="n"/>
      <c r="AU1996" s="47" t="n"/>
      <c r="AV1996" s="47" t="n"/>
      <c r="AW1996" s="52" t="n"/>
    </row>
    <row r="1997">
      <c r="A1997" s="48" t="n"/>
      <c r="B1997" s="52" t="n"/>
      <c r="C1997" s="47">
        <f>IF(B1997="","",IFERROR(INDEX('隊員マスタ'!$B$5:$B$204,MATCH(B1997&amp;"",'隊員マスタ'!$F$5:$F$204,0)),IF(AK1997="","番号なし",AK1997)))</f>
        <v/>
      </c>
      <c r="D1997" s="47" t="n"/>
      <c r="E1997" s="47" t="n"/>
      <c r="F1997" s="47" t="n"/>
      <c r="G1997" s="47" t="n"/>
      <c r="H1997" s="47" t="n"/>
      <c r="I1997" s="47" t="n"/>
      <c r="J1997" s="47" t="n"/>
      <c r="K1997" s="47" t="n"/>
      <c r="L1997" s="47" t="n"/>
      <c r="M1997" s="47" t="n"/>
      <c r="N1997" s="47" t="n"/>
      <c r="O1997" s="47" t="n"/>
      <c r="P1997" s="47" t="n"/>
      <c r="Q1997" s="47" t="n"/>
      <c r="R1997" s="47" t="n"/>
      <c r="S1997" s="47" t="n"/>
      <c r="T1997" s="47" t="n"/>
      <c r="U1997" s="53" t="n"/>
      <c r="V1997" s="53" t="n"/>
      <c r="W1997" s="47" t="n"/>
      <c r="X1997" s="47" t="n"/>
      <c r="Y1997" s="47" t="n"/>
      <c r="Z1997" s="47" t="n"/>
      <c r="AA1997" s="47" t="n"/>
      <c r="AB1997" s="47" t="n"/>
      <c r="AC1997" s="47" t="n"/>
      <c r="AD1997" s="47" t="n"/>
      <c r="AE1997" s="47" t="n"/>
      <c r="AF1997" s="20">
        <f>IF(A1997="","",YEAR(EDATE(A1997,-3)))</f>
        <v/>
      </c>
      <c r="AG1997" s="20">
        <f>IF(OR(B1997="",'経歴簿'!$C$4=""),"",IF(B1997&amp;""='経歴簿'!$C$4&amp;"",MAX($AG$4:AG1996)+1,""))</f>
        <v/>
      </c>
      <c r="AH1997" s="20">
        <f>IF(A1997="",0,IF(AND(OR('CSV抽出'!$C$4="",A1997&gt;='CSV抽出'!$C$4),OR('CSV抽出'!$C$5="",A1997&lt;='CSV抽出'!$C$5),OR('CSV抽出'!$C$6="すべて",'CSV抽出'!$C$6="",D1997='CSV抽出'!$C$6),OR('CSV抽出'!$C$7="",B1997&amp;""='CSV抽出'!$C$7&amp;"")),1,0))</f>
        <v/>
      </c>
      <c r="AI1997" s="20">
        <f>IF(AH1997=1,SUM($AH$5:AH1997),"")</f>
        <v/>
      </c>
      <c r="AJ1997" s="20">
        <f>IF(OR(S1997="",'報告書'!$C$4=""),"",IF(S1997&amp;""='報告書'!$C$4&amp;"",COUNTIF($S$5:S1997,'報告書'!$C$4),""))</f>
        <v/>
      </c>
      <c r="AK1997" s="20" t="n"/>
      <c r="AL1997" s="47" t="n"/>
      <c r="AM1997" s="47" t="n"/>
      <c r="AN1997" s="53" t="n"/>
      <c r="AO1997" s="47" t="n"/>
      <c r="AP1997" s="47" t="n"/>
      <c r="AQ1997" s="47" t="n"/>
      <c r="AR1997" s="47" t="n"/>
      <c r="AS1997" s="47" t="n"/>
      <c r="AT1997" s="47" t="n"/>
      <c r="AU1997" s="47" t="n"/>
      <c r="AV1997" s="47" t="n"/>
      <c r="AW1997" s="52" t="n"/>
    </row>
    <row r="1998">
      <c r="A1998" s="48" t="n"/>
      <c r="B1998" s="52" t="n"/>
      <c r="C1998" s="47">
        <f>IF(B1998="","",IFERROR(INDEX('隊員マスタ'!$B$5:$B$204,MATCH(B1998&amp;"",'隊員マスタ'!$F$5:$F$204,0)),IF(AK1998="","番号なし",AK1998)))</f>
        <v/>
      </c>
      <c r="D1998" s="47" t="n"/>
      <c r="E1998" s="47" t="n"/>
      <c r="F1998" s="47" t="n"/>
      <c r="G1998" s="47" t="n"/>
      <c r="H1998" s="47" t="n"/>
      <c r="I1998" s="47" t="n"/>
      <c r="J1998" s="47" t="n"/>
      <c r="K1998" s="47" t="n"/>
      <c r="L1998" s="47" t="n"/>
      <c r="M1998" s="47" t="n"/>
      <c r="N1998" s="47" t="n"/>
      <c r="O1998" s="47" t="n"/>
      <c r="P1998" s="47" t="n"/>
      <c r="Q1998" s="47" t="n"/>
      <c r="R1998" s="47" t="n"/>
      <c r="S1998" s="47" t="n"/>
      <c r="T1998" s="47" t="n"/>
      <c r="U1998" s="53" t="n"/>
      <c r="V1998" s="53" t="n"/>
      <c r="W1998" s="47" t="n"/>
      <c r="X1998" s="47" t="n"/>
      <c r="Y1998" s="47" t="n"/>
      <c r="Z1998" s="47" t="n"/>
      <c r="AA1998" s="47" t="n"/>
      <c r="AB1998" s="47" t="n"/>
      <c r="AC1998" s="47" t="n"/>
      <c r="AD1998" s="47" t="n"/>
      <c r="AE1998" s="47" t="n"/>
      <c r="AF1998" s="20">
        <f>IF(A1998="","",YEAR(EDATE(A1998,-3)))</f>
        <v/>
      </c>
      <c r="AG1998" s="20">
        <f>IF(OR(B1998="",'経歴簿'!$C$4=""),"",IF(B1998&amp;""='経歴簿'!$C$4&amp;"",MAX($AG$4:AG1997)+1,""))</f>
        <v/>
      </c>
      <c r="AH1998" s="20">
        <f>IF(A1998="",0,IF(AND(OR('CSV抽出'!$C$4="",A1998&gt;='CSV抽出'!$C$4),OR('CSV抽出'!$C$5="",A1998&lt;='CSV抽出'!$C$5),OR('CSV抽出'!$C$6="すべて",'CSV抽出'!$C$6="",D1998='CSV抽出'!$C$6),OR('CSV抽出'!$C$7="",B1998&amp;""='CSV抽出'!$C$7&amp;"")),1,0))</f>
        <v/>
      </c>
      <c r="AI1998" s="20">
        <f>IF(AH1998=1,SUM($AH$5:AH1998),"")</f>
        <v/>
      </c>
      <c r="AJ1998" s="20">
        <f>IF(OR(S1998="",'報告書'!$C$4=""),"",IF(S1998&amp;""='報告書'!$C$4&amp;"",COUNTIF($S$5:S1998,'報告書'!$C$4),""))</f>
        <v/>
      </c>
      <c r="AK1998" s="20" t="n"/>
      <c r="AL1998" s="47" t="n"/>
      <c r="AM1998" s="47" t="n"/>
      <c r="AN1998" s="53" t="n"/>
      <c r="AO1998" s="47" t="n"/>
      <c r="AP1998" s="47" t="n"/>
      <c r="AQ1998" s="47" t="n"/>
      <c r="AR1998" s="47" t="n"/>
      <c r="AS1998" s="47" t="n"/>
      <c r="AT1998" s="47" t="n"/>
      <c r="AU1998" s="47" t="n"/>
      <c r="AV1998" s="47" t="n"/>
      <c r="AW1998" s="52" t="n"/>
    </row>
    <row r="1999">
      <c r="A1999" s="48" t="n"/>
      <c r="B1999" s="52" t="n"/>
      <c r="C1999" s="47">
        <f>IF(B1999="","",IFERROR(INDEX('隊員マスタ'!$B$5:$B$204,MATCH(B1999&amp;"",'隊員マスタ'!$F$5:$F$204,0)),IF(AK1999="","番号なし",AK1999)))</f>
        <v/>
      </c>
      <c r="D1999" s="47" t="n"/>
      <c r="E1999" s="47" t="n"/>
      <c r="F1999" s="47" t="n"/>
      <c r="G1999" s="47" t="n"/>
      <c r="H1999" s="47" t="n"/>
      <c r="I1999" s="47" t="n"/>
      <c r="J1999" s="47" t="n"/>
      <c r="K1999" s="47" t="n"/>
      <c r="L1999" s="47" t="n"/>
      <c r="M1999" s="47" t="n"/>
      <c r="N1999" s="47" t="n"/>
      <c r="O1999" s="47" t="n"/>
      <c r="P1999" s="47" t="n"/>
      <c r="Q1999" s="47" t="n"/>
      <c r="R1999" s="47" t="n"/>
      <c r="S1999" s="47" t="n"/>
      <c r="T1999" s="47" t="n"/>
      <c r="U1999" s="53" t="n"/>
      <c r="V1999" s="53" t="n"/>
      <c r="W1999" s="47" t="n"/>
      <c r="X1999" s="47" t="n"/>
      <c r="Y1999" s="47" t="n"/>
      <c r="Z1999" s="47" t="n"/>
      <c r="AA1999" s="47" t="n"/>
      <c r="AB1999" s="47" t="n"/>
      <c r="AC1999" s="47" t="n"/>
      <c r="AD1999" s="47" t="n"/>
      <c r="AE1999" s="47" t="n"/>
      <c r="AF1999" s="20">
        <f>IF(A1999="","",YEAR(EDATE(A1999,-3)))</f>
        <v/>
      </c>
      <c r="AG1999" s="20">
        <f>IF(OR(B1999="",'経歴簿'!$C$4=""),"",IF(B1999&amp;""='経歴簿'!$C$4&amp;"",MAX($AG$4:AG1998)+1,""))</f>
        <v/>
      </c>
      <c r="AH1999" s="20">
        <f>IF(A1999="",0,IF(AND(OR('CSV抽出'!$C$4="",A1999&gt;='CSV抽出'!$C$4),OR('CSV抽出'!$C$5="",A1999&lt;='CSV抽出'!$C$5),OR('CSV抽出'!$C$6="すべて",'CSV抽出'!$C$6="",D1999='CSV抽出'!$C$6),OR('CSV抽出'!$C$7="",B1999&amp;""='CSV抽出'!$C$7&amp;"")),1,0))</f>
        <v/>
      </c>
      <c r="AI1999" s="20">
        <f>IF(AH1999=1,SUM($AH$5:AH1999),"")</f>
        <v/>
      </c>
      <c r="AJ1999" s="20">
        <f>IF(OR(S1999="",'報告書'!$C$4=""),"",IF(S1999&amp;""='報告書'!$C$4&amp;"",COUNTIF($S$5:S1999,'報告書'!$C$4),""))</f>
        <v/>
      </c>
      <c r="AK1999" s="20" t="n"/>
      <c r="AL1999" s="47" t="n"/>
      <c r="AM1999" s="47" t="n"/>
      <c r="AN1999" s="53" t="n"/>
      <c r="AO1999" s="47" t="n"/>
      <c r="AP1999" s="47" t="n"/>
      <c r="AQ1999" s="47" t="n"/>
      <c r="AR1999" s="47" t="n"/>
      <c r="AS1999" s="47" t="n"/>
      <c r="AT1999" s="47" t="n"/>
      <c r="AU1999" s="47" t="n"/>
      <c r="AV1999" s="47" t="n"/>
      <c r="AW1999" s="52" t="n"/>
    </row>
    <row r="2000">
      <c r="A2000" s="48" t="n"/>
      <c r="B2000" s="52" t="n"/>
      <c r="C2000" s="47">
        <f>IF(B2000="","",IFERROR(INDEX('隊員マスタ'!$B$5:$B$204,MATCH(B2000&amp;"",'隊員マスタ'!$F$5:$F$204,0)),IF(AK2000="","番号なし",AK2000)))</f>
        <v/>
      </c>
      <c r="D2000" s="47" t="n"/>
      <c r="E2000" s="47" t="n"/>
      <c r="F2000" s="47" t="n"/>
      <c r="G2000" s="47" t="n"/>
      <c r="H2000" s="47" t="n"/>
      <c r="I2000" s="47" t="n"/>
      <c r="J2000" s="47" t="n"/>
      <c r="K2000" s="47" t="n"/>
      <c r="L2000" s="47" t="n"/>
      <c r="M2000" s="47" t="n"/>
      <c r="N2000" s="47" t="n"/>
      <c r="O2000" s="47" t="n"/>
      <c r="P2000" s="47" t="n"/>
      <c r="Q2000" s="47" t="n"/>
      <c r="R2000" s="47" t="n"/>
      <c r="S2000" s="47" t="n"/>
      <c r="T2000" s="47" t="n"/>
      <c r="U2000" s="53" t="n"/>
      <c r="V2000" s="53" t="n"/>
      <c r="W2000" s="47" t="n"/>
      <c r="X2000" s="47" t="n"/>
      <c r="Y2000" s="47" t="n"/>
      <c r="Z2000" s="47" t="n"/>
      <c r="AA2000" s="47" t="n"/>
      <c r="AB2000" s="47" t="n"/>
      <c r="AC2000" s="47" t="n"/>
      <c r="AD2000" s="47" t="n"/>
      <c r="AE2000" s="47" t="n"/>
      <c r="AF2000" s="20">
        <f>IF(A2000="","",YEAR(EDATE(A2000,-3)))</f>
        <v/>
      </c>
      <c r="AG2000" s="20">
        <f>IF(OR(B2000="",'経歴簿'!$C$4=""),"",IF(B2000&amp;""='経歴簿'!$C$4&amp;"",MAX($AG$4:AG1999)+1,""))</f>
        <v/>
      </c>
      <c r="AH2000" s="20">
        <f>IF(A2000="",0,IF(AND(OR('CSV抽出'!$C$4="",A2000&gt;='CSV抽出'!$C$4),OR('CSV抽出'!$C$5="",A2000&lt;='CSV抽出'!$C$5),OR('CSV抽出'!$C$6="すべて",'CSV抽出'!$C$6="",D2000='CSV抽出'!$C$6),OR('CSV抽出'!$C$7="",B2000&amp;""='CSV抽出'!$C$7&amp;"")),1,0))</f>
        <v/>
      </c>
      <c r="AI2000" s="20">
        <f>IF(AH2000=1,SUM($AH$5:AH2000),"")</f>
        <v/>
      </c>
      <c r="AJ2000" s="20">
        <f>IF(OR(S2000="",'報告書'!$C$4=""),"",IF(S2000&amp;""='報告書'!$C$4&amp;"",COUNTIF($S$5:S2000,'報告書'!$C$4),""))</f>
        <v/>
      </c>
      <c r="AK2000" s="20" t="n"/>
      <c r="AL2000" s="47" t="n"/>
      <c r="AM2000" s="47" t="n"/>
      <c r="AN2000" s="53" t="n"/>
      <c r="AO2000" s="47" t="n"/>
      <c r="AP2000" s="47" t="n"/>
      <c r="AQ2000" s="47" t="n"/>
      <c r="AR2000" s="47" t="n"/>
      <c r="AS2000" s="47" t="n"/>
      <c r="AT2000" s="47" t="n"/>
      <c r="AU2000" s="47" t="n"/>
      <c r="AV2000" s="47" t="n"/>
      <c r="AW2000" s="52" t="n"/>
    </row>
    <row r="2001">
      <c r="A2001" s="48" t="n"/>
      <c r="B2001" s="52" t="n"/>
      <c r="C2001" s="47">
        <f>IF(B2001="","",IFERROR(INDEX('隊員マスタ'!$B$5:$B$204,MATCH(B2001&amp;"",'隊員マスタ'!$F$5:$F$204,0)),IF(AK2001="","番号なし",AK2001)))</f>
        <v/>
      </c>
      <c r="D2001" s="47" t="n"/>
      <c r="E2001" s="47" t="n"/>
      <c r="F2001" s="47" t="n"/>
      <c r="G2001" s="47" t="n"/>
      <c r="H2001" s="47" t="n"/>
      <c r="I2001" s="47" t="n"/>
      <c r="J2001" s="47" t="n"/>
      <c r="K2001" s="47" t="n"/>
      <c r="L2001" s="47" t="n"/>
      <c r="M2001" s="47" t="n"/>
      <c r="N2001" s="47" t="n"/>
      <c r="O2001" s="47" t="n"/>
      <c r="P2001" s="47" t="n"/>
      <c r="Q2001" s="47" t="n"/>
      <c r="R2001" s="47" t="n"/>
      <c r="S2001" s="47" t="n"/>
      <c r="T2001" s="47" t="n"/>
      <c r="U2001" s="53" t="n"/>
      <c r="V2001" s="53" t="n"/>
      <c r="W2001" s="47" t="n"/>
      <c r="X2001" s="47" t="n"/>
      <c r="Y2001" s="47" t="n"/>
      <c r="Z2001" s="47" t="n"/>
      <c r="AA2001" s="47" t="n"/>
      <c r="AB2001" s="47" t="n"/>
      <c r="AC2001" s="47" t="n"/>
      <c r="AD2001" s="47" t="n"/>
      <c r="AE2001" s="47" t="n"/>
      <c r="AF2001" s="20">
        <f>IF(A2001="","",YEAR(EDATE(A2001,-3)))</f>
        <v/>
      </c>
      <c r="AG2001" s="20">
        <f>IF(OR(B2001="",'経歴簿'!$C$4=""),"",IF(B2001&amp;""='経歴簿'!$C$4&amp;"",MAX($AG$4:AG2000)+1,""))</f>
        <v/>
      </c>
      <c r="AH2001" s="20">
        <f>IF(A2001="",0,IF(AND(OR('CSV抽出'!$C$4="",A2001&gt;='CSV抽出'!$C$4),OR('CSV抽出'!$C$5="",A2001&lt;='CSV抽出'!$C$5),OR('CSV抽出'!$C$6="すべて",'CSV抽出'!$C$6="",D2001='CSV抽出'!$C$6),OR('CSV抽出'!$C$7="",B2001&amp;""='CSV抽出'!$C$7&amp;"")),1,0))</f>
        <v/>
      </c>
      <c r="AI2001" s="20">
        <f>IF(AH2001=1,SUM($AH$5:AH2001),"")</f>
        <v/>
      </c>
      <c r="AJ2001" s="20">
        <f>IF(OR(S2001="",'報告書'!$C$4=""),"",IF(S2001&amp;""='報告書'!$C$4&amp;"",COUNTIF($S$5:S2001,'報告書'!$C$4),""))</f>
        <v/>
      </c>
      <c r="AK2001" s="20" t="n"/>
      <c r="AL2001" s="47" t="n"/>
      <c r="AM2001" s="47" t="n"/>
      <c r="AN2001" s="53" t="n"/>
      <c r="AO2001" s="47" t="n"/>
      <c r="AP2001" s="47" t="n"/>
      <c r="AQ2001" s="47" t="n"/>
      <c r="AR2001" s="47" t="n"/>
      <c r="AS2001" s="47" t="n"/>
      <c r="AT2001" s="47" t="n"/>
      <c r="AU2001" s="47" t="n"/>
      <c r="AV2001" s="47" t="n"/>
      <c r="AW2001" s="52" t="n"/>
    </row>
    <row r="2002">
      <c r="A2002" s="48" t="n"/>
      <c r="B2002" s="52" t="n"/>
      <c r="C2002" s="47">
        <f>IF(B2002="","",IFERROR(INDEX('隊員マスタ'!$B$5:$B$204,MATCH(B2002&amp;"",'隊員マスタ'!$F$5:$F$204,0)),IF(AK2002="","番号なし",AK2002)))</f>
        <v/>
      </c>
      <c r="D2002" s="47" t="n"/>
      <c r="E2002" s="47" t="n"/>
      <c r="F2002" s="47" t="n"/>
      <c r="G2002" s="47" t="n"/>
      <c r="H2002" s="47" t="n"/>
      <c r="I2002" s="47" t="n"/>
      <c r="J2002" s="47" t="n"/>
      <c r="K2002" s="47" t="n"/>
      <c r="L2002" s="47" t="n"/>
      <c r="M2002" s="47" t="n"/>
      <c r="N2002" s="47" t="n"/>
      <c r="O2002" s="47" t="n"/>
      <c r="P2002" s="47" t="n"/>
      <c r="Q2002" s="47" t="n"/>
      <c r="R2002" s="47" t="n"/>
      <c r="S2002" s="47" t="n"/>
      <c r="T2002" s="47" t="n"/>
      <c r="U2002" s="53" t="n"/>
      <c r="V2002" s="53" t="n"/>
      <c r="W2002" s="47" t="n"/>
      <c r="X2002" s="47" t="n"/>
      <c r="Y2002" s="47" t="n"/>
      <c r="Z2002" s="47" t="n"/>
      <c r="AA2002" s="47" t="n"/>
      <c r="AB2002" s="47" t="n"/>
      <c r="AC2002" s="47" t="n"/>
      <c r="AD2002" s="47" t="n"/>
      <c r="AE2002" s="47" t="n"/>
      <c r="AF2002" s="20">
        <f>IF(A2002="","",YEAR(EDATE(A2002,-3)))</f>
        <v/>
      </c>
      <c r="AG2002" s="20">
        <f>IF(OR(B2002="",'経歴簿'!$C$4=""),"",IF(B2002&amp;""='経歴簿'!$C$4&amp;"",MAX($AG$4:AG2001)+1,""))</f>
        <v/>
      </c>
      <c r="AH2002" s="20">
        <f>IF(A2002="",0,IF(AND(OR('CSV抽出'!$C$4="",A2002&gt;='CSV抽出'!$C$4),OR('CSV抽出'!$C$5="",A2002&lt;='CSV抽出'!$C$5),OR('CSV抽出'!$C$6="すべて",'CSV抽出'!$C$6="",D2002='CSV抽出'!$C$6),OR('CSV抽出'!$C$7="",B2002&amp;""='CSV抽出'!$C$7&amp;"")),1,0))</f>
        <v/>
      </c>
      <c r="AI2002" s="20">
        <f>IF(AH2002=1,SUM($AH$5:AH2002),"")</f>
        <v/>
      </c>
      <c r="AJ2002" s="20">
        <f>IF(OR(S2002="",'報告書'!$C$4=""),"",IF(S2002&amp;""='報告書'!$C$4&amp;"",COUNTIF($S$5:S2002,'報告書'!$C$4),""))</f>
        <v/>
      </c>
      <c r="AK2002" s="20" t="n"/>
      <c r="AL2002" s="47" t="n"/>
      <c r="AM2002" s="47" t="n"/>
      <c r="AN2002" s="53" t="n"/>
      <c r="AO2002" s="47" t="n"/>
      <c r="AP2002" s="47" t="n"/>
      <c r="AQ2002" s="47" t="n"/>
      <c r="AR2002" s="47" t="n"/>
      <c r="AS2002" s="47" t="n"/>
      <c r="AT2002" s="47" t="n"/>
      <c r="AU2002" s="47" t="n"/>
      <c r="AV2002" s="47" t="n"/>
      <c r="AW2002" s="52" t="n"/>
    </row>
    <row r="2003">
      <c r="A2003" s="48" t="n"/>
      <c r="B2003" s="52" t="n"/>
      <c r="C2003" s="47">
        <f>IF(B2003="","",IFERROR(INDEX('隊員マスタ'!$B$5:$B$204,MATCH(B2003&amp;"",'隊員マスタ'!$F$5:$F$204,0)),IF(AK2003="","番号なし",AK2003)))</f>
        <v/>
      </c>
      <c r="D2003" s="47" t="n"/>
      <c r="E2003" s="47" t="n"/>
      <c r="F2003" s="47" t="n"/>
      <c r="G2003" s="47" t="n"/>
      <c r="H2003" s="47" t="n"/>
      <c r="I2003" s="47" t="n"/>
      <c r="J2003" s="47" t="n"/>
      <c r="K2003" s="47" t="n"/>
      <c r="L2003" s="47" t="n"/>
      <c r="M2003" s="47" t="n"/>
      <c r="N2003" s="47" t="n"/>
      <c r="O2003" s="47" t="n"/>
      <c r="P2003" s="47" t="n"/>
      <c r="Q2003" s="47" t="n"/>
      <c r="R2003" s="47" t="n"/>
      <c r="S2003" s="47" t="n"/>
      <c r="T2003" s="47" t="n"/>
      <c r="U2003" s="53" t="n"/>
      <c r="V2003" s="53" t="n"/>
      <c r="W2003" s="47" t="n"/>
      <c r="X2003" s="47" t="n"/>
      <c r="Y2003" s="47" t="n"/>
      <c r="Z2003" s="47" t="n"/>
      <c r="AA2003" s="47" t="n"/>
      <c r="AB2003" s="47" t="n"/>
      <c r="AC2003" s="47" t="n"/>
      <c r="AD2003" s="47" t="n"/>
      <c r="AE2003" s="47" t="n"/>
      <c r="AF2003" s="20">
        <f>IF(A2003="","",YEAR(EDATE(A2003,-3)))</f>
        <v/>
      </c>
      <c r="AG2003" s="20">
        <f>IF(OR(B2003="",'経歴簿'!$C$4=""),"",IF(B2003&amp;""='経歴簿'!$C$4&amp;"",MAX($AG$4:AG2002)+1,""))</f>
        <v/>
      </c>
      <c r="AH2003" s="20">
        <f>IF(A2003="",0,IF(AND(OR('CSV抽出'!$C$4="",A2003&gt;='CSV抽出'!$C$4),OR('CSV抽出'!$C$5="",A2003&lt;='CSV抽出'!$C$5),OR('CSV抽出'!$C$6="すべて",'CSV抽出'!$C$6="",D2003='CSV抽出'!$C$6),OR('CSV抽出'!$C$7="",B2003&amp;""='CSV抽出'!$C$7&amp;"")),1,0))</f>
        <v/>
      </c>
      <c r="AI2003" s="20">
        <f>IF(AH2003=1,SUM($AH$5:AH2003),"")</f>
        <v/>
      </c>
      <c r="AJ2003" s="20">
        <f>IF(OR(S2003="",'報告書'!$C$4=""),"",IF(S2003&amp;""='報告書'!$C$4&amp;"",COUNTIF($S$5:S2003,'報告書'!$C$4),""))</f>
        <v/>
      </c>
      <c r="AK2003" s="20" t="n"/>
      <c r="AL2003" s="47" t="n"/>
      <c r="AM2003" s="47" t="n"/>
      <c r="AN2003" s="53" t="n"/>
      <c r="AO2003" s="47" t="n"/>
      <c r="AP2003" s="47" t="n"/>
      <c r="AQ2003" s="47" t="n"/>
      <c r="AR2003" s="47" t="n"/>
      <c r="AS2003" s="47" t="n"/>
      <c r="AT2003" s="47" t="n"/>
      <c r="AU2003" s="47" t="n"/>
      <c r="AV2003" s="47" t="n"/>
      <c r="AW2003" s="52" t="n"/>
    </row>
    <row r="2004">
      <c r="A2004" s="48" t="n"/>
      <c r="B2004" s="52" t="n"/>
      <c r="C2004" s="47">
        <f>IF(B2004="","",IFERROR(INDEX('隊員マスタ'!$B$5:$B$204,MATCH(B2004&amp;"",'隊員マスタ'!$F$5:$F$204,0)),IF(AK2004="","番号なし",AK2004)))</f>
        <v/>
      </c>
      <c r="D2004" s="47" t="n"/>
      <c r="E2004" s="47" t="n"/>
      <c r="F2004" s="47" t="n"/>
      <c r="G2004" s="47" t="n"/>
      <c r="H2004" s="47" t="n"/>
      <c r="I2004" s="47" t="n"/>
      <c r="J2004" s="47" t="n"/>
      <c r="K2004" s="47" t="n"/>
      <c r="L2004" s="47" t="n"/>
      <c r="M2004" s="47" t="n"/>
      <c r="N2004" s="47" t="n"/>
      <c r="O2004" s="47" t="n"/>
      <c r="P2004" s="47" t="n"/>
      <c r="Q2004" s="47" t="n"/>
      <c r="R2004" s="47" t="n"/>
      <c r="S2004" s="47" t="n"/>
      <c r="T2004" s="47" t="n"/>
      <c r="U2004" s="53" t="n"/>
      <c r="V2004" s="53" t="n"/>
      <c r="W2004" s="47" t="n"/>
      <c r="X2004" s="47" t="n"/>
      <c r="Y2004" s="47" t="n"/>
      <c r="Z2004" s="47" t="n"/>
      <c r="AA2004" s="47" t="n"/>
      <c r="AB2004" s="47" t="n"/>
      <c r="AC2004" s="47" t="n"/>
      <c r="AD2004" s="47" t="n"/>
      <c r="AE2004" s="47" t="n"/>
      <c r="AF2004" s="20">
        <f>IF(A2004="","",YEAR(EDATE(A2004,-3)))</f>
        <v/>
      </c>
      <c r="AG2004" s="20">
        <f>IF(OR(B2004="",'経歴簿'!$C$4=""),"",IF(B2004&amp;""='経歴簿'!$C$4&amp;"",MAX($AG$4:AG2003)+1,""))</f>
        <v/>
      </c>
      <c r="AH2004" s="20">
        <f>IF(A2004="",0,IF(AND(OR('CSV抽出'!$C$4="",A2004&gt;='CSV抽出'!$C$4),OR('CSV抽出'!$C$5="",A2004&lt;='CSV抽出'!$C$5),OR('CSV抽出'!$C$6="すべて",'CSV抽出'!$C$6="",D2004='CSV抽出'!$C$6),OR('CSV抽出'!$C$7="",B2004&amp;""='CSV抽出'!$C$7&amp;"")),1,0))</f>
        <v/>
      </c>
      <c r="AI2004" s="20">
        <f>IF(AH2004=1,SUM($AH$5:AH2004),"")</f>
        <v/>
      </c>
      <c r="AJ2004" s="20">
        <f>IF(OR(S2004="",'報告書'!$C$4=""),"",IF(S2004&amp;""='報告書'!$C$4&amp;"",COUNTIF($S$5:S2004,'報告書'!$C$4),""))</f>
        <v/>
      </c>
      <c r="AK2004" s="20" t="n"/>
      <c r="AL2004" s="47" t="n"/>
      <c r="AM2004" s="47" t="n"/>
      <c r="AN2004" s="53" t="n"/>
      <c r="AO2004" s="47" t="n"/>
      <c r="AP2004" s="47" t="n"/>
      <c r="AQ2004" s="47" t="n"/>
      <c r="AR2004" s="47" t="n"/>
      <c r="AS2004" s="47" t="n"/>
      <c r="AT2004" s="47" t="n"/>
      <c r="AU2004" s="47" t="n"/>
      <c r="AV2004" s="47" t="n"/>
      <c r="AW2004" s="52" t="n"/>
    </row>
    <row r="2005">
      <c r="A2005" s="48" t="n"/>
      <c r="B2005" s="52" t="n"/>
      <c r="C2005" s="47">
        <f>IF(B2005="","",IFERROR(INDEX('隊員マスタ'!$B$5:$B$204,MATCH(B2005&amp;"",'隊員マスタ'!$F$5:$F$204,0)),IF(AK2005="","番号なし",AK2005)))</f>
        <v/>
      </c>
      <c r="D2005" s="47" t="n"/>
      <c r="E2005" s="47" t="n"/>
      <c r="F2005" s="47" t="n"/>
      <c r="G2005" s="47" t="n"/>
      <c r="H2005" s="47" t="n"/>
      <c r="I2005" s="47" t="n"/>
      <c r="J2005" s="47" t="n"/>
      <c r="K2005" s="47" t="n"/>
      <c r="L2005" s="47" t="n"/>
      <c r="M2005" s="47" t="n"/>
      <c r="N2005" s="47" t="n"/>
      <c r="O2005" s="47" t="n"/>
      <c r="P2005" s="47" t="n"/>
      <c r="Q2005" s="47" t="n"/>
      <c r="R2005" s="47" t="n"/>
      <c r="S2005" s="47" t="n"/>
      <c r="T2005" s="47" t="n"/>
      <c r="U2005" s="53" t="n"/>
      <c r="V2005" s="53" t="n"/>
      <c r="W2005" s="47" t="n"/>
      <c r="X2005" s="47" t="n"/>
      <c r="Y2005" s="47" t="n"/>
      <c r="Z2005" s="47" t="n"/>
      <c r="AA2005" s="47" t="n"/>
      <c r="AB2005" s="47" t="n"/>
      <c r="AC2005" s="47" t="n"/>
      <c r="AD2005" s="47" t="n"/>
      <c r="AE2005" s="47" t="n"/>
      <c r="AF2005" s="20">
        <f>IF(A2005="","",YEAR(EDATE(A2005,-3)))</f>
        <v/>
      </c>
      <c r="AG2005" s="20">
        <f>IF(OR(B2005="",'経歴簿'!$C$4=""),"",IF(B2005&amp;""='経歴簿'!$C$4&amp;"",MAX($AG$4:AG2004)+1,""))</f>
        <v/>
      </c>
      <c r="AH2005" s="20">
        <f>IF(A2005="",0,IF(AND(OR('CSV抽出'!$C$4="",A2005&gt;='CSV抽出'!$C$4),OR('CSV抽出'!$C$5="",A2005&lt;='CSV抽出'!$C$5),OR('CSV抽出'!$C$6="すべて",'CSV抽出'!$C$6="",D2005='CSV抽出'!$C$6),OR('CSV抽出'!$C$7="",B2005&amp;""='CSV抽出'!$C$7&amp;"")),1,0))</f>
        <v/>
      </c>
      <c r="AI2005" s="20">
        <f>IF(AH2005=1,SUM($AH$5:AH2005),"")</f>
        <v/>
      </c>
      <c r="AJ2005" s="20">
        <f>IF(OR(S2005="",'報告書'!$C$4=""),"",IF(S2005&amp;""='報告書'!$C$4&amp;"",COUNTIF($S$5:S2005,'報告書'!$C$4),""))</f>
        <v/>
      </c>
      <c r="AK2005" s="20" t="n"/>
      <c r="AL2005" s="47" t="n"/>
      <c r="AM2005" s="47" t="n"/>
      <c r="AN2005" s="53" t="n"/>
      <c r="AO2005" s="47" t="n"/>
      <c r="AP2005" s="47" t="n"/>
      <c r="AQ2005" s="47" t="n"/>
      <c r="AR2005" s="47" t="n"/>
      <c r="AS2005" s="47" t="n"/>
      <c r="AT2005" s="47" t="n"/>
      <c r="AU2005" s="47" t="n"/>
      <c r="AV2005" s="47" t="n"/>
      <c r="AW2005" s="52" t="n"/>
    </row>
    <row r="2006">
      <c r="A2006" s="48" t="n"/>
      <c r="B2006" s="52" t="n"/>
      <c r="C2006" s="47">
        <f>IF(B2006="","",IFERROR(INDEX('隊員マスタ'!$B$5:$B$204,MATCH(B2006&amp;"",'隊員マスタ'!$F$5:$F$204,0)),IF(AK2006="","番号なし",AK2006)))</f>
        <v/>
      </c>
      <c r="D2006" s="47" t="n"/>
      <c r="E2006" s="47" t="n"/>
      <c r="F2006" s="47" t="n"/>
      <c r="G2006" s="47" t="n"/>
      <c r="H2006" s="47" t="n"/>
      <c r="I2006" s="47" t="n"/>
      <c r="J2006" s="47" t="n"/>
      <c r="K2006" s="47" t="n"/>
      <c r="L2006" s="47" t="n"/>
      <c r="M2006" s="47" t="n"/>
      <c r="N2006" s="47" t="n"/>
      <c r="O2006" s="47" t="n"/>
      <c r="P2006" s="47" t="n"/>
      <c r="Q2006" s="47" t="n"/>
      <c r="R2006" s="47" t="n"/>
      <c r="S2006" s="47" t="n"/>
      <c r="T2006" s="47" t="n"/>
      <c r="U2006" s="53" t="n"/>
      <c r="V2006" s="53" t="n"/>
      <c r="W2006" s="47" t="n"/>
      <c r="X2006" s="47" t="n"/>
      <c r="Y2006" s="47" t="n"/>
      <c r="Z2006" s="47" t="n"/>
      <c r="AA2006" s="47" t="n"/>
      <c r="AB2006" s="47" t="n"/>
      <c r="AC2006" s="47" t="n"/>
      <c r="AD2006" s="47" t="n"/>
      <c r="AE2006" s="47" t="n"/>
      <c r="AF2006" s="20">
        <f>IF(A2006="","",YEAR(EDATE(A2006,-3)))</f>
        <v/>
      </c>
      <c r="AG2006" s="20">
        <f>IF(OR(B2006="",'経歴簿'!$C$4=""),"",IF(B2006&amp;""='経歴簿'!$C$4&amp;"",MAX($AG$4:AG2005)+1,""))</f>
        <v/>
      </c>
      <c r="AH2006" s="20">
        <f>IF(A2006="",0,IF(AND(OR('CSV抽出'!$C$4="",A2006&gt;='CSV抽出'!$C$4),OR('CSV抽出'!$C$5="",A2006&lt;='CSV抽出'!$C$5),OR('CSV抽出'!$C$6="すべて",'CSV抽出'!$C$6="",D2006='CSV抽出'!$C$6),OR('CSV抽出'!$C$7="",B2006&amp;""='CSV抽出'!$C$7&amp;"")),1,0))</f>
        <v/>
      </c>
      <c r="AI2006" s="20">
        <f>IF(AH2006=1,SUM($AH$5:AH2006),"")</f>
        <v/>
      </c>
      <c r="AJ2006" s="20">
        <f>IF(OR(S2006="",'報告書'!$C$4=""),"",IF(S2006&amp;""='報告書'!$C$4&amp;"",COUNTIF($S$5:S2006,'報告書'!$C$4),""))</f>
        <v/>
      </c>
      <c r="AK2006" s="20" t="n"/>
      <c r="AL2006" s="47" t="n"/>
      <c r="AM2006" s="47" t="n"/>
      <c r="AN2006" s="53" t="n"/>
      <c r="AO2006" s="47" t="n"/>
      <c r="AP2006" s="47" t="n"/>
      <c r="AQ2006" s="47" t="n"/>
      <c r="AR2006" s="47" t="n"/>
      <c r="AS2006" s="47" t="n"/>
      <c r="AT2006" s="47" t="n"/>
      <c r="AU2006" s="47" t="n"/>
      <c r="AV2006" s="47" t="n"/>
      <c r="AW2006" s="52" t="n"/>
    </row>
    <row r="2007">
      <c r="A2007" s="48" t="n"/>
      <c r="B2007" s="52" t="n"/>
      <c r="C2007" s="47">
        <f>IF(B2007="","",IFERROR(INDEX('隊員マスタ'!$B$5:$B$204,MATCH(B2007&amp;"",'隊員マスタ'!$F$5:$F$204,0)),IF(AK2007="","番号なし",AK2007)))</f>
        <v/>
      </c>
      <c r="D2007" s="47" t="n"/>
      <c r="E2007" s="47" t="n"/>
      <c r="F2007" s="47" t="n"/>
      <c r="G2007" s="47" t="n"/>
      <c r="H2007" s="47" t="n"/>
      <c r="I2007" s="47" t="n"/>
      <c r="J2007" s="47" t="n"/>
      <c r="K2007" s="47" t="n"/>
      <c r="L2007" s="47" t="n"/>
      <c r="M2007" s="47" t="n"/>
      <c r="N2007" s="47" t="n"/>
      <c r="O2007" s="47" t="n"/>
      <c r="P2007" s="47" t="n"/>
      <c r="Q2007" s="47" t="n"/>
      <c r="R2007" s="47" t="n"/>
      <c r="S2007" s="47" t="n"/>
      <c r="T2007" s="47" t="n"/>
      <c r="U2007" s="53" t="n"/>
      <c r="V2007" s="53" t="n"/>
      <c r="W2007" s="47" t="n"/>
      <c r="X2007" s="47" t="n"/>
      <c r="Y2007" s="47" t="n"/>
      <c r="Z2007" s="47" t="n"/>
      <c r="AA2007" s="47" t="n"/>
      <c r="AB2007" s="47" t="n"/>
      <c r="AC2007" s="47" t="n"/>
      <c r="AD2007" s="47" t="n"/>
      <c r="AE2007" s="47" t="n"/>
      <c r="AF2007" s="20">
        <f>IF(A2007="","",YEAR(EDATE(A2007,-3)))</f>
        <v/>
      </c>
      <c r="AG2007" s="20">
        <f>IF(OR(B2007="",'経歴簿'!$C$4=""),"",IF(B2007&amp;""='経歴簿'!$C$4&amp;"",MAX($AG$4:AG2006)+1,""))</f>
        <v/>
      </c>
      <c r="AH2007" s="20">
        <f>IF(A2007="",0,IF(AND(OR('CSV抽出'!$C$4="",A2007&gt;='CSV抽出'!$C$4),OR('CSV抽出'!$C$5="",A2007&lt;='CSV抽出'!$C$5),OR('CSV抽出'!$C$6="すべて",'CSV抽出'!$C$6="",D2007='CSV抽出'!$C$6),OR('CSV抽出'!$C$7="",B2007&amp;""='CSV抽出'!$C$7&amp;"")),1,0))</f>
        <v/>
      </c>
      <c r="AI2007" s="20">
        <f>IF(AH2007=1,SUM($AH$5:AH2007),"")</f>
        <v/>
      </c>
      <c r="AJ2007" s="20">
        <f>IF(OR(S2007="",'報告書'!$C$4=""),"",IF(S2007&amp;""='報告書'!$C$4&amp;"",COUNTIF($S$5:S2007,'報告書'!$C$4),""))</f>
        <v/>
      </c>
      <c r="AK2007" s="20" t="n"/>
      <c r="AL2007" s="47" t="n"/>
      <c r="AM2007" s="47" t="n"/>
      <c r="AN2007" s="53" t="n"/>
      <c r="AO2007" s="47" t="n"/>
      <c r="AP2007" s="47" t="n"/>
      <c r="AQ2007" s="47" t="n"/>
      <c r="AR2007" s="47" t="n"/>
      <c r="AS2007" s="47" t="n"/>
      <c r="AT2007" s="47" t="n"/>
      <c r="AU2007" s="47" t="n"/>
      <c r="AV2007" s="47" t="n"/>
      <c r="AW2007" s="52" t="n"/>
    </row>
    <row r="2008">
      <c r="A2008" s="48" t="n"/>
      <c r="B2008" s="52" t="n"/>
      <c r="C2008" s="47">
        <f>IF(B2008="","",IFERROR(INDEX('隊員マスタ'!$B$5:$B$204,MATCH(B2008&amp;"",'隊員マスタ'!$F$5:$F$204,0)),IF(AK2008="","番号なし",AK2008)))</f>
        <v/>
      </c>
      <c r="D2008" s="47" t="n"/>
      <c r="E2008" s="47" t="n"/>
      <c r="F2008" s="47" t="n"/>
      <c r="G2008" s="47" t="n"/>
      <c r="H2008" s="47" t="n"/>
      <c r="I2008" s="47" t="n"/>
      <c r="J2008" s="47" t="n"/>
      <c r="K2008" s="47" t="n"/>
      <c r="L2008" s="47" t="n"/>
      <c r="M2008" s="47" t="n"/>
      <c r="N2008" s="47" t="n"/>
      <c r="O2008" s="47" t="n"/>
      <c r="P2008" s="47" t="n"/>
      <c r="Q2008" s="47" t="n"/>
      <c r="R2008" s="47" t="n"/>
      <c r="S2008" s="47" t="n"/>
      <c r="T2008" s="47" t="n"/>
      <c r="U2008" s="53" t="n"/>
      <c r="V2008" s="53" t="n"/>
      <c r="W2008" s="47" t="n"/>
      <c r="X2008" s="47" t="n"/>
      <c r="Y2008" s="47" t="n"/>
      <c r="Z2008" s="47" t="n"/>
      <c r="AA2008" s="47" t="n"/>
      <c r="AB2008" s="47" t="n"/>
      <c r="AC2008" s="47" t="n"/>
      <c r="AD2008" s="47" t="n"/>
      <c r="AE2008" s="47" t="n"/>
      <c r="AF2008" s="20">
        <f>IF(A2008="","",YEAR(EDATE(A2008,-3)))</f>
        <v/>
      </c>
      <c r="AG2008" s="20">
        <f>IF(OR(B2008="",'経歴簿'!$C$4=""),"",IF(B2008&amp;""='経歴簿'!$C$4&amp;"",MAX($AG$4:AG2007)+1,""))</f>
        <v/>
      </c>
      <c r="AH2008" s="20">
        <f>IF(A2008="",0,IF(AND(OR('CSV抽出'!$C$4="",A2008&gt;='CSV抽出'!$C$4),OR('CSV抽出'!$C$5="",A2008&lt;='CSV抽出'!$C$5),OR('CSV抽出'!$C$6="すべて",'CSV抽出'!$C$6="",D2008='CSV抽出'!$C$6),OR('CSV抽出'!$C$7="",B2008&amp;""='CSV抽出'!$C$7&amp;"")),1,0))</f>
        <v/>
      </c>
      <c r="AI2008" s="20">
        <f>IF(AH2008=1,SUM($AH$5:AH2008),"")</f>
        <v/>
      </c>
      <c r="AJ2008" s="20">
        <f>IF(OR(S2008="",'報告書'!$C$4=""),"",IF(S2008&amp;""='報告書'!$C$4&amp;"",COUNTIF($S$5:S2008,'報告書'!$C$4),""))</f>
        <v/>
      </c>
      <c r="AK2008" s="20" t="n"/>
      <c r="AL2008" s="47" t="n"/>
      <c r="AM2008" s="47" t="n"/>
      <c r="AN2008" s="53" t="n"/>
      <c r="AO2008" s="47" t="n"/>
      <c r="AP2008" s="47" t="n"/>
      <c r="AQ2008" s="47" t="n"/>
      <c r="AR2008" s="47" t="n"/>
      <c r="AS2008" s="47" t="n"/>
      <c r="AT2008" s="47" t="n"/>
      <c r="AU2008" s="47" t="n"/>
      <c r="AV2008" s="47" t="n"/>
      <c r="AW2008" s="52" t="n"/>
    </row>
    <row r="2009">
      <c r="A2009" s="48" t="n"/>
      <c r="B2009" s="52" t="n"/>
      <c r="C2009" s="47">
        <f>IF(B2009="","",IFERROR(INDEX('隊員マスタ'!$B$5:$B$204,MATCH(B2009&amp;"",'隊員マスタ'!$F$5:$F$204,0)),IF(AK2009="","番号なし",AK2009)))</f>
        <v/>
      </c>
      <c r="D2009" s="47" t="n"/>
      <c r="E2009" s="47" t="n"/>
      <c r="F2009" s="47" t="n"/>
      <c r="G2009" s="47" t="n"/>
      <c r="H2009" s="47" t="n"/>
      <c r="I2009" s="47" t="n"/>
      <c r="J2009" s="47" t="n"/>
      <c r="K2009" s="47" t="n"/>
      <c r="L2009" s="47" t="n"/>
      <c r="M2009" s="47" t="n"/>
      <c r="N2009" s="47" t="n"/>
      <c r="O2009" s="47" t="n"/>
      <c r="P2009" s="47" t="n"/>
      <c r="Q2009" s="47" t="n"/>
      <c r="R2009" s="47" t="n"/>
      <c r="S2009" s="47" t="n"/>
      <c r="T2009" s="47" t="n"/>
      <c r="U2009" s="53" t="n"/>
      <c r="V2009" s="53" t="n"/>
      <c r="W2009" s="47" t="n"/>
      <c r="X2009" s="47" t="n"/>
      <c r="Y2009" s="47" t="n"/>
      <c r="Z2009" s="47" t="n"/>
      <c r="AA2009" s="47" t="n"/>
      <c r="AB2009" s="47" t="n"/>
      <c r="AC2009" s="47" t="n"/>
      <c r="AD2009" s="47" t="n"/>
      <c r="AE2009" s="47" t="n"/>
      <c r="AF2009" s="20">
        <f>IF(A2009="","",YEAR(EDATE(A2009,-3)))</f>
        <v/>
      </c>
      <c r="AG2009" s="20">
        <f>IF(OR(B2009="",'経歴簿'!$C$4=""),"",IF(B2009&amp;""='経歴簿'!$C$4&amp;"",MAX($AG$4:AG2008)+1,""))</f>
        <v/>
      </c>
      <c r="AH2009" s="20">
        <f>IF(A2009="",0,IF(AND(OR('CSV抽出'!$C$4="",A2009&gt;='CSV抽出'!$C$4),OR('CSV抽出'!$C$5="",A2009&lt;='CSV抽出'!$C$5),OR('CSV抽出'!$C$6="すべて",'CSV抽出'!$C$6="",D2009='CSV抽出'!$C$6),OR('CSV抽出'!$C$7="",B2009&amp;""='CSV抽出'!$C$7&amp;"")),1,0))</f>
        <v/>
      </c>
      <c r="AI2009" s="20">
        <f>IF(AH2009=1,SUM($AH$5:AH2009),"")</f>
        <v/>
      </c>
      <c r="AJ2009" s="20">
        <f>IF(OR(S2009="",'報告書'!$C$4=""),"",IF(S2009&amp;""='報告書'!$C$4&amp;"",COUNTIF($S$5:S2009,'報告書'!$C$4),""))</f>
        <v/>
      </c>
      <c r="AK2009" s="20" t="n"/>
      <c r="AL2009" s="47" t="n"/>
      <c r="AM2009" s="47" t="n"/>
      <c r="AN2009" s="53" t="n"/>
      <c r="AO2009" s="47" t="n"/>
      <c r="AP2009" s="47" t="n"/>
      <c r="AQ2009" s="47" t="n"/>
      <c r="AR2009" s="47" t="n"/>
      <c r="AS2009" s="47" t="n"/>
      <c r="AT2009" s="47" t="n"/>
      <c r="AU2009" s="47" t="n"/>
      <c r="AV2009" s="47" t="n"/>
      <c r="AW2009" s="52" t="n"/>
    </row>
    <row r="2010">
      <c r="A2010" s="48" t="n"/>
      <c r="B2010" s="52" t="n"/>
      <c r="C2010" s="47">
        <f>IF(B2010="","",IFERROR(INDEX('隊員マスタ'!$B$5:$B$204,MATCH(B2010&amp;"",'隊員マスタ'!$F$5:$F$204,0)),IF(AK2010="","番号なし",AK2010)))</f>
        <v/>
      </c>
      <c r="D2010" s="47" t="n"/>
      <c r="E2010" s="47" t="n"/>
      <c r="F2010" s="47" t="n"/>
      <c r="G2010" s="47" t="n"/>
      <c r="H2010" s="47" t="n"/>
      <c r="I2010" s="47" t="n"/>
      <c r="J2010" s="47" t="n"/>
      <c r="K2010" s="47" t="n"/>
      <c r="L2010" s="47" t="n"/>
      <c r="M2010" s="47" t="n"/>
      <c r="N2010" s="47" t="n"/>
      <c r="O2010" s="47" t="n"/>
      <c r="P2010" s="47" t="n"/>
      <c r="Q2010" s="47" t="n"/>
      <c r="R2010" s="47" t="n"/>
      <c r="S2010" s="47" t="n"/>
      <c r="T2010" s="47" t="n"/>
      <c r="U2010" s="53" t="n"/>
      <c r="V2010" s="53" t="n"/>
      <c r="W2010" s="47" t="n"/>
      <c r="X2010" s="47" t="n"/>
      <c r="Y2010" s="47" t="n"/>
      <c r="Z2010" s="47" t="n"/>
      <c r="AA2010" s="47" t="n"/>
      <c r="AB2010" s="47" t="n"/>
      <c r="AC2010" s="47" t="n"/>
      <c r="AD2010" s="47" t="n"/>
      <c r="AE2010" s="47" t="n"/>
      <c r="AF2010" s="20">
        <f>IF(A2010="","",YEAR(EDATE(A2010,-3)))</f>
        <v/>
      </c>
      <c r="AG2010" s="20">
        <f>IF(OR(B2010="",'経歴簿'!$C$4=""),"",IF(B2010&amp;""='経歴簿'!$C$4&amp;"",MAX($AG$4:AG2009)+1,""))</f>
        <v/>
      </c>
      <c r="AH2010" s="20">
        <f>IF(A2010="",0,IF(AND(OR('CSV抽出'!$C$4="",A2010&gt;='CSV抽出'!$C$4),OR('CSV抽出'!$C$5="",A2010&lt;='CSV抽出'!$C$5),OR('CSV抽出'!$C$6="すべて",'CSV抽出'!$C$6="",D2010='CSV抽出'!$C$6),OR('CSV抽出'!$C$7="",B2010&amp;""='CSV抽出'!$C$7&amp;"")),1,0))</f>
        <v/>
      </c>
      <c r="AI2010" s="20">
        <f>IF(AH2010=1,SUM($AH$5:AH2010),"")</f>
        <v/>
      </c>
      <c r="AJ2010" s="20">
        <f>IF(OR(S2010="",'報告書'!$C$4=""),"",IF(S2010&amp;""='報告書'!$C$4&amp;"",COUNTIF($S$5:S2010,'報告書'!$C$4),""))</f>
        <v/>
      </c>
      <c r="AK2010" s="20" t="n"/>
      <c r="AL2010" s="47" t="n"/>
      <c r="AM2010" s="47" t="n"/>
      <c r="AN2010" s="53" t="n"/>
      <c r="AO2010" s="47" t="n"/>
      <c r="AP2010" s="47" t="n"/>
      <c r="AQ2010" s="47" t="n"/>
      <c r="AR2010" s="47" t="n"/>
      <c r="AS2010" s="47" t="n"/>
      <c r="AT2010" s="47" t="n"/>
      <c r="AU2010" s="47" t="n"/>
      <c r="AV2010" s="47" t="n"/>
      <c r="AW2010" s="52" t="n"/>
    </row>
    <row r="2011">
      <c r="A2011" s="48" t="n"/>
      <c r="B2011" s="52" t="n"/>
      <c r="C2011" s="47">
        <f>IF(B2011="","",IFERROR(INDEX('隊員マスタ'!$B$5:$B$204,MATCH(B2011&amp;"",'隊員マスタ'!$F$5:$F$204,0)),IF(AK2011="","番号なし",AK2011)))</f>
        <v/>
      </c>
      <c r="D2011" s="47" t="n"/>
      <c r="E2011" s="47" t="n"/>
      <c r="F2011" s="47" t="n"/>
      <c r="G2011" s="47" t="n"/>
      <c r="H2011" s="47" t="n"/>
      <c r="I2011" s="47" t="n"/>
      <c r="J2011" s="47" t="n"/>
      <c r="K2011" s="47" t="n"/>
      <c r="L2011" s="47" t="n"/>
      <c r="M2011" s="47" t="n"/>
      <c r="N2011" s="47" t="n"/>
      <c r="O2011" s="47" t="n"/>
      <c r="P2011" s="47" t="n"/>
      <c r="Q2011" s="47" t="n"/>
      <c r="R2011" s="47" t="n"/>
      <c r="S2011" s="47" t="n"/>
      <c r="T2011" s="47" t="n"/>
      <c r="U2011" s="53" t="n"/>
      <c r="V2011" s="53" t="n"/>
      <c r="W2011" s="47" t="n"/>
      <c r="X2011" s="47" t="n"/>
      <c r="Y2011" s="47" t="n"/>
      <c r="Z2011" s="47" t="n"/>
      <c r="AA2011" s="47" t="n"/>
      <c r="AB2011" s="47" t="n"/>
      <c r="AC2011" s="47" t="n"/>
      <c r="AD2011" s="47" t="n"/>
      <c r="AE2011" s="47" t="n"/>
      <c r="AF2011" s="20">
        <f>IF(A2011="","",YEAR(EDATE(A2011,-3)))</f>
        <v/>
      </c>
      <c r="AG2011" s="20">
        <f>IF(OR(B2011="",'経歴簿'!$C$4=""),"",IF(B2011&amp;""='経歴簿'!$C$4&amp;"",MAX($AG$4:AG2010)+1,""))</f>
        <v/>
      </c>
      <c r="AH2011" s="20">
        <f>IF(A2011="",0,IF(AND(OR('CSV抽出'!$C$4="",A2011&gt;='CSV抽出'!$C$4),OR('CSV抽出'!$C$5="",A2011&lt;='CSV抽出'!$C$5),OR('CSV抽出'!$C$6="すべて",'CSV抽出'!$C$6="",D2011='CSV抽出'!$C$6),OR('CSV抽出'!$C$7="",B2011&amp;""='CSV抽出'!$C$7&amp;"")),1,0))</f>
        <v/>
      </c>
      <c r="AI2011" s="20">
        <f>IF(AH2011=1,SUM($AH$5:AH2011),"")</f>
        <v/>
      </c>
      <c r="AJ2011" s="20">
        <f>IF(OR(S2011="",'報告書'!$C$4=""),"",IF(S2011&amp;""='報告書'!$C$4&amp;"",COUNTIF($S$5:S2011,'報告書'!$C$4),""))</f>
        <v/>
      </c>
      <c r="AK2011" s="20" t="n"/>
      <c r="AL2011" s="47" t="n"/>
      <c r="AM2011" s="47" t="n"/>
      <c r="AN2011" s="53" t="n"/>
      <c r="AO2011" s="47" t="n"/>
      <c r="AP2011" s="47" t="n"/>
      <c r="AQ2011" s="47" t="n"/>
      <c r="AR2011" s="47" t="n"/>
      <c r="AS2011" s="47" t="n"/>
      <c r="AT2011" s="47" t="n"/>
      <c r="AU2011" s="47" t="n"/>
      <c r="AV2011" s="47" t="n"/>
      <c r="AW2011" s="52" t="n"/>
    </row>
    <row r="2012">
      <c r="A2012" s="48" t="n"/>
      <c r="B2012" s="52" t="n"/>
      <c r="C2012" s="47">
        <f>IF(B2012="","",IFERROR(INDEX('隊員マスタ'!$B$5:$B$204,MATCH(B2012&amp;"",'隊員マスタ'!$F$5:$F$204,0)),IF(AK2012="","番号なし",AK2012)))</f>
        <v/>
      </c>
      <c r="D2012" s="47" t="n"/>
      <c r="E2012" s="47" t="n"/>
      <c r="F2012" s="47" t="n"/>
      <c r="G2012" s="47" t="n"/>
      <c r="H2012" s="47" t="n"/>
      <c r="I2012" s="47" t="n"/>
      <c r="J2012" s="47" t="n"/>
      <c r="K2012" s="47" t="n"/>
      <c r="L2012" s="47" t="n"/>
      <c r="M2012" s="47" t="n"/>
      <c r="N2012" s="47" t="n"/>
      <c r="O2012" s="47" t="n"/>
      <c r="P2012" s="47" t="n"/>
      <c r="Q2012" s="47" t="n"/>
      <c r="R2012" s="47" t="n"/>
      <c r="S2012" s="47" t="n"/>
      <c r="T2012" s="47" t="n"/>
      <c r="U2012" s="53" t="n"/>
      <c r="V2012" s="53" t="n"/>
      <c r="W2012" s="47" t="n"/>
      <c r="X2012" s="47" t="n"/>
      <c r="Y2012" s="47" t="n"/>
      <c r="Z2012" s="47" t="n"/>
      <c r="AA2012" s="47" t="n"/>
      <c r="AB2012" s="47" t="n"/>
      <c r="AC2012" s="47" t="n"/>
      <c r="AD2012" s="47" t="n"/>
      <c r="AE2012" s="47" t="n"/>
      <c r="AF2012" s="20">
        <f>IF(A2012="","",YEAR(EDATE(A2012,-3)))</f>
        <v/>
      </c>
      <c r="AG2012" s="20">
        <f>IF(OR(B2012="",'経歴簿'!$C$4=""),"",IF(B2012&amp;""='経歴簿'!$C$4&amp;"",MAX($AG$4:AG2011)+1,""))</f>
        <v/>
      </c>
      <c r="AH2012" s="20">
        <f>IF(A2012="",0,IF(AND(OR('CSV抽出'!$C$4="",A2012&gt;='CSV抽出'!$C$4),OR('CSV抽出'!$C$5="",A2012&lt;='CSV抽出'!$C$5),OR('CSV抽出'!$C$6="すべて",'CSV抽出'!$C$6="",D2012='CSV抽出'!$C$6),OR('CSV抽出'!$C$7="",B2012&amp;""='CSV抽出'!$C$7&amp;"")),1,0))</f>
        <v/>
      </c>
      <c r="AI2012" s="20">
        <f>IF(AH2012=1,SUM($AH$5:AH2012),"")</f>
        <v/>
      </c>
      <c r="AJ2012" s="20">
        <f>IF(OR(S2012="",'報告書'!$C$4=""),"",IF(S2012&amp;""='報告書'!$C$4&amp;"",COUNTIF($S$5:S2012,'報告書'!$C$4),""))</f>
        <v/>
      </c>
      <c r="AK2012" s="20" t="n"/>
      <c r="AL2012" s="47" t="n"/>
      <c r="AM2012" s="47" t="n"/>
      <c r="AN2012" s="53" t="n"/>
      <c r="AO2012" s="47" t="n"/>
      <c r="AP2012" s="47" t="n"/>
      <c r="AQ2012" s="47" t="n"/>
      <c r="AR2012" s="47" t="n"/>
      <c r="AS2012" s="47" t="n"/>
      <c r="AT2012" s="47" t="n"/>
      <c r="AU2012" s="47" t="n"/>
      <c r="AV2012" s="47" t="n"/>
      <c r="AW2012" s="52" t="n"/>
    </row>
    <row r="2013">
      <c r="A2013" s="48" t="n"/>
      <c r="B2013" s="52" t="n"/>
      <c r="C2013" s="47">
        <f>IF(B2013="","",IFERROR(INDEX('隊員マスタ'!$B$5:$B$204,MATCH(B2013&amp;"",'隊員マスタ'!$F$5:$F$204,0)),IF(AK2013="","番号なし",AK2013)))</f>
        <v/>
      </c>
      <c r="D2013" s="47" t="n"/>
      <c r="E2013" s="47" t="n"/>
      <c r="F2013" s="47" t="n"/>
      <c r="G2013" s="47" t="n"/>
      <c r="H2013" s="47" t="n"/>
      <c r="I2013" s="47" t="n"/>
      <c r="J2013" s="47" t="n"/>
      <c r="K2013" s="47" t="n"/>
      <c r="L2013" s="47" t="n"/>
      <c r="M2013" s="47" t="n"/>
      <c r="N2013" s="47" t="n"/>
      <c r="O2013" s="47" t="n"/>
      <c r="P2013" s="47" t="n"/>
      <c r="Q2013" s="47" t="n"/>
      <c r="R2013" s="47" t="n"/>
      <c r="S2013" s="47" t="n"/>
      <c r="T2013" s="47" t="n"/>
      <c r="U2013" s="53" t="n"/>
      <c r="V2013" s="53" t="n"/>
      <c r="W2013" s="47" t="n"/>
      <c r="X2013" s="47" t="n"/>
      <c r="Y2013" s="47" t="n"/>
      <c r="Z2013" s="47" t="n"/>
      <c r="AA2013" s="47" t="n"/>
      <c r="AB2013" s="47" t="n"/>
      <c r="AC2013" s="47" t="n"/>
      <c r="AD2013" s="47" t="n"/>
      <c r="AE2013" s="47" t="n"/>
      <c r="AF2013" s="20">
        <f>IF(A2013="","",YEAR(EDATE(A2013,-3)))</f>
        <v/>
      </c>
      <c r="AG2013" s="20">
        <f>IF(OR(B2013="",'経歴簿'!$C$4=""),"",IF(B2013&amp;""='経歴簿'!$C$4&amp;"",MAX($AG$4:AG2012)+1,""))</f>
        <v/>
      </c>
      <c r="AH2013" s="20">
        <f>IF(A2013="",0,IF(AND(OR('CSV抽出'!$C$4="",A2013&gt;='CSV抽出'!$C$4),OR('CSV抽出'!$C$5="",A2013&lt;='CSV抽出'!$C$5),OR('CSV抽出'!$C$6="すべて",'CSV抽出'!$C$6="",D2013='CSV抽出'!$C$6),OR('CSV抽出'!$C$7="",B2013&amp;""='CSV抽出'!$C$7&amp;"")),1,0))</f>
        <v/>
      </c>
      <c r="AI2013" s="20">
        <f>IF(AH2013=1,SUM($AH$5:AH2013),"")</f>
        <v/>
      </c>
      <c r="AJ2013" s="20">
        <f>IF(OR(S2013="",'報告書'!$C$4=""),"",IF(S2013&amp;""='報告書'!$C$4&amp;"",COUNTIF($S$5:S2013,'報告書'!$C$4),""))</f>
        <v/>
      </c>
      <c r="AK2013" s="20" t="n"/>
      <c r="AL2013" s="47" t="n"/>
      <c r="AM2013" s="47" t="n"/>
      <c r="AN2013" s="53" t="n"/>
      <c r="AO2013" s="47" t="n"/>
      <c r="AP2013" s="47" t="n"/>
      <c r="AQ2013" s="47" t="n"/>
      <c r="AR2013" s="47" t="n"/>
      <c r="AS2013" s="47" t="n"/>
      <c r="AT2013" s="47" t="n"/>
      <c r="AU2013" s="47" t="n"/>
      <c r="AV2013" s="47" t="n"/>
      <c r="AW2013" s="52" t="n"/>
    </row>
    <row r="2014">
      <c r="A2014" s="48" t="n"/>
      <c r="B2014" s="52" t="n"/>
      <c r="C2014" s="47">
        <f>IF(B2014="","",IFERROR(INDEX('隊員マスタ'!$B$5:$B$204,MATCH(B2014&amp;"",'隊員マスタ'!$F$5:$F$204,0)),IF(AK2014="","番号なし",AK2014)))</f>
        <v/>
      </c>
      <c r="D2014" s="47" t="n"/>
      <c r="E2014" s="47" t="n"/>
      <c r="F2014" s="47" t="n"/>
      <c r="G2014" s="47" t="n"/>
      <c r="H2014" s="47" t="n"/>
      <c r="I2014" s="47" t="n"/>
      <c r="J2014" s="47" t="n"/>
      <c r="K2014" s="47" t="n"/>
      <c r="L2014" s="47" t="n"/>
      <c r="M2014" s="47" t="n"/>
      <c r="N2014" s="47" t="n"/>
      <c r="O2014" s="47" t="n"/>
      <c r="P2014" s="47" t="n"/>
      <c r="Q2014" s="47" t="n"/>
      <c r="R2014" s="47" t="n"/>
      <c r="S2014" s="47" t="n"/>
      <c r="T2014" s="47" t="n"/>
      <c r="U2014" s="53" t="n"/>
      <c r="V2014" s="53" t="n"/>
      <c r="W2014" s="47" t="n"/>
      <c r="X2014" s="47" t="n"/>
      <c r="Y2014" s="47" t="n"/>
      <c r="Z2014" s="47" t="n"/>
      <c r="AA2014" s="47" t="n"/>
      <c r="AB2014" s="47" t="n"/>
      <c r="AC2014" s="47" t="n"/>
      <c r="AD2014" s="47" t="n"/>
      <c r="AE2014" s="47" t="n"/>
      <c r="AF2014" s="20">
        <f>IF(A2014="","",YEAR(EDATE(A2014,-3)))</f>
        <v/>
      </c>
      <c r="AG2014" s="20">
        <f>IF(OR(B2014="",'経歴簿'!$C$4=""),"",IF(B2014&amp;""='経歴簿'!$C$4&amp;"",MAX($AG$4:AG2013)+1,""))</f>
        <v/>
      </c>
      <c r="AH2014" s="20">
        <f>IF(A2014="",0,IF(AND(OR('CSV抽出'!$C$4="",A2014&gt;='CSV抽出'!$C$4),OR('CSV抽出'!$C$5="",A2014&lt;='CSV抽出'!$C$5),OR('CSV抽出'!$C$6="すべて",'CSV抽出'!$C$6="",D2014='CSV抽出'!$C$6),OR('CSV抽出'!$C$7="",B2014&amp;""='CSV抽出'!$C$7&amp;"")),1,0))</f>
        <v/>
      </c>
      <c r="AI2014" s="20">
        <f>IF(AH2014=1,SUM($AH$5:AH2014),"")</f>
        <v/>
      </c>
      <c r="AJ2014" s="20">
        <f>IF(OR(S2014="",'報告書'!$C$4=""),"",IF(S2014&amp;""='報告書'!$C$4&amp;"",COUNTIF($S$5:S2014,'報告書'!$C$4),""))</f>
        <v/>
      </c>
      <c r="AK2014" s="20" t="n"/>
      <c r="AL2014" s="47" t="n"/>
      <c r="AM2014" s="47" t="n"/>
      <c r="AN2014" s="53" t="n"/>
      <c r="AO2014" s="47" t="n"/>
      <c r="AP2014" s="47" t="n"/>
      <c r="AQ2014" s="47" t="n"/>
      <c r="AR2014" s="47" t="n"/>
      <c r="AS2014" s="47" t="n"/>
      <c r="AT2014" s="47" t="n"/>
      <c r="AU2014" s="47" t="n"/>
      <c r="AV2014" s="47" t="n"/>
      <c r="AW2014" s="52" t="n"/>
    </row>
    <row r="2015">
      <c r="A2015" s="48" t="n"/>
      <c r="B2015" s="52" t="n"/>
      <c r="C2015" s="47">
        <f>IF(B2015="","",IFERROR(INDEX('隊員マスタ'!$B$5:$B$204,MATCH(B2015&amp;"",'隊員マスタ'!$F$5:$F$204,0)),IF(AK2015="","番号なし",AK2015)))</f>
        <v/>
      </c>
      <c r="D2015" s="47" t="n"/>
      <c r="E2015" s="47" t="n"/>
      <c r="F2015" s="47" t="n"/>
      <c r="G2015" s="47" t="n"/>
      <c r="H2015" s="47" t="n"/>
      <c r="I2015" s="47" t="n"/>
      <c r="J2015" s="47" t="n"/>
      <c r="K2015" s="47" t="n"/>
      <c r="L2015" s="47" t="n"/>
      <c r="M2015" s="47" t="n"/>
      <c r="N2015" s="47" t="n"/>
      <c r="O2015" s="47" t="n"/>
      <c r="P2015" s="47" t="n"/>
      <c r="Q2015" s="47" t="n"/>
      <c r="R2015" s="47" t="n"/>
      <c r="S2015" s="47" t="n"/>
      <c r="T2015" s="47" t="n"/>
      <c r="U2015" s="53" t="n"/>
      <c r="V2015" s="53" t="n"/>
      <c r="W2015" s="47" t="n"/>
      <c r="X2015" s="47" t="n"/>
      <c r="Y2015" s="47" t="n"/>
      <c r="Z2015" s="47" t="n"/>
      <c r="AA2015" s="47" t="n"/>
      <c r="AB2015" s="47" t="n"/>
      <c r="AC2015" s="47" t="n"/>
      <c r="AD2015" s="47" t="n"/>
      <c r="AE2015" s="47" t="n"/>
      <c r="AF2015" s="20">
        <f>IF(A2015="","",YEAR(EDATE(A2015,-3)))</f>
        <v/>
      </c>
      <c r="AG2015" s="20">
        <f>IF(OR(B2015="",'経歴簿'!$C$4=""),"",IF(B2015&amp;""='経歴簿'!$C$4&amp;"",MAX($AG$4:AG2014)+1,""))</f>
        <v/>
      </c>
      <c r="AH2015" s="20">
        <f>IF(A2015="",0,IF(AND(OR('CSV抽出'!$C$4="",A2015&gt;='CSV抽出'!$C$4),OR('CSV抽出'!$C$5="",A2015&lt;='CSV抽出'!$C$5),OR('CSV抽出'!$C$6="すべて",'CSV抽出'!$C$6="",D2015='CSV抽出'!$C$6),OR('CSV抽出'!$C$7="",B2015&amp;""='CSV抽出'!$C$7&amp;"")),1,0))</f>
        <v/>
      </c>
      <c r="AI2015" s="20">
        <f>IF(AH2015=1,SUM($AH$5:AH2015),"")</f>
        <v/>
      </c>
      <c r="AJ2015" s="20">
        <f>IF(OR(S2015="",'報告書'!$C$4=""),"",IF(S2015&amp;""='報告書'!$C$4&amp;"",COUNTIF($S$5:S2015,'報告書'!$C$4),""))</f>
        <v/>
      </c>
      <c r="AK2015" s="20" t="n"/>
      <c r="AL2015" s="47" t="n"/>
      <c r="AM2015" s="47" t="n"/>
      <c r="AN2015" s="53" t="n"/>
      <c r="AO2015" s="47" t="n"/>
      <c r="AP2015" s="47" t="n"/>
      <c r="AQ2015" s="47" t="n"/>
      <c r="AR2015" s="47" t="n"/>
      <c r="AS2015" s="47" t="n"/>
      <c r="AT2015" s="47" t="n"/>
      <c r="AU2015" s="47" t="n"/>
      <c r="AV2015" s="47" t="n"/>
      <c r="AW2015" s="52" t="n"/>
    </row>
    <row r="2016">
      <c r="A2016" s="48" t="n"/>
      <c r="B2016" s="52" t="n"/>
      <c r="C2016" s="47">
        <f>IF(B2016="","",IFERROR(INDEX('隊員マスタ'!$B$5:$B$204,MATCH(B2016&amp;"",'隊員マスタ'!$F$5:$F$204,0)),IF(AK2016="","番号なし",AK2016)))</f>
        <v/>
      </c>
      <c r="D2016" s="47" t="n"/>
      <c r="E2016" s="47" t="n"/>
      <c r="F2016" s="47" t="n"/>
      <c r="G2016" s="47" t="n"/>
      <c r="H2016" s="47" t="n"/>
      <c r="I2016" s="47" t="n"/>
      <c r="J2016" s="47" t="n"/>
      <c r="K2016" s="47" t="n"/>
      <c r="L2016" s="47" t="n"/>
      <c r="M2016" s="47" t="n"/>
      <c r="N2016" s="47" t="n"/>
      <c r="O2016" s="47" t="n"/>
      <c r="P2016" s="47" t="n"/>
      <c r="Q2016" s="47" t="n"/>
      <c r="R2016" s="47" t="n"/>
      <c r="S2016" s="47" t="n"/>
      <c r="T2016" s="47" t="n"/>
      <c r="U2016" s="53" t="n"/>
      <c r="V2016" s="53" t="n"/>
      <c r="W2016" s="47" t="n"/>
      <c r="X2016" s="47" t="n"/>
      <c r="Y2016" s="47" t="n"/>
      <c r="Z2016" s="47" t="n"/>
      <c r="AA2016" s="47" t="n"/>
      <c r="AB2016" s="47" t="n"/>
      <c r="AC2016" s="47" t="n"/>
      <c r="AD2016" s="47" t="n"/>
      <c r="AE2016" s="47" t="n"/>
      <c r="AF2016" s="20">
        <f>IF(A2016="","",YEAR(EDATE(A2016,-3)))</f>
        <v/>
      </c>
      <c r="AG2016" s="20">
        <f>IF(OR(B2016="",'経歴簿'!$C$4=""),"",IF(B2016&amp;""='経歴簿'!$C$4&amp;"",MAX($AG$4:AG2015)+1,""))</f>
        <v/>
      </c>
      <c r="AH2016" s="20">
        <f>IF(A2016="",0,IF(AND(OR('CSV抽出'!$C$4="",A2016&gt;='CSV抽出'!$C$4),OR('CSV抽出'!$C$5="",A2016&lt;='CSV抽出'!$C$5),OR('CSV抽出'!$C$6="すべて",'CSV抽出'!$C$6="",D2016='CSV抽出'!$C$6),OR('CSV抽出'!$C$7="",B2016&amp;""='CSV抽出'!$C$7&amp;"")),1,0))</f>
        <v/>
      </c>
      <c r="AI2016" s="20">
        <f>IF(AH2016=1,SUM($AH$5:AH2016),"")</f>
        <v/>
      </c>
      <c r="AJ2016" s="20">
        <f>IF(OR(S2016="",'報告書'!$C$4=""),"",IF(S2016&amp;""='報告書'!$C$4&amp;"",COUNTIF($S$5:S2016,'報告書'!$C$4),""))</f>
        <v/>
      </c>
      <c r="AK2016" s="20" t="n"/>
      <c r="AL2016" s="47" t="n"/>
      <c r="AM2016" s="47" t="n"/>
      <c r="AN2016" s="53" t="n"/>
      <c r="AO2016" s="47" t="n"/>
      <c r="AP2016" s="47" t="n"/>
      <c r="AQ2016" s="47" t="n"/>
      <c r="AR2016" s="47" t="n"/>
      <c r="AS2016" s="47" t="n"/>
      <c r="AT2016" s="47" t="n"/>
      <c r="AU2016" s="47" t="n"/>
      <c r="AV2016" s="47" t="n"/>
      <c r="AW2016" s="52" t="n"/>
    </row>
    <row r="2017">
      <c r="A2017" s="48" t="n"/>
      <c r="B2017" s="52" t="n"/>
      <c r="C2017" s="47">
        <f>IF(B2017="","",IFERROR(INDEX('隊員マスタ'!$B$5:$B$204,MATCH(B2017&amp;"",'隊員マスタ'!$F$5:$F$204,0)),IF(AK2017="","番号なし",AK2017)))</f>
        <v/>
      </c>
      <c r="D2017" s="47" t="n"/>
      <c r="E2017" s="47" t="n"/>
      <c r="F2017" s="47" t="n"/>
      <c r="G2017" s="47" t="n"/>
      <c r="H2017" s="47" t="n"/>
      <c r="I2017" s="47" t="n"/>
      <c r="J2017" s="47" t="n"/>
      <c r="K2017" s="47" t="n"/>
      <c r="L2017" s="47" t="n"/>
      <c r="M2017" s="47" t="n"/>
      <c r="N2017" s="47" t="n"/>
      <c r="O2017" s="47" t="n"/>
      <c r="P2017" s="47" t="n"/>
      <c r="Q2017" s="47" t="n"/>
      <c r="R2017" s="47" t="n"/>
      <c r="S2017" s="47" t="n"/>
      <c r="T2017" s="47" t="n"/>
      <c r="U2017" s="53" t="n"/>
      <c r="V2017" s="53" t="n"/>
      <c r="W2017" s="47" t="n"/>
      <c r="X2017" s="47" t="n"/>
      <c r="Y2017" s="47" t="n"/>
      <c r="Z2017" s="47" t="n"/>
      <c r="AA2017" s="47" t="n"/>
      <c r="AB2017" s="47" t="n"/>
      <c r="AC2017" s="47" t="n"/>
      <c r="AD2017" s="47" t="n"/>
      <c r="AE2017" s="47" t="n"/>
      <c r="AF2017" s="20">
        <f>IF(A2017="","",YEAR(EDATE(A2017,-3)))</f>
        <v/>
      </c>
      <c r="AG2017" s="20">
        <f>IF(OR(B2017="",'経歴簿'!$C$4=""),"",IF(B2017&amp;""='経歴簿'!$C$4&amp;"",MAX($AG$4:AG2016)+1,""))</f>
        <v/>
      </c>
      <c r="AH2017" s="20">
        <f>IF(A2017="",0,IF(AND(OR('CSV抽出'!$C$4="",A2017&gt;='CSV抽出'!$C$4),OR('CSV抽出'!$C$5="",A2017&lt;='CSV抽出'!$C$5),OR('CSV抽出'!$C$6="すべて",'CSV抽出'!$C$6="",D2017='CSV抽出'!$C$6),OR('CSV抽出'!$C$7="",B2017&amp;""='CSV抽出'!$C$7&amp;"")),1,0))</f>
        <v/>
      </c>
      <c r="AI2017" s="20">
        <f>IF(AH2017=1,SUM($AH$5:AH2017),"")</f>
        <v/>
      </c>
      <c r="AJ2017" s="20">
        <f>IF(OR(S2017="",'報告書'!$C$4=""),"",IF(S2017&amp;""='報告書'!$C$4&amp;"",COUNTIF($S$5:S2017,'報告書'!$C$4),""))</f>
        <v/>
      </c>
      <c r="AK2017" s="20" t="n"/>
      <c r="AL2017" s="47" t="n"/>
      <c r="AM2017" s="47" t="n"/>
      <c r="AN2017" s="53" t="n"/>
      <c r="AO2017" s="47" t="n"/>
      <c r="AP2017" s="47" t="n"/>
      <c r="AQ2017" s="47" t="n"/>
      <c r="AR2017" s="47" t="n"/>
      <c r="AS2017" s="47" t="n"/>
      <c r="AT2017" s="47" t="n"/>
      <c r="AU2017" s="47" t="n"/>
      <c r="AV2017" s="47" t="n"/>
      <c r="AW2017" s="52" t="n"/>
    </row>
    <row r="2018">
      <c r="A2018" s="48" t="n"/>
      <c r="B2018" s="52" t="n"/>
      <c r="C2018" s="47">
        <f>IF(B2018="","",IFERROR(INDEX('隊員マスタ'!$B$5:$B$204,MATCH(B2018&amp;"",'隊員マスタ'!$F$5:$F$204,0)),IF(AK2018="","番号なし",AK2018)))</f>
        <v/>
      </c>
      <c r="D2018" s="47" t="n"/>
      <c r="E2018" s="47" t="n"/>
      <c r="F2018" s="47" t="n"/>
      <c r="G2018" s="47" t="n"/>
      <c r="H2018" s="47" t="n"/>
      <c r="I2018" s="47" t="n"/>
      <c r="J2018" s="47" t="n"/>
      <c r="K2018" s="47" t="n"/>
      <c r="L2018" s="47" t="n"/>
      <c r="M2018" s="47" t="n"/>
      <c r="N2018" s="47" t="n"/>
      <c r="O2018" s="47" t="n"/>
      <c r="P2018" s="47" t="n"/>
      <c r="Q2018" s="47" t="n"/>
      <c r="R2018" s="47" t="n"/>
      <c r="S2018" s="47" t="n"/>
      <c r="T2018" s="47" t="n"/>
      <c r="U2018" s="53" t="n"/>
      <c r="V2018" s="53" t="n"/>
      <c r="W2018" s="47" t="n"/>
      <c r="X2018" s="47" t="n"/>
      <c r="Y2018" s="47" t="n"/>
      <c r="Z2018" s="47" t="n"/>
      <c r="AA2018" s="47" t="n"/>
      <c r="AB2018" s="47" t="n"/>
      <c r="AC2018" s="47" t="n"/>
      <c r="AD2018" s="47" t="n"/>
      <c r="AE2018" s="47" t="n"/>
      <c r="AF2018" s="20">
        <f>IF(A2018="","",YEAR(EDATE(A2018,-3)))</f>
        <v/>
      </c>
      <c r="AG2018" s="20">
        <f>IF(OR(B2018="",'経歴簿'!$C$4=""),"",IF(B2018&amp;""='経歴簿'!$C$4&amp;"",MAX($AG$4:AG2017)+1,""))</f>
        <v/>
      </c>
      <c r="AH2018" s="20">
        <f>IF(A2018="",0,IF(AND(OR('CSV抽出'!$C$4="",A2018&gt;='CSV抽出'!$C$4),OR('CSV抽出'!$C$5="",A2018&lt;='CSV抽出'!$C$5),OR('CSV抽出'!$C$6="すべて",'CSV抽出'!$C$6="",D2018='CSV抽出'!$C$6),OR('CSV抽出'!$C$7="",B2018&amp;""='CSV抽出'!$C$7&amp;"")),1,0))</f>
        <v/>
      </c>
      <c r="AI2018" s="20">
        <f>IF(AH2018=1,SUM($AH$5:AH2018),"")</f>
        <v/>
      </c>
      <c r="AJ2018" s="20">
        <f>IF(OR(S2018="",'報告書'!$C$4=""),"",IF(S2018&amp;""='報告書'!$C$4&amp;"",COUNTIF($S$5:S2018,'報告書'!$C$4),""))</f>
        <v/>
      </c>
      <c r="AK2018" s="20" t="n"/>
      <c r="AL2018" s="47" t="n"/>
      <c r="AM2018" s="47" t="n"/>
      <c r="AN2018" s="53" t="n"/>
      <c r="AO2018" s="47" t="n"/>
      <c r="AP2018" s="47" t="n"/>
      <c r="AQ2018" s="47" t="n"/>
      <c r="AR2018" s="47" t="n"/>
      <c r="AS2018" s="47" t="n"/>
      <c r="AT2018" s="47" t="n"/>
      <c r="AU2018" s="47" t="n"/>
      <c r="AV2018" s="47" t="n"/>
      <c r="AW2018" s="52" t="n"/>
    </row>
    <row r="2019">
      <c r="A2019" s="48" t="n"/>
      <c r="B2019" s="52" t="n"/>
      <c r="C2019" s="47">
        <f>IF(B2019="","",IFERROR(INDEX('隊員マスタ'!$B$5:$B$204,MATCH(B2019&amp;"",'隊員マスタ'!$F$5:$F$204,0)),IF(AK2019="","番号なし",AK2019)))</f>
        <v/>
      </c>
      <c r="D2019" s="47" t="n"/>
      <c r="E2019" s="47" t="n"/>
      <c r="F2019" s="47" t="n"/>
      <c r="G2019" s="47" t="n"/>
      <c r="H2019" s="47" t="n"/>
      <c r="I2019" s="47" t="n"/>
      <c r="J2019" s="47" t="n"/>
      <c r="K2019" s="47" t="n"/>
      <c r="L2019" s="47" t="n"/>
      <c r="M2019" s="47" t="n"/>
      <c r="N2019" s="47" t="n"/>
      <c r="O2019" s="47" t="n"/>
      <c r="P2019" s="47" t="n"/>
      <c r="Q2019" s="47" t="n"/>
      <c r="R2019" s="47" t="n"/>
      <c r="S2019" s="47" t="n"/>
      <c r="T2019" s="47" t="n"/>
      <c r="U2019" s="53" t="n"/>
      <c r="V2019" s="53" t="n"/>
      <c r="W2019" s="47" t="n"/>
      <c r="X2019" s="47" t="n"/>
      <c r="Y2019" s="47" t="n"/>
      <c r="Z2019" s="47" t="n"/>
      <c r="AA2019" s="47" t="n"/>
      <c r="AB2019" s="47" t="n"/>
      <c r="AC2019" s="47" t="n"/>
      <c r="AD2019" s="47" t="n"/>
      <c r="AE2019" s="47" t="n"/>
      <c r="AF2019" s="20">
        <f>IF(A2019="","",YEAR(EDATE(A2019,-3)))</f>
        <v/>
      </c>
      <c r="AG2019" s="20">
        <f>IF(OR(B2019="",'経歴簿'!$C$4=""),"",IF(B2019&amp;""='経歴簿'!$C$4&amp;"",MAX($AG$4:AG2018)+1,""))</f>
        <v/>
      </c>
      <c r="AH2019" s="20">
        <f>IF(A2019="",0,IF(AND(OR('CSV抽出'!$C$4="",A2019&gt;='CSV抽出'!$C$4),OR('CSV抽出'!$C$5="",A2019&lt;='CSV抽出'!$C$5),OR('CSV抽出'!$C$6="すべて",'CSV抽出'!$C$6="",D2019='CSV抽出'!$C$6),OR('CSV抽出'!$C$7="",B2019&amp;""='CSV抽出'!$C$7&amp;"")),1,0))</f>
        <v/>
      </c>
      <c r="AI2019" s="20">
        <f>IF(AH2019=1,SUM($AH$5:AH2019),"")</f>
        <v/>
      </c>
      <c r="AJ2019" s="20">
        <f>IF(OR(S2019="",'報告書'!$C$4=""),"",IF(S2019&amp;""='報告書'!$C$4&amp;"",COUNTIF($S$5:S2019,'報告書'!$C$4),""))</f>
        <v/>
      </c>
      <c r="AK2019" s="20" t="n"/>
      <c r="AL2019" s="47" t="n"/>
      <c r="AM2019" s="47" t="n"/>
      <c r="AN2019" s="53" t="n"/>
      <c r="AO2019" s="47" t="n"/>
      <c r="AP2019" s="47" t="n"/>
      <c r="AQ2019" s="47" t="n"/>
      <c r="AR2019" s="47" t="n"/>
      <c r="AS2019" s="47" t="n"/>
      <c r="AT2019" s="47" t="n"/>
      <c r="AU2019" s="47" t="n"/>
      <c r="AV2019" s="47" t="n"/>
      <c r="AW2019" s="52" t="n"/>
    </row>
    <row r="2020">
      <c r="A2020" s="48" t="n"/>
      <c r="B2020" s="52" t="n"/>
      <c r="C2020" s="47">
        <f>IF(B2020="","",IFERROR(INDEX('隊員マスタ'!$B$5:$B$204,MATCH(B2020&amp;"",'隊員マスタ'!$F$5:$F$204,0)),IF(AK2020="","番号なし",AK2020)))</f>
        <v/>
      </c>
      <c r="D2020" s="47" t="n"/>
      <c r="E2020" s="47" t="n"/>
      <c r="F2020" s="47" t="n"/>
      <c r="G2020" s="47" t="n"/>
      <c r="H2020" s="47" t="n"/>
      <c r="I2020" s="47" t="n"/>
      <c r="J2020" s="47" t="n"/>
      <c r="K2020" s="47" t="n"/>
      <c r="L2020" s="47" t="n"/>
      <c r="M2020" s="47" t="n"/>
      <c r="N2020" s="47" t="n"/>
      <c r="O2020" s="47" t="n"/>
      <c r="P2020" s="47" t="n"/>
      <c r="Q2020" s="47" t="n"/>
      <c r="R2020" s="47" t="n"/>
      <c r="S2020" s="47" t="n"/>
      <c r="T2020" s="47" t="n"/>
      <c r="U2020" s="53" t="n"/>
      <c r="V2020" s="53" t="n"/>
      <c r="W2020" s="47" t="n"/>
      <c r="X2020" s="47" t="n"/>
      <c r="Y2020" s="47" t="n"/>
      <c r="Z2020" s="47" t="n"/>
      <c r="AA2020" s="47" t="n"/>
      <c r="AB2020" s="47" t="n"/>
      <c r="AC2020" s="47" t="n"/>
      <c r="AD2020" s="47" t="n"/>
      <c r="AE2020" s="47" t="n"/>
      <c r="AF2020" s="20">
        <f>IF(A2020="","",YEAR(EDATE(A2020,-3)))</f>
        <v/>
      </c>
      <c r="AG2020" s="20">
        <f>IF(OR(B2020="",'経歴簿'!$C$4=""),"",IF(B2020&amp;""='経歴簿'!$C$4&amp;"",MAX($AG$4:AG2019)+1,""))</f>
        <v/>
      </c>
      <c r="AH2020" s="20">
        <f>IF(A2020="",0,IF(AND(OR('CSV抽出'!$C$4="",A2020&gt;='CSV抽出'!$C$4),OR('CSV抽出'!$C$5="",A2020&lt;='CSV抽出'!$C$5),OR('CSV抽出'!$C$6="すべて",'CSV抽出'!$C$6="",D2020='CSV抽出'!$C$6),OR('CSV抽出'!$C$7="",B2020&amp;""='CSV抽出'!$C$7&amp;"")),1,0))</f>
        <v/>
      </c>
      <c r="AI2020" s="20">
        <f>IF(AH2020=1,SUM($AH$5:AH2020),"")</f>
        <v/>
      </c>
      <c r="AJ2020" s="20">
        <f>IF(OR(S2020="",'報告書'!$C$4=""),"",IF(S2020&amp;""='報告書'!$C$4&amp;"",COUNTIF($S$5:S2020,'報告書'!$C$4),""))</f>
        <v/>
      </c>
      <c r="AK2020" s="20" t="n"/>
      <c r="AL2020" s="47" t="n"/>
      <c r="AM2020" s="47" t="n"/>
      <c r="AN2020" s="53" t="n"/>
      <c r="AO2020" s="47" t="n"/>
      <c r="AP2020" s="47" t="n"/>
      <c r="AQ2020" s="47" t="n"/>
      <c r="AR2020" s="47" t="n"/>
      <c r="AS2020" s="47" t="n"/>
      <c r="AT2020" s="47" t="n"/>
      <c r="AU2020" s="47" t="n"/>
      <c r="AV2020" s="47" t="n"/>
      <c r="AW2020" s="52" t="n"/>
    </row>
    <row r="2021">
      <c r="A2021" s="48" t="n"/>
      <c r="B2021" s="52" t="n"/>
      <c r="C2021" s="47">
        <f>IF(B2021="","",IFERROR(INDEX('隊員マスタ'!$B$5:$B$204,MATCH(B2021&amp;"",'隊員マスタ'!$F$5:$F$204,0)),IF(AK2021="","番号なし",AK2021)))</f>
        <v/>
      </c>
      <c r="D2021" s="47" t="n"/>
      <c r="E2021" s="47" t="n"/>
      <c r="F2021" s="47" t="n"/>
      <c r="G2021" s="47" t="n"/>
      <c r="H2021" s="47" t="n"/>
      <c r="I2021" s="47" t="n"/>
      <c r="J2021" s="47" t="n"/>
      <c r="K2021" s="47" t="n"/>
      <c r="L2021" s="47" t="n"/>
      <c r="M2021" s="47" t="n"/>
      <c r="N2021" s="47" t="n"/>
      <c r="O2021" s="47" t="n"/>
      <c r="P2021" s="47" t="n"/>
      <c r="Q2021" s="47" t="n"/>
      <c r="R2021" s="47" t="n"/>
      <c r="S2021" s="47" t="n"/>
      <c r="T2021" s="47" t="n"/>
      <c r="U2021" s="53" t="n"/>
      <c r="V2021" s="53" t="n"/>
      <c r="W2021" s="47" t="n"/>
      <c r="X2021" s="47" t="n"/>
      <c r="Y2021" s="47" t="n"/>
      <c r="Z2021" s="47" t="n"/>
      <c r="AA2021" s="47" t="n"/>
      <c r="AB2021" s="47" t="n"/>
      <c r="AC2021" s="47" t="n"/>
      <c r="AD2021" s="47" t="n"/>
      <c r="AE2021" s="47" t="n"/>
      <c r="AF2021" s="20">
        <f>IF(A2021="","",YEAR(EDATE(A2021,-3)))</f>
        <v/>
      </c>
      <c r="AG2021" s="20">
        <f>IF(OR(B2021="",'経歴簿'!$C$4=""),"",IF(B2021&amp;""='経歴簿'!$C$4&amp;"",MAX($AG$4:AG2020)+1,""))</f>
        <v/>
      </c>
      <c r="AH2021" s="20">
        <f>IF(A2021="",0,IF(AND(OR('CSV抽出'!$C$4="",A2021&gt;='CSV抽出'!$C$4),OR('CSV抽出'!$C$5="",A2021&lt;='CSV抽出'!$C$5),OR('CSV抽出'!$C$6="すべて",'CSV抽出'!$C$6="",D2021='CSV抽出'!$C$6),OR('CSV抽出'!$C$7="",B2021&amp;""='CSV抽出'!$C$7&amp;"")),1,0))</f>
        <v/>
      </c>
      <c r="AI2021" s="20">
        <f>IF(AH2021=1,SUM($AH$5:AH2021),"")</f>
        <v/>
      </c>
      <c r="AJ2021" s="20">
        <f>IF(OR(S2021="",'報告書'!$C$4=""),"",IF(S2021&amp;""='報告書'!$C$4&amp;"",COUNTIF($S$5:S2021,'報告書'!$C$4),""))</f>
        <v/>
      </c>
      <c r="AK2021" s="20" t="n"/>
      <c r="AL2021" s="47" t="n"/>
      <c r="AM2021" s="47" t="n"/>
      <c r="AN2021" s="53" t="n"/>
      <c r="AO2021" s="47" t="n"/>
      <c r="AP2021" s="47" t="n"/>
      <c r="AQ2021" s="47" t="n"/>
      <c r="AR2021" s="47" t="n"/>
      <c r="AS2021" s="47" t="n"/>
      <c r="AT2021" s="47" t="n"/>
      <c r="AU2021" s="47" t="n"/>
      <c r="AV2021" s="47" t="n"/>
      <c r="AW2021" s="52" t="n"/>
    </row>
    <row r="2022">
      <c r="A2022" s="48" t="n"/>
      <c r="B2022" s="52" t="n"/>
      <c r="C2022" s="47">
        <f>IF(B2022="","",IFERROR(INDEX('隊員マスタ'!$B$5:$B$204,MATCH(B2022&amp;"",'隊員マスタ'!$F$5:$F$204,0)),IF(AK2022="","番号なし",AK2022)))</f>
        <v/>
      </c>
      <c r="D2022" s="47" t="n"/>
      <c r="E2022" s="47" t="n"/>
      <c r="F2022" s="47" t="n"/>
      <c r="G2022" s="47" t="n"/>
      <c r="H2022" s="47" t="n"/>
      <c r="I2022" s="47" t="n"/>
      <c r="J2022" s="47" t="n"/>
      <c r="K2022" s="47" t="n"/>
      <c r="L2022" s="47" t="n"/>
      <c r="M2022" s="47" t="n"/>
      <c r="N2022" s="47" t="n"/>
      <c r="O2022" s="47" t="n"/>
      <c r="P2022" s="47" t="n"/>
      <c r="Q2022" s="47" t="n"/>
      <c r="R2022" s="47" t="n"/>
      <c r="S2022" s="47" t="n"/>
      <c r="T2022" s="47" t="n"/>
      <c r="U2022" s="53" t="n"/>
      <c r="V2022" s="53" t="n"/>
      <c r="W2022" s="47" t="n"/>
      <c r="X2022" s="47" t="n"/>
      <c r="Y2022" s="47" t="n"/>
      <c r="Z2022" s="47" t="n"/>
      <c r="AA2022" s="47" t="n"/>
      <c r="AB2022" s="47" t="n"/>
      <c r="AC2022" s="47" t="n"/>
      <c r="AD2022" s="47" t="n"/>
      <c r="AE2022" s="47" t="n"/>
      <c r="AF2022" s="20">
        <f>IF(A2022="","",YEAR(EDATE(A2022,-3)))</f>
        <v/>
      </c>
      <c r="AG2022" s="20">
        <f>IF(OR(B2022="",'経歴簿'!$C$4=""),"",IF(B2022&amp;""='経歴簿'!$C$4&amp;"",MAX($AG$4:AG2021)+1,""))</f>
        <v/>
      </c>
      <c r="AH2022" s="20">
        <f>IF(A2022="",0,IF(AND(OR('CSV抽出'!$C$4="",A2022&gt;='CSV抽出'!$C$4),OR('CSV抽出'!$C$5="",A2022&lt;='CSV抽出'!$C$5),OR('CSV抽出'!$C$6="すべて",'CSV抽出'!$C$6="",D2022='CSV抽出'!$C$6),OR('CSV抽出'!$C$7="",B2022&amp;""='CSV抽出'!$C$7&amp;"")),1,0))</f>
        <v/>
      </c>
      <c r="AI2022" s="20">
        <f>IF(AH2022=1,SUM($AH$5:AH2022),"")</f>
        <v/>
      </c>
      <c r="AJ2022" s="20">
        <f>IF(OR(S2022="",'報告書'!$C$4=""),"",IF(S2022&amp;""='報告書'!$C$4&amp;"",COUNTIF($S$5:S2022,'報告書'!$C$4),""))</f>
        <v/>
      </c>
      <c r="AK2022" s="20" t="n"/>
      <c r="AL2022" s="47" t="n"/>
      <c r="AM2022" s="47" t="n"/>
      <c r="AN2022" s="53" t="n"/>
      <c r="AO2022" s="47" t="n"/>
      <c r="AP2022" s="47" t="n"/>
      <c r="AQ2022" s="47" t="n"/>
      <c r="AR2022" s="47" t="n"/>
      <c r="AS2022" s="47" t="n"/>
      <c r="AT2022" s="47" t="n"/>
      <c r="AU2022" s="47" t="n"/>
      <c r="AV2022" s="47" t="n"/>
      <c r="AW2022" s="52" t="n"/>
    </row>
    <row r="2023">
      <c r="A2023" s="48" t="n"/>
      <c r="B2023" s="52" t="n"/>
      <c r="C2023" s="47">
        <f>IF(B2023="","",IFERROR(INDEX('隊員マスタ'!$B$5:$B$204,MATCH(B2023&amp;"",'隊員マスタ'!$F$5:$F$204,0)),IF(AK2023="","番号なし",AK2023)))</f>
        <v/>
      </c>
      <c r="D2023" s="47" t="n"/>
      <c r="E2023" s="47" t="n"/>
      <c r="F2023" s="47" t="n"/>
      <c r="G2023" s="47" t="n"/>
      <c r="H2023" s="47" t="n"/>
      <c r="I2023" s="47" t="n"/>
      <c r="J2023" s="47" t="n"/>
      <c r="K2023" s="47" t="n"/>
      <c r="L2023" s="47" t="n"/>
      <c r="M2023" s="47" t="n"/>
      <c r="N2023" s="47" t="n"/>
      <c r="O2023" s="47" t="n"/>
      <c r="P2023" s="47" t="n"/>
      <c r="Q2023" s="47" t="n"/>
      <c r="R2023" s="47" t="n"/>
      <c r="S2023" s="47" t="n"/>
      <c r="T2023" s="47" t="n"/>
      <c r="U2023" s="53" t="n"/>
      <c r="V2023" s="53" t="n"/>
      <c r="W2023" s="47" t="n"/>
      <c r="X2023" s="47" t="n"/>
      <c r="Y2023" s="47" t="n"/>
      <c r="Z2023" s="47" t="n"/>
      <c r="AA2023" s="47" t="n"/>
      <c r="AB2023" s="47" t="n"/>
      <c r="AC2023" s="47" t="n"/>
      <c r="AD2023" s="47" t="n"/>
      <c r="AE2023" s="47" t="n"/>
      <c r="AF2023" s="20">
        <f>IF(A2023="","",YEAR(EDATE(A2023,-3)))</f>
        <v/>
      </c>
      <c r="AG2023" s="20">
        <f>IF(OR(B2023="",'経歴簿'!$C$4=""),"",IF(B2023&amp;""='経歴簿'!$C$4&amp;"",MAX($AG$4:AG2022)+1,""))</f>
        <v/>
      </c>
      <c r="AH2023" s="20">
        <f>IF(A2023="",0,IF(AND(OR('CSV抽出'!$C$4="",A2023&gt;='CSV抽出'!$C$4),OR('CSV抽出'!$C$5="",A2023&lt;='CSV抽出'!$C$5),OR('CSV抽出'!$C$6="すべて",'CSV抽出'!$C$6="",D2023='CSV抽出'!$C$6),OR('CSV抽出'!$C$7="",B2023&amp;""='CSV抽出'!$C$7&amp;"")),1,0))</f>
        <v/>
      </c>
      <c r="AI2023" s="20">
        <f>IF(AH2023=1,SUM($AH$5:AH2023),"")</f>
        <v/>
      </c>
      <c r="AJ2023" s="20">
        <f>IF(OR(S2023="",'報告書'!$C$4=""),"",IF(S2023&amp;""='報告書'!$C$4&amp;"",COUNTIF($S$5:S2023,'報告書'!$C$4),""))</f>
        <v/>
      </c>
      <c r="AK2023" s="20" t="n"/>
      <c r="AL2023" s="47" t="n"/>
      <c r="AM2023" s="47" t="n"/>
      <c r="AN2023" s="53" t="n"/>
      <c r="AO2023" s="47" t="n"/>
      <c r="AP2023" s="47" t="n"/>
      <c r="AQ2023" s="47" t="n"/>
      <c r="AR2023" s="47" t="n"/>
      <c r="AS2023" s="47" t="n"/>
      <c r="AT2023" s="47" t="n"/>
      <c r="AU2023" s="47" t="n"/>
      <c r="AV2023" s="47" t="n"/>
      <c r="AW2023" s="52" t="n"/>
    </row>
    <row r="2024">
      <c r="A2024" s="48" t="n"/>
      <c r="B2024" s="52" t="n"/>
      <c r="C2024" s="47">
        <f>IF(B2024="","",IFERROR(INDEX('隊員マスタ'!$B$5:$B$204,MATCH(B2024&amp;"",'隊員マスタ'!$F$5:$F$204,0)),IF(AK2024="","番号なし",AK2024)))</f>
        <v/>
      </c>
      <c r="D2024" s="47" t="n"/>
      <c r="E2024" s="47" t="n"/>
      <c r="F2024" s="47" t="n"/>
      <c r="G2024" s="47" t="n"/>
      <c r="H2024" s="47" t="n"/>
      <c r="I2024" s="47" t="n"/>
      <c r="J2024" s="47" t="n"/>
      <c r="K2024" s="47" t="n"/>
      <c r="L2024" s="47" t="n"/>
      <c r="M2024" s="47" t="n"/>
      <c r="N2024" s="47" t="n"/>
      <c r="O2024" s="47" t="n"/>
      <c r="P2024" s="47" t="n"/>
      <c r="Q2024" s="47" t="n"/>
      <c r="R2024" s="47" t="n"/>
      <c r="S2024" s="47" t="n"/>
      <c r="T2024" s="47" t="n"/>
      <c r="U2024" s="53" t="n"/>
      <c r="V2024" s="53" t="n"/>
      <c r="W2024" s="47" t="n"/>
      <c r="X2024" s="47" t="n"/>
      <c r="Y2024" s="47" t="n"/>
      <c r="Z2024" s="47" t="n"/>
      <c r="AA2024" s="47" t="n"/>
      <c r="AB2024" s="47" t="n"/>
      <c r="AC2024" s="47" t="n"/>
      <c r="AD2024" s="47" t="n"/>
      <c r="AE2024" s="47" t="n"/>
      <c r="AF2024" s="20">
        <f>IF(A2024="","",YEAR(EDATE(A2024,-3)))</f>
        <v/>
      </c>
      <c r="AG2024" s="20">
        <f>IF(OR(B2024="",'経歴簿'!$C$4=""),"",IF(B2024&amp;""='経歴簿'!$C$4&amp;"",MAX($AG$4:AG2023)+1,""))</f>
        <v/>
      </c>
      <c r="AH2024" s="20">
        <f>IF(A2024="",0,IF(AND(OR('CSV抽出'!$C$4="",A2024&gt;='CSV抽出'!$C$4),OR('CSV抽出'!$C$5="",A2024&lt;='CSV抽出'!$C$5),OR('CSV抽出'!$C$6="すべて",'CSV抽出'!$C$6="",D2024='CSV抽出'!$C$6),OR('CSV抽出'!$C$7="",B2024&amp;""='CSV抽出'!$C$7&amp;"")),1,0))</f>
        <v/>
      </c>
      <c r="AI2024" s="20">
        <f>IF(AH2024=1,SUM($AH$5:AH2024),"")</f>
        <v/>
      </c>
      <c r="AJ2024" s="20">
        <f>IF(OR(S2024="",'報告書'!$C$4=""),"",IF(S2024&amp;""='報告書'!$C$4&amp;"",COUNTIF($S$5:S2024,'報告書'!$C$4),""))</f>
        <v/>
      </c>
      <c r="AK2024" s="20" t="n"/>
      <c r="AL2024" s="47" t="n"/>
      <c r="AM2024" s="47" t="n"/>
      <c r="AN2024" s="53" t="n"/>
      <c r="AO2024" s="47" t="n"/>
      <c r="AP2024" s="47" t="n"/>
      <c r="AQ2024" s="47" t="n"/>
      <c r="AR2024" s="47" t="n"/>
      <c r="AS2024" s="47" t="n"/>
      <c r="AT2024" s="47" t="n"/>
      <c r="AU2024" s="47" t="n"/>
      <c r="AV2024" s="47" t="n"/>
      <c r="AW2024" s="52" t="n"/>
    </row>
    <row r="2025">
      <c r="A2025" s="48" t="n"/>
      <c r="B2025" s="52" t="n"/>
      <c r="C2025" s="47">
        <f>IF(B2025="","",IFERROR(INDEX('隊員マスタ'!$B$5:$B$204,MATCH(B2025&amp;"",'隊員マスタ'!$F$5:$F$204,0)),IF(AK2025="","番号なし",AK2025)))</f>
        <v/>
      </c>
      <c r="D2025" s="47" t="n"/>
      <c r="E2025" s="47" t="n"/>
      <c r="F2025" s="47" t="n"/>
      <c r="G2025" s="47" t="n"/>
      <c r="H2025" s="47" t="n"/>
      <c r="I2025" s="47" t="n"/>
      <c r="J2025" s="47" t="n"/>
      <c r="K2025" s="47" t="n"/>
      <c r="L2025" s="47" t="n"/>
      <c r="M2025" s="47" t="n"/>
      <c r="N2025" s="47" t="n"/>
      <c r="O2025" s="47" t="n"/>
      <c r="P2025" s="47" t="n"/>
      <c r="Q2025" s="47" t="n"/>
      <c r="R2025" s="47" t="n"/>
      <c r="S2025" s="47" t="n"/>
      <c r="T2025" s="47" t="n"/>
      <c r="U2025" s="53" t="n"/>
      <c r="V2025" s="53" t="n"/>
      <c r="W2025" s="47" t="n"/>
      <c r="X2025" s="47" t="n"/>
      <c r="Y2025" s="47" t="n"/>
      <c r="Z2025" s="47" t="n"/>
      <c r="AA2025" s="47" t="n"/>
      <c r="AB2025" s="47" t="n"/>
      <c r="AC2025" s="47" t="n"/>
      <c r="AD2025" s="47" t="n"/>
      <c r="AE2025" s="47" t="n"/>
      <c r="AF2025" s="20">
        <f>IF(A2025="","",YEAR(EDATE(A2025,-3)))</f>
        <v/>
      </c>
      <c r="AG2025" s="20">
        <f>IF(OR(B2025="",'経歴簿'!$C$4=""),"",IF(B2025&amp;""='経歴簿'!$C$4&amp;"",MAX($AG$4:AG2024)+1,""))</f>
        <v/>
      </c>
      <c r="AH2025" s="20">
        <f>IF(A2025="",0,IF(AND(OR('CSV抽出'!$C$4="",A2025&gt;='CSV抽出'!$C$4),OR('CSV抽出'!$C$5="",A2025&lt;='CSV抽出'!$C$5),OR('CSV抽出'!$C$6="すべて",'CSV抽出'!$C$6="",D2025='CSV抽出'!$C$6),OR('CSV抽出'!$C$7="",B2025&amp;""='CSV抽出'!$C$7&amp;"")),1,0))</f>
        <v/>
      </c>
      <c r="AI2025" s="20">
        <f>IF(AH2025=1,SUM($AH$5:AH2025),"")</f>
        <v/>
      </c>
      <c r="AJ2025" s="20">
        <f>IF(OR(S2025="",'報告書'!$C$4=""),"",IF(S2025&amp;""='報告書'!$C$4&amp;"",COUNTIF($S$5:S2025,'報告書'!$C$4),""))</f>
        <v/>
      </c>
      <c r="AK2025" s="20" t="n"/>
      <c r="AL2025" s="47" t="n"/>
      <c r="AM2025" s="47" t="n"/>
      <c r="AN2025" s="53" t="n"/>
      <c r="AO2025" s="47" t="n"/>
      <c r="AP2025" s="47" t="n"/>
      <c r="AQ2025" s="47" t="n"/>
      <c r="AR2025" s="47" t="n"/>
      <c r="AS2025" s="47" t="n"/>
      <c r="AT2025" s="47" t="n"/>
      <c r="AU2025" s="47" t="n"/>
      <c r="AV2025" s="47" t="n"/>
      <c r="AW2025" s="52" t="n"/>
    </row>
    <row r="2026">
      <c r="A2026" s="48" t="n"/>
      <c r="B2026" s="52" t="n"/>
      <c r="C2026" s="47">
        <f>IF(B2026="","",IFERROR(INDEX('隊員マスタ'!$B$5:$B$204,MATCH(B2026&amp;"",'隊員マスタ'!$F$5:$F$204,0)),IF(AK2026="","番号なし",AK2026)))</f>
        <v/>
      </c>
      <c r="D2026" s="47" t="n"/>
      <c r="E2026" s="47" t="n"/>
      <c r="F2026" s="47" t="n"/>
      <c r="G2026" s="47" t="n"/>
      <c r="H2026" s="47" t="n"/>
      <c r="I2026" s="47" t="n"/>
      <c r="J2026" s="47" t="n"/>
      <c r="K2026" s="47" t="n"/>
      <c r="L2026" s="47" t="n"/>
      <c r="M2026" s="47" t="n"/>
      <c r="N2026" s="47" t="n"/>
      <c r="O2026" s="47" t="n"/>
      <c r="P2026" s="47" t="n"/>
      <c r="Q2026" s="47" t="n"/>
      <c r="R2026" s="47" t="n"/>
      <c r="S2026" s="47" t="n"/>
      <c r="T2026" s="47" t="n"/>
      <c r="U2026" s="53" t="n"/>
      <c r="V2026" s="53" t="n"/>
      <c r="W2026" s="47" t="n"/>
      <c r="X2026" s="47" t="n"/>
      <c r="Y2026" s="47" t="n"/>
      <c r="Z2026" s="47" t="n"/>
      <c r="AA2026" s="47" t="n"/>
      <c r="AB2026" s="47" t="n"/>
      <c r="AC2026" s="47" t="n"/>
      <c r="AD2026" s="47" t="n"/>
      <c r="AE2026" s="47" t="n"/>
      <c r="AF2026" s="20">
        <f>IF(A2026="","",YEAR(EDATE(A2026,-3)))</f>
        <v/>
      </c>
      <c r="AG2026" s="20">
        <f>IF(OR(B2026="",'経歴簿'!$C$4=""),"",IF(B2026&amp;""='経歴簿'!$C$4&amp;"",MAX($AG$4:AG2025)+1,""))</f>
        <v/>
      </c>
      <c r="AH2026" s="20">
        <f>IF(A2026="",0,IF(AND(OR('CSV抽出'!$C$4="",A2026&gt;='CSV抽出'!$C$4),OR('CSV抽出'!$C$5="",A2026&lt;='CSV抽出'!$C$5),OR('CSV抽出'!$C$6="すべて",'CSV抽出'!$C$6="",D2026='CSV抽出'!$C$6),OR('CSV抽出'!$C$7="",B2026&amp;""='CSV抽出'!$C$7&amp;"")),1,0))</f>
        <v/>
      </c>
      <c r="AI2026" s="20">
        <f>IF(AH2026=1,SUM($AH$5:AH2026),"")</f>
        <v/>
      </c>
      <c r="AJ2026" s="20">
        <f>IF(OR(S2026="",'報告書'!$C$4=""),"",IF(S2026&amp;""='報告書'!$C$4&amp;"",COUNTIF($S$5:S2026,'報告書'!$C$4),""))</f>
        <v/>
      </c>
      <c r="AK2026" s="20" t="n"/>
      <c r="AL2026" s="47" t="n"/>
      <c r="AM2026" s="47" t="n"/>
      <c r="AN2026" s="53" t="n"/>
      <c r="AO2026" s="47" t="n"/>
      <c r="AP2026" s="47" t="n"/>
      <c r="AQ2026" s="47" t="n"/>
      <c r="AR2026" s="47" t="n"/>
      <c r="AS2026" s="47" t="n"/>
      <c r="AT2026" s="47" t="n"/>
      <c r="AU2026" s="47" t="n"/>
      <c r="AV2026" s="47" t="n"/>
      <c r="AW2026" s="52" t="n"/>
    </row>
    <row r="2027">
      <c r="A2027" s="48" t="n"/>
      <c r="B2027" s="52" t="n"/>
      <c r="C2027" s="47">
        <f>IF(B2027="","",IFERROR(INDEX('隊員マスタ'!$B$5:$B$204,MATCH(B2027&amp;"",'隊員マスタ'!$F$5:$F$204,0)),IF(AK2027="","番号なし",AK2027)))</f>
        <v/>
      </c>
      <c r="D2027" s="47" t="n"/>
      <c r="E2027" s="47" t="n"/>
      <c r="F2027" s="47" t="n"/>
      <c r="G2027" s="47" t="n"/>
      <c r="H2027" s="47" t="n"/>
      <c r="I2027" s="47" t="n"/>
      <c r="J2027" s="47" t="n"/>
      <c r="K2027" s="47" t="n"/>
      <c r="L2027" s="47" t="n"/>
      <c r="M2027" s="47" t="n"/>
      <c r="N2027" s="47" t="n"/>
      <c r="O2027" s="47" t="n"/>
      <c r="P2027" s="47" t="n"/>
      <c r="Q2027" s="47" t="n"/>
      <c r="R2027" s="47" t="n"/>
      <c r="S2027" s="47" t="n"/>
      <c r="T2027" s="47" t="n"/>
      <c r="U2027" s="53" t="n"/>
      <c r="V2027" s="53" t="n"/>
      <c r="W2027" s="47" t="n"/>
      <c r="X2027" s="47" t="n"/>
      <c r="Y2027" s="47" t="n"/>
      <c r="Z2027" s="47" t="n"/>
      <c r="AA2027" s="47" t="n"/>
      <c r="AB2027" s="47" t="n"/>
      <c r="AC2027" s="47" t="n"/>
      <c r="AD2027" s="47" t="n"/>
      <c r="AE2027" s="47" t="n"/>
      <c r="AF2027" s="20">
        <f>IF(A2027="","",YEAR(EDATE(A2027,-3)))</f>
        <v/>
      </c>
      <c r="AG2027" s="20">
        <f>IF(OR(B2027="",'経歴簿'!$C$4=""),"",IF(B2027&amp;""='経歴簿'!$C$4&amp;"",MAX($AG$4:AG2026)+1,""))</f>
        <v/>
      </c>
      <c r="AH2027" s="20">
        <f>IF(A2027="",0,IF(AND(OR('CSV抽出'!$C$4="",A2027&gt;='CSV抽出'!$C$4),OR('CSV抽出'!$C$5="",A2027&lt;='CSV抽出'!$C$5),OR('CSV抽出'!$C$6="すべて",'CSV抽出'!$C$6="",D2027='CSV抽出'!$C$6),OR('CSV抽出'!$C$7="",B2027&amp;""='CSV抽出'!$C$7&amp;"")),1,0))</f>
        <v/>
      </c>
      <c r="AI2027" s="20">
        <f>IF(AH2027=1,SUM($AH$5:AH2027),"")</f>
        <v/>
      </c>
      <c r="AJ2027" s="20">
        <f>IF(OR(S2027="",'報告書'!$C$4=""),"",IF(S2027&amp;""='報告書'!$C$4&amp;"",COUNTIF($S$5:S2027,'報告書'!$C$4),""))</f>
        <v/>
      </c>
      <c r="AK2027" s="20" t="n"/>
      <c r="AL2027" s="47" t="n"/>
      <c r="AM2027" s="47" t="n"/>
      <c r="AN2027" s="53" t="n"/>
      <c r="AO2027" s="47" t="n"/>
      <c r="AP2027" s="47" t="n"/>
      <c r="AQ2027" s="47" t="n"/>
      <c r="AR2027" s="47" t="n"/>
      <c r="AS2027" s="47" t="n"/>
      <c r="AT2027" s="47" t="n"/>
      <c r="AU2027" s="47" t="n"/>
      <c r="AV2027" s="47" t="n"/>
      <c r="AW2027" s="52" t="n"/>
    </row>
    <row r="2028">
      <c r="A2028" s="48" t="n"/>
      <c r="B2028" s="52" t="n"/>
      <c r="C2028" s="47">
        <f>IF(B2028="","",IFERROR(INDEX('隊員マスタ'!$B$5:$B$204,MATCH(B2028&amp;"",'隊員マスタ'!$F$5:$F$204,0)),IF(AK2028="","番号なし",AK2028)))</f>
        <v/>
      </c>
      <c r="D2028" s="47" t="n"/>
      <c r="E2028" s="47" t="n"/>
      <c r="F2028" s="47" t="n"/>
      <c r="G2028" s="47" t="n"/>
      <c r="H2028" s="47" t="n"/>
      <c r="I2028" s="47" t="n"/>
      <c r="J2028" s="47" t="n"/>
      <c r="K2028" s="47" t="n"/>
      <c r="L2028" s="47" t="n"/>
      <c r="M2028" s="47" t="n"/>
      <c r="N2028" s="47" t="n"/>
      <c r="O2028" s="47" t="n"/>
      <c r="P2028" s="47" t="n"/>
      <c r="Q2028" s="47" t="n"/>
      <c r="R2028" s="47" t="n"/>
      <c r="S2028" s="47" t="n"/>
      <c r="T2028" s="47" t="n"/>
      <c r="U2028" s="53" t="n"/>
      <c r="V2028" s="53" t="n"/>
      <c r="W2028" s="47" t="n"/>
      <c r="X2028" s="47" t="n"/>
      <c r="Y2028" s="47" t="n"/>
      <c r="Z2028" s="47" t="n"/>
      <c r="AA2028" s="47" t="n"/>
      <c r="AB2028" s="47" t="n"/>
      <c r="AC2028" s="47" t="n"/>
      <c r="AD2028" s="47" t="n"/>
      <c r="AE2028" s="47" t="n"/>
      <c r="AF2028" s="20">
        <f>IF(A2028="","",YEAR(EDATE(A2028,-3)))</f>
        <v/>
      </c>
      <c r="AG2028" s="20">
        <f>IF(OR(B2028="",'経歴簿'!$C$4=""),"",IF(B2028&amp;""='経歴簿'!$C$4&amp;"",MAX($AG$4:AG2027)+1,""))</f>
        <v/>
      </c>
      <c r="AH2028" s="20">
        <f>IF(A2028="",0,IF(AND(OR('CSV抽出'!$C$4="",A2028&gt;='CSV抽出'!$C$4),OR('CSV抽出'!$C$5="",A2028&lt;='CSV抽出'!$C$5),OR('CSV抽出'!$C$6="すべて",'CSV抽出'!$C$6="",D2028='CSV抽出'!$C$6),OR('CSV抽出'!$C$7="",B2028&amp;""='CSV抽出'!$C$7&amp;"")),1,0))</f>
        <v/>
      </c>
      <c r="AI2028" s="20">
        <f>IF(AH2028=1,SUM($AH$5:AH2028),"")</f>
        <v/>
      </c>
      <c r="AJ2028" s="20">
        <f>IF(OR(S2028="",'報告書'!$C$4=""),"",IF(S2028&amp;""='報告書'!$C$4&amp;"",COUNTIF($S$5:S2028,'報告書'!$C$4),""))</f>
        <v/>
      </c>
      <c r="AK2028" s="20" t="n"/>
      <c r="AL2028" s="47" t="n"/>
      <c r="AM2028" s="47" t="n"/>
      <c r="AN2028" s="53" t="n"/>
      <c r="AO2028" s="47" t="n"/>
      <c r="AP2028" s="47" t="n"/>
      <c r="AQ2028" s="47" t="n"/>
      <c r="AR2028" s="47" t="n"/>
      <c r="AS2028" s="47" t="n"/>
      <c r="AT2028" s="47" t="n"/>
      <c r="AU2028" s="47" t="n"/>
      <c r="AV2028" s="47" t="n"/>
      <c r="AW2028" s="52" t="n"/>
    </row>
    <row r="2029">
      <c r="A2029" s="48" t="n"/>
      <c r="B2029" s="52" t="n"/>
      <c r="C2029" s="47">
        <f>IF(B2029="","",IFERROR(INDEX('隊員マスタ'!$B$5:$B$204,MATCH(B2029&amp;"",'隊員マスタ'!$F$5:$F$204,0)),IF(AK2029="","番号なし",AK2029)))</f>
        <v/>
      </c>
      <c r="D2029" s="47" t="n"/>
      <c r="E2029" s="47" t="n"/>
      <c r="F2029" s="47" t="n"/>
      <c r="G2029" s="47" t="n"/>
      <c r="H2029" s="47" t="n"/>
      <c r="I2029" s="47" t="n"/>
      <c r="J2029" s="47" t="n"/>
      <c r="K2029" s="47" t="n"/>
      <c r="L2029" s="47" t="n"/>
      <c r="M2029" s="47" t="n"/>
      <c r="N2029" s="47" t="n"/>
      <c r="O2029" s="47" t="n"/>
      <c r="P2029" s="47" t="n"/>
      <c r="Q2029" s="47" t="n"/>
      <c r="R2029" s="47" t="n"/>
      <c r="S2029" s="47" t="n"/>
      <c r="T2029" s="47" t="n"/>
      <c r="U2029" s="53" t="n"/>
      <c r="V2029" s="53" t="n"/>
      <c r="W2029" s="47" t="n"/>
      <c r="X2029" s="47" t="n"/>
      <c r="Y2029" s="47" t="n"/>
      <c r="Z2029" s="47" t="n"/>
      <c r="AA2029" s="47" t="n"/>
      <c r="AB2029" s="47" t="n"/>
      <c r="AC2029" s="47" t="n"/>
      <c r="AD2029" s="47" t="n"/>
      <c r="AE2029" s="47" t="n"/>
      <c r="AF2029" s="20">
        <f>IF(A2029="","",YEAR(EDATE(A2029,-3)))</f>
        <v/>
      </c>
      <c r="AG2029" s="20">
        <f>IF(OR(B2029="",'経歴簿'!$C$4=""),"",IF(B2029&amp;""='経歴簿'!$C$4&amp;"",MAX($AG$4:AG2028)+1,""))</f>
        <v/>
      </c>
      <c r="AH2029" s="20">
        <f>IF(A2029="",0,IF(AND(OR('CSV抽出'!$C$4="",A2029&gt;='CSV抽出'!$C$4),OR('CSV抽出'!$C$5="",A2029&lt;='CSV抽出'!$C$5),OR('CSV抽出'!$C$6="すべて",'CSV抽出'!$C$6="",D2029='CSV抽出'!$C$6),OR('CSV抽出'!$C$7="",B2029&amp;""='CSV抽出'!$C$7&amp;"")),1,0))</f>
        <v/>
      </c>
      <c r="AI2029" s="20">
        <f>IF(AH2029=1,SUM($AH$5:AH2029),"")</f>
        <v/>
      </c>
      <c r="AJ2029" s="20">
        <f>IF(OR(S2029="",'報告書'!$C$4=""),"",IF(S2029&amp;""='報告書'!$C$4&amp;"",COUNTIF($S$5:S2029,'報告書'!$C$4),""))</f>
        <v/>
      </c>
      <c r="AK2029" s="20" t="n"/>
      <c r="AL2029" s="47" t="n"/>
      <c r="AM2029" s="47" t="n"/>
      <c r="AN2029" s="53" t="n"/>
      <c r="AO2029" s="47" t="n"/>
      <c r="AP2029" s="47" t="n"/>
      <c r="AQ2029" s="47" t="n"/>
      <c r="AR2029" s="47" t="n"/>
      <c r="AS2029" s="47" t="n"/>
      <c r="AT2029" s="47" t="n"/>
      <c r="AU2029" s="47" t="n"/>
      <c r="AV2029" s="47" t="n"/>
      <c r="AW2029" s="52" t="n"/>
    </row>
    <row r="2030">
      <c r="A2030" s="48" t="n"/>
      <c r="B2030" s="52" t="n"/>
      <c r="C2030" s="47">
        <f>IF(B2030="","",IFERROR(INDEX('隊員マスタ'!$B$5:$B$204,MATCH(B2030&amp;"",'隊員マスタ'!$F$5:$F$204,0)),IF(AK2030="","番号なし",AK2030)))</f>
        <v/>
      </c>
      <c r="D2030" s="47" t="n"/>
      <c r="E2030" s="47" t="n"/>
      <c r="F2030" s="47" t="n"/>
      <c r="G2030" s="47" t="n"/>
      <c r="H2030" s="47" t="n"/>
      <c r="I2030" s="47" t="n"/>
      <c r="J2030" s="47" t="n"/>
      <c r="K2030" s="47" t="n"/>
      <c r="L2030" s="47" t="n"/>
      <c r="M2030" s="47" t="n"/>
      <c r="N2030" s="47" t="n"/>
      <c r="O2030" s="47" t="n"/>
      <c r="P2030" s="47" t="n"/>
      <c r="Q2030" s="47" t="n"/>
      <c r="R2030" s="47" t="n"/>
      <c r="S2030" s="47" t="n"/>
      <c r="T2030" s="47" t="n"/>
      <c r="U2030" s="53" t="n"/>
      <c r="V2030" s="53" t="n"/>
      <c r="W2030" s="47" t="n"/>
      <c r="X2030" s="47" t="n"/>
      <c r="Y2030" s="47" t="n"/>
      <c r="Z2030" s="47" t="n"/>
      <c r="AA2030" s="47" t="n"/>
      <c r="AB2030" s="47" t="n"/>
      <c r="AC2030" s="47" t="n"/>
      <c r="AD2030" s="47" t="n"/>
      <c r="AE2030" s="47" t="n"/>
      <c r="AF2030" s="20">
        <f>IF(A2030="","",YEAR(EDATE(A2030,-3)))</f>
        <v/>
      </c>
      <c r="AG2030" s="20">
        <f>IF(OR(B2030="",'経歴簿'!$C$4=""),"",IF(B2030&amp;""='経歴簿'!$C$4&amp;"",MAX($AG$4:AG2029)+1,""))</f>
        <v/>
      </c>
      <c r="AH2030" s="20">
        <f>IF(A2030="",0,IF(AND(OR('CSV抽出'!$C$4="",A2030&gt;='CSV抽出'!$C$4),OR('CSV抽出'!$C$5="",A2030&lt;='CSV抽出'!$C$5),OR('CSV抽出'!$C$6="すべて",'CSV抽出'!$C$6="",D2030='CSV抽出'!$C$6),OR('CSV抽出'!$C$7="",B2030&amp;""='CSV抽出'!$C$7&amp;"")),1,0))</f>
        <v/>
      </c>
      <c r="AI2030" s="20">
        <f>IF(AH2030=1,SUM($AH$5:AH2030),"")</f>
        <v/>
      </c>
      <c r="AJ2030" s="20">
        <f>IF(OR(S2030="",'報告書'!$C$4=""),"",IF(S2030&amp;""='報告書'!$C$4&amp;"",COUNTIF($S$5:S2030,'報告書'!$C$4),""))</f>
        <v/>
      </c>
      <c r="AK2030" s="20" t="n"/>
      <c r="AL2030" s="47" t="n"/>
      <c r="AM2030" s="47" t="n"/>
      <c r="AN2030" s="53" t="n"/>
      <c r="AO2030" s="47" t="n"/>
      <c r="AP2030" s="47" t="n"/>
      <c r="AQ2030" s="47" t="n"/>
      <c r="AR2030" s="47" t="n"/>
      <c r="AS2030" s="47" t="n"/>
      <c r="AT2030" s="47" t="n"/>
      <c r="AU2030" s="47" t="n"/>
      <c r="AV2030" s="47" t="n"/>
      <c r="AW2030" s="52" t="n"/>
    </row>
    <row r="2031">
      <c r="A2031" s="48" t="n"/>
      <c r="B2031" s="52" t="n"/>
      <c r="C2031" s="47">
        <f>IF(B2031="","",IFERROR(INDEX('隊員マスタ'!$B$5:$B$204,MATCH(B2031&amp;"",'隊員マスタ'!$F$5:$F$204,0)),IF(AK2031="","番号なし",AK2031)))</f>
        <v/>
      </c>
      <c r="D2031" s="47" t="n"/>
      <c r="E2031" s="47" t="n"/>
      <c r="F2031" s="47" t="n"/>
      <c r="G2031" s="47" t="n"/>
      <c r="H2031" s="47" t="n"/>
      <c r="I2031" s="47" t="n"/>
      <c r="J2031" s="47" t="n"/>
      <c r="K2031" s="47" t="n"/>
      <c r="L2031" s="47" t="n"/>
      <c r="M2031" s="47" t="n"/>
      <c r="N2031" s="47" t="n"/>
      <c r="O2031" s="47" t="n"/>
      <c r="P2031" s="47" t="n"/>
      <c r="Q2031" s="47" t="n"/>
      <c r="R2031" s="47" t="n"/>
      <c r="S2031" s="47" t="n"/>
      <c r="T2031" s="47" t="n"/>
      <c r="U2031" s="53" t="n"/>
      <c r="V2031" s="53" t="n"/>
      <c r="W2031" s="47" t="n"/>
      <c r="X2031" s="47" t="n"/>
      <c r="Y2031" s="47" t="n"/>
      <c r="Z2031" s="47" t="n"/>
      <c r="AA2031" s="47" t="n"/>
      <c r="AB2031" s="47" t="n"/>
      <c r="AC2031" s="47" t="n"/>
      <c r="AD2031" s="47" t="n"/>
      <c r="AE2031" s="47" t="n"/>
      <c r="AF2031" s="20">
        <f>IF(A2031="","",YEAR(EDATE(A2031,-3)))</f>
        <v/>
      </c>
      <c r="AG2031" s="20">
        <f>IF(OR(B2031="",'経歴簿'!$C$4=""),"",IF(B2031&amp;""='経歴簿'!$C$4&amp;"",MAX($AG$4:AG2030)+1,""))</f>
        <v/>
      </c>
      <c r="AH2031" s="20">
        <f>IF(A2031="",0,IF(AND(OR('CSV抽出'!$C$4="",A2031&gt;='CSV抽出'!$C$4),OR('CSV抽出'!$C$5="",A2031&lt;='CSV抽出'!$C$5),OR('CSV抽出'!$C$6="すべて",'CSV抽出'!$C$6="",D2031='CSV抽出'!$C$6),OR('CSV抽出'!$C$7="",B2031&amp;""='CSV抽出'!$C$7&amp;"")),1,0))</f>
        <v/>
      </c>
      <c r="AI2031" s="20">
        <f>IF(AH2031=1,SUM($AH$5:AH2031),"")</f>
        <v/>
      </c>
      <c r="AJ2031" s="20">
        <f>IF(OR(S2031="",'報告書'!$C$4=""),"",IF(S2031&amp;""='報告書'!$C$4&amp;"",COUNTIF($S$5:S2031,'報告書'!$C$4),""))</f>
        <v/>
      </c>
      <c r="AK2031" s="20" t="n"/>
      <c r="AL2031" s="47" t="n"/>
      <c r="AM2031" s="47" t="n"/>
      <c r="AN2031" s="53" t="n"/>
      <c r="AO2031" s="47" t="n"/>
      <c r="AP2031" s="47" t="n"/>
      <c r="AQ2031" s="47" t="n"/>
      <c r="AR2031" s="47" t="n"/>
      <c r="AS2031" s="47" t="n"/>
      <c r="AT2031" s="47" t="n"/>
      <c r="AU2031" s="47" t="n"/>
      <c r="AV2031" s="47" t="n"/>
      <c r="AW2031" s="52" t="n"/>
    </row>
    <row r="2032">
      <c r="A2032" s="48" t="n"/>
      <c r="B2032" s="52" t="n"/>
      <c r="C2032" s="47">
        <f>IF(B2032="","",IFERROR(INDEX('隊員マスタ'!$B$5:$B$204,MATCH(B2032&amp;"",'隊員マスタ'!$F$5:$F$204,0)),IF(AK2032="","番号なし",AK2032)))</f>
        <v/>
      </c>
      <c r="D2032" s="47" t="n"/>
      <c r="E2032" s="47" t="n"/>
      <c r="F2032" s="47" t="n"/>
      <c r="G2032" s="47" t="n"/>
      <c r="H2032" s="47" t="n"/>
      <c r="I2032" s="47" t="n"/>
      <c r="J2032" s="47" t="n"/>
      <c r="K2032" s="47" t="n"/>
      <c r="L2032" s="47" t="n"/>
      <c r="M2032" s="47" t="n"/>
      <c r="N2032" s="47" t="n"/>
      <c r="O2032" s="47" t="n"/>
      <c r="P2032" s="47" t="n"/>
      <c r="Q2032" s="47" t="n"/>
      <c r="R2032" s="47" t="n"/>
      <c r="S2032" s="47" t="n"/>
      <c r="T2032" s="47" t="n"/>
      <c r="U2032" s="53" t="n"/>
      <c r="V2032" s="53" t="n"/>
      <c r="W2032" s="47" t="n"/>
      <c r="X2032" s="47" t="n"/>
      <c r="Y2032" s="47" t="n"/>
      <c r="Z2032" s="47" t="n"/>
      <c r="AA2032" s="47" t="n"/>
      <c r="AB2032" s="47" t="n"/>
      <c r="AC2032" s="47" t="n"/>
      <c r="AD2032" s="47" t="n"/>
      <c r="AE2032" s="47" t="n"/>
      <c r="AF2032" s="20">
        <f>IF(A2032="","",YEAR(EDATE(A2032,-3)))</f>
        <v/>
      </c>
      <c r="AG2032" s="20">
        <f>IF(OR(B2032="",'経歴簿'!$C$4=""),"",IF(B2032&amp;""='経歴簿'!$C$4&amp;"",MAX($AG$4:AG2031)+1,""))</f>
        <v/>
      </c>
      <c r="AH2032" s="20">
        <f>IF(A2032="",0,IF(AND(OR('CSV抽出'!$C$4="",A2032&gt;='CSV抽出'!$C$4),OR('CSV抽出'!$C$5="",A2032&lt;='CSV抽出'!$C$5),OR('CSV抽出'!$C$6="すべて",'CSV抽出'!$C$6="",D2032='CSV抽出'!$C$6),OR('CSV抽出'!$C$7="",B2032&amp;""='CSV抽出'!$C$7&amp;"")),1,0))</f>
        <v/>
      </c>
      <c r="AI2032" s="20">
        <f>IF(AH2032=1,SUM($AH$5:AH2032),"")</f>
        <v/>
      </c>
      <c r="AJ2032" s="20">
        <f>IF(OR(S2032="",'報告書'!$C$4=""),"",IF(S2032&amp;""='報告書'!$C$4&amp;"",COUNTIF($S$5:S2032,'報告書'!$C$4),""))</f>
        <v/>
      </c>
      <c r="AK2032" s="20" t="n"/>
      <c r="AL2032" s="47" t="n"/>
      <c r="AM2032" s="47" t="n"/>
      <c r="AN2032" s="53" t="n"/>
      <c r="AO2032" s="47" t="n"/>
      <c r="AP2032" s="47" t="n"/>
      <c r="AQ2032" s="47" t="n"/>
      <c r="AR2032" s="47" t="n"/>
      <c r="AS2032" s="47" t="n"/>
      <c r="AT2032" s="47" t="n"/>
      <c r="AU2032" s="47" t="n"/>
      <c r="AV2032" s="47" t="n"/>
      <c r="AW2032" s="52" t="n"/>
    </row>
    <row r="2033">
      <c r="A2033" s="48" t="n"/>
      <c r="B2033" s="52" t="n"/>
      <c r="C2033" s="47">
        <f>IF(B2033="","",IFERROR(INDEX('隊員マスタ'!$B$5:$B$204,MATCH(B2033&amp;"",'隊員マスタ'!$F$5:$F$204,0)),IF(AK2033="","番号なし",AK2033)))</f>
        <v/>
      </c>
      <c r="D2033" s="47" t="n"/>
      <c r="E2033" s="47" t="n"/>
      <c r="F2033" s="47" t="n"/>
      <c r="G2033" s="47" t="n"/>
      <c r="H2033" s="47" t="n"/>
      <c r="I2033" s="47" t="n"/>
      <c r="J2033" s="47" t="n"/>
      <c r="K2033" s="47" t="n"/>
      <c r="L2033" s="47" t="n"/>
      <c r="M2033" s="47" t="n"/>
      <c r="N2033" s="47" t="n"/>
      <c r="O2033" s="47" t="n"/>
      <c r="P2033" s="47" t="n"/>
      <c r="Q2033" s="47" t="n"/>
      <c r="R2033" s="47" t="n"/>
      <c r="S2033" s="47" t="n"/>
      <c r="T2033" s="47" t="n"/>
      <c r="U2033" s="53" t="n"/>
      <c r="V2033" s="53" t="n"/>
      <c r="W2033" s="47" t="n"/>
      <c r="X2033" s="47" t="n"/>
      <c r="Y2033" s="47" t="n"/>
      <c r="Z2033" s="47" t="n"/>
      <c r="AA2033" s="47" t="n"/>
      <c r="AB2033" s="47" t="n"/>
      <c r="AC2033" s="47" t="n"/>
      <c r="AD2033" s="47" t="n"/>
      <c r="AE2033" s="47" t="n"/>
      <c r="AF2033" s="20">
        <f>IF(A2033="","",YEAR(EDATE(A2033,-3)))</f>
        <v/>
      </c>
      <c r="AG2033" s="20">
        <f>IF(OR(B2033="",'経歴簿'!$C$4=""),"",IF(B2033&amp;""='経歴簿'!$C$4&amp;"",MAX($AG$4:AG2032)+1,""))</f>
        <v/>
      </c>
      <c r="AH2033" s="20">
        <f>IF(A2033="",0,IF(AND(OR('CSV抽出'!$C$4="",A2033&gt;='CSV抽出'!$C$4),OR('CSV抽出'!$C$5="",A2033&lt;='CSV抽出'!$C$5),OR('CSV抽出'!$C$6="すべて",'CSV抽出'!$C$6="",D2033='CSV抽出'!$C$6),OR('CSV抽出'!$C$7="",B2033&amp;""='CSV抽出'!$C$7&amp;"")),1,0))</f>
        <v/>
      </c>
      <c r="AI2033" s="20">
        <f>IF(AH2033=1,SUM($AH$5:AH2033),"")</f>
        <v/>
      </c>
      <c r="AJ2033" s="20">
        <f>IF(OR(S2033="",'報告書'!$C$4=""),"",IF(S2033&amp;""='報告書'!$C$4&amp;"",COUNTIF($S$5:S2033,'報告書'!$C$4),""))</f>
        <v/>
      </c>
      <c r="AK2033" s="20" t="n"/>
      <c r="AL2033" s="47" t="n"/>
      <c r="AM2033" s="47" t="n"/>
      <c r="AN2033" s="53" t="n"/>
      <c r="AO2033" s="47" t="n"/>
      <c r="AP2033" s="47" t="n"/>
      <c r="AQ2033" s="47" t="n"/>
      <c r="AR2033" s="47" t="n"/>
      <c r="AS2033" s="47" t="n"/>
      <c r="AT2033" s="47" t="n"/>
      <c r="AU2033" s="47" t="n"/>
      <c r="AV2033" s="47" t="n"/>
      <c r="AW2033" s="52" t="n"/>
    </row>
    <row r="2034">
      <c r="A2034" s="48" t="n"/>
      <c r="B2034" s="52" t="n"/>
      <c r="C2034" s="47">
        <f>IF(B2034="","",IFERROR(INDEX('隊員マスタ'!$B$5:$B$204,MATCH(B2034&amp;"",'隊員マスタ'!$F$5:$F$204,0)),IF(AK2034="","番号なし",AK2034)))</f>
        <v/>
      </c>
      <c r="D2034" s="47" t="n"/>
      <c r="E2034" s="47" t="n"/>
      <c r="F2034" s="47" t="n"/>
      <c r="G2034" s="47" t="n"/>
      <c r="H2034" s="47" t="n"/>
      <c r="I2034" s="47" t="n"/>
      <c r="J2034" s="47" t="n"/>
      <c r="K2034" s="47" t="n"/>
      <c r="L2034" s="47" t="n"/>
      <c r="M2034" s="47" t="n"/>
      <c r="N2034" s="47" t="n"/>
      <c r="O2034" s="47" t="n"/>
      <c r="P2034" s="47" t="n"/>
      <c r="Q2034" s="47" t="n"/>
      <c r="R2034" s="47" t="n"/>
      <c r="S2034" s="47" t="n"/>
      <c r="T2034" s="47" t="n"/>
      <c r="U2034" s="53" t="n"/>
      <c r="V2034" s="53" t="n"/>
      <c r="W2034" s="47" t="n"/>
      <c r="X2034" s="47" t="n"/>
      <c r="Y2034" s="47" t="n"/>
      <c r="Z2034" s="47" t="n"/>
      <c r="AA2034" s="47" t="n"/>
      <c r="AB2034" s="47" t="n"/>
      <c r="AC2034" s="47" t="n"/>
      <c r="AD2034" s="47" t="n"/>
      <c r="AE2034" s="47" t="n"/>
      <c r="AF2034" s="20">
        <f>IF(A2034="","",YEAR(EDATE(A2034,-3)))</f>
        <v/>
      </c>
      <c r="AG2034" s="20">
        <f>IF(OR(B2034="",'経歴簿'!$C$4=""),"",IF(B2034&amp;""='経歴簿'!$C$4&amp;"",MAX($AG$4:AG2033)+1,""))</f>
        <v/>
      </c>
      <c r="AH2034" s="20">
        <f>IF(A2034="",0,IF(AND(OR('CSV抽出'!$C$4="",A2034&gt;='CSV抽出'!$C$4),OR('CSV抽出'!$C$5="",A2034&lt;='CSV抽出'!$C$5),OR('CSV抽出'!$C$6="すべて",'CSV抽出'!$C$6="",D2034='CSV抽出'!$C$6),OR('CSV抽出'!$C$7="",B2034&amp;""='CSV抽出'!$C$7&amp;"")),1,0))</f>
        <v/>
      </c>
      <c r="AI2034" s="20">
        <f>IF(AH2034=1,SUM($AH$5:AH2034),"")</f>
        <v/>
      </c>
      <c r="AJ2034" s="20">
        <f>IF(OR(S2034="",'報告書'!$C$4=""),"",IF(S2034&amp;""='報告書'!$C$4&amp;"",COUNTIF($S$5:S2034,'報告書'!$C$4),""))</f>
        <v/>
      </c>
      <c r="AK2034" s="20" t="n"/>
      <c r="AL2034" s="47" t="n"/>
      <c r="AM2034" s="47" t="n"/>
      <c r="AN2034" s="53" t="n"/>
      <c r="AO2034" s="47" t="n"/>
      <c r="AP2034" s="47" t="n"/>
      <c r="AQ2034" s="47" t="n"/>
      <c r="AR2034" s="47" t="n"/>
      <c r="AS2034" s="47" t="n"/>
      <c r="AT2034" s="47" t="n"/>
      <c r="AU2034" s="47" t="n"/>
      <c r="AV2034" s="47" t="n"/>
      <c r="AW2034" s="52" t="n"/>
    </row>
    <row r="2035">
      <c r="A2035" s="48" t="n"/>
      <c r="B2035" s="52" t="n"/>
      <c r="C2035" s="47">
        <f>IF(B2035="","",IFERROR(INDEX('隊員マスタ'!$B$5:$B$204,MATCH(B2035&amp;"",'隊員マスタ'!$F$5:$F$204,0)),IF(AK2035="","番号なし",AK2035)))</f>
        <v/>
      </c>
      <c r="D2035" s="47" t="n"/>
      <c r="E2035" s="47" t="n"/>
      <c r="F2035" s="47" t="n"/>
      <c r="G2035" s="47" t="n"/>
      <c r="H2035" s="47" t="n"/>
      <c r="I2035" s="47" t="n"/>
      <c r="J2035" s="47" t="n"/>
      <c r="K2035" s="47" t="n"/>
      <c r="L2035" s="47" t="n"/>
      <c r="M2035" s="47" t="n"/>
      <c r="N2035" s="47" t="n"/>
      <c r="O2035" s="47" t="n"/>
      <c r="P2035" s="47" t="n"/>
      <c r="Q2035" s="47" t="n"/>
      <c r="R2035" s="47" t="n"/>
      <c r="S2035" s="47" t="n"/>
      <c r="T2035" s="47" t="n"/>
      <c r="U2035" s="53" t="n"/>
      <c r="V2035" s="53" t="n"/>
      <c r="W2035" s="47" t="n"/>
      <c r="X2035" s="47" t="n"/>
      <c r="Y2035" s="47" t="n"/>
      <c r="Z2035" s="47" t="n"/>
      <c r="AA2035" s="47" t="n"/>
      <c r="AB2035" s="47" t="n"/>
      <c r="AC2035" s="47" t="n"/>
      <c r="AD2035" s="47" t="n"/>
      <c r="AE2035" s="47" t="n"/>
      <c r="AF2035" s="20">
        <f>IF(A2035="","",YEAR(EDATE(A2035,-3)))</f>
        <v/>
      </c>
      <c r="AG2035" s="20">
        <f>IF(OR(B2035="",'経歴簿'!$C$4=""),"",IF(B2035&amp;""='経歴簿'!$C$4&amp;"",MAX($AG$4:AG2034)+1,""))</f>
        <v/>
      </c>
      <c r="AH2035" s="20">
        <f>IF(A2035="",0,IF(AND(OR('CSV抽出'!$C$4="",A2035&gt;='CSV抽出'!$C$4),OR('CSV抽出'!$C$5="",A2035&lt;='CSV抽出'!$C$5),OR('CSV抽出'!$C$6="すべて",'CSV抽出'!$C$6="",D2035='CSV抽出'!$C$6),OR('CSV抽出'!$C$7="",B2035&amp;""='CSV抽出'!$C$7&amp;"")),1,0))</f>
        <v/>
      </c>
      <c r="AI2035" s="20">
        <f>IF(AH2035=1,SUM($AH$5:AH2035),"")</f>
        <v/>
      </c>
      <c r="AJ2035" s="20">
        <f>IF(OR(S2035="",'報告書'!$C$4=""),"",IF(S2035&amp;""='報告書'!$C$4&amp;"",COUNTIF($S$5:S2035,'報告書'!$C$4),""))</f>
        <v/>
      </c>
      <c r="AK2035" s="20" t="n"/>
      <c r="AL2035" s="47" t="n"/>
      <c r="AM2035" s="47" t="n"/>
      <c r="AN2035" s="53" t="n"/>
      <c r="AO2035" s="47" t="n"/>
      <c r="AP2035" s="47" t="n"/>
      <c r="AQ2035" s="47" t="n"/>
      <c r="AR2035" s="47" t="n"/>
      <c r="AS2035" s="47" t="n"/>
      <c r="AT2035" s="47" t="n"/>
      <c r="AU2035" s="47" t="n"/>
      <c r="AV2035" s="47" t="n"/>
      <c r="AW2035" s="52" t="n"/>
    </row>
    <row r="2036">
      <c r="A2036" s="48" t="n"/>
      <c r="B2036" s="52" t="n"/>
      <c r="C2036" s="47">
        <f>IF(B2036="","",IFERROR(INDEX('隊員マスタ'!$B$5:$B$204,MATCH(B2036&amp;"",'隊員マスタ'!$F$5:$F$204,0)),IF(AK2036="","番号なし",AK2036)))</f>
        <v/>
      </c>
      <c r="D2036" s="47" t="n"/>
      <c r="E2036" s="47" t="n"/>
      <c r="F2036" s="47" t="n"/>
      <c r="G2036" s="47" t="n"/>
      <c r="H2036" s="47" t="n"/>
      <c r="I2036" s="47" t="n"/>
      <c r="J2036" s="47" t="n"/>
      <c r="K2036" s="47" t="n"/>
      <c r="L2036" s="47" t="n"/>
      <c r="M2036" s="47" t="n"/>
      <c r="N2036" s="47" t="n"/>
      <c r="O2036" s="47" t="n"/>
      <c r="P2036" s="47" t="n"/>
      <c r="Q2036" s="47" t="n"/>
      <c r="R2036" s="47" t="n"/>
      <c r="S2036" s="47" t="n"/>
      <c r="T2036" s="47" t="n"/>
      <c r="U2036" s="53" t="n"/>
      <c r="V2036" s="53" t="n"/>
      <c r="W2036" s="47" t="n"/>
      <c r="X2036" s="47" t="n"/>
      <c r="Y2036" s="47" t="n"/>
      <c r="Z2036" s="47" t="n"/>
      <c r="AA2036" s="47" t="n"/>
      <c r="AB2036" s="47" t="n"/>
      <c r="AC2036" s="47" t="n"/>
      <c r="AD2036" s="47" t="n"/>
      <c r="AE2036" s="47" t="n"/>
      <c r="AF2036" s="20">
        <f>IF(A2036="","",YEAR(EDATE(A2036,-3)))</f>
        <v/>
      </c>
      <c r="AG2036" s="20">
        <f>IF(OR(B2036="",'経歴簿'!$C$4=""),"",IF(B2036&amp;""='経歴簿'!$C$4&amp;"",MAX($AG$4:AG2035)+1,""))</f>
        <v/>
      </c>
      <c r="AH2036" s="20">
        <f>IF(A2036="",0,IF(AND(OR('CSV抽出'!$C$4="",A2036&gt;='CSV抽出'!$C$4),OR('CSV抽出'!$C$5="",A2036&lt;='CSV抽出'!$C$5),OR('CSV抽出'!$C$6="すべて",'CSV抽出'!$C$6="",D2036='CSV抽出'!$C$6),OR('CSV抽出'!$C$7="",B2036&amp;""='CSV抽出'!$C$7&amp;"")),1,0))</f>
        <v/>
      </c>
      <c r="AI2036" s="20">
        <f>IF(AH2036=1,SUM($AH$5:AH2036),"")</f>
        <v/>
      </c>
      <c r="AJ2036" s="20">
        <f>IF(OR(S2036="",'報告書'!$C$4=""),"",IF(S2036&amp;""='報告書'!$C$4&amp;"",COUNTIF($S$5:S2036,'報告書'!$C$4),""))</f>
        <v/>
      </c>
      <c r="AK2036" s="20" t="n"/>
      <c r="AL2036" s="47" t="n"/>
      <c r="AM2036" s="47" t="n"/>
      <c r="AN2036" s="53" t="n"/>
      <c r="AO2036" s="47" t="n"/>
      <c r="AP2036" s="47" t="n"/>
      <c r="AQ2036" s="47" t="n"/>
      <c r="AR2036" s="47" t="n"/>
      <c r="AS2036" s="47" t="n"/>
      <c r="AT2036" s="47" t="n"/>
      <c r="AU2036" s="47" t="n"/>
      <c r="AV2036" s="47" t="n"/>
      <c r="AW2036" s="52" t="n"/>
    </row>
    <row r="2037">
      <c r="A2037" s="48" t="n"/>
      <c r="B2037" s="52" t="n"/>
      <c r="C2037" s="47">
        <f>IF(B2037="","",IFERROR(INDEX('隊員マスタ'!$B$5:$B$204,MATCH(B2037&amp;"",'隊員マスタ'!$F$5:$F$204,0)),IF(AK2037="","番号なし",AK2037)))</f>
        <v/>
      </c>
      <c r="D2037" s="47" t="n"/>
      <c r="E2037" s="47" t="n"/>
      <c r="F2037" s="47" t="n"/>
      <c r="G2037" s="47" t="n"/>
      <c r="H2037" s="47" t="n"/>
      <c r="I2037" s="47" t="n"/>
      <c r="J2037" s="47" t="n"/>
      <c r="K2037" s="47" t="n"/>
      <c r="L2037" s="47" t="n"/>
      <c r="M2037" s="47" t="n"/>
      <c r="N2037" s="47" t="n"/>
      <c r="O2037" s="47" t="n"/>
      <c r="P2037" s="47" t="n"/>
      <c r="Q2037" s="47" t="n"/>
      <c r="R2037" s="47" t="n"/>
      <c r="S2037" s="47" t="n"/>
      <c r="T2037" s="47" t="n"/>
      <c r="U2037" s="53" t="n"/>
      <c r="V2037" s="53" t="n"/>
      <c r="W2037" s="47" t="n"/>
      <c r="X2037" s="47" t="n"/>
      <c r="Y2037" s="47" t="n"/>
      <c r="Z2037" s="47" t="n"/>
      <c r="AA2037" s="47" t="n"/>
      <c r="AB2037" s="47" t="n"/>
      <c r="AC2037" s="47" t="n"/>
      <c r="AD2037" s="47" t="n"/>
      <c r="AE2037" s="47" t="n"/>
      <c r="AF2037" s="20">
        <f>IF(A2037="","",YEAR(EDATE(A2037,-3)))</f>
        <v/>
      </c>
      <c r="AG2037" s="20">
        <f>IF(OR(B2037="",'経歴簿'!$C$4=""),"",IF(B2037&amp;""='経歴簿'!$C$4&amp;"",MAX($AG$4:AG2036)+1,""))</f>
        <v/>
      </c>
      <c r="AH2037" s="20">
        <f>IF(A2037="",0,IF(AND(OR('CSV抽出'!$C$4="",A2037&gt;='CSV抽出'!$C$4),OR('CSV抽出'!$C$5="",A2037&lt;='CSV抽出'!$C$5),OR('CSV抽出'!$C$6="すべて",'CSV抽出'!$C$6="",D2037='CSV抽出'!$C$6),OR('CSV抽出'!$C$7="",B2037&amp;""='CSV抽出'!$C$7&amp;"")),1,0))</f>
        <v/>
      </c>
      <c r="AI2037" s="20">
        <f>IF(AH2037=1,SUM($AH$5:AH2037),"")</f>
        <v/>
      </c>
      <c r="AJ2037" s="20">
        <f>IF(OR(S2037="",'報告書'!$C$4=""),"",IF(S2037&amp;""='報告書'!$C$4&amp;"",COUNTIF($S$5:S2037,'報告書'!$C$4),""))</f>
        <v/>
      </c>
      <c r="AK2037" s="20" t="n"/>
      <c r="AL2037" s="47" t="n"/>
      <c r="AM2037" s="47" t="n"/>
      <c r="AN2037" s="53" t="n"/>
      <c r="AO2037" s="47" t="n"/>
      <c r="AP2037" s="47" t="n"/>
      <c r="AQ2037" s="47" t="n"/>
      <c r="AR2037" s="47" t="n"/>
      <c r="AS2037" s="47" t="n"/>
      <c r="AT2037" s="47" t="n"/>
      <c r="AU2037" s="47" t="n"/>
      <c r="AV2037" s="47" t="n"/>
      <c r="AW2037" s="52" t="n"/>
    </row>
    <row r="2038">
      <c r="A2038" s="48" t="n"/>
      <c r="B2038" s="52" t="n"/>
      <c r="C2038" s="47">
        <f>IF(B2038="","",IFERROR(INDEX('隊員マスタ'!$B$5:$B$204,MATCH(B2038&amp;"",'隊員マスタ'!$F$5:$F$204,0)),IF(AK2038="","番号なし",AK2038)))</f>
        <v/>
      </c>
      <c r="D2038" s="47" t="n"/>
      <c r="E2038" s="47" t="n"/>
      <c r="F2038" s="47" t="n"/>
      <c r="G2038" s="47" t="n"/>
      <c r="H2038" s="47" t="n"/>
      <c r="I2038" s="47" t="n"/>
      <c r="J2038" s="47" t="n"/>
      <c r="K2038" s="47" t="n"/>
      <c r="L2038" s="47" t="n"/>
      <c r="M2038" s="47" t="n"/>
      <c r="N2038" s="47" t="n"/>
      <c r="O2038" s="47" t="n"/>
      <c r="P2038" s="47" t="n"/>
      <c r="Q2038" s="47" t="n"/>
      <c r="R2038" s="47" t="n"/>
      <c r="S2038" s="47" t="n"/>
      <c r="T2038" s="47" t="n"/>
      <c r="U2038" s="53" t="n"/>
      <c r="V2038" s="53" t="n"/>
      <c r="W2038" s="47" t="n"/>
      <c r="X2038" s="47" t="n"/>
      <c r="Y2038" s="47" t="n"/>
      <c r="Z2038" s="47" t="n"/>
      <c r="AA2038" s="47" t="n"/>
      <c r="AB2038" s="47" t="n"/>
      <c r="AC2038" s="47" t="n"/>
      <c r="AD2038" s="47" t="n"/>
      <c r="AE2038" s="47" t="n"/>
      <c r="AF2038" s="20">
        <f>IF(A2038="","",YEAR(EDATE(A2038,-3)))</f>
        <v/>
      </c>
      <c r="AG2038" s="20">
        <f>IF(OR(B2038="",'経歴簿'!$C$4=""),"",IF(B2038&amp;""='経歴簿'!$C$4&amp;"",MAX($AG$4:AG2037)+1,""))</f>
        <v/>
      </c>
      <c r="AH2038" s="20">
        <f>IF(A2038="",0,IF(AND(OR('CSV抽出'!$C$4="",A2038&gt;='CSV抽出'!$C$4),OR('CSV抽出'!$C$5="",A2038&lt;='CSV抽出'!$C$5),OR('CSV抽出'!$C$6="すべて",'CSV抽出'!$C$6="",D2038='CSV抽出'!$C$6),OR('CSV抽出'!$C$7="",B2038&amp;""='CSV抽出'!$C$7&amp;"")),1,0))</f>
        <v/>
      </c>
      <c r="AI2038" s="20">
        <f>IF(AH2038=1,SUM($AH$5:AH2038),"")</f>
        <v/>
      </c>
      <c r="AJ2038" s="20">
        <f>IF(OR(S2038="",'報告書'!$C$4=""),"",IF(S2038&amp;""='報告書'!$C$4&amp;"",COUNTIF($S$5:S2038,'報告書'!$C$4),""))</f>
        <v/>
      </c>
      <c r="AK2038" s="20" t="n"/>
      <c r="AL2038" s="47" t="n"/>
      <c r="AM2038" s="47" t="n"/>
      <c r="AN2038" s="53" t="n"/>
      <c r="AO2038" s="47" t="n"/>
      <c r="AP2038" s="47" t="n"/>
      <c r="AQ2038" s="47" t="n"/>
      <c r="AR2038" s="47" t="n"/>
      <c r="AS2038" s="47" t="n"/>
      <c r="AT2038" s="47" t="n"/>
      <c r="AU2038" s="47" t="n"/>
      <c r="AV2038" s="47" t="n"/>
      <c r="AW2038" s="52" t="n"/>
    </row>
    <row r="2039">
      <c r="A2039" s="48" t="n"/>
      <c r="B2039" s="52" t="n"/>
      <c r="C2039" s="47">
        <f>IF(B2039="","",IFERROR(INDEX('隊員マスタ'!$B$5:$B$204,MATCH(B2039&amp;"",'隊員マスタ'!$F$5:$F$204,0)),IF(AK2039="","番号なし",AK2039)))</f>
        <v/>
      </c>
      <c r="D2039" s="47" t="n"/>
      <c r="E2039" s="47" t="n"/>
      <c r="F2039" s="47" t="n"/>
      <c r="G2039" s="47" t="n"/>
      <c r="H2039" s="47" t="n"/>
      <c r="I2039" s="47" t="n"/>
      <c r="J2039" s="47" t="n"/>
      <c r="K2039" s="47" t="n"/>
      <c r="L2039" s="47" t="n"/>
      <c r="M2039" s="47" t="n"/>
      <c r="N2039" s="47" t="n"/>
      <c r="O2039" s="47" t="n"/>
      <c r="P2039" s="47" t="n"/>
      <c r="Q2039" s="47" t="n"/>
      <c r="R2039" s="47" t="n"/>
      <c r="S2039" s="47" t="n"/>
      <c r="T2039" s="47" t="n"/>
      <c r="U2039" s="53" t="n"/>
      <c r="V2039" s="53" t="n"/>
      <c r="W2039" s="47" t="n"/>
      <c r="X2039" s="47" t="n"/>
      <c r="Y2039" s="47" t="n"/>
      <c r="Z2039" s="47" t="n"/>
      <c r="AA2039" s="47" t="n"/>
      <c r="AB2039" s="47" t="n"/>
      <c r="AC2039" s="47" t="n"/>
      <c r="AD2039" s="47" t="n"/>
      <c r="AE2039" s="47" t="n"/>
      <c r="AF2039" s="20">
        <f>IF(A2039="","",YEAR(EDATE(A2039,-3)))</f>
        <v/>
      </c>
      <c r="AG2039" s="20">
        <f>IF(OR(B2039="",'経歴簿'!$C$4=""),"",IF(B2039&amp;""='経歴簿'!$C$4&amp;"",MAX($AG$4:AG2038)+1,""))</f>
        <v/>
      </c>
      <c r="AH2039" s="20">
        <f>IF(A2039="",0,IF(AND(OR('CSV抽出'!$C$4="",A2039&gt;='CSV抽出'!$C$4),OR('CSV抽出'!$C$5="",A2039&lt;='CSV抽出'!$C$5),OR('CSV抽出'!$C$6="すべて",'CSV抽出'!$C$6="",D2039='CSV抽出'!$C$6),OR('CSV抽出'!$C$7="",B2039&amp;""='CSV抽出'!$C$7&amp;"")),1,0))</f>
        <v/>
      </c>
      <c r="AI2039" s="20">
        <f>IF(AH2039=1,SUM($AH$5:AH2039),"")</f>
        <v/>
      </c>
      <c r="AJ2039" s="20">
        <f>IF(OR(S2039="",'報告書'!$C$4=""),"",IF(S2039&amp;""='報告書'!$C$4&amp;"",COUNTIF($S$5:S2039,'報告書'!$C$4),""))</f>
        <v/>
      </c>
      <c r="AK2039" s="20" t="n"/>
      <c r="AL2039" s="47" t="n"/>
      <c r="AM2039" s="47" t="n"/>
      <c r="AN2039" s="53" t="n"/>
      <c r="AO2039" s="47" t="n"/>
      <c r="AP2039" s="47" t="n"/>
      <c r="AQ2039" s="47" t="n"/>
      <c r="AR2039" s="47" t="n"/>
      <c r="AS2039" s="47" t="n"/>
      <c r="AT2039" s="47" t="n"/>
      <c r="AU2039" s="47" t="n"/>
      <c r="AV2039" s="47" t="n"/>
      <c r="AW2039" s="52" t="n"/>
    </row>
    <row r="2040">
      <c r="A2040" s="48" t="n"/>
      <c r="B2040" s="52" t="n"/>
      <c r="C2040" s="47">
        <f>IF(B2040="","",IFERROR(INDEX('隊員マスタ'!$B$5:$B$204,MATCH(B2040&amp;"",'隊員マスタ'!$F$5:$F$204,0)),IF(AK2040="","番号なし",AK2040)))</f>
        <v/>
      </c>
      <c r="D2040" s="47" t="n"/>
      <c r="E2040" s="47" t="n"/>
      <c r="F2040" s="47" t="n"/>
      <c r="G2040" s="47" t="n"/>
      <c r="H2040" s="47" t="n"/>
      <c r="I2040" s="47" t="n"/>
      <c r="J2040" s="47" t="n"/>
      <c r="K2040" s="47" t="n"/>
      <c r="L2040" s="47" t="n"/>
      <c r="M2040" s="47" t="n"/>
      <c r="N2040" s="47" t="n"/>
      <c r="O2040" s="47" t="n"/>
      <c r="P2040" s="47" t="n"/>
      <c r="Q2040" s="47" t="n"/>
      <c r="R2040" s="47" t="n"/>
      <c r="S2040" s="47" t="n"/>
      <c r="T2040" s="47" t="n"/>
      <c r="U2040" s="53" t="n"/>
      <c r="V2040" s="53" t="n"/>
      <c r="W2040" s="47" t="n"/>
      <c r="X2040" s="47" t="n"/>
      <c r="Y2040" s="47" t="n"/>
      <c r="Z2040" s="47" t="n"/>
      <c r="AA2040" s="47" t="n"/>
      <c r="AB2040" s="47" t="n"/>
      <c r="AC2040" s="47" t="n"/>
      <c r="AD2040" s="47" t="n"/>
      <c r="AE2040" s="47" t="n"/>
      <c r="AF2040" s="20">
        <f>IF(A2040="","",YEAR(EDATE(A2040,-3)))</f>
        <v/>
      </c>
      <c r="AG2040" s="20">
        <f>IF(OR(B2040="",'経歴簿'!$C$4=""),"",IF(B2040&amp;""='経歴簿'!$C$4&amp;"",MAX($AG$4:AG2039)+1,""))</f>
        <v/>
      </c>
      <c r="AH2040" s="20">
        <f>IF(A2040="",0,IF(AND(OR('CSV抽出'!$C$4="",A2040&gt;='CSV抽出'!$C$4),OR('CSV抽出'!$C$5="",A2040&lt;='CSV抽出'!$C$5),OR('CSV抽出'!$C$6="すべて",'CSV抽出'!$C$6="",D2040='CSV抽出'!$C$6),OR('CSV抽出'!$C$7="",B2040&amp;""='CSV抽出'!$C$7&amp;"")),1,0))</f>
        <v/>
      </c>
      <c r="AI2040" s="20">
        <f>IF(AH2040=1,SUM($AH$5:AH2040),"")</f>
        <v/>
      </c>
      <c r="AJ2040" s="20">
        <f>IF(OR(S2040="",'報告書'!$C$4=""),"",IF(S2040&amp;""='報告書'!$C$4&amp;"",COUNTIF($S$5:S2040,'報告書'!$C$4),""))</f>
        <v/>
      </c>
      <c r="AK2040" s="20" t="n"/>
      <c r="AL2040" s="47" t="n"/>
      <c r="AM2040" s="47" t="n"/>
      <c r="AN2040" s="53" t="n"/>
      <c r="AO2040" s="47" t="n"/>
      <c r="AP2040" s="47" t="n"/>
      <c r="AQ2040" s="47" t="n"/>
      <c r="AR2040" s="47" t="n"/>
      <c r="AS2040" s="47" t="n"/>
      <c r="AT2040" s="47" t="n"/>
      <c r="AU2040" s="47" t="n"/>
      <c r="AV2040" s="47" t="n"/>
      <c r="AW2040" s="52" t="n"/>
    </row>
    <row r="2041">
      <c r="A2041" s="48" t="n"/>
      <c r="B2041" s="52" t="n"/>
      <c r="C2041" s="47">
        <f>IF(B2041="","",IFERROR(INDEX('隊員マスタ'!$B$5:$B$204,MATCH(B2041&amp;"",'隊員マスタ'!$F$5:$F$204,0)),IF(AK2041="","番号なし",AK2041)))</f>
        <v/>
      </c>
      <c r="D2041" s="47" t="n"/>
      <c r="E2041" s="47" t="n"/>
      <c r="F2041" s="47" t="n"/>
      <c r="G2041" s="47" t="n"/>
      <c r="H2041" s="47" t="n"/>
      <c r="I2041" s="47" t="n"/>
      <c r="J2041" s="47" t="n"/>
      <c r="K2041" s="47" t="n"/>
      <c r="L2041" s="47" t="n"/>
      <c r="M2041" s="47" t="n"/>
      <c r="N2041" s="47" t="n"/>
      <c r="O2041" s="47" t="n"/>
      <c r="P2041" s="47" t="n"/>
      <c r="Q2041" s="47" t="n"/>
      <c r="R2041" s="47" t="n"/>
      <c r="S2041" s="47" t="n"/>
      <c r="T2041" s="47" t="n"/>
      <c r="U2041" s="53" t="n"/>
      <c r="V2041" s="53" t="n"/>
      <c r="W2041" s="47" t="n"/>
      <c r="X2041" s="47" t="n"/>
      <c r="Y2041" s="47" t="n"/>
      <c r="Z2041" s="47" t="n"/>
      <c r="AA2041" s="47" t="n"/>
      <c r="AB2041" s="47" t="n"/>
      <c r="AC2041" s="47" t="n"/>
      <c r="AD2041" s="47" t="n"/>
      <c r="AE2041" s="47" t="n"/>
      <c r="AF2041" s="20">
        <f>IF(A2041="","",YEAR(EDATE(A2041,-3)))</f>
        <v/>
      </c>
      <c r="AG2041" s="20">
        <f>IF(OR(B2041="",'経歴簿'!$C$4=""),"",IF(B2041&amp;""='経歴簿'!$C$4&amp;"",MAX($AG$4:AG2040)+1,""))</f>
        <v/>
      </c>
      <c r="AH2041" s="20">
        <f>IF(A2041="",0,IF(AND(OR('CSV抽出'!$C$4="",A2041&gt;='CSV抽出'!$C$4),OR('CSV抽出'!$C$5="",A2041&lt;='CSV抽出'!$C$5),OR('CSV抽出'!$C$6="すべて",'CSV抽出'!$C$6="",D2041='CSV抽出'!$C$6),OR('CSV抽出'!$C$7="",B2041&amp;""='CSV抽出'!$C$7&amp;"")),1,0))</f>
        <v/>
      </c>
      <c r="AI2041" s="20">
        <f>IF(AH2041=1,SUM($AH$5:AH2041),"")</f>
        <v/>
      </c>
      <c r="AJ2041" s="20">
        <f>IF(OR(S2041="",'報告書'!$C$4=""),"",IF(S2041&amp;""='報告書'!$C$4&amp;"",COUNTIF($S$5:S2041,'報告書'!$C$4),""))</f>
        <v/>
      </c>
      <c r="AK2041" s="20" t="n"/>
      <c r="AL2041" s="47" t="n"/>
      <c r="AM2041" s="47" t="n"/>
      <c r="AN2041" s="53" t="n"/>
      <c r="AO2041" s="47" t="n"/>
      <c r="AP2041" s="47" t="n"/>
      <c r="AQ2041" s="47" t="n"/>
      <c r="AR2041" s="47" t="n"/>
      <c r="AS2041" s="47" t="n"/>
      <c r="AT2041" s="47" t="n"/>
      <c r="AU2041" s="47" t="n"/>
      <c r="AV2041" s="47" t="n"/>
      <c r="AW2041" s="52" t="n"/>
    </row>
    <row r="2042">
      <c r="A2042" s="48" t="n"/>
      <c r="B2042" s="52" t="n"/>
      <c r="C2042" s="47">
        <f>IF(B2042="","",IFERROR(INDEX('隊員マスタ'!$B$5:$B$204,MATCH(B2042&amp;"",'隊員マスタ'!$F$5:$F$204,0)),IF(AK2042="","番号なし",AK2042)))</f>
        <v/>
      </c>
      <c r="D2042" s="47" t="n"/>
      <c r="E2042" s="47" t="n"/>
      <c r="F2042" s="47" t="n"/>
      <c r="G2042" s="47" t="n"/>
      <c r="H2042" s="47" t="n"/>
      <c r="I2042" s="47" t="n"/>
      <c r="J2042" s="47" t="n"/>
      <c r="K2042" s="47" t="n"/>
      <c r="L2042" s="47" t="n"/>
      <c r="M2042" s="47" t="n"/>
      <c r="N2042" s="47" t="n"/>
      <c r="O2042" s="47" t="n"/>
      <c r="P2042" s="47" t="n"/>
      <c r="Q2042" s="47" t="n"/>
      <c r="R2042" s="47" t="n"/>
      <c r="S2042" s="47" t="n"/>
      <c r="T2042" s="47" t="n"/>
      <c r="U2042" s="53" t="n"/>
      <c r="V2042" s="53" t="n"/>
      <c r="W2042" s="47" t="n"/>
      <c r="X2042" s="47" t="n"/>
      <c r="Y2042" s="47" t="n"/>
      <c r="Z2042" s="47" t="n"/>
      <c r="AA2042" s="47" t="n"/>
      <c r="AB2042" s="47" t="n"/>
      <c r="AC2042" s="47" t="n"/>
      <c r="AD2042" s="47" t="n"/>
      <c r="AE2042" s="47" t="n"/>
      <c r="AF2042" s="20">
        <f>IF(A2042="","",YEAR(EDATE(A2042,-3)))</f>
        <v/>
      </c>
      <c r="AG2042" s="20">
        <f>IF(OR(B2042="",'経歴簿'!$C$4=""),"",IF(B2042&amp;""='経歴簿'!$C$4&amp;"",MAX($AG$4:AG2041)+1,""))</f>
        <v/>
      </c>
      <c r="AH2042" s="20">
        <f>IF(A2042="",0,IF(AND(OR('CSV抽出'!$C$4="",A2042&gt;='CSV抽出'!$C$4),OR('CSV抽出'!$C$5="",A2042&lt;='CSV抽出'!$C$5),OR('CSV抽出'!$C$6="すべて",'CSV抽出'!$C$6="",D2042='CSV抽出'!$C$6),OR('CSV抽出'!$C$7="",B2042&amp;""='CSV抽出'!$C$7&amp;"")),1,0))</f>
        <v/>
      </c>
      <c r="AI2042" s="20">
        <f>IF(AH2042=1,SUM($AH$5:AH2042),"")</f>
        <v/>
      </c>
      <c r="AJ2042" s="20">
        <f>IF(OR(S2042="",'報告書'!$C$4=""),"",IF(S2042&amp;""='報告書'!$C$4&amp;"",COUNTIF($S$5:S2042,'報告書'!$C$4),""))</f>
        <v/>
      </c>
      <c r="AK2042" s="20" t="n"/>
      <c r="AL2042" s="47" t="n"/>
      <c r="AM2042" s="47" t="n"/>
      <c r="AN2042" s="53" t="n"/>
      <c r="AO2042" s="47" t="n"/>
      <c r="AP2042" s="47" t="n"/>
      <c r="AQ2042" s="47" t="n"/>
      <c r="AR2042" s="47" t="n"/>
      <c r="AS2042" s="47" t="n"/>
      <c r="AT2042" s="47" t="n"/>
      <c r="AU2042" s="47" t="n"/>
      <c r="AV2042" s="47" t="n"/>
      <c r="AW2042" s="52" t="n"/>
    </row>
    <row r="2043">
      <c r="A2043" s="48" t="n"/>
      <c r="B2043" s="52" t="n"/>
      <c r="C2043" s="47">
        <f>IF(B2043="","",IFERROR(INDEX('隊員マスタ'!$B$5:$B$204,MATCH(B2043&amp;"",'隊員マスタ'!$F$5:$F$204,0)),IF(AK2043="","番号なし",AK2043)))</f>
        <v/>
      </c>
      <c r="D2043" s="47" t="n"/>
      <c r="E2043" s="47" t="n"/>
      <c r="F2043" s="47" t="n"/>
      <c r="G2043" s="47" t="n"/>
      <c r="H2043" s="47" t="n"/>
      <c r="I2043" s="47" t="n"/>
      <c r="J2043" s="47" t="n"/>
      <c r="K2043" s="47" t="n"/>
      <c r="L2043" s="47" t="n"/>
      <c r="M2043" s="47" t="n"/>
      <c r="N2043" s="47" t="n"/>
      <c r="O2043" s="47" t="n"/>
      <c r="P2043" s="47" t="n"/>
      <c r="Q2043" s="47" t="n"/>
      <c r="R2043" s="47" t="n"/>
      <c r="S2043" s="47" t="n"/>
      <c r="T2043" s="47" t="n"/>
      <c r="U2043" s="53" t="n"/>
      <c r="V2043" s="53" t="n"/>
      <c r="W2043" s="47" t="n"/>
      <c r="X2043" s="47" t="n"/>
      <c r="Y2043" s="47" t="n"/>
      <c r="Z2043" s="47" t="n"/>
      <c r="AA2043" s="47" t="n"/>
      <c r="AB2043" s="47" t="n"/>
      <c r="AC2043" s="47" t="n"/>
      <c r="AD2043" s="47" t="n"/>
      <c r="AE2043" s="47" t="n"/>
      <c r="AF2043" s="20">
        <f>IF(A2043="","",YEAR(EDATE(A2043,-3)))</f>
        <v/>
      </c>
      <c r="AG2043" s="20">
        <f>IF(OR(B2043="",'経歴簿'!$C$4=""),"",IF(B2043&amp;""='経歴簿'!$C$4&amp;"",MAX($AG$4:AG2042)+1,""))</f>
        <v/>
      </c>
      <c r="AH2043" s="20">
        <f>IF(A2043="",0,IF(AND(OR('CSV抽出'!$C$4="",A2043&gt;='CSV抽出'!$C$4),OR('CSV抽出'!$C$5="",A2043&lt;='CSV抽出'!$C$5),OR('CSV抽出'!$C$6="すべて",'CSV抽出'!$C$6="",D2043='CSV抽出'!$C$6),OR('CSV抽出'!$C$7="",B2043&amp;""='CSV抽出'!$C$7&amp;"")),1,0))</f>
        <v/>
      </c>
      <c r="AI2043" s="20">
        <f>IF(AH2043=1,SUM($AH$5:AH2043),"")</f>
        <v/>
      </c>
      <c r="AJ2043" s="20">
        <f>IF(OR(S2043="",'報告書'!$C$4=""),"",IF(S2043&amp;""='報告書'!$C$4&amp;"",COUNTIF($S$5:S2043,'報告書'!$C$4),""))</f>
        <v/>
      </c>
      <c r="AK2043" s="20" t="n"/>
      <c r="AL2043" s="47" t="n"/>
      <c r="AM2043" s="47" t="n"/>
      <c r="AN2043" s="53" t="n"/>
      <c r="AO2043" s="47" t="n"/>
      <c r="AP2043" s="47" t="n"/>
      <c r="AQ2043" s="47" t="n"/>
      <c r="AR2043" s="47" t="n"/>
      <c r="AS2043" s="47" t="n"/>
      <c r="AT2043" s="47" t="n"/>
      <c r="AU2043" s="47" t="n"/>
      <c r="AV2043" s="47" t="n"/>
      <c r="AW2043" s="52" t="n"/>
    </row>
    <row r="2044">
      <c r="A2044" s="48" t="n"/>
      <c r="B2044" s="52" t="n"/>
      <c r="C2044" s="47">
        <f>IF(B2044="","",IFERROR(INDEX('隊員マスタ'!$B$5:$B$204,MATCH(B2044&amp;"",'隊員マスタ'!$F$5:$F$204,0)),IF(AK2044="","番号なし",AK2044)))</f>
        <v/>
      </c>
      <c r="D2044" s="47" t="n"/>
      <c r="E2044" s="47" t="n"/>
      <c r="F2044" s="47" t="n"/>
      <c r="G2044" s="47" t="n"/>
      <c r="H2044" s="47" t="n"/>
      <c r="I2044" s="47" t="n"/>
      <c r="J2044" s="47" t="n"/>
      <c r="K2044" s="47" t="n"/>
      <c r="L2044" s="47" t="n"/>
      <c r="M2044" s="47" t="n"/>
      <c r="N2044" s="47" t="n"/>
      <c r="O2044" s="47" t="n"/>
      <c r="P2044" s="47" t="n"/>
      <c r="Q2044" s="47" t="n"/>
      <c r="R2044" s="47" t="n"/>
      <c r="S2044" s="47" t="n"/>
      <c r="T2044" s="47" t="n"/>
      <c r="U2044" s="53" t="n"/>
      <c r="V2044" s="53" t="n"/>
      <c r="W2044" s="47" t="n"/>
      <c r="X2044" s="47" t="n"/>
      <c r="Y2044" s="47" t="n"/>
      <c r="Z2044" s="47" t="n"/>
      <c r="AA2044" s="47" t="n"/>
      <c r="AB2044" s="47" t="n"/>
      <c r="AC2044" s="47" t="n"/>
      <c r="AD2044" s="47" t="n"/>
      <c r="AE2044" s="47" t="n"/>
      <c r="AF2044" s="20">
        <f>IF(A2044="","",YEAR(EDATE(A2044,-3)))</f>
        <v/>
      </c>
      <c r="AG2044" s="20">
        <f>IF(OR(B2044="",'経歴簿'!$C$4=""),"",IF(B2044&amp;""='経歴簿'!$C$4&amp;"",MAX($AG$4:AG2043)+1,""))</f>
        <v/>
      </c>
      <c r="AH2044" s="20">
        <f>IF(A2044="",0,IF(AND(OR('CSV抽出'!$C$4="",A2044&gt;='CSV抽出'!$C$4),OR('CSV抽出'!$C$5="",A2044&lt;='CSV抽出'!$C$5),OR('CSV抽出'!$C$6="すべて",'CSV抽出'!$C$6="",D2044='CSV抽出'!$C$6),OR('CSV抽出'!$C$7="",B2044&amp;""='CSV抽出'!$C$7&amp;"")),1,0))</f>
        <v/>
      </c>
      <c r="AI2044" s="20">
        <f>IF(AH2044=1,SUM($AH$5:AH2044),"")</f>
        <v/>
      </c>
      <c r="AJ2044" s="20">
        <f>IF(OR(S2044="",'報告書'!$C$4=""),"",IF(S2044&amp;""='報告書'!$C$4&amp;"",COUNTIF($S$5:S2044,'報告書'!$C$4),""))</f>
        <v/>
      </c>
      <c r="AK2044" s="20" t="n"/>
      <c r="AL2044" s="47" t="n"/>
      <c r="AM2044" s="47" t="n"/>
      <c r="AN2044" s="53" t="n"/>
      <c r="AO2044" s="47" t="n"/>
      <c r="AP2044" s="47" t="n"/>
      <c r="AQ2044" s="47" t="n"/>
      <c r="AR2044" s="47" t="n"/>
      <c r="AS2044" s="47" t="n"/>
      <c r="AT2044" s="47" t="n"/>
      <c r="AU2044" s="47" t="n"/>
      <c r="AV2044" s="47" t="n"/>
      <c r="AW2044" s="52" t="n"/>
    </row>
    <row r="2045">
      <c r="A2045" s="48" t="n"/>
      <c r="B2045" s="52" t="n"/>
      <c r="C2045" s="47">
        <f>IF(B2045="","",IFERROR(INDEX('隊員マスタ'!$B$5:$B$204,MATCH(B2045&amp;"",'隊員マスタ'!$F$5:$F$204,0)),IF(AK2045="","番号なし",AK2045)))</f>
        <v/>
      </c>
      <c r="D2045" s="47" t="n"/>
      <c r="E2045" s="47" t="n"/>
      <c r="F2045" s="47" t="n"/>
      <c r="G2045" s="47" t="n"/>
      <c r="H2045" s="47" t="n"/>
      <c r="I2045" s="47" t="n"/>
      <c r="J2045" s="47" t="n"/>
      <c r="K2045" s="47" t="n"/>
      <c r="L2045" s="47" t="n"/>
      <c r="M2045" s="47" t="n"/>
      <c r="N2045" s="47" t="n"/>
      <c r="O2045" s="47" t="n"/>
      <c r="P2045" s="47" t="n"/>
      <c r="Q2045" s="47" t="n"/>
      <c r="R2045" s="47" t="n"/>
      <c r="S2045" s="47" t="n"/>
      <c r="T2045" s="47" t="n"/>
      <c r="U2045" s="53" t="n"/>
      <c r="V2045" s="53" t="n"/>
      <c r="W2045" s="47" t="n"/>
      <c r="X2045" s="47" t="n"/>
      <c r="Y2045" s="47" t="n"/>
      <c r="Z2045" s="47" t="n"/>
      <c r="AA2045" s="47" t="n"/>
      <c r="AB2045" s="47" t="n"/>
      <c r="AC2045" s="47" t="n"/>
      <c r="AD2045" s="47" t="n"/>
      <c r="AE2045" s="47" t="n"/>
      <c r="AF2045" s="20">
        <f>IF(A2045="","",YEAR(EDATE(A2045,-3)))</f>
        <v/>
      </c>
      <c r="AG2045" s="20">
        <f>IF(OR(B2045="",'経歴簿'!$C$4=""),"",IF(B2045&amp;""='経歴簿'!$C$4&amp;"",MAX($AG$4:AG2044)+1,""))</f>
        <v/>
      </c>
      <c r="AH2045" s="20">
        <f>IF(A2045="",0,IF(AND(OR('CSV抽出'!$C$4="",A2045&gt;='CSV抽出'!$C$4),OR('CSV抽出'!$C$5="",A2045&lt;='CSV抽出'!$C$5),OR('CSV抽出'!$C$6="すべて",'CSV抽出'!$C$6="",D2045='CSV抽出'!$C$6),OR('CSV抽出'!$C$7="",B2045&amp;""='CSV抽出'!$C$7&amp;"")),1,0))</f>
        <v/>
      </c>
      <c r="AI2045" s="20">
        <f>IF(AH2045=1,SUM($AH$5:AH2045),"")</f>
        <v/>
      </c>
      <c r="AJ2045" s="20">
        <f>IF(OR(S2045="",'報告書'!$C$4=""),"",IF(S2045&amp;""='報告書'!$C$4&amp;"",COUNTIF($S$5:S2045,'報告書'!$C$4),""))</f>
        <v/>
      </c>
      <c r="AK2045" s="20" t="n"/>
      <c r="AL2045" s="47" t="n"/>
      <c r="AM2045" s="47" t="n"/>
      <c r="AN2045" s="53" t="n"/>
      <c r="AO2045" s="47" t="n"/>
      <c r="AP2045" s="47" t="n"/>
      <c r="AQ2045" s="47" t="n"/>
      <c r="AR2045" s="47" t="n"/>
      <c r="AS2045" s="47" t="n"/>
      <c r="AT2045" s="47" t="n"/>
      <c r="AU2045" s="47" t="n"/>
      <c r="AV2045" s="47" t="n"/>
      <c r="AW2045" s="52" t="n"/>
    </row>
    <row r="2046">
      <c r="A2046" s="48" t="n"/>
      <c r="B2046" s="52" t="n"/>
      <c r="C2046" s="47">
        <f>IF(B2046="","",IFERROR(INDEX('隊員マスタ'!$B$5:$B$204,MATCH(B2046&amp;"",'隊員マスタ'!$F$5:$F$204,0)),IF(AK2046="","番号なし",AK2046)))</f>
        <v/>
      </c>
      <c r="D2046" s="47" t="n"/>
      <c r="E2046" s="47" t="n"/>
      <c r="F2046" s="47" t="n"/>
      <c r="G2046" s="47" t="n"/>
      <c r="H2046" s="47" t="n"/>
      <c r="I2046" s="47" t="n"/>
      <c r="J2046" s="47" t="n"/>
      <c r="K2046" s="47" t="n"/>
      <c r="L2046" s="47" t="n"/>
      <c r="M2046" s="47" t="n"/>
      <c r="N2046" s="47" t="n"/>
      <c r="O2046" s="47" t="n"/>
      <c r="P2046" s="47" t="n"/>
      <c r="Q2046" s="47" t="n"/>
      <c r="R2046" s="47" t="n"/>
      <c r="S2046" s="47" t="n"/>
      <c r="T2046" s="47" t="n"/>
      <c r="U2046" s="53" t="n"/>
      <c r="V2046" s="53" t="n"/>
      <c r="W2046" s="47" t="n"/>
      <c r="X2046" s="47" t="n"/>
      <c r="Y2046" s="47" t="n"/>
      <c r="Z2046" s="47" t="n"/>
      <c r="AA2046" s="47" t="n"/>
      <c r="AB2046" s="47" t="n"/>
      <c r="AC2046" s="47" t="n"/>
      <c r="AD2046" s="47" t="n"/>
      <c r="AE2046" s="47" t="n"/>
      <c r="AF2046" s="20">
        <f>IF(A2046="","",YEAR(EDATE(A2046,-3)))</f>
        <v/>
      </c>
      <c r="AG2046" s="20">
        <f>IF(OR(B2046="",'経歴簿'!$C$4=""),"",IF(B2046&amp;""='経歴簿'!$C$4&amp;"",MAX($AG$4:AG2045)+1,""))</f>
        <v/>
      </c>
      <c r="AH2046" s="20">
        <f>IF(A2046="",0,IF(AND(OR('CSV抽出'!$C$4="",A2046&gt;='CSV抽出'!$C$4),OR('CSV抽出'!$C$5="",A2046&lt;='CSV抽出'!$C$5),OR('CSV抽出'!$C$6="すべて",'CSV抽出'!$C$6="",D2046='CSV抽出'!$C$6),OR('CSV抽出'!$C$7="",B2046&amp;""='CSV抽出'!$C$7&amp;"")),1,0))</f>
        <v/>
      </c>
      <c r="AI2046" s="20">
        <f>IF(AH2046=1,SUM($AH$5:AH2046),"")</f>
        <v/>
      </c>
      <c r="AJ2046" s="20">
        <f>IF(OR(S2046="",'報告書'!$C$4=""),"",IF(S2046&amp;""='報告書'!$C$4&amp;"",COUNTIF($S$5:S2046,'報告書'!$C$4),""))</f>
        <v/>
      </c>
      <c r="AK2046" s="20" t="n"/>
      <c r="AL2046" s="47" t="n"/>
      <c r="AM2046" s="47" t="n"/>
      <c r="AN2046" s="53" t="n"/>
      <c r="AO2046" s="47" t="n"/>
      <c r="AP2046" s="47" t="n"/>
      <c r="AQ2046" s="47" t="n"/>
      <c r="AR2046" s="47" t="n"/>
      <c r="AS2046" s="47" t="n"/>
      <c r="AT2046" s="47" t="n"/>
      <c r="AU2046" s="47" t="n"/>
      <c r="AV2046" s="47" t="n"/>
      <c r="AW2046" s="52" t="n"/>
    </row>
    <row r="2047">
      <c r="A2047" s="48" t="n"/>
      <c r="B2047" s="52" t="n"/>
      <c r="C2047" s="47">
        <f>IF(B2047="","",IFERROR(INDEX('隊員マスタ'!$B$5:$B$204,MATCH(B2047&amp;"",'隊員マスタ'!$F$5:$F$204,0)),IF(AK2047="","番号なし",AK2047)))</f>
        <v/>
      </c>
      <c r="D2047" s="47" t="n"/>
      <c r="E2047" s="47" t="n"/>
      <c r="F2047" s="47" t="n"/>
      <c r="G2047" s="47" t="n"/>
      <c r="H2047" s="47" t="n"/>
      <c r="I2047" s="47" t="n"/>
      <c r="J2047" s="47" t="n"/>
      <c r="K2047" s="47" t="n"/>
      <c r="L2047" s="47" t="n"/>
      <c r="M2047" s="47" t="n"/>
      <c r="N2047" s="47" t="n"/>
      <c r="O2047" s="47" t="n"/>
      <c r="P2047" s="47" t="n"/>
      <c r="Q2047" s="47" t="n"/>
      <c r="R2047" s="47" t="n"/>
      <c r="S2047" s="47" t="n"/>
      <c r="T2047" s="47" t="n"/>
      <c r="U2047" s="53" t="n"/>
      <c r="V2047" s="53" t="n"/>
      <c r="W2047" s="47" t="n"/>
      <c r="X2047" s="47" t="n"/>
      <c r="Y2047" s="47" t="n"/>
      <c r="Z2047" s="47" t="n"/>
      <c r="AA2047" s="47" t="n"/>
      <c r="AB2047" s="47" t="n"/>
      <c r="AC2047" s="47" t="n"/>
      <c r="AD2047" s="47" t="n"/>
      <c r="AE2047" s="47" t="n"/>
      <c r="AF2047" s="20">
        <f>IF(A2047="","",YEAR(EDATE(A2047,-3)))</f>
        <v/>
      </c>
      <c r="AG2047" s="20">
        <f>IF(OR(B2047="",'経歴簿'!$C$4=""),"",IF(B2047&amp;""='経歴簿'!$C$4&amp;"",MAX($AG$4:AG2046)+1,""))</f>
        <v/>
      </c>
      <c r="AH2047" s="20">
        <f>IF(A2047="",0,IF(AND(OR('CSV抽出'!$C$4="",A2047&gt;='CSV抽出'!$C$4),OR('CSV抽出'!$C$5="",A2047&lt;='CSV抽出'!$C$5),OR('CSV抽出'!$C$6="すべて",'CSV抽出'!$C$6="",D2047='CSV抽出'!$C$6),OR('CSV抽出'!$C$7="",B2047&amp;""='CSV抽出'!$C$7&amp;"")),1,0))</f>
        <v/>
      </c>
      <c r="AI2047" s="20">
        <f>IF(AH2047=1,SUM($AH$5:AH2047),"")</f>
        <v/>
      </c>
      <c r="AJ2047" s="20">
        <f>IF(OR(S2047="",'報告書'!$C$4=""),"",IF(S2047&amp;""='報告書'!$C$4&amp;"",COUNTIF($S$5:S2047,'報告書'!$C$4),""))</f>
        <v/>
      </c>
      <c r="AK2047" s="20" t="n"/>
      <c r="AL2047" s="47" t="n"/>
      <c r="AM2047" s="47" t="n"/>
      <c r="AN2047" s="53" t="n"/>
      <c r="AO2047" s="47" t="n"/>
      <c r="AP2047" s="47" t="n"/>
      <c r="AQ2047" s="47" t="n"/>
      <c r="AR2047" s="47" t="n"/>
      <c r="AS2047" s="47" t="n"/>
      <c r="AT2047" s="47" t="n"/>
      <c r="AU2047" s="47" t="n"/>
      <c r="AV2047" s="47" t="n"/>
      <c r="AW2047" s="52" t="n"/>
    </row>
    <row r="2048">
      <c r="A2048" s="48" t="n"/>
      <c r="B2048" s="52" t="n"/>
      <c r="C2048" s="47">
        <f>IF(B2048="","",IFERROR(INDEX('隊員マスタ'!$B$5:$B$204,MATCH(B2048&amp;"",'隊員マスタ'!$F$5:$F$204,0)),IF(AK2048="","番号なし",AK2048)))</f>
        <v/>
      </c>
      <c r="D2048" s="47" t="n"/>
      <c r="E2048" s="47" t="n"/>
      <c r="F2048" s="47" t="n"/>
      <c r="G2048" s="47" t="n"/>
      <c r="H2048" s="47" t="n"/>
      <c r="I2048" s="47" t="n"/>
      <c r="J2048" s="47" t="n"/>
      <c r="K2048" s="47" t="n"/>
      <c r="L2048" s="47" t="n"/>
      <c r="M2048" s="47" t="n"/>
      <c r="N2048" s="47" t="n"/>
      <c r="O2048" s="47" t="n"/>
      <c r="P2048" s="47" t="n"/>
      <c r="Q2048" s="47" t="n"/>
      <c r="R2048" s="47" t="n"/>
      <c r="S2048" s="47" t="n"/>
      <c r="T2048" s="47" t="n"/>
      <c r="U2048" s="53" t="n"/>
      <c r="V2048" s="53" t="n"/>
      <c r="W2048" s="47" t="n"/>
      <c r="X2048" s="47" t="n"/>
      <c r="Y2048" s="47" t="n"/>
      <c r="Z2048" s="47" t="n"/>
      <c r="AA2048" s="47" t="n"/>
      <c r="AB2048" s="47" t="n"/>
      <c r="AC2048" s="47" t="n"/>
      <c r="AD2048" s="47" t="n"/>
      <c r="AE2048" s="47" t="n"/>
      <c r="AF2048" s="20">
        <f>IF(A2048="","",YEAR(EDATE(A2048,-3)))</f>
        <v/>
      </c>
      <c r="AG2048" s="20">
        <f>IF(OR(B2048="",'経歴簿'!$C$4=""),"",IF(B2048&amp;""='経歴簿'!$C$4&amp;"",MAX($AG$4:AG2047)+1,""))</f>
        <v/>
      </c>
      <c r="AH2048" s="20">
        <f>IF(A2048="",0,IF(AND(OR('CSV抽出'!$C$4="",A2048&gt;='CSV抽出'!$C$4),OR('CSV抽出'!$C$5="",A2048&lt;='CSV抽出'!$C$5),OR('CSV抽出'!$C$6="すべて",'CSV抽出'!$C$6="",D2048='CSV抽出'!$C$6),OR('CSV抽出'!$C$7="",B2048&amp;""='CSV抽出'!$C$7&amp;"")),1,0))</f>
        <v/>
      </c>
      <c r="AI2048" s="20">
        <f>IF(AH2048=1,SUM($AH$5:AH2048),"")</f>
        <v/>
      </c>
      <c r="AJ2048" s="20">
        <f>IF(OR(S2048="",'報告書'!$C$4=""),"",IF(S2048&amp;""='報告書'!$C$4&amp;"",COUNTIF($S$5:S2048,'報告書'!$C$4),""))</f>
        <v/>
      </c>
      <c r="AK2048" s="20" t="n"/>
      <c r="AL2048" s="47" t="n"/>
      <c r="AM2048" s="47" t="n"/>
      <c r="AN2048" s="53" t="n"/>
      <c r="AO2048" s="47" t="n"/>
      <c r="AP2048" s="47" t="n"/>
      <c r="AQ2048" s="47" t="n"/>
      <c r="AR2048" s="47" t="n"/>
      <c r="AS2048" s="47" t="n"/>
      <c r="AT2048" s="47" t="n"/>
      <c r="AU2048" s="47" t="n"/>
      <c r="AV2048" s="47" t="n"/>
      <c r="AW2048" s="52" t="n"/>
    </row>
    <row r="2049">
      <c r="A2049" s="48" t="n"/>
      <c r="B2049" s="52" t="n"/>
      <c r="C2049" s="47">
        <f>IF(B2049="","",IFERROR(INDEX('隊員マスタ'!$B$5:$B$204,MATCH(B2049&amp;"",'隊員マスタ'!$F$5:$F$204,0)),IF(AK2049="","番号なし",AK2049)))</f>
        <v/>
      </c>
      <c r="D2049" s="47" t="n"/>
      <c r="E2049" s="47" t="n"/>
      <c r="F2049" s="47" t="n"/>
      <c r="G2049" s="47" t="n"/>
      <c r="H2049" s="47" t="n"/>
      <c r="I2049" s="47" t="n"/>
      <c r="J2049" s="47" t="n"/>
      <c r="K2049" s="47" t="n"/>
      <c r="L2049" s="47" t="n"/>
      <c r="M2049" s="47" t="n"/>
      <c r="N2049" s="47" t="n"/>
      <c r="O2049" s="47" t="n"/>
      <c r="P2049" s="47" t="n"/>
      <c r="Q2049" s="47" t="n"/>
      <c r="R2049" s="47" t="n"/>
      <c r="S2049" s="47" t="n"/>
      <c r="T2049" s="47" t="n"/>
      <c r="U2049" s="53" t="n"/>
      <c r="V2049" s="53" t="n"/>
      <c r="W2049" s="47" t="n"/>
      <c r="X2049" s="47" t="n"/>
      <c r="Y2049" s="47" t="n"/>
      <c r="Z2049" s="47" t="n"/>
      <c r="AA2049" s="47" t="n"/>
      <c r="AB2049" s="47" t="n"/>
      <c r="AC2049" s="47" t="n"/>
      <c r="AD2049" s="47" t="n"/>
      <c r="AE2049" s="47" t="n"/>
      <c r="AF2049" s="20">
        <f>IF(A2049="","",YEAR(EDATE(A2049,-3)))</f>
        <v/>
      </c>
      <c r="AG2049" s="20">
        <f>IF(OR(B2049="",'経歴簿'!$C$4=""),"",IF(B2049&amp;""='経歴簿'!$C$4&amp;"",MAX($AG$4:AG2048)+1,""))</f>
        <v/>
      </c>
      <c r="AH2049" s="20">
        <f>IF(A2049="",0,IF(AND(OR('CSV抽出'!$C$4="",A2049&gt;='CSV抽出'!$C$4),OR('CSV抽出'!$C$5="",A2049&lt;='CSV抽出'!$C$5),OR('CSV抽出'!$C$6="すべて",'CSV抽出'!$C$6="",D2049='CSV抽出'!$C$6),OR('CSV抽出'!$C$7="",B2049&amp;""='CSV抽出'!$C$7&amp;"")),1,0))</f>
        <v/>
      </c>
      <c r="AI2049" s="20">
        <f>IF(AH2049=1,SUM($AH$5:AH2049),"")</f>
        <v/>
      </c>
      <c r="AJ2049" s="20">
        <f>IF(OR(S2049="",'報告書'!$C$4=""),"",IF(S2049&amp;""='報告書'!$C$4&amp;"",COUNTIF($S$5:S2049,'報告書'!$C$4),""))</f>
        <v/>
      </c>
      <c r="AK2049" s="20" t="n"/>
      <c r="AL2049" s="47" t="n"/>
      <c r="AM2049" s="47" t="n"/>
      <c r="AN2049" s="53" t="n"/>
      <c r="AO2049" s="47" t="n"/>
      <c r="AP2049" s="47" t="n"/>
      <c r="AQ2049" s="47" t="n"/>
      <c r="AR2049" s="47" t="n"/>
      <c r="AS2049" s="47" t="n"/>
      <c r="AT2049" s="47" t="n"/>
      <c r="AU2049" s="47" t="n"/>
      <c r="AV2049" s="47" t="n"/>
      <c r="AW2049" s="52" t="n"/>
    </row>
    <row r="2050">
      <c r="A2050" s="48" t="n"/>
      <c r="B2050" s="52" t="n"/>
      <c r="C2050" s="47">
        <f>IF(B2050="","",IFERROR(INDEX('隊員マスタ'!$B$5:$B$204,MATCH(B2050&amp;"",'隊員マスタ'!$F$5:$F$204,0)),IF(AK2050="","番号なし",AK2050)))</f>
        <v/>
      </c>
      <c r="D2050" s="47" t="n"/>
      <c r="E2050" s="47" t="n"/>
      <c r="F2050" s="47" t="n"/>
      <c r="G2050" s="47" t="n"/>
      <c r="H2050" s="47" t="n"/>
      <c r="I2050" s="47" t="n"/>
      <c r="J2050" s="47" t="n"/>
      <c r="K2050" s="47" t="n"/>
      <c r="L2050" s="47" t="n"/>
      <c r="M2050" s="47" t="n"/>
      <c r="N2050" s="47" t="n"/>
      <c r="O2050" s="47" t="n"/>
      <c r="P2050" s="47" t="n"/>
      <c r="Q2050" s="47" t="n"/>
      <c r="R2050" s="47" t="n"/>
      <c r="S2050" s="47" t="n"/>
      <c r="T2050" s="47" t="n"/>
      <c r="U2050" s="53" t="n"/>
      <c r="V2050" s="53" t="n"/>
      <c r="W2050" s="47" t="n"/>
      <c r="X2050" s="47" t="n"/>
      <c r="Y2050" s="47" t="n"/>
      <c r="Z2050" s="47" t="n"/>
      <c r="AA2050" s="47" t="n"/>
      <c r="AB2050" s="47" t="n"/>
      <c r="AC2050" s="47" t="n"/>
      <c r="AD2050" s="47" t="n"/>
      <c r="AE2050" s="47" t="n"/>
      <c r="AF2050" s="20">
        <f>IF(A2050="","",YEAR(EDATE(A2050,-3)))</f>
        <v/>
      </c>
      <c r="AG2050" s="20">
        <f>IF(OR(B2050="",'経歴簿'!$C$4=""),"",IF(B2050&amp;""='経歴簿'!$C$4&amp;"",MAX($AG$4:AG2049)+1,""))</f>
        <v/>
      </c>
      <c r="AH2050" s="20">
        <f>IF(A2050="",0,IF(AND(OR('CSV抽出'!$C$4="",A2050&gt;='CSV抽出'!$C$4),OR('CSV抽出'!$C$5="",A2050&lt;='CSV抽出'!$C$5),OR('CSV抽出'!$C$6="すべて",'CSV抽出'!$C$6="",D2050='CSV抽出'!$C$6),OR('CSV抽出'!$C$7="",B2050&amp;""='CSV抽出'!$C$7&amp;"")),1,0))</f>
        <v/>
      </c>
      <c r="AI2050" s="20">
        <f>IF(AH2050=1,SUM($AH$5:AH2050),"")</f>
        <v/>
      </c>
      <c r="AJ2050" s="20">
        <f>IF(OR(S2050="",'報告書'!$C$4=""),"",IF(S2050&amp;""='報告書'!$C$4&amp;"",COUNTIF($S$5:S2050,'報告書'!$C$4),""))</f>
        <v/>
      </c>
      <c r="AK2050" s="20" t="n"/>
      <c r="AL2050" s="47" t="n"/>
      <c r="AM2050" s="47" t="n"/>
      <c r="AN2050" s="53" t="n"/>
      <c r="AO2050" s="47" t="n"/>
      <c r="AP2050" s="47" t="n"/>
      <c r="AQ2050" s="47" t="n"/>
      <c r="AR2050" s="47" t="n"/>
      <c r="AS2050" s="47" t="n"/>
      <c r="AT2050" s="47" t="n"/>
      <c r="AU2050" s="47" t="n"/>
      <c r="AV2050" s="47" t="n"/>
      <c r="AW2050" s="52" t="n"/>
    </row>
    <row r="2051">
      <c r="A2051" s="48" t="n"/>
      <c r="B2051" s="52" t="n"/>
      <c r="C2051" s="47">
        <f>IF(B2051="","",IFERROR(INDEX('隊員マスタ'!$B$5:$B$204,MATCH(B2051&amp;"",'隊員マスタ'!$F$5:$F$204,0)),IF(AK2051="","番号なし",AK2051)))</f>
        <v/>
      </c>
      <c r="D2051" s="47" t="n"/>
      <c r="E2051" s="47" t="n"/>
      <c r="F2051" s="47" t="n"/>
      <c r="G2051" s="47" t="n"/>
      <c r="H2051" s="47" t="n"/>
      <c r="I2051" s="47" t="n"/>
      <c r="J2051" s="47" t="n"/>
      <c r="K2051" s="47" t="n"/>
      <c r="L2051" s="47" t="n"/>
      <c r="M2051" s="47" t="n"/>
      <c r="N2051" s="47" t="n"/>
      <c r="O2051" s="47" t="n"/>
      <c r="P2051" s="47" t="n"/>
      <c r="Q2051" s="47" t="n"/>
      <c r="R2051" s="47" t="n"/>
      <c r="S2051" s="47" t="n"/>
      <c r="T2051" s="47" t="n"/>
      <c r="U2051" s="53" t="n"/>
      <c r="V2051" s="53" t="n"/>
      <c r="W2051" s="47" t="n"/>
      <c r="X2051" s="47" t="n"/>
      <c r="Y2051" s="47" t="n"/>
      <c r="Z2051" s="47" t="n"/>
      <c r="AA2051" s="47" t="n"/>
      <c r="AB2051" s="47" t="n"/>
      <c r="AC2051" s="47" t="n"/>
      <c r="AD2051" s="47" t="n"/>
      <c r="AE2051" s="47" t="n"/>
      <c r="AF2051" s="20">
        <f>IF(A2051="","",YEAR(EDATE(A2051,-3)))</f>
        <v/>
      </c>
      <c r="AG2051" s="20">
        <f>IF(OR(B2051="",'経歴簿'!$C$4=""),"",IF(B2051&amp;""='経歴簿'!$C$4&amp;"",MAX($AG$4:AG2050)+1,""))</f>
        <v/>
      </c>
      <c r="AH2051" s="20">
        <f>IF(A2051="",0,IF(AND(OR('CSV抽出'!$C$4="",A2051&gt;='CSV抽出'!$C$4),OR('CSV抽出'!$C$5="",A2051&lt;='CSV抽出'!$C$5),OR('CSV抽出'!$C$6="すべて",'CSV抽出'!$C$6="",D2051='CSV抽出'!$C$6),OR('CSV抽出'!$C$7="",B2051&amp;""='CSV抽出'!$C$7&amp;"")),1,0))</f>
        <v/>
      </c>
      <c r="AI2051" s="20">
        <f>IF(AH2051=1,SUM($AH$5:AH2051),"")</f>
        <v/>
      </c>
      <c r="AJ2051" s="20">
        <f>IF(OR(S2051="",'報告書'!$C$4=""),"",IF(S2051&amp;""='報告書'!$C$4&amp;"",COUNTIF($S$5:S2051,'報告書'!$C$4),""))</f>
        <v/>
      </c>
      <c r="AK2051" s="20" t="n"/>
      <c r="AL2051" s="47" t="n"/>
      <c r="AM2051" s="47" t="n"/>
      <c r="AN2051" s="53" t="n"/>
      <c r="AO2051" s="47" t="n"/>
      <c r="AP2051" s="47" t="n"/>
      <c r="AQ2051" s="47" t="n"/>
      <c r="AR2051" s="47" t="n"/>
      <c r="AS2051" s="47" t="n"/>
      <c r="AT2051" s="47" t="n"/>
      <c r="AU2051" s="47" t="n"/>
      <c r="AV2051" s="47" t="n"/>
      <c r="AW2051" s="52" t="n"/>
    </row>
    <row r="2052">
      <c r="A2052" s="48" t="n"/>
      <c r="B2052" s="52" t="n"/>
      <c r="C2052" s="47">
        <f>IF(B2052="","",IFERROR(INDEX('隊員マスタ'!$B$5:$B$204,MATCH(B2052&amp;"",'隊員マスタ'!$F$5:$F$204,0)),IF(AK2052="","番号なし",AK2052)))</f>
        <v/>
      </c>
      <c r="D2052" s="47" t="n"/>
      <c r="E2052" s="47" t="n"/>
      <c r="F2052" s="47" t="n"/>
      <c r="G2052" s="47" t="n"/>
      <c r="H2052" s="47" t="n"/>
      <c r="I2052" s="47" t="n"/>
      <c r="J2052" s="47" t="n"/>
      <c r="K2052" s="47" t="n"/>
      <c r="L2052" s="47" t="n"/>
      <c r="M2052" s="47" t="n"/>
      <c r="N2052" s="47" t="n"/>
      <c r="O2052" s="47" t="n"/>
      <c r="P2052" s="47" t="n"/>
      <c r="Q2052" s="47" t="n"/>
      <c r="R2052" s="47" t="n"/>
      <c r="S2052" s="47" t="n"/>
      <c r="T2052" s="47" t="n"/>
      <c r="U2052" s="53" t="n"/>
      <c r="V2052" s="53" t="n"/>
      <c r="W2052" s="47" t="n"/>
      <c r="X2052" s="47" t="n"/>
      <c r="Y2052" s="47" t="n"/>
      <c r="Z2052" s="47" t="n"/>
      <c r="AA2052" s="47" t="n"/>
      <c r="AB2052" s="47" t="n"/>
      <c r="AC2052" s="47" t="n"/>
      <c r="AD2052" s="47" t="n"/>
      <c r="AE2052" s="47" t="n"/>
      <c r="AF2052" s="20">
        <f>IF(A2052="","",YEAR(EDATE(A2052,-3)))</f>
        <v/>
      </c>
      <c r="AG2052" s="20">
        <f>IF(OR(B2052="",'経歴簿'!$C$4=""),"",IF(B2052&amp;""='経歴簿'!$C$4&amp;"",MAX($AG$4:AG2051)+1,""))</f>
        <v/>
      </c>
      <c r="AH2052" s="20">
        <f>IF(A2052="",0,IF(AND(OR('CSV抽出'!$C$4="",A2052&gt;='CSV抽出'!$C$4),OR('CSV抽出'!$C$5="",A2052&lt;='CSV抽出'!$C$5),OR('CSV抽出'!$C$6="すべて",'CSV抽出'!$C$6="",D2052='CSV抽出'!$C$6),OR('CSV抽出'!$C$7="",B2052&amp;""='CSV抽出'!$C$7&amp;"")),1,0))</f>
        <v/>
      </c>
      <c r="AI2052" s="20">
        <f>IF(AH2052=1,SUM($AH$5:AH2052),"")</f>
        <v/>
      </c>
      <c r="AJ2052" s="20">
        <f>IF(OR(S2052="",'報告書'!$C$4=""),"",IF(S2052&amp;""='報告書'!$C$4&amp;"",COUNTIF($S$5:S2052,'報告書'!$C$4),""))</f>
        <v/>
      </c>
      <c r="AK2052" s="20" t="n"/>
      <c r="AL2052" s="47" t="n"/>
      <c r="AM2052" s="47" t="n"/>
      <c r="AN2052" s="53" t="n"/>
      <c r="AO2052" s="47" t="n"/>
      <c r="AP2052" s="47" t="n"/>
      <c r="AQ2052" s="47" t="n"/>
      <c r="AR2052" s="47" t="n"/>
      <c r="AS2052" s="47" t="n"/>
      <c r="AT2052" s="47" t="n"/>
      <c r="AU2052" s="47" t="n"/>
      <c r="AV2052" s="47" t="n"/>
      <c r="AW2052" s="52" t="n"/>
    </row>
    <row r="2053">
      <c r="A2053" s="48" t="n"/>
      <c r="B2053" s="52" t="n"/>
      <c r="C2053" s="47">
        <f>IF(B2053="","",IFERROR(INDEX('隊員マスタ'!$B$5:$B$204,MATCH(B2053&amp;"",'隊員マスタ'!$F$5:$F$204,0)),IF(AK2053="","番号なし",AK2053)))</f>
        <v/>
      </c>
      <c r="D2053" s="47" t="n"/>
      <c r="E2053" s="47" t="n"/>
      <c r="F2053" s="47" t="n"/>
      <c r="G2053" s="47" t="n"/>
      <c r="H2053" s="47" t="n"/>
      <c r="I2053" s="47" t="n"/>
      <c r="J2053" s="47" t="n"/>
      <c r="K2053" s="47" t="n"/>
      <c r="L2053" s="47" t="n"/>
      <c r="M2053" s="47" t="n"/>
      <c r="N2053" s="47" t="n"/>
      <c r="O2053" s="47" t="n"/>
      <c r="P2053" s="47" t="n"/>
      <c r="Q2053" s="47" t="n"/>
      <c r="R2053" s="47" t="n"/>
      <c r="S2053" s="47" t="n"/>
      <c r="T2053" s="47" t="n"/>
      <c r="U2053" s="53" t="n"/>
      <c r="V2053" s="53" t="n"/>
      <c r="W2053" s="47" t="n"/>
      <c r="X2053" s="47" t="n"/>
      <c r="Y2053" s="47" t="n"/>
      <c r="Z2053" s="47" t="n"/>
      <c r="AA2053" s="47" t="n"/>
      <c r="AB2053" s="47" t="n"/>
      <c r="AC2053" s="47" t="n"/>
      <c r="AD2053" s="47" t="n"/>
      <c r="AE2053" s="47" t="n"/>
      <c r="AF2053" s="20">
        <f>IF(A2053="","",YEAR(EDATE(A2053,-3)))</f>
        <v/>
      </c>
      <c r="AG2053" s="20">
        <f>IF(OR(B2053="",'経歴簿'!$C$4=""),"",IF(B2053&amp;""='経歴簿'!$C$4&amp;"",MAX($AG$4:AG2052)+1,""))</f>
        <v/>
      </c>
      <c r="AH2053" s="20">
        <f>IF(A2053="",0,IF(AND(OR('CSV抽出'!$C$4="",A2053&gt;='CSV抽出'!$C$4),OR('CSV抽出'!$C$5="",A2053&lt;='CSV抽出'!$C$5),OR('CSV抽出'!$C$6="すべて",'CSV抽出'!$C$6="",D2053='CSV抽出'!$C$6),OR('CSV抽出'!$C$7="",B2053&amp;""='CSV抽出'!$C$7&amp;"")),1,0))</f>
        <v/>
      </c>
      <c r="AI2053" s="20">
        <f>IF(AH2053=1,SUM($AH$5:AH2053),"")</f>
        <v/>
      </c>
      <c r="AJ2053" s="20">
        <f>IF(OR(S2053="",'報告書'!$C$4=""),"",IF(S2053&amp;""='報告書'!$C$4&amp;"",COUNTIF($S$5:S2053,'報告書'!$C$4),""))</f>
        <v/>
      </c>
      <c r="AK2053" s="20" t="n"/>
      <c r="AL2053" s="47" t="n"/>
      <c r="AM2053" s="47" t="n"/>
      <c r="AN2053" s="53" t="n"/>
      <c r="AO2053" s="47" t="n"/>
      <c r="AP2053" s="47" t="n"/>
      <c r="AQ2053" s="47" t="n"/>
      <c r="AR2053" s="47" t="n"/>
      <c r="AS2053" s="47" t="n"/>
      <c r="AT2053" s="47" t="n"/>
      <c r="AU2053" s="47" t="n"/>
      <c r="AV2053" s="47" t="n"/>
      <c r="AW2053" s="52" t="n"/>
    </row>
    <row r="2054">
      <c r="A2054" s="48" t="n"/>
      <c r="B2054" s="52" t="n"/>
      <c r="C2054" s="47">
        <f>IF(B2054="","",IFERROR(INDEX('隊員マスタ'!$B$5:$B$204,MATCH(B2054&amp;"",'隊員マスタ'!$F$5:$F$204,0)),IF(AK2054="","番号なし",AK2054)))</f>
        <v/>
      </c>
      <c r="D2054" s="47" t="n"/>
      <c r="E2054" s="47" t="n"/>
      <c r="F2054" s="47" t="n"/>
      <c r="G2054" s="47" t="n"/>
      <c r="H2054" s="47" t="n"/>
      <c r="I2054" s="47" t="n"/>
      <c r="J2054" s="47" t="n"/>
      <c r="K2054" s="47" t="n"/>
      <c r="L2054" s="47" t="n"/>
      <c r="M2054" s="47" t="n"/>
      <c r="N2054" s="47" t="n"/>
      <c r="O2054" s="47" t="n"/>
      <c r="P2054" s="47" t="n"/>
      <c r="Q2054" s="47" t="n"/>
      <c r="R2054" s="47" t="n"/>
      <c r="S2054" s="47" t="n"/>
      <c r="T2054" s="47" t="n"/>
      <c r="U2054" s="53" t="n"/>
      <c r="V2054" s="53" t="n"/>
      <c r="W2054" s="47" t="n"/>
      <c r="X2054" s="47" t="n"/>
      <c r="Y2054" s="47" t="n"/>
      <c r="Z2054" s="47" t="n"/>
      <c r="AA2054" s="47" t="n"/>
      <c r="AB2054" s="47" t="n"/>
      <c r="AC2054" s="47" t="n"/>
      <c r="AD2054" s="47" t="n"/>
      <c r="AE2054" s="47" t="n"/>
      <c r="AF2054" s="20">
        <f>IF(A2054="","",YEAR(EDATE(A2054,-3)))</f>
        <v/>
      </c>
      <c r="AG2054" s="20">
        <f>IF(OR(B2054="",'経歴簿'!$C$4=""),"",IF(B2054&amp;""='経歴簿'!$C$4&amp;"",MAX($AG$4:AG2053)+1,""))</f>
        <v/>
      </c>
      <c r="AH2054" s="20">
        <f>IF(A2054="",0,IF(AND(OR('CSV抽出'!$C$4="",A2054&gt;='CSV抽出'!$C$4),OR('CSV抽出'!$C$5="",A2054&lt;='CSV抽出'!$C$5),OR('CSV抽出'!$C$6="すべて",'CSV抽出'!$C$6="",D2054='CSV抽出'!$C$6),OR('CSV抽出'!$C$7="",B2054&amp;""='CSV抽出'!$C$7&amp;"")),1,0))</f>
        <v/>
      </c>
      <c r="AI2054" s="20">
        <f>IF(AH2054=1,SUM($AH$5:AH2054),"")</f>
        <v/>
      </c>
      <c r="AJ2054" s="20">
        <f>IF(OR(S2054="",'報告書'!$C$4=""),"",IF(S2054&amp;""='報告書'!$C$4&amp;"",COUNTIF($S$5:S2054,'報告書'!$C$4),""))</f>
        <v/>
      </c>
      <c r="AK2054" s="20" t="n"/>
      <c r="AL2054" s="47" t="n"/>
      <c r="AM2054" s="47" t="n"/>
      <c r="AN2054" s="53" t="n"/>
      <c r="AO2054" s="47" t="n"/>
      <c r="AP2054" s="47" t="n"/>
      <c r="AQ2054" s="47" t="n"/>
      <c r="AR2054" s="47" t="n"/>
      <c r="AS2054" s="47" t="n"/>
      <c r="AT2054" s="47" t="n"/>
      <c r="AU2054" s="47" t="n"/>
      <c r="AV2054" s="47" t="n"/>
      <c r="AW2054" s="52" t="n"/>
    </row>
    <row r="2055">
      <c r="A2055" s="48" t="n"/>
      <c r="B2055" s="52" t="n"/>
      <c r="C2055" s="47">
        <f>IF(B2055="","",IFERROR(INDEX('隊員マスタ'!$B$5:$B$204,MATCH(B2055&amp;"",'隊員マスタ'!$F$5:$F$204,0)),IF(AK2055="","番号なし",AK2055)))</f>
        <v/>
      </c>
      <c r="D2055" s="47" t="n"/>
      <c r="E2055" s="47" t="n"/>
      <c r="F2055" s="47" t="n"/>
      <c r="G2055" s="47" t="n"/>
      <c r="H2055" s="47" t="n"/>
      <c r="I2055" s="47" t="n"/>
      <c r="J2055" s="47" t="n"/>
      <c r="K2055" s="47" t="n"/>
      <c r="L2055" s="47" t="n"/>
      <c r="M2055" s="47" t="n"/>
      <c r="N2055" s="47" t="n"/>
      <c r="O2055" s="47" t="n"/>
      <c r="P2055" s="47" t="n"/>
      <c r="Q2055" s="47" t="n"/>
      <c r="R2055" s="47" t="n"/>
      <c r="S2055" s="47" t="n"/>
      <c r="T2055" s="47" t="n"/>
      <c r="U2055" s="53" t="n"/>
      <c r="V2055" s="53" t="n"/>
      <c r="W2055" s="47" t="n"/>
      <c r="X2055" s="47" t="n"/>
      <c r="Y2055" s="47" t="n"/>
      <c r="Z2055" s="47" t="n"/>
      <c r="AA2055" s="47" t="n"/>
      <c r="AB2055" s="47" t="n"/>
      <c r="AC2055" s="47" t="n"/>
      <c r="AD2055" s="47" t="n"/>
      <c r="AE2055" s="47" t="n"/>
      <c r="AF2055" s="20">
        <f>IF(A2055="","",YEAR(EDATE(A2055,-3)))</f>
        <v/>
      </c>
      <c r="AG2055" s="20">
        <f>IF(OR(B2055="",'経歴簿'!$C$4=""),"",IF(B2055&amp;""='経歴簿'!$C$4&amp;"",MAX($AG$4:AG2054)+1,""))</f>
        <v/>
      </c>
      <c r="AH2055" s="20">
        <f>IF(A2055="",0,IF(AND(OR('CSV抽出'!$C$4="",A2055&gt;='CSV抽出'!$C$4),OR('CSV抽出'!$C$5="",A2055&lt;='CSV抽出'!$C$5),OR('CSV抽出'!$C$6="すべて",'CSV抽出'!$C$6="",D2055='CSV抽出'!$C$6),OR('CSV抽出'!$C$7="",B2055&amp;""='CSV抽出'!$C$7&amp;"")),1,0))</f>
        <v/>
      </c>
      <c r="AI2055" s="20">
        <f>IF(AH2055=1,SUM($AH$5:AH2055),"")</f>
        <v/>
      </c>
      <c r="AJ2055" s="20">
        <f>IF(OR(S2055="",'報告書'!$C$4=""),"",IF(S2055&amp;""='報告書'!$C$4&amp;"",COUNTIF($S$5:S2055,'報告書'!$C$4),""))</f>
        <v/>
      </c>
      <c r="AK2055" s="20" t="n"/>
      <c r="AL2055" s="47" t="n"/>
      <c r="AM2055" s="47" t="n"/>
      <c r="AN2055" s="53" t="n"/>
      <c r="AO2055" s="47" t="n"/>
      <c r="AP2055" s="47" t="n"/>
      <c r="AQ2055" s="47" t="n"/>
      <c r="AR2055" s="47" t="n"/>
      <c r="AS2055" s="47" t="n"/>
      <c r="AT2055" s="47" t="n"/>
      <c r="AU2055" s="47" t="n"/>
      <c r="AV2055" s="47" t="n"/>
      <c r="AW2055" s="52" t="n"/>
    </row>
    <row r="2056">
      <c r="A2056" s="48" t="n"/>
      <c r="B2056" s="52" t="n"/>
      <c r="C2056" s="47">
        <f>IF(B2056="","",IFERROR(INDEX('隊員マスタ'!$B$5:$B$204,MATCH(B2056&amp;"",'隊員マスタ'!$F$5:$F$204,0)),IF(AK2056="","番号なし",AK2056)))</f>
        <v/>
      </c>
      <c r="D2056" s="47" t="n"/>
      <c r="E2056" s="47" t="n"/>
      <c r="F2056" s="47" t="n"/>
      <c r="G2056" s="47" t="n"/>
      <c r="H2056" s="47" t="n"/>
      <c r="I2056" s="47" t="n"/>
      <c r="J2056" s="47" t="n"/>
      <c r="K2056" s="47" t="n"/>
      <c r="L2056" s="47" t="n"/>
      <c r="M2056" s="47" t="n"/>
      <c r="N2056" s="47" t="n"/>
      <c r="O2056" s="47" t="n"/>
      <c r="P2056" s="47" t="n"/>
      <c r="Q2056" s="47" t="n"/>
      <c r="R2056" s="47" t="n"/>
      <c r="S2056" s="47" t="n"/>
      <c r="T2056" s="47" t="n"/>
      <c r="U2056" s="53" t="n"/>
      <c r="V2056" s="53" t="n"/>
      <c r="W2056" s="47" t="n"/>
      <c r="X2056" s="47" t="n"/>
      <c r="Y2056" s="47" t="n"/>
      <c r="Z2056" s="47" t="n"/>
      <c r="AA2056" s="47" t="n"/>
      <c r="AB2056" s="47" t="n"/>
      <c r="AC2056" s="47" t="n"/>
      <c r="AD2056" s="47" t="n"/>
      <c r="AE2056" s="47" t="n"/>
      <c r="AF2056" s="20">
        <f>IF(A2056="","",YEAR(EDATE(A2056,-3)))</f>
        <v/>
      </c>
      <c r="AG2056" s="20">
        <f>IF(OR(B2056="",'経歴簿'!$C$4=""),"",IF(B2056&amp;""='経歴簿'!$C$4&amp;"",MAX($AG$4:AG2055)+1,""))</f>
        <v/>
      </c>
      <c r="AH2056" s="20">
        <f>IF(A2056="",0,IF(AND(OR('CSV抽出'!$C$4="",A2056&gt;='CSV抽出'!$C$4),OR('CSV抽出'!$C$5="",A2056&lt;='CSV抽出'!$C$5),OR('CSV抽出'!$C$6="すべて",'CSV抽出'!$C$6="",D2056='CSV抽出'!$C$6),OR('CSV抽出'!$C$7="",B2056&amp;""='CSV抽出'!$C$7&amp;"")),1,0))</f>
        <v/>
      </c>
      <c r="AI2056" s="20">
        <f>IF(AH2056=1,SUM($AH$5:AH2056),"")</f>
        <v/>
      </c>
      <c r="AJ2056" s="20">
        <f>IF(OR(S2056="",'報告書'!$C$4=""),"",IF(S2056&amp;""='報告書'!$C$4&amp;"",COUNTIF($S$5:S2056,'報告書'!$C$4),""))</f>
        <v/>
      </c>
      <c r="AK2056" s="20" t="n"/>
      <c r="AL2056" s="47" t="n"/>
      <c r="AM2056" s="47" t="n"/>
      <c r="AN2056" s="53" t="n"/>
      <c r="AO2056" s="47" t="n"/>
      <c r="AP2056" s="47" t="n"/>
      <c r="AQ2056" s="47" t="n"/>
      <c r="AR2056" s="47" t="n"/>
      <c r="AS2056" s="47" t="n"/>
      <c r="AT2056" s="47" t="n"/>
      <c r="AU2056" s="47" t="n"/>
      <c r="AV2056" s="47" t="n"/>
      <c r="AW2056" s="52" t="n"/>
    </row>
    <row r="2057">
      <c r="A2057" s="48" t="n"/>
      <c r="B2057" s="52" t="n"/>
      <c r="C2057" s="47">
        <f>IF(B2057="","",IFERROR(INDEX('隊員マスタ'!$B$5:$B$204,MATCH(B2057&amp;"",'隊員マスタ'!$F$5:$F$204,0)),IF(AK2057="","番号なし",AK2057)))</f>
        <v/>
      </c>
      <c r="D2057" s="47" t="n"/>
      <c r="E2057" s="47" t="n"/>
      <c r="F2057" s="47" t="n"/>
      <c r="G2057" s="47" t="n"/>
      <c r="H2057" s="47" t="n"/>
      <c r="I2057" s="47" t="n"/>
      <c r="J2057" s="47" t="n"/>
      <c r="K2057" s="47" t="n"/>
      <c r="L2057" s="47" t="n"/>
      <c r="M2057" s="47" t="n"/>
      <c r="N2057" s="47" t="n"/>
      <c r="O2057" s="47" t="n"/>
      <c r="P2057" s="47" t="n"/>
      <c r="Q2057" s="47" t="n"/>
      <c r="R2057" s="47" t="n"/>
      <c r="S2057" s="47" t="n"/>
      <c r="T2057" s="47" t="n"/>
      <c r="U2057" s="53" t="n"/>
      <c r="V2057" s="53" t="n"/>
      <c r="W2057" s="47" t="n"/>
      <c r="X2057" s="47" t="n"/>
      <c r="Y2057" s="47" t="n"/>
      <c r="Z2057" s="47" t="n"/>
      <c r="AA2057" s="47" t="n"/>
      <c r="AB2057" s="47" t="n"/>
      <c r="AC2057" s="47" t="n"/>
      <c r="AD2057" s="47" t="n"/>
      <c r="AE2057" s="47" t="n"/>
      <c r="AF2057" s="20">
        <f>IF(A2057="","",YEAR(EDATE(A2057,-3)))</f>
        <v/>
      </c>
      <c r="AG2057" s="20">
        <f>IF(OR(B2057="",'経歴簿'!$C$4=""),"",IF(B2057&amp;""='経歴簿'!$C$4&amp;"",MAX($AG$4:AG2056)+1,""))</f>
        <v/>
      </c>
      <c r="AH2057" s="20">
        <f>IF(A2057="",0,IF(AND(OR('CSV抽出'!$C$4="",A2057&gt;='CSV抽出'!$C$4),OR('CSV抽出'!$C$5="",A2057&lt;='CSV抽出'!$C$5),OR('CSV抽出'!$C$6="すべて",'CSV抽出'!$C$6="",D2057='CSV抽出'!$C$6),OR('CSV抽出'!$C$7="",B2057&amp;""='CSV抽出'!$C$7&amp;"")),1,0))</f>
        <v/>
      </c>
      <c r="AI2057" s="20">
        <f>IF(AH2057=1,SUM($AH$5:AH2057),"")</f>
        <v/>
      </c>
      <c r="AJ2057" s="20">
        <f>IF(OR(S2057="",'報告書'!$C$4=""),"",IF(S2057&amp;""='報告書'!$C$4&amp;"",COUNTIF($S$5:S2057,'報告書'!$C$4),""))</f>
        <v/>
      </c>
      <c r="AK2057" s="20" t="n"/>
      <c r="AL2057" s="47" t="n"/>
      <c r="AM2057" s="47" t="n"/>
      <c r="AN2057" s="53" t="n"/>
      <c r="AO2057" s="47" t="n"/>
      <c r="AP2057" s="47" t="n"/>
      <c r="AQ2057" s="47" t="n"/>
      <c r="AR2057" s="47" t="n"/>
      <c r="AS2057" s="47" t="n"/>
      <c r="AT2057" s="47" t="n"/>
      <c r="AU2057" s="47" t="n"/>
      <c r="AV2057" s="47" t="n"/>
      <c r="AW2057" s="52" t="n"/>
    </row>
    <row r="2058">
      <c r="A2058" s="48" t="n"/>
      <c r="B2058" s="52" t="n"/>
      <c r="C2058" s="47">
        <f>IF(B2058="","",IFERROR(INDEX('隊員マスタ'!$B$5:$B$204,MATCH(B2058&amp;"",'隊員マスタ'!$F$5:$F$204,0)),IF(AK2058="","番号なし",AK2058)))</f>
        <v/>
      </c>
      <c r="D2058" s="47" t="n"/>
      <c r="E2058" s="47" t="n"/>
      <c r="F2058" s="47" t="n"/>
      <c r="G2058" s="47" t="n"/>
      <c r="H2058" s="47" t="n"/>
      <c r="I2058" s="47" t="n"/>
      <c r="J2058" s="47" t="n"/>
      <c r="K2058" s="47" t="n"/>
      <c r="L2058" s="47" t="n"/>
      <c r="M2058" s="47" t="n"/>
      <c r="N2058" s="47" t="n"/>
      <c r="O2058" s="47" t="n"/>
      <c r="P2058" s="47" t="n"/>
      <c r="Q2058" s="47" t="n"/>
      <c r="R2058" s="47" t="n"/>
      <c r="S2058" s="47" t="n"/>
      <c r="T2058" s="47" t="n"/>
      <c r="U2058" s="53" t="n"/>
      <c r="V2058" s="53" t="n"/>
      <c r="W2058" s="47" t="n"/>
      <c r="X2058" s="47" t="n"/>
      <c r="Y2058" s="47" t="n"/>
      <c r="Z2058" s="47" t="n"/>
      <c r="AA2058" s="47" t="n"/>
      <c r="AB2058" s="47" t="n"/>
      <c r="AC2058" s="47" t="n"/>
      <c r="AD2058" s="47" t="n"/>
      <c r="AE2058" s="47" t="n"/>
      <c r="AF2058" s="20">
        <f>IF(A2058="","",YEAR(EDATE(A2058,-3)))</f>
        <v/>
      </c>
      <c r="AG2058" s="20">
        <f>IF(OR(B2058="",'経歴簿'!$C$4=""),"",IF(B2058&amp;""='経歴簿'!$C$4&amp;"",MAX($AG$4:AG2057)+1,""))</f>
        <v/>
      </c>
      <c r="AH2058" s="20">
        <f>IF(A2058="",0,IF(AND(OR('CSV抽出'!$C$4="",A2058&gt;='CSV抽出'!$C$4),OR('CSV抽出'!$C$5="",A2058&lt;='CSV抽出'!$C$5),OR('CSV抽出'!$C$6="すべて",'CSV抽出'!$C$6="",D2058='CSV抽出'!$C$6),OR('CSV抽出'!$C$7="",B2058&amp;""='CSV抽出'!$C$7&amp;"")),1,0))</f>
        <v/>
      </c>
      <c r="AI2058" s="20">
        <f>IF(AH2058=1,SUM($AH$5:AH2058),"")</f>
        <v/>
      </c>
      <c r="AJ2058" s="20">
        <f>IF(OR(S2058="",'報告書'!$C$4=""),"",IF(S2058&amp;""='報告書'!$C$4&amp;"",COUNTIF($S$5:S2058,'報告書'!$C$4),""))</f>
        <v/>
      </c>
      <c r="AK2058" s="20" t="n"/>
      <c r="AL2058" s="47" t="n"/>
      <c r="AM2058" s="47" t="n"/>
      <c r="AN2058" s="53" t="n"/>
      <c r="AO2058" s="47" t="n"/>
      <c r="AP2058" s="47" t="n"/>
      <c r="AQ2058" s="47" t="n"/>
      <c r="AR2058" s="47" t="n"/>
      <c r="AS2058" s="47" t="n"/>
      <c r="AT2058" s="47" t="n"/>
      <c r="AU2058" s="47" t="n"/>
      <c r="AV2058" s="47" t="n"/>
      <c r="AW2058" s="52" t="n"/>
    </row>
    <row r="2059">
      <c r="A2059" s="48" t="n"/>
      <c r="B2059" s="52" t="n"/>
      <c r="C2059" s="47">
        <f>IF(B2059="","",IFERROR(INDEX('隊員マスタ'!$B$5:$B$204,MATCH(B2059&amp;"",'隊員マスタ'!$F$5:$F$204,0)),IF(AK2059="","番号なし",AK2059)))</f>
        <v/>
      </c>
      <c r="D2059" s="47" t="n"/>
      <c r="E2059" s="47" t="n"/>
      <c r="F2059" s="47" t="n"/>
      <c r="G2059" s="47" t="n"/>
      <c r="H2059" s="47" t="n"/>
      <c r="I2059" s="47" t="n"/>
      <c r="J2059" s="47" t="n"/>
      <c r="K2059" s="47" t="n"/>
      <c r="L2059" s="47" t="n"/>
      <c r="M2059" s="47" t="n"/>
      <c r="N2059" s="47" t="n"/>
      <c r="O2059" s="47" t="n"/>
      <c r="P2059" s="47" t="n"/>
      <c r="Q2059" s="47" t="n"/>
      <c r="R2059" s="47" t="n"/>
      <c r="S2059" s="47" t="n"/>
      <c r="T2059" s="47" t="n"/>
      <c r="U2059" s="53" t="n"/>
      <c r="V2059" s="53" t="n"/>
      <c r="W2059" s="47" t="n"/>
      <c r="X2059" s="47" t="n"/>
      <c r="Y2059" s="47" t="n"/>
      <c r="Z2059" s="47" t="n"/>
      <c r="AA2059" s="47" t="n"/>
      <c r="AB2059" s="47" t="n"/>
      <c r="AC2059" s="47" t="n"/>
      <c r="AD2059" s="47" t="n"/>
      <c r="AE2059" s="47" t="n"/>
      <c r="AF2059" s="20">
        <f>IF(A2059="","",YEAR(EDATE(A2059,-3)))</f>
        <v/>
      </c>
      <c r="AG2059" s="20">
        <f>IF(OR(B2059="",'経歴簿'!$C$4=""),"",IF(B2059&amp;""='経歴簿'!$C$4&amp;"",MAX($AG$4:AG2058)+1,""))</f>
        <v/>
      </c>
      <c r="AH2059" s="20">
        <f>IF(A2059="",0,IF(AND(OR('CSV抽出'!$C$4="",A2059&gt;='CSV抽出'!$C$4),OR('CSV抽出'!$C$5="",A2059&lt;='CSV抽出'!$C$5),OR('CSV抽出'!$C$6="すべて",'CSV抽出'!$C$6="",D2059='CSV抽出'!$C$6),OR('CSV抽出'!$C$7="",B2059&amp;""='CSV抽出'!$C$7&amp;"")),1,0))</f>
        <v/>
      </c>
      <c r="AI2059" s="20">
        <f>IF(AH2059=1,SUM($AH$5:AH2059),"")</f>
        <v/>
      </c>
      <c r="AJ2059" s="20">
        <f>IF(OR(S2059="",'報告書'!$C$4=""),"",IF(S2059&amp;""='報告書'!$C$4&amp;"",COUNTIF($S$5:S2059,'報告書'!$C$4),""))</f>
        <v/>
      </c>
      <c r="AK2059" s="20" t="n"/>
      <c r="AL2059" s="47" t="n"/>
      <c r="AM2059" s="47" t="n"/>
      <c r="AN2059" s="53" t="n"/>
      <c r="AO2059" s="47" t="n"/>
      <c r="AP2059" s="47" t="n"/>
      <c r="AQ2059" s="47" t="n"/>
      <c r="AR2059" s="47" t="n"/>
      <c r="AS2059" s="47" t="n"/>
      <c r="AT2059" s="47" t="n"/>
      <c r="AU2059" s="47" t="n"/>
      <c r="AV2059" s="47" t="n"/>
      <c r="AW2059" s="52" t="n"/>
    </row>
    <row r="2060">
      <c r="A2060" s="48" t="n"/>
      <c r="B2060" s="52" t="n"/>
      <c r="C2060" s="47">
        <f>IF(B2060="","",IFERROR(INDEX('隊員マスタ'!$B$5:$B$204,MATCH(B2060&amp;"",'隊員マスタ'!$F$5:$F$204,0)),IF(AK2060="","番号なし",AK2060)))</f>
        <v/>
      </c>
      <c r="D2060" s="47" t="n"/>
      <c r="E2060" s="47" t="n"/>
      <c r="F2060" s="47" t="n"/>
      <c r="G2060" s="47" t="n"/>
      <c r="H2060" s="47" t="n"/>
      <c r="I2060" s="47" t="n"/>
      <c r="J2060" s="47" t="n"/>
      <c r="K2060" s="47" t="n"/>
      <c r="L2060" s="47" t="n"/>
      <c r="M2060" s="47" t="n"/>
      <c r="N2060" s="47" t="n"/>
      <c r="O2060" s="47" t="n"/>
      <c r="P2060" s="47" t="n"/>
      <c r="Q2060" s="47" t="n"/>
      <c r="R2060" s="47" t="n"/>
      <c r="S2060" s="47" t="n"/>
      <c r="T2060" s="47" t="n"/>
      <c r="U2060" s="53" t="n"/>
      <c r="V2060" s="53" t="n"/>
      <c r="W2060" s="47" t="n"/>
      <c r="X2060" s="47" t="n"/>
      <c r="Y2060" s="47" t="n"/>
      <c r="Z2060" s="47" t="n"/>
      <c r="AA2060" s="47" t="n"/>
      <c r="AB2060" s="47" t="n"/>
      <c r="AC2060" s="47" t="n"/>
      <c r="AD2060" s="47" t="n"/>
      <c r="AE2060" s="47" t="n"/>
      <c r="AF2060" s="20">
        <f>IF(A2060="","",YEAR(EDATE(A2060,-3)))</f>
        <v/>
      </c>
      <c r="AG2060" s="20">
        <f>IF(OR(B2060="",'経歴簿'!$C$4=""),"",IF(B2060&amp;""='経歴簿'!$C$4&amp;"",MAX($AG$4:AG2059)+1,""))</f>
        <v/>
      </c>
      <c r="AH2060" s="20">
        <f>IF(A2060="",0,IF(AND(OR('CSV抽出'!$C$4="",A2060&gt;='CSV抽出'!$C$4),OR('CSV抽出'!$C$5="",A2060&lt;='CSV抽出'!$C$5),OR('CSV抽出'!$C$6="すべて",'CSV抽出'!$C$6="",D2060='CSV抽出'!$C$6),OR('CSV抽出'!$C$7="",B2060&amp;""='CSV抽出'!$C$7&amp;"")),1,0))</f>
        <v/>
      </c>
      <c r="AI2060" s="20">
        <f>IF(AH2060=1,SUM($AH$5:AH2060),"")</f>
        <v/>
      </c>
      <c r="AJ2060" s="20">
        <f>IF(OR(S2060="",'報告書'!$C$4=""),"",IF(S2060&amp;""='報告書'!$C$4&amp;"",COUNTIF($S$5:S2060,'報告書'!$C$4),""))</f>
        <v/>
      </c>
      <c r="AK2060" s="20" t="n"/>
      <c r="AL2060" s="47" t="n"/>
      <c r="AM2060" s="47" t="n"/>
      <c r="AN2060" s="53" t="n"/>
      <c r="AO2060" s="47" t="n"/>
      <c r="AP2060" s="47" t="n"/>
      <c r="AQ2060" s="47" t="n"/>
      <c r="AR2060" s="47" t="n"/>
      <c r="AS2060" s="47" t="n"/>
      <c r="AT2060" s="47" t="n"/>
      <c r="AU2060" s="47" t="n"/>
      <c r="AV2060" s="47" t="n"/>
      <c r="AW2060" s="52" t="n"/>
    </row>
    <row r="2061">
      <c r="A2061" s="48" t="n"/>
      <c r="B2061" s="52" t="n"/>
      <c r="C2061" s="47">
        <f>IF(B2061="","",IFERROR(INDEX('隊員マスタ'!$B$5:$B$204,MATCH(B2061&amp;"",'隊員マスタ'!$F$5:$F$204,0)),IF(AK2061="","番号なし",AK2061)))</f>
        <v/>
      </c>
      <c r="D2061" s="47" t="n"/>
      <c r="E2061" s="47" t="n"/>
      <c r="F2061" s="47" t="n"/>
      <c r="G2061" s="47" t="n"/>
      <c r="H2061" s="47" t="n"/>
      <c r="I2061" s="47" t="n"/>
      <c r="J2061" s="47" t="n"/>
      <c r="K2061" s="47" t="n"/>
      <c r="L2061" s="47" t="n"/>
      <c r="M2061" s="47" t="n"/>
      <c r="N2061" s="47" t="n"/>
      <c r="O2061" s="47" t="n"/>
      <c r="P2061" s="47" t="n"/>
      <c r="Q2061" s="47" t="n"/>
      <c r="R2061" s="47" t="n"/>
      <c r="S2061" s="47" t="n"/>
      <c r="T2061" s="47" t="n"/>
      <c r="U2061" s="53" t="n"/>
      <c r="V2061" s="53" t="n"/>
      <c r="W2061" s="47" t="n"/>
      <c r="X2061" s="47" t="n"/>
      <c r="Y2061" s="47" t="n"/>
      <c r="Z2061" s="47" t="n"/>
      <c r="AA2061" s="47" t="n"/>
      <c r="AB2061" s="47" t="n"/>
      <c r="AC2061" s="47" t="n"/>
      <c r="AD2061" s="47" t="n"/>
      <c r="AE2061" s="47" t="n"/>
      <c r="AF2061" s="20">
        <f>IF(A2061="","",YEAR(EDATE(A2061,-3)))</f>
        <v/>
      </c>
      <c r="AG2061" s="20">
        <f>IF(OR(B2061="",'経歴簿'!$C$4=""),"",IF(B2061&amp;""='経歴簿'!$C$4&amp;"",MAX($AG$4:AG2060)+1,""))</f>
        <v/>
      </c>
      <c r="AH2061" s="20">
        <f>IF(A2061="",0,IF(AND(OR('CSV抽出'!$C$4="",A2061&gt;='CSV抽出'!$C$4),OR('CSV抽出'!$C$5="",A2061&lt;='CSV抽出'!$C$5),OR('CSV抽出'!$C$6="すべて",'CSV抽出'!$C$6="",D2061='CSV抽出'!$C$6),OR('CSV抽出'!$C$7="",B2061&amp;""='CSV抽出'!$C$7&amp;"")),1,0))</f>
        <v/>
      </c>
      <c r="AI2061" s="20">
        <f>IF(AH2061=1,SUM($AH$5:AH2061),"")</f>
        <v/>
      </c>
      <c r="AJ2061" s="20">
        <f>IF(OR(S2061="",'報告書'!$C$4=""),"",IF(S2061&amp;""='報告書'!$C$4&amp;"",COUNTIF($S$5:S2061,'報告書'!$C$4),""))</f>
        <v/>
      </c>
      <c r="AK2061" s="20" t="n"/>
      <c r="AL2061" s="47" t="n"/>
      <c r="AM2061" s="47" t="n"/>
      <c r="AN2061" s="53" t="n"/>
      <c r="AO2061" s="47" t="n"/>
      <c r="AP2061" s="47" t="n"/>
      <c r="AQ2061" s="47" t="n"/>
      <c r="AR2061" s="47" t="n"/>
      <c r="AS2061" s="47" t="n"/>
      <c r="AT2061" s="47" t="n"/>
      <c r="AU2061" s="47" t="n"/>
      <c r="AV2061" s="47" t="n"/>
      <c r="AW2061" s="52" t="n"/>
    </row>
    <row r="2062">
      <c r="A2062" s="48" t="n"/>
      <c r="B2062" s="52" t="n"/>
      <c r="C2062" s="47">
        <f>IF(B2062="","",IFERROR(INDEX('隊員マスタ'!$B$5:$B$204,MATCH(B2062&amp;"",'隊員マスタ'!$F$5:$F$204,0)),IF(AK2062="","番号なし",AK2062)))</f>
        <v/>
      </c>
      <c r="D2062" s="47" t="n"/>
      <c r="E2062" s="47" t="n"/>
      <c r="F2062" s="47" t="n"/>
      <c r="G2062" s="47" t="n"/>
      <c r="H2062" s="47" t="n"/>
      <c r="I2062" s="47" t="n"/>
      <c r="J2062" s="47" t="n"/>
      <c r="K2062" s="47" t="n"/>
      <c r="L2062" s="47" t="n"/>
      <c r="M2062" s="47" t="n"/>
      <c r="N2062" s="47" t="n"/>
      <c r="O2062" s="47" t="n"/>
      <c r="P2062" s="47" t="n"/>
      <c r="Q2062" s="47" t="n"/>
      <c r="R2062" s="47" t="n"/>
      <c r="S2062" s="47" t="n"/>
      <c r="T2062" s="47" t="n"/>
      <c r="U2062" s="53" t="n"/>
      <c r="V2062" s="53" t="n"/>
      <c r="W2062" s="47" t="n"/>
      <c r="X2062" s="47" t="n"/>
      <c r="Y2062" s="47" t="n"/>
      <c r="Z2062" s="47" t="n"/>
      <c r="AA2062" s="47" t="n"/>
      <c r="AB2062" s="47" t="n"/>
      <c r="AC2062" s="47" t="n"/>
      <c r="AD2062" s="47" t="n"/>
      <c r="AE2062" s="47" t="n"/>
      <c r="AF2062" s="20">
        <f>IF(A2062="","",YEAR(EDATE(A2062,-3)))</f>
        <v/>
      </c>
      <c r="AG2062" s="20">
        <f>IF(OR(B2062="",'経歴簿'!$C$4=""),"",IF(B2062&amp;""='経歴簿'!$C$4&amp;"",MAX($AG$4:AG2061)+1,""))</f>
        <v/>
      </c>
      <c r="AH2062" s="20">
        <f>IF(A2062="",0,IF(AND(OR('CSV抽出'!$C$4="",A2062&gt;='CSV抽出'!$C$4),OR('CSV抽出'!$C$5="",A2062&lt;='CSV抽出'!$C$5),OR('CSV抽出'!$C$6="すべて",'CSV抽出'!$C$6="",D2062='CSV抽出'!$C$6),OR('CSV抽出'!$C$7="",B2062&amp;""='CSV抽出'!$C$7&amp;"")),1,0))</f>
        <v/>
      </c>
      <c r="AI2062" s="20">
        <f>IF(AH2062=1,SUM($AH$5:AH2062),"")</f>
        <v/>
      </c>
      <c r="AJ2062" s="20">
        <f>IF(OR(S2062="",'報告書'!$C$4=""),"",IF(S2062&amp;""='報告書'!$C$4&amp;"",COUNTIF($S$5:S2062,'報告書'!$C$4),""))</f>
        <v/>
      </c>
      <c r="AK2062" s="20" t="n"/>
      <c r="AL2062" s="47" t="n"/>
      <c r="AM2062" s="47" t="n"/>
      <c r="AN2062" s="53" t="n"/>
      <c r="AO2062" s="47" t="n"/>
      <c r="AP2062" s="47" t="n"/>
      <c r="AQ2062" s="47" t="n"/>
      <c r="AR2062" s="47" t="n"/>
      <c r="AS2062" s="47" t="n"/>
      <c r="AT2062" s="47" t="n"/>
      <c r="AU2062" s="47" t="n"/>
      <c r="AV2062" s="47" t="n"/>
      <c r="AW2062" s="52" t="n"/>
    </row>
    <row r="2063">
      <c r="A2063" s="48" t="n"/>
      <c r="B2063" s="52" t="n"/>
      <c r="C2063" s="47">
        <f>IF(B2063="","",IFERROR(INDEX('隊員マスタ'!$B$5:$B$204,MATCH(B2063&amp;"",'隊員マスタ'!$F$5:$F$204,0)),IF(AK2063="","番号なし",AK2063)))</f>
        <v/>
      </c>
      <c r="D2063" s="47" t="n"/>
      <c r="E2063" s="47" t="n"/>
      <c r="F2063" s="47" t="n"/>
      <c r="G2063" s="47" t="n"/>
      <c r="H2063" s="47" t="n"/>
      <c r="I2063" s="47" t="n"/>
      <c r="J2063" s="47" t="n"/>
      <c r="K2063" s="47" t="n"/>
      <c r="L2063" s="47" t="n"/>
      <c r="M2063" s="47" t="n"/>
      <c r="N2063" s="47" t="n"/>
      <c r="O2063" s="47" t="n"/>
      <c r="P2063" s="47" t="n"/>
      <c r="Q2063" s="47" t="n"/>
      <c r="R2063" s="47" t="n"/>
      <c r="S2063" s="47" t="n"/>
      <c r="T2063" s="47" t="n"/>
      <c r="U2063" s="53" t="n"/>
      <c r="V2063" s="53" t="n"/>
      <c r="W2063" s="47" t="n"/>
      <c r="X2063" s="47" t="n"/>
      <c r="Y2063" s="47" t="n"/>
      <c r="Z2063" s="47" t="n"/>
      <c r="AA2063" s="47" t="n"/>
      <c r="AB2063" s="47" t="n"/>
      <c r="AC2063" s="47" t="n"/>
      <c r="AD2063" s="47" t="n"/>
      <c r="AE2063" s="47" t="n"/>
      <c r="AF2063" s="20">
        <f>IF(A2063="","",YEAR(EDATE(A2063,-3)))</f>
        <v/>
      </c>
      <c r="AG2063" s="20">
        <f>IF(OR(B2063="",'経歴簿'!$C$4=""),"",IF(B2063&amp;""='経歴簿'!$C$4&amp;"",MAX($AG$4:AG2062)+1,""))</f>
        <v/>
      </c>
      <c r="AH2063" s="20">
        <f>IF(A2063="",0,IF(AND(OR('CSV抽出'!$C$4="",A2063&gt;='CSV抽出'!$C$4),OR('CSV抽出'!$C$5="",A2063&lt;='CSV抽出'!$C$5),OR('CSV抽出'!$C$6="すべて",'CSV抽出'!$C$6="",D2063='CSV抽出'!$C$6),OR('CSV抽出'!$C$7="",B2063&amp;""='CSV抽出'!$C$7&amp;"")),1,0))</f>
        <v/>
      </c>
      <c r="AI2063" s="20">
        <f>IF(AH2063=1,SUM($AH$5:AH2063),"")</f>
        <v/>
      </c>
      <c r="AJ2063" s="20">
        <f>IF(OR(S2063="",'報告書'!$C$4=""),"",IF(S2063&amp;""='報告書'!$C$4&amp;"",COUNTIF($S$5:S2063,'報告書'!$C$4),""))</f>
        <v/>
      </c>
      <c r="AK2063" s="20" t="n"/>
      <c r="AL2063" s="47" t="n"/>
      <c r="AM2063" s="47" t="n"/>
      <c r="AN2063" s="53" t="n"/>
      <c r="AO2063" s="47" t="n"/>
      <c r="AP2063" s="47" t="n"/>
      <c r="AQ2063" s="47" t="n"/>
      <c r="AR2063" s="47" t="n"/>
      <c r="AS2063" s="47" t="n"/>
      <c r="AT2063" s="47" t="n"/>
      <c r="AU2063" s="47" t="n"/>
      <c r="AV2063" s="47" t="n"/>
      <c r="AW2063" s="52" t="n"/>
    </row>
    <row r="2064">
      <c r="A2064" s="48" t="n"/>
      <c r="B2064" s="52" t="n"/>
      <c r="C2064" s="47">
        <f>IF(B2064="","",IFERROR(INDEX('隊員マスタ'!$B$5:$B$204,MATCH(B2064&amp;"",'隊員マスタ'!$F$5:$F$204,0)),IF(AK2064="","番号なし",AK2064)))</f>
        <v/>
      </c>
      <c r="D2064" s="47" t="n"/>
      <c r="E2064" s="47" t="n"/>
      <c r="F2064" s="47" t="n"/>
      <c r="G2064" s="47" t="n"/>
      <c r="H2064" s="47" t="n"/>
      <c r="I2064" s="47" t="n"/>
      <c r="J2064" s="47" t="n"/>
      <c r="K2064" s="47" t="n"/>
      <c r="L2064" s="47" t="n"/>
      <c r="M2064" s="47" t="n"/>
      <c r="N2064" s="47" t="n"/>
      <c r="O2064" s="47" t="n"/>
      <c r="P2064" s="47" t="n"/>
      <c r="Q2064" s="47" t="n"/>
      <c r="R2064" s="47" t="n"/>
      <c r="S2064" s="47" t="n"/>
      <c r="T2064" s="47" t="n"/>
      <c r="U2064" s="53" t="n"/>
      <c r="V2064" s="53" t="n"/>
      <c r="W2064" s="47" t="n"/>
      <c r="X2064" s="47" t="n"/>
      <c r="Y2064" s="47" t="n"/>
      <c r="Z2064" s="47" t="n"/>
      <c r="AA2064" s="47" t="n"/>
      <c r="AB2064" s="47" t="n"/>
      <c r="AC2064" s="47" t="n"/>
      <c r="AD2064" s="47" t="n"/>
      <c r="AE2064" s="47" t="n"/>
      <c r="AF2064" s="20">
        <f>IF(A2064="","",YEAR(EDATE(A2064,-3)))</f>
        <v/>
      </c>
      <c r="AG2064" s="20">
        <f>IF(OR(B2064="",'経歴簿'!$C$4=""),"",IF(B2064&amp;""='経歴簿'!$C$4&amp;"",MAX($AG$4:AG2063)+1,""))</f>
        <v/>
      </c>
      <c r="AH2064" s="20">
        <f>IF(A2064="",0,IF(AND(OR('CSV抽出'!$C$4="",A2064&gt;='CSV抽出'!$C$4),OR('CSV抽出'!$C$5="",A2064&lt;='CSV抽出'!$C$5),OR('CSV抽出'!$C$6="すべて",'CSV抽出'!$C$6="",D2064='CSV抽出'!$C$6),OR('CSV抽出'!$C$7="",B2064&amp;""='CSV抽出'!$C$7&amp;"")),1,0))</f>
        <v/>
      </c>
      <c r="AI2064" s="20">
        <f>IF(AH2064=1,SUM($AH$5:AH2064),"")</f>
        <v/>
      </c>
      <c r="AJ2064" s="20">
        <f>IF(OR(S2064="",'報告書'!$C$4=""),"",IF(S2064&amp;""='報告書'!$C$4&amp;"",COUNTIF($S$5:S2064,'報告書'!$C$4),""))</f>
        <v/>
      </c>
      <c r="AK2064" s="20" t="n"/>
      <c r="AL2064" s="47" t="n"/>
      <c r="AM2064" s="47" t="n"/>
      <c r="AN2064" s="53" t="n"/>
      <c r="AO2064" s="47" t="n"/>
      <c r="AP2064" s="47" t="n"/>
      <c r="AQ2064" s="47" t="n"/>
      <c r="AR2064" s="47" t="n"/>
      <c r="AS2064" s="47" t="n"/>
      <c r="AT2064" s="47" t="n"/>
      <c r="AU2064" s="47" t="n"/>
      <c r="AV2064" s="47" t="n"/>
      <c r="AW2064" s="52" t="n"/>
    </row>
    <row r="2065">
      <c r="A2065" s="48" t="n"/>
      <c r="B2065" s="52" t="n"/>
      <c r="C2065" s="47">
        <f>IF(B2065="","",IFERROR(INDEX('隊員マスタ'!$B$5:$B$204,MATCH(B2065&amp;"",'隊員マスタ'!$F$5:$F$204,0)),IF(AK2065="","番号なし",AK2065)))</f>
        <v/>
      </c>
      <c r="D2065" s="47" t="n"/>
      <c r="E2065" s="47" t="n"/>
      <c r="F2065" s="47" t="n"/>
      <c r="G2065" s="47" t="n"/>
      <c r="H2065" s="47" t="n"/>
      <c r="I2065" s="47" t="n"/>
      <c r="J2065" s="47" t="n"/>
      <c r="K2065" s="47" t="n"/>
      <c r="L2065" s="47" t="n"/>
      <c r="M2065" s="47" t="n"/>
      <c r="N2065" s="47" t="n"/>
      <c r="O2065" s="47" t="n"/>
      <c r="P2065" s="47" t="n"/>
      <c r="Q2065" s="47" t="n"/>
      <c r="R2065" s="47" t="n"/>
      <c r="S2065" s="47" t="n"/>
      <c r="T2065" s="47" t="n"/>
      <c r="U2065" s="53" t="n"/>
      <c r="V2065" s="53" t="n"/>
      <c r="W2065" s="47" t="n"/>
      <c r="X2065" s="47" t="n"/>
      <c r="Y2065" s="47" t="n"/>
      <c r="Z2065" s="47" t="n"/>
      <c r="AA2065" s="47" t="n"/>
      <c r="AB2065" s="47" t="n"/>
      <c r="AC2065" s="47" t="n"/>
      <c r="AD2065" s="47" t="n"/>
      <c r="AE2065" s="47" t="n"/>
      <c r="AF2065" s="20">
        <f>IF(A2065="","",YEAR(EDATE(A2065,-3)))</f>
        <v/>
      </c>
      <c r="AG2065" s="20">
        <f>IF(OR(B2065="",'経歴簿'!$C$4=""),"",IF(B2065&amp;""='経歴簿'!$C$4&amp;"",MAX($AG$4:AG2064)+1,""))</f>
        <v/>
      </c>
      <c r="AH2065" s="20">
        <f>IF(A2065="",0,IF(AND(OR('CSV抽出'!$C$4="",A2065&gt;='CSV抽出'!$C$4),OR('CSV抽出'!$C$5="",A2065&lt;='CSV抽出'!$C$5),OR('CSV抽出'!$C$6="すべて",'CSV抽出'!$C$6="",D2065='CSV抽出'!$C$6),OR('CSV抽出'!$C$7="",B2065&amp;""='CSV抽出'!$C$7&amp;"")),1,0))</f>
        <v/>
      </c>
      <c r="AI2065" s="20">
        <f>IF(AH2065=1,SUM($AH$5:AH2065),"")</f>
        <v/>
      </c>
      <c r="AJ2065" s="20">
        <f>IF(OR(S2065="",'報告書'!$C$4=""),"",IF(S2065&amp;""='報告書'!$C$4&amp;"",COUNTIF($S$5:S2065,'報告書'!$C$4),""))</f>
        <v/>
      </c>
      <c r="AK2065" s="20" t="n"/>
      <c r="AL2065" s="47" t="n"/>
      <c r="AM2065" s="47" t="n"/>
      <c r="AN2065" s="53" t="n"/>
      <c r="AO2065" s="47" t="n"/>
      <c r="AP2065" s="47" t="n"/>
      <c r="AQ2065" s="47" t="n"/>
      <c r="AR2065" s="47" t="n"/>
      <c r="AS2065" s="47" t="n"/>
      <c r="AT2065" s="47" t="n"/>
      <c r="AU2065" s="47" t="n"/>
      <c r="AV2065" s="47" t="n"/>
      <c r="AW2065" s="52" t="n"/>
    </row>
    <row r="2066">
      <c r="A2066" s="48" t="n"/>
      <c r="B2066" s="52" t="n"/>
      <c r="C2066" s="47">
        <f>IF(B2066="","",IFERROR(INDEX('隊員マスタ'!$B$5:$B$204,MATCH(B2066&amp;"",'隊員マスタ'!$F$5:$F$204,0)),IF(AK2066="","番号なし",AK2066)))</f>
        <v/>
      </c>
      <c r="D2066" s="47" t="n"/>
      <c r="E2066" s="47" t="n"/>
      <c r="F2066" s="47" t="n"/>
      <c r="G2066" s="47" t="n"/>
      <c r="H2066" s="47" t="n"/>
      <c r="I2066" s="47" t="n"/>
      <c r="J2066" s="47" t="n"/>
      <c r="K2066" s="47" t="n"/>
      <c r="L2066" s="47" t="n"/>
      <c r="M2066" s="47" t="n"/>
      <c r="N2066" s="47" t="n"/>
      <c r="O2066" s="47" t="n"/>
      <c r="P2066" s="47" t="n"/>
      <c r="Q2066" s="47" t="n"/>
      <c r="R2066" s="47" t="n"/>
      <c r="S2066" s="47" t="n"/>
      <c r="T2066" s="47" t="n"/>
      <c r="U2066" s="53" t="n"/>
      <c r="V2066" s="53" t="n"/>
      <c r="W2066" s="47" t="n"/>
      <c r="X2066" s="47" t="n"/>
      <c r="Y2066" s="47" t="n"/>
      <c r="Z2066" s="47" t="n"/>
      <c r="AA2066" s="47" t="n"/>
      <c r="AB2066" s="47" t="n"/>
      <c r="AC2066" s="47" t="n"/>
      <c r="AD2066" s="47" t="n"/>
      <c r="AE2066" s="47" t="n"/>
      <c r="AF2066" s="20">
        <f>IF(A2066="","",YEAR(EDATE(A2066,-3)))</f>
        <v/>
      </c>
      <c r="AG2066" s="20">
        <f>IF(OR(B2066="",'経歴簿'!$C$4=""),"",IF(B2066&amp;""='経歴簿'!$C$4&amp;"",MAX($AG$4:AG2065)+1,""))</f>
        <v/>
      </c>
      <c r="AH2066" s="20">
        <f>IF(A2066="",0,IF(AND(OR('CSV抽出'!$C$4="",A2066&gt;='CSV抽出'!$C$4),OR('CSV抽出'!$C$5="",A2066&lt;='CSV抽出'!$C$5),OR('CSV抽出'!$C$6="すべて",'CSV抽出'!$C$6="",D2066='CSV抽出'!$C$6),OR('CSV抽出'!$C$7="",B2066&amp;""='CSV抽出'!$C$7&amp;"")),1,0))</f>
        <v/>
      </c>
      <c r="AI2066" s="20">
        <f>IF(AH2066=1,SUM($AH$5:AH2066),"")</f>
        <v/>
      </c>
      <c r="AJ2066" s="20">
        <f>IF(OR(S2066="",'報告書'!$C$4=""),"",IF(S2066&amp;""='報告書'!$C$4&amp;"",COUNTIF($S$5:S2066,'報告書'!$C$4),""))</f>
        <v/>
      </c>
      <c r="AK2066" s="20" t="n"/>
      <c r="AL2066" s="47" t="n"/>
      <c r="AM2066" s="47" t="n"/>
      <c r="AN2066" s="53" t="n"/>
      <c r="AO2066" s="47" t="n"/>
      <c r="AP2066" s="47" t="n"/>
      <c r="AQ2066" s="47" t="n"/>
      <c r="AR2066" s="47" t="n"/>
      <c r="AS2066" s="47" t="n"/>
      <c r="AT2066" s="47" t="n"/>
      <c r="AU2066" s="47" t="n"/>
      <c r="AV2066" s="47" t="n"/>
      <c r="AW2066" s="52" t="n"/>
    </row>
    <row r="2067">
      <c r="A2067" s="48" t="n"/>
      <c r="B2067" s="52" t="n"/>
      <c r="C2067" s="47">
        <f>IF(B2067="","",IFERROR(INDEX('隊員マスタ'!$B$5:$B$204,MATCH(B2067&amp;"",'隊員マスタ'!$F$5:$F$204,0)),IF(AK2067="","番号なし",AK2067)))</f>
        <v/>
      </c>
      <c r="D2067" s="47" t="n"/>
      <c r="E2067" s="47" t="n"/>
      <c r="F2067" s="47" t="n"/>
      <c r="G2067" s="47" t="n"/>
      <c r="H2067" s="47" t="n"/>
      <c r="I2067" s="47" t="n"/>
      <c r="J2067" s="47" t="n"/>
      <c r="K2067" s="47" t="n"/>
      <c r="L2067" s="47" t="n"/>
      <c r="M2067" s="47" t="n"/>
      <c r="N2067" s="47" t="n"/>
      <c r="O2067" s="47" t="n"/>
      <c r="P2067" s="47" t="n"/>
      <c r="Q2067" s="47" t="n"/>
      <c r="R2067" s="47" t="n"/>
      <c r="S2067" s="47" t="n"/>
      <c r="T2067" s="47" t="n"/>
      <c r="U2067" s="53" t="n"/>
      <c r="V2067" s="53" t="n"/>
      <c r="W2067" s="47" t="n"/>
      <c r="X2067" s="47" t="n"/>
      <c r="Y2067" s="47" t="n"/>
      <c r="Z2067" s="47" t="n"/>
      <c r="AA2067" s="47" t="n"/>
      <c r="AB2067" s="47" t="n"/>
      <c r="AC2067" s="47" t="n"/>
      <c r="AD2067" s="47" t="n"/>
      <c r="AE2067" s="47" t="n"/>
      <c r="AF2067" s="20">
        <f>IF(A2067="","",YEAR(EDATE(A2067,-3)))</f>
        <v/>
      </c>
      <c r="AG2067" s="20">
        <f>IF(OR(B2067="",'経歴簿'!$C$4=""),"",IF(B2067&amp;""='経歴簿'!$C$4&amp;"",MAX($AG$4:AG2066)+1,""))</f>
        <v/>
      </c>
      <c r="AH2067" s="20">
        <f>IF(A2067="",0,IF(AND(OR('CSV抽出'!$C$4="",A2067&gt;='CSV抽出'!$C$4),OR('CSV抽出'!$C$5="",A2067&lt;='CSV抽出'!$C$5),OR('CSV抽出'!$C$6="すべて",'CSV抽出'!$C$6="",D2067='CSV抽出'!$C$6),OR('CSV抽出'!$C$7="",B2067&amp;""='CSV抽出'!$C$7&amp;"")),1,0))</f>
        <v/>
      </c>
      <c r="AI2067" s="20">
        <f>IF(AH2067=1,SUM($AH$5:AH2067),"")</f>
        <v/>
      </c>
      <c r="AJ2067" s="20">
        <f>IF(OR(S2067="",'報告書'!$C$4=""),"",IF(S2067&amp;""='報告書'!$C$4&amp;"",COUNTIF($S$5:S2067,'報告書'!$C$4),""))</f>
        <v/>
      </c>
      <c r="AK2067" s="20" t="n"/>
      <c r="AL2067" s="47" t="n"/>
      <c r="AM2067" s="47" t="n"/>
      <c r="AN2067" s="53" t="n"/>
      <c r="AO2067" s="47" t="n"/>
      <c r="AP2067" s="47" t="n"/>
      <c r="AQ2067" s="47" t="n"/>
      <c r="AR2067" s="47" t="n"/>
      <c r="AS2067" s="47" t="n"/>
      <c r="AT2067" s="47" t="n"/>
      <c r="AU2067" s="47" t="n"/>
      <c r="AV2067" s="47" t="n"/>
      <c r="AW2067" s="52" t="n"/>
    </row>
    <row r="2068">
      <c r="A2068" s="48" t="n"/>
      <c r="B2068" s="52" t="n"/>
      <c r="C2068" s="47">
        <f>IF(B2068="","",IFERROR(INDEX('隊員マスタ'!$B$5:$B$204,MATCH(B2068&amp;"",'隊員マスタ'!$F$5:$F$204,0)),IF(AK2068="","番号なし",AK2068)))</f>
        <v/>
      </c>
      <c r="D2068" s="47" t="n"/>
      <c r="E2068" s="47" t="n"/>
      <c r="F2068" s="47" t="n"/>
      <c r="G2068" s="47" t="n"/>
      <c r="H2068" s="47" t="n"/>
      <c r="I2068" s="47" t="n"/>
      <c r="J2068" s="47" t="n"/>
      <c r="K2068" s="47" t="n"/>
      <c r="L2068" s="47" t="n"/>
      <c r="M2068" s="47" t="n"/>
      <c r="N2068" s="47" t="n"/>
      <c r="O2068" s="47" t="n"/>
      <c r="P2068" s="47" t="n"/>
      <c r="Q2068" s="47" t="n"/>
      <c r="R2068" s="47" t="n"/>
      <c r="S2068" s="47" t="n"/>
      <c r="T2068" s="47" t="n"/>
      <c r="U2068" s="53" t="n"/>
      <c r="V2068" s="53" t="n"/>
      <c r="W2068" s="47" t="n"/>
      <c r="X2068" s="47" t="n"/>
      <c r="Y2068" s="47" t="n"/>
      <c r="Z2068" s="47" t="n"/>
      <c r="AA2068" s="47" t="n"/>
      <c r="AB2068" s="47" t="n"/>
      <c r="AC2068" s="47" t="n"/>
      <c r="AD2068" s="47" t="n"/>
      <c r="AE2068" s="47" t="n"/>
      <c r="AF2068" s="20">
        <f>IF(A2068="","",YEAR(EDATE(A2068,-3)))</f>
        <v/>
      </c>
      <c r="AG2068" s="20">
        <f>IF(OR(B2068="",'経歴簿'!$C$4=""),"",IF(B2068&amp;""='経歴簿'!$C$4&amp;"",MAX($AG$4:AG2067)+1,""))</f>
        <v/>
      </c>
      <c r="AH2068" s="20">
        <f>IF(A2068="",0,IF(AND(OR('CSV抽出'!$C$4="",A2068&gt;='CSV抽出'!$C$4),OR('CSV抽出'!$C$5="",A2068&lt;='CSV抽出'!$C$5),OR('CSV抽出'!$C$6="すべて",'CSV抽出'!$C$6="",D2068='CSV抽出'!$C$6),OR('CSV抽出'!$C$7="",B2068&amp;""='CSV抽出'!$C$7&amp;"")),1,0))</f>
        <v/>
      </c>
      <c r="AI2068" s="20">
        <f>IF(AH2068=1,SUM($AH$5:AH2068),"")</f>
        <v/>
      </c>
      <c r="AJ2068" s="20">
        <f>IF(OR(S2068="",'報告書'!$C$4=""),"",IF(S2068&amp;""='報告書'!$C$4&amp;"",COUNTIF($S$5:S2068,'報告書'!$C$4),""))</f>
        <v/>
      </c>
      <c r="AK2068" s="20" t="n"/>
      <c r="AL2068" s="47" t="n"/>
      <c r="AM2068" s="47" t="n"/>
      <c r="AN2068" s="53" t="n"/>
      <c r="AO2068" s="47" t="n"/>
      <c r="AP2068" s="47" t="n"/>
      <c r="AQ2068" s="47" t="n"/>
      <c r="AR2068" s="47" t="n"/>
      <c r="AS2068" s="47" t="n"/>
      <c r="AT2068" s="47" t="n"/>
      <c r="AU2068" s="47" t="n"/>
      <c r="AV2068" s="47" t="n"/>
      <c r="AW2068" s="52" t="n"/>
    </row>
    <row r="2069">
      <c r="A2069" s="48" t="n"/>
      <c r="B2069" s="52" t="n"/>
      <c r="C2069" s="47">
        <f>IF(B2069="","",IFERROR(INDEX('隊員マスタ'!$B$5:$B$204,MATCH(B2069&amp;"",'隊員マスタ'!$F$5:$F$204,0)),IF(AK2069="","番号なし",AK2069)))</f>
        <v/>
      </c>
      <c r="D2069" s="47" t="n"/>
      <c r="E2069" s="47" t="n"/>
      <c r="F2069" s="47" t="n"/>
      <c r="G2069" s="47" t="n"/>
      <c r="H2069" s="47" t="n"/>
      <c r="I2069" s="47" t="n"/>
      <c r="J2069" s="47" t="n"/>
      <c r="K2069" s="47" t="n"/>
      <c r="L2069" s="47" t="n"/>
      <c r="M2069" s="47" t="n"/>
      <c r="N2069" s="47" t="n"/>
      <c r="O2069" s="47" t="n"/>
      <c r="P2069" s="47" t="n"/>
      <c r="Q2069" s="47" t="n"/>
      <c r="R2069" s="47" t="n"/>
      <c r="S2069" s="47" t="n"/>
      <c r="T2069" s="47" t="n"/>
      <c r="U2069" s="53" t="n"/>
      <c r="V2069" s="53" t="n"/>
      <c r="W2069" s="47" t="n"/>
      <c r="X2069" s="47" t="n"/>
      <c r="Y2069" s="47" t="n"/>
      <c r="Z2069" s="47" t="n"/>
      <c r="AA2069" s="47" t="n"/>
      <c r="AB2069" s="47" t="n"/>
      <c r="AC2069" s="47" t="n"/>
      <c r="AD2069" s="47" t="n"/>
      <c r="AE2069" s="47" t="n"/>
      <c r="AF2069" s="20">
        <f>IF(A2069="","",YEAR(EDATE(A2069,-3)))</f>
        <v/>
      </c>
      <c r="AG2069" s="20">
        <f>IF(OR(B2069="",'経歴簿'!$C$4=""),"",IF(B2069&amp;""='経歴簿'!$C$4&amp;"",MAX($AG$4:AG2068)+1,""))</f>
        <v/>
      </c>
      <c r="AH2069" s="20">
        <f>IF(A2069="",0,IF(AND(OR('CSV抽出'!$C$4="",A2069&gt;='CSV抽出'!$C$4),OR('CSV抽出'!$C$5="",A2069&lt;='CSV抽出'!$C$5),OR('CSV抽出'!$C$6="すべて",'CSV抽出'!$C$6="",D2069='CSV抽出'!$C$6),OR('CSV抽出'!$C$7="",B2069&amp;""='CSV抽出'!$C$7&amp;"")),1,0))</f>
        <v/>
      </c>
      <c r="AI2069" s="20">
        <f>IF(AH2069=1,SUM($AH$5:AH2069),"")</f>
        <v/>
      </c>
      <c r="AJ2069" s="20">
        <f>IF(OR(S2069="",'報告書'!$C$4=""),"",IF(S2069&amp;""='報告書'!$C$4&amp;"",COUNTIF($S$5:S2069,'報告書'!$C$4),""))</f>
        <v/>
      </c>
      <c r="AK2069" s="20" t="n"/>
      <c r="AL2069" s="47" t="n"/>
      <c r="AM2069" s="47" t="n"/>
      <c r="AN2069" s="53" t="n"/>
      <c r="AO2069" s="47" t="n"/>
      <c r="AP2069" s="47" t="n"/>
      <c r="AQ2069" s="47" t="n"/>
      <c r="AR2069" s="47" t="n"/>
      <c r="AS2069" s="47" t="n"/>
      <c r="AT2069" s="47" t="n"/>
      <c r="AU2069" s="47" t="n"/>
      <c r="AV2069" s="47" t="n"/>
      <c r="AW2069" s="52" t="n"/>
    </row>
    <row r="2070">
      <c r="A2070" s="48" t="n"/>
      <c r="B2070" s="52" t="n"/>
      <c r="C2070" s="47">
        <f>IF(B2070="","",IFERROR(INDEX('隊員マスタ'!$B$5:$B$204,MATCH(B2070&amp;"",'隊員マスタ'!$F$5:$F$204,0)),IF(AK2070="","番号なし",AK2070)))</f>
        <v/>
      </c>
      <c r="D2070" s="47" t="n"/>
      <c r="E2070" s="47" t="n"/>
      <c r="F2070" s="47" t="n"/>
      <c r="G2070" s="47" t="n"/>
      <c r="H2070" s="47" t="n"/>
      <c r="I2070" s="47" t="n"/>
      <c r="J2070" s="47" t="n"/>
      <c r="K2070" s="47" t="n"/>
      <c r="L2070" s="47" t="n"/>
      <c r="M2070" s="47" t="n"/>
      <c r="N2070" s="47" t="n"/>
      <c r="O2070" s="47" t="n"/>
      <c r="P2070" s="47" t="n"/>
      <c r="Q2070" s="47" t="n"/>
      <c r="R2070" s="47" t="n"/>
      <c r="S2070" s="47" t="n"/>
      <c r="T2070" s="47" t="n"/>
      <c r="U2070" s="53" t="n"/>
      <c r="V2070" s="53" t="n"/>
      <c r="W2070" s="47" t="n"/>
      <c r="X2070" s="47" t="n"/>
      <c r="Y2070" s="47" t="n"/>
      <c r="Z2070" s="47" t="n"/>
      <c r="AA2070" s="47" t="n"/>
      <c r="AB2070" s="47" t="n"/>
      <c r="AC2070" s="47" t="n"/>
      <c r="AD2070" s="47" t="n"/>
      <c r="AE2070" s="47" t="n"/>
      <c r="AF2070" s="20">
        <f>IF(A2070="","",YEAR(EDATE(A2070,-3)))</f>
        <v/>
      </c>
      <c r="AG2070" s="20">
        <f>IF(OR(B2070="",'経歴簿'!$C$4=""),"",IF(B2070&amp;""='経歴簿'!$C$4&amp;"",MAX($AG$4:AG2069)+1,""))</f>
        <v/>
      </c>
      <c r="AH2070" s="20">
        <f>IF(A2070="",0,IF(AND(OR('CSV抽出'!$C$4="",A2070&gt;='CSV抽出'!$C$4),OR('CSV抽出'!$C$5="",A2070&lt;='CSV抽出'!$C$5),OR('CSV抽出'!$C$6="すべて",'CSV抽出'!$C$6="",D2070='CSV抽出'!$C$6),OR('CSV抽出'!$C$7="",B2070&amp;""='CSV抽出'!$C$7&amp;"")),1,0))</f>
        <v/>
      </c>
      <c r="AI2070" s="20">
        <f>IF(AH2070=1,SUM($AH$5:AH2070),"")</f>
        <v/>
      </c>
      <c r="AJ2070" s="20">
        <f>IF(OR(S2070="",'報告書'!$C$4=""),"",IF(S2070&amp;""='報告書'!$C$4&amp;"",COUNTIF($S$5:S2070,'報告書'!$C$4),""))</f>
        <v/>
      </c>
      <c r="AK2070" s="20" t="n"/>
      <c r="AL2070" s="47" t="n"/>
      <c r="AM2070" s="47" t="n"/>
      <c r="AN2070" s="53" t="n"/>
      <c r="AO2070" s="47" t="n"/>
      <c r="AP2070" s="47" t="n"/>
      <c r="AQ2070" s="47" t="n"/>
      <c r="AR2070" s="47" t="n"/>
      <c r="AS2070" s="47" t="n"/>
      <c r="AT2070" s="47" t="n"/>
      <c r="AU2070" s="47" t="n"/>
      <c r="AV2070" s="47" t="n"/>
      <c r="AW2070" s="52" t="n"/>
    </row>
    <row r="2071">
      <c r="A2071" s="48" t="n"/>
      <c r="B2071" s="52" t="n"/>
      <c r="C2071" s="47">
        <f>IF(B2071="","",IFERROR(INDEX('隊員マスタ'!$B$5:$B$204,MATCH(B2071&amp;"",'隊員マスタ'!$F$5:$F$204,0)),IF(AK2071="","番号なし",AK2071)))</f>
        <v/>
      </c>
      <c r="D2071" s="47" t="n"/>
      <c r="E2071" s="47" t="n"/>
      <c r="F2071" s="47" t="n"/>
      <c r="G2071" s="47" t="n"/>
      <c r="H2071" s="47" t="n"/>
      <c r="I2071" s="47" t="n"/>
      <c r="J2071" s="47" t="n"/>
      <c r="K2071" s="47" t="n"/>
      <c r="L2071" s="47" t="n"/>
      <c r="M2071" s="47" t="n"/>
      <c r="N2071" s="47" t="n"/>
      <c r="O2071" s="47" t="n"/>
      <c r="P2071" s="47" t="n"/>
      <c r="Q2071" s="47" t="n"/>
      <c r="R2071" s="47" t="n"/>
      <c r="S2071" s="47" t="n"/>
      <c r="T2071" s="47" t="n"/>
      <c r="U2071" s="53" t="n"/>
      <c r="V2071" s="53" t="n"/>
      <c r="W2071" s="47" t="n"/>
      <c r="X2071" s="47" t="n"/>
      <c r="Y2071" s="47" t="n"/>
      <c r="Z2071" s="47" t="n"/>
      <c r="AA2071" s="47" t="n"/>
      <c r="AB2071" s="47" t="n"/>
      <c r="AC2071" s="47" t="n"/>
      <c r="AD2071" s="47" t="n"/>
      <c r="AE2071" s="47" t="n"/>
      <c r="AF2071" s="20">
        <f>IF(A2071="","",YEAR(EDATE(A2071,-3)))</f>
        <v/>
      </c>
      <c r="AG2071" s="20">
        <f>IF(OR(B2071="",'経歴簿'!$C$4=""),"",IF(B2071&amp;""='経歴簿'!$C$4&amp;"",MAX($AG$4:AG2070)+1,""))</f>
        <v/>
      </c>
      <c r="AH2071" s="20">
        <f>IF(A2071="",0,IF(AND(OR('CSV抽出'!$C$4="",A2071&gt;='CSV抽出'!$C$4),OR('CSV抽出'!$C$5="",A2071&lt;='CSV抽出'!$C$5),OR('CSV抽出'!$C$6="すべて",'CSV抽出'!$C$6="",D2071='CSV抽出'!$C$6),OR('CSV抽出'!$C$7="",B2071&amp;""='CSV抽出'!$C$7&amp;"")),1,0))</f>
        <v/>
      </c>
      <c r="AI2071" s="20">
        <f>IF(AH2071=1,SUM($AH$5:AH2071),"")</f>
        <v/>
      </c>
      <c r="AJ2071" s="20">
        <f>IF(OR(S2071="",'報告書'!$C$4=""),"",IF(S2071&amp;""='報告書'!$C$4&amp;"",COUNTIF($S$5:S2071,'報告書'!$C$4),""))</f>
        <v/>
      </c>
      <c r="AK2071" s="20" t="n"/>
      <c r="AL2071" s="47" t="n"/>
      <c r="AM2071" s="47" t="n"/>
      <c r="AN2071" s="53" t="n"/>
      <c r="AO2071" s="47" t="n"/>
      <c r="AP2071" s="47" t="n"/>
      <c r="AQ2071" s="47" t="n"/>
      <c r="AR2071" s="47" t="n"/>
      <c r="AS2071" s="47" t="n"/>
      <c r="AT2071" s="47" t="n"/>
      <c r="AU2071" s="47" t="n"/>
      <c r="AV2071" s="47" t="n"/>
      <c r="AW2071" s="52" t="n"/>
    </row>
    <row r="2072">
      <c r="A2072" s="48" t="n"/>
      <c r="B2072" s="52" t="n"/>
      <c r="C2072" s="47">
        <f>IF(B2072="","",IFERROR(INDEX('隊員マスタ'!$B$5:$B$204,MATCH(B2072&amp;"",'隊員マスタ'!$F$5:$F$204,0)),IF(AK2072="","番号なし",AK2072)))</f>
        <v/>
      </c>
      <c r="D2072" s="47" t="n"/>
      <c r="E2072" s="47" t="n"/>
      <c r="F2072" s="47" t="n"/>
      <c r="G2072" s="47" t="n"/>
      <c r="H2072" s="47" t="n"/>
      <c r="I2072" s="47" t="n"/>
      <c r="J2072" s="47" t="n"/>
      <c r="K2072" s="47" t="n"/>
      <c r="L2072" s="47" t="n"/>
      <c r="M2072" s="47" t="n"/>
      <c r="N2072" s="47" t="n"/>
      <c r="O2072" s="47" t="n"/>
      <c r="P2072" s="47" t="n"/>
      <c r="Q2072" s="47" t="n"/>
      <c r="R2072" s="47" t="n"/>
      <c r="S2072" s="47" t="n"/>
      <c r="T2072" s="47" t="n"/>
      <c r="U2072" s="53" t="n"/>
      <c r="V2072" s="53" t="n"/>
      <c r="W2072" s="47" t="n"/>
      <c r="X2072" s="47" t="n"/>
      <c r="Y2072" s="47" t="n"/>
      <c r="Z2072" s="47" t="n"/>
      <c r="AA2072" s="47" t="n"/>
      <c r="AB2072" s="47" t="n"/>
      <c r="AC2072" s="47" t="n"/>
      <c r="AD2072" s="47" t="n"/>
      <c r="AE2072" s="47" t="n"/>
      <c r="AF2072" s="20">
        <f>IF(A2072="","",YEAR(EDATE(A2072,-3)))</f>
        <v/>
      </c>
      <c r="AG2072" s="20">
        <f>IF(OR(B2072="",'経歴簿'!$C$4=""),"",IF(B2072&amp;""='経歴簿'!$C$4&amp;"",MAX($AG$4:AG2071)+1,""))</f>
        <v/>
      </c>
      <c r="AH2072" s="20">
        <f>IF(A2072="",0,IF(AND(OR('CSV抽出'!$C$4="",A2072&gt;='CSV抽出'!$C$4),OR('CSV抽出'!$C$5="",A2072&lt;='CSV抽出'!$C$5),OR('CSV抽出'!$C$6="すべて",'CSV抽出'!$C$6="",D2072='CSV抽出'!$C$6),OR('CSV抽出'!$C$7="",B2072&amp;""='CSV抽出'!$C$7&amp;"")),1,0))</f>
        <v/>
      </c>
      <c r="AI2072" s="20">
        <f>IF(AH2072=1,SUM($AH$5:AH2072),"")</f>
        <v/>
      </c>
      <c r="AJ2072" s="20">
        <f>IF(OR(S2072="",'報告書'!$C$4=""),"",IF(S2072&amp;""='報告書'!$C$4&amp;"",COUNTIF($S$5:S2072,'報告書'!$C$4),""))</f>
        <v/>
      </c>
      <c r="AK2072" s="20" t="n"/>
      <c r="AL2072" s="47" t="n"/>
      <c r="AM2072" s="47" t="n"/>
      <c r="AN2072" s="53" t="n"/>
      <c r="AO2072" s="47" t="n"/>
      <c r="AP2072" s="47" t="n"/>
      <c r="AQ2072" s="47" t="n"/>
      <c r="AR2072" s="47" t="n"/>
      <c r="AS2072" s="47" t="n"/>
      <c r="AT2072" s="47" t="n"/>
      <c r="AU2072" s="47" t="n"/>
      <c r="AV2072" s="47" t="n"/>
      <c r="AW2072" s="52" t="n"/>
    </row>
    <row r="2073">
      <c r="A2073" s="48" t="n"/>
      <c r="B2073" s="52" t="n"/>
      <c r="C2073" s="47">
        <f>IF(B2073="","",IFERROR(INDEX('隊員マスタ'!$B$5:$B$204,MATCH(B2073&amp;"",'隊員マスタ'!$F$5:$F$204,0)),IF(AK2073="","番号なし",AK2073)))</f>
        <v/>
      </c>
      <c r="D2073" s="47" t="n"/>
      <c r="E2073" s="47" t="n"/>
      <c r="F2073" s="47" t="n"/>
      <c r="G2073" s="47" t="n"/>
      <c r="H2073" s="47" t="n"/>
      <c r="I2073" s="47" t="n"/>
      <c r="J2073" s="47" t="n"/>
      <c r="K2073" s="47" t="n"/>
      <c r="L2073" s="47" t="n"/>
      <c r="M2073" s="47" t="n"/>
      <c r="N2073" s="47" t="n"/>
      <c r="O2073" s="47" t="n"/>
      <c r="P2073" s="47" t="n"/>
      <c r="Q2073" s="47" t="n"/>
      <c r="R2073" s="47" t="n"/>
      <c r="S2073" s="47" t="n"/>
      <c r="T2073" s="47" t="n"/>
      <c r="U2073" s="53" t="n"/>
      <c r="V2073" s="53" t="n"/>
      <c r="W2073" s="47" t="n"/>
      <c r="X2073" s="47" t="n"/>
      <c r="Y2073" s="47" t="n"/>
      <c r="Z2073" s="47" t="n"/>
      <c r="AA2073" s="47" t="n"/>
      <c r="AB2073" s="47" t="n"/>
      <c r="AC2073" s="47" t="n"/>
      <c r="AD2073" s="47" t="n"/>
      <c r="AE2073" s="47" t="n"/>
      <c r="AF2073" s="20">
        <f>IF(A2073="","",YEAR(EDATE(A2073,-3)))</f>
        <v/>
      </c>
      <c r="AG2073" s="20">
        <f>IF(OR(B2073="",'経歴簿'!$C$4=""),"",IF(B2073&amp;""='経歴簿'!$C$4&amp;"",MAX($AG$4:AG2072)+1,""))</f>
        <v/>
      </c>
      <c r="AH2073" s="20">
        <f>IF(A2073="",0,IF(AND(OR('CSV抽出'!$C$4="",A2073&gt;='CSV抽出'!$C$4),OR('CSV抽出'!$C$5="",A2073&lt;='CSV抽出'!$C$5),OR('CSV抽出'!$C$6="すべて",'CSV抽出'!$C$6="",D2073='CSV抽出'!$C$6),OR('CSV抽出'!$C$7="",B2073&amp;""='CSV抽出'!$C$7&amp;"")),1,0))</f>
        <v/>
      </c>
      <c r="AI2073" s="20">
        <f>IF(AH2073=1,SUM($AH$5:AH2073),"")</f>
        <v/>
      </c>
      <c r="AJ2073" s="20">
        <f>IF(OR(S2073="",'報告書'!$C$4=""),"",IF(S2073&amp;""='報告書'!$C$4&amp;"",COUNTIF($S$5:S2073,'報告書'!$C$4),""))</f>
        <v/>
      </c>
      <c r="AK2073" s="20" t="n"/>
      <c r="AL2073" s="47" t="n"/>
      <c r="AM2073" s="47" t="n"/>
      <c r="AN2073" s="53" t="n"/>
      <c r="AO2073" s="47" t="n"/>
      <c r="AP2073" s="47" t="n"/>
      <c r="AQ2073" s="47" t="n"/>
      <c r="AR2073" s="47" t="n"/>
      <c r="AS2073" s="47" t="n"/>
      <c r="AT2073" s="47" t="n"/>
      <c r="AU2073" s="47" t="n"/>
      <c r="AV2073" s="47" t="n"/>
      <c r="AW2073" s="52" t="n"/>
    </row>
    <row r="2074">
      <c r="A2074" s="48" t="n"/>
      <c r="B2074" s="52" t="n"/>
      <c r="C2074" s="47">
        <f>IF(B2074="","",IFERROR(INDEX('隊員マスタ'!$B$5:$B$204,MATCH(B2074&amp;"",'隊員マスタ'!$F$5:$F$204,0)),IF(AK2074="","番号なし",AK2074)))</f>
        <v/>
      </c>
      <c r="D2074" s="47" t="n"/>
      <c r="E2074" s="47" t="n"/>
      <c r="F2074" s="47" t="n"/>
      <c r="G2074" s="47" t="n"/>
      <c r="H2074" s="47" t="n"/>
      <c r="I2074" s="47" t="n"/>
      <c r="J2074" s="47" t="n"/>
      <c r="K2074" s="47" t="n"/>
      <c r="L2074" s="47" t="n"/>
      <c r="M2074" s="47" t="n"/>
      <c r="N2074" s="47" t="n"/>
      <c r="O2074" s="47" t="n"/>
      <c r="P2074" s="47" t="n"/>
      <c r="Q2074" s="47" t="n"/>
      <c r="R2074" s="47" t="n"/>
      <c r="S2074" s="47" t="n"/>
      <c r="T2074" s="47" t="n"/>
      <c r="U2074" s="53" t="n"/>
      <c r="V2074" s="53" t="n"/>
      <c r="W2074" s="47" t="n"/>
      <c r="X2074" s="47" t="n"/>
      <c r="Y2074" s="47" t="n"/>
      <c r="Z2074" s="47" t="n"/>
      <c r="AA2074" s="47" t="n"/>
      <c r="AB2074" s="47" t="n"/>
      <c r="AC2074" s="47" t="n"/>
      <c r="AD2074" s="47" t="n"/>
      <c r="AE2074" s="47" t="n"/>
      <c r="AF2074" s="20">
        <f>IF(A2074="","",YEAR(EDATE(A2074,-3)))</f>
        <v/>
      </c>
      <c r="AG2074" s="20">
        <f>IF(OR(B2074="",'経歴簿'!$C$4=""),"",IF(B2074&amp;""='経歴簿'!$C$4&amp;"",MAX($AG$4:AG2073)+1,""))</f>
        <v/>
      </c>
      <c r="AH2074" s="20">
        <f>IF(A2074="",0,IF(AND(OR('CSV抽出'!$C$4="",A2074&gt;='CSV抽出'!$C$4),OR('CSV抽出'!$C$5="",A2074&lt;='CSV抽出'!$C$5),OR('CSV抽出'!$C$6="すべて",'CSV抽出'!$C$6="",D2074='CSV抽出'!$C$6),OR('CSV抽出'!$C$7="",B2074&amp;""='CSV抽出'!$C$7&amp;"")),1,0))</f>
        <v/>
      </c>
      <c r="AI2074" s="20">
        <f>IF(AH2074=1,SUM($AH$5:AH2074),"")</f>
        <v/>
      </c>
      <c r="AJ2074" s="20">
        <f>IF(OR(S2074="",'報告書'!$C$4=""),"",IF(S2074&amp;""='報告書'!$C$4&amp;"",COUNTIF($S$5:S2074,'報告書'!$C$4),""))</f>
        <v/>
      </c>
      <c r="AK2074" s="20" t="n"/>
      <c r="AL2074" s="47" t="n"/>
      <c r="AM2074" s="47" t="n"/>
      <c r="AN2074" s="53" t="n"/>
      <c r="AO2074" s="47" t="n"/>
      <c r="AP2074" s="47" t="n"/>
      <c r="AQ2074" s="47" t="n"/>
      <c r="AR2074" s="47" t="n"/>
      <c r="AS2074" s="47" t="n"/>
      <c r="AT2074" s="47" t="n"/>
      <c r="AU2074" s="47" t="n"/>
      <c r="AV2074" s="47" t="n"/>
      <c r="AW2074" s="52" t="n"/>
    </row>
    <row r="2075">
      <c r="A2075" s="48" t="n"/>
      <c r="B2075" s="52" t="n"/>
      <c r="C2075" s="47">
        <f>IF(B2075="","",IFERROR(INDEX('隊員マスタ'!$B$5:$B$204,MATCH(B2075&amp;"",'隊員マスタ'!$F$5:$F$204,0)),IF(AK2075="","番号なし",AK2075)))</f>
        <v/>
      </c>
      <c r="D2075" s="47" t="n"/>
      <c r="E2075" s="47" t="n"/>
      <c r="F2075" s="47" t="n"/>
      <c r="G2075" s="47" t="n"/>
      <c r="H2075" s="47" t="n"/>
      <c r="I2075" s="47" t="n"/>
      <c r="J2075" s="47" t="n"/>
      <c r="K2075" s="47" t="n"/>
      <c r="L2075" s="47" t="n"/>
      <c r="M2075" s="47" t="n"/>
      <c r="N2075" s="47" t="n"/>
      <c r="O2075" s="47" t="n"/>
      <c r="P2075" s="47" t="n"/>
      <c r="Q2075" s="47" t="n"/>
      <c r="R2075" s="47" t="n"/>
      <c r="S2075" s="47" t="n"/>
      <c r="T2075" s="47" t="n"/>
      <c r="U2075" s="53" t="n"/>
      <c r="V2075" s="53" t="n"/>
      <c r="W2075" s="47" t="n"/>
      <c r="X2075" s="47" t="n"/>
      <c r="Y2075" s="47" t="n"/>
      <c r="Z2075" s="47" t="n"/>
      <c r="AA2075" s="47" t="n"/>
      <c r="AB2075" s="47" t="n"/>
      <c r="AC2075" s="47" t="n"/>
      <c r="AD2075" s="47" t="n"/>
      <c r="AE2075" s="47" t="n"/>
      <c r="AF2075" s="20">
        <f>IF(A2075="","",YEAR(EDATE(A2075,-3)))</f>
        <v/>
      </c>
      <c r="AG2075" s="20">
        <f>IF(OR(B2075="",'経歴簿'!$C$4=""),"",IF(B2075&amp;""='経歴簿'!$C$4&amp;"",MAX($AG$4:AG2074)+1,""))</f>
        <v/>
      </c>
      <c r="AH2075" s="20">
        <f>IF(A2075="",0,IF(AND(OR('CSV抽出'!$C$4="",A2075&gt;='CSV抽出'!$C$4),OR('CSV抽出'!$C$5="",A2075&lt;='CSV抽出'!$C$5),OR('CSV抽出'!$C$6="すべて",'CSV抽出'!$C$6="",D2075='CSV抽出'!$C$6),OR('CSV抽出'!$C$7="",B2075&amp;""='CSV抽出'!$C$7&amp;"")),1,0))</f>
        <v/>
      </c>
      <c r="AI2075" s="20">
        <f>IF(AH2075=1,SUM($AH$5:AH2075),"")</f>
        <v/>
      </c>
      <c r="AJ2075" s="20">
        <f>IF(OR(S2075="",'報告書'!$C$4=""),"",IF(S2075&amp;""='報告書'!$C$4&amp;"",COUNTIF($S$5:S2075,'報告書'!$C$4),""))</f>
        <v/>
      </c>
      <c r="AK2075" s="20" t="n"/>
      <c r="AL2075" s="47" t="n"/>
      <c r="AM2075" s="47" t="n"/>
      <c r="AN2075" s="53" t="n"/>
      <c r="AO2075" s="47" t="n"/>
      <c r="AP2075" s="47" t="n"/>
      <c r="AQ2075" s="47" t="n"/>
      <c r="AR2075" s="47" t="n"/>
      <c r="AS2075" s="47" t="n"/>
      <c r="AT2075" s="47" t="n"/>
      <c r="AU2075" s="47" t="n"/>
      <c r="AV2075" s="47" t="n"/>
      <c r="AW2075" s="52" t="n"/>
    </row>
    <row r="2076">
      <c r="A2076" s="48" t="n"/>
      <c r="B2076" s="52" t="n"/>
      <c r="C2076" s="47">
        <f>IF(B2076="","",IFERROR(INDEX('隊員マスタ'!$B$5:$B$204,MATCH(B2076&amp;"",'隊員マスタ'!$F$5:$F$204,0)),IF(AK2076="","番号なし",AK2076)))</f>
        <v/>
      </c>
      <c r="D2076" s="47" t="n"/>
      <c r="E2076" s="47" t="n"/>
      <c r="F2076" s="47" t="n"/>
      <c r="G2076" s="47" t="n"/>
      <c r="H2076" s="47" t="n"/>
      <c r="I2076" s="47" t="n"/>
      <c r="J2076" s="47" t="n"/>
      <c r="K2076" s="47" t="n"/>
      <c r="L2076" s="47" t="n"/>
      <c r="M2076" s="47" t="n"/>
      <c r="N2076" s="47" t="n"/>
      <c r="O2076" s="47" t="n"/>
      <c r="P2076" s="47" t="n"/>
      <c r="Q2076" s="47" t="n"/>
      <c r="R2076" s="47" t="n"/>
      <c r="S2076" s="47" t="n"/>
      <c r="T2076" s="47" t="n"/>
      <c r="U2076" s="53" t="n"/>
      <c r="V2076" s="53" t="n"/>
      <c r="W2076" s="47" t="n"/>
      <c r="X2076" s="47" t="n"/>
      <c r="Y2076" s="47" t="n"/>
      <c r="Z2076" s="47" t="n"/>
      <c r="AA2076" s="47" t="n"/>
      <c r="AB2076" s="47" t="n"/>
      <c r="AC2076" s="47" t="n"/>
      <c r="AD2076" s="47" t="n"/>
      <c r="AE2076" s="47" t="n"/>
      <c r="AF2076" s="20">
        <f>IF(A2076="","",YEAR(EDATE(A2076,-3)))</f>
        <v/>
      </c>
      <c r="AG2076" s="20">
        <f>IF(OR(B2076="",'経歴簿'!$C$4=""),"",IF(B2076&amp;""='経歴簿'!$C$4&amp;"",MAX($AG$4:AG2075)+1,""))</f>
        <v/>
      </c>
      <c r="AH2076" s="20">
        <f>IF(A2076="",0,IF(AND(OR('CSV抽出'!$C$4="",A2076&gt;='CSV抽出'!$C$4),OR('CSV抽出'!$C$5="",A2076&lt;='CSV抽出'!$C$5),OR('CSV抽出'!$C$6="すべて",'CSV抽出'!$C$6="",D2076='CSV抽出'!$C$6),OR('CSV抽出'!$C$7="",B2076&amp;""='CSV抽出'!$C$7&amp;"")),1,0))</f>
        <v/>
      </c>
      <c r="AI2076" s="20">
        <f>IF(AH2076=1,SUM($AH$5:AH2076),"")</f>
        <v/>
      </c>
      <c r="AJ2076" s="20">
        <f>IF(OR(S2076="",'報告書'!$C$4=""),"",IF(S2076&amp;""='報告書'!$C$4&amp;"",COUNTIF($S$5:S2076,'報告書'!$C$4),""))</f>
        <v/>
      </c>
      <c r="AK2076" s="20" t="n"/>
      <c r="AL2076" s="47" t="n"/>
      <c r="AM2076" s="47" t="n"/>
      <c r="AN2076" s="53" t="n"/>
      <c r="AO2076" s="47" t="n"/>
      <c r="AP2076" s="47" t="n"/>
      <c r="AQ2076" s="47" t="n"/>
      <c r="AR2076" s="47" t="n"/>
      <c r="AS2076" s="47" t="n"/>
      <c r="AT2076" s="47" t="n"/>
      <c r="AU2076" s="47" t="n"/>
      <c r="AV2076" s="47" t="n"/>
      <c r="AW2076" s="52" t="n"/>
    </row>
    <row r="2077">
      <c r="A2077" s="48" t="n"/>
      <c r="B2077" s="52" t="n"/>
      <c r="C2077" s="47">
        <f>IF(B2077="","",IFERROR(INDEX('隊員マスタ'!$B$5:$B$204,MATCH(B2077&amp;"",'隊員マスタ'!$F$5:$F$204,0)),IF(AK2077="","番号なし",AK2077)))</f>
        <v/>
      </c>
      <c r="D2077" s="47" t="n"/>
      <c r="E2077" s="47" t="n"/>
      <c r="F2077" s="47" t="n"/>
      <c r="G2077" s="47" t="n"/>
      <c r="H2077" s="47" t="n"/>
      <c r="I2077" s="47" t="n"/>
      <c r="J2077" s="47" t="n"/>
      <c r="K2077" s="47" t="n"/>
      <c r="L2077" s="47" t="n"/>
      <c r="M2077" s="47" t="n"/>
      <c r="N2077" s="47" t="n"/>
      <c r="O2077" s="47" t="n"/>
      <c r="P2077" s="47" t="n"/>
      <c r="Q2077" s="47" t="n"/>
      <c r="R2077" s="47" t="n"/>
      <c r="S2077" s="47" t="n"/>
      <c r="T2077" s="47" t="n"/>
      <c r="U2077" s="53" t="n"/>
      <c r="V2077" s="53" t="n"/>
      <c r="W2077" s="47" t="n"/>
      <c r="X2077" s="47" t="n"/>
      <c r="Y2077" s="47" t="n"/>
      <c r="Z2077" s="47" t="n"/>
      <c r="AA2077" s="47" t="n"/>
      <c r="AB2077" s="47" t="n"/>
      <c r="AC2077" s="47" t="n"/>
      <c r="AD2077" s="47" t="n"/>
      <c r="AE2077" s="47" t="n"/>
      <c r="AF2077" s="20">
        <f>IF(A2077="","",YEAR(EDATE(A2077,-3)))</f>
        <v/>
      </c>
      <c r="AG2077" s="20">
        <f>IF(OR(B2077="",'経歴簿'!$C$4=""),"",IF(B2077&amp;""='経歴簿'!$C$4&amp;"",MAX($AG$4:AG2076)+1,""))</f>
        <v/>
      </c>
      <c r="AH2077" s="20">
        <f>IF(A2077="",0,IF(AND(OR('CSV抽出'!$C$4="",A2077&gt;='CSV抽出'!$C$4),OR('CSV抽出'!$C$5="",A2077&lt;='CSV抽出'!$C$5),OR('CSV抽出'!$C$6="すべて",'CSV抽出'!$C$6="",D2077='CSV抽出'!$C$6),OR('CSV抽出'!$C$7="",B2077&amp;""='CSV抽出'!$C$7&amp;"")),1,0))</f>
        <v/>
      </c>
      <c r="AI2077" s="20">
        <f>IF(AH2077=1,SUM($AH$5:AH2077),"")</f>
        <v/>
      </c>
      <c r="AJ2077" s="20">
        <f>IF(OR(S2077="",'報告書'!$C$4=""),"",IF(S2077&amp;""='報告書'!$C$4&amp;"",COUNTIF($S$5:S2077,'報告書'!$C$4),""))</f>
        <v/>
      </c>
      <c r="AK2077" s="20" t="n"/>
      <c r="AL2077" s="47" t="n"/>
      <c r="AM2077" s="47" t="n"/>
      <c r="AN2077" s="53" t="n"/>
      <c r="AO2077" s="47" t="n"/>
      <c r="AP2077" s="47" t="n"/>
      <c r="AQ2077" s="47" t="n"/>
      <c r="AR2077" s="47" t="n"/>
      <c r="AS2077" s="47" t="n"/>
      <c r="AT2077" s="47" t="n"/>
      <c r="AU2077" s="47" t="n"/>
      <c r="AV2077" s="47" t="n"/>
      <c r="AW2077" s="52" t="n"/>
    </row>
    <row r="2078">
      <c r="A2078" s="48" t="n"/>
      <c r="B2078" s="52" t="n"/>
      <c r="C2078" s="47">
        <f>IF(B2078="","",IFERROR(INDEX('隊員マスタ'!$B$5:$B$204,MATCH(B2078&amp;"",'隊員マスタ'!$F$5:$F$204,0)),IF(AK2078="","番号なし",AK2078)))</f>
        <v/>
      </c>
      <c r="D2078" s="47" t="n"/>
      <c r="E2078" s="47" t="n"/>
      <c r="F2078" s="47" t="n"/>
      <c r="G2078" s="47" t="n"/>
      <c r="H2078" s="47" t="n"/>
      <c r="I2078" s="47" t="n"/>
      <c r="J2078" s="47" t="n"/>
      <c r="K2078" s="47" t="n"/>
      <c r="L2078" s="47" t="n"/>
      <c r="M2078" s="47" t="n"/>
      <c r="N2078" s="47" t="n"/>
      <c r="O2078" s="47" t="n"/>
      <c r="P2078" s="47" t="n"/>
      <c r="Q2078" s="47" t="n"/>
      <c r="R2078" s="47" t="n"/>
      <c r="S2078" s="47" t="n"/>
      <c r="T2078" s="47" t="n"/>
      <c r="U2078" s="53" t="n"/>
      <c r="V2078" s="53" t="n"/>
      <c r="W2078" s="47" t="n"/>
      <c r="X2078" s="47" t="n"/>
      <c r="Y2078" s="47" t="n"/>
      <c r="Z2078" s="47" t="n"/>
      <c r="AA2078" s="47" t="n"/>
      <c r="AB2078" s="47" t="n"/>
      <c r="AC2078" s="47" t="n"/>
      <c r="AD2078" s="47" t="n"/>
      <c r="AE2078" s="47" t="n"/>
      <c r="AF2078" s="20">
        <f>IF(A2078="","",YEAR(EDATE(A2078,-3)))</f>
        <v/>
      </c>
      <c r="AG2078" s="20">
        <f>IF(OR(B2078="",'経歴簿'!$C$4=""),"",IF(B2078&amp;""='経歴簿'!$C$4&amp;"",MAX($AG$4:AG2077)+1,""))</f>
        <v/>
      </c>
      <c r="AH2078" s="20">
        <f>IF(A2078="",0,IF(AND(OR('CSV抽出'!$C$4="",A2078&gt;='CSV抽出'!$C$4),OR('CSV抽出'!$C$5="",A2078&lt;='CSV抽出'!$C$5),OR('CSV抽出'!$C$6="すべて",'CSV抽出'!$C$6="",D2078='CSV抽出'!$C$6),OR('CSV抽出'!$C$7="",B2078&amp;""='CSV抽出'!$C$7&amp;"")),1,0))</f>
        <v/>
      </c>
      <c r="AI2078" s="20">
        <f>IF(AH2078=1,SUM($AH$5:AH2078),"")</f>
        <v/>
      </c>
      <c r="AJ2078" s="20">
        <f>IF(OR(S2078="",'報告書'!$C$4=""),"",IF(S2078&amp;""='報告書'!$C$4&amp;"",COUNTIF($S$5:S2078,'報告書'!$C$4),""))</f>
        <v/>
      </c>
      <c r="AK2078" s="20" t="n"/>
      <c r="AL2078" s="47" t="n"/>
      <c r="AM2078" s="47" t="n"/>
      <c r="AN2078" s="53" t="n"/>
      <c r="AO2078" s="47" t="n"/>
      <c r="AP2078" s="47" t="n"/>
      <c r="AQ2078" s="47" t="n"/>
      <c r="AR2078" s="47" t="n"/>
      <c r="AS2078" s="47" t="n"/>
      <c r="AT2078" s="47" t="n"/>
      <c r="AU2078" s="47" t="n"/>
      <c r="AV2078" s="47" t="n"/>
      <c r="AW2078" s="52" t="n"/>
    </row>
    <row r="2079">
      <c r="A2079" s="48" t="n"/>
      <c r="B2079" s="52" t="n"/>
      <c r="C2079" s="47">
        <f>IF(B2079="","",IFERROR(INDEX('隊員マスタ'!$B$5:$B$204,MATCH(B2079&amp;"",'隊員マスタ'!$F$5:$F$204,0)),IF(AK2079="","番号なし",AK2079)))</f>
        <v/>
      </c>
      <c r="D2079" s="47" t="n"/>
      <c r="E2079" s="47" t="n"/>
      <c r="F2079" s="47" t="n"/>
      <c r="G2079" s="47" t="n"/>
      <c r="H2079" s="47" t="n"/>
      <c r="I2079" s="47" t="n"/>
      <c r="J2079" s="47" t="n"/>
      <c r="K2079" s="47" t="n"/>
      <c r="L2079" s="47" t="n"/>
      <c r="M2079" s="47" t="n"/>
      <c r="N2079" s="47" t="n"/>
      <c r="O2079" s="47" t="n"/>
      <c r="P2079" s="47" t="n"/>
      <c r="Q2079" s="47" t="n"/>
      <c r="R2079" s="47" t="n"/>
      <c r="S2079" s="47" t="n"/>
      <c r="T2079" s="47" t="n"/>
      <c r="U2079" s="53" t="n"/>
      <c r="V2079" s="53" t="n"/>
      <c r="W2079" s="47" t="n"/>
      <c r="X2079" s="47" t="n"/>
      <c r="Y2079" s="47" t="n"/>
      <c r="Z2079" s="47" t="n"/>
      <c r="AA2079" s="47" t="n"/>
      <c r="AB2079" s="47" t="n"/>
      <c r="AC2079" s="47" t="n"/>
      <c r="AD2079" s="47" t="n"/>
      <c r="AE2079" s="47" t="n"/>
      <c r="AF2079" s="20">
        <f>IF(A2079="","",YEAR(EDATE(A2079,-3)))</f>
        <v/>
      </c>
      <c r="AG2079" s="20">
        <f>IF(OR(B2079="",'経歴簿'!$C$4=""),"",IF(B2079&amp;""='経歴簿'!$C$4&amp;"",MAX($AG$4:AG2078)+1,""))</f>
        <v/>
      </c>
      <c r="AH2079" s="20">
        <f>IF(A2079="",0,IF(AND(OR('CSV抽出'!$C$4="",A2079&gt;='CSV抽出'!$C$4),OR('CSV抽出'!$C$5="",A2079&lt;='CSV抽出'!$C$5),OR('CSV抽出'!$C$6="すべて",'CSV抽出'!$C$6="",D2079='CSV抽出'!$C$6),OR('CSV抽出'!$C$7="",B2079&amp;""='CSV抽出'!$C$7&amp;"")),1,0))</f>
        <v/>
      </c>
      <c r="AI2079" s="20">
        <f>IF(AH2079=1,SUM($AH$5:AH2079),"")</f>
        <v/>
      </c>
      <c r="AJ2079" s="20">
        <f>IF(OR(S2079="",'報告書'!$C$4=""),"",IF(S2079&amp;""='報告書'!$C$4&amp;"",COUNTIF($S$5:S2079,'報告書'!$C$4),""))</f>
        <v/>
      </c>
      <c r="AK2079" s="20" t="n"/>
      <c r="AL2079" s="47" t="n"/>
      <c r="AM2079" s="47" t="n"/>
      <c r="AN2079" s="53" t="n"/>
      <c r="AO2079" s="47" t="n"/>
      <c r="AP2079" s="47" t="n"/>
      <c r="AQ2079" s="47" t="n"/>
      <c r="AR2079" s="47" t="n"/>
      <c r="AS2079" s="47" t="n"/>
      <c r="AT2079" s="47" t="n"/>
      <c r="AU2079" s="47" t="n"/>
      <c r="AV2079" s="47" t="n"/>
      <c r="AW2079" s="52" t="n"/>
    </row>
    <row r="2080">
      <c r="A2080" s="48" t="n"/>
      <c r="B2080" s="52" t="n"/>
      <c r="C2080" s="47">
        <f>IF(B2080="","",IFERROR(INDEX('隊員マスタ'!$B$5:$B$204,MATCH(B2080&amp;"",'隊員マスタ'!$F$5:$F$204,0)),IF(AK2080="","番号なし",AK2080)))</f>
        <v/>
      </c>
      <c r="D2080" s="47" t="n"/>
      <c r="E2080" s="47" t="n"/>
      <c r="F2080" s="47" t="n"/>
      <c r="G2080" s="47" t="n"/>
      <c r="H2080" s="47" t="n"/>
      <c r="I2080" s="47" t="n"/>
      <c r="J2080" s="47" t="n"/>
      <c r="K2080" s="47" t="n"/>
      <c r="L2080" s="47" t="n"/>
      <c r="M2080" s="47" t="n"/>
      <c r="N2080" s="47" t="n"/>
      <c r="O2080" s="47" t="n"/>
      <c r="P2080" s="47" t="n"/>
      <c r="Q2080" s="47" t="n"/>
      <c r="R2080" s="47" t="n"/>
      <c r="S2080" s="47" t="n"/>
      <c r="T2080" s="47" t="n"/>
      <c r="U2080" s="53" t="n"/>
      <c r="V2080" s="53" t="n"/>
      <c r="W2080" s="47" t="n"/>
      <c r="X2080" s="47" t="n"/>
      <c r="Y2080" s="47" t="n"/>
      <c r="Z2080" s="47" t="n"/>
      <c r="AA2080" s="47" t="n"/>
      <c r="AB2080" s="47" t="n"/>
      <c r="AC2080" s="47" t="n"/>
      <c r="AD2080" s="47" t="n"/>
      <c r="AE2080" s="47" t="n"/>
      <c r="AF2080" s="20">
        <f>IF(A2080="","",YEAR(EDATE(A2080,-3)))</f>
        <v/>
      </c>
      <c r="AG2080" s="20">
        <f>IF(OR(B2080="",'経歴簿'!$C$4=""),"",IF(B2080&amp;""='経歴簿'!$C$4&amp;"",MAX($AG$4:AG2079)+1,""))</f>
        <v/>
      </c>
      <c r="AH2080" s="20">
        <f>IF(A2080="",0,IF(AND(OR('CSV抽出'!$C$4="",A2080&gt;='CSV抽出'!$C$4),OR('CSV抽出'!$C$5="",A2080&lt;='CSV抽出'!$C$5),OR('CSV抽出'!$C$6="すべて",'CSV抽出'!$C$6="",D2080='CSV抽出'!$C$6),OR('CSV抽出'!$C$7="",B2080&amp;""='CSV抽出'!$C$7&amp;"")),1,0))</f>
        <v/>
      </c>
      <c r="AI2080" s="20">
        <f>IF(AH2080=1,SUM($AH$5:AH2080),"")</f>
        <v/>
      </c>
      <c r="AJ2080" s="20">
        <f>IF(OR(S2080="",'報告書'!$C$4=""),"",IF(S2080&amp;""='報告書'!$C$4&amp;"",COUNTIF($S$5:S2080,'報告書'!$C$4),""))</f>
        <v/>
      </c>
      <c r="AK2080" s="20" t="n"/>
      <c r="AL2080" s="47" t="n"/>
      <c r="AM2080" s="47" t="n"/>
      <c r="AN2080" s="53" t="n"/>
      <c r="AO2080" s="47" t="n"/>
      <c r="AP2080" s="47" t="n"/>
      <c r="AQ2080" s="47" t="n"/>
      <c r="AR2080" s="47" t="n"/>
      <c r="AS2080" s="47" t="n"/>
      <c r="AT2080" s="47" t="n"/>
      <c r="AU2080" s="47" t="n"/>
      <c r="AV2080" s="47" t="n"/>
      <c r="AW2080" s="52" t="n"/>
    </row>
    <row r="2081">
      <c r="A2081" s="48" t="n"/>
      <c r="B2081" s="52" t="n"/>
      <c r="C2081" s="47">
        <f>IF(B2081="","",IFERROR(INDEX('隊員マスタ'!$B$5:$B$204,MATCH(B2081&amp;"",'隊員マスタ'!$F$5:$F$204,0)),IF(AK2081="","番号なし",AK2081)))</f>
        <v/>
      </c>
      <c r="D2081" s="47" t="n"/>
      <c r="E2081" s="47" t="n"/>
      <c r="F2081" s="47" t="n"/>
      <c r="G2081" s="47" t="n"/>
      <c r="H2081" s="47" t="n"/>
      <c r="I2081" s="47" t="n"/>
      <c r="J2081" s="47" t="n"/>
      <c r="K2081" s="47" t="n"/>
      <c r="L2081" s="47" t="n"/>
      <c r="M2081" s="47" t="n"/>
      <c r="N2081" s="47" t="n"/>
      <c r="O2081" s="47" t="n"/>
      <c r="P2081" s="47" t="n"/>
      <c r="Q2081" s="47" t="n"/>
      <c r="R2081" s="47" t="n"/>
      <c r="S2081" s="47" t="n"/>
      <c r="T2081" s="47" t="n"/>
      <c r="U2081" s="53" t="n"/>
      <c r="V2081" s="53" t="n"/>
      <c r="W2081" s="47" t="n"/>
      <c r="X2081" s="47" t="n"/>
      <c r="Y2081" s="47" t="n"/>
      <c r="Z2081" s="47" t="n"/>
      <c r="AA2081" s="47" t="n"/>
      <c r="AB2081" s="47" t="n"/>
      <c r="AC2081" s="47" t="n"/>
      <c r="AD2081" s="47" t="n"/>
      <c r="AE2081" s="47" t="n"/>
      <c r="AF2081" s="20">
        <f>IF(A2081="","",YEAR(EDATE(A2081,-3)))</f>
        <v/>
      </c>
      <c r="AG2081" s="20">
        <f>IF(OR(B2081="",'経歴簿'!$C$4=""),"",IF(B2081&amp;""='経歴簿'!$C$4&amp;"",MAX($AG$4:AG2080)+1,""))</f>
        <v/>
      </c>
      <c r="AH2081" s="20">
        <f>IF(A2081="",0,IF(AND(OR('CSV抽出'!$C$4="",A2081&gt;='CSV抽出'!$C$4),OR('CSV抽出'!$C$5="",A2081&lt;='CSV抽出'!$C$5),OR('CSV抽出'!$C$6="すべて",'CSV抽出'!$C$6="",D2081='CSV抽出'!$C$6),OR('CSV抽出'!$C$7="",B2081&amp;""='CSV抽出'!$C$7&amp;"")),1,0))</f>
        <v/>
      </c>
      <c r="AI2081" s="20">
        <f>IF(AH2081=1,SUM($AH$5:AH2081),"")</f>
        <v/>
      </c>
      <c r="AJ2081" s="20">
        <f>IF(OR(S2081="",'報告書'!$C$4=""),"",IF(S2081&amp;""='報告書'!$C$4&amp;"",COUNTIF($S$5:S2081,'報告書'!$C$4),""))</f>
        <v/>
      </c>
      <c r="AK2081" s="20" t="n"/>
      <c r="AL2081" s="47" t="n"/>
      <c r="AM2081" s="47" t="n"/>
      <c r="AN2081" s="53" t="n"/>
      <c r="AO2081" s="47" t="n"/>
      <c r="AP2081" s="47" t="n"/>
      <c r="AQ2081" s="47" t="n"/>
      <c r="AR2081" s="47" t="n"/>
      <c r="AS2081" s="47" t="n"/>
      <c r="AT2081" s="47" t="n"/>
      <c r="AU2081" s="47" t="n"/>
      <c r="AV2081" s="47" t="n"/>
      <c r="AW2081" s="52" t="n"/>
    </row>
    <row r="2082">
      <c r="A2082" s="48" t="n"/>
      <c r="B2082" s="52" t="n"/>
      <c r="C2082" s="47">
        <f>IF(B2082="","",IFERROR(INDEX('隊員マスタ'!$B$5:$B$204,MATCH(B2082&amp;"",'隊員マスタ'!$F$5:$F$204,0)),IF(AK2082="","番号なし",AK2082)))</f>
        <v/>
      </c>
      <c r="D2082" s="47" t="n"/>
      <c r="E2082" s="47" t="n"/>
      <c r="F2082" s="47" t="n"/>
      <c r="G2082" s="47" t="n"/>
      <c r="H2082" s="47" t="n"/>
      <c r="I2082" s="47" t="n"/>
      <c r="J2082" s="47" t="n"/>
      <c r="K2082" s="47" t="n"/>
      <c r="L2082" s="47" t="n"/>
      <c r="M2082" s="47" t="n"/>
      <c r="N2082" s="47" t="n"/>
      <c r="O2082" s="47" t="n"/>
      <c r="P2082" s="47" t="n"/>
      <c r="Q2082" s="47" t="n"/>
      <c r="R2082" s="47" t="n"/>
      <c r="S2082" s="47" t="n"/>
      <c r="T2082" s="47" t="n"/>
      <c r="U2082" s="53" t="n"/>
      <c r="V2082" s="53" t="n"/>
      <c r="W2082" s="47" t="n"/>
      <c r="X2082" s="47" t="n"/>
      <c r="Y2082" s="47" t="n"/>
      <c r="Z2082" s="47" t="n"/>
      <c r="AA2082" s="47" t="n"/>
      <c r="AB2082" s="47" t="n"/>
      <c r="AC2082" s="47" t="n"/>
      <c r="AD2082" s="47" t="n"/>
      <c r="AE2082" s="47" t="n"/>
      <c r="AF2082" s="20">
        <f>IF(A2082="","",YEAR(EDATE(A2082,-3)))</f>
        <v/>
      </c>
      <c r="AG2082" s="20">
        <f>IF(OR(B2082="",'経歴簿'!$C$4=""),"",IF(B2082&amp;""='経歴簿'!$C$4&amp;"",MAX($AG$4:AG2081)+1,""))</f>
        <v/>
      </c>
      <c r="AH2082" s="20">
        <f>IF(A2082="",0,IF(AND(OR('CSV抽出'!$C$4="",A2082&gt;='CSV抽出'!$C$4),OR('CSV抽出'!$C$5="",A2082&lt;='CSV抽出'!$C$5),OR('CSV抽出'!$C$6="すべて",'CSV抽出'!$C$6="",D2082='CSV抽出'!$C$6),OR('CSV抽出'!$C$7="",B2082&amp;""='CSV抽出'!$C$7&amp;"")),1,0))</f>
        <v/>
      </c>
      <c r="AI2082" s="20">
        <f>IF(AH2082=1,SUM($AH$5:AH2082),"")</f>
        <v/>
      </c>
      <c r="AJ2082" s="20">
        <f>IF(OR(S2082="",'報告書'!$C$4=""),"",IF(S2082&amp;""='報告書'!$C$4&amp;"",COUNTIF($S$5:S2082,'報告書'!$C$4),""))</f>
        <v/>
      </c>
      <c r="AK2082" s="20" t="n"/>
      <c r="AL2082" s="47" t="n"/>
      <c r="AM2082" s="47" t="n"/>
      <c r="AN2082" s="53" t="n"/>
      <c r="AO2082" s="47" t="n"/>
      <c r="AP2082" s="47" t="n"/>
      <c r="AQ2082" s="47" t="n"/>
      <c r="AR2082" s="47" t="n"/>
      <c r="AS2082" s="47" t="n"/>
      <c r="AT2082" s="47" t="n"/>
      <c r="AU2082" s="47" t="n"/>
      <c r="AV2082" s="47" t="n"/>
      <c r="AW2082" s="52" t="n"/>
    </row>
    <row r="2083">
      <c r="A2083" s="48" t="n"/>
      <c r="B2083" s="52" t="n"/>
      <c r="C2083" s="47">
        <f>IF(B2083="","",IFERROR(INDEX('隊員マスタ'!$B$5:$B$204,MATCH(B2083&amp;"",'隊員マスタ'!$F$5:$F$204,0)),IF(AK2083="","番号なし",AK2083)))</f>
        <v/>
      </c>
      <c r="D2083" s="47" t="n"/>
      <c r="E2083" s="47" t="n"/>
      <c r="F2083" s="47" t="n"/>
      <c r="G2083" s="47" t="n"/>
      <c r="H2083" s="47" t="n"/>
      <c r="I2083" s="47" t="n"/>
      <c r="J2083" s="47" t="n"/>
      <c r="K2083" s="47" t="n"/>
      <c r="L2083" s="47" t="n"/>
      <c r="M2083" s="47" t="n"/>
      <c r="N2083" s="47" t="n"/>
      <c r="O2083" s="47" t="n"/>
      <c r="P2083" s="47" t="n"/>
      <c r="Q2083" s="47" t="n"/>
      <c r="R2083" s="47" t="n"/>
      <c r="S2083" s="47" t="n"/>
      <c r="T2083" s="47" t="n"/>
      <c r="U2083" s="53" t="n"/>
      <c r="V2083" s="53" t="n"/>
      <c r="W2083" s="47" t="n"/>
      <c r="X2083" s="47" t="n"/>
      <c r="Y2083" s="47" t="n"/>
      <c r="Z2083" s="47" t="n"/>
      <c r="AA2083" s="47" t="n"/>
      <c r="AB2083" s="47" t="n"/>
      <c r="AC2083" s="47" t="n"/>
      <c r="AD2083" s="47" t="n"/>
      <c r="AE2083" s="47" t="n"/>
      <c r="AF2083" s="20">
        <f>IF(A2083="","",YEAR(EDATE(A2083,-3)))</f>
        <v/>
      </c>
      <c r="AG2083" s="20">
        <f>IF(OR(B2083="",'経歴簿'!$C$4=""),"",IF(B2083&amp;""='経歴簿'!$C$4&amp;"",MAX($AG$4:AG2082)+1,""))</f>
        <v/>
      </c>
      <c r="AH2083" s="20">
        <f>IF(A2083="",0,IF(AND(OR('CSV抽出'!$C$4="",A2083&gt;='CSV抽出'!$C$4),OR('CSV抽出'!$C$5="",A2083&lt;='CSV抽出'!$C$5),OR('CSV抽出'!$C$6="すべて",'CSV抽出'!$C$6="",D2083='CSV抽出'!$C$6),OR('CSV抽出'!$C$7="",B2083&amp;""='CSV抽出'!$C$7&amp;"")),1,0))</f>
        <v/>
      </c>
      <c r="AI2083" s="20">
        <f>IF(AH2083=1,SUM($AH$5:AH2083),"")</f>
        <v/>
      </c>
      <c r="AJ2083" s="20">
        <f>IF(OR(S2083="",'報告書'!$C$4=""),"",IF(S2083&amp;""='報告書'!$C$4&amp;"",COUNTIF($S$5:S2083,'報告書'!$C$4),""))</f>
        <v/>
      </c>
      <c r="AK2083" s="20" t="n"/>
      <c r="AL2083" s="47" t="n"/>
      <c r="AM2083" s="47" t="n"/>
      <c r="AN2083" s="53" t="n"/>
      <c r="AO2083" s="47" t="n"/>
      <c r="AP2083" s="47" t="n"/>
      <c r="AQ2083" s="47" t="n"/>
      <c r="AR2083" s="47" t="n"/>
      <c r="AS2083" s="47" t="n"/>
      <c r="AT2083" s="47" t="n"/>
      <c r="AU2083" s="47" t="n"/>
      <c r="AV2083" s="47" t="n"/>
      <c r="AW2083" s="52" t="n"/>
    </row>
    <row r="2084">
      <c r="A2084" s="48" t="n"/>
      <c r="B2084" s="52" t="n"/>
      <c r="C2084" s="47">
        <f>IF(B2084="","",IFERROR(INDEX('隊員マスタ'!$B$5:$B$204,MATCH(B2084&amp;"",'隊員マスタ'!$F$5:$F$204,0)),IF(AK2084="","番号なし",AK2084)))</f>
        <v/>
      </c>
      <c r="D2084" s="47" t="n"/>
      <c r="E2084" s="47" t="n"/>
      <c r="F2084" s="47" t="n"/>
      <c r="G2084" s="47" t="n"/>
      <c r="H2084" s="47" t="n"/>
      <c r="I2084" s="47" t="n"/>
      <c r="J2084" s="47" t="n"/>
      <c r="K2084" s="47" t="n"/>
      <c r="L2084" s="47" t="n"/>
      <c r="M2084" s="47" t="n"/>
      <c r="N2084" s="47" t="n"/>
      <c r="O2084" s="47" t="n"/>
      <c r="P2084" s="47" t="n"/>
      <c r="Q2084" s="47" t="n"/>
      <c r="R2084" s="47" t="n"/>
      <c r="S2084" s="47" t="n"/>
      <c r="T2084" s="47" t="n"/>
      <c r="U2084" s="53" t="n"/>
      <c r="V2084" s="53" t="n"/>
      <c r="W2084" s="47" t="n"/>
      <c r="X2084" s="47" t="n"/>
      <c r="Y2084" s="47" t="n"/>
      <c r="Z2084" s="47" t="n"/>
      <c r="AA2084" s="47" t="n"/>
      <c r="AB2084" s="47" t="n"/>
      <c r="AC2084" s="47" t="n"/>
      <c r="AD2084" s="47" t="n"/>
      <c r="AE2084" s="47" t="n"/>
      <c r="AF2084" s="20">
        <f>IF(A2084="","",YEAR(EDATE(A2084,-3)))</f>
        <v/>
      </c>
      <c r="AG2084" s="20">
        <f>IF(OR(B2084="",'経歴簿'!$C$4=""),"",IF(B2084&amp;""='経歴簿'!$C$4&amp;"",MAX($AG$4:AG2083)+1,""))</f>
        <v/>
      </c>
      <c r="AH2084" s="20">
        <f>IF(A2084="",0,IF(AND(OR('CSV抽出'!$C$4="",A2084&gt;='CSV抽出'!$C$4),OR('CSV抽出'!$C$5="",A2084&lt;='CSV抽出'!$C$5),OR('CSV抽出'!$C$6="すべて",'CSV抽出'!$C$6="",D2084='CSV抽出'!$C$6),OR('CSV抽出'!$C$7="",B2084&amp;""='CSV抽出'!$C$7&amp;"")),1,0))</f>
        <v/>
      </c>
      <c r="AI2084" s="20">
        <f>IF(AH2084=1,SUM($AH$5:AH2084),"")</f>
        <v/>
      </c>
      <c r="AJ2084" s="20">
        <f>IF(OR(S2084="",'報告書'!$C$4=""),"",IF(S2084&amp;""='報告書'!$C$4&amp;"",COUNTIF($S$5:S2084,'報告書'!$C$4),""))</f>
        <v/>
      </c>
      <c r="AK2084" s="20" t="n"/>
      <c r="AL2084" s="47" t="n"/>
      <c r="AM2084" s="47" t="n"/>
      <c r="AN2084" s="53" t="n"/>
      <c r="AO2084" s="47" t="n"/>
      <c r="AP2084" s="47" t="n"/>
      <c r="AQ2084" s="47" t="n"/>
      <c r="AR2084" s="47" t="n"/>
      <c r="AS2084" s="47" t="n"/>
      <c r="AT2084" s="47" t="n"/>
      <c r="AU2084" s="47" t="n"/>
      <c r="AV2084" s="47" t="n"/>
      <c r="AW2084" s="52" t="n"/>
    </row>
    <row r="2085">
      <c r="A2085" s="48" t="n"/>
      <c r="B2085" s="52" t="n"/>
      <c r="C2085" s="47">
        <f>IF(B2085="","",IFERROR(INDEX('隊員マスタ'!$B$5:$B$204,MATCH(B2085&amp;"",'隊員マスタ'!$F$5:$F$204,0)),IF(AK2085="","番号なし",AK2085)))</f>
        <v/>
      </c>
      <c r="D2085" s="47" t="n"/>
      <c r="E2085" s="47" t="n"/>
      <c r="F2085" s="47" t="n"/>
      <c r="G2085" s="47" t="n"/>
      <c r="H2085" s="47" t="n"/>
      <c r="I2085" s="47" t="n"/>
      <c r="J2085" s="47" t="n"/>
      <c r="K2085" s="47" t="n"/>
      <c r="L2085" s="47" t="n"/>
      <c r="M2085" s="47" t="n"/>
      <c r="N2085" s="47" t="n"/>
      <c r="O2085" s="47" t="n"/>
      <c r="P2085" s="47" t="n"/>
      <c r="Q2085" s="47" t="n"/>
      <c r="R2085" s="47" t="n"/>
      <c r="S2085" s="47" t="n"/>
      <c r="T2085" s="47" t="n"/>
      <c r="U2085" s="53" t="n"/>
      <c r="V2085" s="53" t="n"/>
      <c r="W2085" s="47" t="n"/>
      <c r="X2085" s="47" t="n"/>
      <c r="Y2085" s="47" t="n"/>
      <c r="Z2085" s="47" t="n"/>
      <c r="AA2085" s="47" t="n"/>
      <c r="AB2085" s="47" t="n"/>
      <c r="AC2085" s="47" t="n"/>
      <c r="AD2085" s="47" t="n"/>
      <c r="AE2085" s="47" t="n"/>
      <c r="AF2085" s="20">
        <f>IF(A2085="","",YEAR(EDATE(A2085,-3)))</f>
        <v/>
      </c>
      <c r="AG2085" s="20">
        <f>IF(OR(B2085="",'経歴簿'!$C$4=""),"",IF(B2085&amp;""='経歴簿'!$C$4&amp;"",MAX($AG$4:AG2084)+1,""))</f>
        <v/>
      </c>
      <c r="AH2085" s="20">
        <f>IF(A2085="",0,IF(AND(OR('CSV抽出'!$C$4="",A2085&gt;='CSV抽出'!$C$4),OR('CSV抽出'!$C$5="",A2085&lt;='CSV抽出'!$C$5),OR('CSV抽出'!$C$6="すべて",'CSV抽出'!$C$6="",D2085='CSV抽出'!$C$6),OR('CSV抽出'!$C$7="",B2085&amp;""='CSV抽出'!$C$7&amp;"")),1,0))</f>
        <v/>
      </c>
      <c r="AI2085" s="20">
        <f>IF(AH2085=1,SUM($AH$5:AH2085),"")</f>
        <v/>
      </c>
      <c r="AJ2085" s="20">
        <f>IF(OR(S2085="",'報告書'!$C$4=""),"",IF(S2085&amp;""='報告書'!$C$4&amp;"",COUNTIF($S$5:S2085,'報告書'!$C$4),""))</f>
        <v/>
      </c>
      <c r="AK2085" s="20" t="n"/>
      <c r="AL2085" s="47" t="n"/>
      <c r="AM2085" s="47" t="n"/>
      <c r="AN2085" s="53" t="n"/>
      <c r="AO2085" s="47" t="n"/>
      <c r="AP2085" s="47" t="n"/>
      <c r="AQ2085" s="47" t="n"/>
      <c r="AR2085" s="47" t="n"/>
      <c r="AS2085" s="47" t="n"/>
      <c r="AT2085" s="47" t="n"/>
      <c r="AU2085" s="47" t="n"/>
      <c r="AV2085" s="47" t="n"/>
      <c r="AW2085" s="52" t="n"/>
    </row>
    <row r="2086">
      <c r="A2086" s="48" t="n"/>
      <c r="B2086" s="52" t="n"/>
      <c r="C2086" s="47">
        <f>IF(B2086="","",IFERROR(INDEX('隊員マスタ'!$B$5:$B$204,MATCH(B2086&amp;"",'隊員マスタ'!$F$5:$F$204,0)),IF(AK2086="","番号なし",AK2086)))</f>
        <v/>
      </c>
      <c r="D2086" s="47" t="n"/>
      <c r="E2086" s="47" t="n"/>
      <c r="F2086" s="47" t="n"/>
      <c r="G2086" s="47" t="n"/>
      <c r="H2086" s="47" t="n"/>
      <c r="I2086" s="47" t="n"/>
      <c r="J2086" s="47" t="n"/>
      <c r="K2086" s="47" t="n"/>
      <c r="L2086" s="47" t="n"/>
      <c r="M2086" s="47" t="n"/>
      <c r="N2086" s="47" t="n"/>
      <c r="O2086" s="47" t="n"/>
      <c r="P2086" s="47" t="n"/>
      <c r="Q2086" s="47" t="n"/>
      <c r="R2086" s="47" t="n"/>
      <c r="S2086" s="47" t="n"/>
      <c r="T2086" s="47" t="n"/>
      <c r="U2086" s="53" t="n"/>
      <c r="V2086" s="53" t="n"/>
      <c r="W2086" s="47" t="n"/>
      <c r="X2086" s="47" t="n"/>
      <c r="Y2086" s="47" t="n"/>
      <c r="Z2086" s="47" t="n"/>
      <c r="AA2086" s="47" t="n"/>
      <c r="AB2086" s="47" t="n"/>
      <c r="AC2086" s="47" t="n"/>
      <c r="AD2086" s="47" t="n"/>
      <c r="AE2086" s="47" t="n"/>
      <c r="AF2086" s="20">
        <f>IF(A2086="","",YEAR(EDATE(A2086,-3)))</f>
        <v/>
      </c>
      <c r="AG2086" s="20">
        <f>IF(OR(B2086="",'経歴簿'!$C$4=""),"",IF(B2086&amp;""='経歴簿'!$C$4&amp;"",MAX($AG$4:AG2085)+1,""))</f>
        <v/>
      </c>
      <c r="AH2086" s="20">
        <f>IF(A2086="",0,IF(AND(OR('CSV抽出'!$C$4="",A2086&gt;='CSV抽出'!$C$4),OR('CSV抽出'!$C$5="",A2086&lt;='CSV抽出'!$C$5),OR('CSV抽出'!$C$6="すべて",'CSV抽出'!$C$6="",D2086='CSV抽出'!$C$6),OR('CSV抽出'!$C$7="",B2086&amp;""='CSV抽出'!$C$7&amp;"")),1,0))</f>
        <v/>
      </c>
      <c r="AI2086" s="20">
        <f>IF(AH2086=1,SUM($AH$5:AH2086),"")</f>
        <v/>
      </c>
      <c r="AJ2086" s="20">
        <f>IF(OR(S2086="",'報告書'!$C$4=""),"",IF(S2086&amp;""='報告書'!$C$4&amp;"",COUNTIF($S$5:S2086,'報告書'!$C$4),""))</f>
        <v/>
      </c>
      <c r="AK2086" s="20" t="n"/>
      <c r="AL2086" s="47" t="n"/>
      <c r="AM2086" s="47" t="n"/>
      <c r="AN2086" s="53" t="n"/>
      <c r="AO2086" s="47" t="n"/>
      <c r="AP2086" s="47" t="n"/>
      <c r="AQ2086" s="47" t="n"/>
      <c r="AR2086" s="47" t="n"/>
      <c r="AS2086" s="47" t="n"/>
      <c r="AT2086" s="47" t="n"/>
      <c r="AU2086" s="47" t="n"/>
      <c r="AV2086" s="47" t="n"/>
      <c r="AW2086" s="52" t="n"/>
    </row>
    <row r="2087">
      <c r="A2087" s="48" t="n"/>
      <c r="B2087" s="52" t="n"/>
      <c r="C2087" s="47">
        <f>IF(B2087="","",IFERROR(INDEX('隊員マスタ'!$B$5:$B$204,MATCH(B2087&amp;"",'隊員マスタ'!$F$5:$F$204,0)),IF(AK2087="","番号なし",AK2087)))</f>
        <v/>
      </c>
      <c r="D2087" s="47" t="n"/>
      <c r="E2087" s="47" t="n"/>
      <c r="F2087" s="47" t="n"/>
      <c r="G2087" s="47" t="n"/>
      <c r="H2087" s="47" t="n"/>
      <c r="I2087" s="47" t="n"/>
      <c r="J2087" s="47" t="n"/>
      <c r="K2087" s="47" t="n"/>
      <c r="L2087" s="47" t="n"/>
      <c r="M2087" s="47" t="n"/>
      <c r="N2087" s="47" t="n"/>
      <c r="O2087" s="47" t="n"/>
      <c r="P2087" s="47" t="n"/>
      <c r="Q2087" s="47" t="n"/>
      <c r="R2087" s="47" t="n"/>
      <c r="S2087" s="47" t="n"/>
      <c r="T2087" s="47" t="n"/>
      <c r="U2087" s="53" t="n"/>
      <c r="V2087" s="53" t="n"/>
      <c r="W2087" s="47" t="n"/>
      <c r="X2087" s="47" t="n"/>
      <c r="Y2087" s="47" t="n"/>
      <c r="Z2087" s="47" t="n"/>
      <c r="AA2087" s="47" t="n"/>
      <c r="AB2087" s="47" t="n"/>
      <c r="AC2087" s="47" t="n"/>
      <c r="AD2087" s="47" t="n"/>
      <c r="AE2087" s="47" t="n"/>
      <c r="AF2087" s="20">
        <f>IF(A2087="","",YEAR(EDATE(A2087,-3)))</f>
        <v/>
      </c>
      <c r="AG2087" s="20">
        <f>IF(OR(B2087="",'経歴簿'!$C$4=""),"",IF(B2087&amp;""='経歴簿'!$C$4&amp;"",MAX($AG$4:AG2086)+1,""))</f>
        <v/>
      </c>
      <c r="AH2087" s="20">
        <f>IF(A2087="",0,IF(AND(OR('CSV抽出'!$C$4="",A2087&gt;='CSV抽出'!$C$4),OR('CSV抽出'!$C$5="",A2087&lt;='CSV抽出'!$C$5),OR('CSV抽出'!$C$6="すべて",'CSV抽出'!$C$6="",D2087='CSV抽出'!$C$6),OR('CSV抽出'!$C$7="",B2087&amp;""='CSV抽出'!$C$7&amp;"")),1,0))</f>
        <v/>
      </c>
      <c r="AI2087" s="20">
        <f>IF(AH2087=1,SUM($AH$5:AH2087),"")</f>
        <v/>
      </c>
      <c r="AJ2087" s="20">
        <f>IF(OR(S2087="",'報告書'!$C$4=""),"",IF(S2087&amp;""='報告書'!$C$4&amp;"",COUNTIF($S$5:S2087,'報告書'!$C$4),""))</f>
        <v/>
      </c>
      <c r="AK2087" s="20" t="n"/>
      <c r="AL2087" s="47" t="n"/>
      <c r="AM2087" s="47" t="n"/>
      <c r="AN2087" s="53" t="n"/>
      <c r="AO2087" s="47" t="n"/>
      <c r="AP2087" s="47" t="n"/>
      <c r="AQ2087" s="47" t="n"/>
      <c r="AR2087" s="47" t="n"/>
      <c r="AS2087" s="47" t="n"/>
      <c r="AT2087" s="47" t="n"/>
      <c r="AU2087" s="47" t="n"/>
      <c r="AV2087" s="47" t="n"/>
      <c r="AW2087" s="52" t="n"/>
    </row>
    <row r="2088">
      <c r="A2088" s="48" t="n"/>
      <c r="B2088" s="52" t="n"/>
      <c r="C2088" s="47">
        <f>IF(B2088="","",IFERROR(INDEX('隊員マスタ'!$B$5:$B$204,MATCH(B2088&amp;"",'隊員マスタ'!$F$5:$F$204,0)),IF(AK2088="","番号なし",AK2088)))</f>
        <v/>
      </c>
      <c r="D2088" s="47" t="n"/>
      <c r="E2088" s="47" t="n"/>
      <c r="F2088" s="47" t="n"/>
      <c r="G2088" s="47" t="n"/>
      <c r="H2088" s="47" t="n"/>
      <c r="I2088" s="47" t="n"/>
      <c r="J2088" s="47" t="n"/>
      <c r="K2088" s="47" t="n"/>
      <c r="L2088" s="47" t="n"/>
      <c r="M2088" s="47" t="n"/>
      <c r="N2088" s="47" t="n"/>
      <c r="O2088" s="47" t="n"/>
      <c r="P2088" s="47" t="n"/>
      <c r="Q2088" s="47" t="n"/>
      <c r="R2088" s="47" t="n"/>
      <c r="S2088" s="47" t="n"/>
      <c r="T2088" s="47" t="n"/>
      <c r="U2088" s="53" t="n"/>
      <c r="V2088" s="53" t="n"/>
      <c r="W2088" s="47" t="n"/>
      <c r="X2088" s="47" t="n"/>
      <c r="Y2088" s="47" t="n"/>
      <c r="Z2088" s="47" t="n"/>
      <c r="AA2088" s="47" t="n"/>
      <c r="AB2088" s="47" t="n"/>
      <c r="AC2088" s="47" t="n"/>
      <c r="AD2088" s="47" t="n"/>
      <c r="AE2088" s="47" t="n"/>
      <c r="AF2088" s="20">
        <f>IF(A2088="","",YEAR(EDATE(A2088,-3)))</f>
        <v/>
      </c>
      <c r="AG2088" s="20">
        <f>IF(OR(B2088="",'経歴簿'!$C$4=""),"",IF(B2088&amp;""='経歴簿'!$C$4&amp;"",MAX($AG$4:AG2087)+1,""))</f>
        <v/>
      </c>
      <c r="AH2088" s="20">
        <f>IF(A2088="",0,IF(AND(OR('CSV抽出'!$C$4="",A2088&gt;='CSV抽出'!$C$4),OR('CSV抽出'!$C$5="",A2088&lt;='CSV抽出'!$C$5),OR('CSV抽出'!$C$6="すべて",'CSV抽出'!$C$6="",D2088='CSV抽出'!$C$6),OR('CSV抽出'!$C$7="",B2088&amp;""='CSV抽出'!$C$7&amp;"")),1,0))</f>
        <v/>
      </c>
      <c r="AI2088" s="20">
        <f>IF(AH2088=1,SUM($AH$5:AH2088),"")</f>
        <v/>
      </c>
      <c r="AJ2088" s="20">
        <f>IF(OR(S2088="",'報告書'!$C$4=""),"",IF(S2088&amp;""='報告書'!$C$4&amp;"",COUNTIF($S$5:S2088,'報告書'!$C$4),""))</f>
        <v/>
      </c>
      <c r="AK2088" s="20" t="n"/>
      <c r="AL2088" s="47" t="n"/>
      <c r="AM2088" s="47" t="n"/>
      <c r="AN2088" s="53" t="n"/>
      <c r="AO2088" s="47" t="n"/>
      <c r="AP2088" s="47" t="n"/>
      <c r="AQ2088" s="47" t="n"/>
      <c r="AR2088" s="47" t="n"/>
      <c r="AS2088" s="47" t="n"/>
      <c r="AT2088" s="47" t="n"/>
      <c r="AU2088" s="47" t="n"/>
      <c r="AV2088" s="47" t="n"/>
      <c r="AW2088" s="52" t="n"/>
    </row>
    <row r="2089">
      <c r="A2089" s="48" t="n"/>
      <c r="B2089" s="52" t="n"/>
      <c r="C2089" s="47">
        <f>IF(B2089="","",IFERROR(INDEX('隊員マスタ'!$B$5:$B$204,MATCH(B2089&amp;"",'隊員マスタ'!$F$5:$F$204,0)),IF(AK2089="","番号なし",AK2089)))</f>
        <v/>
      </c>
      <c r="D2089" s="47" t="n"/>
      <c r="E2089" s="47" t="n"/>
      <c r="F2089" s="47" t="n"/>
      <c r="G2089" s="47" t="n"/>
      <c r="H2089" s="47" t="n"/>
      <c r="I2089" s="47" t="n"/>
      <c r="J2089" s="47" t="n"/>
      <c r="K2089" s="47" t="n"/>
      <c r="L2089" s="47" t="n"/>
      <c r="M2089" s="47" t="n"/>
      <c r="N2089" s="47" t="n"/>
      <c r="O2089" s="47" t="n"/>
      <c r="P2089" s="47" t="n"/>
      <c r="Q2089" s="47" t="n"/>
      <c r="R2089" s="47" t="n"/>
      <c r="S2089" s="47" t="n"/>
      <c r="T2089" s="47" t="n"/>
      <c r="U2089" s="53" t="n"/>
      <c r="V2089" s="53" t="n"/>
      <c r="W2089" s="47" t="n"/>
      <c r="X2089" s="47" t="n"/>
      <c r="Y2089" s="47" t="n"/>
      <c r="Z2089" s="47" t="n"/>
      <c r="AA2089" s="47" t="n"/>
      <c r="AB2089" s="47" t="n"/>
      <c r="AC2089" s="47" t="n"/>
      <c r="AD2089" s="47" t="n"/>
      <c r="AE2089" s="47" t="n"/>
      <c r="AF2089" s="20">
        <f>IF(A2089="","",YEAR(EDATE(A2089,-3)))</f>
        <v/>
      </c>
      <c r="AG2089" s="20">
        <f>IF(OR(B2089="",'経歴簿'!$C$4=""),"",IF(B2089&amp;""='経歴簿'!$C$4&amp;"",MAX($AG$4:AG2088)+1,""))</f>
        <v/>
      </c>
      <c r="AH2089" s="20">
        <f>IF(A2089="",0,IF(AND(OR('CSV抽出'!$C$4="",A2089&gt;='CSV抽出'!$C$4),OR('CSV抽出'!$C$5="",A2089&lt;='CSV抽出'!$C$5),OR('CSV抽出'!$C$6="すべて",'CSV抽出'!$C$6="",D2089='CSV抽出'!$C$6),OR('CSV抽出'!$C$7="",B2089&amp;""='CSV抽出'!$C$7&amp;"")),1,0))</f>
        <v/>
      </c>
      <c r="AI2089" s="20">
        <f>IF(AH2089=1,SUM($AH$5:AH2089),"")</f>
        <v/>
      </c>
      <c r="AJ2089" s="20">
        <f>IF(OR(S2089="",'報告書'!$C$4=""),"",IF(S2089&amp;""='報告書'!$C$4&amp;"",COUNTIF($S$5:S2089,'報告書'!$C$4),""))</f>
        <v/>
      </c>
      <c r="AK2089" s="20" t="n"/>
      <c r="AL2089" s="47" t="n"/>
      <c r="AM2089" s="47" t="n"/>
      <c r="AN2089" s="53" t="n"/>
      <c r="AO2089" s="47" t="n"/>
      <c r="AP2089" s="47" t="n"/>
      <c r="AQ2089" s="47" t="n"/>
      <c r="AR2089" s="47" t="n"/>
      <c r="AS2089" s="47" t="n"/>
      <c r="AT2089" s="47" t="n"/>
      <c r="AU2089" s="47" t="n"/>
      <c r="AV2089" s="47" t="n"/>
      <c r="AW2089" s="52" t="n"/>
    </row>
    <row r="2090">
      <c r="A2090" s="48" t="n"/>
      <c r="B2090" s="52" t="n"/>
      <c r="C2090" s="47">
        <f>IF(B2090="","",IFERROR(INDEX('隊員マスタ'!$B$5:$B$204,MATCH(B2090&amp;"",'隊員マスタ'!$F$5:$F$204,0)),IF(AK2090="","番号なし",AK2090)))</f>
        <v/>
      </c>
      <c r="D2090" s="47" t="n"/>
      <c r="E2090" s="47" t="n"/>
      <c r="F2090" s="47" t="n"/>
      <c r="G2090" s="47" t="n"/>
      <c r="H2090" s="47" t="n"/>
      <c r="I2090" s="47" t="n"/>
      <c r="J2090" s="47" t="n"/>
      <c r="K2090" s="47" t="n"/>
      <c r="L2090" s="47" t="n"/>
      <c r="M2090" s="47" t="n"/>
      <c r="N2090" s="47" t="n"/>
      <c r="O2090" s="47" t="n"/>
      <c r="P2090" s="47" t="n"/>
      <c r="Q2090" s="47" t="n"/>
      <c r="R2090" s="47" t="n"/>
      <c r="S2090" s="47" t="n"/>
      <c r="T2090" s="47" t="n"/>
      <c r="U2090" s="53" t="n"/>
      <c r="V2090" s="53" t="n"/>
      <c r="W2090" s="47" t="n"/>
      <c r="X2090" s="47" t="n"/>
      <c r="Y2090" s="47" t="n"/>
      <c r="Z2090" s="47" t="n"/>
      <c r="AA2090" s="47" t="n"/>
      <c r="AB2090" s="47" t="n"/>
      <c r="AC2090" s="47" t="n"/>
      <c r="AD2090" s="47" t="n"/>
      <c r="AE2090" s="47" t="n"/>
      <c r="AF2090" s="20">
        <f>IF(A2090="","",YEAR(EDATE(A2090,-3)))</f>
        <v/>
      </c>
      <c r="AG2090" s="20">
        <f>IF(OR(B2090="",'経歴簿'!$C$4=""),"",IF(B2090&amp;""='経歴簿'!$C$4&amp;"",MAX($AG$4:AG2089)+1,""))</f>
        <v/>
      </c>
      <c r="AH2090" s="20">
        <f>IF(A2090="",0,IF(AND(OR('CSV抽出'!$C$4="",A2090&gt;='CSV抽出'!$C$4),OR('CSV抽出'!$C$5="",A2090&lt;='CSV抽出'!$C$5),OR('CSV抽出'!$C$6="すべて",'CSV抽出'!$C$6="",D2090='CSV抽出'!$C$6),OR('CSV抽出'!$C$7="",B2090&amp;""='CSV抽出'!$C$7&amp;"")),1,0))</f>
        <v/>
      </c>
      <c r="AI2090" s="20">
        <f>IF(AH2090=1,SUM($AH$5:AH2090),"")</f>
        <v/>
      </c>
      <c r="AJ2090" s="20">
        <f>IF(OR(S2090="",'報告書'!$C$4=""),"",IF(S2090&amp;""='報告書'!$C$4&amp;"",COUNTIF($S$5:S2090,'報告書'!$C$4),""))</f>
        <v/>
      </c>
      <c r="AK2090" s="20" t="n"/>
      <c r="AL2090" s="47" t="n"/>
      <c r="AM2090" s="47" t="n"/>
      <c r="AN2090" s="53" t="n"/>
      <c r="AO2090" s="47" t="n"/>
      <c r="AP2090" s="47" t="n"/>
      <c r="AQ2090" s="47" t="n"/>
      <c r="AR2090" s="47" t="n"/>
      <c r="AS2090" s="47" t="n"/>
      <c r="AT2090" s="47" t="n"/>
      <c r="AU2090" s="47" t="n"/>
      <c r="AV2090" s="47" t="n"/>
      <c r="AW2090" s="52" t="n"/>
    </row>
    <row r="2091">
      <c r="A2091" s="48" t="n"/>
      <c r="B2091" s="52" t="n"/>
      <c r="C2091" s="47">
        <f>IF(B2091="","",IFERROR(INDEX('隊員マスタ'!$B$5:$B$204,MATCH(B2091&amp;"",'隊員マスタ'!$F$5:$F$204,0)),IF(AK2091="","番号なし",AK2091)))</f>
        <v/>
      </c>
      <c r="D2091" s="47" t="n"/>
      <c r="E2091" s="47" t="n"/>
      <c r="F2091" s="47" t="n"/>
      <c r="G2091" s="47" t="n"/>
      <c r="H2091" s="47" t="n"/>
      <c r="I2091" s="47" t="n"/>
      <c r="J2091" s="47" t="n"/>
      <c r="K2091" s="47" t="n"/>
      <c r="L2091" s="47" t="n"/>
      <c r="M2091" s="47" t="n"/>
      <c r="N2091" s="47" t="n"/>
      <c r="O2091" s="47" t="n"/>
      <c r="P2091" s="47" t="n"/>
      <c r="Q2091" s="47" t="n"/>
      <c r="R2091" s="47" t="n"/>
      <c r="S2091" s="47" t="n"/>
      <c r="T2091" s="47" t="n"/>
      <c r="U2091" s="53" t="n"/>
      <c r="V2091" s="53" t="n"/>
      <c r="W2091" s="47" t="n"/>
      <c r="X2091" s="47" t="n"/>
      <c r="Y2091" s="47" t="n"/>
      <c r="Z2091" s="47" t="n"/>
      <c r="AA2091" s="47" t="n"/>
      <c r="AB2091" s="47" t="n"/>
      <c r="AC2091" s="47" t="n"/>
      <c r="AD2091" s="47" t="n"/>
      <c r="AE2091" s="47" t="n"/>
      <c r="AF2091" s="20">
        <f>IF(A2091="","",YEAR(EDATE(A2091,-3)))</f>
        <v/>
      </c>
      <c r="AG2091" s="20">
        <f>IF(OR(B2091="",'経歴簿'!$C$4=""),"",IF(B2091&amp;""='経歴簿'!$C$4&amp;"",MAX($AG$4:AG2090)+1,""))</f>
        <v/>
      </c>
      <c r="AH2091" s="20">
        <f>IF(A2091="",0,IF(AND(OR('CSV抽出'!$C$4="",A2091&gt;='CSV抽出'!$C$4),OR('CSV抽出'!$C$5="",A2091&lt;='CSV抽出'!$C$5),OR('CSV抽出'!$C$6="すべて",'CSV抽出'!$C$6="",D2091='CSV抽出'!$C$6),OR('CSV抽出'!$C$7="",B2091&amp;""='CSV抽出'!$C$7&amp;"")),1,0))</f>
        <v/>
      </c>
      <c r="AI2091" s="20">
        <f>IF(AH2091=1,SUM($AH$5:AH2091),"")</f>
        <v/>
      </c>
      <c r="AJ2091" s="20">
        <f>IF(OR(S2091="",'報告書'!$C$4=""),"",IF(S2091&amp;""='報告書'!$C$4&amp;"",COUNTIF($S$5:S2091,'報告書'!$C$4),""))</f>
        <v/>
      </c>
      <c r="AK2091" s="20" t="n"/>
      <c r="AL2091" s="47" t="n"/>
      <c r="AM2091" s="47" t="n"/>
      <c r="AN2091" s="53" t="n"/>
      <c r="AO2091" s="47" t="n"/>
      <c r="AP2091" s="47" t="n"/>
      <c r="AQ2091" s="47" t="n"/>
      <c r="AR2091" s="47" t="n"/>
      <c r="AS2091" s="47" t="n"/>
      <c r="AT2091" s="47" t="n"/>
      <c r="AU2091" s="47" t="n"/>
      <c r="AV2091" s="47" t="n"/>
      <c r="AW2091" s="52" t="n"/>
    </row>
    <row r="2092">
      <c r="A2092" s="48" t="n"/>
      <c r="B2092" s="52" t="n"/>
      <c r="C2092" s="47">
        <f>IF(B2092="","",IFERROR(INDEX('隊員マスタ'!$B$5:$B$204,MATCH(B2092&amp;"",'隊員マスタ'!$F$5:$F$204,0)),IF(AK2092="","番号なし",AK2092)))</f>
        <v/>
      </c>
      <c r="D2092" s="47" t="n"/>
      <c r="E2092" s="47" t="n"/>
      <c r="F2092" s="47" t="n"/>
      <c r="G2092" s="47" t="n"/>
      <c r="H2092" s="47" t="n"/>
      <c r="I2092" s="47" t="n"/>
      <c r="J2092" s="47" t="n"/>
      <c r="K2092" s="47" t="n"/>
      <c r="L2092" s="47" t="n"/>
      <c r="M2092" s="47" t="n"/>
      <c r="N2092" s="47" t="n"/>
      <c r="O2092" s="47" t="n"/>
      <c r="P2092" s="47" t="n"/>
      <c r="Q2092" s="47" t="n"/>
      <c r="R2092" s="47" t="n"/>
      <c r="S2092" s="47" t="n"/>
      <c r="T2092" s="47" t="n"/>
      <c r="U2092" s="53" t="n"/>
      <c r="V2092" s="53" t="n"/>
      <c r="W2092" s="47" t="n"/>
      <c r="X2092" s="47" t="n"/>
      <c r="Y2092" s="47" t="n"/>
      <c r="Z2092" s="47" t="n"/>
      <c r="AA2092" s="47" t="n"/>
      <c r="AB2092" s="47" t="n"/>
      <c r="AC2092" s="47" t="n"/>
      <c r="AD2092" s="47" t="n"/>
      <c r="AE2092" s="47" t="n"/>
      <c r="AF2092" s="20">
        <f>IF(A2092="","",YEAR(EDATE(A2092,-3)))</f>
        <v/>
      </c>
      <c r="AG2092" s="20">
        <f>IF(OR(B2092="",'経歴簿'!$C$4=""),"",IF(B2092&amp;""='経歴簿'!$C$4&amp;"",MAX($AG$4:AG2091)+1,""))</f>
        <v/>
      </c>
      <c r="AH2092" s="20">
        <f>IF(A2092="",0,IF(AND(OR('CSV抽出'!$C$4="",A2092&gt;='CSV抽出'!$C$4),OR('CSV抽出'!$C$5="",A2092&lt;='CSV抽出'!$C$5),OR('CSV抽出'!$C$6="すべて",'CSV抽出'!$C$6="",D2092='CSV抽出'!$C$6),OR('CSV抽出'!$C$7="",B2092&amp;""='CSV抽出'!$C$7&amp;"")),1,0))</f>
        <v/>
      </c>
      <c r="AI2092" s="20">
        <f>IF(AH2092=1,SUM($AH$5:AH2092),"")</f>
        <v/>
      </c>
      <c r="AJ2092" s="20">
        <f>IF(OR(S2092="",'報告書'!$C$4=""),"",IF(S2092&amp;""='報告書'!$C$4&amp;"",COUNTIF($S$5:S2092,'報告書'!$C$4),""))</f>
        <v/>
      </c>
      <c r="AK2092" s="20" t="n"/>
      <c r="AL2092" s="47" t="n"/>
      <c r="AM2092" s="47" t="n"/>
      <c r="AN2092" s="53" t="n"/>
      <c r="AO2092" s="47" t="n"/>
      <c r="AP2092" s="47" t="n"/>
      <c r="AQ2092" s="47" t="n"/>
      <c r="AR2092" s="47" t="n"/>
      <c r="AS2092" s="47" t="n"/>
      <c r="AT2092" s="47" t="n"/>
      <c r="AU2092" s="47" t="n"/>
      <c r="AV2092" s="47" t="n"/>
      <c r="AW2092" s="52" t="n"/>
    </row>
    <row r="2093">
      <c r="A2093" s="48" t="n"/>
      <c r="B2093" s="52" t="n"/>
      <c r="C2093" s="47">
        <f>IF(B2093="","",IFERROR(INDEX('隊員マスタ'!$B$5:$B$204,MATCH(B2093&amp;"",'隊員マスタ'!$F$5:$F$204,0)),IF(AK2093="","番号なし",AK2093)))</f>
        <v/>
      </c>
      <c r="D2093" s="47" t="n"/>
      <c r="E2093" s="47" t="n"/>
      <c r="F2093" s="47" t="n"/>
      <c r="G2093" s="47" t="n"/>
      <c r="H2093" s="47" t="n"/>
      <c r="I2093" s="47" t="n"/>
      <c r="J2093" s="47" t="n"/>
      <c r="K2093" s="47" t="n"/>
      <c r="L2093" s="47" t="n"/>
      <c r="M2093" s="47" t="n"/>
      <c r="N2093" s="47" t="n"/>
      <c r="O2093" s="47" t="n"/>
      <c r="P2093" s="47" t="n"/>
      <c r="Q2093" s="47" t="n"/>
      <c r="R2093" s="47" t="n"/>
      <c r="S2093" s="47" t="n"/>
      <c r="T2093" s="47" t="n"/>
      <c r="U2093" s="53" t="n"/>
      <c r="V2093" s="53" t="n"/>
      <c r="W2093" s="47" t="n"/>
      <c r="X2093" s="47" t="n"/>
      <c r="Y2093" s="47" t="n"/>
      <c r="Z2093" s="47" t="n"/>
      <c r="AA2093" s="47" t="n"/>
      <c r="AB2093" s="47" t="n"/>
      <c r="AC2093" s="47" t="n"/>
      <c r="AD2093" s="47" t="n"/>
      <c r="AE2093" s="47" t="n"/>
      <c r="AF2093" s="20">
        <f>IF(A2093="","",YEAR(EDATE(A2093,-3)))</f>
        <v/>
      </c>
      <c r="AG2093" s="20">
        <f>IF(OR(B2093="",'経歴簿'!$C$4=""),"",IF(B2093&amp;""='経歴簿'!$C$4&amp;"",MAX($AG$4:AG2092)+1,""))</f>
        <v/>
      </c>
      <c r="AH2093" s="20">
        <f>IF(A2093="",0,IF(AND(OR('CSV抽出'!$C$4="",A2093&gt;='CSV抽出'!$C$4),OR('CSV抽出'!$C$5="",A2093&lt;='CSV抽出'!$C$5),OR('CSV抽出'!$C$6="すべて",'CSV抽出'!$C$6="",D2093='CSV抽出'!$C$6),OR('CSV抽出'!$C$7="",B2093&amp;""='CSV抽出'!$C$7&amp;"")),1,0))</f>
        <v/>
      </c>
      <c r="AI2093" s="20">
        <f>IF(AH2093=1,SUM($AH$5:AH2093),"")</f>
        <v/>
      </c>
      <c r="AJ2093" s="20">
        <f>IF(OR(S2093="",'報告書'!$C$4=""),"",IF(S2093&amp;""='報告書'!$C$4&amp;"",COUNTIF($S$5:S2093,'報告書'!$C$4),""))</f>
        <v/>
      </c>
      <c r="AK2093" s="20" t="n"/>
      <c r="AL2093" s="47" t="n"/>
      <c r="AM2093" s="47" t="n"/>
      <c r="AN2093" s="53" t="n"/>
      <c r="AO2093" s="47" t="n"/>
      <c r="AP2093" s="47" t="n"/>
      <c r="AQ2093" s="47" t="n"/>
      <c r="AR2093" s="47" t="n"/>
      <c r="AS2093" s="47" t="n"/>
      <c r="AT2093" s="47" t="n"/>
      <c r="AU2093" s="47" t="n"/>
      <c r="AV2093" s="47" t="n"/>
      <c r="AW2093" s="52" t="n"/>
    </row>
    <row r="2094">
      <c r="A2094" s="48" t="n"/>
      <c r="B2094" s="52" t="n"/>
      <c r="C2094" s="47">
        <f>IF(B2094="","",IFERROR(INDEX('隊員マスタ'!$B$5:$B$204,MATCH(B2094&amp;"",'隊員マスタ'!$F$5:$F$204,0)),IF(AK2094="","番号なし",AK2094)))</f>
        <v/>
      </c>
      <c r="D2094" s="47" t="n"/>
      <c r="E2094" s="47" t="n"/>
      <c r="F2094" s="47" t="n"/>
      <c r="G2094" s="47" t="n"/>
      <c r="H2094" s="47" t="n"/>
      <c r="I2094" s="47" t="n"/>
      <c r="J2094" s="47" t="n"/>
      <c r="K2094" s="47" t="n"/>
      <c r="L2094" s="47" t="n"/>
      <c r="M2094" s="47" t="n"/>
      <c r="N2094" s="47" t="n"/>
      <c r="O2094" s="47" t="n"/>
      <c r="P2094" s="47" t="n"/>
      <c r="Q2094" s="47" t="n"/>
      <c r="R2094" s="47" t="n"/>
      <c r="S2094" s="47" t="n"/>
      <c r="T2094" s="47" t="n"/>
      <c r="U2094" s="53" t="n"/>
      <c r="V2094" s="53" t="n"/>
      <c r="W2094" s="47" t="n"/>
      <c r="X2094" s="47" t="n"/>
      <c r="Y2094" s="47" t="n"/>
      <c r="Z2094" s="47" t="n"/>
      <c r="AA2094" s="47" t="n"/>
      <c r="AB2094" s="47" t="n"/>
      <c r="AC2094" s="47" t="n"/>
      <c r="AD2094" s="47" t="n"/>
      <c r="AE2094" s="47" t="n"/>
      <c r="AF2094" s="20">
        <f>IF(A2094="","",YEAR(EDATE(A2094,-3)))</f>
        <v/>
      </c>
      <c r="AG2094" s="20">
        <f>IF(OR(B2094="",'経歴簿'!$C$4=""),"",IF(B2094&amp;""='経歴簿'!$C$4&amp;"",MAX($AG$4:AG2093)+1,""))</f>
        <v/>
      </c>
      <c r="AH2094" s="20">
        <f>IF(A2094="",0,IF(AND(OR('CSV抽出'!$C$4="",A2094&gt;='CSV抽出'!$C$4),OR('CSV抽出'!$C$5="",A2094&lt;='CSV抽出'!$C$5),OR('CSV抽出'!$C$6="すべて",'CSV抽出'!$C$6="",D2094='CSV抽出'!$C$6),OR('CSV抽出'!$C$7="",B2094&amp;""='CSV抽出'!$C$7&amp;"")),1,0))</f>
        <v/>
      </c>
      <c r="AI2094" s="20">
        <f>IF(AH2094=1,SUM($AH$5:AH2094),"")</f>
        <v/>
      </c>
      <c r="AJ2094" s="20">
        <f>IF(OR(S2094="",'報告書'!$C$4=""),"",IF(S2094&amp;""='報告書'!$C$4&amp;"",COUNTIF($S$5:S2094,'報告書'!$C$4),""))</f>
        <v/>
      </c>
      <c r="AK2094" s="20" t="n"/>
      <c r="AL2094" s="47" t="n"/>
      <c r="AM2094" s="47" t="n"/>
      <c r="AN2094" s="53" t="n"/>
      <c r="AO2094" s="47" t="n"/>
      <c r="AP2094" s="47" t="n"/>
      <c r="AQ2094" s="47" t="n"/>
      <c r="AR2094" s="47" t="n"/>
      <c r="AS2094" s="47" t="n"/>
      <c r="AT2094" s="47" t="n"/>
      <c r="AU2094" s="47" t="n"/>
      <c r="AV2094" s="47" t="n"/>
      <c r="AW2094" s="52" t="n"/>
    </row>
    <row r="2095">
      <c r="A2095" s="48" t="n"/>
      <c r="B2095" s="52" t="n"/>
      <c r="C2095" s="47">
        <f>IF(B2095="","",IFERROR(INDEX('隊員マスタ'!$B$5:$B$204,MATCH(B2095&amp;"",'隊員マスタ'!$F$5:$F$204,0)),IF(AK2095="","番号なし",AK2095)))</f>
        <v/>
      </c>
      <c r="D2095" s="47" t="n"/>
      <c r="E2095" s="47" t="n"/>
      <c r="F2095" s="47" t="n"/>
      <c r="G2095" s="47" t="n"/>
      <c r="H2095" s="47" t="n"/>
      <c r="I2095" s="47" t="n"/>
      <c r="J2095" s="47" t="n"/>
      <c r="K2095" s="47" t="n"/>
      <c r="L2095" s="47" t="n"/>
      <c r="M2095" s="47" t="n"/>
      <c r="N2095" s="47" t="n"/>
      <c r="O2095" s="47" t="n"/>
      <c r="P2095" s="47" t="n"/>
      <c r="Q2095" s="47" t="n"/>
      <c r="R2095" s="47" t="n"/>
      <c r="S2095" s="47" t="n"/>
      <c r="T2095" s="47" t="n"/>
      <c r="U2095" s="53" t="n"/>
      <c r="V2095" s="53" t="n"/>
      <c r="W2095" s="47" t="n"/>
      <c r="X2095" s="47" t="n"/>
      <c r="Y2095" s="47" t="n"/>
      <c r="Z2095" s="47" t="n"/>
      <c r="AA2095" s="47" t="n"/>
      <c r="AB2095" s="47" t="n"/>
      <c r="AC2095" s="47" t="n"/>
      <c r="AD2095" s="47" t="n"/>
      <c r="AE2095" s="47" t="n"/>
      <c r="AF2095" s="20">
        <f>IF(A2095="","",YEAR(EDATE(A2095,-3)))</f>
        <v/>
      </c>
      <c r="AG2095" s="20">
        <f>IF(OR(B2095="",'経歴簿'!$C$4=""),"",IF(B2095&amp;""='経歴簿'!$C$4&amp;"",MAX($AG$4:AG2094)+1,""))</f>
        <v/>
      </c>
      <c r="AH2095" s="20">
        <f>IF(A2095="",0,IF(AND(OR('CSV抽出'!$C$4="",A2095&gt;='CSV抽出'!$C$4),OR('CSV抽出'!$C$5="",A2095&lt;='CSV抽出'!$C$5),OR('CSV抽出'!$C$6="すべて",'CSV抽出'!$C$6="",D2095='CSV抽出'!$C$6),OR('CSV抽出'!$C$7="",B2095&amp;""='CSV抽出'!$C$7&amp;"")),1,0))</f>
        <v/>
      </c>
      <c r="AI2095" s="20">
        <f>IF(AH2095=1,SUM($AH$5:AH2095),"")</f>
        <v/>
      </c>
      <c r="AJ2095" s="20">
        <f>IF(OR(S2095="",'報告書'!$C$4=""),"",IF(S2095&amp;""='報告書'!$C$4&amp;"",COUNTIF($S$5:S2095,'報告書'!$C$4),""))</f>
        <v/>
      </c>
      <c r="AK2095" s="20" t="n"/>
      <c r="AL2095" s="47" t="n"/>
      <c r="AM2095" s="47" t="n"/>
      <c r="AN2095" s="53" t="n"/>
      <c r="AO2095" s="47" t="n"/>
      <c r="AP2095" s="47" t="n"/>
      <c r="AQ2095" s="47" t="n"/>
      <c r="AR2095" s="47" t="n"/>
      <c r="AS2095" s="47" t="n"/>
      <c r="AT2095" s="47" t="n"/>
      <c r="AU2095" s="47" t="n"/>
      <c r="AV2095" s="47" t="n"/>
      <c r="AW2095" s="52" t="n"/>
    </row>
    <row r="2096">
      <c r="A2096" s="48" t="n"/>
      <c r="B2096" s="52" t="n"/>
      <c r="C2096" s="47">
        <f>IF(B2096="","",IFERROR(INDEX('隊員マスタ'!$B$5:$B$204,MATCH(B2096&amp;"",'隊員マスタ'!$F$5:$F$204,0)),IF(AK2096="","番号なし",AK2096)))</f>
        <v/>
      </c>
      <c r="D2096" s="47" t="n"/>
      <c r="E2096" s="47" t="n"/>
      <c r="F2096" s="47" t="n"/>
      <c r="G2096" s="47" t="n"/>
      <c r="H2096" s="47" t="n"/>
      <c r="I2096" s="47" t="n"/>
      <c r="J2096" s="47" t="n"/>
      <c r="K2096" s="47" t="n"/>
      <c r="L2096" s="47" t="n"/>
      <c r="M2096" s="47" t="n"/>
      <c r="N2096" s="47" t="n"/>
      <c r="O2096" s="47" t="n"/>
      <c r="P2096" s="47" t="n"/>
      <c r="Q2096" s="47" t="n"/>
      <c r="R2096" s="47" t="n"/>
      <c r="S2096" s="47" t="n"/>
      <c r="T2096" s="47" t="n"/>
      <c r="U2096" s="53" t="n"/>
      <c r="V2096" s="53" t="n"/>
      <c r="W2096" s="47" t="n"/>
      <c r="X2096" s="47" t="n"/>
      <c r="Y2096" s="47" t="n"/>
      <c r="Z2096" s="47" t="n"/>
      <c r="AA2096" s="47" t="n"/>
      <c r="AB2096" s="47" t="n"/>
      <c r="AC2096" s="47" t="n"/>
      <c r="AD2096" s="47" t="n"/>
      <c r="AE2096" s="47" t="n"/>
      <c r="AF2096" s="20">
        <f>IF(A2096="","",YEAR(EDATE(A2096,-3)))</f>
        <v/>
      </c>
      <c r="AG2096" s="20">
        <f>IF(OR(B2096="",'経歴簿'!$C$4=""),"",IF(B2096&amp;""='経歴簿'!$C$4&amp;"",MAX($AG$4:AG2095)+1,""))</f>
        <v/>
      </c>
      <c r="AH2096" s="20">
        <f>IF(A2096="",0,IF(AND(OR('CSV抽出'!$C$4="",A2096&gt;='CSV抽出'!$C$4),OR('CSV抽出'!$C$5="",A2096&lt;='CSV抽出'!$C$5),OR('CSV抽出'!$C$6="すべて",'CSV抽出'!$C$6="",D2096='CSV抽出'!$C$6),OR('CSV抽出'!$C$7="",B2096&amp;""='CSV抽出'!$C$7&amp;"")),1,0))</f>
        <v/>
      </c>
      <c r="AI2096" s="20">
        <f>IF(AH2096=1,SUM($AH$5:AH2096),"")</f>
        <v/>
      </c>
      <c r="AJ2096" s="20">
        <f>IF(OR(S2096="",'報告書'!$C$4=""),"",IF(S2096&amp;""='報告書'!$C$4&amp;"",COUNTIF($S$5:S2096,'報告書'!$C$4),""))</f>
        <v/>
      </c>
      <c r="AK2096" s="20" t="n"/>
      <c r="AL2096" s="47" t="n"/>
      <c r="AM2096" s="47" t="n"/>
      <c r="AN2096" s="53" t="n"/>
      <c r="AO2096" s="47" t="n"/>
      <c r="AP2096" s="47" t="n"/>
      <c r="AQ2096" s="47" t="n"/>
      <c r="AR2096" s="47" t="n"/>
      <c r="AS2096" s="47" t="n"/>
      <c r="AT2096" s="47" t="n"/>
      <c r="AU2096" s="47" t="n"/>
      <c r="AV2096" s="47" t="n"/>
      <c r="AW2096" s="52" t="n"/>
    </row>
    <row r="2097">
      <c r="A2097" s="48" t="n"/>
      <c r="B2097" s="52" t="n"/>
      <c r="C2097" s="47">
        <f>IF(B2097="","",IFERROR(INDEX('隊員マスタ'!$B$5:$B$204,MATCH(B2097&amp;"",'隊員マスタ'!$F$5:$F$204,0)),IF(AK2097="","番号なし",AK2097)))</f>
        <v/>
      </c>
      <c r="D2097" s="47" t="n"/>
      <c r="E2097" s="47" t="n"/>
      <c r="F2097" s="47" t="n"/>
      <c r="G2097" s="47" t="n"/>
      <c r="H2097" s="47" t="n"/>
      <c r="I2097" s="47" t="n"/>
      <c r="J2097" s="47" t="n"/>
      <c r="K2097" s="47" t="n"/>
      <c r="L2097" s="47" t="n"/>
      <c r="M2097" s="47" t="n"/>
      <c r="N2097" s="47" t="n"/>
      <c r="O2097" s="47" t="n"/>
      <c r="P2097" s="47" t="n"/>
      <c r="Q2097" s="47" t="n"/>
      <c r="R2097" s="47" t="n"/>
      <c r="S2097" s="47" t="n"/>
      <c r="T2097" s="47" t="n"/>
      <c r="U2097" s="53" t="n"/>
      <c r="V2097" s="53" t="n"/>
      <c r="W2097" s="47" t="n"/>
      <c r="X2097" s="47" t="n"/>
      <c r="Y2097" s="47" t="n"/>
      <c r="Z2097" s="47" t="n"/>
      <c r="AA2097" s="47" t="n"/>
      <c r="AB2097" s="47" t="n"/>
      <c r="AC2097" s="47" t="n"/>
      <c r="AD2097" s="47" t="n"/>
      <c r="AE2097" s="47" t="n"/>
      <c r="AF2097" s="20">
        <f>IF(A2097="","",YEAR(EDATE(A2097,-3)))</f>
        <v/>
      </c>
      <c r="AG2097" s="20">
        <f>IF(OR(B2097="",'経歴簿'!$C$4=""),"",IF(B2097&amp;""='経歴簿'!$C$4&amp;"",MAX($AG$4:AG2096)+1,""))</f>
        <v/>
      </c>
      <c r="AH2097" s="20">
        <f>IF(A2097="",0,IF(AND(OR('CSV抽出'!$C$4="",A2097&gt;='CSV抽出'!$C$4),OR('CSV抽出'!$C$5="",A2097&lt;='CSV抽出'!$C$5),OR('CSV抽出'!$C$6="すべて",'CSV抽出'!$C$6="",D2097='CSV抽出'!$C$6),OR('CSV抽出'!$C$7="",B2097&amp;""='CSV抽出'!$C$7&amp;"")),1,0))</f>
        <v/>
      </c>
      <c r="AI2097" s="20">
        <f>IF(AH2097=1,SUM($AH$5:AH2097),"")</f>
        <v/>
      </c>
      <c r="AJ2097" s="20">
        <f>IF(OR(S2097="",'報告書'!$C$4=""),"",IF(S2097&amp;""='報告書'!$C$4&amp;"",COUNTIF($S$5:S2097,'報告書'!$C$4),""))</f>
        <v/>
      </c>
      <c r="AK2097" s="20" t="n"/>
      <c r="AL2097" s="47" t="n"/>
      <c r="AM2097" s="47" t="n"/>
      <c r="AN2097" s="53" t="n"/>
      <c r="AO2097" s="47" t="n"/>
      <c r="AP2097" s="47" t="n"/>
      <c r="AQ2097" s="47" t="n"/>
      <c r="AR2097" s="47" t="n"/>
      <c r="AS2097" s="47" t="n"/>
      <c r="AT2097" s="47" t="n"/>
      <c r="AU2097" s="47" t="n"/>
      <c r="AV2097" s="47" t="n"/>
      <c r="AW2097" s="52" t="n"/>
    </row>
    <row r="2098">
      <c r="A2098" s="48" t="n"/>
      <c r="B2098" s="52" t="n"/>
      <c r="C2098" s="47">
        <f>IF(B2098="","",IFERROR(INDEX('隊員マスタ'!$B$5:$B$204,MATCH(B2098&amp;"",'隊員マスタ'!$F$5:$F$204,0)),IF(AK2098="","番号なし",AK2098)))</f>
        <v/>
      </c>
      <c r="D2098" s="47" t="n"/>
      <c r="E2098" s="47" t="n"/>
      <c r="F2098" s="47" t="n"/>
      <c r="G2098" s="47" t="n"/>
      <c r="H2098" s="47" t="n"/>
      <c r="I2098" s="47" t="n"/>
      <c r="J2098" s="47" t="n"/>
      <c r="K2098" s="47" t="n"/>
      <c r="L2098" s="47" t="n"/>
      <c r="M2098" s="47" t="n"/>
      <c r="N2098" s="47" t="n"/>
      <c r="O2098" s="47" t="n"/>
      <c r="P2098" s="47" t="n"/>
      <c r="Q2098" s="47" t="n"/>
      <c r="R2098" s="47" t="n"/>
      <c r="S2098" s="47" t="n"/>
      <c r="T2098" s="47" t="n"/>
      <c r="U2098" s="53" t="n"/>
      <c r="V2098" s="53" t="n"/>
      <c r="W2098" s="47" t="n"/>
      <c r="X2098" s="47" t="n"/>
      <c r="Y2098" s="47" t="n"/>
      <c r="Z2098" s="47" t="n"/>
      <c r="AA2098" s="47" t="n"/>
      <c r="AB2098" s="47" t="n"/>
      <c r="AC2098" s="47" t="n"/>
      <c r="AD2098" s="47" t="n"/>
      <c r="AE2098" s="47" t="n"/>
      <c r="AF2098" s="20">
        <f>IF(A2098="","",YEAR(EDATE(A2098,-3)))</f>
        <v/>
      </c>
      <c r="AG2098" s="20">
        <f>IF(OR(B2098="",'経歴簿'!$C$4=""),"",IF(B2098&amp;""='経歴簿'!$C$4&amp;"",MAX($AG$4:AG2097)+1,""))</f>
        <v/>
      </c>
      <c r="AH2098" s="20">
        <f>IF(A2098="",0,IF(AND(OR('CSV抽出'!$C$4="",A2098&gt;='CSV抽出'!$C$4),OR('CSV抽出'!$C$5="",A2098&lt;='CSV抽出'!$C$5),OR('CSV抽出'!$C$6="すべて",'CSV抽出'!$C$6="",D2098='CSV抽出'!$C$6),OR('CSV抽出'!$C$7="",B2098&amp;""='CSV抽出'!$C$7&amp;"")),1,0))</f>
        <v/>
      </c>
      <c r="AI2098" s="20">
        <f>IF(AH2098=1,SUM($AH$5:AH2098),"")</f>
        <v/>
      </c>
      <c r="AJ2098" s="20">
        <f>IF(OR(S2098="",'報告書'!$C$4=""),"",IF(S2098&amp;""='報告書'!$C$4&amp;"",COUNTIF($S$5:S2098,'報告書'!$C$4),""))</f>
        <v/>
      </c>
      <c r="AK2098" s="20" t="n"/>
      <c r="AL2098" s="47" t="n"/>
      <c r="AM2098" s="47" t="n"/>
      <c r="AN2098" s="53" t="n"/>
      <c r="AO2098" s="47" t="n"/>
      <c r="AP2098" s="47" t="n"/>
      <c r="AQ2098" s="47" t="n"/>
      <c r="AR2098" s="47" t="n"/>
      <c r="AS2098" s="47" t="n"/>
      <c r="AT2098" s="47" t="n"/>
      <c r="AU2098" s="47" t="n"/>
      <c r="AV2098" s="47" t="n"/>
      <c r="AW2098" s="52" t="n"/>
    </row>
    <row r="2099">
      <c r="A2099" s="48" t="n"/>
      <c r="B2099" s="52" t="n"/>
      <c r="C2099" s="47">
        <f>IF(B2099="","",IFERROR(INDEX('隊員マスタ'!$B$5:$B$204,MATCH(B2099&amp;"",'隊員マスタ'!$F$5:$F$204,0)),IF(AK2099="","番号なし",AK2099)))</f>
        <v/>
      </c>
      <c r="D2099" s="47" t="n"/>
      <c r="E2099" s="47" t="n"/>
      <c r="F2099" s="47" t="n"/>
      <c r="G2099" s="47" t="n"/>
      <c r="H2099" s="47" t="n"/>
      <c r="I2099" s="47" t="n"/>
      <c r="J2099" s="47" t="n"/>
      <c r="K2099" s="47" t="n"/>
      <c r="L2099" s="47" t="n"/>
      <c r="M2099" s="47" t="n"/>
      <c r="N2099" s="47" t="n"/>
      <c r="O2099" s="47" t="n"/>
      <c r="P2099" s="47" t="n"/>
      <c r="Q2099" s="47" t="n"/>
      <c r="R2099" s="47" t="n"/>
      <c r="S2099" s="47" t="n"/>
      <c r="T2099" s="47" t="n"/>
      <c r="U2099" s="53" t="n"/>
      <c r="V2099" s="53" t="n"/>
      <c r="W2099" s="47" t="n"/>
      <c r="X2099" s="47" t="n"/>
      <c r="Y2099" s="47" t="n"/>
      <c r="Z2099" s="47" t="n"/>
      <c r="AA2099" s="47" t="n"/>
      <c r="AB2099" s="47" t="n"/>
      <c r="AC2099" s="47" t="n"/>
      <c r="AD2099" s="47" t="n"/>
      <c r="AE2099" s="47" t="n"/>
      <c r="AF2099" s="20">
        <f>IF(A2099="","",YEAR(EDATE(A2099,-3)))</f>
        <v/>
      </c>
      <c r="AG2099" s="20">
        <f>IF(OR(B2099="",'経歴簿'!$C$4=""),"",IF(B2099&amp;""='経歴簿'!$C$4&amp;"",MAX($AG$4:AG2098)+1,""))</f>
        <v/>
      </c>
      <c r="AH2099" s="20">
        <f>IF(A2099="",0,IF(AND(OR('CSV抽出'!$C$4="",A2099&gt;='CSV抽出'!$C$4),OR('CSV抽出'!$C$5="",A2099&lt;='CSV抽出'!$C$5),OR('CSV抽出'!$C$6="すべて",'CSV抽出'!$C$6="",D2099='CSV抽出'!$C$6),OR('CSV抽出'!$C$7="",B2099&amp;""='CSV抽出'!$C$7&amp;"")),1,0))</f>
        <v/>
      </c>
      <c r="AI2099" s="20">
        <f>IF(AH2099=1,SUM($AH$5:AH2099),"")</f>
        <v/>
      </c>
      <c r="AJ2099" s="20">
        <f>IF(OR(S2099="",'報告書'!$C$4=""),"",IF(S2099&amp;""='報告書'!$C$4&amp;"",COUNTIF($S$5:S2099,'報告書'!$C$4),""))</f>
        <v/>
      </c>
      <c r="AK2099" s="20" t="n"/>
      <c r="AL2099" s="47" t="n"/>
      <c r="AM2099" s="47" t="n"/>
      <c r="AN2099" s="53" t="n"/>
      <c r="AO2099" s="47" t="n"/>
      <c r="AP2099" s="47" t="n"/>
      <c r="AQ2099" s="47" t="n"/>
      <c r="AR2099" s="47" t="n"/>
      <c r="AS2099" s="47" t="n"/>
      <c r="AT2099" s="47" t="n"/>
      <c r="AU2099" s="47" t="n"/>
      <c r="AV2099" s="47" t="n"/>
      <c r="AW2099" s="52" t="n"/>
    </row>
    <row r="2100">
      <c r="A2100" s="48" t="n"/>
      <c r="B2100" s="52" t="n"/>
      <c r="C2100" s="47">
        <f>IF(B2100="","",IFERROR(INDEX('隊員マスタ'!$B$5:$B$204,MATCH(B2100&amp;"",'隊員マスタ'!$F$5:$F$204,0)),IF(AK2100="","番号なし",AK2100)))</f>
        <v/>
      </c>
      <c r="D2100" s="47" t="n"/>
      <c r="E2100" s="47" t="n"/>
      <c r="F2100" s="47" t="n"/>
      <c r="G2100" s="47" t="n"/>
      <c r="H2100" s="47" t="n"/>
      <c r="I2100" s="47" t="n"/>
      <c r="J2100" s="47" t="n"/>
      <c r="K2100" s="47" t="n"/>
      <c r="L2100" s="47" t="n"/>
      <c r="M2100" s="47" t="n"/>
      <c r="N2100" s="47" t="n"/>
      <c r="O2100" s="47" t="n"/>
      <c r="P2100" s="47" t="n"/>
      <c r="Q2100" s="47" t="n"/>
      <c r="R2100" s="47" t="n"/>
      <c r="S2100" s="47" t="n"/>
      <c r="T2100" s="47" t="n"/>
      <c r="U2100" s="53" t="n"/>
      <c r="V2100" s="53" t="n"/>
      <c r="W2100" s="47" t="n"/>
      <c r="X2100" s="47" t="n"/>
      <c r="Y2100" s="47" t="n"/>
      <c r="Z2100" s="47" t="n"/>
      <c r="AA2100" s="47" t="n"/>
      <c r="AB2100" s="47" t="n"/>
      <c r="AC2100" s="47" t="n"/>
      <c r="AD2100" s="47" t="n"/>
      <c r="AE2100" s="47" t="n"/>
      <c r="AF2100" s="20">
        <f>IF(A2100="","",YEAR(EDATE(A2100,-3)))</f>
        <v/>
      </c>
      <c r="AG2100" s="20">
        <f>IF(OR(B2100="",'経歴簿'!$C$4=""),"",IF(B2100&amp;""='経歴簿'!$C$4&amp;"",MAX($AG$4:AG2099)+1,""))</f>
        <v/>
      </c>
      <c r="AH2100" s="20">
        <f>IF(A2100="",0,IF(AND(OR('CSV抽出'!$C$4="",A2100&gt;='CSV抽出'!$C$4),OR('CSV抽出'!$C$5="",A2100&lt;='CSV抽出'!$C$5),OR('CSV抽出'!$C$6="すべて",'CSV抽出'!$C$6="",D2100='CSV抽出'!$C$6),OR('CSV抽出'!$C$7="",B2100&amp;""='CSV抽出'!$C$7&amp;"")),1,0))</f>
        <v/>
      </c>
      <c r="AI2100" s="20">
        <f>IF(AH2100=1,SUM($AH$5:AH2100),"")</f>
        <v/>
      </c>
      <c r="AJ2100" s="20">
        <f>IF(OR(S2100="",'報告書'!$C$4=""),"",IF(S2100&amp;""='報告書'!$C$4&amp;"",COUNTIF($S$5:S2100,'報告書'!$C$4),""))</f>
        <v/>
      </c>
      <c r="AK2100" s="20" t="n"/>
      <c r="AL2100" s="47" t="n"/>
      <c r="AM2100" s="47" t="n"/>
      <c r="AN2100" s="53" t="n"/>
      <c r="AO2100" s="47" t="n"/>
      <c r="AP2100" s="47" t="n"/>
      <c r="AQ2100" s="47" t="n"/>
      <c r="AR2100" s="47" t="n"/>
      <c r="AS2100" s="47" t="n"/>
      <c r="AT2100" s="47" t="n"/>
      <c r="AU2100" s="47" t="n"/>
      <c r="AV2100" s="47" t="n"/>
      <c r="AW2100" s="52" t="n"/>
    </row>
    <row r="2101">
      <c r="A2101" s="48" t="n"/>
      <c r="B2101" s="52" t="n"/>
      <c r="C2101" s="47">
        <f>IF(B2101="","",IFERROR(INDEX('隊員マスタ'!$B$5:$B$204,MATCH(B2101&amp;"",'隊員マスタ'!$F$5:$F$204,0)),IF(AK2101="","番号なし",AK2101)))</f>
        <v/>
      </c>
      <c r="D2101" s="47" t="n"/>
      <c r="E2101" s="47" t="n"/>
      <c r="F2101" s="47" t="n"/>
      <c r="G2101" s="47" t="n"/>
      <c r="H2101" s="47" t="n"/>
      <c r="I2101" s="47" t="n"/>
      <c r="J2101" s="47" t="n"/>
      <c r="K2101" s="47" t="n"/>
      <c r="L2101" s="47" t="n"/>
      <c r="M2101" s="47" t="n"/>
      <c r="N2101" s="47" t="n"/>
      <c r="O2101" s="47" t="n"/>
      <c r="P2101" s="47" t="n"/>
      <c r="Q2101" s="47" t="n"/>
      <c r="R2101" s="47" t="n"/>
      <c r="S2101" s="47" t="n"/>
      <c r="T2101" s="47" t="n"/>
      <c r="U2101" s="53" t="n"/>
      <c r="V2101" s="53" t="n"/>
      <c r="W2101" s="47" t="n"/>
      <c r="X2101" s="47" t="n"/>
      <c r="Y2101" s="47" t="n"/>
      <c r="Z2101" s="47" t="n"/>
      <c r="AA2101" s="47" t="n"/>
      <c r="AB2101" s="47" t="n"/>
      <c r="AC2101" s="47" t="n"/>
      <c r="AD2101" s="47" t="n"/>
      <c r="AE2101" s="47" t="n"/>
      <c r="AF2101" s="20">
        <f>IF(A2101="","",YEAR(EDATE(A2101,-3)))</f>
        <v/>
      </c>
      <c r="AG2101" s="20">
        <f>IF(OR(B2101="",'経歴簿'!$C$4=""),"",IF(B2101&amp;""='経歴簿'!$C$4&amp;"",MAX($AG$4:AG2100)+1,""))</f>
        <v/>
      </c>
      <c r="AH2101" s="20">
        <f>IF(A2101="",0,IF(AND(OR('CSV抽出'!$C$4="",A2101&gt;='CSV抽出'!$C$4),OR('CSV抽出'!$C$5="",A2101&lt;='CSV抽出'!$C$5),OR('CSV抽出'!$C$6="すべて",'CSV抽出'!$C$6="",D2101='CSV抽出'!$C$6),OR('CSV抽出'!$C$7="",B2101&amp;""='CSV抽出'!$C$7&amp;"")),1,0))</f>
        <v/>
      </c>
      <c r="AI2101" s="20">
        <f>IF(AH2101=1,SUM($AH$5:AH2101),"")</f>
        <v/>
      </c>
      <c r="AJ2101" s="20">
        <f>IF(OR(S2101="",'報告書'!$C$4=""),"",IF(S2101&amp;""='報告書'!$C$4&amp;"",COUNTIF($S$5:S2101,'報告書'!$C$4),""))</f>
        <v/>
      </c>
      <c r="AK2101" s="20" t="n"/>
      <c r="AL2101" s="47" t="n"/>
      <c r="AM2101" s="47" t="n"/>
      <c r="AN2101" s="53" t="n"/>
      <c r="AO2101" s="47" t="n"/>
      <c r="AP2101" s="47" t="n"/>
      <c r="AQ2101" s="47" t="n"/>
      <c r="AR2101" s="47" t="n"/>
      <c r="AS2101" s="47" t="n"/>
      <c r="AT2101" s="47" t="n"/>
      <c r="AU2101" s="47" t="n"/>
      <c r="AV2101" s="47" t="n"/>
      <c r="AW2101" s="52" t="n"/>
    </row>
    <row r="2102">
      <c r="A2102" s="48" t="n"/>
      <c r="B2102" s="52" t="n"/>
      <c r="C2102" s="47">
        <f>IF(B2102="","",IFERROR(INDEX('隊員マスタ'!$B$5:$B$204,MATCH(B2102&amp;"",'隊員マスタ'!$F$5:$F$204,0)),IF(AK2102="","番号なし",AK2102)))</f>
        <v/>
      </c>
      <c r="D2102" s="47" t="n"/>
      <c r="E2102" s="47" t="n"/>
      <c r="F2102" s="47" t="n"/>
      <c r="G2102" s="47" t="n"/>
      <c r="H2102" s="47" t="n"/>
      <c r="I2102" s="47" t="n"/>
      <c r="J2102" s="47" t="n"/>
      <c r="K2102" s="47" t="n"/>
      <c r="L2102" s="47" t="n"/>
      <c r="M2102" s="47" t="n"/>
      <c r="N2102" s="47" t="n"/>
      <c r="O2102" s="47" t="n"/>
      <c r="P2102" s="47" t="n"/>
      <c r="Q2102" s="47" t="n"/>
      <c r="R2102" s="47" t="n"/>
      <c r="S2102" s="47" t="n"/>
      <c r="T2102" s="47" t="n"/>
      <c r="U2102" s="53" t="n"/>
      <c r="V2102" s="53" t="n"/>
      <c r="W2102" s="47" t="n"/>
      <c r="X2102" s="47" t="n"/>
      <c r="Y2102" s="47" t="n"/>
      <c r="Z2102" s="47" t="n"/>
      <c r="AA2102" s="47" t="n"/>
      <c r="AB2102" s="47" t="n"/>
      <c r="AC2102" s="47" t="n"/>
      <c r="AD2102" s="47" t="n"/>
      <c r="AE2102" s="47" t="n"/>
      <c r="AF2102" s="20">
        <f>IF(A2102="","",YEAR(EDATE(A2102,-3)))</f>
        <v/>
      </c>
      <c r="AG2102" s="20">
        <f>IF(OR(B2102="",'経歴簿'!$C$4=""),"",IF(B2102&amp;""='経歴簿'!$C$4&amp;"",MAX($AG$4:AG2101)+1,""))</f>
        <v/>
      </c>
      <c r="AH2102" s="20">
        <f>IF(A2102="",0,IF(AND(OR('CSV抽出'!$C$4="",A2102&gt;='CSV抽出'!$C$4),OR('CSV抽出'!$C$5="",A2102&lt;='CSV抽出'!$C$5),OR('CSV抽出'!$C$6="すべて",'CSV抽出'!$C$6="",D2102='CSV抽出'!$C$6),OR('CSV抽出'!$C$7="",B2102&amp;""='CSV抽出'!$C$7&amp;"")),1,0))</f>
        <v/>
      </c>
      <c r="AI2102" s="20">
        <f>IF(AH2102=1,SUM($AH$5:AH2102),"")</f>
        <v/>
      </c>
      <c r="AJ2102" s="20">
        <f>IF(OR(S2102="",'報告書'!$C$4=""),"",IF(S2102&amp;""='報告書'!$C$4&amp;"",COUNTIF($S$5:S2102,'報告書'!$C$4),""))</f>
        <v/>
      </c>
      <c r="AK2102" s="20" t="n"/>
      <c r="AL2102" s="47" t="n"/>
      <c r="AM2102" s="47" t="n"/>
      <c r="AN2102" s="53" t="n"/>
      <c r="AO2102" s="47" t="n"/>
      <c r="AP2102" s="47" t="n"/>
      <c r="AQ2102" s="47" t="n"/>
      <c r="AR2102" s="47" t="n"/>
      <c r="AS2102" s="47" t="n"/>
      <c r="AT2102" s="47" t="n"/>
      <c r="AU2102" s="47" t="n"/>
      <c r="AV2102" s="47" t="n"/>
      <c r="AW2102" s="52" t="n"/>
    </row>
    <row r="2103">
      <c r="A2103" s="48" t="n"/>
      <c r="B2103" s="52" t="n"/>
      <c r="C2103" s="47">
        <f>IF(B2103="","",IFERROR(INDEX('隊員マスタ'!$B$5:$B$204,MATCH(B2103&amp;"",'隊員マスタ'!$F$5:$F$204,0)),IF(AK2103="","番号なし",AK2103)))</f>
        <v/>
      </c>
      <c r="D2103" s="47" t="n"/>
      <c r="E2103" s="47" t="n"/>
      <c r="F2103" s="47" t="n"/>
      <c r="G2103" s="47" t="n"/>
      <c r="H2103" s="47" t="n"/>
      <c r="I2103" s="47" t="n"/>
      <c r="J2103" s="47" t="n"/>
      <c r="K2103" s="47" t="n"/>
      <c r="L2103" s="47" t="n"/>
      <c r="M2103" s="47" t="n"/>
      <c r="N2103" s="47" t="n"/>
      <c r="O2103" s="47" t="n"/>
      <c r="P2103" s="47" t="n"/>
      <c r="Q2103" s="47" t="n"/>
      <c r="R2103" s="47" t="n"/>
      <c r="S2103" s="47" t="n"/>
      <c r="T2103" s="47" t="n"/>
      <c r="U2103" s="53" t="n"/>
      <c r="V2103" s="53" t="n"/>
      <c r="W2103" s="47" t="n"/>
      <c r="X2103" s="47" t="n"/>
      <c r="Y2103" s="47" t="n"/>
      <c r="Z2103" s="47" t="n"/>
      <c r="AA2103" s="47" t="n"/>
      <c r="AB2103" s="47" t="n"/>
      <c r="AC2103" s="47" t="n"/>
      <c r="AD2103" s="47" t="n"/>
      <c r="AE2103" s="47" t="n"/>
      <c r="AF2103" s="20">
        <f>IF(A2103="","",YEAR(EDATE(A2103,-3)))</f>
        <v/>
      </c>
      <c r="AG2103" s="20">
        <f>IF(OR(B2103="",'経歴簿'!$C$4=""),"",IF(B2103&amp;""='経歴簿'!$C$4&amp;"",MAX($AG$4:AG2102)+1,""))</f>
        <v/>
      </c>
      <c r="AH2103" s="20">
        <f>IF(A2103="",0,IF(AND(OR('CSV抽出'!$C$4="",A2103&gt;='CSV抽出'!$C$4),OR('CSV抽出'!$C$5="",A2103&lt;='CSV抽出'!$C$5),OR('CSV抽出'!$C$6="すべて",'CSV抽出'!$C$6="",D2103='CSV抽出'!$C$6),OR('CSV抽出'!$C$7="",B2103&amp;""='CSV抽出'!$C$7&amp;"")),1,0))</f>
        <v/>
      </c>
      <c r="AI2103" s="20">
        <f>IF(AH2103=1,SUM($AH$5:AH2103),"")</f>
        <v/>
      </c>
      <c r="AJ2103" s="20">
        <f>IF(OR(S2103="",'報告書'!$C$4=""),"",IF(S2103&amp;""='報告書'!$C$4&amp;"",COUNTIF($S$5:S2103,'報告書'!$C$4),""))</f>
        <v/>
      </c>
      <c r="AK2103" s="20" t="n"/>
      <c r="AL2103" s="47" t="n"/>
      <c r="AM2103" s="47" t="n"/>
      <c r="AN2103" s="53" t="n"/>
      <c r="AO2103" s="47" t="n"/>
      <c r="AP2103" s="47" t="n"/>
      <c r="AQ2103" s="47" t="n"/>
      <c r="AR2103" s="47" t="n"/>
      <c r="AS2103" s="47" t="n"/>
      <c r="AT2103" s="47" t="n"/>
      <c r="AU2103" s="47" t="n"/>
      <c r="AV2103" s="47" t="n"/>
      <c r="AW2103" s="52" t="n"/>
    </row>
    <row r="2104">
      <c r="A2104" s="48" t="n"/>
      <c r="B2104" s="52" t="n"/>
      <c r="C2104" s="47">
        <f>IF(B2104="","",IFERROR(INDEX('隊員マスタ'!$B$5:$B$204,MATCH(B2104&amp;"",'隊員マスタ'!$F$5:$F$204,0)),IF(AK2104="","番号なし",AK2104)))</f>
        <v/>
      </c>
      <c r="D2104" s="47" t="n"/>
      <c r="E2104" s="47" t="n"/>
      <c r="F2104" s="47" t="n"/>
      <c r="G2104" s="47" t="n"/>
      <c r="H2104" s="47" t="n"/>
      <c r="I2104" s="47" t="n"/>
      <c r="J2104" s="47" t="n"/>
      <c r="K2104" s="47" t="n"/>
      <c r="L2104" s="47" t="n"/>
      <c r="M2104" s="47" t="n"/>
      <c r="N2104" s="47" t="n"/>
      <c r="O2104" s="47" t="n"/>
      <c r="P2104" s="47" t="n"/>
      <c r="Q2104" s="47" t="n"/>
      <c r="R2104" s="47" t="n"/>
      <c r="S2104" s="47" t="n"/>
      <c r="T2104" s="47" t="n"/>
      <c r="U2104" s="53" t="n"/>
      <c r="V2104" s="53" t="n"/>
      <c r="W2104" s="47" t="n"/>
      <c r="X2104" s="47" t="n"/>
      <c r="Y2104" s="47" t="n"/>
      <c r="Z2104" s="47" t="n"/>
      <c r="AA2104" s="47" t="n"/>
      <c r="AB2104" s="47" t="n"/>
      <c r="AC2104" s="47" t="n"/>
      <c r="AD2104" s="47" t="n"/>
      <c r="AE2104" s="47" t="n"/>
      <c r="AF2104" s="20">
        <f>IF(A2104="","",YEAR(EDATE(A2104,-3)))</f>
        <v/>
      </c>
      <c r="AG2104" s="20">
        <f>IF(OR(B2104="",'経歴簿'!$C$4=""),"",IF(B2104&amp;""='経歴簿'!$C$4&amp;"",MAX($AG$4:AG2103)+1,""))</f>
        <v/>
      </c>
      <c r="AH2104" s="20">
        <f>IF(A2104="",0,IF(AND(OR('CSV抽出'!$C$4="",A2104&gt;='CSV抽出'!$C$4),OR('CSV抽出'!$C$5="",A2104&lt;='CSV抽出'!$C$5),OR('CSV抽出'!$C$6="すべて",'CSV抽出'!$C$6="",D2104='CSV抽出'!$C$6),OR('CSV抽出'!$C$7="",B2104&amp;""='CSV抽出'!$C$7&amp;"")),1,0))</f>
        <v/>
      </c>
      <c r="AI2104" s="20">
        <f>IF(AH2104=1,SUM($AH$5:AH2104),"")</f>
        <v/>
      </c>
      <c r="AJ2104" s="20">
        <f>IF(OR(S2104="",'報告書'!$C$4=""),"",IF(S2104&amp;""='報告書'!$C$4&amp;"",COUNTIF($S$5:S2104,'報告書'!$C$4),""))</f>
        <v/>
      </c>
      <c r="AK2104" s="20" t="n"/>
      <c r="AL2104" s="47" t="n"/>
      <c r="AM2104" s="47" t="n"/>
      <c r="AN2104" s="53" t="n"/>
      <c r="AO2104" s="47" t="n"/>
      <c r="AP2104" s="47" t="n"/>
      <c r="AQ2104" s="47" t="n"/>
      <c r="AR2104" s="47" t="n"/>
      <c r="AS2104" s="47" t="n"/>
      <c r="AT2104" s="47" t="n"/>
      <c r="AU2104" s="47" t="n"/>
      <c r="AV2104" s="47" t="n"/>
      <c r="AW2104" s="52" t="n"/>
    </row>
    <row r="2105">
      <c r="A2105" s="48" t="n"/>
      <c r="B2105" s="52" t="n"/>
      <c r="C2105" s="47">
        <f>IF(B2105="","",IFERROR(INDEX('隊員マスタ'!$B$5:$B$204,MATCH(B2105&amp;"",'隊員マスタ'!$F$5:$F$204,0)),IF(AK2105="","番号なし",AK2105)))</f>
        <v/>
      </c>
      <c r="D2105" s="47" t="n"/>
      <c r="E2105" s="47" t="n"/>
      <c r="F2105" s="47" t="n"/>
      <c r="G2105" s="47" t="n"/>
      <c r="H2105" s="47" t="n"/>
      <c r="I2105" s="47" t="n"/>
      <c r="J2105" s="47" t="n"/>
      <c r="K2105" s="47" t="n"/>
      <c r="L2105" s="47" t="n"/>
      <c r="M2105" s="47" t="n"/>
      <c r="N2105" s="47" t="n"/>
      <c r="O2105" s="47" t="n"/>
      <c r="P2105" s="47" t="n"/>
      <c r="Q2105" s="47" t="n"/>
      <c r="R2105" s="47" t="n"/>
      <c r="S2105" s="47" t="n"/>
      <c r="T2105" s="47" t="n"/>
      <c r="U2105" s="53" t="n"/>
      <c r="V2105" s="53" t="n"/>
      <c r="W2105" s="47" t="n"/>
      <c r="X2105" s="47" t="n"/>
      <c r="Y2105" s="47" t="n"/>
      <c r="Z2105" s="47" t="n"/>
      <c r="AA2105" s="47" t="n"/>
      <c r="AB2105" s="47" t="n"/>
      <c r="AC2105" s="47" t="n"/>
      <c r="AD2105" s="47" t="n"/>
      <c r="AE2105" s="47" t="n"/>
      <c r="AF2105" s="20">
        <f>IF(A2105="","",YEAR(EDATE(A2105,-3)))</f>
        <v/>
      </c>
      <c r="AG2105" s="20">
        <f>IF(OR(B2105="",'経歴簿'!$C$4=""),"",IF(B2105&amp;""='経歴簿'!$C$4&amp;"",MAX($AG$4:AG2104)+1,""))</f>
        <v/>
      </c>
      <c r="AH2105" s="20">
        <f>IF(A2105="",0,IF(AND(OR('CSV抽出'!$C$4="",A2105&gt;='CSV抽出'!$C$4),OR('CSV抽出'!$C$5="",A2105&lt;='CSV抽出'!$C$5),OR('CSV抽出'!$C$6="すべて",'CSV抽出'!$C$6="",D2105='CSV抽出'!$C$6),OR('CSV抽出'!$C$7="",B2105&amp;""='CSV抽出'!$C$7&amp;"")),1,0))</f>
        <v/>
      </c>
      <c r="AI2105" s="20">
        <f>IF(AH2105=1,SUM($AH$5:AH2105),"")</f>
        <v/>
      </c>
      <c r="AJ2105" s="20">
        <f>IF(OR(S2105="",'報告書'!$C$4=""),"",IF(S2105&amp;""='報告書'!$C$4&amp;"",COUNTIF($S$5:S2105,'報告書'!$C$4),""))</f>
        <v/>
      </c>
      <c r="AK2105" s="20" t="n"/>
      <c r="AL2105" s="47" t="n"/>
      <c r="AM2105" s="47" t="n"/>
      <c r="AN2105" s="53" t="n"/>
      <c r="AO2105" s="47" t="n"/>
      <c r="AP2105" s="47" t="n"/>
      <c r="AQ2105" s="47" t="n"/>
      <c r="AR2105" s="47" t="n"/>
      <c r="AS2105" s="47" t="n"/>
      <c r="AT2105" s="47" t="n"/>
      <c r="AU2105" s="47" t="n"/>
      <c r="AV2105" s="47" t="n"/>
      <c r="AW2105" s="52" t="n"/>
    </row>
    <row r="2106">
      <c r="A2106" s="48" t="n"/>
      <c r="B2106" s="52" t="n"/>
      <c r="C2106" s="47">
        <f>IF(B2106="","",IFERROR(INDEX('隊員マスタ'!$B$5:$B$204,MATCH(B2106&amp;"",'隊員マスタ'!$F$5:$F$204,0)),IF(AK2106="","番号なし",AK2106)))</f>
        <v/>
      </c>
      <c r="D2106" s="47" t="n"/>
      <c r="E2106" s="47" t="n"/>
      <c r="F2106" s="47" t="n"/>
      <c r="G2106" s="47" t="n"/>
      <c r="H2106" s="47" t="n"/>
      <c r="I2106" s="47" t="n"/>
      <c r="J2106" s="47" t="n"/>
      <c r="K2106" s="47" t="n"/>
      <c r="L2106" s="47" t="n"/>
      <c r="M2106" s="47" t="n"/>
      <c r="N2106" s="47" t="n"/>
      <c r="O2106" s="47" t="n"/>
      <c r="P2106" s="47" t="n"/>
      <c r="Q2106" s="47" t="n"/>
      <c r="R2106" s="47" t="n"/>
      <c r="S2106" s="47" t="n"/>
      <c r="T2106" s="47" t="n"/>
      <c r="U2106" s="53" t="n"/>
      <c r="V2106" s="53" t="n"/>
      <c r="W2106" s="47" t="n"/>
      <c r="X2106" s="47" t="n"/>
      <c r="Y2106" s="47" t="n"/>
      <c r="Z2106" s="47" t="n"/>
      <c r="AA2106" s="47" t="n"/>
      <c r="AB2106" s="47" t="n"/>
      <c r="AC2106" s="47" t="n"/>
      <c r="AD2106" s="47" t="n"/>
      <c r="AE2106" s="47" t="n"/>
      <c r="AF2106" s="20">
        <f>IF(A2106="","",YEAR(EDATE(A2106,-3)))</f>
        <v/>
      </c>
      <c r="AG2106" s="20">
        <f>IF(OR(B2106="",'経歴簿'!$C$4=""),"",IF(B2106&amp;""='経歴簿'!$C$4&amp;"",MAX($AG$4:AG2105)+1,""))</f>
        <v/>
      </c>
      <c r="AH2106" s="20">
        <f>IF(A2106="",0,IF(AND(OR('CSV抽出'!$C$4="",A2106&gt;='CSV抽出'!$C$4),OR('CSV抽出'!$C$5="",A2106&lt;='CSV抽出'!$C$5),OR('CSV抽出'!$C$6="すべて",'CSV抽出'!$C$6="",D2106='CSV抽出'!$C$6),OR('CSV抽出'!$C$7="",B2106&amp;""='CSV抽出'!$C$7&amp;"")),1,0))</f>
        <v/>
      </c>
      <c r="AI2106" s="20">
        <f>IF(AH2106=1,SUM($AH$5:AH2106),"")</f>
        <v/>
      </c>
      <c r="AJ2106" s="20">
        <f>IF(OR(S2106="",'報告書'!$C$4=""),"",IF(S2106&amp;""='報告書'!$C$4&amp;"",COUNTIF($S$5:S2106,'報告書'!$C$4),""))</f>
        <v/>
      </c>
      <c r="AK2106" s="20" t="n"/>
      <c r="AL2106" s="47" t="n"/>
      <c r="AM2106" s="47" t="n"/>
      <c r="AN2106" s="53" t="n"/>
      <c r="AO2106" s="47" t="n"/>
      <c r="AP2106" s="47" t="n"/>
      <c r="AQ2106" s="47" t="n"/>
      <c r="AR2106" s="47" t="n"/>
      <c r="AS2106" s="47" t="n"/>
      <c r="AT2106" s="47" t="n"/>
      <c r="AU2106" s="47" t="n"/>
      <c r="AV2106" s="47" t="n"/>
      <c r="AW2106" s="52" t="n"/>
    </row>
    <row r="2107">
      <c r="A2107" s="48" t="n"/>
      <c r="B2107" s="52" t="n"/>
      <c r="C2107" s="47">
        <f>IF(B2107="","",IFERROR(INDEX('隊員マスタ'!$B$5:$B$204,MATCH(B2107&amp;"",'隊員マスタ'!$F$5:$F$204,0)),IF(AK2107="","番号なし",AK2107)))</f>
        <v/>
      </c>
      <c r="D2107" s="47" t="n"/>
      <c r="E2107" s="47" t="n"/>
      <c r="F2107" s="47" t="n"/>
      <c r="G2107" s="47" t="n"/>
      <c r="H2107" s="47" t="n"/>
      <c r="I2107" s="47" t="n"/>
      <c r="J2107" s="47" t="n"/>
      <c r="K2107" s="47" t="n"/>
      <c r="L2107" s="47" t="n"/>
      <c r="M2107" s="47" t="n"/>
      <c r="N2107" s="47" t="n"/>
      <c r="O2107" s="47" t="n"/>
      <c r="P2107" s="47" t="n"/>
      <c r="Q2107" s="47" t="n"/>
      <c r="R2107" s="47" t="n"/>
      <c r="S2107" s="47" t="n"/>
      <c r="T2107" s="47" t="n"/>
      <c r="U2107" s="53" t="n"/>
      <c r="V2107" s="53" t="n"/>
      <c r="W2107" s="47" t="n"/>
      <c r="X2107" s="47" t="n"/>
      <c r="Y2107" s="47" t="n"/>
      <c r="Z2107" s="47" t="n"/>
      <c r="AA2107" s="47" t="n"/>
      <c r="AB2107" s="47" t="n"/>
      <c r="AC2107" s="47" t="n"/>
      <c r="AD2107" s="47" t="n"/>
      <c r="AE2107" s="47" t="n"/>
      <c r="AF2107" s="20">
        <f>IF(A2107="","",YEAR(EDATE(A2107,-3)))</f>
        <v/>
      </c>
      <c r="AG2107" s="20">
        <f>IF(OR(B2107="",'経歴簿'!$C$4=""),"",IF(B2107&amp;""='経歴簿'!$C$4&amp;"",MAX($AG$4:AG2106)+1,""))</f>
        <v/>
      </c>
      <c r="AH2107" s="20">
        <f>IF(A2107="",0,IF(AND(OR('CSV抽出'!$C$4="",A2107&gt;='CSV抽出'!$C$4),OR('CSV抽出'!$C$5="",A2107&lt;='CSV抽出'!$C$5),OR('CSV抽出'!$C$6="すべて",'CSV抽出'!$C$6="",D2107='CSV抽出'!$C$6),OR('CSV抽出'!$C$7="",B2107&amp;""='CSV抽出'!$C$7&amp;"")),1,0))</f>
        <v/>
      </c>
      <c r="AI2107" s="20">
        <f>IF(AH2107=1,SUM($AH$5:AH2107),"")</f>
        <v/>
      </c>
      <c r="AJ2107" s="20">
        <f>IF(OR(S2107="",'報告書'!$C$4=""),"",IF(S2107&amp;""='報告書'!$C$4&amp;"",COUNTIF($S$5:S2107,'報告書'!$C$4),""))</f>
        <v/>
      </c>
      <c r="AK2107" s="20" t="n"/>
      <c r="AL2107" s="47" t="n"/>
      <c r="AM2107" s="47" t="n"/>
      <c r="AN2107" s="53" t="n"/>
      <c r="AO2107" s="47" t="n"/>
      <c r="AP2107" s="47" t="n"/>
      <c r="AQ2107" s="47" t="n"/>
      <c r="AR2107" s="47" t="n"/>
      <c r="AS2107" s="47" t="n"/>
      <c r="AT2107" s="47" t="n"/>
      <c r="AU2107" s="47" t="n"/>
      <c r="AV2107" s="47" t="n"/>
      <c r="AW2107" s="52" t="n"/>
    </row>
    <row r="2108">
      <c r="A2108" s="48" t="n"/>
      <c r="B2108" s="52" t="n"/>
      <c r="C2108" s="47">
        <f>IF(B2108="","",IFERROR(INDEX('隊員マスタ'!$B$5:$B$204,MATCH(B2108&amp;"",'隊員マスタ'!$F$5:$F$204,0)),IF(AK2108="","番号なし",AK2108)))</f>
        <v/>
      </c>
      <c r="D2108" s="47" t="n"/>
      <c r="E2108" s="47" t="n"/>
      <c r="F2108" s="47" t="n"/>
      <c r="G2108" s="47" t="n"/>
      <c r="H2108" s="47" t="n"/>
      <c r="I2108" s="47" t="n"/>
      <c r="J2108" s="47" t="n"/>
      <c r="K2108" s="47" t="n"/>
      <c r="L2108" s="47" t="n"/>
      <c r="M2108" s="47" t="n"/>
      <c r="N2108" s="47" t="n"/>
      <c r="O2108" s="47" t="n"/>
      <c r="P2108" s="47" t="n"/>
      <c r="Q2108" s="47" t="n"/>
      <c r="R2108" s="47" t="n"/>
      <c r="S2108" s="47" t="n"/>
      <c r="T2108" s="47" t="n"/>
      <c r="U2108" s="53" t="n"/>
      <c r="V2108" s="53" t="n"/>
      <c r="W2108" s="47" t="n"/>
      <c r="X2108" s="47" t="n"/>
      <c r="Y2108" s="47" t="n"/>
      <c r="Z2108" s="47" t="n"/>
      <c r="AA2108" s="47" t="n"/>
      <c r="AB2108" s="47" t="n"/>
      <c r="AC2108" s="47" t="n"/>
      <c r="AD2108" s="47" t="n"/>
      <c r="AE2108" s="47" t="n"/>
      <c r="AF2108" s="20">
        <f>IF(A2108="","",YEAR(EDATE(A2108,-3)))</f>
        <v/>
      </c>
      <c r="AG2108" s="20">
        <f>IF(OR(B2108="",'経歴簿'!$C$4=""),"",IF(B2108&amp;""='経歴簿'!$C$4&amp;"",MAX($AG$4:AG2107)+1,""))</f>
        <v/>
      </c>
      <c r="AH2108" s="20">
        <f>IF(A2108="",0,IF(AND(OR('CSV抽出'!$C$4="",A2108&gt;='CSV抽出'!$C$4),OR('CSV抽出'!$C$5="",A2108&lt;='CSV抽出'!$C$5),OR('CSV抽出'!$C$6="すべて",'CSV抽出'!$C$6="",D2108='CSV抽出'!$C$6),OR('CSV抽出'!$C$7="",B2108&amp;""='CSV抽出'!$C$7&amp;"")),1,0))</f>
        <v/>
      </c>
      <c r="AI2108" s="20">
        <f>IF(AH2108=1,SUM($AH$5:AH2108),"")</f>
        <v/>
      </c>
      <c r="AJ2108" s="20">
        <f>IF(OR(S2108="",'報告書'!$C$4=""),"",IF(S2108&amp;""='報告書'!$C$4&amp;"",COUNTIF($S$5:S2108,'報告書'!$C$4),""))</f>
        <v/>
      </c>
      <c r="AK2108" s="20" t="n"/>
      <c r="AL2108" s="47" t="n"/>
      <c r="AM2108" s="47" t="n"/>
      <c r="AN2108" s="53" t="n"/>
      <c r="AO2108" s="47" t="n"/>
      <c r="AP2108" s="47" t="n"/>
      <c r="AQ2108" s="47" t="n"/>
      <c r="AR2108" s="47" t="n"/>
      <c r="AS2108" s="47" t="n"/>
      <c r="AT2108" s="47" t="n"/>
      <c r="AU2108" s="47" t="n"/>
      <c r="AV2108" s="47" t="n"/>
      <c r="AW2108" s="52" t="n"/>
    </row>
    <row r="2109">
      <c r="A2109" s="48" t="n"/>
      <c r="B2109" s="52" t="n"/>
      <c r="C2109" s="47">
        <f>IF(B2109="","",IFERROR(INDEX('隊員マスタ'!$B$5:$B$204,MATCH(B2109&amp;"",'隊員マスタ'!$F$5:$F$204,0)),IF(AK2109="","番号なし",AK2109)))</f>
        <v/>
      </c>
      <c r="D2109" s="47" t="n"/>
      <c r="E2109" s="47" t="n"/>
      <c r="F2109" s="47" t="n"/>
      <c r="G2109" s="47" t="n"/>
      <c r="H2109" s="47" t="n"/>
      <c r="I2109" s="47" t="n"/>
      <c r="J2109" s="47" t="n"/>
      <c r="K2109" s="47" t="n"/>
      <c r="L2109" s="47" t="n"/>
      <c r="M2109" s="47" t="n"/>
      <c r="N2109" s="47" t="n"/>
      <c r="O2109" s="47" t="n"/>
      <c r="P2109" s="47" t="n"/>
      <c r="Q2109" s="47" t="n"/>
      <c r="R2109" s="47" t="n"/>
      <c r="S2109" s="47" t="n"/>
      <c r="T2109" s="47" t="n"/>
      <c r="U2109" s="53" t="n"/>
      <c r="V2109" s="53" t="n"/>
      <c r="W2109" s="47" t="n"/>
      <c r="X2109" s="47" t="n"/>
      <c r="Y2109" s="47" t="n"/>
      <c r="Z2109" s="47" t="n"/>
      <c r="AA2109" s="47" t="n"/>
      <c r="AB2109" s="47" t="n"/>
      <c r="AC2109" s="47" t="n"/>
      <c r="AD2109" s="47" t="n"/>
      <c r="AE2109" s="47" t="n"/>
      <c r="AF2109" s="20">
        <f>IF(A2109="","",YEAR(EDATE(A2109,-3)))</f>
        <v/>
      </c>
      <c r="AG2109" s="20">
        <f>IF(OR(B2109="",'経歴簿'!$C$4=""),"",IF(B2109&amp;""='経歴簿'!$C$4&amp;"",MAX($AG$4:AG2108)+1,""))</f>
        <v/>
      </c>
      <c r="AH2109" s="20">
        <f>IF(A2109="",0,IF(AND(OR('CSV抽出'!$C$4="",A2109&gt;='CSV抽出'!$C$4),OR('CSV抽出'!$C$5="",A2109&lt;='CSV抽出'!$C$5),OR('CSV抽出'!$C$6="すべて",'CSV抽出'!$C$6="",D2109='CSV抽出'!$C$6),OR('CSV抽出'!$C$7="",B2109&amp;""='CSV抽出'!$C$7&amp;"")),1,0))</f>
        <v/>
      </c>
      <c r="AI2109" s="20">
        <f>IF(AH2109=1,SUM($AH$5:AH2109),"")</f>
        <v/>
      </c>
      <c r="AJ2109" s="20">
        <f>IF(OR(S2109="",'報告書'!$C$4=""),"",IF(S2109&amp;""='報告書'!$C$4&amp;"",COUNTIF($S$5:S2109,'報告書'!$C$4),""))</f>
        <v/>
      </c>
      <c r="AK2109" s="20" t="n"/>
      <c r="AL2109" s="47" t="n"/>
      <c r="AM2109" s="47" t="n"/>
      <c r="AN2109" s="53" t="n"/>
      <c r="AO2109" s="47" t="n"/>
      <c r="AP2109" s="47" t="n"/>
      <c r="AQ2109" s="47" t="n"/>
      <c r="AR2109" s="47" t="n"/>
      <c r="AS2109" s="47" t="n"/>
      <c r="AT2109" s="47" t="n"/>
      <c r="AU2109" s="47" t="n"/>
      <c r="AV2109" s="47" t="n"/>
      <c r="AW2109" s="52" t="n"/>
    </row>
    <row r="2110">
      <c r="A2110" s="48" t="n"/>
      <c r="B2110" s="52" t="n"/>
      <c r="C2110" s="47">
        <f>IF(B2110="","",IFERROR(INDEX('隊員マスタ'!$B$5:$B$204,MATCH(B2110&amp;"",'隊員マスタ'!$F$5:$F$204,0)),IF(AK2110="","番号なし",AK2110)))</f>
        <v/>
      </c>
      <c r="D2110" s="47" t="n"/>
      <c r="E2110" s="47" t="n"/>
      <c r="F2110" s="47" t="n"/>
      <c r="G2110" s="47" t="n"/>
      <c r="H2110" s="47" t="n"/>
      <c r="I2110" s="47" t="n"/>
      <c r="J2110" s="47" t="n"/>
      <c r="K2110" s="47" t="n"/>
      <c r="L2110" s="47" t="n"/>
      <c r="M2110" s="47" t="n"/>
      <c r="N2110" s="47" t="n"/>
      <c r="O2110" s="47" t="n"/>
      <c r="P2110" s="47" t="n"/>
      <c r="Q2110" s="47" t="n"/>
      <c r="R2110" s="47" t="n"/>
      <c r="S2110" s="47" t="n"/>
      <c r="T2110" s="47" t="n"/>
      <c r="U2110" s="53" t="n"/>
      <c r="V2110" s="53" t="n"/>
      <c r="W2110" s="47" t="n"/>
      <c r="X2110" s="47" t="n"/>
      <c r="Y2110" s="47" t="n"/>
      <c r="Z2110" s="47" t="n"/>
      <c r="AA2110" s="47" t="n"/>
      <c r="AB2110" s="47" t="n"/>
      <c r="AC2110" s="47" t="n"/>
      <c r="AD2110" s="47" t="n"/>
      <c r="AE2110" s="47" t="n"/>
      <c r="AF2110" s="20">
        <f>IF(A2110="","",YEAR(EDATE(A2110,-3)))</f>
        <v/>
      </c>
      <c r="AG2110" s="20">
        <f>IF(OR(B2110="",'経歴簿'!$C$4=""),"",IF(B2110&amp;""='経歴簿'!$C$4&amp;"",MAX($AG$4:AG2109)+1,""))</f>
        <v/>
      </c>
      <c r="AH2110" s="20">
        <f>IF(A2110="",0,IF(AND(OR('CSV抽出'!$C$4="",A2110&gt;='CSV抽出'!$C$4),OR('CSV抽出'!$C$5="",A2110&lt;='CSV抽出'!$C$5),OR('CSV抽出'!$C$6="すべて",'CSV抽出'!$C$6="",D2110='CSV抽出'!$C$6),OR('CSV抽出'!$C$7="",B2110&amp;""='CSV抽出'!$C$7&amp;"")),1,0))</f>
        <v/>
      </c>
      <c r="AI2110" s="20">
        <f>IF(AH2110=1,SUM($AH$5:AH2110),"")</f>
        <v/>
      </c>
      <c r="AJ2110" s="20">
        <f>IF(OR(S2110="",'報告書'!$C$4=""),"",IF(S2110&amp;""='報告書'!$C$4&amp;"",COUNTIF($S$5:S2110,'報告書'!$C$4),""))</f>
        <v/>
      </c>
      <c r="AK2110" s="20" t="n"/>
      <c r="AL2110" s="47" t="n"/>
      <c r="AM2110" s="47" t="n"/>
      <c r="AN2110" s="53" t="n"/>
      <c r="AO2110" s="47" t="n"/>
      <c r="AP2110" s="47" t="n"/>
      <c r="AQ2110" s="47" t="n"/>
      <c r="AR2110" s="47" t="n"/>
      <c r="AS2110" s="47" t="n"/>
      <c r="AT2110" s="47" t="n"/>
      <c r="AU2110" s="47" t="n"/>
      <c r="AV2110" s="47" t="n"/>
      <c r="AW2110" s="52" t="n"/>
    </row>
    <row r="2111">
      <c r="A2111" s="48" t="n"/>
      <c r="B2111" s="52" t="n"/>
      <c r="C2111" s="47">
        <f>IF(B2111="","",IFERROR(INDEX('隊員マスタ'!$B$5:$B$204,MATCH(B2111&amp;"",'隊員マスタ'!$F$5:$F$204,0)),IF(AK2111="","番号なし",AK2111)))</f>
        <v/>
      </c>
      <c r="D2111" s="47" t="n"/>
      <c r="E2111" s="47" t="n"/>
      <c r="F2111" s="47" t="n"/>
      <c r="G2111" s="47" t="n"/>
      <c r="H2111" s="47" t="n"/>
      <c r="I2111" s="47" t="n"/>
      <c r="J2111" s="47" t="n"/>
      <c r="K2111" s="47" t="n"/>
      <c r="L2111" s="47" t="n"/>
      <c r="M2111" s="47" t="n"/>
      <c r="N2111" s="47" t="n"/>
      <c r="O2111" s="47" t="n"/>
      <c r="P2111" s="47" t="n"/>
      <c r="Q2111" s="47" t="n"/>
      <c r="R2111" s="47" t="n"/>
      <c r="S2111" s="47" t="n"/>
      <c r="T2111" s="47" t="n"/>
      <c r="U2111" s="53" t="n"/>
      <c r="V2111" s="53" t="n"/>
      <c r="W2111" s="47" t="n"/>
      <c r="X2111" s="47" t="n"/>
      <c r="Y2111" s="47" t="n"/>
      <c r="Z2111" s="47" t="n"/>
      <c r="AA2111" s="47" t="n"/>
      <c r="AB2111" s="47" t="n"/>
      <c r="AC2111" s="47" t="n"/>
      <c r="AD2111" s="47" t="n"/>
      <c r="AE2111" s="47" t="n"/>
      <c r="AF2111" s="20">
        <f>IF(A2111="","",YEAR(EDATE(A2111,-3)))</f>
        <v/>
      </c>
      <c r="AG2111" s="20">
        <f>IF(OR(B2111="",'経歴簿'!$C$4=""),"",IF(B2111&amp;""='経歴簿'!$C$4&amp;"",MAX($AG$4:AG2110)+1,""))</f>
        <v/>
      </c>
      <c r="AH2111" s="20">
        <f>IF(A2111="",0,IF(AND(OR('CSV抽出'!$C$4="",A2111&gt;='CSV抽出'!$C$4),OR('CSV抽出'!$C$5="",A2111&lt;='CSV抽出'!$C$5),OR('CSV抽出'!$C$6="すべて",'CSV抽出'!$C$6="",D2111='CSV抽出'!$C$6),OR('CSV抽出'!$C$7="",B2111&amp;""='CSV抽出'!$C$7&amp;"")),1,0))</f>
        <v/>
      </c>
      <c r="AI2111" s="20">
        <f>IF(AH2111=1,SUM($AH$5:AH2111),"")</f>
        <v/>
      </c>
      <c r="AJ2111" s="20">
        <f>IF(OR(S2111="",'報告書'!$C$4=""),"",IF(S2111&amp;""='報告書'!$C$4&amp;"",COUNTIF($S$5:S2111,'報告書'!$C$4),""))</f>
        <v/>
      </c>
      <c r="AK2111" s="20" t="n"/>
      <c r="AL2111" s="47" t="n"/>
      <c r="AM2111" s="47" t="n"/>
      <c r="AN2111" s="53" t="n"/>
      <c r="AO2111" s="47" t="n"/>
      <c r="AP2111" s="47" t="n"/>
      <c r="AQ2111" s="47" t="n"/>
      <c r="AR2111" s="47" t="n"/>
      <c r="AS2111" s="47" t="n"/>
      <c r="AT2111" s="47" t="n"/>
      <c r="AU2111" s="47" t="n"/>
      <c r="AV2111" s="47" t="n"/>
      <c r="AW2111" s="52" t="n"/>
    </row>
    <row r="2112">
      <c r="A2112" s="48" t="n"/>
      <c r="B2112" s="52" t="n"/>
      <c r="C2112" s="47">
        <f>IF(B2112="","",IFERROR(INDEX('隊員マスタ'!$B$5:$B$204,MATCH(B2112&amp;"",'隊員マスタ'!$F$5:$F$204,0)),IF(AK2112="","番号なし",AK2112)))</f>
        <v/>
      </c>
      <c r="D2112" s="47" t="n"/>
      <c r="E2112" s="47" t="n"/>
      <c r="F2112" s="47" t="n"/>
      <c r="G2112" s="47" t="n"/>
      <c r="H2112" s="47" t="n"/>
      <c r="I2112" s="47" t="n"/>
      <c r="J2112" s="47" t="n"/>
      <c r="K2112" s="47" t="n"/>
      <c r="L2112" s="47" t="n"/>
      <c r="M2112" s="47" t="n"/>
      <c r="N2112" s="47" t="n"/>
      <c r="O2112" s="47" t="n"/>
      <c r="P2112" s="47" t="n"/>
      <c r="Q2112" s="47" t="n"/>
      <c r="R2112" s="47" t="n"/>
      <c r="S2112" s="47" t="n"/>
      <c r="T2112" s="47" t="n"/>
      <c r="U2112" s="53" t="n"/>
      <c r="V2112" s="53" t="n"/>
      <c r="W2112" s="47" t="n"/>
      <c r="X2112" s="47" t="n"/>
      <c r="Y2112" s="47" t="n"/>
      <c r="Z2112" s="47" t="n"/>
      <c r="AA2112" s="47" t="n"/>
      <c r="AB2112" s="47" t="n"/>
      <c r="AC2112" s="47" t="n"/>
      <c r="AD2112" s="47" t="n"/>
      <c r="AE2112" s="47" t="n"/>
      <c r="AF2112" s="20">
        <f>IF(A2112="","",YEAR(EDATE(A2112,-3)))</f>
        <v/>
      </c>
      <c r="AG2112" s="20">
        <f>IF(OR(B2112="",'経歴簿'!$C$4=""),"",IF(B2112&amp;""='経歴簿'!$C$4&amp;"",MAX($AG$4:AG2111)+1,""))</f>
        <v/>
      </c>
      <c r="AH2112" s="20">
        <f>IF(A2112="",0,IF(AND(OR('CSV抽出'!$C$4="",A2112&gt;='CSV抽出'!$C$4),OR('CSV抽出'!$C$5="",A2112&lt;='CSV抽出'!$C$5),OR('CSV抽出'!$C$6="すべて",'CSV抽出'!$C$6="",D2112='CSV抽出'!$C$6),OR('CSV抽出'!$C$7="",B2112&amp;""='CSV抽出'!$C$7&amp;"")),1,0))</f>
        <v/>
      </c>
      <c r="AI2112" s="20">
        <f>IF(AH2112=1,SUM($AH$5:AH2112),"")</f>
        <v/>
      </c>
      <c r="AJ2112" s="20">
        <f>IF(OR(S2112="",'報告書'!$C$4=""),"",IF(S2112&amp;""='報告書'!$C$4&amp;"",COUNTIF($S$5:S2112,'報告書'!$C$4),""))</f>
        <v/>
      </c>
      <c r="AK2112" s="20" t="n"/>
      <c r="AL2112" s="47" t="n"/>
      <c r="AM2112" s="47" t="n"/>
      <c r="AN2112" s="53" t="n"/>
      <c r="AO2112" s="47" t="n"/>
      <c r="AP2112" s="47" t="n"/>
      <c r="AQ2112" s="47" t="n"/>
      <c r="AR2112" s="47" t="n"/>
      <c r="AS2112" s="47" t="n"/>
      <c r="AT2112" s="47" t="n"/>
      <c r="AU2112" s="47" t="n"/>
      <c r="AV2112" s="47" t="n"/>
      <c r="AW2112" s="52" t="n"/>
    </row>
    <row r="2113">
      <c r="A2113" s="48" t="n"/>
      <c r="B2113" s="52" t="n"/>
      <c r="C2113" s="47">
        <f>IF(B2113="","",IFERROR(INDEX('隊員マスタ'!$B$5:$B$204,MATCH(B2113&amp;"",'隊員マスタ'!$F$5:$F$204,0)),IF(AK2113="","番号なし",AK2113)))</f>
        <v/>
      </c>
      <c r="D2113" s="47" t="n"/>
      <c r="E2113" s="47" t="n"/>
      <c r="F2113" s="47" t="n"/>
      <c r="G2113" s="47" t="n"/>
      <c r="H2113" s="47" t="n"/>
      <c r="I2113" s="47" t="n"/>
      <c r="J2113" s="47" t="n"/>
      <c r="K2113" s="47" t="n"/>
      <c r="L2113" s="47" t="n"/>
      <c r="M2113" s="47" t="n"/>
      <c r="N2113" s="47" t="n"/>
      <c r="O2113" s="47" t="n"/>
      <c r="P2113" s="47" t="n"/>
      <c r="Q2113" s="47" t="n"/>
      <c r="R2113" s="47" t="n"/>
      <c r="S2113" s="47" t="n"/>
      <c r="T2113" s="47" t="n"/>
      <c r="U2113" s="53" t="n"/>
      <c r="V2113" s="53" t="n"/>
      <c r="W2113" s="47" t="n"/>
      <c r="X2113" s="47" t="n"/>
      <c r="Y2113" s="47" t="n"/>
      <c r="Z2113" s="47" t="n"/>
      <c r="AA2113" s="47" t="n"/>
      <c r="AB2113" s="47" t="n"/>
      <c r="AC2113" s="47" t="n"/>
      <c r="AD2113" s="47" t="n"/>
      <c r="AE2113" s="47" t="n"/>
      <c r="AF2113" s="20">
        <f>IF(A2113="","",YEAR(EDATE(A2113,-3)))</f>
        <v/>
      </c>
      <c r="AG2113" s="20">
        <f>IF(OR(B2113="",'経歴簿'!$C$4=""),"",IF(B2113&amp;""='経歴簿'!$C$4&amp;"",MAX($AG$4:AG2112)+1,""))</f>
        <v/>
      </c>
      <c r="AH2113" s="20">
        <f>IF(A2113="",0,IF(AND(OR('CSV抽出'!$C$4="",A2113&gt;='CSV抽出'!$C$4),OR('CSV抽出'!$C$5="",A2113&lt;='CSV抽出'!$C$5),OR('CSV抽出'!$C$6="すべて",'CSV抽出'!$C$6="",D2113='CSV抽出'!$C$6),OR('CSV抽出'!$C$7="",B2113&amp;""='CSV抽出'!$C$7&amp;"")),1,0))</f>
        <v/>
      </c>
      <c r="AI2113" s="20">
        <f>IF(AH2113=1,SUM($AH$5:AH2113),"")</f>
        <v/>
      </c>
      <c r="AJ2113" s="20">
        <f>IF(OR(S2113="",'報告書'!$C$4=""),"",IF(S2113&amp;""='報告書'!$C$4&amp;"",COUNTIF($S$5:S2113,'報告書'!$C$4),""))</f>
        <v/>
      </c>
      <c r="AK2113" s="20" t="n"/>
      <c r="AL2113" s="47" t="n"/>
      <c r="AM2113" s="47" t="n"/>
      <c r="AN2113" s="53" t="n"/>
      <c r="AO2113" s="47" t="n"/>
      <c r="AP2113" s="47" t="n"/>
      <c r="AQ2113" s="47" t="n"/>
      <c r="AR2113" s="47" t="n"/>
      <c r="AS2113" s="47" t="n"/>
      <c r="AT2113" s="47" t="n"/>
      <c r="AU2113" s="47" t="n"/>
      <c r="AV2113" s="47" t="n"/>
      <c r="AW2113" s="52" t="n"/>
    </row>
    <row r="2114">
      <c r="A2114" s="48" t="n"/>
      <c r="B2114" s="52" t="n"/>
      <c r="C2114" s="47">
        <f>IF(B2114="","",IFERROR(INDEX('隊員マスタ'!$B$5:$B$204,MATCH(B2114&amp;"",'隊員マスタ'!$F$5:$F$204,0)),IF(AK2114="","番号なし",AK2114)))</f>
        <v/>
      </c>
      <c r="D2114" s="47" t="n"/>
      <c r="E2114" s="47" t="n"/>
      <c r="F2114" s="47" t="n"/>
      <c r="G2114" s="47" t="n"/>
      <c r="H2114" s="47" t="n"/>
      <c r="I2114" s="47" t="n"/>
      <c r="J2114" s="47" t="n"/>
      <c r="K2114" s="47" t="n"/>
      <c r="L2114" s="47" t="n"/>
      <c r="M2114" s="47" t="n"/>
      <c r="N2114" s="47" t="n"/>
      <c r="O2114" s="47" t="n"/>
      <c r="P2114" s="47" t="n"/>
      <c r="Q2114" s="47" t="n"/>
      <c r="R2114" s="47" t="n"/>
      <c r="S2114" s="47" t="n"/>
      <c r="T2114" s="47" t="n"/>
      <c r="U2114" s="53" t="n"/>
      <c r="V2114" s="53" t="n"/>
      <c r="W2114" s="47" t="n"/>
      <c r="X2114" s="47" t="n"/>
      <c r="Y2114" s="47" t="n"/>
      <c r="Z2114" s="47" t="n"/>
      <c r="AA2114" s="47" t="n"/>
      <c r="AB2114" s="47" t="n"/>
      <c r="AC2114" s="47" t="n"/>
      <c r="AD2114" s="47" t="n"/>
      <c r="AE2114" s="47" t="n"/>
      <c r="AF2114" s="20">
        <f>IF(A2114="","",YEAR(EDATE(A2114,-3)))</f>
        <v/>
      </c>
      <c r="AG2114" s="20">
        <f>IF(OR(B2114="",'経歴簿'!$C$4=""),"",IF(B2114&amp;""='経歴簿'!$C$4&amp;"",MAX($AG$4:AG2113)+1,""))</f>
        <v/>
      </c>
      <c r="AH2114" s="20">
        <f>IF(A2114="",0,IF(AND(OR('CSV抽出'!$C$4="",A2114&gt;='CSV抽出'!$C$4),OR('CSV抽出'!$C$5="",A2114&lt;='CSV抽出'!$C$5),OR('CSV抽出'!$C$6="すべて",'CSV抽出'!$C$6="",D2114='CSV抽出'!$C$6),OR('CSV抽出'!$C$7="",B2114&amp;""='CSV抽出'!$C$7&amp;"")),1,0))</f>
        <v/>
      </c>
      <c r="AI2114" s="20">
        <f>IF(AH2114=1,SUM($AH$5:AH2114),"")</f>
        <v/>
      </c>
      <c r="AJ2114" s="20">
        <f>IF(OR(S2114="",'報告書'!$C$4=""),"",IF(S2114&amp;""='報告書'!$C$4&amp;"",COUNTIF($S$5:S2114,'報告書'!$C$4),""))</f>
        <v/>
      </c>
      <c r="AK2114" s="20" t="n"/>
      <c r="AL2114" s="47" t="n"/>
      <c r="AM2114" s="47" t="n"/>
      <c r="AN2114" s="53" t="n"/>
      <c r="AO2114" s="47" t="n"/>
      <c r="AP2114" s="47" t="n"/>
      <c r="AQ2114" s="47" t="n"/>
      <c r="AR2114" s="47" t="n"/>
      <c r="AS2114" s="47" t="n"/>
      <c r="AT2114" s="47" t="n"/>
      <c r="AU2114" s="47" t="n"/>
      <c r="AV2114" s="47" t="n"/>
      <c r="AW2114" s="52" t="n"/>
    </row>
    <row r="2115">
      <c r="A2115" s="48" t="n"/>
      <c r="B2115" s="52" t="n"/>
      <c r="C2115" s="47">
        <f>IF(B2115="","",IFERROR(INDEX('隊員マスタ'!$B$5:$B$204,MATCH(B2115&amp;"",'隊員マスタ'!$F$5:$F$204,0)),IF(AK2115="","番号なし",AK2115)))</f>
        <v/>
      </c>
      <c r="D2115" s="47" t="n"/>
      <c r="E2115" s="47" t="n"/>
      <c r="F2115" s="47" t="n"/>
      <c r="G2115" s="47" t="n"/>
      <c r="H2115" s="47" t="n"/>
      <c r="I2115" s="47" t="n"/>
      <c r="J2115" s="47" t="n"/>
      <c r="K2115" s="47" t="n"/>
      <c r="L2115" s="47" t="n"/>
      <c r="M2115" s="47" t="n"/>
      <c r="N2115" s="47" t="n"/>
      <c r="O2115" s="47" t="n"/>
      <c r="P2115" s="47" t="n"/>
      <c r="Q2115" s="47" t="n"/>
      <c r="R2115" s="47" t="n"/>
      <c r="S2115" s="47" t="n"/>
      <c r="T2115" s="47" t="n"/>
      <c r="U2115" s="53" t="n"/>
      <c r="V2115" s="53" t="n"/>
      <c r="W2115" s="47" t="n"/>
      <c r="X2115" s="47" t="n"/>
      <c r="Y2115" s="47" t="n"/>
      <c r="Z2115" s="47" t="n"/>
      <c r="AA2115" s="47" t="n"/>
      <c r="AB2115" s="47" t="n"/>
      <c r="AC2115" s="47" t="n"/>
      <c r="AD2115" s="47" t="n"/>
      <c r="AE2115" s="47" t="n"/>
      <c r="AF2115" s="20">
        <f>IF(A2115="","",YEAR(EDATE(A2115,-3)))</f>
        <v/>
      </c>
      <c r="AG2115" s="20">
        <f>IF(OR(B2115="",'経歴簿'!$C$4=""),"",IF(B2115&amp;""='経歴簿'!$C$4&amp;"",MAX($AG$4:AG2114)+1,""))</f>
        <v/>
      </c>
      <c r="AH2115" s="20">
        <f>IF(A2115="",0,IF(AND(OR('CSV抽出'!$C$4="",A2115&gt;='CSV抽出'!$C$4),OR('CSV抽出'!$C$5="",A2115&lt;='CSV抽出'!$C$5),OR('CSV抽出'!$C$6="すべて",'CSV抽出'!$C$6="",D2115='CSV抽出'!$C$6),OR('CSV抽出'!$C$7="",B2115&amp;""='CSV抽出'!$C$7&amp;"")),1,0))</f>
        <v/>
      </c>
      <c r="AI2115" s="20">
        <f>IF(AH2115=1,SUM($AH$5:AH2115),"")</f>
        <v/>
      </c>
      <c r="AJ2115" s="20">
        <f>IF(OR(S2115="",'報告書'!$C$4=""),"",IF(S2115&amp;""='報告書'!$C$4&amp;"",COUNTIF($S$5:S2115,'報告書'!$C$4),""))</f>
        <v/>
      </c>
      <c r="AK2115" s="20" t="n"/>
      <c r="AL2115" s="47" t="n"/>
      <c r="AM2115" s="47" t="n"/>
      <c r="AN2115" s="53" t="n"/>
      <c r="AO2115" s="47" t="n"/>
      <c r="AP2115" s="47" t="n"/>
      <c r="AQ2115" s="47" t="n"/>
      <c r="AR2115" s="47" t="n"/>
      <c r="AS2115" s="47" t="n"/>
      <c r="AT2115" s="47" t="n"/>
      <c r="AU2115" s="47" t="n"/>
      <c r="AV2115" s="47" t="n"/>
      <c r="AW2115" s="52" t="n"/>
    </row>
    <row r="2116">
      <c r="A2116" s="48" t="n"/>
      <c r="B2116" s="52" t="n"/>
      <c r="C2116" s="47">
        <f>IF(B2116="","",IFERROR(INDEX('隊員マスタ'!$B$5:$B$204,MATCH(B2116&amp;"",'隊員マスタ'!$F$5:$F$204,0)),IF(AK2116="","番号なし",AK2116)))</f>
        <v/>
      </c>
      <c r="D2116" s="47" t="n"/>
      <c r="E2116" s="47" t="n"/>
      <c r="F2116" s="47" t="n"/>
      <c r="G2116" s="47" t="n"/>
      <c r="H2116" s="47" t="n"/>
      <c r="I2116" s="47" t="n"/>
      <c r="J2116" s="47" t="n"/>
      <c r="K2116" s="47" t="n"/>
      <c r="L2116" s="47" t="n"/>
      <c r="M2116" s="47" t="n"/>
      <c r="N2116" s="47" t="n"/>
      <c r="O2116" s="47" t="n"/>
      <c r="P2116" s="47" t="n"/>
      <c r="Q2116" s="47" t="n"/>
      <c r="R2116" s="47" t="n"/>
      <c r="S2116" s="47" t="n"/>
      <c r="T2116" s="47" t="n"/>
      <c r="U2116" s="53" t="n"/>
      <c r="V2116" s="53" t="n"/>
      <c r="W2116" s="47" t="n"/>
      <c r="X2116" s="47" t="n"/>
      <c r="Y2116" s="47" t="n"/>
      <c r="Z2116" s="47" t="n"/>
      <c r="AA2116" s="47" t="n"/>
      <c r="AB2116" s="47" t="n"/>
      <c r="AC2116" s="47" t="n"/>
      <c r="AD2116" s="47" t="n"/>
      <c r="AE2116" s="47" t="n"/>
      <c r="AF2116" s="20">
        <f>IF(A2116="","",YEAR(EDATE(A2116,-3)))</f>
        <v/>
      </c>
      <c r="AG2116" s="20">
        <f>IF(OR(B2116="",'経歴簿'!$C$4=""),"",IF(B2116&amp;""='経歴簿'!$C$4&amp;"",MAX($AG$4:AG2115)+1,""))</f>
        <v/>
      </c>
      <c r="AH2116" s="20">
        <f>IF(A2116="",0,IF(AND(OR('CSV抽出'!$C$4="",A2116&gt;='CSV抽出'!$C$4),OR('CSV抽出'!$C$5="",A2116&lt;='CSV抽出'!$C$5),OR('CSV抽出'!$C$6="すべて",'CSV抽出'!$C$6="",D2116='CSV抽出'!$C$6),OR('CSV抽出'!$C$7="",B2116&amp;""='CSV抽出'!$C$7&amp;"")),1,0))</f>
        <v/>
      </c>
      <c r="AI2116" s="20">
        <f>IF(AH2116=1,SUM($AH$5:AH2116),"")</f>
        <v/>
      </c>
      <c r="AJ2116" s="20">
        <f>IF(OR(S2116="",'報告書'!$C$4=""),"",IF(S2116&amp;""='報告書'!$C$4&amp;"",COUNTIF($S$5:S2116,'報告書'!$C$4),""))</f>
        <v/>
      </c>
      <c r="AK2116" s="20" t="n"/>
      <c r="AL2116" s="47" t="n"/>
      <c r="AM2116" s="47" t="n"/>
      <c r="AN2116" s="53" t="n"/>
      <c r="AO2116" s="47" t="n"/>
      <c r="AP2116" s="47" t="n"/>
      <c r="AQ2116" s="47" t="n"/>
      <c r="AR2116" s="47" t="n"/>
      <c r="AS2116" s="47" t="n"/>
      <c r="AT2116" s="47" t="n"/>
      <c r="AU2116" s="47" t="n"/>
      <c r="AV2116" s="47" t="n"/>
      <c r="AW2116" s="52" t="n"/>
    </row>
    <row r="2117">
      <c r="A2117" s="48" t="n"/>
      <c r="B2117" s="52" t="n"/>
      <c r="C2117" s="47">
        <f>IF(B2117="","",IFERROR(INDEX('隊員マスタ'!$B$5:$B$204,MATCH(B2117&amp;"",'隊員マスタ'!$F$5:$F$204,0)),IF(AK2117="","番号なし",AK2117)))</f>
        <v/>
      </c>
      <c r="D2117" s="47" t="n"/>
      <c r="E2117" s="47" t="n"/>
      <c r="F2117" s="47" t="n"/>
      <c r="G2117" s="47" t="n"/>
      <c r="H2117" s="47" t="n"/>
      <c r="I2117" s="47" t="n"/>
      <c r="J2117" s="47" t="n"/>
      <c r="K2117" s="47" t="n"/>
      <c r="L2117" s="47" t="n"/>
      <c r="M2117" s="47" t="n"/>
      <c r="N2117" s="47" t="n"/>
      <c r="O2117" s="47" t="n"/>
      <c r="P2117" s="47" t="n"/>
      <c r="Q2117" s="47" t="n"/>
      <c r="R2117" s="47" t="n"/>
      <c r="S2117" s="47" t="n"/>
      <c r="T2117" s="47" t="n"/>
      <c r="U2117" s="53" t="n"/>
      <c r="V2117" s="53" t="n"/>
      <c r="W2117" s="47" t="n"/>
      <c r="X2117" s="47" t="n"/>
      <c r="Y2117" s="47" t="n"/>
      <c r="Z2117" s="47" t="n"/>
      <c r="AA2117" s="47" t="n"/>
      <c r="AB2117" s="47" t="n"/>
      <c r="AC2117" s="47" t="n"/>
      <c r="AD2117" s="47" t="n"/>
      <c r="AE2117" s="47" t="n"/>
      <c r="AF2117" s="20">
        <f>IF(A2117="","",YEAR(EDATE(A2117,-3)))</f>
        <v/>
      </c>
      <c r="AG2117" s="20">
        <f>IF(OR(B2117="",'経歴簿'!$C$4=""),"",IF(B2117&amp;""='経歴簿'!$C$4&amp;"",MAX($AG$4:AG2116)+1,""))</f>
        <v/>
      </c>
      <c r="AH2117" s="20">
        <f>IF(A2117="",0,IF(AND(OR('CSV抽出'!$C$4="",A2117&gt;='CSV抽出'!$C$4),OR('CSV抽出'!$C$5="",A2117&lt;='CSV抽出'!$C$5),OR('CSV抽出'!$C$6="すべて",'CSV抽出'!$C$6="",D2117='CSV抽出'!$C$6),OR('CSV抽出'!$C$7="",B2117&amp;""='CSV抽出'!$C$7&amp;"")),1,0))</f>
        <v/>
      </c>
      <c r="AI2117" s="20">
        <f>IF(AH2117=1,SUM($AH$5:AH2117),"")</f>
        <v/>
      </c>
      <c r="AJ2117" s="20">
        <f>IF(OR(S2117="",'報告書'!$C$4=""),"",IF(S2117&amp;""='報告書'!$C$4&amp;"",COUNTIF($S$5:S2117,'報告書'!$C$4),""))</f>
        <v/>
      </c>
      <c r="AK2117" s="20" t="n"/>
      <c r="AL2117" s="47" t="n"/>
      <c r="AM2117" s="47" t="n"/>
      <c r="AN2117" s="53" t="n"/>
      <c r="AO2117" s="47" t="n"/>
      <c r="AP2117" s="47" t="n"/>
      <c r="AQ2117" s="47" t="n"/>
      <c r="AR2117" s="47" t="n"/>
      <c r="AS2117" s="47" t="n"/>
      <c r="AT2117" s="47" t="n"/>
      <c r="AU2117" s="47" t="n"/>
      <c r="AV2117" s="47" t="n"/>
      <c r="AW2117" s="52" t="n"/>
    </row>
    <row r="2118">
      <c r="A2118" s="48" t="n"/>
      <c r="B2118" s="52" t="n"/>
      <c r="C2118" s="47">
        <f>IF(B2118="","",IFERROR(INDEX('隊員マスタ'!$B$5:$B$204,MATCH(B2118&amp;"",'隊員マスタ'!$F$5:$F$204,0)),IF(AK2118="","番号なし",AK2118)))</f>
        <v/>
      </c>
      <c r="D2118" s="47" t="n"/>
      <c r="E2118" s="47" t="n"/>
      <c r="F2118" s="47" t="n"/>
      <c r="G2118" s="47" t="n"/>
      <c r="H2118" s="47" t="n"/>
      <c r="I2118" s="47" t="n"/>
      <c r="J2118" s="47" t="n"/>
      <c r="K2118" s="47" t="n"/>
      <c r="L2118" s="47" t="n"/>
      <c r="M2118" s="47" t="n"/>
      <c r="N2118" s="47" t="n"/>
      <c r="O2118" s="47" t="n"/>
      <c r="P2118" s="47" t="n"/>
      <c r="Q2118" s="47" t="n"/>
      <c r="R2118" s="47" t="n"/>
      <c r="S2118" s="47" t="n"/>
      <c r="T2118" s="47" t="n"/>
      <c r="U2118" s="53" t="n"/>
      <c r="V2118" s="53" t="n"/>
      <c r="W2118" s="47" t="n"/>
      <c r="X2118" s="47" t="n"/>
      <c r="Y2118" s="47" t="n"/>
      <c r="Z2118" s="47" t="n"/>
      <c r="AA2118" s="47" t="n"/>
      <c r="AB2118" s="47" t="n"/>
      <c r="AC2118" s="47" t="n"/>
      <c r="AD2118" s="47" t="n"/>
      <c r="AE2118" s="47" t="n"/>
      <c r="AF2118" s="20">
        <f>IF(A2118="","",YEAR(EDATE(A2118,-3)))</f>
        <v/>
      </c>
      <c r="AG2118" s="20">
        <f>IF(OR(B2118="",'経歴簿'!$C$4=""),"",IF(B2118&amp;""='経歴簿'!$C$4&amp;"",MAX($AG$4:AG2117)+1,""))</f>
        <v/>
      </c>
      <c r="AH2118" s="20">
        <f>IF(A2118="",0,IF(AND(OR('CSV抽出'!$C$4="",A2118&gt;='CSV抽出'!$C$4),OR('CSV抽出'!$C$5="",A2118&lt;='CSV抽出'!$C$5),OR('CSV抽出'!$C$6="すべて",'CSV抽出'!$C$6="",D2118='CSV抽出'!$C$6),OR('CSV抽出'!$C$7="",B2118&amp;""='CSV抽出'!$C$7&amp;"")),1,0))</f>
        <v/>
      </c>
      <c r="AI2118" s="20">
        <f>IF(AH2118=1,SUM($AH$5:AH2118),"")</f>
        <v/>
      </c>
      <c r="AJ2118" s="20">
        <f>IF(OR(S2118="",'報告書'!$C$4=""),"",IF(S2118&amp;""='報告書'!$C$4&amp;"",COUNTIF($S$5:S2118,'報告書'!$C$4),""))</f>
        <v/>
      </c>
      <c r="AK2118" s="20" t="n"/>
      <c r="AL2118" s="47" t="n"/>
      <c r="AM2118" s="47" t="n"/>
      <c r="AN2118" s="53" t="n"/>
      <c r="AO2118" s="47" t="n"/>
      <c r="AP2118" s="47" t="n"/>
      <c r="AQ2118" s="47" t="n"/>
      <c r="AR2118" s="47" t="n"/>
      <c r="AS2118" s="47" t="n"/>
      <c r="AT2118" s="47" t="n"/>
      <c r="AU2118" s="47" t="n"/>
      <c r="AV2118" s="47" t="n"/>
      <c r="AW2118" s="52" t="n"/>
    </row>
    <row r="2119">
      <c r="A2119" s="48" t="n"/>
      <c r="B2119" s="52" t="n"/>
      <c r="C2119" s="47">
        <f>IF(B2119="","",IFERROR(INDEX('隊員マスタ'!$B$5:$B$204,MATCH(B2119&amp;"",'隊員マスタ'!$F$5:$F$204,0)),IF(AK2119="","番号なし",AK2119)))</f>
        <v/>
      </c>
      <c r="D2119" s="47" t="n"/>
      <c r="E2119" s="47" t="n"/>
      <c r="F2119" s="47" t="n"/>
      <c r="G2119" s="47" t="n"/>
      <c r="H2119" s="47" t="n"/>
      <c r="I2119" s="47" t="n"/>
      <c r="J2119" s="47" t="n"/>
      <c r="K2119" s="47" t="n"/>
      <c r="L2119" s="47" t="n"/>
      <c r="M2119" s="47" t="n"/>
      <c r="N2119" s="47" t="n"/>
      <c r="O2119" s="47" t="n"/>
      <c r="P2119" s="47" t="n"/>
      <c r="Q2119" s="47" t="n"/>
      <c r="R2119" s="47" t="n"/>
      <c r="S2119" s="47" t="n"/>
      <c r="T2119" s="47" t="n"/>
      <c r="U2119" s="53" t="n"/>
      <c r="V2119" s="53" t="n"/>
      <c r="W2119" s="47" t="n"/>
      <c r="X2119" s="47" t="n"/>
      <c r="Y2119" s="47" t="n"/>
      <c r="Z2119" s="47" t="n"/>
      <c r="AA2119" s="47" t="n"/>
      <c r="AB2119" s="47" t="n"/>
      <c r="AC2119" s="47" t="n"/>
      <c r="AD2119" s="47" t="n"/>
      <c r="AE2119" s="47" t="n"/>
      <c r="AF2119" s="20">
        <f>IF(A2119="","",YEAR(EDATE(A2119,-3)))</f>
        <v/>
      </c>
      <c r="AG2119" s="20">
        <f>IF(OR(B2119="",'経歴簿'!$C$4=""),"",IF(B2119&amp;""='経歴簿'!$C$4&amp;"",MAX($AG$4:AG2118)+1,""))</f>
        <v/>
      </c>
      <c r="AH2119" s="20">
        <f>IF(A2119="",0,IF(AND(OR('CSV抽出'!$C$4="",A2119&gt;='CSV抽出'!$C$4),OR('CSV抽出'!$C$5="",A2119&lt;='CSV抽出'!$C$5),OR('CSV抽出'!$C$6="すべて",'CSV抽出'!$C$6="",D2119='CSV抽出'!$C$6),OR('CSV抽出'!$C$7="",B2119&amp;""='CSV抽出'!$C$7&amp;"")),1,0))</f>
        <v/>
      </c>
      <c r="AI2119" s="20">
        <f>IF(AH2119=1,SUM($AH$5:AH2119),"")</f>
        <v/>
      </c>
      <c r="AJ2119" s="20">
        <f>IF(OR(S2119="",'報告書'!$C$4=""),"",IF(S2119&amp;""='報告書'!$C$4&amp;"",COUNTIF($S$5:S2119,'報告書'!$C$4),""))</f>
        <v/>
      </c>
      <c r="AK2119" s="20" t="n"/>
      <c r="AL2119" s="47" t="n"/>
      <c r="AM2119" s="47" t="n"/>
      <c r="AN2119" s="53" t="n"/>
      <c r="AO2119" s="47" t="n"/>
      <c r="AP2119" s="47" t="n"/>
      <c r="AQ2119" s="47" t="n"/>
      <c r="AR2119" s="47" t="n"/>
      <c r="AS2119" s="47" t="n"/>
      <c r="AT2119" s="47" t="n"/>
      <c r="AU2119" s="47" t="n"/>
      <c r="AV2119" s="47" t="n"/>
      <c r="AW2119" s="52" t="n"/>
    </row>
    <row r="2120">
      <c r="A2120" s="48" t="n"/>
      <c r="B2120" s="52" t="n"/>
      <c r="C2120" s="47">
        <f>IF(B2120="","",IFERROR(INDEX('隊員マスタ'!$B$5:$B$204,MATCH(B2120&amp;"",'隊員マスタ'!$F$5:$F$204,0)),IF(AK2120="","番号なし",AK2120)))</f>
        <v/>
      </c>
      <c r="D2120" s="47" t="n"/>
      <c r="E2120" s="47" t="n"/>
      <c r="F2120" s="47" t="n"/>
      <c r="G2120" s="47" t="n"/>
      <c r="H2120" s="47" t="n"/>
      <c r="I2120" s="47" t="n"/>
      <c r="J2120" s="47" t="n"/>
      <c r="K2120" s="47" t="n"/>
      <c r="L2120" s="47" t="n"/>
      <c r="M2120" s="47" t="n"/>
      <c r="N2120" s="47" t="n"/>
      <c r="O2120" s="47" t="n"/>
      <c r="P2120" s="47" t="n"/>
      <c r="Q2120" s="47" t="n"/>
      <c r="R2120" s="47" t="n"/>
      <c r="S2120" s="47" t="n"/>
      <c r="T2120" s="47" t="n"/>
      <c r="U2120" s="53" t="n"/>
      <c r="V2120" s="53" t="n"/>
      <c r="W2120" s="47" t="n"/>
      <c r="X2120" s="47" t="n"/>
      <c r="Y2120" s="47" t="n"/>
      <c r="Z2120" s="47" t="n"/>
      <c r="AA2120" s="47" t="n"/>
      <c r="AB2120" s="47" t="n"/>
      <c r="AC2120" s="47" t="n"/>
      <c r="AD2120" s="47" t="n"/>
      <c r="AE2120" s="47" t="n"/>
      <c r="AF2120" s="20">
        <f>IF(A2120="","",YEAR(EDATE(A2120,-3)))</f>
        <v/>
      </c>
      <c r="AG2120" s="20">
        <f>IF(OR(B2120="",'経歴簿'!$C$4=""),"",IF(B2120&amp;""='経歴簿'!$C$4&amp;"",MAX($AG$4:AG2119)+1,""))</f>
        <v/>
      </c>
      <c r="AH2120" s="20">
        <f>IF(A2120="",0,IF(AND(OR('CSV抽出'!$C$4="",A2120&gt;='CSV抽出'!$C$4),OR('CSV抽出'!$C$5="",A2120&lt;='CSV抽出'!$C$5),OR('CSV抽出'!$C$6="すべて",'CSV抽出'!$C$6="",D2120='CSV抽出'!$C$6),OR('CSV抽出'!$C$7="",B2120&amp;""='CSV抽出'!$C$7&amp;"")),1,0))</f>
        <v/>
      </c>
      <c r="AI2120" s="20">
        <f>IF(AH2120=1,SUM($AH$5:AH2120),"")</f>
        <v/>
      </c>
      <c r="AJ2120" s="20">
        <f>IF(OR(S2120="",'報告書'!$C$4=""),"",IF(S2120&amp;""='報告書'!$C$4&amp;"",COUNTIF($S$5:S2120,'報告書'!$C$4),""))</f>
        <v/>
      </c>
      <c r="AK2120" s="20" t="n"/>
      <c r="AL2120" s="47" t="n"/>
      <c r="AM2120" s="47" t="n"/>
      <c r="AN2120" s="53" t="n"/>
      <c r="AO2120" s="47" t="n"/>
      <c r="AP2120" s="47" t="n"/>
      <c r="AQ2120" s="47" t="n"/>
      <c r="AR2120" s="47" t="n"/>
      <c r="AS2120" s="47" t="n"/>
      <c r="AT2120" s="47" t="n"/>
      <c r="AU2120" s="47" t="n"/>
      <c r="AV2120" s="47" t="n"/>
      <c r="AW2120" s="52" t="n"/>
    </row>
    <row r="2121">
      <c r="A2121" s="48" t="n"/>
      <c r="B2121" s="52" t="n"/>
      <c r="C2121" s="47">
        <f>IF(B2121="","",IFERROR(INDEX('隊員マスタ'!$B$5:$B$204,MATCH(B2121&amp;"",'隊員マスタ'!$F$5:$F$204,0)),IF(AK2121="","番号なし",AK2121)))</f>
        <v/>
      </c>
      <c r="D2121" s="47" t="n"/>
      <c r="E2121" s="47" t="n"/>
      <c r="F2121" s="47" t="n"/>
      <c r="G2121" s="47" t="n"/>
      <c r="H2121" s="47" t="n"/>
      <c r="I2121" s="47" t="n"/>
      <c r="J2121" s="47" t="n"/>
      <c r="K2121" s="47" t="n"/>
      <c r="L2121" s="47" t="n"/>
      <c r="M2121" s="47" t="n"/>
      <c r="N2121" s="47" t="n"/>
      <c r="O2121" s="47" t="n"/>
      <c r="P2121" s="47" t="n"/>
      <c r="Q2121" s="47" t="n"/>
      <c r="R2121" s="47" t="n"/>
      <c r="S2121" s="47" t="n"/>
      <c r="T2121" s="47" t="n"/>
      <c r="U2121" s="53" t="n"/>
      <c r="V2121" s="53" t="n"/>
      <c r="W2121" s="47" t="n"/>
      <c r="X2121" s="47" t="n"/>
      <c r="Y2121" s="47" t="n"/>
      <c r="Z2121" s="47" t="n"/>
      <c r="AA2121" s="47" t="n"/>
      <c r="AB2121" s="47" t="n"/>
      <c r="AC2121" s="47" t="n"/>
      <c r="AD2121" s="47" t="n"/>
      <c r="AE2121" s="47" t="n"/>
      <c r="AF2121" s="20">
        <f>IF(A2121="","",YEAR(EDATE(A2121,-3)))</f>
        <v/>
      </c>
      <c r="AG2121" s="20">
        <f>IF(OR(B2121="",'経歴簿'!$C$4=""),"",IF(B2121&amp;""='経歴簿'!$C$4&amp;"",MAX($AG$4:AG2120)+1,""))</f>
        <v/>
      </c>
      <c r="AH2121" s="20">
        <f>IF(A2121="",0,IF(AND(OR('CSV抽出'!$C$4="",A2121&gt;='CSV抽出'!$C$4),OR('CSV抽出'!$C$5="",A2121&lt;='CSV抽出'!$C$5),OR('CSV抽出'!$C$6="すべて",'CSV抽出'!$C$6="",D2121='CSV抽出'!$C$6),OR('CSV抽出'!$C$7="",B2121&amp;""='CSV抽出'!$C$7&amp;"")),1,0))</f>
        <v/>
      </c>
      <c r="AI2121" s="20">
        <f>IF(AH2121=1,SUM($AH$5:AH2121),"")</f>
        <v/>
      </c>
      <c r="AJ2121" s="20">
        <f>IF(OR(S2121="",'報告書'!$C$4=""),"",IF(S2121&amp;""='報告書'!$C$4&amp;"",COUNTIF($S$5:S2121,'報告書'!$C$4),""))</f>
        <v/>
      </c>
      <c r="AK2121" s="20" t="n"/>
      <c r="AL2121" s="47" t="n"/>
      <c r="AM2121" s="47" t="n"/>
      <c r="AN2121" s="53" t="n"/>
      <c r="AO2121" s="47" t="n"/>
      <c r="AP2121" s="47" t="n"/>
      <c r="AQ2121" s="47" t="n"/>
      <c r="AR2121" s="47" t="n"/>
      <c r="AS2121" s="47" t="n"/>
      <c r="AT2121" s="47" t="n"/>
      <c r="AU2121" s="47" t="n"/>
      <c r="AV2121" s="47" t="n"/>
      <c r="AW2121" s="52" t="n"/>
    </row>
    <row r="2122">
      <c r="A2122" s="48" t="n"/>
      <c r="B2122" s="52" t="n"/>
      <c r="C2122" s="47">
        <f>IF(B2122="","",IFERROR(INDEX('隊員マスタ'!$B$5:$B$204,MATCH(B2122&amp;"",'隊員マスタ'!$F$5:$F$204,0)),IF(AK2122="","番号なし",AK2122)))</f>
        <v/>
      </c>
      <c r="D2122" s="47" t="n"/>
      <c r="E2122" s="47" t="n"/>
      <c r="F2122" s="47" t="n"/>
      <c r="G2122" s="47" t="n"/>
      <c r="H2122" s="47" t="n"/>
      <c r="I2122" s="47" t="n"/>
      <c r="J2122" s="47" t="n"/>
      <c r="K2122" s="47" t="n"/>
      <c r="L2122" s="47" t="n"/>
      <c r="M2122" s="47" t="n"/>
      <c r="N2122" s="47" t="n"/>
      <c r="O2122" s="47" t="n"/>
      <c r="P2122" s="47" t="n"/>
      <c r="Q2122" s="47" t="n"/>
      <c r="R2122" s="47" t="n"/>
      <c r="S2122" s="47" t="n"/>
      <c r="T2122" s="47" t="n"/>
      <c r="U2122" s="53" t="n"/>
      <c r="V2122" s="53" t="n"/>
      <c r="W2122" s="47" t="n"/>
      <c r="X2122" s="47" t="n"/>
      <c r="Y2122" s="47" t="n"/>
      <c r="Z2122" s="47" t="n"/>
      <c r="AA2122" s="47" t="n"/>
      <c r="AB2122" s="47" t="n"/>
      <c r="AC2122" s="47" t="n"/>
      <c r="AD2122" s="47" t="n"/>
      <c r="AE2122" s="47" t="n"/>
      <c r="AF2122" s="20">
        <f>IF(A2122="","",YEAR(EDATE(A2122,-3)))</f>
        <v/>
      </c>
      <c r="AG2122" s="20">
        <f>IF(OR(B2122="",'経歴簿'!$C$4=""),"",IF(B2122&amp;""='経歴簿'!$C$4&amp;"",MAX($AG$4:AG2121)+1,""))</f>
        <v/>
      </c>
      <c r="AH2122" s="20">
        <f>IF(A2122="",0,IF(AND(OR('CSV抽出'!$C$4="",A2122&gt;='CSV抽出'!$C$4),OR('CSV抽出'!$C$5="",A2122&lt;='CSV抽出'!$C$5),OR('CSV抽出'!$C$6="すべて",'CSV抽出'!$C$6="",D2122='CSV抽出'!$C$6),OR('CSV抽出'!$C$7="",B2122&amp;""='CSV抽出'!$C$7&amp;"")),1,0))</f>
        <v/>
      </c>
      <c r="AI2122" s="20">
        <f>IF(AH2122=1,SUM($AH$5:AH2122),"")</f>
        <v/>
      </c>
      <c r="AJ2122" s="20">
        <f>IF(OR(S2122="",'報告書'!$C$4=""),"",IF(S2122&amp;""='報告書'!$C$4&amp;"",COUNTIF($S$5:S2122,'報告書'!$C$4),""))</f>
        <v/>
      </c>
      <c r="AK2122" s="20" t="n"/>
      <c r="AL2122" s="47" t="n"/>
      <c r="AM2122" s="47" t="n"/>
      <c r="AN2122" s="53" t="n"/>
      <c r="AO2122" s="47" t="n"/>
      <c r="AP2122" s="47" t="n"/>
      <c r="AQ2122" s="47" t="n"/>
      <c r="AR2122" s="47" t="n"/>
      <c r="AS2122" s="47" t="n"/>
      <c r="AT2122" s="47" t="n"/>
      <c r="AU2122" s="47" t="n"/>
      <c r="AV2122" s="47" t="n"/>
      <c r="AW2122" s="52" t="n"/>
    </row>
    <row r="2123">
      <c r="A2123" s="48" t="n"/>
      <c r="B2123" s="52" t="n"/>
      <c r="C2123" s="47">
        <f>IF(B2123="","",IFERROR(INDEX('隊員マスタ'!$B$5:$B$204,MATCH(B2123&amp;"",'隊員マスタ'!$F$5:$F$204,0)),IF(AK2123="","番号なし",AK2123)))</f>
        <v/>
      </c>
      <c r="D2123" s="47" t="n"/>
      <c r="E2123" s="47" t="n"/>
      <c r="F2123" s="47" t="n"/>
      <c r="G2123" s="47" t="n"/>
      <c r="H2123" s="47" t="n"/>
      <c r="I2123" s="47" t="n"/>
      <c r="J2123" s="47" t="n"/>
      <c r="K2123" s="47" t="n"/>
      <c r="L2123" s="47" t="n"/>
      <c r="M2123" s="47" t="n"/>
      <c r="N2123" s="47" t="n"/>
      <c r="O2123" s="47" t="n"/>
      <c r="P2123" s="47" t="n"/>
      <c r="Q2123" s="47" t="n"/>
      <c r="R2123" s="47" t="n"/>
      <c r="S2123" s="47" t="n"/>
      <c r="T2123" s="47" t="n"/>
      <c r="U2123" s="53" t="n"/>
      <c r="V2123" s="53" t="n"/>
      <c r="W2123" s="47" t="n"/>
      <c r="X2123" s="47" t="n"/>
      <c r="Y2123" s="47" t="n"/>
      <c r="Z2123" s="47" t="n"/>
      <c r="AA2123" s="47" t="n"/>
      <c r="AB2123" s="47" t="n"/>
      <c r="AC2123" s="47" t="n"/>
      <c r="AD2123" s="47" t="n"/>
      <c r="AE2123" s="47" t="n"/>
      <c r="AF2123" s="20">
        <f>IF(A2123="","",YEAR(EDATE(A2123,-3)))</f>
        <v/>
      </c>
      <c r="AG2123" s="20">
        <f>IF(OR(B2123="",'経歴簿'!$C$4=""),"",IF(B2123&amp;""='経歴簿'!$C$4&amp;"",MAX($AG$4:AG2122)+1,""))</f>
        <v/>
      </c>
      <c r="AH2123" s="20">
        <f>IF(A2123="",0,IF(AND(OR('CSV抽出'!$C$4="",A2123&gt;='CSV抽出'!$C$4),OR('CSV抽出'!$C$5="",A2123&lt;='CSV抽出'!$C$5),OR('CSV抽出'!$C$6="すべて",'CSV抽出'!$C$6="",D2123='CSV抽出'!$C$6),OR('CSV抽出'!$C$7="",B2123&amp;""='CSV抽出'!$C$7&amp;"")),1,0))</f>
        <v/>
      </c>
      <c r="AI2123" s="20">
        <f>IF(AH2123=1,SUM($AH$5:AH2123),"")</f>
        <v/>
      </c>
      <c r="AJ2123" s="20">
        <f>IF(OR(S2123="",'報告書'!$C$4=""),"",IF(S2123&amp;""='報告書'!$C$4&amp;"",COUNTIF($S$5:S2123,'報告書'!$C$4),""))</f>
        <v/>
      </c>
      <c r="AK2123" s="20" t="n"/>
      <c r="AL2123" s="47" t="n"/>
      <c r="AM2123" s="47" t="n"/>
      <c r="AN2123" s="53" t="n"/>
      <c r="AO2123" s="47" t="n"/>
      <c r="AP2123" s="47" t="n"/>
      <c r="AQ2123" s="47" t="n"/>
      <c r="AR2123" s="47" t="n"/>
      <c r="AS2123" s="47" t="n"/>
      <c r="AT2123" s="47" t="n"/>
      <c r="AU2123" s="47" t="n"/>
      <c r="AV2123" s="47" t="n"/>
      <c r="AW2123" s="52" t="n"/>
    </row>
    <row r="2124">
      <c r="A2124" s="48" t="n"/>
      <c r="B2124" s="52" t="n"/>
      <c r="C2124" s="47">
        <f>IF(B2124="","",IFERROR(INDEX('隊員マスタ'!$B$5:$B$204,MATCH(B2124&amp;"",'隊員マスタ'!$F$5:$F$204,0)),IF(AK2124="","番号なし",AK2124)))</f>
        <v/>
      </c>
      <c r="D2124" s="47" t="n"/>
      <c r="E2124" s="47" t="n"/>
      <c r="F2124" s="47" t="n"/>
      <c r="G2124" s="47" t="n"/>
      <c r="H2124" s="47" t="n"/>
      <c r="I2124" s="47" t="n"/>
      <c r="J2124" s="47" t="n"/>
      <c r="K2124" s="47" t="n"/>
      <c r="L2124" s="47" t="n"/>
      <c r="M2124" s="47" t="n"/>
      <c r="N2124" s="47" t="n"/>
      <c r="O2124" s="47" t="n"/>
      <c r="P2124" s="47" t="n"/>
      <c r="Q2124" s="47" t="n"/>
      <c r="R2124" s="47" t="n"/>
      <c r="S2124" s="47" t="n"/>
      <c r="T2124" s="47" t="n"/>
      <c r="U2124" s="53" t="n"/>
      <c r="V2124" s="53" t="n"/>
      <c r="W2124" s="47" t="n"/>
      <c r="X2124" s="47" t="n"/>
      <c r="Y2124" s="47" t="n"/>
      <c r="Z2124" s="47" t="n"/>
      <c r="AA2124" s="47" t="n"/>
      <c r="AB2124" s="47" t="n"/>
      <c r="AC2124" s="47" t="n"/>
      <c r="AD2124" s="47" t="n"/>
      <c r="AE2124" s="47" t="n"/>
      <c r="AF2124" s="20">
        <f>IF(A2124="","",YEAR(EDATE(A2124,-3)))</f>
        <v/>
      </c>
      <c r="AG2124" s="20">
        <f>IF(OR(B2124="",'経歴簿'!$C$4=""),"",IF(B2124&amp;""='経歴簿'!$C$4&amp;"",MAX($AG$4:AG2123)+1,""))</f>
        <v/>
      </c>
      <c r="AH2124" s="20">
        <f>IF(A2124="",0,IF(AND(OR('CSV抽出'!$C$4="",A2124&gt;='CSV抽出'!$C$4),OR('CSV抽出'!$C$5="",A2124&lt;='CSV抽出'!$C$5),OR('CSV抽出'!$C$6="すべて",'CSV抽出'!$C$6="",D2124='CSV抽出'!$C$6),OR('CSV抽出'!$C$7="",B2124&amp;""='CSV抽出'!$C$7&amp;"")),1,0))</f>
        <v/>
      </c>
      <c r="AI2124" s="20">
        <f>IF(AH2124=1,SUM($AH$5:AH2124),"")</f>
        <v/>
      </c>
      <c r="AJ2124" s="20">
        <f>IF(OR(S2124="",'報告書'!$C$4=""),"",IF(S2124&amp;""='報告書'!$C$4&amp;"",COUNTIF($S$5:S2124,'報告書'!$C$4),""))</f>
        <v/>
      </c>
      <c r="AK2124" s="20" t="n"/>
      <c r="AL2124" s="47" t="n"/>
      <c r="AM2124" s="47" t="n"/>
      <c r="AN2124" s="53" t="n"/>
      <c r="AO2124" s="47" t="n"/>
      <c r="AP2124" s="47" t="n"/>
      <c r="AQ2124" s="47" t="n"/>
      <c r="AR2124" s="47" t="n"/>
      <c r="AS2124" s="47" t="n"/>
      <c r="AT2124" s="47" t="n"/>
      <c r="AU2124" s="47" t="n"/>
      <c r="AV2124" s="47" t="n"/>
      <c r="AW2124" s="52" t="n"/>
    </row>
    <row r="2125">
      <c r="A2125" s="48" t="n"/>
      <c r="B2125" s="52" t="n"/>
      <c r="C2125" s="47">
        <f>IF(B2125="","",IFERROR(INDEX('隊員マスタ'!$B$5:$B$204,MATCH(B2125&amp;"",'隊員マスタ'!$F$5:$F$204,0)),IF(AK2125="","番号なし",AK2125)))</f>
        <v/>
      </c>
      <c r="D2125" s="47" t="n"/>
      <c r="E2125" s="47" t="n"/>
      <c r="F2125" s="47" t="n"/>
      <c r="G2125" s="47" t="n"/>
      <c r="H2125" s="47" t="n"/>
      <c r="I2125" s="47" t="n"/>
      <c r="J2125" s="47" t="n"/>
      <c r="K2125" s="47" t="n"/>
      <c r="L2125" s="47" t="n"/>
      <c r="M2125" s="47" t="n"/>
      <c r="N2125" s="47" t="n"/>
      <c r="O2125" s="47" t="n"/>
      <c r="P2125" s="47" t="n"/>
      <c r="Q2125" s="47" t="n"/>
      <c r="R2125" s="47" t="n"/>
      <c r="S2125" s="47" t="n"/>
      <c r="T2125" s="47" t="n"/>
      <c r="U2125" s="53" t="n"/>
      <c r="V2125" s="53" t="n"/>
      <c r="W2125" s="47" t="n"/>
      <c r="X2125" s="47" t="n"/>
      <c r="Y2125" s="47" t="n"/>
      <c r="Z2125" s="47" t="n"/>
      <c r="AA2125" s="47" t="n"/>
      <c r="AB2125" s="47" t="n"/>
      <c r="AC2125" s="47" t="n"/>
      <c r="AD2125" s="47" t="n"/>
      <c r="AE2125" s="47" t="n"/>
      <c r="AF2125" s="20">
        <f>IF(A2125="","",YEAR(EDATE(A2125,-3)))</f>
        <v/>
      </c>
      <c r="AG2125" s="20">
        <f>IF(OR(B2125="",'経歴簿'!$C$4=""),"",IF(B2125&amp;""='経歴簿'!$C$4&amp;"",MAX($AG$4:AG2124)+1,""))</f>
        <v/>
      </c>
      <c r="AH2125" s="20">
        <f>IF(A2125="",0,IF(AND(OR('CSV抽出'!$C$4="",A2125&gt;='CSV抽出'!$C$4),OR('CSV抽出'!$C$5="",A2125&lt;='CSV抽出'!$C$5),OR('CSV抽出'!$C$6="すべて",'CSV抽出'!$C$6="",D2125='CSV抽出'!$C$6),OR('CSV抽出'!$C$7="",B2125&amp;""='CSV抽出'!$C$7&amp;"")),1,0))</f>
        <v/>
      </c>
      <c r="AI2125" s="20">
        <f>IF(AH2125=1,SUM($AH$5:AH2125),"")</f>
        <v/>
      </c>
      <c r="AJ2125" s="20">
        <f>IF(OR(S2125="",'報告書'!$C$4=""),"",IF(S2125&amp;""='報告書'!$C$4&amp;"",COUNTIF($S$5:S2125,'報告書'!$C$4),""))</f>
        <v/>
      </c>
      <c r="AK2125" s="20" t="n"/>
      <c r="AL2125" s="47" t="n"/>
      <c r="AM2125" s="47" t="n"/>
      <c r="AN2125" s="53" t="n"/>
      <c r="AO2125" s="47" t="n"/>
      <c r="AP2125" s="47" t="n"/>
      <c r="AQ2125" s="47" t="n"/>
      <c r="AR2125" s="47" t="n"/>
      <c r="AS2125" s="47" t="n"/>
      <c r="AT2125" s="47" t="n"/>
      <c r="AU2125" s="47" t="n"/>
      <c r="AV2125" s="47" t="n"/>
      <c r="AW2125" s="52" t="n"/>
    </row>
    <row r="2126">
      <c r="A2126" s="48" t="n"/>
      <c r="B2126" s="52" t="n"/>
      <c r="C2126" s="47">
        <f>IF(B2126="","",IFERROR(INDEX('隊員マスタ'!$B$5:$B$204,MATCH(B2126&amp;"",'隊員マスタ'!$F$5:$F$204,0)),IF(AK2126="","番号なし",AK2126)))</f>
        <v/>
      </c>
      <c r="D2126" s="47" t="n"/>
      <c r="E2126" s="47" t="n"/>
      <c r="F2126" s="47" t="n"/>
      <c r="G2126" s="47" t="n"/>
      <c r="H2126" s="47" t="n"/>
      <c r="I2126" s="47" t="n"/>
      <c r="J2126" s="47" t="n"/>
      <c r="K2126" s="47" t="n"/>
      <c r="L2126" s="47" t="n"/>
      <c r="M2126" s="47" t="n"/>
      <c r="N2126" s="47" t="n"/>
      <c r="O2126" s="47" t="n"/>
      <c r="P2126" s="47" t="n"/>
      <c r="Q2126" s="47" t="n"/>
      <c r="R2126" s="47" t="n"/>
      <c r="S2126" s="47" t="n"/>
      <c r="T2126" s="47" t="n"/>
      <c r="U2126" s="53" t="n"/>
      <c r="V2126" s="53" t="n"/>
      <c r="W2126" s="47" t="n"/>
      <c r="X2126" s="47" t="n"/>
      <c r="Y2126" s="47" t="n"/>
      <c r="Z2126" s="47" t="n"/>
      <c r="AA2126" s="47" t="n"/>
      <c r="AB2126" s="47" t="n"/>
      <c r="AC2126" s="47" t="n"/>
      <c r="AD2126" s="47" t="n"/>
      <c r="AE2126" s="47" t="n"/>
      <c r="AF2126" s="20">
        <f>IF(A2126="","",YEAR(EDATE(A2126,-3)))</f>
        <v/>
      </c>
      <c r="AG2126" s="20">
        <f>IF(OR(B2126="",'経歴簿'!$C$4=""),"",IF(B2126&amp;""='経歴簿'!$C$4&amp;"",MAX($AG$4:AG2125)+1,""))</f>
        <v/>
      </c>
      <c r="AH2126" s="20">
        <f>IF(A2126="",0,IF(AND(OR('CSV抽出'!$C$4="",A2126&gt;='CSV抽出'!$C$4),OR('CSV抽出'!$C$5="",A2126&lt;='CSV抽出'!$C$5),OR('CSV抽出'!$C$6="すべて",'CSV抽出'!$C$6="",D2126='CSV抽出'!$C$6),OR('CSV抽出'!$C$7="",B2126&amp;""='CSV抽出'!$C$7&amp;"")),1,0))</f>
        <v/>
      </c>
      <c r="AI2126" s="20">
        <f>IF(AH2126=1,SUM($AH$5:AH2126),"")</f>
        <v/>
      </c>
      <c r="AJ2126" s="20">
        <f>IF(OR(S2126="",'報告書'!$C$4=""),"",IF(S2126&amp;""='報告書'!$C$4&amp;"",COUNTIF($S$5:S2126,'報告書'!$C$4),""))</f>
        <v/>
      </c>
      <c r="AK2126" s="20" t="n"/>
      <c r="AL2126" s="47" t="n"/>
      <c r="AM2126" s="47" t="n"/>
      <c r="AN2126" s="53" t="n"/>
      <c r="AO2126" s="47" t="n"/>
      <c r="AP2126" s="47" t="n"/>
      <c r="AQ2126" s="47" t="n"/>
      <c r="AR2126" s="47" t="n"/>
      <c r="AS2126" s="47" t="n"/>
      <c r="AT2126" s="47" t="n"/>
      <c r="AU2126" s="47" t="n"/>
      <c r="AV2126" s="47" t="n"/>
      <c r="AW2126" s="52" t="n"/>
    </row>
    <row r="2127">
      <c r="A2127" s="48" t="n"/>
      <c r="B2127" s="52" t="n"/>
      <c r="C2127" s="47">
        <f>IF(B2127="","",IFERROR(INDEX('隊員マスタ'!$B$5:$B$204,MATCH(B2127&amp;"",'隊員マスタ'!$F$5:$F$204,0)),IF(AK2127="","番号なし",AK2127)))</f>
        <v/>
      </c>
      <c r="D2127" s="47" t="n"/>
      <c r="E2127" s="47" t="n"/>
      <c r="F2127" s="47" t="n"/>
      <c r="G2127" s="47" t="n"/>
      <c r="H2127" s="47" t="n"/>
      <c r="I2127" s="47" t="n"/>
      <c r="J2127" s="47" t="n"/>
      <c r="K2127" s="47" t="n"/>
      <c r="L2127" s="47" t="n"/>
      <c r="M2127" s="47" t="n"/>
      <c r="N2127" s="47" t="n"/>
      <c r="O2127" s="47" t="n"/>
      <c r="P2127" s="47" t="n"/>
      <c r="Q2127" s="47" t="n"/>
      <c r="R2127" s="47" t="n"/>
      <c r="S2127" s="47" t="n"/>
      <c r="T2127" s="47" t="n"/>
      <c r="U2127" s="53" t="n"/>
      <c r="V2127" s="53" t="n"/>
      <c r="W2127" s="47" t="n"/>
      <c r="X2127" s="47" t="n"/>
      <c r="Y2127" s="47" t="n"/>
      <c r="Z2127" s="47" t="n"/>
      <c r="AA2127" s="47" t="n"/>
      <c r="AB2127" s="47" t="n"/>
      <c r="AC2127" s="47" t="n"/>
      <c r="AD2127" s="47" t="n"/>
      <c r="AE2127" s="47" t="n"/>
      <c r="AF2127" s="20">
        <f>IF(A2127="","",YEAR(EDATE(A2127,-3)))</f>
        <v/>
      </c>
      <c r="AG2127" s="20">
        <f>IF(OR(B2127="",'経歴簿'!$C$4=""),"",IF(B2127&amp;""='経歴簿'!$C$4&amp;"",MAX($AG$4:AG2126)+1,""))</f>
        <v/>
      </c>
      <c r="AH2127" s="20">
        <f>IF(A2127="",0,IF(AND(OR('CSV抽出'!$C$4="",A2127&gt;='CSV抽出'!$C$4),OR('CSV抽出'!$C$5="",A2127&lt;='CSV抽出'!$C$5),OR('CSV抽出'!$C$6="すべて",'CSV抽出'!$C$6="",D2127='CSV抽出'!$C$6),OR('CSV抽出'!$C$7="",B2127&amp;""='CSV抽出'!$C$7&amp;"")),1,0))</f>
        <v/>
      </c>
      <c r="AI2127" s="20">
        <f>IF(AH2127=1,SUM($AH$5:AH2127),"")</f>
        <v/>
      </c>
      <c r="AJ2127" s="20">
        <f>IF(OR(S2127="",'報告書'!$C$4=""),"",IF(S2127&amp;""='報告書'!$C$4&amp;"",COUNTIF($S$5:S2127,'報告書'!$C$4),""))</f>
        <v/>
      </c>
      <c r="AK2127" s="20" t="n"/>
      <c r="AL2127" s="47" t="n"/>
      <c r="AM2127" s="47" t="n"/>
      <c r="AN2127" s="53" t="n"/>
      <c r="AO2127" s="47" t="n"/>
      <c r="AP2127" s="47" t="n"/>
      <c r="AQ2127" s="47" t="n"/>
      <c r="AR2127" s="47" t="n"/>
      <c r="AS2127" s="47" t="n"/>
      <c r="AT2127" s="47" t="n"/>
      <c r="AU2127" s="47" t="n"/>
      <c r="AV2127" s="47" t="n"/>
      <c r="AW2127" s="52" t="n"/>
    </row>
    <row r="2128">
      <c r="A2128" s="48" t="n"/>
      <c r="B2128" s="52" t="n"/>
      <c r="C2128" s="47">
        <f>IF(B2128="","",IFERROR(INDEX('隊員マスタ'!$B$5:$B$204,MATCH(B2128&amp;"",'隊員マスタ'!$F$5:$F$204,0)),IF(AK2128="","番号なし",AK2128)))</f>
        <v/>
      </c>
      <c r="D2128" s="47" t="n"/>
      <c r="E2128" s="47" t="n"/>
      <c r="F2128" s="47" t="n"/>
      <c r="G2128" s="47" t="n"/>
      <c r="H2128" s="47" t="n"/>
      <c r="I2128" s="47" t="n"/>
      <c r="J2128" s="47" t="n"/>
      <c r="K2128" s="47" t="n"/>
      <c r="L2128" s="47" t="n"/>
      <c r="M2128" s="47" t="n"/>
      <c r="N2128" s="47" t="n"/>
      <c r="O2128" s="47" t="n"/>
      <c r="P2128" s="47" t="n"/>
      <c r="Q2128" s="47" t="n"/>
      <c r="R2128" s="47" t="n"/>
      <c r="S2128" s="47" t="n"/>
      <c r="T2128" s="47" t="n"/>
      <c r="U2128" s="53" t="n"/>
      <c r="V2128" s="53" t="n"/>
      <c r="W2128" s="47" t="n"/>
      <c r="X2128" s="47" t="n"/>
      <c r="Y2128" s="47" t="n"/>
      <c r="Z2128" s="47" t="n"/>
      <c r="AA2128" s="47" t="n"/>
      <c r="AB2128" s="47" t="n"/>
      <c r="AC2128" s="47" t="n"/>
      <c r="AD2128" s="47" t="n"/>
      <c r="AE2128" s="47" t="n"/>
      <c r="AF2128" s="20">
        <f>IF(A2128="","",YEAR(EDATE(A2128,-3)))</f>
        <v/>
      </c>
      <c r="AG2128" s="20">
        <f>IF(OR(B2128="",'経歴簿'!$C$4=""),"",IF(B2128&amp;""='経歴簿'!$C$4&amp;"",MAX($AG$4:AG2127)+1,""))</f>
        <v/>
      </c>
      <c r="AH2128" s="20">
        <f>IF(A2128="",0,IF(AND(OR('CSV抽出'!$C$4="",A2128&gt;='CSV抽出'!$C$4),OR('CSV抽出'!$C$5="",A2128&lt;='CSV抽出'!$C$5),OR('CSV抽出'!$C$6="すべて",'CSV抽出'!$C$6="",D2128='CSV抽出'!$C$6),OR('CSV抽出'!$C$7="",B2128&amp;""='CSV抽出'!$C$7&amp;"")),1,0))</f>
        <v/>
      </c>
      <c r="AI2128" s="20">
        <f>IF(AH2128=1,SUM($AH$5:AH2128),"")</f>
        <v/>
      </c>
      <c r="AJ2128" s="20">
        <f>IF(OR(S2128="",'報告書'!$C$4=""),"",IF(S2128&amp;""='報告書'!$C$4&amp;"",COUNTIF($S$5:S2128,'報告書'!$C$4),""))</f>
        <v/>
      </c>
      <c r="AK2128" s="20" t="n"/>
      <c r="AL2128" s="47" t="n"/>
      <c r="AM2128" s="47" t="n"/>
      <c r="AN2128" s="53" t="n"/>
      <c r="AO2128" s="47" t="n"/>
      <c r="AP2128" s="47" t="n"/>
      <c r="AQ2128" s="47" t="n"/>
      <c r="AR2128" s="47" t="n"/>
      <c r="AS2128" s="47" t="n"/>
      <c r="AT2128" s="47" t="n"/>
      <c r="AU2128" s="47" t="n"/>
      <c r="AV2128" s="47" t="n"/>
      <c r="AW2128" s="52" t="n"/>
    </row>
    <row r="2129">
      <c r="A2129" s="48" t="n"/>
      <c r="B2129" s="52" t="n"/>
      <c r="C2129" s="47">
        <f>IF(B2129="","",IFERROR(INDEX('隊員マスタ'!$B$5:$B$204,MATCH(B2129&amp;"",'隊員マスタ'!$F$5:$F$204,0)),IF(AK2129="","番号なし",AK2129)))</f>
        <v/>
      </c>
      <c r="D2129" s="47" t="n"/>
      <c r="E2129" s="47" t="n"/>
      <c r="F2129" s="47" t="n"/>
      <c r="G2129" s="47" t="n"/>
      <c r="H2129" s="47" t="n"/>
      <c r="I2129" s="47" t="n"/>
      <c r="J2129" s="47" t="n"/>
      <c r="K2129" s="47" t="n"/>
      <c r="L2129" s="47" t="n"/>
      <c r="M2129" s="47" t="n"/>
      <c r="N2129" s="47" t="n"/>
      <c r="O2129" s="47" t="n"/>
      <c r="P2129" s="47" t="n"/>
      <c r="Q2129" s="47" t="n"/>
      <c r="R2129" s="47" t="n"/>
      <c r="S2129" s="47" t="n"/>
      <c r="T2129" s="47" t="n"/>
      <c r="U2129" s="53" t="n"/>
      <c r="V2129" s="53" t="n"/>
      <c r="W2129" s="47" t="n"/>
      <c r="X2129" s="47" t="n"/>
      <c r="Y2129" s="47" t="n"/>
      <c r="Z2129" s="47" t="n"/>
      <c r="AA2129" s="47" t="n"/>
      <c r="AB2129" s="47" t="n"/>
      <c r="AC2129" s="47" t="n"/>
      <c r="AD2129" s="47" t="n"/>
      <c r="AE2129" s="47" t="n"/>
      <c r="AF2129" s="20">
        <f>IF(A2129="","",YEAR(EDATE(A2129,-3)))</f>
        <v/>
      </c>
      <c r="AG2129" s="20">
        <f>IF(OR(B2129="",'経歴簿'!$C$4=""),"",IF(B2129&amp;""='経歴簿'!$C$4&amp;"",MAX($AG$4:AG2128)+1,""))</f>
        <v/>
      </c>
      <c r="AH2129" s="20">
        <f>IF(A2129="",0,IF(AND(OR('CSV抽出'!$C$4="",A2129&gt;='CSV抽出'!$C$4),OR('CSV抽出'!$C$5="",A2129&lt;='CSV抽出'!$C$5),OR('CSV抽出'!$C$6="すべて",'CSV抽出'!$C$6="",D2129='CSV抽出'!$C$6),OR('CSV抽出'!$C$7="",B2129&amp;""='CSV抽出'!$C$7&amp;"")),1,0))</f>
        <v/>
      </c>
      <c r="AI2129" s="20">
        <f>IF(AH2129=1,SUM($AH$5:AH2129),"")</f>
        <v/>
      </c>
      <c r="AJ2129" s="20">
        <f>IF(OR(S2129="",'報告書'!$C$4=""),"",IF(S2129&amp;""='報告書'!$C$4&amp;"",COUNTIF($S$5:S2129,'報告書'!$C$4),""))</f>
        <v/>
      </c>
      <c r="AK2129" s="20" t="n"/>
      <c r="AL2129" s="47" t="n"/>
      <c r="AM2129" s="47" t="n"/>
      <c r="AN2129" s="53" t="n"/>
      <c r="AO2129" s="47" t="n"/>
      <c r="AP2129" s="47" t="n"/>
      <c r="AQ2129" s="47" t="n"/>
      <c r="AR2129" s="47" t="n"/>
      <c r="AS2129" s="47" t="n"/>
      <c r="AT2129" s="47" t="n"/>
      <c r="AU2129" s="47" t="n"/>
      <c r="AV2129" s="47" t="n"/>
      <c r="AW2129" s="52" t="n"/>
    </row>
    <row r="2130">
      <c r="A2130" s="48" t="n"/>
      <c r="B2130" s="52" t="n"/>
      <c r="C2130" s="47">
        <f>IF(B2130="","",IFERROR(INDEX('隊員マスタ'!$B$5:$B$204,MATCH(B2130&amp;"",'隊員マスタ'!$F$5:$F$204,0)),IF(AK2130="","番号なし",AK2130)))</f>
        <v/>
      </c>
      <c r="D2130" s="47" t="n"/>
      <c r="E2130" s="47" t="n"/>
      <c r="F2130" s="47" t="n"/>
      <c r="G2130" s="47" t="n"/>
      <c r="H2130" s="47" t="n"/>
      <c r="I2130" s="47" t="n"/>
      <c r="J2130" s="47" t="n"/>
      <c r="K2130" s="47" t="n"/>
      <c r="L2130" s="47" t="n"/>
      <c r="M2130" s="47" t="n"/>
      <c r="N2130" s="47" t="n"/>
      <c r="O2130" s="47" t="n"/>
      <c r="P2130" s="47" t="n"/>
      <c r="Q2130" s="47" t="n"/>
      <c r="R2130" s="47" t="n"/>
      <c r="S2130" s="47" t="n"/>
      <c r="T2130" s="47" t="n"/>
      <c r="U2130" s="53" t="n"/>
      <c r="V2130" s="53" t="n"/>
      <c r="W2130" s="47" t="n"/>
      <c r="X2130" s="47" t="n"/>
      <c r="Y2130" s="47" t="n"/>
      <c r="Z2130" s="47" t="n"/>
      <c r="AA2130" s="47" t="n"/>
      <c r="AB2130" s="47" t="n"/>
      <c r="AC2130" s="47" t="n"/>
      <c r="AD2130" s="47" t="n"/>
      <c r="AE2130" s="47" t="n"/>
      <c r="AF2130" s="20">
        <f>IF(A2130="","",YEAR(EDATE(A2130,-3)))</f>
        <v/>
      </c>
      <c r="AG2130" s="20">
        <f>IF(OR(B2130="",'経歴簿'!$C$4=""),"",IF(B2130&amp;""='経歴簿'!$C$4&amp;"",MAX($AG$4:AG2129)+1,""))</f>
        <v/>
      </c>
      <c r="AH2130" s="20">
        <f>IF(A2130="",0,IF(AND(OR('CSV抽出'!$C$4="",A2130&gt;='CSV抽出'!$C$4),OR('CSV抽出'!$C$5="",A2130&lt;='CSV抽出'!$C$5),OR('CSV抽出'!$C$6="すべて",'CSV抽出'!$C$6="",D2130='CSV抽出'!$C$6),OR('CSV抽出'!$C$7="",B2130&amp;""='CSV抽出'!$C$7&amp;"")),1,0))</f>
        <v/>
      </c>
      <c r="AI2130" s="20">
        <f>IF(AH2130=1,SUM($AH$5:AH2130),"")</f>
        <v/>
      </c>
      <c r="AJ2130" s="20">
        <f>IF(OR(S2130="",'報告書'!$C$4=""),"",IF(S2130&amp;""='報告書'!$C$4&amp;"",COUNTIF($S$5:S2130,'報告書'!$C$4),""))</f>
        <v/>
      </c>
      <c r="AK2130" s="20" t="n"/>
      <c r="AL2130" s="47" t="n"/>
      <c r="AM2130" s="47" t="n"/>
      <c r="AN2130" s="53" t="n"/>
      <c r="AO2130" s="47" t="n"/>
      <c r="AP2130" s="47" t="n"/>
      <c r="AQ2130" s="47" t="n"/>
      <c r="AR2130" s="47" t="n"/>
      <c r="AS2130" s="47" t="n"/>
      <c r="AT2130" s="47" t="n"/>
      <c r="AU2130" s="47" t="n"/>
      <c r="AV2130" s="47" t="n"/>
      <c r="AW2130" s="52" t="n"/>
    </row>
    <row r="2131">
      <c r="A2131" s="48" t="n"/>
      <c r="B2131" s="52" t="n"/>
      <c r="C2131" s="47">
        <f>IF(B2131="","",IFERROR(INDEX('隊員マスタ'!$B$5:$B$204,MATCH(B2131&amp;"",'隊員マスタ'!$F$5:$F$204,0)),IF(AK2131="","番号なし",AK2131)))</f>
        <v/>
      </c>
      <c r="D2131" s="47" t="n"/>
      <c r="E2131" s="47" t="n"/>
      <c r="F2131" s="47" t="n"/>
      <c r="G2131" s="47" t="n"/>
      <c r="H2131" s="47" t="n"/>
      <c r="I2131" s="47" t="n"/>
      <c r="J2131" s="47" t="n"/>
      <c r="K2131" s="47" t="n"/>
      <c r="L2131" s="47" t="n"/>
      <c r="M2131" s="47" t="n"/>
      <c r="N2131" s="47" t="n"/>
      <c r="O2131" s="47" t="n"/>
      <c r="P2131" s="47" t="n"/>
      <c r="Q2131" s="47" t="n"/>
      <c r="R2131" s="47" t="n"/>
      <c r="S2131" s="47" t="n"/>
      <c r="T2131" s="47" t="n"/>
      <c r="U2131" s="53" t="n"/>
      <c r="V2131" s="53" t="n"/>
      <c r="W2131" s="47" t="n"/>
      <c r="X2131" s="47" t="n"/>
      <c r="Y2131" s="47" t="n"/>
      <c r="Z2131" s="47" t="n"/>
      <c r="AA2131" s="47" t="n"/>
      <c r="AB2131" s="47" t="n"/>
      <c r="AC2131" s="47" t="n"/>
      <c r="AD2131" s="47" t="n"/>
      <c r="AE2131" s="47" t="n"/>
      <c r="AF2131" s="20">
        <f>IF(A2131="","",YEAR(EDATE(A2131,-3)))</f>
        <v/>
      </c>
      <c r="AG2131" s="20">
        <f>IF(OR(B2131="",'経歴簿'!$C$4=""),"",IF(B2131&amp;""='経歴簿'!$C$4&amp;"",MAX($AG$4:AG2130)+1,""))</f>
        <v/>
      </c>
      <c r="AH2131" s="20">
        <f>IF(A2131="",0,IF(AND(OR('CSV抽出'!$C$4="",A2131&gt;='CSV抽出'!$C$4),OR('CSV抽出'!$C$5="",A2131&lt;='CSV抽出'!$C$5),OR('CSV抽出'!$C$6="すべて",'CSV抽出'!$C$6="",D2131='CSV抽出'!$C$6),OR('CSV抽出'!$C$7="",B2131&amp;""='CSV抽出'!$C$7&amp;"")),1,0))</f>
        <v/>
      </c>
      <c r="AI2131" s="20">
        <f>IF(AH2131=1,SUM($AH$5:AH2131),"")</f>
        <v/>
      </c>
      <c r="AJ2131" s="20">
        <f>IF(OR(S2131="",'報告書'!$C$4=""),"",IF(S2131&amp;""='報告書'!$C$4&amp;"",COUNTIF($S$5:S2131,'報告書'!$C$4),""))</f>
        <v/>
      </c>
      <c r="AK2131" s="20" t="n"/>
      <c r="AL2131" s="47" t="n"/>
      <c r="AM2131" s="47" t="n"/>
      <c r="AN2131" s="53" t="n"/>
      <c r="AO2131" s="47" t="n"/>
      <c r="AP2131" s="47" t="n"/>
      <c r="AQ2131" s="47" t="n"/>
      <c r="AR2131" s="47" t="n"/>
      <c r="AS2131" s="47" t="n"/>
      <c r="AT2131" s="47" t="n"/>
      <c r="AU2131" s="47" t="n"/>
      <c r="AV2131" s="47" t="n"/>
      <c r="AW2131" s="52" t="n"/>
    </row>
    <row r="2132">
      <c r="A2132" s="48" t="n"/>
      <c r="B2132" s="52" t="n"/>
      <c r="C2132" s="47">
        <f>IF(B2132="","",IFERROR(INDEX('隊員マスタ'!$B$5:$B$204,MATCH(B2132&amp;"",'隊員マスタ'!$F$5:$F$204,0)),IF(AK2132="","番号なし",AK2132)))</f>
        <v/>
      </c>
      <c r="D2132" s="47" t="n"/>
      <c r="E2132" s="47" t="n"/>
      <c r="F2132" s="47" t="n"/>
      <c r="G2132" s="47" t="n"/>
      <c r="H2132" s="47" t="n"/>
      <c r="I2132" s="47" t="n"/>
      <c r="J2132" s="47" t="n"/>
      <c r="K2132" s="47" t="n"/>
      <c r="L2132" s="47" t="n"/>
      <c r="M2132" s="47" t="n"/>
      <c r="N2132" s="47" t="n"/>
      <c r="O2132" s="47" t="n"/>
      <c r="P2132" s="47" t="n"/>
      <c r="Q2132" s="47" t="n"/>
      <c r="R2132" s="47" t="n"/>
      <c r="S2132" s="47" t="n"/>
      <c r="T2132" s="47" t="n"/>
      <c r="U2132" s="53" t="n"/>
      <c r="V2132" s="53" t="n"/>
      <c r="W2132" s="47" t="n"/>
      <c r="X2132" s="47" t="n"/>
      <c r="Y2132" s="47" t="n"/>
      <c r="Z2132" s="47" t="n"/>
      <c r="AA2132" s="47" t="n"/>
      <c r="AB2132" s="47" t="n"/>
      <c r="AC2132" s="47" t="n"/>
      <c r="AD2132" s="47" t="n"/>
      <c r="AE2132" s="47" t="n"/>
      <c r="AF2132" s="20">
        <f>IF(A2132="","",YEAR(EDATE(A2132,-3)))</f>
        <v/>
      </c>
      <c r="AG2132" s="20">
        <f>IF(OR(B2132="",'経歴簿'!$C$4=""),"",IF(B2132&amp;""='経歴簿'!$C$4&amp;"",MAX($AG$4:AG2131)+1,""))</f>
        <v/>
      </c>
      <c r="AH2132" s="20">
        <f>IF(A2132="",0,IF(AND(OR('CSV抽出'!$C$4="",A2132&gt;='CSV抽出'!$C$4),OR('CSV抽出'!$C$5="",A2132&lt;='CSV抽出'!$C$5),OR('CSV抽出'!$C$6="すべて",'CSV抽出'!$C$6="",D2132='CSV抽出'!$C$6),OR('CSV抽出'!$C$7="",B2132&amp;""='CSV抽出'!$C$7&amp;"")),1,0))</f>
        <v/>
      </c>
      <c r="AI2132" s="20">
        <f>IF(AH2132=1,SUM($AH$5:AH2132),"")</f>
        <v/>
      </c>
      <c r="AJ2132" s="20">
        <f>IF(OR(S2132="",'報告書'!$C$4=""),"",IF(S2132&amp;""='報告書'!$C$4&amp;"",COUNTIF($S$5:S2132,'報告書'!$C$4),""))</f>
        <v/>
      </c>
      <c r="AK2132" s="20" t="n"/>
      <c r="AL2132" s="47" t="n"/>
      <c r="AM2132" s="47" t="n"/>
      <c r="AN2132" s="53" t="n"/>
      <c r="AO2132" s="47" t="n"/>
      <c r="AP2132" s="47" t="n"/>
      <c r="AQ2132" s="47" t="n"/>
      <c r="AR2132" s="47" t="n"/>
      <c r="AS2132" s="47" t="n"/>
      <c r="AT2132" s="47" t="n"/>
      <c r="AU2132" s="47" t="n"/>
      <c r="AV2132" s="47" t="n"/>
      <c r="AW2132" s="52" t="n"/>
    </row>
    <row r="2133">
      <c r="A2133" s="48" t="n"/>
      <c r="B2133" s="52" t="n"/>
      <c r="C2133" s="47">
        <f>IF(B2133="","",IFERROR(INDEX('隊員マスタ'!$B$5:$B$204,MATCH(B2133&amp;"",'隊員マスタ'!$F$5:$F$204,0)),IF(AK2133="","番号なし",AK2133)))</f>
        <v/>
      </c>
      <c r="D2133" s="47" t="n"/>
      <c r="E2133" s="47" t="n"/>
      <c r="F2133" s="47" t="n"/>
      <c r="G2133" s="47" t="n"/>
      <c r="H2133" s="47" t="n"/>
      <c r="I2133" s="47" t="n"/>
      <c r="J2133" s="47" t="n"/>
      <c r="K2133" s="47" t="n"/>
      <c r="L2133" s="47" t="n"/>
      <c r="M2133" s="47" t="n"/>
      <c r="N2133" s="47" t="n"/>
      <c r="O2133" s="47" t="n"/>
      <c r="P2133" s="47" t="n"/>
      <c r="Q2133" s="47" t="n"/>
      <c r="R2133" s="47" t="n"/>
      <c r="S2133" s="47" t="n"/>
      <c r="T2133" s="47" t="n"/>
      <c r="U2133" s="53" t="n"/>
      <c r="V2133" s="53" t="n"/>
      <c r="W2133" s="47" t="n"/>
      <c r="X2133" s="47" t="n"/>
      <c r="Y2133" s="47" t="n"/>
      <c r="Z2133" s="47" t="n"/>
      <c r="AA2133" s="47" t="n"/>
      <c r="AB2133" s="47" t="n"/>
      <c r="AC2133" s="47" t="n"/>
      <c r="AD2133" s="47" t="n"/>
      <c r="AE2133" s="47" t="n"/>
      <c r="AF2133" s="20">
        <f>IF(A2133="","",YEAR(EDATE(A2133,-3)))</f>
        <v/>
      </c>
      <c r="AG2133" s="20">
        <f>IF(OR(B2133="",'経歴簿'!$C$4=""),"",IF(B2133&amp;""='経歴簿'!$C$4&amp;"",MAX($AG$4:AG2132)+1,""))</f>
        <v/>
      </c>
      <c r="AH2133" s="20">
        <f>IF(A2133="",0,IF(AND(OR('CSV抽出'!$C$4="",A2133&gt;='CSV抽出'!$C$4),OR('CSV抽出'!$C$5="",A2133&lt;='CSV抽出'!$C$5),OR('CSV抽出'!$C$6="すべて",'CSV抽出'!$C$6="",D2133='CSV抽出'!$C$6),OR('CSV抽出'!$C$7="",B2133&amp;""='CSV抽出'!$C$7&amp;"")),1,0))</f>
        <v/>
      </c>
      <c r="AI2133" s="20">
        <f>IF(AH2133=1,SUM($AH$5:AH2133),"")</f>
        <v/>
      </c>
      <c r="AJ2133" s="20">
        <f>IF(OR(S2133="",'報告書'!$C$4=""),"",IF(S2133&amp;""='報告書'!$C$4&amp;"",COUNTIF($S$5:S2133,'報告書'!$C$4),""))</f>
        <v/>
      </c>
      <c r="AK2133" s="20" t="n"/>
      <c r="AL2133" s="47" t="n"/>
      <c r="AM2133" s="47" t="n"/>
      <c r="AN2133" s="53" t="n"/>
      <c r="AO2133" s="47" t="n"/>
      <c r="AP2133" s="47" t="n"/>
      <c r="AQ2133" s="47" t="n"/>
      <c r="AR2133" s="47" t="n"/>
      <c r="AS2133" s="47" t="n"/>
      <c r="AT2133" s="47" t="n"/>
      <c r="AU2133" s="47" t="n"/>
      <c r="AV2133" s="47" t="n"/>
      <c r="AW2133" s="52" t="n"/>
    </row>
    <row r="2134">
      <c r="A2134" s="48" t="n"/>
      <c r="B2134" s="52" t="n"/>
      <c r="C2134" s="47">
        <f>IF(B2134="","",IFERROR(INDEX('隊員マスタ'!$B$5:$B$204,MATCH(B2134&amp;"",'隊員マスタ'!$F$5:$F$204,0)),IF(AK2134="","番号なし",AK2134)))</f>
        <v/>
      </c>
      <c r="D2134" s="47" t="n"/>
      <c r="E2134" s="47" t="n"/>
      <c r="F2134" s="47" t="n"/>
      <c r="G2134" s="47" t="n"/>
      <c r="H2134" s="47" t="n"/>
      <c r="I2134" s="47" t="n"/>
      <c r="J2134" s="47" t="n"/>
      <c r="K2134" s="47" t="n"/>
      <c r="L2134" s="47" t="n"/>
      <c r="M2134" s="47" t="n"/>
      <c r="N2134" s="47" t="n"/>
      <c r="O2134" s="47" t="n"/>
      <c r="P2134" s="47" t="n"/>
      <c r="Q2134" s="47" t="n"/>
      <c r="R2134" s="47" t="n"/>
      <c r="S2134" s="47" t="n"/>
      <c r="T2134" s="47" t="n"/>
      <c r="U2134" s="53" t="n"/>
      <c r="V2134" s="53" t="n"/>
      <c r="W2134" s="47" t="n"/>
      <c r="X2134" s="47" t="n"/>
      <c r="Y2134" s="47" t="n"/>
      <c r="Z2134" s="47" t="n"/>
      <c r="AA2134" s="47" t="n"/>
      <c r="AB2134" s="47" t="n"/>
      <c r="AC2134" s="47" t="n"/>
      <c r="AD2134" s="47" t="n"/>
      <c r="AE2134" s="47" t="n"/>
      <c r="AF2134" s="20">
        <f>IF(A2134="","",YEAR(EDATE(A2134,-3)))</f>
        <v/>
      </c>
      <c r="AG2134" s="20">
        <f>IF(OR(B2134="",'経歴簿'!$C$4=""),"",IF(B2134&amp;""='経歴簿'!$C$4&amp;"",MAX($AG$4:AG2133)+1,""))</f>
        <v/>
      </c>
      <c r="AH2134" s="20">
        <f>IF(A2134="",0,IF(AND(OR('CSV抽出'!$C$4="",A2134&gt;='CSV抽出'!$C$4),OR('CSV抽出'!$C$5="",A2134&lt;='CSV抽出'!$C$5),OR('CSV抽出'!$C$6="すべて",'CSV抽出'!$C$6="",D2134='CSV抽出'!$C$6),OR('CSV抽出'!$C$7="",B2134&amp;""='CSV抽出'!$C$7&amp;"")),1,0))</f>
        <v/>
      </c>
      <c r="AI2134" s="20">
        <f>IF(AH2134=1,SUM($AH$5:AH2134),"")</f>
        <v/>
      </c>
      <c r="AJ2134" s="20">
        <f>IF(OR(S2134="",'報告書'!$C$4=""),"",IF(S2134&amp;""='報告書'!$C$4&amp;"",COUNTIF($S$5:S2134,'報告書'!$C$4),""))</f>
        <v/>
      </c>
      <c r="AK2134" s="20" t="n"/>
      <c r="AL2134" s="47" t="n"/>
      <c r="AM2134" s="47" t="n"/>
      <c r="AN2134" s="53" t="n"/>
      <c r="AO2134" s="47" t="n"/>
      <c r="AP2134" s="47" t="n"/>
      <c r="AQ2134" s="47" t="n"/>
      <c r="AR2134" s="47" t="n"/>
      <c r="AS2134" s="47" t="n"/>
      <c r="AT2134" s="47" t="n"/>
      <c r="AU2134" s="47" t="n"/>
      <c r="AV2134" s="47" t="n"/>
      <c r="AW2134" s="52" t="n"/>
    </row>
    <row r="2135">
      <c r="A2135" s="48" t="n"/>
      <c r="B2135" s="52" t="n"/>
      <c r="C2135" s="47">
        <f>IF(B2135="","",IFERROR(INDEX('隊員マスタ'!$B$5:$B$204,MATCH(B2135&amp;"",'隊員マスタ'!$F$5:$F$204,0)),IF(AK2135="","番号なし",AK2135)))</f>
        <v/>
      </c>
      <c r="D2135" s="47" t="n"/>
      <c r="E2135" s="47" t="n"/>
      <c r="F2135" s="47" t="n"/>
      <c r="G2135" s="47" t="n"/>
      <c r="H2135" s="47" t="n"/>
      <c r="I2135" s="47" t="n"/>
      <c r="J2135" s="47" t="n"/>
      <c r="K2135" s="47" t="n"/>
      <c r="L2135" s="47" t="n"/>
      <c r="M2135" s="47" t="n"/>
      <c r="N2135" s="47" t="n"/>
      <c r="O2135" s="47" t="n"/>
      <c r="P2135" s="47" t="n"/>
      <c r="Q2135" s="47" t="n"/>
      <c r="R2135" s="47" t="n"/>
      <c r="S2135" s="47" t="n"/>
      <c r="T2135" s="47" t="n"/>
      <c r="U2135" s="53" t="n"/>
      <c r="V2135" s="53" t="n"/>
      <c r="W2135" s="47" t="n"/>
      <c r="X2135" s="47" t="n"/>
      <c r="Y2135" s="47" t="n"/>
      <c r="Z2135" s="47" t="n"/>
      <c r="AA2135" s="47" t="n"/>
      <c r="AB2135" s="47" t="n"/>
      <c r="AC2135" s="47" t="n"/>
      <c r="AD2135" s="47" t="n"/>
      <c r="AE2135" s="47" t="n"/>
      <c r="AF2135" s="20">
        <f>IF(A2135="","",YEAR(EDATE(A2135,-3)))</f>
        <v/>
      </c>
      <c r="AG2135" s="20">
        <f>IF(OR(B2135="",'経歴簿'!$C$4=""),"",IF(B2135&amp;""='経歴簿'!$C$4&amp;"",MAX($AG$4:AG2134)+1,""))</f>
        <v/>
      </c>
      <c r="AH2135" s="20">
        <f>IF(A2135="",0,IF(AND(OR('CSV抽出'!$C$4="",A2135&gt;='CSV抽出'!$C$4),OR('CSV抽出'!$C$5="",A2135&lt;='CSV抽出'!$C$5),OR('CSV抽出'!$C$6="すべて",'CSV抽出'!$C$6="",D2135='CSV抽出'!$C$6),OR('CSV抽出'!$C$7="",B2135&amp;""='CSV抽出'!$C$7&amp;"")),1,0))</f>
        <v/>
      </c>
      <c r="AI2135" s="20">
        <f>IF(AH2135=1,SUM($AH$5:AH2135),"")</f>
        <v/>
      </c>
      <c r="AJ2135" s="20">
        <f>IF(OR(S2135="",'報告書'!$C$4=""),"",IF(S2135&amp;""='報告書'!$C$4&amp;"",COUNTIF($S$5:S2135,'報告書'!$C$4),""))</f>
        <v/>
      </c>
      <c r="AK2135" s="20" t="n"/>
      <c r="AL2135" s="47" t="n"/>
      <c r="AM2135" s="47" t="n"/>
      <c r="AN2135" s="53" t="n"/>
      <c r="AO2135" s="47" t="n"/>
      <c r="AP2135" s="47" t="n"/>
      <c r="AQ2135" s="47" t="n"/>
      <c r="AR2135" s="47" t="n"/>
      <c r="AS2135" s="47" t="n"/>
      <c r="AT2135" s="47" t="n"/>
      <c r="AU2135" s="47" t="n"/>
      <c r="AV2135" s="47" t="n"/>
      <c r="AW2135" s="52" t="n"/>
    </row>
    <row r="2136">
      <c r="A2136" s="48" t="n"/>
      <c r="B2136" s="52" t="n"/>
      <c r="C2136" s="47">
        <f>IF(B2136="","",IFERROR(INDEX('隊員マスタ'!$B$5:$B$204,MATCH(B2136&amp;"",'隊員マスタ'!$F$5:$F$204,0)),IF(AK2136="","番号なし",AK2136)))</f>
        <v/>
      </c>
      <c r="D2136" s="47" t="n"/>
      <c r="E2136" s="47" t="n"/>
      <c r="F2136" s="47" t="n"/>
      <c r="G2136" s="47" t="n"/>
      <c r="H2136" s="47" t="n"/>
      <c r="I2136" s="47" t="n"/>
      <c r="J2136" s="47" t="n"/>
      <c r="K2136" s="47" t="n"/>
      <c r="L2136" s="47" t="n"/>
      <c r="M2136" s="47" t="n"/>
      <c r="N2136" s="47" t="n"/>
      <c r="O2136" s="47" t="n"/>
      <c r="P2136" s="47" t="n"/>
      <c r="Q2136" s="47" t="n"/>
      <c r="R2136" s="47" t="n"/>
      <c r="S2136" s="47" t="n"/>
      <c r="T2136" s="47" t="n"/>
      <c r="U2136" s="53" t="n"/>
      <c r="V2136" s="53" t="n"/>
      <c r="W2136" s="47" t="n"/>
      <c r="X2136" s="47" t="n"/>
      <c r="Y2136" s="47" t="n"/>
      <c r="Z2136" s="47" t="n"/>
      <c r="AA2136" s="47" t="n"/>
      <c r="AB2136" s="47" t="n"/>
      <c r="AC2136" s="47" t="n"/>
      <c r="AD2136" s="47" t="n"/>
      <c r="AE2136" s="47" t="n"/>
      <c r="AF2136" s="20">
        <f>IF(A2136="","",YEAR(EDATE(A2136,-3)))</f>
        <v/>
      </c>
      <c r="AG2136" s="20">
        <f>IF(OR(B2136="",'経歴簿'!$C$4=""),"",IF(B2136&amp;""='経歴簿'!$C$4&amp;"",MAX($AG$4:AG2135)+1,""))</f>
        <v/>
      </c>
      <c r="AH2136" s="20">
        <f>IF(A2136="",0,IF(AND(OR('CSV抽出'!$C$4="",A2136&gt;='CSV抽出'!$C$4),OR('CSV抽出'!$C$5="",A2136&lt;='CSV抽出'!$C$5),OR('CSV抽出'!$C$6="すべて",'CSV抽出'!$C$6="",D2136='CSV抽出'!$C$6),OR('CSV抽出'!$C$7="",B2136&amp;""='CSV抽出'!$C$7&amp;"")),1,0))</f>
        <v/>
      </c>
      <c r="AI2136" s="20">
        <f>IF(AH2136=1,SUM($AH$5:AH2136),"")</f>
        <v/>
      </c>
      <c r="AJ2136" s="20">
        <f>IF(OR(S2136="",'報告書'!$C$4=""),"",IF(S2136&amp;""='報告書'!$C$4&amp;"",COUNTIF($S$5:S2136,'報告書'!$C$4),""))</f>
        <v/>
      </c>
      <c r="AK2136" s="20" t="n"/>
      <c r="AL2136" s="47" t="n"/>
      <c r="AM2136" s="47" t="n"/>
      <c r="AN2136" s="53" t="n"/>
      <c r="AO2136" s="47" t="n"/>
      <c r="AP2136" s="47" t="n"/>
      <c r="AQ2136" s="47" t="n"/>
      <c r="AR2136" s="47" t="n"/>
      <c r="AS2136" s="47" t="n"/>
      <c r="AT2136" s="47" t="n"/>
      <c r="AU2136" s="47" t="n"/>
      <c r="AV2136" s="47" t="n"/>
      <c r="AW2136" s="52" t="n"/>
    </row>
    <row r="2137">
      <c r="A2137" s="48" t="n"/>
      <c r="B2137" s="52" t="n"/>
      <c r="C2137" s="47">
        <f>IF(B2137="","",IFERROR(INDEX('隊員マスタ'!$B$5:$B$204,MATCH(B2137&amp;"",'隊員マスタ'!$F$5:$F$204,0)),IF(AK2137="","番号なし",AK2137)))</f>
        <v/>
      </c>
      <c r="D2137" s="47" t="n"/>
      <c r="E2137" s="47" t="n"/>
      <c r="F2137" s="47" t="n"/>
      <c r="G2137" s="47" t="n"/>
      <c r="H2137" s="47" t="n"/>
      <c r="I2137" s="47" t="n"/>
      <c r="J2137" s="47" t="n"/>
      <c r="K2137" s="47" t="n"/>
      <c r="L2137" s="47" t="n"/>
      <c r="M2137" s="47" t="n"/>
      <c r="N2137" s="47" t="n"/>
      <c r="O2137" s="47" t="n"/>
      <c r="P2137" s="47" t="n"/>
      <c r="Q2137" s="47" t="n"/>
      <c r="R2137" s="47" t="n"/>
      <c r="S2137" s="47" t="n"/>
      <c r="T2137" s="47" t="n"/>
      <c r="U2137" s="53" t="n"/>
      <c r="V2137" s="53" t="n"/>
      <c r="W2137" s="47" t="n"/>
      <c r="X2137" s="47" t="n"/>
      <c r="Y2137" s="47" t="n"/>
      <c r="Z2137" s="47" t="n"/>
      <c r="AA2137" s="47" t="n"/>
      <c r="AB2137" s="47" t="n"/>
      <c r="AC2137" s="47" t="n"/>
      <c r="AD2137" s="47" t="n"/>
      <c r="AE2137" s="47" t="n"/>
      <c r="AF2137" s="20">
        <f>IF(A2137="","",YEAR(EDATE(A2137,-3)))</f>
        <v/>
      </c>
      <c r="AG2137" s="20">
        <f>IF(OR(B2137="",'経歴簿'!$C$4=""),"",IF(B2137&amp;""='経歴簿'!$C$4&amp;"",MAX($AG$4:AG2136)+1,""))</f>
        <v/>
      </c>
      <c r="AH2137" s="20">
        <f>IF(A2137="",0,IF(AND(OR('CSV抽出'!$C$4="",A2137&gt;='CSV抽出'!$C$4),OR('CSV抽出'!$C$5="",A2137&lt;='CSV抽出'!$C$5),OR('CSV抽出'!$C$6="すべて",'CSV抽出'!$C$6="",D2137='CSV抽出'!$C$6),OR('CSV抽出'!$C$7="",B2137&amp;""='CSV抽出'!$C$7&amp;"")),1,0))</f>
        <v/>
      </c>
      <c r="AI2137" s="20">
        <f>IF(AH2137=1,SUM($AH$5:AH2137),"")</f>
        <v/>
      </c>
      <c r="AJ2137" s="20">
        <f>IF(OR(S2137="",'報告書'!$C$4=""),"",IF(S2137&amp;""='報告書'!$C$4&amp;"",COUNTIF($S$5:S2137,'報告書'!$C$4),""))</f>
        <v/>
      </c>
      <c r="AK2137" s="20" t="n"/>
      <c r="AL2137" s="47" t="n"/>
      <c r="AM2137" s="47" t="n"/>
      <c r="AN2137" s="53" t="n"/>
      <c r="AO2137" s="47" t="n"/>
      <c r="AP2137" s="47" t="n"/>
      <c r="AQ2137" s="47" t="n"/>
      <c r="AR2137" s="47" t="n"/>
      <c r="AS2137" s="47" t="n"/>
      <c r="AT2137" s="47" t="n"/>
      <c r="AU2137" s="47" t="n"/>
      <c r="AV2137" s="47" t="n"/>
      <c r="AW2137" s="52" t="n"/>
    </row>
    <row r="2138">
      <c r="A2138" s="48" t="n"/>
      <c r="B2138" s="52" t="n"/>
      <c r="C2138" s="47">
        <f>IF(B2138="","",IFERROR(INDEX('隊員マスタ'!$B$5:$B$204,MATCH(B2138&amp;"",'隊員マスタ'!$F$5:$F$204,0)),IF(AK2138="","番号なし",AK2138)))</f>
        <v/>
      </c>
      <c r="D2138" s="47" t="n"/>
      <c r="E2138" s="47" t="n"/>
      <c r="F2138" s="47" t="n"/>
      <c r="G2138" s="47" t="n"/>
      <c r="H2138" s="47" t="n"/>
      <c r="I2138" s="47" t="n"/>
      <c r="J2138" s="47" t="n"/>
      <c r="K2138" s="47" t="n"/>
      <c r="L2138" s="47" t="n"/>
      <c r="M2138" s="47" t="n"/>
      <c r="N2138" s="47" t="n"/>
      <c r="O2138" s="47" t="n"/>
      <c r="P2138" s="47" t="n"/>
      <c r="Q2138" s="47" t="n"/>
      <c r="R2138" s="47" t="n"/>
      <c r="S2138" s="47" t="n"/>
      <c r="T2138" s="47" t="n"/>
      <c r="U2138" s="53" t="n"/>
      <c r="V2138" s="53" t="n"/>
      <c r="W2138" s="47" t="n"/>
      <c r="X2138" s="47" t="n"/>
      <c r="Y2138" s="47" t="n"/>
      <c r="Z2138" s="47" t="n"/>
      <c r="AA2138" s="47" t="n"/>
      <c r="AB2138" s="47" t="n"/>
      <c r="AC2138" s="47" t="n"/>
      <c r="AD2138" s="47" t="n"/>
      <c r="AE2138" s="47" t="n"/>
      <c r="AF2138" s="20">
        <f>IF(A2138="","",YEAR(EDATE(A2138,-3)))</f>
        <v/>
      </c>
      <c r="AG2138" s="20">
        <f>IF(OR(B2138="",'経歴簿'!$C$4=""),"",IF(B2138&amp;""='経歴簿'!$C$4&amp;"",MAX($AG$4:AG2137)+1,""))</f>
        <v/>
      </c>
      <c r="AH2138" s="20">
        <f>IF(A2138="",0,IF(AND(OR('CSV抽出'!$C$4="",A2138&gt;='CSV抽出'!$C$4),OR('CSV抽出'!$C$5="",A2138&lt;='CSV抽出'!$C$5),OR('CSV抽出'!$C$6="すべて",'CSV抽出'!$C$6="",D2138='CSV抽出'!$C$6),OR('CSV抽出'!$C$7="",B2138&amp;""='CSV抽出'!$C$7&amp;"")),1,0))</f>
        <v/>
      </c>
      <c r="AI2138" s="20">
        <f>IF(AH2138=1,SUM($AH$5:AH2138),"")</f>
        <v/>
      </c>
      <c r="AJ2138" s="20">
        <f>IF(OR(S2138="",'報告書'!$C$4=""),"",IF(S2138&amp;""='報告書'!$C$4&amp;"",COUNTIF($S$5:S2138,'報告書'!$C$4),""))</f>
        <v/>
      </c>
      <c r="AK2138" s="20" t="n"/>
      <c r="AL2138" s="47" t="n"/>
      <c r="AM2138" s="47" t="n"/>
      <c r="AN2138" s="53" t="n"/>
      <c r="AO2138" s="47" t="n"/>
      <c r="AP2138" s="47" t="n"/>
      <c r="AQ2138" s="47" t="n"/>
      <c r="AR2138" s="47" t="n"/>
      <c r="AS2138" s="47" t="n"/>
      <c r="AT2138" s="47" t="n"/>
      <c r="AU2138" s="47" t="n"/>
      <c r="AV2138" s="47" t="n"/>
      <c r="AW2138" s="52" t="n"/>
    </row>
    <row r="2139">
      <c r="A2139" s="48" t="n"/>
      <c r="B2139" s="52" t="n"/>
      <c r="C2139" s="47">
        <f>IF(B2139="","",IFERROR(INDEX('隊員マスタ'!$B$5:$B$204,MATCH(B2139&amp;"",'隊員マスタ'!$F$5:$F$204,0)),IF(AK2139="","番号なし",AK2139)))</f>
        <v/>
      </c>
      <c r="D2139" s="47" t="n"/>
      <c r="E2139" s="47" t="n"/>
      <c r="F2139" s="47" t="n"/>
      <c r="G2139" s="47" t="n"/>
      <c r="H2139" s="47" t="n"/>
      <c r="I2139" s="47" t="n"/>
      <c r="J2139" s="47" t="n"/>
      <c r="K2139" s="47" t="n"/>
      <c r="L2139" s="47" t="n"/>
      <c r="M2139" s="47" t="n"/>
      <c r="N2139" s="47" t="n"/>
      <c r="O2139" s="47" t="n"/>
      <c r="P2139" s="47" t="n"/>
      <c r="Q2139" s="47" t="n"/>
      <c r="R2139" s="47" t="n"/>
      <c r="S2139" s="47" t="n"/>
      <c r="T2139" s="47" t="n"/>
      <c r="U2139" s="53" t="n"/>
      <c r="V2139" s="53" t="n"/>
      <c r="W2139" s="47" t="n"/>
      <c r="X2139" s="47" t="n"/>
      <c r="Y2139" s="47" t="n"/>
      <c r="Z2139" s="47" t="n"/>
      <c r="AA2139" s="47" t="n"/>
      <c r="AB2139" s="47" t="n"/>
      <c r="AC2139" s="47" t="n"/>
      <c r="AD2139" s="47" t="n"/>
      <c r="AE2139" s="47" t="n"/>
      <c r="AF2139" s="20">
        <f>IF(A2139="","",YEAR(EDATE(A2139,-3)))</f>
        <v/>
      </c>
      <c r="AG2139" s="20">
        <f>IF(OR(B2139="",'経歴簿'!$C$4=""),"",IF(B2139&amp;""='経歴簿'!$C$4&amp;"",MAX($AG$4:AG2138)+1,""))</f>
        <v/>
      </c>
      <c r="AH2139" s="20">
        <f>IF(A2139="",0,IF(AND(OR('CSV抽出'!$C$4="",A2139&gt;='CSV抽出'!$C$4),OR('CSV抽出'!$C$5="",A2139&lt;='CSV抽出'!$C$5),OR('CSV抽出'!$C$6="すべて",'CSV抽出'!$C$6="",D2139='CSV抽出'!$C$6),OR('CSV抽出'!$C$7="",B2139&amp;""='CSV抽出'!$C$7&amp;"")),1,0))</f>
        <v/>
      </c>
      <c r="AI2139" s="20">
        <f>IF(AH2139=1,SUM($AH$5:AH2139),"")</f>
        <v/>
      </c>
      <c r="AJ2139" s="20">
        <f>IF(OR(S2139="",'報告書'!$C$4=""),"",IF(S2139&amp;""='報告書'!$C$4&amp;"",COUNTIF($S$5:S2139,'報告書'!$C$4),""))</f>
        <v/>
      </c>
      <c r="AK2139" s="20" t="n"/>
      <c r="AL2139" s="47" t="n"/>
      <c r="AM2139" s="47" t="n"/>
      <c r="AN2139" s="53" t="n"/>
      <c r="AO2139" s="47" t="n"/>
      <c r="AP2139" s="47" t="n"/>
      <c r="AQ2139" s="47" t="n"/>
      <c r="AR2139" s="47" t="n"/>
      <c r="AS2139" s="47" t="n"/>
      <c r="AT2139" s="47" t="n"/>
      <c r="AU2139" s="47" t="n"/>
      <c r="AV2139" s="47" t="n"/>
      <c r="AW2139" s="52" t="n"/>
    </row>
    <row r="2140">
      <c r="A2140" s="48" t="n"/>
      <c r="B2140" s="52" t="n"/>
      <c r="C2140" s="47">
        <f>IF(B2140="","",IFERROR(INDEX('隊員マスタ'!$B$5:$B$204,MATCH(B2140&amp;"",'隊員マスタ'!$F$5:$F$204,0)),IF(AK2140="","番号なし",AK2140)))</f>
        <v/>
      </c>
      <c r="D2140" s="47" t="n"/>
      <c r="E2140" s="47" t="n"/>
      <c r="F2140" s="47" t="n"/>
      <c r="G2140" s="47" t="n"/>
      <c r="H2140" s="47" t="n"/>
      <c r="I2140" s="47" t="n"/>
      <c r="J2140" s="47" t="n"/>
      <c r="K2140" s="47" t="n"/>
      <c r="L2140" s="47" t="n"/>
      <c r="M2140" s="47" t="n"/>
      <c r="N2140" s="47" t="n"/>
      <c r="O2140" s="47" t="n"/>
      <c r="P2140" s="47" t="n"/>
      <c r="Q2140" s="47" t="n"/>
      <c r="R2140" s="47" t="n"/>
      <c r="S2140" s="47" t="n"/>
      <c r="T2140" s="47" t="n"/>
      <c r="U2140" s="53" t="n"/>
      <c r="V2140" s="53" t="n"/>
      <c r="W2140" s="47" t="n"/>
      <c r="X2140" s="47" t="n"/>
      <c r="Y2140" s="47" t="n"/>
      <c r="Z2140" s="47" t="n"/>
      <c r="AA2140" s="47" t="n"/>
      <c r="AB2140" s="47" t="n"/>
      <c r="AC2140" s="47" t="n"/>
      <c r="AD2140" s="47" t="n"/>
      <c r="AE2140" s="47" t="n"/>
      <c r="AF2140" s="20">
        <f>IF(A2140="","",YEAR(EDATE(A2140,-3)))</f>
        <v/>
      </c>
      <c r="AG2140" s="20">
        <f>IF(OR(B2140="",'経歴簿'!$C$4=""),"",IF(B2140&amp;""='経歴簿'!$C$4&amp;"",MAX($AG$4:AG2139)+1,""))</f>
        <v/>
      </c>
      <c r="AH2140" s="20">
        <f>IF(A2140="",0,IF(AND(OR('CSV抽出'!$C$4="",A2140&gt;='CSV抽出'!$C$4),OR('CSV抽出'!$C$5="",A2140&lt;='CSV抽出'!$C$5),OR('CSV抽出'!$C$6="すべて",'CSV抽出'!$C$6="",D2140='CSV抽出'!$C$6),OR('CSV抽出'!$C$7="",B2140&amp;""='CSV抽出'!$C$7&amp;"")),1,0))</f>
        <v/>
      </c>
      <c r="AI2140" s="20">
        <f>IF(AH2140=1,SUM($AH$5:AH2140),"")</f>
        <v/>
      </c>
      <c r="AJ2140" s="20">
        <f>IF(OR(S2140="",'報告書'!$C$4=""),"",IF(S2140&amp;""='報告書'!$C$4&amp;"",COUNTIF($S$5:S2140,'報告書'!$C$4),""))</f>
        <v/>
      </c>
      <c r="AK2140" s="20" t="n"/>
      <c r="AL2140" s="47" t="n"/>
      <c r="AM2140" s="47" t="n"/>
      <c r="AN2140" s="53" t="n"/>
      <c r="AO2140" s="47" t="n"/>
      <c r="AP2140" s="47" t="n"/>
      <c r="AQ2140" s="47" t="n"/>
      <c r="AR2140" s="47" t="n"/>
      <c r="AS2140" s="47" t="n"/>
      <c r="AT2140" s="47" t="n"/>
      <c r="AU2140" s="47" t="n"/>
      <c r="AV2140" s="47" t="n"/>
      <c r="AW2140" s="52" t="n"/>
    </row>
    <row r="2141">
      <c r="A2141" s="48" t="n"/>
      <c r="B2141" s="52" t="n"/>
      <c r="C2141" s="47">
        <f>IF(B2141="","",IFERROR(INDEX('隊員マスタ'!$B$5:$B$204,MATCH(B2141&amp;"",'隊員マスタ'!$F$5:$F$204,0)),IF(AK2141="","番号なし",AK2141)))</f>
        <v/>
      </c>
      <c r="D2141" s="47" t="n"/>
      <c r="E2141" s="47" t="n"/>
      <c r="F2141" s="47" t="n"/>
      <c r="G2141" s="47" t="n"/>
      <c r="H2141" s="47" t="n"/>
      <c r="I2141" s="47" t="n"/>
      <c r="J2141" s="47" t="n"/>
      <c r="K2141" s="47" t="n"/>
      <c r="L2141" s="47" t="n"/>
      <c r="M2141" s="47" t="n"/>
      <c r="N2141" s="47" t="n"/>
      <c r="O2141" s="47" t="n"/>
      <c r="P2141" s="47" t="n"/>
      <c r="Q2141" s="47" t="n"/>
      <c r="R2141" s="47" t="n"/>
      <c r="S2141" s="47" t="n"/>
      <c r="T2141" s="47" t="n"/>
      <c r="U2141" s="53" t="n"/>
      <c r="V2141" s="53" t="n"/>
      <c r="W2141" s="47" t="n"/>
      <c r="X2141" s="47" t="n"/>
      <c r="Y2141" s="47" t="n"/>
      <c r="Z2141" s="47" t="n"/>
      <c r="AA2141" s="47" t="n"/>
      <c r="AB2141" s="47" t="n"/>
      <c r="AC2141" s="47" t="n"/>
      <c r="AD2141" s="47" t="n"/>
      <c r="AE2141" s="47" t="n"/>
      <c r="AF2141" s="20">
        <f>IF(A2141="","",YEAR(EDATE(A2141,-3)))</f>
        <v/>
      </c>
      <c r="AG2141" s="20">
        <f>IF(OR(B2141="",'経歴簿'!$C$4=""),"",IF(B2141&amp;""='経歴簿'!$C$4&amp;"",MAX($AG$4:AG2140)+1,""))</f>
        <v/>
      </c>
      <c r="AH2141" s="20">
        <f>IF(A2141="",0,IF(AND(OR('CSV抽出'!$C$4="",A2141&gt;='CSV抽出'!$C$4),OR('CSV抽出'!$C$5="",A2141&lt;='CSV抽出'!$C$5),OR('CSV抽出'!$C$6="すべて",'CSV抽出'!$C$6="",D2141='CSV抽出'!$C$6),OR('CSV抽出'!$C$7="",B2141&amp;""='CSV抽出'!$C$7&amp;"")),1,0))</f>
        <v/>
      </c>
      <c r="AI2141" s="20">
        <f>IF(AH2141=1,SUM($AH$5:AH2141),"")</f>
        <v/>
      </c>
      <c r="AJ2141" s="20">
        <f>IF(OR(S2141="",'報告書'!$C$4=""),"",IF(S2141&amp;""='報告書'!$C$4&amp;"",COUNTIF($S$5:S2141,'報告書'!$C$4),""))</f>
        <v/>
      </c>
      <c r="AK2141" s="20" t="n"/>
      <c r="AL2141" s="47" t="n"/>
      <c r="AM2141" s="47" t="n"/>
      <c r="AN2141" s="53" t="n"/>
      <c r="AO2141" s="47" t="n"/>
      <c r="AP2141" s="47" t="n"/>
      <c r="AQ2141" s="47" t="n"/>
      <c r="AR2141" s="47" t="n"/>
      <c r="AS2141" s="47" t="n"/>
      <c r="AT2141" s="47" t="n"/>
      <c r="AU2141" s="47" t="n"/>
      <c r="AV2141" s="47" t="n"/>
      <c r="AW2141" s="52" t="n"/>
    </row>
    <row r="2142">
      <c r="A2142" s="48" t="n"/>
      <c r="B2142" s="52" t="n"/>
      <c r="C2142" s="47">
        <f>IF(B2142="","",IFERROR(INDEX('隊員マスタ'!$B$5:$B$204,MATCH(B2142&amp;"",'隊員マスタ'!$F$5:$F$204,0)),IF(AK2142="","番号なし",AK2142)))</f>
        <v/>
      </c>
      <c r="D2142" s="47" t="n"/>
      <c r="E2142" s="47" t="n"/>
      <c r="F2142" s="47" t="n"/>
      <c r="G2142" s="47" t="n"/>
      <c r="H2142" s="47" t="n"/>
      <c r="I2142" s="47" t="n"/>
      <c r="J2142" s="47" t="n"/>
      <c r="K2142" s="47" t="n"/>
      <c r="L2142" s="47" t="n"/>
      <c r="M2142" s="47" t="n"/>
      <c r="N2142" s="47" t="n"/>
      <c r="O2142" s="47" t="n"/>
      <c r="P2142" s="47" t="n"/>
      <c r="Q2142" s="47" t="n"/>
      <c r="R2142" s="47" t="n"/>
      <c r="S2142" s="47" t="n"/>
      <c r="T2142" s="47" t="n"/>
      <c r="U2142" s="53" t="n"/>
      <c r="V2142" s="53" t="n"/>
      <c r="W2142" s="47" t="n"/>
      <c r="X2142" s="47" t="n"/>
      <c r="Y2142" s="47" t="n"/>
      <c r="Z2142" s="47" t="n"/>
      <c r="AA2142" s="47" t="n"/>
      <c r="AB2142" s="47" t="n"/>
      <c r="AC2142" s="47" t="n"/>
      <c r="AD2142" s="47" t="n"/>
      <c r="AE2142" s="47" t="n"/>
      <c r="AF2142" s="20">
        <f>IF(A2142="","",YEAR(EDATE(A2142,-3)))</f>
        <v/>
      </c>
      <c r="AG2142" s="20">
        <f>IF(OR(B2142="",'経歴簿'!$C$4=""),"",IF(B2142&amp;""='経歴簿'!$C$4&amp;"",MAX($AG$4:AG2141)+1,""))</f>
        <v/>
      </c>
      <c r="AH2142" s="20">
        <f>IF(A2142="",0,IF(AND(OR('CSV抽出'!$C$4="",A2142&gt;='CSV抽出'!$C$4),OR('CSV抽出'!$C$5="",A2142&lt;='CSV抽出'!$C$5),OR('CSV抽出'!$C$6="すべて",'CSV抽出'!$C$6="",D2142='CSV抽出'!$C$6),OR('CSV抽出'!$C$7="",B2142&amp;""='CSV抽出'!$C$7&amp;"")),1,0))</f>
        <v/>
      </c>
      <c r="AI2142" s="20">
        <f>IF(AH2142=1,SUM($AH$5:AH2142),"")</f>
        <v/>
      </c>
      <c r="AJ2142" s="20">
        <f>IF(OR(S2142="",'報告書'!$C$4=""),"",IF(S2142&amp;""='報告書'!$C$4&amp;"",COUNTIF($S$5:S2142,'報告書'!$C$4),""))</f>
        <v/>
      </c>
      <c r="AK2142" s="20" t="n"/>
      <c r="AL2142" s="47" t="n"/>
      <c r="AM2142" s="47" t="n"/>
      <c r="AN2142" s="53" t="n"/>
      <c r="AO2142" s="47" t="n"/>
      <c r="AP2142" s="47" t="n"/>
      <c r="AQ2142" s="47" t="n"/>
      <c r="AR2142" s="47" t="n"/>
      <c r="AS2142" s="47" t="n"/>
      <c r="AT2142" s="47" t="n"/>
      <c r="AU2142" s="47" t="n"/>
      <c r="AV2142" s="47" t="n"/>
      <c r="AW2142" s="52" t="n"/>
    </row>
    <row r="2143">
      <c r="A2143" s="48" t="n"/>
      <c r="B2143" s="52" t="n"/>
      <c r="C2143" s="47">
        <f>IF(B2143="","",IFERROR(INDEX('隊員マスタ'!$B$5:$B$204,MATCH(B2143&amp;"",'隊員マスタ'!$F$5:$F$204,0)),IF(AK2143="","番号なし",AK2143)))</f>
        <v/>
      </c>
      <c r="D2143" s="47" t="n"/>
      <c r="E2143" s="47" t="n"/>
      <c r="F2143" s="47" t="n"/>
      <c r="G2143" s="47" t="n"/>
      <c r="H2143" s="47" t="n"/>
      <c r="I2143" s="47" t="n"/>
      <c r="J2143" s="47" t="n"/>
      <c r="K2143" s="47" t="n"/>
      <c r="L2143" s="47" t="n"/>
      <c r="M2143" s="47" t="n"/>
      <c r="N2143" s="47" t="n"/>
      <c r="O2143" s="47" t="n"/>
      <c r="P2143" s="47" t="n"/>
      <c r="Q2143" s="47" t="n"/>
      <c r="R2143" s="47" t="n"/>
      <c r="S2143" s="47" t="n"/>
      <c r="T2143" s="47" t="n"/>
      <c r="U2143" s="53" t="n"/>
      <c r="V2143" s="53" t="n"/>
      <c r="W2143" s="47" t="n"/>
      <c r="X2143" s="47" t="n"/>
      <c r="Y2143" s="47" t="n"/>
      <c r="Z2143" s="47" t="n"/>
      <c r="AA2143" s="47" t="n"/>
      <c r="AB2143" s="47" t="n"/>
      <c r="AC2143" s="47" t="n"/>
      <c r="AD2143" s="47" t="n"/>
      <c r="AE2143" s="47" t="n"/>
      <c r="AF2143" s="20">
        <f>IF(A2143="","",YEAR(EDATE(A2143,-3)))</f>
        <v/>
      </c>
      <c r="AG2143" s="20">
        <f>IF(OR(B2143="",'経歴簿'!$C$4=""),"",IF(B2143&amp;""='経歴簿'!$C$4&amp;"",MAX($AG$4:AG2142)+1,""))</f>
        <v/>
      </c>
      <c r="AH2143" s="20">
        <f>IF(A2143="",0,IF(AND(OR('CSV抽出'!$C$4="",A2143&gt;='CSV抽出'!$C$4),OR('CSV抽出'!$C$5="",A2143&lt;='CSV抽出'!$C$5),OR('CSV抽出'!$C$6="すべて",'CSV抽出'!$C$6="",D2143='CSV抽出'!$C$6),OR('CSV抽出'!$C$7="",B2143&amp;""='CSV抽出'!$C$7&amp;"")),1,0))</f>
        <v/>
      </c>
      <c r="AI2143" s="20">
        <f>IF(AH2143=1,SUM($AH$5:AH2143),"")</f>
        <v/>
      </c>
      <c r="AJ2143" s="20">
        <f>IF(OR(S2143="",'報告書'!$C$4=""),"",IF(S2143&amp;""='報告書'!$C$4&amp;"",COUNTIF($S$5:S2143,'報告書'!$C$4),""))</f>
        <v/>
      </c>
      <c r="AK2143" s="20" t="n"/>
      <c r="AL2143" s="47" t="n"/>
      <c r="AM2143" s="47" t="n"/>
      <c r="AN2143" s="53" t="n"/>
      <c r="AO2143" s="47" t="n"/>
      <c r="AP2143" s="47" t="n"/>
      <c r="AQ2143" s="47" t="n"/>
      <c r="AR2143" s="47" t="n"/>
      <c r="AS2143" s="47" t="n"/>
      <c r="AT2143" s="47" t="n"/>
      <c r="AU2143" s="47" t="n"/>
      <c r="AV2143" s="47" t="n"/>
      <c r="AW2143" s="52" t="n"/>
    </row>
    <row r="2144">
      <c r="A2144" s="48" t="n"/>
      <c r="B2144" s="52" t="n"/>
      <c r="C2144" s="47">
        <f>IF(B2144="","",IFERROR(INDEX('隊員マスタ'!$B$5:$B$204,MATCH(B2144&amp;"",'隊員マスタ'!$F$5:$F$204,0)),IF(AK2144="","番号なし",AK2144)))</f>
        <v/>
      </c>
      <c r="D2144" s="47" t="n"/>
      <c r="E2144" s="47" t="n"/>
      <c r="F2144" s="47" t="n"/>
      <c r="G2144" s="47" t="n"/>
      <c r="H2144" s="47" t="n"/>
      <c r="I2144" s="47" t="n"/>
      <c r="J2144" s="47" t="n"/>
      <c r="K2144" s="47" t="n"/>
      <c r="L2144" s="47" t="n"/>
      <c r="M2144" s="47" t="n"/>
      <c r="N2144" s="47" t="n"/>
      <c r="O2144" s="47" t="n"/>
      <c r="P2144" s="47" t="n"/>
      <c r="Q2144" s="47" t="n"/>
      <c r="R2144" s="47" t="n"/>
      <c r="S2144" s="47" t="n"/>
      <c r="T2144" s="47" t="n"/>
      <c r="U2144" s="53" t="n"/>
      <c r="V2144" s="53" t="n"/>
      <c r="W2144" s="47" t="n"/>
      <c r="X2144" s="47" t="n"/>
      <c r="Y2144" s="47" t="n"/>
      <c r="Z2144" s="47" t="n"/>
      <c r="AA2144" s="47" t="n"/>
      <c r="AB2144" s="47" t="n"/>
      <c r="AC2144" s="47" t="n"/>
      <c r="AD2144" s="47" t="n"/>
      <c r="AE2144" s="47" t="n"/>
      <c r="AF2144" s="20">
        <f>IF(A2144="","",YEAR(EDATE(A2144,-3)))</f>
        <v/>
      </c>
      <c r="AG2144" s="20">
        <f>IF(OR(B2144="",'経歴簿'!$C$4=""),"",IF(B2144&amp;""='経歴簿'!$C$4&amp;"",MAX($AG$4:AG2143)+1,""))</f>
        <v/>
      </c>
      <c r="AH2144" s="20">
        <f>IF(A2144="",0,IF(AND(OR('CSV抽出'!$C$4="",A2144&gt;='CSV抽出'!$C$4),OR('CSV抽出'!$C$5="",A2144&lt;='CSV抽出'!$C$5),OR('CSV抽出'!$C$6="すべて",'CSV抽出'!$C$6="",D2144='CSV抽出'!$C$6),OR('CSV抽出'!$C$7="",B2144&amp;""='CSV抽出'!$C$7&amp;"")),1,0))</f>
        <v/>
      </c>
      <c r="AI2144" s="20">
        <f>IF(AH2144=1,SUM($AH$5:AH2144),"")</f>
        <v/>
      </c>
      <c r="AJ2144" s="20">
        <f>IF(OR(S2144="",'報告書'!$C$4=""),"",IF(S2144&amp;""='報告書'!$C$4&amp;"",COUNTIF($S$5:S2144,'報告書'!$C$4),""))</f>
        <v/>
      </c>
      <c r="AK2144" s="20" t="n"/>
      <c r="AL2144" s="47" t="n"/>
      <c r="AM2144" s="47" t="n"/>
      <c r="AN2144" s="53" t="n"/>
      <c r="AO2144" s="47" t="n"/>
      <c r="AP2144" s="47" t="n"/>
      <c r="AQ2144" s="47" t="n"/>
      <c r="AR2144" s="47" t="n"/>
      <c r="AS2144" s="47" t="n"/>
      <c r="AT2144" s="47" t="n"/>
      <c r="AU2144" s="47" t="n"/>
      <c r="AV2144" s="47" t="n"/>
      <c r="AW2144" s="52" t="n"/>
    </row>
    <row r="2145">
      <c r="A2145" s="48" t="n"/>
      <c r="B2145" s="52" t="n"/>
      <c r="C2145" s="47">
        <f>IF(B2145="","",IFERROR(INDEX('隊員マスタ'!$B$5:$B$204,MATCH(B2145&amp;"",'隊員マスタ'!$F$5:$F$204,0)),IF(AK2145="","番号なし",AK2145)))</f>
        <v/>
      </c>
      <c r="D2145" s="47" t="n"/>
      <c r="E2145" s="47" t="n"/>
      <c r="F2145" s="47" t="n"/>
      <c r="G2145" s="47" t="n"/>
      <c r="H2145" s="47" t="n"/>
      <c r="I2145" s="47" t="n"/>
      <c r="J2145" s="47" t="n"/>
      <c r="K2145" s="47" t="n"/>
      <c r="L2145" s="47" t="n"/>
      <c r="M2145" s="47" t="n"/>
      <c r="N2145" s="47" t="n"/>
      <c r="O2145" s="47" t="n"/>
      <c r="P2145" s="47" t="n"/>
      <c r="Q2145" s="47" t="n"/>
      <c r="R2145" s="47" t="n"/>
      <c r="S2145" s="47" t="n"/>
      <c r="T2145" s="47" t="n"/>
      <c r="U2145" s="53" t="n"/>
      <c r="V2145" s="53" t="n"/>
      <c r="W2145" s="47" t="n"/>
      <c r="X2145" s="47" t="n"/>
      <c r="Y2145" s="47" t="n"/>
      <c r="Z2145" s="47" t="n"/>
      <c r="AA2145" s="47" t="n"/>
      <c r="AB2145" s="47" t="n"/>
      <c r="AC2145" s="47" t="n"/>
      <c r="AD2145" s="47" t="n"/>
      <c r="AE2145" s="47" t="n"/>
      <c r="AF2145" s="20">
        <f>IF(A2145="","",YEAR(EDATE(A2145,-3)))</f>
        <v/>
      </c>
      <c r="AG2145" s="20">
        <f>IF(OR(B2145="",'経歴簿'!$C$4=""),"",IF(B2145&amp;""='経歴簿'!$C$4&amp;"",MAX($AG$4:AG2144)+1,""))</f>
        <v/>
      </c>
      <c r="AH2145" s="20">
        <f>IF(A2145="",0,IF(AND(OR('CSV抽出'!$C$4="",A2145&gt;='CSV抽出'!$C$4),OR('CSV抽出'!$C$5="",A2145&lt;='CSV抽出'!$C$5),OR('CSV抽出'!$C$6="すべて",'CSV抽出'!$C$6="",D2145='CSV抽出'!$C$6),OR('CSV抽出'!$C$7="",B2145&amp;""='CSV抽出'!$C$7&amp;"")),1,0))</f>
        <v/>
      </c>
      <c r="AI2145" s="20">
        <f>IF(AH2145=1,SUM($AH$5:AH2145),"")</f>
        <v/>
      </c>
      <c r="AJ2145" s="20">
        <f>IF(OR(S2145="",'報告書'!$C$4=""),"",IF(S2145&amp;""='報告書'!$C$4&amp;"",COUNTIF($S$5:S2145,'報告書'!$C$4),""))</f>
        <v/>
      </c>
      <c r="AK2145" s="20" t="n"/>
      <c r="AL2145" s="47" t="n"/>
      <c r="AM2145" s="47" t="n"/>
      <c r="AN2145" s="53" t="n"/>
      <c r="AO2145" s="47" t="n"/>
      <c r="AP2145" s="47" t="n"/>
      <c r="AQ2145" s="47" t="n"/>
      <c r="AR2145" s="47" t="n"/>
      <c r="AS2145" s="47" t="n"/>
      <c r="AT2145" s="47" t="n"/>
      <c r="AU2145" s="47" t="n"/>
      <c r="AV2145" s="47" t="n"/>
      <c r="AW2145" s="52" t="n"/>
    </row>
    <row r="2146">
      <c r="A2146" s="48" t="n"/>
      <c r="B2146" s="52" t="n"/>
      <c r="C2146" s="47">
        <f>IF(B2146="","",IFERROR(INDEX('隊員マスタ'!$B$5:$B$204,MATCH(B2146&amp;"",'隊員マスタ'!$F$5:$F$204,0)),IF(AK2146="","番号なし",AK2146)))</f>
        <v/>
      </c>
      <c r="D2146" s="47" t="n"/>
      <c r="E2146" s="47" t="n"/>
      <c r="F2146" s="47" t="n"/>
      <c r="G2146" s="47" t="n"/>
      <c r="H2146" s="47" t="n"/>
      <c r="I2146" s="47" t="n"/>
      <c r="J2146" s="47" t="n"/>
      <c r="K2146" s="47" t="n"/>
      <c r="L2146" s="47" t="n"/>
      <c r="M2146" s="47" t="n"/>
      <c r="N2146" s="47" t="n"/>
      <c r="O2146" s="47" t="n"/>
      <c r="P2146" s="47" t="n"/>
      <c r="Q2146" s="47" t="n"/>
      <c r="R2146" s="47" t="n"/>
      <c r="S2146" s="47" t="n"/>
      <c r="T2146" s="47" t="n"/>
      <c r="U2146" s="53" t="n"/>
      <c r="V2146" s="53" t="n"/>
      <c r="W2146" s="47" t="n"/>
      <c r="X2146" s="47" t="n"/>
      <c r="Y2146" s="47" t="n"/>
      <c r="Z2146" s="47" t="n"/>
      <c r="AA2146" s="47" t="n"/>
      <c r="AB2146" s="47" t="n"/>
      <c r="AC2146" s="47" t="n"/>
      <c r="AD2146" s="47" t="n"/>
      <c r="AE2146" s="47" t="n"/>
      <c r="AF2146" s="20">
        <f>IF(A2146="","",YEAR(EDATE(A2146,-3)))</f>
        <v/>
      </c>
      <c r="AG2146" s="20">
        <f>IF(OR(B2146="",'経歴簿'!$C$4=""),"",IF(B2146&amp;""='経歴簿'!$C$4&amp;"",MAX($AG$4:AG2145)+1,""))</f>
        <v/>
      </c>
      <c r="AH2146" s="20">
        <f>IF(A2146="",0,IF(AND(OR('CSV抽出'!$C$4="",A2146&gt;='CSV抽出'!$C$4),OR('CSV抽出'!$C$5="",A2146&lt;='CSV抽出'!$C$5),OR('CSV抽出'!$C$6="すべて",'CSV抽出'!$C$6="",D2146='CSV抽出'!$C$6),OR('CSV抽出'!$C$7="",B2146&amp;""='CSV抽出'!$C$7&amp;"")),1,0))</f>
        <v/>
      </c>
      <c r="AI2146" s="20">
        <f>IF(AH2146=1,SUM($AH$5:AH2146),"")</f>
        <v/>
      </c>
      <c r="AJ2146" s="20">
        <f>IF(OR(S2146="",'報告書'!$C$4=""),"",IF(S2146&amp;""='報告書'!$C$4&amp;"",COUNTIF($S$5:S2146,'報告書'!$C$4),""))</f>
        <v/>
      </c>
      <c r="AK2146" s="20" t="n"/>
      <c r="AL2146" s="47" t="n"/>
      <c r="AM2146" s="47" t="n"/>
      <c r="AN2146" s="53" t="n"/>
      <c r="AO2146" s="47" t="n"/>
      <c r="AP2146" s="47" t="n"/>
      <c r="AQ2146" s="47" t="n"/>
      <c r="AR2146" s="47" t="n"/>
      <c r="AS2146" s="47" t="n"/>
      <c r="AT2146" s="47" t="n"/>
      <c r="AU2146" s="47" t="n"/>
      <c r="AV2146" s="47" t="n"/>
      <c r="AW2146" s="52" t="n"/>
    </row>
    <row r="2147">
      <c r="A2147" s="48" t="n"/>
      <c r="B2147" s="52" t="n"/>
      <c r="C2147" s="47">
        <f>IF(B2147="","",IFERROR(INDEX('隊員マスタ'!$B$5:$B$204,MATCH(B2147&amp;"",'隊員マスタ'!$F$5:$F$204,0)),IF(AK2147="","番号なし",AK2147)))</f>
        <v/>
      </c>
      <c r="D2147" s="47" t="n"/>
      <c r="E2147" s="47" t="n"/>
      <c r="F2147" s="47" t="n"/>
      <c r="G2147" s="47" t="n"/>
      <c r="H2147" s="47" t="n"/>
      <c r="I2147" s="47" t="n"/>
      <c r="J2147" s="47" t="n"/>
      <c r="K2147" s="47" t="n"/>
      <c r="L2147" s="47" t="n"/>
      <c r="M2147" s="47" t="n"/>
      <c r="N2147" s="47" t="n"/>
      <c r="O2147" s="47" t="n"/>
      <c r="P2147" s="47" t="n"/>
      <c r="Q2147" s="47" t="n"/>
      <c r="R2147" s="47" t="n"/>
      <c r="S2147" s="47" t="n"/>
      <c r="T2147" s="47" t="n"/>
      <c r="U2147" s="53" t="n"/>
      <c r="V2147" s="53" t="n"/>
      <c r="W2147" s="47" t="n"/>
      <c r="X2147" s="47" t="n"/>
      <c r="Y2147" s="47" t="n"/>
      <c r="Z2147" s="47" t="n"/>
      <c r="AA2147" s="47" t="n"/>
      <c r="AB2147" s="47" t="n"/>
      <c r="AC2147" s="47" t="n"/>
      <c r="AD2147" s="47" t="n"/>
      <c r="AE2147" s="47" t="n"/>
      <c r="AF2147" s="20">
        <f>IF(A2147="","",YEAR(EDATE(A2147,-3)))</f>
        <v/>
      </c>
      <c r="AG2147" s="20">
        <f>IF(OR(B2147="",'経歴簿'!$C$4=""),"",IF(B2147&amp;""='経歴簿'!$C$4&amp;"",MAX($AG$4:AG2146)+1,""))</f>
        <v/>
      </c>
      <c r="AH2147" s="20">
        <f>IF(A2147="",0,IF(AND(OR('CSV抽出'!$C$4="",A2147&gt;='CSV抽出'!$C$4),OR('CSV抽出'!$C$5="",A2147&lt;='CSV抽出'!$C$5),OR('CSV抽出'!$C$6="すべて",'CSV抽出'!$C$6="",D2147='CSV抽出'!$C$6),OR('CSV抽出'!$C$7="",B2147&amp;""='CSV抽出'!$C$7&amp;"")),1,0))</f>
        <v/>
      </c>
      <c r="AI2147" s="20">
        <f>IF(AH2147=1,SUM($AH$5:AH2147),"")</f>
        <v/>
      </c>
      <c r="AJ2147" s="20">
        <f>IF(OR(S2147="",'報告書'!$C$4=""),"",IF(S2147&amp;""='報告書'!$C$4&amp;"",COUNTIF($S$5:S2147,'報告書'!$C$4),""))</f>
        <v/>
      </c>
      <c r="AK2147" s="20" t="n"/>
      <c r="AL2147" s="47" t="n"/>
      <c r="AM2147" s="47" t="n"/>
      <c r="AN2147" s="53" t="n"/>
      <c r="AO2147" s="47" t="n"/>
      <c r="AP2147" s="47" t="n"/>
      <c r="AQ2147" s="47" t="n"/>
      <c r="AR2147" s="47" t="n"/>
      <c r="AS2147" s="47" t="n"/>
      <c r="AT2147" s="47" t="n"/>
      <c r="AU2147" s="47" t="n"/>
      <c r="AV2147" s="47" t="n"/>
      <c r="AW2147" s="52" t="n"/>
    </row>
    <row r="2148">
      <c r="A2148" s="48" t="n"/>
      <c r="B2148" s="52" t="n"/>
      <c r="C2148" s="47">
        <f>IF(B2148="","",IFERROR(INDEX('隊員マスタ'!$B$5:$B$204,MATCH(B2148&amp;"",'隊員マスタ'!$F$5:$F$204,0)),IF(AK2148="","番号なし",AK2148)))</f>
        <v/>
      </c>
      <c r="D2148" s="47" t="n"/>
      <c r="E2148" s="47" t="n"/>
      <c r="F2148" s="47" t="n"/>
      <c r="G2148" s="47" t="n"/>
      <c r="H2148" s="47" t="n"/>
      <c r="I2148" s="47" t="n"/>
      <c r="J2148" s="47" t="n"/>
      <c r="K2148" s="47" t="n"/>
      <c r="L2148" s="47" t="n"/>
      <c r="M2148" s="47" t="n"/>
      <c r="N2148" s="47" t="n"/>
      <c r="O2148" s="47" t="n"/>
      <c r="P2148" s="47" t="n"/>
      <c r="Q2148" s="47" t="n"/>
      <c r="R2148" s="47" t="n"/>
      <c r="S2148" s="47" t="n"/>
      <c r="T2148" s="47" t="n"/>
      <c r="U2148" s="53" t="n"/>
      <c r="V2148" s="53" t="n"/>
      <c r="W2148" s="47" t="n"/>
      <c r="X2148" s="47" t="n"/>
      <c r="Y2148" s="47" t="n"/>
      <c r="Z2148" s="47" t="n"/>
      <c r="AA2148" s="47" t="n"/>
      <c r="AB2148" s="47" t="n"/>
      <c r="AC2148" s="47" t="n"/>
      <c r="AD2148" s="47" t="n"/>
      <c r="AE2148" s="47" t="n"/>
      <c r="AF2148" s="20">
        <f>IF(A2148="","",YEAR(EDATE(A2148,-3)))</f>
        <v/>
      </c>
      <c r="AG2148" s="20">
        <f>IF(OR(B2148="",'経歴簿'!$C$4=""),"",IF(B2148&amp;""='経歴簿'!$C$4&amp;"",MAX($AG$4:AG2147)+1,""))</f>
        <v/>
      </c>
      <c r="AH2148" s="20">
        <f>IF(A2148="",0,IF(AND(OR('CSV抽出'!$C$4="",A2148&gt;='CSV抽出'!$C$4),OR('CSV抽出'!$C$5="",A2148&lt;='CSV抽出'!$C$5),OR('CSV抽出'!$C$6="すべて",'CSV抽出'!$C$6="",D2148='CSV抽出'!$C$6),OR('CSV抽出'!$C$7="",B2148&amp;""='CSV抽出'!$C$7&amp;"")),1,0))</f>
        <v/>
      </c>
      <c r="AI2148" s="20">
        <f>IF(AH2148=1,SUM($AH$5:AH2148),"")</f>
        <v/>
      </c>
      <c r="AJ2148" s="20">
        <f>IF(OR(S2148="",'報告書'!$C$4=""),"",IF(S2148&amp;""='報告書'!$C$4&amp;"",COUNTIF($S$5:S2148,'報告書'!$C$4),""))</f>
        <v/>
      </c>
      <c r="AK2148" s="20" t="n"/>
      <c r="AL2148" s="47" t="n"/>
      <c r="AM2148" s="47" t="n"/>
      <c r="AN2148" s="53" t="n"/>
      <c r="AO2148" s="47" t="n"/>
      <c r="AP2148" s="47" t="n"/>
      <c r="AQ2148" s="47" t="n"/>
      <c r="AR2148" s="47" t="n"/>
      <c r="AS2148" s="47" t="n"/>
      <c r="AT2148" s="47" t="n"/>
      <c r="AU2148" s="47" t="n"/>
      <c r="AV2148" s="47" t="n"/>
      <c r="AW2148" s="52" t="n"/>
    </row>
    <row r="2149">
      <c r="A2149" s="48" t="n"/>
      <c r="B2149" s="52" t="n"/>
      <c r="C2149" s="47">
        <f>IF(B2149="","",IFERROR(INDEX('隊員マスタ'!$B$5:$B$204,MATCH(B2149&amp;"",'隊員マスタ'!$F$5:$F$204,0)),IF(AK2149="","番号なし",AK2149)))</f>
        <v/>
      </c>
      <c r="D2149" s="47" t="n"/>
      <c r="E2149" s="47" t="n"/>
      <c r="F2149" s="47" t="n"/>
      <c r="G2149" s="47" t="n"/>
      <c r="H2149" s="47" t="n"/>
      <c r="I2149" s="47" t="n"/>
      <c r="J2149" s="47" t="n"/>
      <c r="K2149" s="47" t="n"/>
      <c r="L2149" s="47" t="n"/>
      <c r="M2149" s="47" t="n"/>
      <c r="N2149" s="47" t="n"/>
      <c r="O2149" s="47" t="n"/>
      <c r="P2149" s="47" t="n"/>
      <c r="Q2149" s="47" t="n"/>
      <c r="R2149" s="47" t="n"/>
      <c r="S2149" s="47" t="n"/>
      <c r="T2149" s="47" t="n"/>
      <c r="U2149" s="53" t="n"/>
      <c r="V2149" s="53" t="n"/>
      <c r="W2149" s="47" t="n"/>
      <c r="X2149" s="47" t="n"/>
      <c r="Y2149" s="47" t="n"/>
      <c r="Z2149" s="47" t="n"/>
      <c r="AA2149" s="47" t="n"/>
      <c r="AB2149" s="47" t="n"/>
      <c r="AC2149" s="47" t="n"/>
      <c r="AD2149" s="47" t="n"/>
      <c r="AE2149" s="47" t="n"/>
      <c r="AF2149" s="20">
        <f>IF(A2149="","",YEAR(EDATE(A2149,-3)))</f>
        <v/>
      </c>
      <c r="AG2149" s="20">
        <f>IF(OR(B2149="",'経歴簿'!$C$4=""),"",IF(B2149&amp;""='経歴簿'!$C$4&amp;"",MAX($AG$4:AG2148)+1,""))</f>
        <v/>
      </c>
      <c r="AH2149" s="20">
        <f>IF(A2149="",0,IF(AND(OR('CSV抽出'!$C$4="",A2149&gt;='CSV抽出'!$C$4),OR('CSV抽出'!$C$5="",A2149&lt;='CSV抽出'!$C$5),OR('CSV抽出'!$C$6="すべて",'CSV抽出'!$C$6="",D2149='CSV抽出'!$C$6),OR('CSV抽出'!$C$7="",B2149&amp;""='CSV抽出'!$C$7&amp;"")),1,0))</f>
        <v/>
      </c>
      <c r="AI2149" s="20">
        <f>IF(AH2149=1,SUM($AH$5:AH2149),"")</f>
        <v/>
      </c>
      <c r="AJ2149" s="20">
        <f>IF(OR(S2149="",'報告書'!$C$4=""),"",IF(S2149&amp;""='報告書'!$C$4&amp;"",COUNTIF($S$5:S2149,'報告書'!$C$4),""))</f>
        <v/>
      </c>
      <c r="AK2149" s="20" t="n"/>
      <c r="AL2149" s="47" t="n"/>
      <c r="AM2149" s="47" t="n"/>
      <c r="AN2149" s="53" t="n"/>
      <c r="AO2149" s="47" t="n"/>
      <c r="AP2149" s="47" t="n"/>
      <c r="AQ2149" s="47" t="n"/>
      <c r="AR2149" s="47" t="n"/>
      <c r="AS2149" s="47" t="n"/>
      <c r="AT2149" s="47" t="n"/>
      <c r="AU2149" s="47" t="n"/>
      <c r="AV2149" s="47" t="n"/>
      <c r="AW2149" s="52" t="n"/>
    </row>
    <row r="2150">
      <c r="A2150" s="48" t="n"/>
      <c r="B2150" s="52" t="n"/>
      <c r="C2150" s="47">
        <f>IF(B2150="","",IFERROR(INDEX('隊員マスタ'!$B$5:$B$204,MATCH(B2150&amp;"",'隊員マスタ'!$F$5:$F$204,0)),IF(AK2150="","番号なし",AK2150)))</f>
        <v/>
      </c>
      <c r="D2150" s="47" t="n"/>
      <c r="E2150" s="47" t="n"/>
      <c r="F2150" s="47" t="n"/>
      <c r="G2150" s="47" t="n"/>
      <c r="H2150" s="47" t="n"/>
      <c r="I2150" s="47" t="n"/>
      <c r="J2150" s="47" t="n"/>
      <c r="K2150" s="47" t="n"/>
      <c r="L2150" s="47" t="n"/>
      <c r="M2150" s="47" t="n"/>
      <c r="N2150" s="47" t="n"/>
      <c r="O2150" s="47" t="n"/>
      <c r="P2150" s="47" t="n"/>
      <c r="Q2150" s="47" t="n"/>
      <c r="R2150" s="47" t="n"/>
      <c r="S2150" s="47" t="n"/>
      <c r="T2150" s="47" t="n"/>
      <c r="U2150" s="53" t="n"/>
      <c r="V2150" s="53" t="n"/>
      <c r="W2150" s="47" t="n"/>
      <c r="X2150" s="47" t="n"/>
      <c r="Y2150" s="47" t="n"/>
      <c r="Z2150" s="47" t="n"/>
      <c r="AA2150" s="47" t="n"/>
      <c r="AB2150" s="47" t="n"/>
      <c r="AC2150" s="47" t="n"/>
      <c r="AD2150" s="47" t="n"/>
      <c r="AE2150" s="47" t="n"/>
      <c r="AF2150" s="20">
        <f>IF(A2150="","",YEAR(EDATE(A2150,-3)))</f>
        <v/>
      </c>
      <c r="AG2150" s="20">
        <f>IF(OR(B2150="",'経歴簿'!$C$4=""),"",IF(B2150&amp;""='経歴簿'!$C$4&amp;"",MAX($AG$4:AG2149)+1,""))</f>
        <v/>
      </c>
      <c r="AH2150" s="20">
        <f>IF(A2150="",0,IF(AND(OR('CSV抽出'!$C$4="",A2150&gt;='CSV抽出'!$C$4),OR('CSV抽出'!$C$5="",A2150&lt;='CSV抽出'!$C$5),OR('CSV抽出'!$C$6="すべて",'CSV抽出'!$C$6="",D2150='CSV抽出'!$C$6),OR('CSV抽出'!$C$7="",B2150&amp;""='CSV抽出'!$C$7&amp;"")),1,0))</f>
        <v/>
      </c>
      <c r="AI2150" s="20">
        <f>IF(AH2150=1,SUM($AH$5:AH2150),"")</f>
        <v/>
      </c>
      <c r="AJ2150" s="20">
        <f>IF(OR(S2150="",'報告書'!$C$4=""),"",IF(S2150&amp;""='報告書'!$C$4&amp;"",COUNTIF($S$5:S2150,'報告書'!$C$4),""))</f>
        <v/>
      </c>
      <c r="AK2150" s="20" t="n"/>
      <c r="AL2150" s="47" t="n"/>
      <c r="AM2150" s="47" t="n"/>
      <c r="AN2150" s="53" t="n"/>
      <c r="AO2150" s="47" t="n"/>
      <c r="AP2150" s="47" t="n"/>
      <c r="AQ2150" s="47" t="n"/>
      <c r="AR2150" s="47" t="n"/>
      <c r="AS2150" s="47" t="n"/>
      <c r="AT2150" s="47" t="n"/>
      <c r="AU2150" s="47" t="n"/>
      <c r="AV2150" s="47" t="n"/>
      <c r="AW2150" s="52" t="n"/>
    </row>
    <row r="2151">
      <c r="A2151" s="48" t="n"/>
      <c r="B2151" s="52" t="n"/>
      <c r="C2151" s="47">
        <f>IF(B2151="","",IFERROR(INDEX('隊員マスタ'!$B$5:$B$204,MATCH(B2151&amp;"",'隊員マスタ'!$F$5:$F$204,0)),IF(AK2151="","番号なし",AK2151)))</f>
        <v/>
      </c>
      <c r="D2151" s="47" t="n"/>
      <c r="E2151" s="47" t="n"/>
      <c r="F2151" s="47" t="n"/>
      <c r="G2151" s="47" t="n"/>
      <c r="H2151" s="47" t="n"/>
      <c r="I2151" s="47" t="n"/>
      <c r="J2151" s="47" t="n"/>
      <c r="K2151" s="47" t="n"/>
      <c r="L2151" s="47" t="n"/>
      <c r="M2151" s="47" t="n"/>
      <c r="N2151" s="47" t="n"/>
      <c r="O2151" s="47" t="n"/>
      <c r="P2151" s="47" t="n"/>
      <c r="Q2151" s="47" t="n"/>
      <c r="R2151" s="47" t="n"/>
      <c r="S2151" s="47" t="n"/>
      <c r="T2151" s="47" t="n"/>
      <c r="U2151" s="53" t="n"/>
      <c r="V2151" s="53" t="n"/>
      <c r="W2151" s="47" t="n"/>
      <c r="X2151" s="47" t="n"/>
      <c r="Y2151" s="47" t="n"/>
      <c r="Z2151" s="47" t="n"/>
      <c r="AA2151" s="47" t="n"/>
      <c r="AB2151" s="47" t="n"/>
      <c r="AC2151" s="47" t="n"/>
      <c r="AD2151" s="47" t="n"/>
      <c r="AE2151" s="47" t="n"/>
      <c r="AF2151" s="20">
        <f>IF(A2151="","",YEAR(EDATE(A2151,-3)))</f>
        <v/>
      </c>
      <c r="AG2151" s="20">
        <f>IF(OR(B2151="",'経歴簿'!$C$4=""),"",IF(B2151&amp;""='経歴簿'!$C$4&amp;"",MAX($AG$4:AG2150)+1,""))</f>
        <v/>
      </c>
      <c r="AH2151" s="20">
        <f>IF(A2151="",0,IF(AND(OR('CSV抽出'!$C$4="",A2151&gt;='CSV抽出'!$C$4),OR('CSV抽出'!$C$5="",A2151&lt;='CSV抽出'!$C$5),OR('CSV抽出'!$C$6="すべて",'CSV抽出'!$C$6="",D2151='CSV抽出'!$C$6),OR('CSV抽出'!$C$7="",B2151&amp;""='CSV抽出'!$C$7&amp;"")),1,0))</f>
        <v/>
      </c>
      <c r="AI2151" s="20">
        <f>IF(AH2151=1,SUM($AH$5:AH2151),"")</f>
        <v/>
      </c>
      <c r="AJ2151" s="20">
        <f>IF(OR(S2151="",'報告書'!$C$4=""),"",IF(S2151&amp;""='報告書'!$C$4&amp;"",COUNTIF($S$5:S2151,'報告書'!$C$4),""))</f>
        <v/>
      </c>
      <c r="AK2151" s="20" t="n"/>
      <c r="AL2151" s="47" t="n"/>
      <c r="AM2151" s="47" t="n"/>
      <c r="AN2151" s="53" t="n"/>
      <c r="AO2151" s="47" t="n"/>
      <c r="AP2151" s="47" t="n"/>
      <c r="AQ2151" s="47" t="n"/>
      <c r="AR2151" s="47" t="n"/>
      <c r="AS2151" s="47" t="n"/>
      <c r="AT2151" s="47" t="n"/>
      <c r="AU2151" s="47" t="n"/>
      <c r="AV2151" s="47" t="n"/>
      <c r="AW2151" s="52" t="n"/>
    </row>
    <row r="2152">
      <c r="A2152" s="48" t="n"/>
      <c r="B2152" s="52" t="n"/>
      <c r="C2152" s="47">
        <f>IF(B2152="","",IFERROR(INDEX('隊員マスタ'!$B$5:$B$204,MATCH(B2152&amp;"",'隊員マスタ'!$F$5:$F$204,0)),IF(AK2152="","番号なし",AK2152)))</f>
        <v/>
      </c>
      <c r="D2152" s="47" t="n"/>
      <c r="E2152" s="47" t="n"/>
      <c r="F2152" s="47" t="n"/>
      <c r="G2152" s="47" t="n"/>
      <c r="H2152" s="47" t="n"/>
      <c r="I2152" s="47" t="n"/>
      <c r="J2152" s="47" t="n"/>
      <c r="K2152" s="47" t="n"/>
      <c r="L2152" s="47" t="n"/>
      <c r="M2152" s="47" t="n"/>
      <c r="N2152" s="47" t="n"/>
      <c r="O2152" s="47" t="n"/>
      <c r="P2152" s="47" t="n"/>
      <c r="Q2152" s="47" t="n"/>
      <c r="R2152" s="47" t="n"/>
      <c r="S2152" s="47" t="n"/>
      <c r="T2152" s="47" t="n"/>
      <c r="U2152" s="53" t="n"/>
      <c r="V2152" s="53" t="n"/>
      <c r="W2152" s="47" t="n"/>
      <c r="X2152" s="47" t="n"/>
      <c r="Y2152" s="47" t="n"/>
      <c r="Z2152" s="47" t="n"/>
      <c r="AA2152" s="47" t="n"/>
      <c r="AB2152" s="47" t="n"/>
      <c r="AC2152" s="47" t="n"/>
      <c r="AD2152" s="47" t="n"/>
      <c r="AE2152" s="47" t="n"/>
      <c r="AF2152" s="20">
        <f>IF(A2152="","",YEAR(EDATE(A2152,-3)))</f>
        <v/>
      </c>
      <c r="AG2152" s="20">
        <f>IF(OR(B2152="",'経歴簿'!$C$4=""),"",IF(B2152&amp;""='経歴簿'!$C$4&amp;"",MAX($AG$4:AG2151)+1,""))</f>
        <v/>
      </c>
      <c r="AH2152" s="20">
        <f>IF(A2152="",0,IF(AND(OR('CSV抽出'!$C$4="",A2152&gt;='CSV抽出'!$C$4),OR('CSV抽出'!$C$5="",A2152&lt;='CSV抽出'!$C$5),OR('CSV抽出'!$C$6="すべて",'CSV抽出'!$C$6="",D2152='CSV抽出'!$C$6),OR('CSV抽出'!$C$7="",B2152&amp;""='CSV抽出'!$C$7&amp;"")),1,0))</f>
        <v/>
      </c>
      <c r="AI2152" s="20">
        <f>IF(AH2152=1,SUM($AH$5:AH2152),"")</f>
        <v/>
      </c>
      <c r="AJ2152" s="20">
        <f>IF(OR(S2152="",'報告書'!$C$4=""),"",IF(S2152&amp;""='報告書'!$C$4&amp;"",COUNTIF($S$5:S2152,'報告書'!$C$4),""))</f>
        <v/>
      </c>
      <c r="AK2152" s="20" t="n"/>
      <c r="AL2152" s="47" t="n"/>
      <c r="AM2152" s="47" t="n"/>
      <c r="AN2152" s="53" t="n"/>
      <c r="AO2152" s="47" t="n"/>
      <c r="AP2152" s="47" t="n"/>
      <c r="AQ2152" s="47" t="n"/>
      <c r="AR2152" s="47" t="n"/>
      <c r="AS2152" s="47" t="n"/>
      <c r="AT2152" s="47" t="n"/>
      <c r="AU2152" s="47" t="n"/>
      <c r="AV2152" s="47" t="n"/>
      <c r="AW2152" s="52" t="n"/>
    </row>
    <row r="2153">
      <c r="A2153" s="48" t="n"/>
      <c r="B2153" s="52" t="n"/>
      <c r="C2153" s="47">
        <f>IF(B2153="","",IFERROR(INDEX('隊員マスタ'!$B$5:$B$204,MATCH(B2153&amp;"",'隊員マスタ'!$F$5:$F$204,0)),IF(AK2153="","番号なし",AK2153)))</f>
        <v/>
      </c>
      <c r="D2153" s="47" t="n"/>
      <c r="E2153" s="47" t="n"/>
      <c r="F2153" s="47" t="n"/>
      <c r="G2153" s="47" t="n"/>
      <c r="H2153" s="47" t="n"/>
      <c r="I2153" s="47" t="n"/>
      <c r="J2153" s="47" t="n"/>
      <c r="K2153" s="47" t="n"/>
      <c r="L2153" s="47" t="n"/>
      <c r="M2153" s="47" t="n"/>
      <c r="N2153" s="47" t="n"/>
      <c r="O2153" s="47" t="n"/>
      <c r="P2153" s="47" t="n"/>
      <c r="Q2153" s="47" t="n"/>
      <c r="R2153" s="47" t="n"/>
      <c r="S2153" s="47" t="n"/>
      <c r="T2153" s="47" t="n"/>
      <c r="U2153" s="53" t="n"/>
      <c r="V2153" s="53" t="n"/>
      <c r="W2153" s="47" t="n"/>
      <c r="X2153" s="47" t="n"/>
      <c r="Y2153" s="47" t="n"/>
      <c r="Z2153" s="47" t="n"/>
      <c r="AA2153" s="47" t="n"/>
      <c r="AB2153" s="47" t="n"/>
      <c r="AC2153" s="47" t="n"/>
      <c r="AD2153" s="47" t="n"/>
      <c r="AE2153" s="47" t="n"/>
      <c r="AF2153" s="20">
        <f>IF(A2153="","",YEAR(EDATE(A2153,-3)))</f>
        <v/>
      </c>
      <c r="AG2153" s="20">
        <f>IF(OR(B2153="",'経歴簿'!$C$4=""),"",IF(B2153&amp;""='経歴簿'!$C$4&amp;"",MAX($AG$4:AG2152)+1,""))</f>
        <v/>
      </c>
      <c r="AH2153" s="20">
        <f>IF(A2153="",0,IF(AND(OR('CSV抽出'!$C$4="",A2153&gt;='CSV抽出'!$C$4),OR('CSV抽出'!$C$5="",A2153&lt;='CSV抽出'!$C$5),OR('CSV抽出'!$C$6="すべて",'CSV抽出'!$C$6="",D2153='CSV抽出'!$C$6),OR('CSV抽出'!$C$7="",B2153&amp;""='CSV抽出'!$C$7&amp;"")),1,0))</f>
        <v/>
      </c>
      <c r="AI2153" s="20">
        <f>IF(AH2153=1,SUM($AH$5:AH2153),"")</f>
        <v/>
      </c>
      <c r="AJ2153" s="20">
        <f>IF(OR(S2153="",'報告書'!$C$4=""),"",IF(S2153&amp;""='報告書'!$C$4&amp;"",COUNTIF($S$5:S2153,'報告書'!$C$4),""))</f>
        <v/>
      </c>
      <c r="AK2153" s="20" t="n"/>
      <c r="AL2153" s="47" t="n"/>
      <c r="AM2153" s="47" t="n"/>
      <c r="AN2153" s="53" t="n"/>
      <c r="AO2153" s="47" t="n"/>
      <c r="AP2153" s="47" t="n"/>
      <c r="AQ2153" s="47" t="n"/>
      <c r="AR2153" s="47" t="n"/>
      <c r="AS2153" s="47" t="n"/>
      <c r="AT2153" s="47" t="n"/>
      <c r="AU2153" s="47" t="n"/>
      <c r="AV2153" s="47" t="n"/>
      <c r="AW2153" s="52" t="n"/>
    </row>
    <row r="2154">
      <c r="A2154" s="48" t="n"/>
      <c r="B2154" s="52" t="n"/>
      <c r="C2154" s="47">
        <f>IF(B2154="","",IFERROR(INDEX('隊員マスタ'!$B$5:$B$204,MATCH(B2154&amp;"",'隊員マスタ'!$F$5:$F$204,0)),IF(AK2154="","番号なし",AK2154)))</f>
        <v/>
      </c>
      <c r="D2154" s="47" t="n"/>
      <c r="E2154" s="47" t="n"/>
      <c r="F2154" s="47" t="n"/>
      <c r="G2154" s="47" t="n"/>
      <c r="H2154" s="47" t="n"/>
      <c r="I2154" s="47" t="n"/>
      <c r="J2154" s="47" t="n"/>
      <c r="K2154" s="47" t="n"/>
      <c r="L2154" s="47" t="n"/>
      <c r="M2154" s="47" t="n"/>
      <c r="N2154" s="47" t="n"/>
      <c r="O2154" s="47" t="n"/>
      <c r="P2154" s="47" t="n"/>
      <c r="Q2154" s="47" t="n"/>
      <c r="R2154" s="47" t="n"/>
      <c r="S2154" s="47" t="n"/>
      <c r="T2154" s="47" t="n"/>
      <c r="U2154" s="53" t="n"/>
      <c r="V2154" s="53" t="n"/>
      <c r="W2154" s="47" t="n"/>
      <c r="X2154" s="47" t="n"/>
      <c r="Y2154" s="47" t="n"/>
      <c r="Z2154" s="47" t="n"/>
      <c r="AA2154" s="47" t="n"/>
      <c r="AB2154" s="47" t="n"/>
      <c r="AC2154" s="47" t="n"/>
      <c r="AD2154" s="47" t="n"/>
      <c r="AE2154" s="47" t="n"/>
      <c r="AF2154" s="20">
        <f>IF(A2154="","",YEAR(EDATE(A2154,-3)))</f>
        <v/>
      </c>
      <c r="AG2154" s="20">
        <f>IF(OR(B2154="",'経歴簿'!$C$4=""),"",IF(B2154&amp;""='経歴簿'!$C$4&amp;"",MAX($AG$4:AG2153)+1,""))</f>
        <v/>
      </c>
      <c r="AH2154" s="20">
        <f>IF(A2154="",0,IF(AND(OR('CSV抽出'!$C$4="",A2154&gt;='CSV抽出'!$C$4),OR('CSV抽出'!$C$5="",A2154&lt;='CSV抽出'!$C$5),OR('CSV抽出'!$C$6="すべて",'CSV抽出'!$C$6="",D2154='CSV抽出'!$C$6),OR('CSV抽出'!$C$7="",B2154&amp;""='CSV抽出'!$C$7&amp;"")),1,0))</f>
        <v/>
      </c>
      <c r="AI2154" s="20">
        <f>IF(AH2154=1,SUM($AH$5:AH2154),"")</f>
        <v/>
      </c>
      <c r="AJ2154" s="20">
        <f>IF(OR(S2154="",'報告書'!$C$4=""),"",IF(S2154&amp;""='報告書'!$C$4&amp;"",COUNTIF($S$5:S2154,'報告書'!$C$4),""))</f>
        <v/>
      </c>
      <c r="AK2154" s="20" t="n"/>
      <c r="AL2154" s="47" t="n"/>
      <c r="AM2154" s="47" t="n"/>
      <c r="AN2154" s="53" t="n"/>
      <c r="AO2154" s="47" t="n"/>
      <c r="AP2154" s="47" t="n"/>
      <c r="AQ2154" s="47" t="n"/>
      <c r="AR2154" s="47" t="n"/>
      <c r="AS2154" s="47" t="n"/>
      <c r="AT2154" s="47" t="n"/>
      <c r="AU2154" s="47" t="n"/>
      <c r="AV2154" s="47" t="n"/>
      <c r="AW2154" s="52" t="n"/>
    </row>
    <row r="2155">
      <c r="A2155" s="48" t="n"/>
      <c r="B2155" s="52" t="n"/>
      <c r="C2155" s="47">
        <f>IF(B2155="","",IFERROR(INDEX('隊員マスタ'!$B$5:$B$204,MATCH(B2155&amp;"",'隊員マスタ'!$F$5:$F$204,0)),IF(AK2155="","番号なし",AK2155)))</f>
        <v/>
      </c>
      <c r="D2155" s="47" t="n"/>
      <c r="E2155" s="47" t="n"/>
      <c r="F2155" s="47" t="n"/>
      <c r="G2155" s="47" t="n"/>
      <c r="H2155" s="47" t="n"/>
      <c r="I2155" s="47" t="n"/>
      <c r="J2155" s="47" t="n"/>
      <c r="K2155" s="47" t="n"/>
      <c r="L2155" s="47" t="n"/>
      <c r="M2155" s="47" t="n"/>
      <c r="N2155" s="47" t="n"/>
      <c r="O2155" s="47" t="n"/>
      <c r="P2155" s="47" t="n"/>
      <c r="Q2155" s="47" t="n"/>
      <c r="R2155" s="47" t="n"/>
      <c r="S2155" s="47" t="n"/>
      <c r="T2155" s="47" t="n"/>
      <c r="U2155" s="53" t="n"/>
      <c r="V2155" s="53" t="n"/>
      <c r="W2155" s="47" t="n"/>
      <c r="X2155" s="47" t="n"/>
      <c r="Y2155" s="47" t="n"/>
      <c r="Z2155" s="47" t="n"/>
      <c r="AA2155" s="47" t="n"/>
      <c r="AB2155" s="47" t="n"/>
      <c r="AC2155" s="47" t="n"/>
      <c r="AD2155" s="47" t="n"/>
      <c r="AE2155" s="47" t="n"/>
      <c r="AF2155" s="20">
        <f>IF(A2155="","",YEAR(EDATE(A2155,-3)))</f>
        <v/>
      </c>
      <c r="AG2155" s="20">
        <f>IF(OR(B2155="",'経歴簿'!$C$4=""),"",IF(B2155&amp;""='経歴簿'!$C$4&amp;"",MAX($AG$4:AG2154)+1,""))</f>
        <v/>
      </c>
      <c r="AH2155" s="20">
        <f>IF(A2155="",0,IF(AND(OR('CSV抽出'!$C$4="",A2155&gt;='CSV抽出'!$C$4),OR('CSV抽出'!$C$5="",A2155&lt;='CSV抽出'!$C$5),OR('CSV抽出'!$C$6="すべて",'CSV抽出'!$C$6="",D2155='CSV抽出'!$C$6),OR('CSV抽出'!$C$7="",B2155&amp;""='CSV抽出'!$C$7&amp;"")),1,0))</f>
        <v/>
      </c>
      <c r="AI2155" s="20">
        <f>IF(AH2155=1,SUM($AH$5:AH2155),"")</f>
        <v/>
      </c>
      <c r="AJ2155" s="20">
        <f>IF(OR(S2155="",'報告書'!$C$4=""),"",IF(S2155&amp;""='報告書'!$C$4&amp;"",COUNTIF($S$5:S2155,'報告書'!$C$4),""))</f>
        <v/>
      </c>
      <c r="AK2155" s="20" t="n"/>
      <c r="AL2155" s="47" t="n"/>
      <c r="AM2155" s="47" t="n"/>
      <c r="AN2155" s="53" t="n"/>
      <c r="AO2155" s="47" t="n"/>
      <c r="AP2155" s="47" t="n"/>
      <c r="AQ2155" s="47" t="n"/>
      <c r="AR2155" s="47" t="n"/>
      <c r="AS2155" s="47" t="n"/>
      <c r="AT2155" s="47" t="n"/>
      <c r="AU2155" s="47" t="n"/>
      <c r="AV2155" s="47" t="n"/>
      <c r="AW2155" s="52" t="n"/>
    </row>
    <row r="2156">
      <c r="A2156" s="48" t="n"/>
      <c r="B2156" s="52" t="n"/>
      <c r="C2156" s="47">
        <f>IF(B2156="","",IFERROR(INDEX('隊員マスタ'!$B$5:$B$204,MATCH(B2156&amp;"",'隊員マスタ'!$F$5:$F$204,0)),IF(AK2156="","番号なし",AK2156)))</f>
        <v/>
      </c>
      <c r="D2156" s="47" t="n"/>
      <c r="E2156" s="47" t="n"/>
      <c r="F2156" s="47" t="n"/>
      <c r="G2156" s="47" t="n"/>
      <c r="H2156" s="47" t="n"/>
      <c r="I2156" s="47" t="n"/>
      <c r="J2156" s="47" t="n"/>
      <c r="K2156" s="47" t="n"/>
      <c r="L2156" s="47" t="n"/>
      <c r="M2156" s="47" t="n"/>
      <c r="N2156" s="47" t="n"/>
      <c r="O2156" s="47" t="n"/>
      <c r="P2156" s="47" t="n"/>
      <c r="Q2156" s="47" t="n"/>
      <c r="R2156" s="47" t="n"/>
      <c r="S2156" s="47" t="n"/>
      <c r="T2156" s="47" t="n"/>
      <c r="U2156" s="53" t="n"/>
      <c r="V2156" s="53" t="n"/>
      <c r="W2156" s="47" t="n"/>
      <c r="X2156" s="47" t="n"/>
      <c r="Y2156" s="47" t="n"/>
      <c r="Z2156" s="47" t="n"/>
      <c r="AA2156" s="47" t="n"/>
      <c r="AB2156" s="47" t="n"/>
      <c r="AC2156" s="47" t="n"/>
      <c r="AD2156" s="47" t="n"/>
      <c r="AE2156" s="47" t="n"/>
      <c r="AF2156" s="20">
        <f>IF(A2156="","",YEAR(EDATE(A2156,-3)))</f>
        <v/>
      </c>
      <c r="AG2156" s="20">
        <f>IF(OR(B2156="",'経歴簿'!$C$4=""),"",IF(B2156&amp;""='経歴簿'!$C$4&amp;"",MAX($AG$4:AG2155)+1,""))</f>
        <v/>
      </c>
      <c r="AH2156" s="20">
        <f>IF(A2156="",0,IF(AND(OR('CSV抽出'!$C$4="",A2156&gt;='CSV抽出'!$C$4),OR('CSV抽出'!$C$5="",A2156&lt;='CSV抽出'!$C$5),OR('CSV抽出'!$C$6="すべて",'CSV抽出'!$C$6="",D2156='CSV抽出'!$C$6),OR('CSV抽出'!$C$7="",B2156&amp;""='CSV抽出'!$C$7&amp;"")),1,0))</f>
        <v/>
      </c>
      <c r="AI2156" s="20">
        <f>IF(AH2156=1,SUM($AH$5:AH2156),"")</f>
        <v/>
      </c>
      <c r="AJ2156" s="20">
        <f>IF(OR(S2156="",'報告書'!$C$4=""),"",IF(S2156&amp;""='報告書'!$C$4&amp;"",COUNTIF($S$5:S2156,'報告書'!$C$4),""))</f>
        <v/>
      </c>
      <c r="AK2156" s="20" t="n"/>
      <c r="AL2156" s="47" t="n"/>
      <c r="AM2156" s="47" t="n"/>
      <c r="AN2156" s="53" t="n"/>
      <c r="AO2156" s="47" t="n"/>
      <c r="AP2156" s="47" t="n"/>
      <c r="AQ2156" s="47" t="n"/>
      <c r="AR2156" s="47" t="n"/>
      <c r="AS2156" s="47" t="n"/>
      <c r="AT2156" s="47" t="n"/>
      <c r="AU2156" s="47" t="n"/>
      <c r="AV2156" s="47" t="n"/>
      <c r="AW2156" s="52" t="n"/>
    </row>
    <row r="2157">
      <c r="A2157" s="48" t="n"/>
      <c r="B2157" s="52" t="n"/>
      <c r="C2157" s="47">
        <f>IF(B2157="","",IFERROR(INDEX('隊員マスタ'!$B$5:$B$204,MATCH(B2157&amp;"",'隊員マスタ'!$F$5:$F$204,0)),IF(AK2157="","番号なし",AK2157)))</f>
        <v/>
      </c>
      <c r="D2157" s="47" t="n"/>
      <c r="E2157" s="47" t="n"/>
      <c r="F2157" s="47" t="n"/>
      <c r="G2157" s="47" t="n"/>
      <c r="H2157" s="47" t="n"/>
      <c r="I2157" s="47" t="n"/>
      <c r="J2157" s="47" t="n"/>
      <c r="K2157" s="47" t="n"/>
      <c r="L2157" s="47" t="n"/>
      <c r="M2157" s="47" t="n"/>
      <c r="N2157" s="47" t="n"/>
      <c r="O2157" s="47" t="n"/>
      <c r="P2157" s="47" t="n"/>
      <c r="Q2157" s="47" t="n"/>
      <c r="R2157" s="47" t="n"/>
      <c r="S2157" s="47" t="n"/>
      <c r="T2157" s="47" t="n"/>
      <c r="U2157" s="53" t="n"/>
      <c r="V2157" s="53" t="n"/>
      <c r="W2157" s="47" t="n"/>
      <c r="X2157" s="47" t="n"/>
      <c r="Y2157" s="47" t="n"/>
      <c r="Z2157" s="47" t="n"/>
      <c r="AA2157" s="47" t="n"/>
      <c r="AB2157" s="47" t="n"/>
      <c r="AC2157" s="47" t="n"/>
      <c r="AD2157" s="47" t="n"/>
      <c r="AE2157" s="47" t="n"/>
      <c r="AF2157" s="20">
        <f>IF(A2157="","",YEAR(EDATE(A2157,-3)))</f>
        <v/>
      </c>
      <c r="AG2157" s="20">
        <f>IF(OR(B2157="",'経歴簿'!$C$4=""),"",IF(B2157&amp;""='経歴簿'!$C$4&amp;"",MAX($AG$4:AG2156)+1,""))</f>
        <v/>
      </c>
      <c r="AH2157" s="20">
        <f>IF(A2157="",0,IF(AND(OR('CSV抽出'!$C$4="",A2157&gt;='CSV抽出'!$C$4),OR('CSV抽出'!$C$5="",A2157&lt;='CSV抽出'!$C$5),OR('CSV抽出'!$C$6="すべて",'CSV抽出'!$C$6="",D2157='CSV抽出'!$C$6),OR('CSV抽出'!$C$7="",B2157&amp;""='CSV抽出'!$C$7&amp;"")),1,0))</f>
        <v/>
      </c>
      <c r="AI2157" s="20">
        <f>IF(AH2157=1,SUM($AH$5:AH2157),"")</f>
        <v/>
      </c>
      <c r="AJ2157" s="20">
        <f>IF(OR(S2157="",'報告書'!$C$4=""),"",IF(S2157&amp;""='報告書'!$C$4&amp;"",COUNTIF($S$5:S2157,'報告書'!$C$4),""))</f>
        <v/>
      </c>
      <c r="AK2157" s="20" t="n"/>
      <c r="AL2157" s="47" t="n"/>
      <c r="AM2157" s="47" t="n"/>
      <c r="AN2157" s="53" t="n"/>
      <c r="AO2157" s="47" t="n"/>
      <c r="AP2157" s="47" t="n"/>
      <c r="AQ2157" s="47" t="n"/>
      <c r="AR2157" s="47" t="n"/>
      <c r="AS2157" s="47" t="n"/>
      <c r="AT2157" s="47" t="n"/>
      <c r="AU2157" s="47" t="n"/>
      <c r="AV2157" s="47" t="n"/>
      <c r="AW2157" s="52" t="n"/>
    </row>
    <row r="2158">
      <c r="A2158" s="48" t="n"/>
      <c r="B2158" s="52" t="n"/>
      <c r="C2158" s="47">
        <f>IF(B2158="","",IFERROR(INDEX('隊員マスタ'!$B$5:$B$204,MATCH(B2158&amp;"",'隊員マスタ'!$F$5:$F$204,0)),IF(AK2158="","番号なし",AK2158)))</f>
        <v/>
      </c>
      <c r="D2158" s="47" t="n"/>
      <c r="E2158" s="47" t="n"/>
      <c r="F2158" s="47" t="n"/>
      <c r="G2158" s="47" t="n"/>
      <c r="H2158" s="47" t="n"/>
      <c r="I2158" s="47" t="n"/>
      <c r="J2158" s="47" t="n"/>
      <c r="K2158" s="47" t="n"/>
      <c r="L2158" s="47" t="n"/>
      <c r="M2158" s="47" t="n"/>
      <c r="N2158" s="47" t="n"/>
      <c r="O2158" s="47" t="n"/>
      <c r="P2158" s="47" t="n"/>
      <c r="Q2158" s="47" t="n"/>
      <c r="R2158" s="47" t="n"/>
      <c r="S2158" s="47" t="n"/>
      <c r="T2158" s="47" t="n"/>
      <c r="U2158" s="53" t="n"/>
      <c r="V2158" s="53" t="n"/>
      <c r="W2158" s="47" t="n"/>
      <c r="X2158" s="47" t="n"/>
      <c r="Y2158" s="47" t="n"/>
      <c r="Z2158" s="47" t="n"/>
      <c r="AA2158" s="47" t="n"/>
      <c r="AB2158" s="47" t="n"/>
      <c r="AC2158" s="47" t="n"/>
      <c r="AD2158" s="47" t="n"/>
      <c r="AE2158" s="47" t="n"/>
      <c r="AF2158" s="20">
        <f>IF(A2158="","",YEAR(EDATE(A2158,-3)))</f>
        <v/>
      </c>
      <c r="AG2158" s="20">
        <f>IF(OR(B2158="",'経歴簿'!$C$4=""),"",IF(B2158&amp;""='経歴簿'!$C$4&amp;"",MAX($AG$4:AG2157)+1,""))</f>
        <v/>
      </c>
      <c r="AH2158" s="20">
        <f>IF(A2158="",0,IF(AND(OR('CSV抽出'!$C$4="",A2158&gt;='CSV抽出'!$C$4),OR('CSV抽出'!$C$5="",A2158&lt;='CSV抽出'!$C$5),OR('CSV抽出'!$C$6="すべて",'CSV抽出'!$C$6="",D2158='CSV抽出'!$C$6),OR('CSV抽出'!$C$7="",B2158&amp;""='CSV抽出'!$C$7&amp;"")),1,0))</f>
        <v/>
      </c>
      <c r="AI2158" s="20">
        <f>IF(AH2158=1,SUM($AH$5:AH2158),"")</f>
        <v/>
      </c>
      <c r="AJ2158" s="20">
        <f>IF(OR(S2158="",'報告書'!$C$4=""),"",IF(S2158&amp;""='報告書'!$C$4&amp;"",COUNTIF($S$5:S2158,'報告書'!$C$4),""))</f>
        <v/>
      </c>
      <c r="AK2158" s="20" t="n"/>
      <c r="AL2158" s="47" t="n"/>
      <c r="AM2158" s="47" t="n"/>
      <c r="AN2158" s="53" t="n"/>
      <c r="AO2158" s="47" t="n"/>
      <c r="AP2158" s="47" t="n"/>
      <c r="AQ2158" s="47" t="n"/>
      <c r="AR2158" s="47" t="n"/>
      <c r="AS2158" s="47" t="n"/>
      <c r="AT2158" s="47" t="n"/>
      <c r="AU2158" s="47" t="n"/>
      <c r="AV2158" s="47" t="n"/>
      <c r="AW2158" s="52" t="n"/>
    </row>
    <row r="2159">
      <c r="A2159" s="48" t="n"/>
      <c r="B2159" s="52" t="n"/>
      <c r="C2159" s="47">
        <f>IF(B2159="","",IFERROR(INDEX('隊員マスタ'!$B$5:$B$204,MATCH(B2159&amp;"",'隊員マスタ'!$F$5:$F$204,0)),IF(AK2159="","番号なし",AK2159)))</f>
        <v/>
      </c>
      <c r="D2159" s="47" t="n"/>
      <c r="E2159" s="47" t="n"/>
      <c r="F2159" s="47" t="n"/>
      <c r="G2159" s="47" t="n"/>
      <c r="H2159" s="47" t="n"/>
      <c r="I2159" s="47" t="n"/>
      <c r="J2159" s="47" t="n"/>
      <c r="K2159" s="47" t="n"/>
      <c r="L2159" s="47" t="n"/>
      <c r="M2159" s="47" t="n"/>
      <c r="N2159" s="47" t="n"/>
      <c r="O2159" s="47" t="n"/>
      <c r="P2159" s="47" t="n"/>
      <c r="Q2159" s="47" t="n"/>
      <c r="R2159" s="47" t="n"/>
      <c r="S2159" s="47" t="n"/>
      <c r="T2159" s="47" t="n"/>
      <c r="U2159" s="53" t="n"/>
      <c r="V2159" s="53" t="n"/>
      <c r="W2159" s="47" t="n"/>
      <c r="X2159" s="47" t="n"/>
      <c r="Y2159" s="47" t="n"/>
      <c r="Z2159" s="47" t="n"/>
      <c r="AA2159" s="47" t="n"/>
      <c r="AB2159" s="47" t="n"/>
      <c r="AC2159" s="47" t="n"/>
      <c r="AD2159" s="47" t="n"/>
      <c r="AE2159" s="47" t="n"/>
      <c r="AF2159" s="20">
        <f>IF(A2159="","",YEAR(EDATE(A2159,-3)))</f>
        <v/>
      </c>
      <c r="AG2159" s="20">
        <f>IF(OR(B2159="",'経歴簿'!$C$4=""),"",IF(B2159&amp;""='経歴簿'!$C$4&amp;"",MAX($AG$4:AG2158)+1,""))</f>
        <v/>
      </c>
      <c r="AH2159" s="20">
        <f>IF(A2159="",0,IF(AND(OR('CSV抽出'!$C$4="",A2159&gt;='CSV抽出'!$C$4),OR('CSV抽出'!$C$5="",A2159&lt;='CSV抽出'!$C$5),OR('CSV抽出'!$C$6="すべて",'CSV抽出'!$C$6="",D2159='CSV抽出'!$C$6),OR('CSV抽出'!$C$7="",B2159&amp;""='CSV抽出'!$C$7&amp;"")),1,0))</f>
        <v/>
      </c>
      <c r="AI2159" s="20">
        <f>IF(AH2159=1,SUM($AH$5:AH2159),"")</f>
        <v/>
      </c>
      <c r="AJ2159" s="20">
        <f>IF(OR(S2159="",'報告書'!$C$4=""),"",IF(S2159&amp;""='報告書'!$C$4&amp;"",COUNTIF($S$5:S2159,'報告書'!$C$4),""))</f>
        <v/>
      </c>
      <c r="AK2159" s="20" t="n"/>
      <c r="AL2159" s="47" t="n"/>
      <c r="AM2159" s="47" t="n"/>
      <c r="AN2159" s="53" t="n"/>
      <c r="AO2159" s="47" t="n"/>
      <c r="AP2159" s="47" t="n"/>
      <c r="AQ2159" s="47" t="n"/>
      <c r="AR2159" s="47" t="n"/>
      <c r="AS2159" s="47" t="n"/>
      <c r="AT2159" s="47" t="n"/>
      <c r="AU2159" s="47" t="n"/>
      <c r="AV2159" s="47" t="n"/>
      <c r="AW2159" s="52" t="n"/>
    </row>
    <row r="2160">
      <c r="A2160" s="48" t="n"/>
      <c r="B2160" s="52" t="n"/>
      <c r="C2160" s="47">
        <f>IF(B2160="","",IFERROR(INDEX('隊員マスタ'!$B$5:$B$204,MATCH(B2160&amp;"",'隊員マスタ'!$F$5:$F$204,0)),IF(AK2160="","番号なし",AK2160)))</f>
        <v/>
      </c>
      <c r="D2160" s="47" t="n"/>
      <c r="E2160" s="47" t="n"/>
      <c r="F2160" s="47" t="n"/>
      <c r="G2160" s="47" t="n"/>
      <c r="H2160" s="47" t="n"/>
      <c r="I2160" s="47" t="n"/>
      <c r="J2160" s="47" t="n"/>
      <c r="K2160" s="47" t="n"/>
      <c r="L2160" s="47" t="n"/>
      <c r="M2160" s="47" t="n"/>
      <c r="N2160" s="47" t="n"/>
      <c r="O2160" s="47" t="n"/>
      <c r="P2160" s="47" t="n"/>
      <c r="Q2160" s="47" t="n"/>
      <c r="R2160" s="47" t="n"/>
      <c r="S2160" s="47" t="n"/>
      <c r="T2160" s="47" t="n"/>
      <c r="U2160" s="53" t="n"/>
      <c r="V2160" s="53" t="n"/>
      <c r="W2160" s="47" t="n"/>
      <c r="X2160" s="47" t="n"/>
      <c r="Y2160" s="47" t="n"/>
      <c r="Z2160" s="47" t="n"/>
      <c r="AA2160" s="47" t="n"/>
      <c r="AB2160" s="47" t="n"/>
      <c r="AC2160" s="47" t="n"/>
      <c r="AD2160" s="47" t="n"/>
      <c r="AE2160" s="47" t="n"/>
      <c r="AF2160" s="20">
        <f>IF(A2160="","",YEAR(EDATE(A2160,-3)))</f>
        <v/>
      </c>
      <c r="AG2160" s="20">
        <f>IF(OR(B2160="",'経歴簿'!$C$4=""),"",IF(B2160&amp;""='経歴簿'!$C$4&amp;"",MAX($AG$4:AG2159)+1,""))</f>
        <v/>
      </c>
      <c r="AH2160" s="20">
        <f>IF(A2160="",0,IF(AND(OR('CSV抽出'!$C$4="",A2160&gt;='CSV抽出'!$C$4),OR('CSV抽出'!$C$5="",A2160&lt;='CSV抽出'!$C$5),OR('CSV抽出'!$C$6="すべて",'CSV抽出'!$C$6="",D2160='CSV抽出'!$C$6),OR('CSV抽出'!$C$7="",B2160&amp;""='CSV抽出'!$C$7&amp;"")),1,0))</f>
        <v/>
      </c>
      <c r="AI2160" s="20">
        <f>IF(AH2160=1,SUM($AH$5:AH2160),"")</f>
        <v/>
      </c>
      <c r="AJ2160" s="20">
        <f>IF(OR(S2160="",'報告書'!$C$4=""),"",IF(S2160&amp;""='報告書'!$C$4&amp;"",COUNTIF($S$5:S2160,'報告書'!$C$4),""))</f>
        <v/>
      </c>
      <c r="AK2160" s="20" t="n"/>
      <c r="AL2160" s="47" t="n"/>
      <c r="AM2160" s="47" t="n"/>
      <c r="AN2160" s="53" t="n"/>
      <c r="AO2160" s="47" t="n"/>
      <c r="AP2160" s="47" t="n"/>
      <c r="AQ2160" s="47" t="n"/>
      <c r="AR2160" s="47" t="n"/>
      <c r="AS2160" s="47" t="n"/>
      <c r="AT2160" s="47" t="n"/>
      <c r="AU2160" s="47" t="n"/>
      <c r="AV2160" s="47" t="n"/>
      <c r="AW2160" s="52" t="n"/>
    </row>
    <row r="2161">
      <c r="A2161" s="48" t="n"/>
      <c r="B2161" s="52" t="n"/>
      <c r="C2161" s="47">
        <f>IF(B2161="","",IFERROR(INDEX('隊員マスタ'!$B$5:$B$204,MATCH(B2161&amp;"",'隊員マスタ'!$F$5:$F$204,0)),IF(AK2161="","番号なし",AK2161)))</f>
        <v/>
      </c>
      <c r="D2161" s="47" t="n"/>
      <c r="E2161" s="47" t="n"/>
      <c r="F2161" s="47" t="n"/>
      <c r="G2161" s="47" t="n"/>
      <c r="H2161" s="47" t="n"/>
      <c r="I2161" s="47" t="n"/>
      <c r="J2161" s="47" t="n"/>
      <c r="K2161" s="47" t="n"/>
      <c r="L2161" s="47" t="n"/>
      <c r="M2161" s="47" t="n"/>
      <c r="N2161" s="47" t="n"/>
      <c r="O2161" s="47" t="n"/>
      <c r="P2161" s="47" t="n"/>
      <c r="Q2161" s="47" t="n"/>
      <c r="R2161" s="47" t="n"/>
      <c r="S2161" s="47" t="n"/>
      <c r="T2161" s="47" t="n"/>
      <c r="U2161" s="53" t="n"/>
      <c r="V2161" s="53" t="n"/>
      <c r="W2161" s="47" t="n"/>
      <c r="X2161" s="47" t="n"/>
      <c r="Y2161" s="47" t="n"/>
      <c r="Z2161" s="47" t="n"/>
      <c r="AA2161" s="47" t="n"/>
      <c r="AB2161" s="47" t="n"/>
      <c r="AC2161" s="47" t="n"/>
      <c r="AD2161" s="47" t="n"/>
      <c r="AE2161" s="47" t="n"/>
      <c r="AF2161" s="20">
        <f>IF(A2161="","",YEAR(EDATE(A2161,-3)))</f>
        <v/>
      </c>
      <c r="AG2161" s="20">
        <f>IF(OR(B2161="",'経歴簿'!$C$4=""),"",IF(B2161&amp;""='経歴簿'!$C$4&amp;"",MAX($AG$4:AG2160)+1,""))</f>
        <v/>
      </c>
      <c r="AH2161" s="20">
        <f>IF(A2161="",0,IF(AND(OR('CSV抽出'!$C$4="",A2161&gt;='CSV抽出'!$C$4),OR('CSV抽出'!$C$5="",A2161&lt;='CSV抽出'!$C$5),OR('CSV抽出'!$C$6="すべて",'CSV抽出'!$C$6="",D2161='CSV抽出'!$C$6),OR('CSV抽出'!$C$7="",B2161&amp;""='CSV抽出'!$C$7&amp;"")),1,0))</f>
        <v/>
      </c>
      <c r="AI2161" s="20">
        <f>IF(AH2161=1,SUM($AH$5:AH2161),"")</f>
        <v/>
      </c>
      <c r="AJ2161" s="20">
        <f>IF(OR(S2161="",'報告書'!$C$4=""),"",IF(S2161&amp;""='報告書'!$C$4&amp;"",COUNTIF($S$5:S2161,'報告書'!$C$4),""))</f>
        <v/>
      </c>
      <c r="AK2161" s="20" t="n"/>
      <c r="AL2161" s="47" t="n"/>
      <c r="AM2161" s="47" t="n"/>
      <c r="AN2161" s="53" t="n"/>
      <c r="AO2161" s="47" t="n"/>
      <c r="AP2161" s="47" t="n"/>
      <c r="AQ2161" s="47" t="n"/>
      <c r="AR2161" s="47" t="n"/>
      <c r="AS2161" s="47" t="n"/>
      <c r="AT2161" s="47" t="n"/>
      <c r="AU2161" s="47" t="n"/>
      <c r="AV2161" s="47" t="n"/>
      <c r="AW2161" s="52" t="n"/>
    </row>
    <row r="2162">
      <c r="A2162" s="48" t="n"/>
      <c r="B2162" s="52" t="n"/>
      <c r="C2162" s="47">
        <f>IF(B2162="","",IFERROR(INDEX('隊員マスタ'!$B$5:$B$204,MATCH(B2162&amp;"",'隊員マスタ'!$F$5:$F$204,0)),IF(AK2162="","番号なし",AK2162)))</f>
        <v/>
      </c>
      <c r="D2162" s="47" t="n"/>
      <c r="E2162" s="47" t="n"/>
      <c r="F2162" s="47" t="n"/>
      <c r="G2162" s="47" t="n"/>
      <c r="H2162" s="47" t="n"/>
      <c r="I2162" s="47" t="n"/>
      <c r="J2162" s="47" t="n"/>
      <c r="K2162" s="47" t="n"/>
      <c r="L2162" s="47" t="n"/>
      <c r="M2162" s="47" t="n"/>
      <c r="N2162" s="47" t="n"/>
      <c r="O2162" s="47" t="n"/>
      <c r="P2162" s="47" t="n"/>
      <c r="Q2162" s="47" t="n"/>
      <c r="R2162" s="47" t="n"/>
      <c r="S2162" s="47" t="n"/>
      <c r="T2162" s="47" t="n"/>
      <c r="U2162" s="53" t="n"/>
      <c r="V2162" s="53" t="n"/>
      <c r="W2162" s="47" t="n"/>
      <c r="X2162" s="47" t="n"/>
      <c r="Y2162" s="47" t="n"/>
      <c r="Z2162" s="47" t="n"/>
      <c r="AA2162" s="47" t="n"/>
      <c r="AB2162" s="47" t="n"/>
      <c r="AC2162" s="47" t="n"/>
      <c r="AD2162" s="47" t="n"/>
      <c r="AE2162" s="47" t="n"/>
      <c r="AF2162" s="20">
        <f>IF(A2162="","",YEAR(EDATE(A2162,-3)))</f>
        <v/>
      </c>
      <c r="AG2162" s="20">
        <f>IF(OR(B2162="",'経歴簿'!$C$4=""),"",IF(B2162&amp;""='経歴簿'!$C$4&amp;"",MAX($AG$4:AG2161)+1,""))</f>
        <v/>
      </c>
      <c r="AH2162" s="20">
        <f>IF(A2162="",0,IF(AND(OR('CSV抽出'!$C$4="",A2162&gt;='CSV抽出'!$C$4),OR('CSV抽出'!$C$5="",A2162&lt;='CSV抽出'!$C$5),OR('CSV抽出'!$C$6="すべて",'CSV抽出'!$C$6="",D2162='CSV抽出'!$C$6),OR('CSV抽出'!$C$7="",B2162&amp;""='CSV抽出'!$C$7&amp;"")),1,0))</f>
        <v/>
      </c>
      <c r="AI2162" s="20">
        <f>IF(AH2162=1,SUM($AH$5:AH2162),"")</f>
        <v/>
      </c>
      <c r="AJ2162" s="20">
        <f>IF(OR(S2162="",'報告書'!$C$4=""),"",IF(S2162&amp;""='報告書'!$C$4&amp;"",COUNTIF($S$5:S2162,'報告書'!$C$4),""))</f>
        <v/>
      </c>
      <c r="AK2162" s="20" t="n"/>
      <c r="AL2162" s="47" t="n"/>
      <c r="AM2162" s="47" t="n"/>
      <c r="AN2162" s="53" t="n"/>
      <c r="AO2162" s="47" t="n"/>
      <c r="AP2162" s="47" t="n"/>
      <c r="AQ2162" s="47" t="n"/>
      <c r="AR2162" s="47" t="n"/>
      <c r="AS2162" s="47" t="n"/>
      <c r="AT2162" s="47" t="n"/>
      <c r="AU2162" s="47" t="n"/>
      <c r="AV2162" s="47" t="n"/>
      <c r="AW2162" s="52" t="n"/>
    </row>
    <row r="2163">
      <c r="A2163" s="48" t="n"/>
      <c r="B2163" s="52" t="n"/>
      <c r="C2163" s="47">
        <f>IF(B2163="","",IFERROR(INDEX('隊員マスタ'!$B$5:$B$204,MATCH(B2163&amp;"",'隊員マスタ'!$F$5:$F$204,0)),IF(AK2163="","番号なし",AK2163)))</f>
        <v/>
      </c>
      <c r="D2163" s="47" t="n"/>
      <c r="E2163" s="47" t="n"/>
      <c r="F2163" s="47" t="n"/>
      <c r="G2163" s="47" t="n"/>
      <c r="H2163" s="47" t="n"/>
      <c r="I2163" s="47" t="n"/>
      <c r="J2163" s="47" t="n"/>
      <c r="K2163" s="47" t="n"/>
      <c r="L2163" s="47" t="n"/>
      <c r="M2163" s="47" t="n"/>
      <c r="N2163" s="47" t="n"/>
      <c r="O2163" s="47" t="n"/>
      <c r="P2163" s="47" t="n"/>
      <c r="Q2163" s="47" t="n"/>
      <c r="R2163" s="47" t="n"/>
      <c r="S2163" s="47" t="n"/>
      <c r="T2163" s="47" t="n"/>
      <c r="U2163" s="53" t="n"/>
      <c r="V2163" s="53" t="n"/>
      <c r="W2163" s="47" t="n"/>
      <c r="X2163" s="47" t="n"/>
      <c r="Y2163" s="47" t="n"/>
      <c r="Z2163" s="47" t="n"/>
      <c r="AA2163" s="47" t="n"/>
      <c r="AB2163" s="47" t="n"/>
      <c r="AC2163" s="47" t="n"/>
      <c r="AD2163" s="47" t="n"/>
      <c r="AE2163" s="47" t="n"/>
      <c r="AF2163" s="20">
        <f>IF(A2163="","",YEAR(EDATE(A2163,-3)))</f>
        <v/>
      </c>
      <c r="AG2163" s="20">
        <f>IF(OR(B2163="",'経歴簿'!$C$4=""),"",IF(B2163&amp;""='経歴簿'!$C$4&amp;"",MAX($AG$4:AG2162)+1,""))</f>
        <v/>
      </c>
      <c r="AH2163" s="20">
        <f>IF(A2163="",0,IF(AND(OR('CSV抽出'!$C$4="",A2163&gt;='CSV抽出'!$C$4),OR('CSV抽出'!$C$5="",A2163&lt;='CSV抽出'!$C$5),OR('CSV抽出'!$C$6="すべて",'CSV抽出'!$C$6="",D2163='CSV抽出'!$C$6),OR('CSV抽出'!$C$7="",B2163&amp;""='CSV抽出'!$C$7&amp;"")),1,0))</f>
        <v/>
      </c>
      <c r="AI2163" s="20">
        <f>IF(AH2163=1,SUM($AH$5:AH2163),"")</f>
        <v/>
      </c>
      <c r="AJ2163" s="20">
        <f>IF(OR(S2163="",'報告書'!$C$4=""),"",IF(S2163&amp;""='報告書'!$C$4&amp;"",COUNTIF($S$5:S2163,'報告書'!$C$4),""))</f>
        <v/>
      </c>
      <c r="AK2163" s="20" t="n"/>
      <c r="AL2163" s="47" t="n"/>
      <c r="AM2163" s="47" t="n"/>
      <c r="AN2163" s="53" t="n"/>
      <c r="AO2163" s="47" t="n"/>
      <c r="AP2163" s="47" t="n"/>
      <c r="AQ2163" s="47" t="n"/>
      <c r="AR2163" s="47" t="n"/>
      <c r="AS2163" s="47" t="n"/>
      <c r="AT2163" s="47" t="n"/>
      <c r="AU2163" s="47" t="n"/>
      <c r="AV2163" s="47" t="n"/>
      <c r="AW2163" s="52" t="n"/>
    </row>
    <row r="2164">
      <c r="A2164" s="48" t="n"/>
      <c r="B2164" s="52" t="n"/>
      <c r="C2164" s="47">
        <f>IF(B2164="","",IFERROR(INDEX('隊員マスタ'!$B$5:$B$204,MATCH(B2164&amp;"",'隊員マスタ'!$F$5:$F$204,0)),IF(AK2164="","番号なし",AK2164)))</f>
        <v/>
      </c>
      <c r="D2164" s="47" t="n"/>
      <c r="E2164" s="47" t="n"/>
      <c r="F2164" s="47" t="n"/>
      <c r="G2164" s="47" t="n"/>
      <c r="H2164" s="47" t="n"/>
      <c r="I2164" s="47" t="n"/>
      <c r="J2164" s="47" t="n"/>
      <c r="K2164" s="47" t="n"/>
      <c r="L2164" s="47" t="n"/>
      <c r="M2164" s="47" t="n"/>
      <c r="N2164" s="47" t="n"/>
      <c r="O2164" s="47" t="n"/>
      <c r="P2164" s="47" t="n"/>
      <c r="Q2164" s="47" t="n"/>
      <c r="R2164" s="47" t="n"/>
      <c r="S2164" s="47" t="n"/>
      <c r="T2164" s="47" t="n"/>
      <c r="U2164" s="53" t="n"/>
      <c r="V2164" s="53" t="n"/>
      <c r="W2164" s="47" t="n"/>
      <c r="X2164" s="47" t="n"/>
      <c r="Y2164" s="47" t="n"/>
      <c r="Z2164" s="47" t="n"/>
      <c r="AA2164" s="47" t="n"/>
      <c r="AB2164" s="47" t="n"/>
      <c r="AC2164" s="47" t="n"/>
      <c r="AD2164" s="47" t="n"/>
      <c r="AE2164" s="47" t="n"/>
      <c r="AF2164" s="20">
        <f>IF(A2164="","",YEAR(EDATE(A2164,-3)))</f>
        <v/>
      </c>
      <c r="AG2164" s="20">
        <f>IF(OR(B2164="",'経歴簿'!$C$4=""),"",IF(B2164&amp;""='経歴簿'!$C$4&amp;"",MAX($AG$4:AG2163)+1,""))</f>
        <v/>
      </c>
      <c r="AH2164" s="20">
        <f>IF(A2164="",0,IF(AND(OR('CSV抽出'!$C$4="",A2164&gt;='CSV抽出'!$C$4),OR('CSV抽出'!$C$5="",A2164&lt;='CSV抽出'!$C$5),OR('CSV抽出'!$C$6="すべて",'CSV抽出'!$C$6="",D2164='CSV抽出'!$C$6),OR('CSV抽出'!$C$7="",B2164&amp;""='CSV抽出'!$C$7&amp;"")),1,0))</f>
        <v/>
      </c>
      <c r="AI2164" s="20">
        <f>IF(AH2164=1,SUM($AH$5:AH2164),"")</f>
        <v/>
      </c>
      <c r="AJ2164" s="20">
        <f>IF(OR(S2164="",'報告書'!$C$4=""),"",IF(S2164&amp;""='報告書'!$C$4&amp;"",COUNTIF($S$5:S2164,'報告書'!$C$4),""))</f>
        <v/>
      </c>
      <c r="AK2164" s="20" t="n"/>
      <c r="AL2164" s="47" t="n"/>
      <c r="AM2164" s="47" t="n"/>
      <c r="AN2164" s="53" t="n"/>
      <c r="AO2164" s="47" t="n"/>
      <c r="AP2164" s="47" t="n"/>
      <c r="AQ2164" s="47" t="n"/>
      <c r="AR2164" s="47" t="n"/>
      <c r="AS2164" s="47" t="n"/>
      <c r="AT2164" s="47" t="n"/>
      <c r="AU2164" s="47" t="n"/>
      <c r="AV2164" s="47" t="n"/>
      <c r="AW2164" s="52" t="n"/>
    </row>
    <row r="2165">
      <c r="A2165" s="48" t="n"/>
      <c r="B2165" s="52" t="n"/>
      <c r="C2165" s="47">
        <f>IF(B2165="","",IFERROR(INDEX('隊員マスタ'!$B$5:$B$204,MATCH(B2165&amp;"",'隊員マスタ'!$F$5:$F$204,0)),IF(AK2165="","番号なし",AK2165)))</f>
        <v/>
      </c>
      <c r="D2165" s="47" t="n"/>
      <c r="E2165" s="47" t="n"/>
      <c r="F2165" s="47" t="n"/>
      <c r="G2165" s="47" t="n"/>
      <c r="H2165" s="47" t="n"/>
      <c r="I2165" s="47" t="n"/>
      <c r="J2165" s="47" t="n"/>
      <c r="K2165" s="47" t="n"/>
      <c r="L2165" s="47" t="n"/>
      <c r="M2165" s="47" t="n"/>
      <c r="N2165" s="47" t="n"/>
      <c r="O2165" s="47" t="n"/>
      <c r="P2165" s="47" t="n"/>
      <c r="Q2165" s="47" t="n"/>
      <c r="R2165" s="47" t="n"/>
      <c r="S2165" s="47" t="n"/>
      <c r="T2165" s="47" t="n"/>
      <c r="U2165" s="53" t="n"/>
      <c r="V2165" s="53" t="n"/>
      <c r="W2165" s="47" t="n"/>
      <c r="X2165" s="47" t="n"/>
      <c r="Y2165" s="47" t="n"/>
      <c r="Z2165" s="47" t="n"/>
      <c r="AA2165" s="47" t="n"/>
      <c r="AB2165" s="47" t="n"/>
      <c r="AC2165" s="47" t="n"/>
      <c r="AD2165" s="47" t="n"/>
      <c r="AE2165" s="47" t="n"/>
      <c r="AF2165" s="20">
        <f>IF(A2165="","",YEAR(EDATE(A2165,-3)))</f>
        <v/>
      </c>
      <c r="AG2165" s="20">
        <f>IF(OR(B2165="",'経歴簿'!$C$4=""),"",IF(B2165&amp;""='経歴簿'!$C$4&amp;"",MAX($AG$4:AG2164)+1,""))</f>
        <v/>
      </c>
      <c r="AH2165" s="20">
        <f>IF(A2165="",0,IF(AND(OR('CSV抽出'!$C$4="",A2165&gt;='CSV抽出'!$C$4),OR('CSV抽出'!$C$5="",A2165&lt;='CSV抽出'!$C$5),OR('CSV抽出'!$C$6="すべて",'CSV抽出'!$C$6="",D2165='CSV抽出'!$C$6),OR('CSV抽出'!$C$7="",B2165&amp;""='CSV抽出'!$C$7&amp;"")),1,0))</f>
        <v/>
      </c>
      <c r="AI2165" s="20">
        <f>IF(AH2165=1,SUM($AH$5:AH2165),"")</f>
        <v/>
      </c>
      <c r="AJ2165" s="20">
        <f>IF(OR(S2165="",'報告書'!$C$4=""),"",IF(S2165&amp;""='報告書'!$C$4&amp;"",COUNTIF($S$5:S2165,'報告書'!$C$4),""))</f>
        <v/>
      </c>
      <c r="AK2165" s="20" t="n"/>
      <c r="AL2165" s="47" t="n"/>
      <c r="AM2165" s="47" t="n"/>
      <c r="AN2165" s="53" t="n"/>
      <c r="AO2165" s="47" t="n"/>
      <c r="AP2165" s="47" t="n"/>
      <c r="AQ2165" s="47" t="n"/>
      <c r="AR2165" s="47" t="n"/>
      <c r="AS2165" s="47" t="n"/>
      <c r="AT2165" s="47" t="n"/>
      <c r="AU2165" s="47" t="n"/>
      <c r="AV2165" s="47" t="n"/>
      <c r="AW2165" s="52" t="n"/>
    </row>
    <row r="2166">
      <c r="A2166" s="48" t="n"/>
      <c r="B2166" s="52" t="n"/>
      <c r="C2166" s="47">
        <f>IF(B2166="","",IFERROR(INDEX('隊員マスタ'!$B$5:$B$204,MATCH(B2166&amp;"",'隊員マスタ'!$F$5:$F$204,0)),IF(AK2166="","番号なし",AK2166)))</f>
        <v/>
      </c>
      <c r="D2166" s="47" t="n"/>
      <c r="E2166" s="47" t="n"/>
      <c r="F2166" s="47" t="n"/>
      <c r="G2166" s="47" t="n"/>
      <c r="H2166" s="47" t="n"/>
      <c r="I2166" s="47" t="n"/>
      <c r="J2166" s="47" t="n"/>
      <c r="K2166" s="47" t="n"/>
      <c r="L2166" s="47" t="n"/>
      <c r="M2166" s="47" t="n"/>
      <c r="N2166" s="47" t="n"/>
      <c r="O2166" s="47" t="n"/>
      <c r="P2166" s="47" t="n"/>
      <c r="Q2166" s="47" t="n"/>
      <c r="R2166" s="47" t="n"/>
      <c r="S2166" s="47" t="n"/>
      <c r="T2166" s="47" t="n"/>
      <c r="U2166" s="53" t="n"/>
      <c r="V2166" s="53" t="n"/>
      <c r="W2166" s="47" t="n"/>
      <c r="X2166" s="47" t="n"/>
      <c r="Y2166" s="47" t="n"/>
      <c r="Z2166" s="47" t="n"/>
      <c r="AA2166" s="47" t="n"/>
      <c r="AB2166" s="47" t="n"/>
      <c r="AC2166" s="47" t="n"/>
      <c r="AD2166" s="47" t="n"/>
      <c r="AE2166" s="47" t="n"/>
      <c r="AF2166" s="20">
        <f>IF(A2166="","",YEAR(EDATE(A2166,-3)))</f>
        <v/>
      </c>
      <c r="AG2166" s="20">
        <f>IF(OR(B2166="",'経歴簿'!$C$4=""),"",IF(B2166&amp;""='経歴簿'!$C$4&amp;"",MAX($AG$4:AG2165)+1,""))</f>
        <v/>
      </c>
      <c r="AH2166" s="20">
        <f>IF(A2166="",0,IF(AND(OR('CSV抽出'!$C$4="",A2166&gt;='CSV抽出'!$C$4),OR('CSV抽出'!$C$5="",A2166&lt;='CSV抽出'!$C$5),OR('CSV抽出'!$C$6="すべて",'CSV抽出'!$C$6="",D2166='CSV抽出'!$C$6),OR('CSV抽出'!$C$7="",B2166&amp;""='CSV抽出'!$C$7&amp;"")),1,0))</f>
        <v/>
      </c>
      <c r="AI2166" s="20">
        <f>IF(AH2166=1,SUM($AH$5:AH2166),"")</f>
        <v/>
      </c>
      <c r="AJ2166" s="20">
        <f>IF(OR(S2166="",'報告書'!$C$4=""),"",IF(S2166&amp;""='報告書'!$C$4&amp;"",COUNTIF($S$5:S2166,'報告書'!$C$4),""))</f>
        <v/>
      </c>
      <c r="AK2166" s="20" t="n"/>
      <c r="AL2166" s="47" t="n"/>
      <c r="AM2166" s="47" t="n"/>
      <c r="AN2166" s="53" t="n"/>
      <c r="AO2166" s="47" t="n"/>
      <c r="AP2166" s="47" t="n"/>
      <c r="AQ2166" s="47" t="n"/>
      <c r="AR2166" s="47" t="n"/>
      <c r="AS2166" s="47" t="n"/>
      <c r="AT2166" s="47" t="n"/>
      <c r="AU2166" s="47" t="n"/>
      <c r="AV2166" s="47" t="n"/>
      <c r="AW2166" s="52" t="n"/>
    </row>
    <row r="2167">
      <c r="A2167" s="48" t="n"/>
      <c r="B2167" s="52" t="n"/>
      <c r="C2167" s="47">
        <f>IF(B2167="","",IFERROR(INDEX('隊員マスタ'!$B$5:$B$204,MATCH(B2167&amp;"",'隊員マスタ'!$F$5:$F$204,0)),IF(AK2167="","番号なし",AK2167)))</f>
        <v/>
      </c>
      <c r="D2167" s="47" t="n"/>
      <c r="E2167" s="47" t="n"/>
      <c r="F2167" s="47" t="n"/>
      <c r="G2167" s="47" t="n"/>
      <c r="H2167" s="47" t="n"/>
      <c r="I2167" s="47" t="n"/>
      <c r="J2167" s="47" t="n"/>
      <c r="K2167" s="47" t="n"/>
      <c r="L2167" s="47" t="n"/>
      <c r="M2167" s="47" t="n"/>
      <c r="N2167" s="47" t="n"/>
      <c r="O2167" s="47" t="n"/>
      <c r="P2167" s="47" t="n"/>
      <c r="Q2167" s="47" t="n"/>
      <c r="R2167" s="47" t="n"/>
      <c r="S2167" s="47" t="n"/>
      <c r="T2167" s="47" t="n"/>
      <c r="U2167" s="53" t="n"/>
      <c r="V2167" s="53" t="n"/>
      <c r="W2167" s="47" t="n"/>
      <c r="X2167" s="47" t="n"/>
      <c r="Y2167" s="47" t="n"/>
      <c r="Z2167" s="47" t="n"/>
      <c r="AA2167" s="47" t="n"/>
      <c r="AB2167" s="47" t="n"/>
      <c r="AC2167" s="47" t="n"/>
      <c r="AD2167" s="47" t="n"/>
      <c r="AE2167" s="47" t="n"/>
      <c r="AF2167" s="20">
        <f>IF(A2167="","",YEAR(EDATE(A2167,-3)))</f>
        <v/>
      </c>
      <c r="AG2167" s="20">
        <f>IF(OR(B2167="",'経歴簿'!$C$4=""),"",IF(B2167&amp;""='経歴簿'!$C$4&amp;"",MAX($AG$4:AG2166)+1,""))</f>
        <v/>
      </c>
      <c r="AH2167" s="20">
        <f>IF(A2167="",0,IF(AND(OR('CSV抽出'!$C$4="",A2167&gt;='CSV抽出'!$C$4),OR('CSV抽出'!$C$5="",A2167&lt;='CSV抽出'!$C$5),OR('CSV抽出'!$C$6="すべて",'CSV抽出'!$C$6="",D2167='CSV抽出'!$C$6),OR('CSV抽出'!$C$7="",B2167&amp;""='CSV抽出'!$C$7&amp;"")),1,0))</f>
        <v/>
      </c>
      <c r="AI2167" s="20">
        <f>IF(AH2167=1,SUM($AH$5:AH2167),"")</f>
        <v/>
      </c>
      <c r="AJ2167" s="20">
        <f>IF(OR(S2167="",'報告書'!$C$4=""),"",IF(S2167&amp;""='報告書'!$C$4&amp;"",COUNTIF($S$5:S2167,'報告書'!$C$4),""))</f>
        <v/>
      </c>
      <c r="AK2167" s="20" t="n"/>
      <c r="AL2167" s="47" t="n"/>
      <c r="AM2167" s="47" t="n"/>
      <c r="AN2167" s="53" t="n"/>
      <c r="AO2167" s="47" t="n"/>
      <c r="AP2167" s="47" t="n"/>
      <c r="AQ2167" s="47" t="n"/>
      <c r="AR2167" s="47" t="n"/>
      <c r="AS2167" s="47" t="n"/>
      <c r="AT2167" s="47" t="n"/>
      <c r="AU2167" s="47" t="n"/>
      <c r="AV2167" s="47" t="n"/>
      <c r="AW2167" s="52" t="n"/>
    </row>
    <row r="2168">
      <c r="A2168" s="48" t="n"/>
      <c r="B2168" s="52" t="n"/>
      <c r="C2168" s="47">
        <f>IF(B2168="","",IFERROR(INDEX('隊員マスタ'!$B$5:$B$204,MATCH(B2168&amp;"",'隊員マスタ'!$F$5:$F$204,0)),IF(AK2168="","番号なし",AK2168)))</f>
        <v/>
      </c>
      <c r="D2168" s="47" t="n"/>
      <c r="E2168" s="47" t="n"/>
      <c r="F2168" s="47" t="n"/>
      <c r="G2168" s="47" t="n"/>
      <c r="H2168" s="47" t="n"/>
      <c r="I2168" s="47" t="n"/>
      <c r="J2168" s="47" t="n"/>
      <c r="K2168" s="47" t="n"/>
      <c r="L2168" s="47" t="n"/>
      <c r="M2168" s="47" t="n"/>
      <c r="N2168" s="47" t="n"/>
      <c r="O2168" s="47" t="n"/>
      <c r="P2168" s="47" t="n"/>
      <c r="Q2168" s="47" t="n"/>
      <c r="R2168" s="47" t="n"/>
      <c r="S2168" s="47" t="n"/>
      <c r="T2168" s="47" t="n"/>
      <c r="U2168" s="53" t="n"/>
      <c r="V2168" s="53" t="n"/>
      <c r="W2168" s="47" t="n"/>
      <c r="X2168" s="47" t="n"/>
      <c r="Y2168" s="47" t="n"/>
      <c r="Z2168" s="47" t="n"/>
      <c r="AA2168" s="47" t="n"/>
      <c r="AB2168" s="47" t="n"/>
      <c r="AC2168" s="47" t="n"/>
      <c r="AD2168" s="47" t="n"/>
      <c r="AE2168" s="47" t="n"/>
      <c r="AF2168" s="20">
        <f>IF(A2168="","",YEAR(EDATE(A2168,-3)))</f>
        <v/>
      </c>
      <c r="AG2168" s="20">
        <f>IF(OR(B2168="",'経歴簿'!$C$4=""),"",IF(B2168&amp;""='経歴簿'!$C$4&amp;"",MAX($AG$4:AG2167)+1,""))</f>
        <v/>
      </c>
      <c r="AH2168" s="20">
        <f>IF(A2168="",0,IF(AND(OR('CSV抽出'!$C$4="",A2168&gt;='CSV抽出'!$C$4),OR('CSV抽出'!$C$5="",A2168&lt;='CSV抽出'!$C$5),OR('CSV抽出'!$C$6="すべて",'CSV抽出'!$C$6="",D2168='CSV抽出'!$C$6),OR('CSV抽出'!$C$7="",B2168&amp;""='CSV抽出'!$C$7&amp;"")),1,0))</f>
        <v/>
      </c>
      <c r="AI2168" s="20">
        <f>IF(AH2168=1,SUM($AH$5:AH2168),"")</f>
        <v/>
      </c>
      <c r="AJ2168" s="20">
        <f>IF(OR(S2168="",'報告書'!$C$4=""),"",IF(S2168&amp;""='報告書'!$C$4&amp;"",COUNTIF($S$5:S2168,'報告書'!$C$4),""))</f>
        <v/>
      </c>
      <c r="AK2168" s="20" t="n"/>
      <c r="AL2168" s="47" t="n"/>
      <c r="AM2168" s="47" t="n"/>
      <c r="AN2168" s="53" t="n"/>
      <c r="AO2168" s="47" t="n"/>
      <c r="AP2168" s="47" t="n"/>
      <c r="AQ2168" s="47" t="n"/>
      <c r="AR2168" s="47" t="n"/>
      <c r="AS2168" s="47" t="n"/>
      <c r="AT2168" s="47" t="n"/>
      <c r="AU2168" s="47" t="n"/>
      <c r="AV2168" s="47" t="n"/>
      <c r="AW2168" s="52" t="n"/>
    </row>
    <row r="2169">
      <c r="A2169" s="48" t="n"/>
      <c r="B2169" s="52" t="n"/>
      <c r="C2169" s="47">
        <f>IF(B2169="","",IFERROR(INDEX('隊員マスタ'!$B$5:$B$204,MATCH(B2169&amp;"",'隊員マスタ'!$F$5:$F$204,0)),IF(AK2169="","番号なし",AK2169)))</f>
        <v/>
      </c>
      <c r="D2169" s="47" t="n"/>
      <c r="E2169" s="47" t="n"/>
      <c r="F2169" s="47" t="n"/>
      <c r="G2169" s="47" t="n"/>
      <c r="H2169" s="47" t="n"/>
      <c r="I2169" s="47" t="n"/>
      <c r="J2169" s="47" t="n"/>
      <c r="K2169" s="47" t="n"/>
      <c r="L2169" s="47" t="n"/>
      <c r="M2169" s="47" t="n"/>
      <c r="N2169" s="47" t="n"/>
      <c r="O2169" s="47" t="n"/>
      <c r="P2169" s="47" t="n"/>
      <c r="Q2169" s="47" t="n"/>
      <c r="R2169" s="47" t="n"/>
      <c r="S2169" s="47" t="n"/>
      <c r="T2169" s="47" t="n"/>
      <c r="U2169" s="53" t="n"/>
      <c r="V2169" s="53" t="n"/>
      <c r="W2169" s="47" t="n"/>
      <c r="X2169" s="47" t="n"/>
      <c r="Y2169" s="47" t="n"/>
      <c r="Z2169" s="47" t="n"/>
      <c r="AA2169" s="47" t="n"/>
      <c r="AB2169" s="47" t="n"/>
      <c r="AC2169" s="47" t="n"/>
      <c r="AD2169" s="47" t="n"/>
      <c r="AE2169" s="47" t="n"/>
      <c r="AF2169" s="20">
        <f>IF(A2169="","",YEAR(EDATE(A2169,-3)))</f>
        <v/>
      </c>
      <c r="AG2169" s="20">
        <f>IF(OR(B2169="",'経歴簿'!$C$4=""),"",IF(B2169&amp;""='経歴簿'!$C$4&amp;"",MAX($AG$4:AG2168)+1,""))</f>
        <v/>
      </c>
      <c r="AH2169" s="20">
        <f>IF(A2169="",0,IF(AND(OR('CSV抽出'!$C$4="",A2169&gt;='CSV抽出'!$C$4),OR('CSV抽出'!$C$5="",A2169&lt;='CSV抽出'!$C$5),OR('CSV抽出'!$C$6="すべて",'CSV抽出'!$C$6="",D2169='CSV抽出'!$C$6),OR('CSV抽出'!$C$7="",B2169&amp;""='CSV抽出'!$C$7&amp;"")),1,0))</f>
        <v/>
      </c>
      <c r="AI2169" s="20">
        <f>IF(AH2169=1,SUM($AH$5:AH2169),"")</f>
        <v/>
      </c>
      <c r="AJ2169" s="20">
        <f>IF(OR(S2169="",'報告書'!$C$4=""),"",IF(S2169&amp;""='報告書'!$C$4&amp;"",COUNTIF($S$5:S2169,'報告書'!$C$4),""))</f>
        <v/>
      </c>
      <c r="AK2169" s="20" t="n"/>
      <c r="AL2169" s="47" t="n"/>
      <c r="AM2169" s="47" t="n"/>
      <c r="AN2169" s="53" t="n"/>
      <c r="AO2169" s="47" t="n"/>
      <c r="AP2169" s="47" t="n"/>
      <c r="AQ2169" s="47" t="n"/>
      <c r="AR2169" s="47" t="n"/>
      <c r="AS2169" s="47" t="n"/>
      <c r="AT2169" s="47" t="n"/>
      <c r="AU2169" s="47" t="n"/>
      <c r="AV2169" s="47" t="n"/>
      <c r="AW2169" s="52" t="n"/>
    </row>
    <row r="2170">
      <c r="A2170" s="48" t="n"/>
      <c r="B2170" s="52" t="n"/>
      <c r="C2170" s="47">
        <f>IF(B2170="","",IFERROR(INDEX('隊員マスタ'!$B$5:$B$204,MATCH(B2170&amp;"",'隊員マスタ'!$F$5:$F$204,0)),IF(AK2170="","番号なし",AK2170)))</f>
        <v/>
      </c>
      <c r="D2170" s="47" t="n"/>
      <c r="E2170" s="47" t="n"/>
      <c r="F2170" s="47" t="n"/>
      <c r="G2170" s="47" t="n"/>
      <c r="H2170" s="47" t="n"/>
      <c r="I2170" s="47" t="n"/>
      <c r="J2170" s="47" t="n"/>
      <c r="K2170" s="47" t="n"/>
      <c r="L2170" s="47" t="n"/>
      <c r="M2170" s="47" t="n"/>
      <c r="N2170" s="47" t="n"/>
      <c r="O2170" s="47" t="n"/>
      <c r="P2170" s="47" t="n"/>
      <c r="Q2170" s="47" t="n"/>
      <c r="R2170" s="47" t="n"/>
      <c r="S2170" s="47" t="n"/>
      <c r="T2170" s="47" t="n"/>
      <c r="U2170" s="53" t="n"/>
      <c r="V2170" s="53" t="n"/>
      <c r="W2170" s="47" t="n"/>
      <c r="X2170" s="47" t="n"/>
      <c r="Y2170" s="47" t="n"/>
      <c r="Z2170" s="47" t="n"/>
      <c r="AA2170" s="47" t="n"/>
      <c r="AB2170" s="47" t="n"/>
      <c r="AC2170" s="47" t="n"/>
      <c r="AD2170" s="47" t="n"/>
      <c r="AE2170" s="47" t="n"/>
      <c r="AF2170" s="20">
        <f>IF(A2170="","",YEAR(EDATE(A2170,-3)))</f>
        <v/>
      </c>
      <c r="AG2170" s="20">
        <f>IF(OR(B2170="",'経歴簿'!$C$4=""),"",IF(B2170&amp;""='経歴簿'!$C$4&amp;"",MAX($AG$4:AG2169)+1,""))</f>
        <v/>
      </c>
      <c r="AH2170" s="20">
        <f>IF(A2170="",0,IF(AND(OR('CSV抽出'!$C$4="",A2170&gt;='CSV抽出'!$C$4),OR('CSV抽出'!$C$5="",A2170&lt;='CSV抽出'!$C$5),OR('CSV抽出'!$C$6="すべて",'CSV抽出'!$C$6="",D2170='CSV抽出'!$C$6),OR('CSV抽出'!$C$7="",B2170&amp;""='CSV抽出'!$C$7&amp;"")),1,0))</f>
        <v/>
      </c>
      <c r="AI2170" s="20">
        <f>IF(AH2170=1,SUM($AH$5:AH2170),"")</f>
        <v/>
      </c>
      <c r="AJ2170" s="20">
        <f>IF(OR(S2170="",'報告書'!$C$4=""),"",IF(S2170&amp;""='報告書'!$C$4&amp;"",COUNTIF($S$5:S2170,'報告書'!$C$4),""))</f>
        <v/>
      </c>
      <c r="AK2170" s="20" t="n"/>
      <c r="AL2170" s="47" t="n"/>
      <c r="AM2170" s="47" t="n"/>
      <c r="AN2170" s="53" t="n"/>
      <c r="AO2170" s="47" t="n"/>
      <c r="AP2170" s="47" t="n"/>
      <c r="AQ2170" s="47" t="n"/>
      <c r="AR2170" s="47" t="n"/>
      <c r="AS2170" s="47" t="n"/>
      <c r="AT2170" s="47" t="n"/>
      <c r="AU2170" s="47" t="n"/>
      <c r="AV2170" s="47" t="n"/>
      <c r="AW2170" s="52" t="n"/>
    </row>
    <row r="2171">
      <c r="A2171" s="48" t="n"/>
      <c r="B2171" s="52" t="n"/>
      <c r="C2171" s="47">
        <f>IF(B2171="","",IFERROR(INDEX('隊員マスタ'!$B$5:$B$204,MATCH(B2171&amp;"",'隊員マスタ'!$F$5:$F$204,0)),IF(AK2171="","番号なし",AK2171)))</f>
        <v/>
      </c>
      <c r="D2171" s="47" t="n"/>
      <c r="E2171" s="47" t="n"/>
      <c r="F2171" s="47" t="n"/>
      <c r="G2171" s="47" t="n"/>
      <c r="H2171" s="47" t="n"/>
      <c r="I2171" s="47" t="n"/>
      <c r="J2171" s="47" t="n"/>
      <c r="K2171" s="47" t="n"/>
      <c r="L2171" s="47" t="n"/>
      <c r="M2171" s="47" t="n"/>
      <c r="N2171" s="47" t="n"/>
      <c r="O2171" s="47" t="n"/>
      <c r="P2171" s="47" t="n"/>
      <c r="Q2171" s="47" t="n"/>
      <c r="R2171" s="47" t="n"/>
      <c r="S2171" s="47" t="n"/>
      <c r="T2171" s="47" t="n"/>
      <c r="U2171" s="53" t="n"/>
      <c r="V2171" s="53" t="n"/>
      <c r="W2171" s="47" t="n"/>
      <c r="X2171" s="47" t="n"/>
      <c r="Y2171" s="47" t="n"/>
      <c r="Z2171" s="47" t="n"/>
      <c r="AA2171" s="47" t="n"/>
      <c r="AB2171" s="47" t="n"/>
      <c r="AC2171" s="47" t="n"/>
      <c r="AD2171" s="47" t="n"/>
      <c r="AE2171" s="47" t="n"/>
      <c r="AF2171" s="20">
        <f>IF(A2171="","",YEAR(EDATE(A2171,-3)))</f>
        <v/>
      </c>
      <c r="AG2171" s="20">
        <f>IF(OR(B2171="",'経歴簿'!$C$4=""),"",IF(B2171&amp;""='経歴簿'!$C$4&amp;"",MAX($AG$4:AG2170)+1,""))</f>
        <v/>
      </c>
      <c r="AH2171" s="20">
        <f>IF(A2171="",0,IF(AND(OR('CSV抽出'!$C$4="",A2171&gt;='CSV抽出'!$C$4),OR('CSV抽出'!$C$5="",A2171&lt;='CSV抽出'!$C$5),OR('CSV抽出'!$C$6="すべて",'CSV抽出'!$C$6="",D2171='CSV抽出'!$C$6),OR('CSV抽出'!$C$7="",B2171&amp;""='CSV抽出'!$C$7&amp;"")),1,0))</f>
        <v/>
      </c>
      <c r="AI2171" s="20">
        <f>IF(AH2171=1,SUM($AH$5:AH2171),"")</f>
        <v/>
      </c>
      <c r="AJ2171" s="20">
        <f>IF(OR(S2171="",'報告書'!$C$4=""),"",IF(S2171&amp;""='報告書'!$C$4&amp;"",COUNTIF($S$5:S2171,'報告書'!$C$4),""))</f>
        <v/>
      </c>
      <c r="AK2171" s="20" t="n"/>
      <c r="AL2171" s="47" t="n"/>
      <c r="AM2171" s="47" t="n"/>
      <c r="AN2171" s="53" t="n"/>
      <c r="AO2171" s="47" t="n"/>
      <c r="AP2171" s="47" t="n"/>
      <c r="AQ2171" s="47" t="n"/>
      <c r="AR2171" s="47" t="n"/>
      <c r="AS2171" s="47" t="n"/>
      <c r="AT2171" s="47" t="n"/>
      <c r="AU2171" s="47" t="n"/>
      <c r="AV2171" s="47" t="n"/>
      <c r="AW2171" s="52" t="n"/>
    </row>
    <row r="2172">
      <c r="A2172" s="48" t="n"/>
      <c r="B2172" s="52" t="n"/>
      <c r="C2172" s="47">
        <f>IF(B2172="","",IFERROR(INDEX('隊員マスタ'!$B$5:$B$204,MATCH(B2172&amp;"",'隊員マスタ'!$F$5:$F$204,0)),IF(AK2172="","番号なし",AK2172)))</f>
        <v/>
      </c>
      <c r="D2172" s="47" t="n"/>
      <c r="E2172" s="47" t="n"/>
      <c r="F2172" s="47" t="n"/>
      <c r="G2172" s="47" t="n"/>
      <c r="H2172" s="47" t="n"/>
      <c r="I2172" s="47" t="n"/>
      <c r="J2172" s="47" t="n"/>
      <c r="K2172" s="47" t="n"/>
      <c r="L2172" s="47" t="n"/>
      <c r="M2172" s="47" t="n"/>
      <c r="N2172" s="47" t="n"/>
      <c r="O2172" s="47" t="n"/>
      <c r="P2172" s="47" t="n"/>
      <c r="Q2172" s="47" t="n"/>
      <c r="R2172" s="47" t="n"/>
      <c r="S2172" s="47" t="n"/>
      <c r="T2172" s="47" t="n"/>
      <c r="U2172" s="53" t="n"/>
      <c r="V2172" s="53" t="n"/>
      <c r="W2172" s="47" t="n"/>
      <c r="X2172" s="47" t="n"/>
      <c r="Y2172" s="47" t="n"/>
      <c r="Z2172" s="47" t="n"/>
      <c r="AA2172" s="47" t="n"/>
      <c r="AB2172" s="47" t="n"/>
      <c r="AC2172" s="47" t="n"/>
      <c r="AD2172" s="47" t="n"/>
      <c r="AE2172" s="47" t="n"/>
      <c r="AF2172" s="20">
        <f>IF(A2172="","",YEAR(EDATE(A2172,-3)))</f>
        <v/>
      </c>
      <c r="AG2172" s="20">
        <f>IF(OR(B2172="",'経歴簿'!$C$4=""),"",IF(B2172&amp;""='経歴簿'!$C$4&amp;"",MAX($AG$4:AG2171)+1,""))</f>
        <v/>
      </c>
      <c r="AH2172" s="20">
        <f>IF(A2172="",0,IF(AND(OR('CSV抽出'!$C$4="",A2172&gt;='CSV抽出'!$C$4),OR('CSV抽出'!$C$5="",A2172&lt;='CSV抽出'!$C$5),OR('CSV抽出'!$C$6="すべて",'CSV抽出'!$C$6="",D2172='CSV抽出'!$C$6),OR('CSV抽出'!$C$7="",B2172&amp;""='CSV抽出'!$C$7&amp;"")),1,0))</f>
        <v/>
      </c>
      <c r="AI2172" s="20">
        <f>IF(AH2172=1,SUM($AH$5:AH2172),"")</f>
        <v/>
      </c>
      <c r="AJ2172" s="20">
        <f>IF(OR(S2172="",'報告書'!$C$4=""),"",IF(S2172&amp;""='報告書'!$C$4&amp;"",COUNTIF($S$5:S2172,'報告書'!$C$4),""))</f>
        <v/>
      </c>
      <c r="AK2172" s="20" t="n"/>
      <c r="AL2172" s="47" t="n"/>
      <c r="AM2172" s="47" t="n"/>
      <c r="AN2172" s="53" t="n"/>
      <c r="AO2172" s="47" t="n"/>
      <c r="AP2172" s="47" t="n"/>
      <c r="AQ2172" s="47" t="n"/>
      <c r="AR2172" s="47" t="n"/>
      <c r="AS2172" s="47" t="n"/>
      <c r="AT2172" s="47" t="n"/>
      <c r="AU2172" s="47" t="n"/>
      <c r="AV2172" s="47" t="n"/>
      <c r="AW2172" s="52" t="n"/>
    </row>
    <row r="2173">
      <c r="A2173" s="48" t="n"/>
      <c r="B2173" s="52" t="n"/>
      <c r="C2173" s="47">
        <f>IF(B2173="","",IFERROR(INDEX('隊員マスタ'!$B$5:$B$204,MATCH(B2173&amp;"",'隊員マスタ'!$F$5:$F$204,0)),IF(AK2173="","番号なし",AK2173)))</f>
        <v/>
      </c>
      <c r="D2173" s="47" t="n"/>
      <c r="E2173" s="47" t="n"/>
      <c r="F2173" s="47" t="n"/>
      <c r="G2173" s="47" t="n"/>
      <c r="H2173" s="47" t="n"/>
      <c r="I2173" s="47" t="n"/>
      <c r="J2173" s="47" t="n"/>
      <c r="K2173" s="47" t="n"/>
      <c r="L2173" s="47" t="n"/>
      <c r="M2173" s="47" t="n"/>
      <c r="N2173" s="47" t="n"/>
      <c r="O2173" s="47" t="n"/>
      <c r="P2173" s="47" t="n"/>
      <c r="Q2173" s="47" t="n"/>
      <c r="R2173" s="47" t="n"/>
      <c r="S2173" s="47" t="n"/>
      <c r="T2173" s="47" t="n"/>
      <c r="U2173" s="53" t="n"/>
      <c r="V2173" s="53" t="n"/>
      <c r="W2173" s="47" t="n"/>
      <c r="X2173" s="47" t="n"/>
      <c r="Y2173" s="47" t="n"/>
      <c r="Z2173" s="47" t="n"/>
      <c r="AA2173" s="47" t="n"/>
      <c r="AB2173" s="47" t="n"/>
      <c r="AC2173" s="47" t="n"/>
      <c r="AD2173" s="47" t="n"/>
      <c r="AE2173" s="47" t="n"/>
      <c r="AF2173" s="20">
        <f>IF(A2173="","",YEAR(EDATE(A2173,-3)))</f>
        <v/>
      </c>
      <c r="AG2173" s="20">
        <f>IF(OR(B2173="",'経歴簿'!$C$4=""),"",IF(B2173&amp;""='経歴簿'!$C$4&amp;"",MAX($AG$4:AG2172)+1,""))</f>
        <v/>
      </c>
      <c r="AH2173" s="20">
        <f>IF(A2173="",0,IF(AND(OR('CSV抽出'!$C$4="",A2173&gt;='CSV抽出'!$C$4),OR('CSV抽出'!$C$5="",A2173&lt;='CSV抽出'!$C$5),OR('CSV抽出'!$C$6="すべて",'CSV抽出'!$C$6="",D2173='CSV抽出'!$C$6),OR('CSV抽出'!$C$7="",B2173&amp;""='CSV抽出'!$C$7&amp;"")),1,0))</f>
        <v/>
      </c>
      <c r="AI2173" s="20">
        <f>IF(AH2173=1,SUM($AH$5:AH2173),"")</f>
        <v/>
      </c>
      <c r="AJ2173" s="20">
        <f>IF(OR(S2173="",'報告書'!$C$4=""),"",IF(S2173&amp;""='報告書'!$C$4&amp;"",COUNTIF($S$5:S2173,'報告書'!$C$4),""))</f>
        <v/>
      </c>
      <c r="AK2173" s="20" t="n"/>
      <c r="AL2173" s="47" t="n"/>
      <c r="AM2173" s="47" t="n"/>
      <c r="AN2173" s="53" t="n"/>
      <c r="AO2173" s="47" t="n"/>
      <c r="AP2173" s="47" t="n"/>
      <c r="AQ2173" s="47" t="n"/>
      <c r="AR2173" s="47" t="n"/>
      <c r="AS2173" s="47" t="n"/>
      <c r="AT2173" s="47" t="n"/>
      <c r="AU2173" s="47" t="n"/>
      <c r="AV2173" s="47" t="n"/>
      <c r="AW2173" s="52" t="n"/>
    </row>
    <row r="2174">
      <c r="A2174" s="48" t="n"/>
      <c r="B2174" s="52" t="n"/>
      <c r="C2174" s="47">
        <f>IF(B2174="","",IFERROR(INDEX('隊員マスタ'!$B$5:$B$204,MATCH(B2174&amp;"",'隊員マスタ'!$F$5:$F$204,0)),IF(AK2174="","番号なし",AK2174)))</f>
        <v/>
      </c>
      <c r="D2174" s="47" t="n"/>
      <c r="E2174" s="47" t="n"/>
      <c r="F2174" s="47" t="n"/>
      <c r="G2174" s="47" t="n"/>
      <c r="H2174" s="47" t="n"/>
      <c r="I2174" s="47" t="n"/>
      <c r="J2174" s="47" t="n"/>
      <c r="K2174" s="47" t="n"/>
      <c r="L2174" s="47" t="n"/>
      <c r="M2174" s="47" t="n"/>
      <c r="N2174" s="47" t="n"/>
      <c r="O2174" s="47" t="n"/>
      <c r="P2174" s="47" t="n"/>
      <c r="Q2174" s="47" t="n"/>
      <c r="R2174" s="47" t="n"/>
      <c r="S2174" s="47" t="n"/>
      <c r="T2174" s="47" t="n"/>
      <c r="U2174" s="53" t="n"/>
      <c r="V2174" s="53" t="n"/>
      <c r="W2174" s="47" t="n"/>
      <c r="X2174" s="47" t="n"/>
      <c r="Y2174" s="47" t="n"/>
      <c r="Z2174" s="47" t="n"/>
      <c r="AA2174" s="47" t="n"/>
      <c r="AB2174" s="47" t="n"/>
      <c r="AC2174" s="47" t="n"/>
      <c r="AD2174" s="47" t="n"/>
      <c r="AE2174" s="47" t="n"/>
      <c r="AF2174" s="20">
        <f>IF(A2174="","",YEAR(EDATE(A2174,-3)))</f>
        <v/>
      </c>
      <c r="AG2174" s="20">
        <f>IF(OR(B2174="",'経歴簿'!$C$4=""),"",IF(B2174&amp;""='経歴簿'!$C$4&amp;"",MAX($AG$4:AG2173)+1,""))</f>
        <v/>
      </c>
      <c r="AH2174" s="20">
        <f>IF(A2174="",0,IF(AND(OR('CSV抽出'!$C$4="",A2174&gt;='CSV抽出'!$C$4),OR('CSV抽出'!$C$5="",A2174&lt;='CSV抽出'!$C$5),OR('CSV抽出'!$C$6="すべて",'CSV抽出'!$C$6="",D2174='CSV抽出'!$C$6),OR('CSV抽出'!$C$7="",B2174&amp;""='CSV抽出'!$C$7&amp;"")),1,0))</f>
        <v/>
      </c>
      <c r="AI2174" s="20">
        <f>IF(AH2174=1,SUM($AH$5:AH2174),"")</f>
        <v/>
      </c>
      <c r="AJ2174" s="20">
        <f>IF(OR(S2174="",'報告書'!$C$4=""),"",IF(S2174&amp;""='報告書'!$C$4&amp;"",COUNTIF($S$5:S2174,'報告書'!$C$4),""))</f>
        <v/>
      </c>
      <c r="AK2174" s="20" t="n"/>
      <c r="AL2174" s="47" t="n"/>
      <c r="AM2174" s="47" t="n"/>
      <c r="AN2174" s="53" t="n"/>
      <c r="AO2174" s="47" t="n"/>
      <c r="AP2174" s="47" t="n"/>
      <c r="AQ2174" s="47" t="n"/>
      <c r="AR2174" s="47" t="n"/>
      <c r="AS2174" s="47" t="n"/>
      <c r="AT2174" s="47" t="n"/>
      <c r="AU2174" s="47" t="n"/>
      <c r="AV2174" s="47" t="n"/>
      <c r="AW2174" s="52" t="n"/>
    </row>
    <row r="2175">
      <c r="A2175" s="48" t="n"/>
      <c r="B2175" s="52" t="n"/>
      <c r="C2175" s="47">
        <f>IF(B2175="","",IFERROR(INDEX('隊員マスタ'!$B$5:$B$204,MATCH(B2175&amp;"",'隊員マスタ'!$F$5:$F$204,0)),IF(AK2175="","番号なし",AK2175)))</f>
        <v/>
      </c>
      <c r="D2175" s="47" t="n"/>
      <c r="E2175" s="47" t="n"/>
      <c r="F2175" s="47" t="n"/>
      <c r="G2175" s="47" t="n"/>
      <c r="H2175" s="47" t="n"/>
      <c r="I2175" s="47" t="n"/>
      <c r="J2175" s="47" t="n"/>
      <c r="K2175" s="47" t="n"/>
      <c r="L2175" s="47" t="n"/>
      <c r="M2175" s="47" t="n"/>
      <c r="N2175" s="47" t="n"/>
      <c r="O2175" s="47" t="n"/>
      <c r="P2175" s="47" t="n"/>
      <c r="Q2175" s="47" t="n"/>
      <c r="R2175" s="47" t="n"/>
      <c r="S2175" s="47" t="n"/>
      <c r="T2175" s="47" t="n"/>
      <c r="U2175" s="53" t="n"/>
      <c r="V2175" s="53" t="n"/>
      <c r="W2175" s="47" t="n"/>
      <c r="X2175" s="47" t="n"/>
      <c r="Y2175" s="47" t="n"/>
      <c r="Z2175" s="47" t="n"/>
      <c r="AA2175" s="47" t="n"/>
      <c r="AB2175" s="47" t="n"/>
      <c r="AC2175" s="47" t="n"/>
      <c r="AD2175" s="47" t="n"/>
      <c r="AE2175" s="47" t="n"/>
      <c r="AF2175" s="20">
        <f>IF(A2175="","",YEAR(EDATE(A2175,-3)))</f>
        <v/>
      </c>
      <c r="AG2175" s="20">
        <f>IF(OR(B2175="",'経歴簿'!$C$4=""),"",IF(B2175&amp;""='経歴簿'!$C$4&amp;"",MAX($AG$4:AG2174)+1,""))</f>
        <v/>
      </c>
      <c r="AH2175" s="20">
        <f>IF(A2175="",0,IF(AND(OR('CSV抽出'!$C$4="",A2175&gt;='CSV抽出'!$C$4),OR('CSV抽出'!$C$5="",A2175&lt;='CSV抽出'!$C$5),OR('CSV抽出'!$C$6="すべて",'CSV抽出'!$C$6="",D2175='CSV抽出'!$C$6),OR('CSV抽出'!$C$7="",B2175&amp;""='CSV抽出'!$C$7&amp;"")),1,0))</f>
        <v/>
      </c>
      <c r="AI2175" s="20">
        <f>IF(AH2175=1,SUM($AH$5:AH2175),"")</f>
        <v/>
      </c>
      <c r="AJ2175" s="20">
        <f>IF(OR(S2175="",'報告書'!$C$4=""),"",IF(S2175&amp;""='報告書'!$C$4&amp;"",COUNTIF($S$5:S2175,'報告書'!$C$4),""))</f>
        <v/>
      </c>
      <c r="AK2175" s="20" t="n"/>
      <c r="AL2175" s="47" t="n"/>
      <c r="AM2175" s="47" t="n"/>
      <c r="AN2175" s="53" t="n"/>
      <c r="AO2175" s="47" t="n"/>
      <c r="AP2175" s="47" t="n"/>
      <c r="AQ2175" s="47" t="n"/>
      <c r="AR2175" s="47" t="n"/>
      <c r="AS2175" s="47" t="n"/>
      <c r="AT2175" s="47" t="n"/>
      <c r="AU2175" s="47" t="n"/>
      <c r="AV2175" s="47" t="n"/>
      <c r="AW2175" s="52" t="n"/>
    </row>
    <row r="2176">
      <c r="A2176" s="48" t="n"/>
      <c r="B2176" s="52" t="n"/>
      <c r="C2176" s="47">
        <f>IF(B2176="","",IFERROR(INDEX('隊員マスタ'!$B$5:$B$204,MATCH(B2176&amp;"",'隊員マスタ'!$F$5:$F$204,0)),IF(AK2176="","番号なし",AK2176)))</f>
        <v/>
      </c>
      <c r="D2176" s="47" t="n"/>
      <c r="E2176" s="47" t="n"/>
      <c r="F2176" s="47" t="n"/>
      <c r="G2176" s="47" t="n"/>
      <c r="H2176" s="47" t="n"/>
      <c r="I2176" s="47" t="n"/>
      <c r="J2176" s="47" t="n"/>
      <c r="K2176" s="47" t="n"/>
      <c r="L2176" s="47" t="n"/>
      <c r="M2176" s="47" t="n"/>
      <c r="N2176" s="47" t="n"/>
      <c r="O2176" s="47" t="n"/>
      <c r="P2176" s="47" t="n"/>
      <c r="Q2176" s="47" t="n"/>
      <c r="R2176" s="47" t="n"/>
      <c r="S2176" s="47" t="n"/>
      <c r="T2176" s="47" t="n"/>
      <c r="U2176" s="53" t="n"/>
      <c r="V2176" s="53" t="n"/>
      <c r="W2176" s="47" t="n"/>
      <c r="X2176" s="47" t="n"/>
      <c r="Y2176" s="47" t="n"/>
      <c r="Z2176" s="47" t="n"/>
      <c r="AA2176" s="47" t="n"/>
      <c r="AB2176" s="47" t="n"/>
      <c r="AC2176" s="47" t="n"/>
      <c r="AD2176" s="47" t="n"/>
      <c r="AE2176" s="47" t="n"/>
      <c r="AF2176" s="20">
        <f>IF(A2176="","",YEAR(EDATE(A2176,-3)))</f>
        <v/>
      </c>
      <c r="AG2176" s="20">
        <f>IF(OR(B2176="",'経歴簿'!$C$4=""),"",IF(B2176&amp;""='経歴簿'!$C$4&amp;"",MAX($AG$4:AG2175)+1,""))</f>
        <v/>
      </c>
      <c r="AH2176" s="20">
        <f>IF(A2176="",0,IF(AND(OR('CSV抽出'!$C$4="",A2176&gt;='CSV抽出'!$C$4),OR('CSV抽出'!$C$5="",A2176&lt;='CSV抽出'!$C$5),OR('CSV抽出'!$C$6="すべて",'CSV抽出'!$C$6="",D2176='CSV抽出'!$C$6),OR('CSV抽出'!$C$7="",B2176&amp;""='CSV抽出'!$C$7&amp;"")),1,0))</f>
        <v/>
      </c>
      <c r="AI2176" s="20">
        <f>IF(AH2176=1,SUM($AH$5:AH2176),"")</f>
        <v/>
      </c>
      <c r="AJ2176" s="20">
        <f>IF(OR(S2176="",'報告書'!$C$4=""),"",IF(S2176&amp;""='報告書'!$C$4&amp;"",COUNTIF($S$5:S2176,'報告書'!$C$4),""))</f>
        <v/>
      </c>
      <c r="AK2176" s="20" t="n"/>
      <c r="AL2176" s="47" t="n"/>
      <c r="AM2176" s="47" t="n"/>
      <c r="AN2176" s="53" t="n"/>
      <c r="AO2176" s="47" t="n"/>
      <c r="AP2176" s="47" t="n"/>
      <c r="AQ2176" s="47" t="n"/>
      <c r="AR2176" s="47" t="n"/>
      <c r="AS2176" s="47" t="n"/>
      <c r="AT2176" s="47" t="n"/>
      <c r="AU2176" s="47" t="n"/>
      <c r="AV2176" s="47" t="n"/>
      <c r="AW2176" s="52" t="n"/>
    </row>
    <row r="2177">
      <c r="A2177" s="48" t="n"/>
      <c r="B2177" s="52" t="n"/>
      <c r="C2177" s="47">
        <f>IF(B2177="","",IFERROR(INDEX('隊員マスタ'!$B$5:$B$204,MATCH(B2177&amp;"",'隊員マスタ'!$F$5:$F$204,0)),IF(AK2177="","番号なし",AK2177)))</f>
        <v/>
      </c>
      <c r="D2177" s="47" t="n"/>
      <c r="E2177" s="47" t="n"/>
      <c r="F2177" s="47" t="n"/>
      <c r="G2177" s="47" t="n"/>
      <c r="H2177" s="47" t="n"/>
      <c r="I2177" s="47" t="n"/>
      <c r="J2177" s="47" t="n"/>
      <c r="K2177" s="47" t="n"/>
      <c r="L2177" s="47" t="n"/>
      <c r="M2177" s="47" t="n"/>
      <c r="N2177" s="47" t="n"/>
      <c r="O2177" s="47" t="n"/>
      <c r="P2177" s="47" t="n"/>
      <c r="Q2177" s="47" t="n"/>
      <c r="R2177" s="47" t="n"/>
      <c r="S2177" s="47" t="n"/>
      <c r="T2177" s="47" t="n"/>
      <c r="U2177" s="53" t="n"/>
      <c r="V2177" s="53" t="n"/>
      <c r="W2177" s="47" t="n"/>
      <c r="X2177" s="47" t="n"/>
      <c r="Y2177" s="47" t="n"/>
      <c r="Z2177" s="47" t="n"/>
      <c r="AA2177" s="47" t="n"/>
      <c r="AB2177" s="47" t="n"/>
      <c r="AC2177" s="47" t="n"/>
      <c r="AD2177" s="47" t="n"/>
      <c r="AE2177" s="47" t="n"/>
      <c r="AF2177" s="20">
        <f>IF(A2177="","",YEAR(EDATE(A2177,-3)))</f>
        <v/>
      </c>
      <c r="AG2177" s="20">
        <f>IF(OR(B2177="",'経歴簿'!$C$4=""),"",IF(B2177&amp;""='経歴簿'!$C$4&amp;"",MAX($AG$4:AG2176)+1,""))</f>
        <v/>
      </c>
      <c r="AH2177" s="20">
        <f>IF(A2177="",0,IF(AND(OR('CSV抽出'!$C$4="",A2177&gt;='CSV抽出'!$C$4),OR('CSV抽出'!$C$5="",A2177&lt;='CSV抽出'!$C$5),OR('CSV抽出'!$C$6="すべて",'CSV抽出'!$C$6="",D2177='CSV抽出'!$C$6),OR('CSV抽出'!$C$7="",B2177&amp;""='CSV抽出'!$C$7&amp;"")),1,0))</f>
        <v/>
      </c>
      <c r="AI2177" s="20">
        <f>IF(AH2177=1,SUM($AH$5:AH2177),"")</f>
        <v/>
      </c>
      <c r="AJ2177" s="20">
        <f>IF(OR(S2177="",'報告書'!$C$4=""),"",IF(S2177&amp;""='報告書'!$C$4&amp;"",COUNTIF($S$5:S2177,'報告書'!$C$4),""))</f>
        <v/>
      </c>
      <c r="AK2177" s="20" t="n"/>
      <c r="AL2177" s="47" t="n"/>
      <c r="AM2177" s="47" t="n"/>
      <c r="AN2177" s="53" t="n"/>
      <c r="AO2177" s="47" t="n"/>
      <c r="AP2177" s="47" t="n"/>
      <c r="AQ2177" s="47" t="n"/>
      <c r="AR2177" s="47" t="n"/>
      <c r="AS2177" s="47" t="n"/>
      <c r="AT2177" s="47" t="n"/>
      <c r="AU2177" s="47" t="n"/>
      <c r="AV2177" s="47" t="n"/>
      <c r="AW2177" s="52" t="n"/>
    </row>
    <row r="2178">
      <c r="A2178" s="48" t="n"/>
      <c r="B2178" s="52" t="n"/>
      <c r="C2178" s="47">
        <f>IF(B2178="","",IFERROR(INDEX('隊員マスタ'!$B$5:$B$204,MATCH(B2178&amp;"",'隊員マスタ'!$F$5:$F$204,0)),IF(AK2178="","番号なし",AK2178)))</f>
        <v/>
      </c>
      <c r="D2178" s="47" t="n"/>
      <c r="E2178" s="47" t="n"/>
      <c r="F2178" s="47" t="n"/>
      <c r="G2178" s="47" t="n"/>
      <c r="H2178" s="47" t="n"/>
      <c r="I2178" s="47" t="n"/>
      <c r="J2178" s="47" t="n"/>
      <c r="K2178" s="47" t="n"/>
      <c r="L2178" s="47" t="n"/>
      <c r="M2178" s="47" t="n"/>
      <c r="N2178" s="47" t="n"/>
      <c r="O2178" s="47" t="n"/>
      <c r="P2178" s="47" t="n"/>
      <c r="Q2178" s="47" t="n"/>
      <c r="R2178" s="47" t="n"/>
      <c r="S2178" s="47" t="n"/>
      <c r="T2178" s="47" t="n"/>
      <c r="U2178" s="53" t="n"/>
      <c r="V2178" s="53" t="n"/>
      <c r="W2178" s="47" t="n"/>
      <c r="X2178" s="47" t="n"/>
      <c r="Y2178" s="47" t="n"/>
      <c r="Z2178" s="47" t="n"/>
      <c r="AA2178" s="47" t="n"/>
      <c r="AB2178" s="47" t="n"/>
      <c r="AC2178" s="47" t="n"/>
      <c r="AD2178" s="47" t="n"/>
      <c r="AE2178" s="47" t="n"/>
      <c r="AF2178" s="20">
        <f>IF(A2178="","",YEAR(EDATE(A2178,-3)))</f>
        <v/>
      </c>
      <c r="AG2178" s="20">
        <f>IF(OR(B2178="",'経歴簿'!$C$4=""),"",IF(B2178&amp;""='経歴簿'!$C$4&amp;"",MAX($AG$4:AG2177)+1,""))</f>
        <v/>
      </c>
      <c r="AH2178" s="20">
        <f>IF(A2178="",0,IF(AND(OR('CSV抽出'!$C$4="",A2178&gt;='CSV抽出'!$C$4),OR('CSV抽出'!$C$5="",A2178&lt;='CSV抽出'!$C$5),OR('CSV抽出'!$C$6="すべて",'CSV抽出'!$C$6="",D2178='CSV抽出'!$C$6),OR('CSV抽出'!$C$7="",B2178&amp;""='CSV抽出'!$C$7&amp;"")),1,0))</f>
        <v/>
      </c>
      <c r="AI2178" s="20">
        <f>IF(AH2178=1,SUM($AH$5:AH2178),"")</f>
        <v/>
      </c>
      <c r="AJ2178" s="20">
        <f>IF(OR(S2178="",'報告書'!$C$4=""),"",IF(S2178&amp;""='報告書'!$C$4&amp;"",COUNTIF($S$5:S2178,'報告書'!$C$4),""))</f>
        <v/>
      </c>
      <c r="AK2178" s="20" t="n"/>
      <c r="AL2178" s="47" t="n"/>
      <c r="AM2178" s="47" t="n"/>
      <c r="AN2178" s="53" t="n"/>
      <c r="AO2178" s="47" t="n"/>
      <c r="AP2178" s="47" t="n"/>
      <c r="AQ2178" s="47" t="n"/>
      <c r="AR2178" s="47" t="n"/>
      <c r="AS2178" s="47" t="n"/>
      <c r="AT2178" s="47" t="n"/>
      <c r="AU2178" s="47" t="n"/>
      <c r="AV2178" s="47" t="n"/>
      <c r="AW2178" s="52" t="n"/>
    </row>
    <row r="2179">
      <c r="A2179" s="48" t="n"/>
      <c r="B2179" s="52" t="n"/>
      <c r="C2179" s="47">
        <f>IF(B2179="","",IFERROR(INDEX('隊員マスタ'!$B$5:$B$204,MATCH(B2179&amp;"",'隊員マスタ'!$F$5:$F$204,0)),IF(AK2179="","番号なし",AK2179)))</f>
        <v/>
      </c>
      <c r="D2179" s="47" t="n"/>
      <c r="E2179" s="47" t="n"/>
      <c r="F2179" s="47" t="n"/>
      <c r="G2179" s="47" t="n"/>
      <c r="H2179" s="47" t="n"/>
      <c r="I2179" s="47" t="n"/>
      <c r="J2179" s="47" t="n"/>
      <c r="K2179" s="47" t="n"/>
      <c r="L2179" s="47" t="n"/>
      <c r="M2179" s="47" t="n"/>
      <c r="N2179" s="47" t="n"/>
      <c r="O2179" s="47" t="n"/>
      <c r="P2179" s="47" t="n"/>
      <c r="Q2179" s="47" t="n"/>
      <c r="R2179" s="47" t="n"/>
      <c r="S2179" s="47" t="n"/>
      <c r="T2179" s="47" t="n"/>
      <c r="U2179" s="53" t="n"/>
      <c r="V2179" s="53" t="n"/>
      <c r="W2179" s="47" t="n"/>
      <c r="X2179" s="47" t="n"/>
      <c r="Y2179" s="47" t="n"/>
      <c r="Z2179" s="47" t="n"/>
      <c r="AA2179" s="47" t="n"/>
      <c r="AB2179" s="47" t="n"/>
      <c r="AC2179" s="47" t="n"/>
      <c r="AD2179" s="47" t="n"/>
      <c r="AE2179" s="47" t="n"/>
      <c r="AF2179" s="20">
        <f>IF(A2179="","",YEAR(EDATE(A2179,-3)))</f>
        <v/>
      </c>
      <c r="AG2179" s="20">
        <f>IF(OR(B2179="",'経歴簿'!$C$4=""),"",IF(B2179&amp;""='経歴簿'!$C$4&amp;"",MAX($AG$4:AG2178)+1,""))</f>
        <v/>
      </c>
      <c r="AH2179" s="20">
        <f>IF(A2179="",0,IF(AND(OR('CSV抽出'!$C$4="",A2179&gt;='CSV抽出'!$C$4),OR('CSV抽出'!$C$5="",A2179&lt;='CSV抽出'!$C$5),OR('CSV抽出'!$C$6="すべて",'CSV抽出'!$C$6="",D2179='CSV抽出'!$C$6),OR('CSV抽出'!$C$7="",B2179&amp;""='CSV抽出'!$C$7&amp;"")),1,0))</f>
        <v/>
      </c>
      <c r="AI2179" s="20">
        <f>IF(AH2179=1,SUM($AH$5:AH2179),"")</f>
        <v/>
      </c>
      <c r="AJ2179" s="20">
        <f>IF(OR(S2179="",'報告書'!$C$4=""),"",IF(S2179&amp;""='報告書'!$C$4&amp;"",COUNTIF($S$5:S2179,'報告書'!$C$4),""))</f>
        <v/>
      </c>
      <c r="AK2179" s="20" t="n"/>
      <c r="AL2179" s="47" t="n"/>
      <c r="AM2179" s="47" t="n"/>
      <c r="AN2179" s="53" t="n"/>
      <c r="AO2179" s="47" t="n"/>
      <c r="AP2179" s="47" t="n"/>
      <c r="AQ2179" s="47" t="n"/>
      <c r="AR2179" s="47" t="n"/>
      <c r="AS2179" s="47" t="n"/>
      <c r="AT2179" s="47" t="n"/>
      <c r="AU2179" s="47" t="n"/>
      <c r="AV2179" s="47" t="n"/>
      <c r="AW2179" s="52" t="n"/>
    </row>
    <row r="2180">
      <c r="A2180" s="48" t="n"/>
      <c r="B2180" s="52" t="n"/>
      <c r="C2180" s="47">
        <f>IF(B2180="","",IFERROR(INDEX('隊員マスタ'!$B$5:$B$204,MATCH(B2180&amp;"",'隊員マスタ'!$F$5:$F$204,0)),IF(AK2180="","番号なし",AK2180)))</f>
        <v/>
      </c>
      <c r="D2180" s="47" t="n"/>
      <c r="E2180" s="47" t="n"/>
      <c r="F2180" s="47" t="n"/>
      <c r="G2180" s="47" t="n"/>
      <c r="H2180" s="47" t="n"/>
      <c r="I2180" s="47" t="n"/>
      <c r="J2180" s="47" t="n"/>
      <c r="K2180" s="47" t="n"/>
      <c r="L2180" s="47" t="n"/>
      <c r="M2180" s="47" t="n"/>
      <c r="N2180" s="47" t="n"/>
      <c r="O2180" s="47" t="n"/>
      <c r="P2180" s="47" t="n"/>
      <c r="Q2180" s="47" t="n"/>
      <c r="R2180" s="47" t="n"/>
      <c r="S2180" s="47" t="n"/>
      <c r="T2180" s="47" t="n"/>
      <c r="U2180" s="53" t="n"/>
      <c r="V2180" s="53" t="n"/>
      <c r="W2180" s="47" t="n"/>
      <c r="X2180" s="47" t="n"/>
      <c r="Y2180" s="47" t="n"/>
      <c r="Z2180" s="47" t="n"/>
      <c r="AA2180" s="47" t="n"/>
      <c r="AB2180" s="47" t="n"/>
      <c r="AC2180" s="47" t="n"/>
      <c r="AD2180" s="47" t="n"/>
      <c r="AE2180" s="47" t="n"/>
      <c r="AF2180" s="20">
        <f>IF(A2180="","",YEAR(EDATE(A2180,-3)))</f>
        <v/>
      </c>
      <c r="AG2180" s="20">
        <f>IF(OR(B2180="",'経歴簿'!$C$4=""),"",IF(B2180&amp;""='経歴簿'!$C$4&amp;"",MAX($AG$4:AG2179)+1,""))</f>
        <v/>
      </c>
      <c r="AH2180" s="20">
        <f>IF(A2180="",0,IF(AND(OR('CSV抽出'!$C$4="",A2180&gt;='CSV抽出'!$C$4),OR('CSV抽出'!$C$5="",A2180&lt;='CSV抽出'!$C$5),OR('CSV抽出'!$C$6="すべて",'CSV抽出'!$C$6="",D2180='CSV抽出'!$C$6),OR('CSV抽出'!$C$7="",B2180&amp;""='CSV抽出'!$C$7&amp;"")),1,0))</f>
        <v/>
      </c>
      <c r="AI2180" s="20">
        <f>IF(AH2180=1,SUM($AH$5:AH2180),"")</f>
        <v/>
      </c>
      <c r="AJ2180" s="20">
        <f>IF(OR(S2180="",'報告書'!$C$4=""),"",IF(S2180&amp;""='報告書'!$C$4&amp;"",COUNTIF($S$5:S2180,'報告書'!$C$4),""))</f>
        <v/>
      </c>
      <c r="AK2180" s="20" t="n"/>
      <c r="AL2180" s="47" t="n"/>
      <c r="AM2180" s="47" t="n"/>
      <c r="AN2180" s="53" t="n"/>
      <c r="AO2180" s="47" t="n"/>
      <c r="AP2180" s="47" t="n"/>
      <c r="AQ2180" s="47" t="n"/>
      <c r="AR2180" s="47" t="n"/>
      <c r="AS2180" s="47" t="n"/>
      <c r="AT2180" s="47" t="n"/>
      <c r="AU2180" s="47" t="n"/>
      <c r="AV2180" s="47" t="n"/>
      <c r="AW2180" s="52" t="n"/>
    </row>
    <row r="2181">
      <c r="A2181" s="48" t="n"/>
      <c r="B2181" s="52" t="n"/>
      <c r="C2181" s="47">
        <f>IF(B2181="","",IFERROR(INDEX('隊員マスタ'!$B$5:$B$204,MATCH(B2181&amp;"",'隊員マスタ'!$F$5:$F$204,0)),IF(AK2181="","番号なし",AK2181)))</f>
        <v/>
      </c>
      <c r="D2181" s="47" t="n"/>
      <c r="E2181" s="47" t="n"/>
      <c r="F2181" s="47" t="n"/>
      <c r="G2181" s="47" t="n"/>
      <c r="H2181" s="47" t="n"/>
      <c r="I2181" s="47" t="n"/>
      <c r="J2181" s="47" t="n"/>
      <c r="K2181" s="47" t="n"/>
      <c r="L2181" s="47" t="n"/>
      <c r="M2181" s="47" t="n"/>
      <c r="N2181" s="47" t="n"/>
      <c r="O2181" s="47" t="n"/>
      <c r="P2181" s="47" t="n"/>
      <c r="Q2181" s="47" t="n"/>
      <c r="R2181" s="47" t="n"/>
      <c r="S2181" s="47" t="n"/>
      <c r="T2181" s="47" t="n"/>
      <c r="U2181" s="53" t="n"/>
      <c r="V2181" s="53" t="n"/>
      <c r="W2181" s="47" t="n"/>
      <c r="X2181" s="47" t="n"/>
      <c r="Y2181" s="47" t="n"/>
      <c r="Z2181" s="47" t="n"/>
      <c r="AA2181" s="47" t="n"/>
      <c r="AB2181" s="47" t="n"/>
      <c r="AC2181" s="47" t="n"/>
      <c r="AD2181" s="47" t="n"/>
      <c r="AE2181" s="47" t="n"/>
      <c r="AF2181" s="20">
        <f>IF(A2181="","",YEAR(EDATE(A2181,-3)))</f>
        <v/>
      </c>
      <c r="AG2181" s="20">
        <f>IF(OR(B2181="",'経歴簿'!$C$4=""),"",IF(B2181&amp;""='経歴簿'!$C$4&amp;"",MAX($AG$4:AG2180)+1,""))</f>
        <v/>
      </c>
      <c r="AH2181" s="20">
        <f>IF(A2181="",0,IF(AND(OR('CSV抽出'!$C$4="",A2181&gt;='CSV抽出'!$C$4),OR('CSV抽出'!$C$5="",A2181&lt;='CSV抽出'!$C$5),OR('CSV抽出'!$C$6="すべて",'CSV抽出'!$C$6="",D2181='CSV抽出'!$C$6),OR('CSV抽出'!$C$7="",B2181&amp;""='CSV抽出'!$C$7&amp;"")),1,0))</f>
        <v/>
      </c>
      <c r="AI2181" s="20">
        <f>IF(AH2181=1,SUM($AH$5:AH2181),"")</f>
        <v/>
      </c>
      <c r="AJ2181" s="20">
        <f>IF(OR(S2181="",'報告書'!$C$4=""),"",IF(S2181&amp;""='報告書'!$C$4&amp;"",COUNTIF($S$5:S2181,'報告書'!$C$4),""))</f>
        <v/>
      </c>
      <c r="AK2181" s="20" t="n"/>
      <c r="AL2181" s="47" t="n"/>
      <c r="AM2181" s="47" t="n"/>
      <c r="AN2181" s="53" t="n"/>
      <c r="AO2181" s="47" t="n"/>
      <c r="AP2181" s="47" t="n"/>
      <c r="AQ2181" s="47" t="n"/>
      <c r="AR2181" s="47" t="n"/>
      <c r="AS2181" s="47" t="n"/>
      <c r="AT2181" s="47" t="n"/>
      <c r="AU2181" s="47" t="n"/>
      <c r="AV2181" s="47" t="n"/>
      <c r="AW2181" s="52" t="n"/>
    </row>
    <row r="2182">
      <c r="A2182" s="48" t="n"/>
      <c r="B2182" s="52" t="n"/>
      <c r="C2182" s="47">
        <f>IF(B2182="","",IFERROR(INDEX('隊員マスタ'!$B$5:$B$204,MATCH(B2182&amp;"",'隊員マスタ'!$F$5:$F$204,0)),IF(AK2182="","番号なし",AK2182)))</f>
        <v/>
      </c>
      <c r="D2182" s="47" t="n"/>
      <c r="E2182" s="47" t="n"/>
      <c r="F2182" s="47" t="n"/>
      <c r="G2182" s="47" t="n"/>
      <c r="H2182" s="47" t="n"/>
      <c r="I2182" s="47" t="n"/>
      <c r="J2182" s="47" t="n"/>
      <c r="K2182" s="47" t="n"/>
      <c r="L2182" s="47" t="n"/>
      <c r="M2182" s="47" t="n"/>
      <c r="N2182" s="47" t="n"/>
      <c r="O2182" s="47" t="n"/>
      <c r="P2182" s="47" t="n"/>
      <c r="Q2182" s="47" t="n"/>
      <c r="R2182" s="47" t="n"/>
      <c r="S2182" s="47" t="n"/>
      <c r="T2182" s="47" t="n"/>
      <c r="U2182" s="53" t="n"/>
      <c r="V2182" s="53" t="n"/>
      <c r="W2182" s="47" t="n"/>
      <c r="X2182" s="47" t="n"/>
      <c r="Y2182" s="47" t="n"/>
      <c r="Z2182" s="47" t="n"/>
      <c r="AA2182" s="47" t="n"/>
      <c r="AB2182" s="47" t="n"/>
      <c r="AC2182" s="47" t="n"/>
      <c r="AD2182" s="47" t="n"/>
      <c r="AE2182" s="47" t="n"/>
      <c r="AF2182" s="20">
        <f>IF(A2182="","",YEAR(EDATE(A2182,-3)))</f>
        <v/>
      </c>
      <c r="AG2182" s="20">
        <f>IF(OR(B2182="",'経歴簿'!$C$4=""),"",IF(B2182&amp;""='経歴簿'!$C$4&amp;"",MAX($AG$4:AG2181)+1,""))</f>
        <v/>
      </c>
      <c r="AH2182" s="20">
        <f>IF(A2182="",0,IF(AND(OR('CSV抽出'!$C$4="",A2182&gt;='CSV抽出'!$C$4),OR('CSV抽出'!$C$5="",A2182&lt;='CSV抽出'!$C$5),OR('CSV抽出'!$C$6="すべて",'CSV抽出'!$C$6="",D2182='CSV抽出'!$C$6),OR('CSV抽出'!$C$7="",B2182&amp;""='CSV抽出'!$C$7&amp;"")),1,0))</f>
        <v/>
      </c>
      <c r="AI2182" s="20">
        <f>IF(AH2182=1,SUM($AH$5:AH2182),"")</f>
        <v/>
      </c>
      <c r="AJ2182" s="20">
        <f>IF(OR(S2182="",'報告書'!$C$4=""),"",IF(S2182&amp;""='報告書'!$C$4&amp;"",COUNTIF($S$5:S2182,'報告書'!$C$4),""))</f>
        <v/>
      </c>
      <c r="AK2182" s="20" t="n"/>
      <c r="AL2182" s="47" t="n"/>
      <c r="AM2182" s="47" t="n"/>
      <c r="AN2182" s="53" t="n"/>
      <c r="AO2182" s="47" t="n"/>
      <c r="AP2182" s="47" t="n"/>
      <c r="AQ2182" s="47" t="n"/>
      <c r="AR2182" s="47" t="n"/>
      <c r="AS2182" s="47" t="n"/>
      <c r="AT2182" s="47" t="n"/>
      <c r="AU2182" s="47" t="n"/>
      <c r="AV2182" s="47" t="n"/>
      <c r="AW2182" s="52" t="n"/>
    </row>
    <row r="2183">
      <c r="A2183" s="48" t="n"/>
      <c r="B2183" s="52" t="n"/>
      <c r="C2183" s="47">
        <f>IF(B2183="","",IFERROR(INDEX('隊員マスタ'!$B$5:$B$204,MATCH(B2183&amp;"",'隊員マスタ'!$F$5:$F$204,0)),IF(AK2183="","番号なし",AK2183)))</f>
        <v/>
      </c>
      <c r="D2183" s="47" t="n"/>
      <c r="E2183" s="47" t="n"/>
      <c r="F2183" s="47" t="n"/>
      <c r="G2183" s="47" t="n"/>
      <c r="H2183" s="47" t="n"/>
      <c r="I2183" s="47" t="n"/>
      <c r="J2183" s="47" t="n"/>
      <c r="K2183" s="47" t="n"/>
      <c r="L2183" s="47" t="n"/>
      <c r="M2183" s="47" t="n"/>
      <c r="N2183" s="47" t="n"/>
      <c r="O2183" s="47" t="n"/>
      <c r="P2183" s="47" t="n"/>
      <c r="Q2183" s="47" t="n"/>
      <c r="R2183" s="47" t="n"/>
      <c r="S2183" s="47" t="n"/>
      <c r="T2183" s="47" t="n"/>
      <c r="U2183" s="53" t="n"/>
      <c r="V2183" s="53" t="n"/>
      <c r="W2183" s="47" t="n"/>
      <c r="X2183" s="47" t="n"/>
      <c r="Y2183" s="47" t="n"/>
      <c r="Z2183" s="47" t="n"/>
      <c r="AA2183" s="47" t="n"/>
      <c r="AB2183" s="47" t="n"/>
      <c r="AC2183" s="47" t="n"/>
      <c r="AD2183" s="47" t="n"/>
      <c r="AE2183" s="47" t="n"/>
      <c r="AF2183" s="20">
        <f>IF(A2183="","",YEAR(EDATE(A2183,-3)))</f>
        <v/>
      </c>
      <c r="AG2183" s="20">
        <f>IF(OR(B2183="",'経歴簿'!$C$4=""),"",IF(B2183&amp;""='経歴簿'!$C$4&amp;"",MAX($AG$4:AG2182)+1,""))</f>
        <v/>
      </c>
      <c r="AH2183" s="20">
        <f>IF(A2183="",0,IF(AND(OR('CSV抽出'!$C$4="",A2183&gt;='CSV抽出'!$C$4),OR('CSV抽出'!$C$5="",A2183&lt;='CSV抽出'!$C$5),OR('CSV抽出'!$C$6="すべて",'CSV抽出'!$C$6="",D2183='CSV抽出'!$C$6),OR('CSV抽出'!$C$7="",B2183&amp;""='CSV抽出'!$C$7&amp;"")),1,0))</f>
        <v/>
      </c>
      <c r="AI2183" s="20">
        <f>IF(AH2183=1,SUM($AH$5:AH2183),"")</f>
        <v/>
      </c>
      <c r="AJ2183" s="20">
        <f>IF(OR(S2183="",'報告書'!$C$4=""),"",IF(S2183&amp;""='報告書'!$C$4&amp;"",COUNTIF($S$5:S2183,'報告書'!$C$4),""))</f>
        <v/>
      </c>
      <c r="AK2183" s="20" t="n"/>
      <c r="AL2183" s="47" t="n"/>
      <c r="AM2183" s="47" t="n"/>
      <c r="AN2183" s="53" t="n"/>
      <c r="AO2183" s="47" t="n"/>
      <c r="AP2183" s="47" t="n"/>
      <c r="AQ2183" s="47" t="n"/>
      <c r="AR2183" s="47" t="n"/>
      <c r="AS2183" s="47" t="n"/>
      <c r="AT2183" s="47" t="n"/>
      <c r="AU2183" s="47" t="n"/>
      <c r="AV2183" s="47" t="n"/>
      <c r="AW2183" s="52" t="n"/>
    </row>
    <row r="2184">
      <c r="A2184" s="48" t="n"/>
      <c r="B2184" s="52" t="n"/>
      <c r="C2184" s="47">
        <f>IF(B2184="","",IFERROR(INDEX('隊員マスタ'!$B$5:$B$204,MATCH(B2184&amp;"",'隊員マスタ'!$F$5:$F$204,0)),IF(AK2184="","番号なし",AK2184)))</f>
        <v/>
      </c>
      <c r="D2184" s="47" t="n"/>
      <c r="E2184" s="47" t="n"/>
      <c r="F2184" s="47" t="n"/>
      <c r="G2184" s="47" t="n"/>
      <c r="H2184" s="47" t="n"/>
      <c r="I2184" s="47" t="n"/>
      <c r="J2184" s="47" t="n"/>
      <c r="K2184" s="47" t="n"/>
      <c r="L2184" s="47" t="n"/>
      <c r="M2184" s="47" t="n"/>
      <c r="N2184" s="47" t="n"/>
      <c r="O2184" s="47" t="n"/>
      <c r="P2184" s="47" t="n"/>
      <c r="Q2184" s="47" t="n"/>
      <c r="R2184" s="47" t="n"/>
      <c r="S2184" s="47" t="n"/>
      <c r="T2184" s="47" t="n"/>
      <c r="U2184" s="53" t="n"/>
      <c r="V2184" s="53" t="n"/>
      <c r="W2184" s="47" t="n"/>
      <c r="X2184" s="47" t="n"/>
      <c r="Y2184" s="47" t="n"/>
      <c r="Z2184" s="47" t="n"/>
      <c r="AA2184" s="47" t="n"/>
      <c r="AB2184" s="47" t="n"/>
      <c r="AC2184" s="47" t="n"/>
      <c r="AD2184" s="47" t="n"/>
      <c r="AE2184" s="47" t="n"/>
      <c r="AF2184" s="20">
        <f>IF(A2184="","",YEAR(EDATE(A2184,-3)))</f>
        <v/>
      </c>
      <c r="AG2184" s="20">
        <f>IF(OR(B2184="",'経歴簿'!$C$4=""),"",IF(B2184&amp;""='経歴簿'!$C$4&amp;"",MAX($AG$4:AG2183)+1,""))</f>
        <v/>
      </c>
      <c r="AH2184" s="20">
        <f>IF(A2184="",0,IF(AND(OR('CSV抽出'!$C$4="",A2184&gt;='CSV抽出'!$C$4),OR('CSV抽出'!$C$5="",A2184&lt;='CSV抽出'!$C$5),OR('CSV抽出'!$C$6="すべて",'CSV抽出'!$C$6="",D2184='CSV抽出'!$C$6),OR('CSV抽出'!$C$7="",B2184&amp;""='CSV抽出'!$C$7&amp;"")),1,0))</f>
        <v/>
      </c>
      <c r="AI2184" s="20">
        <f>IF(AH2184=1,SUM($AH$5:AH2184),"")</f>
        <v/>
      </c>
      <c r="AJ2184" s="20">
        <f>IF(OR(S2184="",'報告書'!$C$4=""),"",IF(S2184&amp;""='報告書'!$C$4&amp;"",COUNTIF($S$5:S2184,'報告書'!$C$4),""))</f>
        <v/>
      </c>
      <c r="AK2184" s="20" t="n"/>
      <c r="AL2184" s="47" t="n"/>
      <c r="AM2184" s="47" t="n"/>
      <c r="AN2184" s="53" t="n"/>
      <c r="AO2184" s="47" t="n"/>
      <c r="AP2184" s="47" t="n"/>
      <c r="AQ2184" s="47" t="n"/>
      <c r="AR2184" s="47" t="n"/>
      <c r="AS2184" s="47" t="n"/>
      <c r="AT2184" s="47" t="n"/>
      <c r="AU2184" s="47" t="n"/>
      <c r="AV2184" s="47" t="n"/>
      <c r="AW2184" s="52" t="n"/>
    </row>
    <row r="2185">
      <c r="A2185" s="48" t="n"/>
      <c r="B2185" s="52" t="n"/>
      <c r="C2185" s="47">
        <f>IF(B2185="","",IFERROR(INDEX('隊員マスタ'!$B$5:$B$204,MATCH(B2185&amp;"",'隊員マスタ'!$F$5:$F$204,0)),IF(AK2185="","番号なし",AK2185)))</f>
        <v/>
      </c>
      <c r="D2185" s="47" t="n"/>
      <c r="E2185" s="47" t="n"/>
      <c r="F2185" s="47" t="n"/>
      <c r="G2185" s="47" t="n"/>
      <c r="H2185" s="47" t="n"/>
      <c r="I2185" s="47" t="n"/>
      <c r="J2185" s="47" t="n"/>
      <c r="K2185" s="47" t="n"/>
      <c r="L2185" s="47" t="n"/>
      <c r="M2185" s="47" t="n"/>
      <c r="N2185" s="47" t="n"/>
      <c r="O2185" s="47" t="n"/>
      <c r="P2185" s="47" t="n"/>
      <c r="Q2185" s="47" t="n"/>
      <c r="R2185" s="47" t="n"/>
      <c r="S2185" s="47" t="n"/>
      <c r="T2185" s="47" t="n"/>
      <c r="U2185" s="53" t="n"/>
      <c r="V2185" s="53" t="n"/>
      <c r="W2185" s="47" t="n"/>
      <c r="X2185" s="47" t="n"/>
      <c r="Y2185" s="47" t="n"/>
      <c r="Z2185" s="47" t="n"/>
      <c r="AA2185" s="47" t="n"/>
      <c r="AB2185" s="47" t="n"/>
      <c r="AC2185" s="47" t="n"/>
      <c r="AD2185" s="47" t="n"/>
      <c r="AE2185" s="47" t="n"/>
      <c r="AF2185" s="20">
        <f>IF(A2185="","",YEAR(EDATE(A2185,-3)))</f>
        <v/>
      </c>
      <c r="AG2185" s="20">
        <f>IF(OR(B2185="",'経歴簿'!$C$4=""),"",IF(B2185&amp;""='経歴簿'!$C$4&amp;"",MAX($AG$4:AG2184)+1,""))</f>
        <v/>
      </c>
      <c r="AH2185" s="20">
        <f>IF(A2185="",0,IF(AND(OR('CSV抽出'!$C$4="",A2185&gt;='CSV抽出'!$C$4),OR('CSV抽出'!$C$5="",A2185&lt;='CSV抽出'!$C$5),OR('CSV抽出'!$C$6="すべて",'CSV抽出'!$C$6="",D2185='CSV抽出'!$C$6),OR('CSV抽出'!$C$7="",B2185&amp;""='CSV抽出'!$C$7&amp;"")),1,0))</f>
        <v/>
      </c>
      <c r="AI2185" s="20">
        <f>IF(AH2185=1,SUM($AH$5:AH2185),"")</f>
        <v/>
      </c>
      <c r="AJ2185" s="20">
        <f>IF(OR(S2185="",'報告書'!$C$4=""),"",IF(S2185&amp;""='報告書'!$C$4&amp;"",COUNTIF($S$5:S2185,'報告書'!$C$4),""))</f>
        <v/>
      </c>
      <c r="AK2185" s="20" t="n"/>
      <c r="AL2185" s="47" t="n"/>
      <c r="AM2185" s="47" t="n"/>
      <c r="AN2185" s="53" t="n"/>
      <c r="AO2185" s="47" t="n"/>
      <c r="AP2185" s="47" t="n"/>
      <c r="AQ2185" s="47" t="n"/>
      <c r="AR2185" s="47" t="n"/>
      <c r="AS2185" s="47" t="n"/>
      <c r="AT2185" s="47" t="n"/>
      <c r="AU2185" s="47" t="n"/>
      <c r="AV2185" s="47" t="n"/>
      <c r="AW2185" s="52" t="n"/>
    </row>
    <row r="2186">
      <c r="A2186" s="48" t="n"/>
      <c r="B2186" s="52" t="n"/>
      <c r="C2186" s="47">
        <f>IF(B2186="","",IFERROR(INDEX('隊員マスタ'!$B$5:$B$204,MATCH(B2186&amp;"",'隊員マスタ'!$F$5:$F$204,0)),IF(AK2186="","番号なし",AK2186)))</f>
        <v/>
      </c>
      <c r="D2186" s="47" t="n"/>
      <c r="E2186" s="47" t="n"/>
      <c r="F2186" s="47" t="n"/>
      <c r="G2186" s="47" t="n"/>
      <c r="H2186" s="47" t="n"/>
      <c r="I2186" s="47" t="n"/>
      <c r="J2186" s="47" t="n"/>
      <c r="K2186" s="47" t="n"/>
      <c r="L2186" s="47" t="n"/>
      <c r="M2186" s="47" t="n"/>
      <c r="N2186" s="47" t="n"/>
      <c r="O2186" s="47" t="n"/>
      <c r="P2186" s="47" t="n"/>
      <c r="Q2186" s="47" t="n"/>
      <c r="R2186" s="47" t="n"/>
      <c r="S2186" s="47" t="n"/>
      <c r="T2186" s="47" t="n"/>
      <c r="U2186" s="53" t="n"/>
      <c r="V2186" s="53" t="n"/>
      <c r="W2186" s="47" t="n"/>
      <c r="X2186" s="47" t="n"/>
      <c r="Y2186" s="47" t="n"/>
      <c r="Z2186" s="47" t="n"/>
      <c r="AA2186" s="47" t="n"/>
      <c r="AB2186" s="47" t="n"/>
      <c r="AC2186" s="47" t="n"/>
      <c r="AD2186" s="47" t="n"/>
      <c r="AE2186" s="47" t="n"/>
      <c r="AF2186" s="20">
        <f>IF(A2186="","",YEAR(EDATE(A2186,-3)))</f>
        <v/>
      </c>
      <c r="AG2186" s="20">
        <f>IF(OR(B2186="",'経歴簿'!$C$4=""),"",IF(B2186&amp;""='経歴簿'!$C$4&amp;"",MAX($AG$4:AG2185)+1,""))</f>
        <v/>
      </c>
      <c r="AH2186" s="20">
        <f>IF(A2186="",0,IF(AND(OR('CSV抽出'!$C$4="",A2186&gt;='CSV抽出'!$C$4),OR('CSV抽出'!$C$5="",A2186&lt;='CSV抽出'!$C$5),OR('CSV抽出'!$C$6="すべて",'CSV抽出'!$C$6="",D2186='CSV抽出'!$C$6),OR('CSV抽出'!$C$7="",B2186&amp;""='CSV抽出'!$C$7&amp;"")),1,0))</f>
        <v/>
      </c>
      <c r="AI2186" s="20">
        <f>IF(AH2186=1,SUM($AH$5:AH2186),"")</f>
        <v/>
      </c>
      <c r="AJ2186" s="20">
        <f>IF(OR(S2186="",'報告書'!$C$4=""),"",IF(S2186&amp;""='報告書'!$C$4&amp;"",COUNTIF($S$5:S2186,'報告書'!$C$4),""))</f>
        <v/>
      </c>
      <c r="AK2186" s="20" t="n"/>
      <c r="AL2186" s="47" t="n"/>
      <c r="AM2186" s="47" t="n"/>
      <c r="AN2186" s="53" t="n"/>
      <c r="AO2186" s="47" t="n"/>
      <c r="AP2186" s="47" t="n"/>
      <c r="AQ2186" s="47" t="n"/>
      <c r="AR2186" s="47" t="n"/>
      <c r="AS2186" s="47" t="n"/>
      <c r="AT2186" s="47" t="n"/>
      <c r="AU2186" s="47" t="n"/>
      <c r="AV2186" s="47" t="n"/>
      <c r="AW2186" s="52" t="n"/>
    </row>
    <row r="2187">
      <c r="A2187" s="48" t="n"/>
      <c r="B2187" s="52" t="n"/>
      <c r="C2187" s="47">
        <f>IF(B2187="","",IFERROR(INDEX('隊員マスタ'!$B$5:$B$204,MATCH(B2187&amp;"",'隊員マスタ'!$F$5:$F$204,0)),IF(AK2187="","番号なし",AK2187)))</f>
        <v/>
      </c>
      <c r="D2187" s="47" t="n"/>
      <c r="E2187" s="47" t="n"/>
      <c r="F2187" s="47" t="n"/>
      <c r="G2187" s="47" t="n"/>
      <c r="H2187" s="47" t="n"/>
      <c r="I2187" s="47" t="n"/>
      <c r="J2187" s="47" t="n"/>
      <c r="K2187" s="47" t="n"/>
      <c r="L2187" s="47" t="n"/>
      <c r="M2187" s="47" t="n"/>
      <c r="N2187" s="47" t="n"/>
      <c r="O2187" s="47" t="n"/>
      <c r="P2187" s="47" t="n"/>
      <c r="Q2187" s="47" t="n"/>
      <c r="R2187" s="47" t="n"/>
      <c r="S2187" s="47" t="n"/>
      <c r="T2187" s="47" t="n"/>
      <c r="U2187" s="53" t="n"/>
      <c r="V2187" s="53" t="n"/>
      <c r="W2187" s="47" t="n"/>
      <c r="X2187" s="47" t="n"/>
      <c r="Y2187" s="47" t="n"/>
      <c r="Z2187" s="47" t="n"/>
      <c r="AA2187" s="47" t="n"/>
      <c r="AB2187" s="47" t="n"/>
      <c r="AC2187" s="47" t="n"/>
      <c r="AD2187" s="47" t="n"/>
      <c r="AE2187" s="47" t="n"/>
      <c r="AF2187" s="20">
        <f>IF(A2187="","",YEAR(EDATE(A2187,-3)))</f>
        <v/>
      </c>
      <c r="AG2187" s="20">
        <f>IF(OR(B2187="",'経歴簿'!$C$4=""),"",IF(B2187&amp;""='経歴簿'!$C$4&amp;"",MAX($AG$4:AG2186)+1,""))</f>
        <v/>
      </c>
      <c r="AH2187" s="20">
        <f>IF(A2187="",0,IF(AND(OR('CSV抽出'!$C$4="",A2187&gt;='CSV抽出'!$C$4),OR('CSV抽出'!$C$5="",A2187&lt;='CSV抽出'!$C$5),OR('CSV抽出'!$C$6="すべて",'CSV抽出'!$C$6="",D2187='CSV抽出'!$C$6),OR('CSV抽出'!$C$7="",B2187&amp;""='CSV抽出'!$C$7&amp;"")),1,0))</f>
        <v/>
      </c>
      <c r="AI2187" s="20">
        <f>IF(AH2187=1,SUM($AH$5:AH2187),"")</f>
        <v/>
      </c>
      <c r="AJ2187" s="20">
        <f>IF(OR(S2187="",'報告書'!$C$4=""),"",IF(S2187&amp;""='報告書'!$C$4&amp;"",COUNTIF($S$5:S2187,'報告書'!$C$4),""))</f>
        <v/>
      </c>
      <c r="AK2187" s="20" t="n"/>
      <c r="AL2187" s="47" t="n"/>
      <c r="AM2187" s="47" t="n"/>
      <c r="AN2187" s="53" t="n"/>
      <c r="AO2187" s="47" t="n"/>
      <c r="AP2187" s="47" t="n"/>
      <c r="AQ2187" s="47" t="n"/>
      <c r="AR2187" s="47" t="n"/>
      <c r="AS2187" s="47" t="n"/>
      <c r="AT2187" s="47" t="n"/>
      <c r="AU2187" s="47" t="n"/>
      <c r="AV2187" s="47" t="n"/>
      <c r="AW2187" s="52" t="n"/>
    </row>
    <row r="2188">
      <c r="A2188" s="48" t="n"/>
      <c r="B2188" s="52" t="n"/>
      <c r="C2188" s="47">
        <f>IF(B2188="","",IFERROR(INDEX('隊員マスタ'!$B$5:$B$204,MATCH(B2188&amp;"",'隊員マスタ'!$F$5:$F$204,0)),IF(AK2188="","番号なし",AK2188)))</f>
        <v/>
      </c>
      <c r="D2188" s="47" t="n"/>
      <c r="E2188" s="47" t="n"/>
      <c r="F2188" s="47" t="n"/>
      <c r="G2188" s="47" t="n"/>
      <c r="H2188" s="47" t="n"/>
      <c r="I2188" s="47" t="n"/>
      <c r="J2188" s="47" t="n"/>
      <c r="K2188" s="47" t="n"/>
      <c r="L2188" s="47" t="n"/>
      <c r="M2188" s="47" t="n"/>
      <c r="N2188" s="47" t="n"/>
      <c r="O2188" s="47" t="n"/>
      <c r="P2188" s="47" t="n"/>
      <c r="Q2188" s="47" t="n"/>
      <c r="R2188" s="47" t="n"/>
      <c r="S2188" s="47" t="n"/>
      <c r="T2188" s="47" t="n"/>
      <c r="U2188" s="53" t="n"/>
      <c r="V2188" s="53" t="n"/>
      <c r="W2188" s="47" t="n"/>
      <c r="X2188" s="47" t="n"/>
      <c r="Y2188" s="47" t="n"/>
      <c r="Z2188" s="47" t="n"/>
      <c r="AA2188" s="47" t="n"/>
      <c r="AB2188" s="47" t="n"/>
      <c r="AC2188" s="47" t="n"/>
      <c r="AD2188" s="47" t="n"/>
      <c r="AE2188" s="47" t="n"/>
      <c r="AF2188" s="20">
        <f>IF(A2188="","",YEAR(EDATE(A2188,-3)))</f>
        <v/>
      </c>
      <c r="AG2188" s="20">
        <f>IF(OR(B2188="",'経歴簿'!$C$4=""),"",IF(B2188&amp;""='経歴簿'!$C$4&amp;"",MAX($AG$4:AG2187)+1,""))</f>
        <v/>
      </c>
      <c r="AH2188" s="20">
        <f>IF(A2188="",0,IF(AND(OR('CSV抽出'!$C$4="",A2188&gt;='CSV抽出'!$C$4),OR('CSV抽出'!$C$5="",A2188&lt;='CSV抽出'!$C$5),OR('CSV抽出'!$C$6="すべて",'CSV抽出'!$C$6="",D2188='CSV抽出'!$C$6),OR('CSV抽出'!$C$7="",B2188&amp;""='CSV抽出'!$C$7&amp;"")),1,0))</f>
        <v/>
      </c>
      <c r="AI2188" s="20">
        <f>IF(AH2188=1,SUM($AH$5:AH2188),"")</f>
        <v/>
      </c>
      <c r="AJ2188" s="20">
        <f>IF(OR(S2188="",'報告書'!$C$4=""),"",IF(S2188&amp;""='報告書'!$C$4&amp;"",COUNTIF($S$5:S2188,'報告書'!$C$4),""))</f>
        <v/>
      </c>
      <c r="AK2188" s="20" t="n"/>
      <c r="AL2188" s="47" t="n"/>
      <c r="AM2188" s="47" t="n"/>
      <c r="AN2188" s="53" t="n"/>
      <c r="AO2188" s="47" t="n"/>
      <c r="AP2188" s="47" t="n"/>
      <c r="AQ2188" s="47" t="n"/>
      <c r="AR2188" s="47" t="n"/>
      <c r="AS2188" s="47" t="n"/>
      <c r="AT2188" s="47" t="n"/>
      <c r="AU2188" s="47" t="n"/>
      <c r="AV2188" s="47" t="n"/>
      <c r="AW2188" s="52" t="n"/>
    </row>
    <row r="2189">
      <c r="A2189" s="48" t="n"/>
      <c r="B2189" s="52" t="n"/>
      <c r="C2189" s="47">
        <f>IF(B2189="","",IFERROR(INDEX('隊員マスタ'!$B$5:$B$204,MATCH(B2189&amp;"",'隊員マスタ'!$F$5:$F$204,0)),IF(AK2189="","番号なし",AK2189)))</f>
        <v/>
      </c>
      <c r="D2189" s="47" t="n"/>
      <c r="E2189" s="47" t="n"/>
      <c r="F2189" s="47" t="n"/>
      <c r="G2189" s="47" t="n"/>
      <c r="H2189" s="47" t="n"/>
      <c r="I2189" s="47" t="n"/>
      <c r="J2189" s="47" t="n"/>
      <c r="K2189" s="47" t="n"/>
      <c r="L2189" s="47" t="n"/>
      <c r="M2189" s="47" t="n"/>
      <c r="N2189" s="47" t="n"/>
      <c r="O2189" s="47" t="n"/>
      <c r="P2189" s="47" t="n"/>
      <c r="Q2189" s="47" t="n"/>
      <c r="R2189" s="47" t="n"/>
      <c r="S2189" s="47" t="n"/>
      <c r="T2189" s="47" t="n"/>
      <c r="U2189" s="53" t="n"/>
      <c r="V2189" s="53" t="n"/>
      <c r="W2189" s="47" t="n"/>
      <c r="X2189" s="47" t="n"/>
      <c r="Y2189" s="47" t="n"/>
      <c r="Z2189" s="47" t="n"/>
      <c r="AA2189" s="47" t="n"/>
      <c r="AB2189" s="47" t="n"/>
      <c r="AC2189" s="47" t="n"/>
      <c r="AD2189" s="47" t="n"/>
      <c r="AE2189" s="47" t="n"/>
      <c r="AF2189" s="20">
        <f>IF(A2189="","",YEAR(EDATE(A2189,-3)))</f>
        <v/>
      </c>
      <c r="AG2189" s="20">
        <f>IF(OR(B2189="",'経歴簿'!$C$4=""),"",IF(B2189&amp;""='経歴簿'!$C$4&amp;"",MAX($AG$4:AG2188)+1,""))</f>
        <v/>
      </c>
      <c r="AH2189" s="20">
        <f>IF(A2189="",0,IF(AND(OR('CSV抽出'!$C$4="",A2189&gt;='CSV抽出'!$C$4),OR('CSV抽出'!$C$5="",A2189&lt;='CSV抽出'!$C$5),OR('CSV抽出'!$C$6="すべて",'CSV抽出'!$C$6="",D2189='CSV抽出'!$C$6),OR('CSV抽出'!$C$7="",B2189&amp;""='CSV抽出'!$C$7&amp;"")),1,0))</f>
        <v/>
      </c>
      <c r="AI2189" s="20">
        <f>IF(AH2189=1,SUM($AH$5:AH2189),"")</f>
        <v/>
      </c>
      <c r="AJ2189" s="20">
        <f>IF(OR(S2189="",'報告書'!$C$4=""),"",IF(S2189&amp;""='報告書'!$C$4&amp;"",COUNTIF($S$5:S2189,'報告書'!$C$4),""))</f>
        <v/>
      </c>
      <c r="AK2189" s="20" t="n"/>
      <c r="AL2189" s="47" t="n"/>
      <c r="AM2189" s="47" t="n"/>
      <c r="AN2189" s="53" t="n"/>
      <c r="AO2189" s="47" t="n"/>
      <c r="AP2189" s="47" t="n"/>
      <c r="AQ2189" s="47" t="n"/>
      <c r="AR2189" s="47" t="n"/>
      <c r="AS2189" s="47" t="n"/>
      <c r="AT2189" s="47" t="n"/>
      <c r="AU2189" s="47" t="n"/>
      <c r="AV2189" s="47" t="n"/>
      <c r="AW2189" s="52" t="n"/>
    </row>
    <row r="2190">
      <c r="A2190" s="48" t="n"/>
      <c r="B2190" s="52" t="n"/>
      <c r="C2190" s="47">
        <f>IF(B2190="","",IFERROR(INDEX('隊員マスタ'!$B$5:$B$204,MATCH(B2190&amp;"",'隊員マスタ'!$F$5:$F$204,0)),IF(AK2190="","番号なし",AK2190)))</f>
        <v/>
      </c>
      <c r="D2190" s="47" t="n"/>
      <c r="E2190" s="47" t="n"/>
      <c r="F2190" s="47" t="n"/>
      <c r="G2190" s="47" t="n"/>
      <c r="H2190" s="47" t="n"/>
      <c r="I2190" s="47" t="n"/>
      <c r="J2190" s="47" t="n"/>
      <c r="K2190" s="47" t="n"/>
      <c r="L2190" s="47" t="n"/>
      <c r="M2190" s="47" t="n"/>
      <c r="N2190" s="47" t="n"/>
      <c r="O2190" s="47" t="n"/>
      <c r="P2190" s="47" t="n"/>
      <c r="Q2190" s="47" t="n"/>
      <c r="R2190" s="47" t="n"/>
      <c r="S2190" s="47" t="n"/>
      <c r="T2190" s="47" t="n"/>
      <c r="U2190" s="53" t="n"/>
      <c r="V2190" s="53" t="n"/>
      <c r="W2190" s="47" t="n"/>
      <c r="X2190" s="47" t="n"/>
      <c r="Y2190" s="47" t="n"/>
      <c r="Z2190" s="47" t="n"/>
      <c r="AA2190" s="47" t="n"/>
      <c r="AB2190" s="47" t="n"/>
      <c r="AC2190" s="47" t="n"/>
      <c r="AD2190" s="47" t="n"/>
      <c r="AE2190" s="47" t="n"/>
      <c r="AF2190" s="20">
        <f>IF(A2190="","",YEAR(EDATE(A2190,-3)))</f>
        <v/>
      </c>
      <c r="AG2190" s="20">
        <f>IF(OR(B2190="",'経歴簿'!$C$4=""),"",IF(B2190&amp;""='経歴簿'!$C$4&amp;"",MAX($AG$4:AG2189)+1,""))</f>
        <v/>
      </c>
      <c r="AH2190" s="20">
        <f>IF(A2190="",0,IF(AND(OR('CSV抽出'!$C$4="",A2190&gt;='CSV抽出'!$C$4),OR('CSV抽出'!$C$5="",A2190&lt;='CSV抽出'!$C$5),OR('CSV抽出'!$C$6="すべて",'CSV抽出'!$C$6="",D2190='CSV抽出'!$C$6),OR('CSV抽出'!$C$7="",B2190&amp;""='CSV抽出'!$C$7&amp;"")),1,0))</f>
        <v/>
      </c>
      <c r="AI2190" s="20">
        <f>IF(AH2190=1,SUM($AH$5:AH2190),"")</f>
        <v/>
      </c>
      <c r="AJ2190" s="20">
        <f>IF(OR(S2190="",'報告書'!$C$4=""),"",IF(S2190&amp;""='報告書'!$C$4&amp;"",COUNTIF($S$5:S2190,'報告書'!$C$4),""))</f>
        <v/>
      </c>
      <c r="AK2190" s="20" t="n"/>
      <c r="AL2190" s="47" t="n"/>
      <c r="AM2190" s="47" t="n"/>
      <c r="AN2190" s="53" t="n"/>
      <c r="AO2190" s="47" t="n"/>
      <c r="AP2190" s="47" t="n"/>
      <c r="AQ2190" s="47" t="n"/>
      <c r="AR2190" s="47" t="n"/>
      <c r="AS2190" s="47" t="n"/>
      <c r="AT2190" s="47" t="n"/>
      <c r="AU2190" s="47" t="n"/>
      <c r="AV2190" s="47" t="n"/>
      <c r="AW2190" s="52" t="n"/>
    </row>
    <row r="2191">
      <c r="A2191" s="48" t="n"/>
      <c r="B2191" s="52" t="n"/>
      <c r="C2191" s="47">
        <f>IF(B2191="","",IFERROR(INDEX('隊員マスタ'!$B$5:$B$204,MATCH(B2191&amp;"",'隊員マスタ'!$F$5:$F$204,0)),IF(AK2191="","番号なし",AK2191)))</f>
        <v/>
      </c>
      <c r="D2191" s="47" t="n"/>
      <c r="E2191" s="47" t="n"/>
      <c r="F2191" s="47" t="n"/>
      <c r="G2191" s="47" t="n"/>
      <c r="H2191" s="47" t="n"/>
      <c r="I2191" s="47" t="n"/>
      <c r="J2191" s="47" t="n"/>
      <c r="K2191" s="47" t="n"/>
      <c r="L2191" s="47" t="n"/>
      <c r="M2191" s="47" t="n"/>
      <c r="N2191" s="47" t="n"/>
      <c r="O2191" s="47" t="n"/>
      <c r="P2191" s="47" t="n"/>
      <c r="Q2191" s="47" t="n"/>
      <c r="R2191" s="47" t="n"/>
      <c r="S2191" s="47" t="n"/>
      <c r="T2191" s="47" t="n"/>
      <c r="U2191" s="53" t="n"/>
      <c r="V2191" s="53" t="n"/>
      <c r="W2191" s="47" t="n"/>
      <c r="X2191" s="47" t="n"/>
      <c r="Y2191" s="47" t="n"/>
      <c r="Z2191" s="47" t="n"/>
      <c r="AA2191" s="47" t="n"/>
      <c r="AB2191" s="47" t="n"/>
      <c r="AC2191" s="47" t="n"/>
      <c r="AD2191" s="47" t="n"/>
      <c r="AE2191" s="47" t="n"/>
      <c r="AF2191" s="20">
        <f>IF(A2191="","",YEAR(EDATE(A2191,-3)))</f>
        <v/>
      </c>
      <c r="AG2191" s="20">
        <f>IF(OR(B2191="",'経歴簿'!$C$4=""),"",IF(B2191&amp;""='経歴簿'!$C$4&amp;"",MAX($AG$4:AG2190)+1,""))</f>
        <v/>
      </c>
      <c r="AH2191" s="20">
        <f>IF(A2191="",0,IF(AND(OR('CSV抽出'!$C$4="",A2191&gt;='CSV抽出'!$C$4),OR('CSV抽出'!$C$5="",A2191&lt;='CSV抽出'!$C$5),OR('CSV抽出'!$C$6="すべて",'CSV抽出'!$C$6="",D2191='CSV抽出'!$C$6),OR('CSV抽出'!$C$7="",B2191&amp;""='CSV抽出'!$C$7&amp;"")),1,0))</f>
        <v/>
      </c>
      <c r="AI2191" s="20">
        <f>IF(AH2191=1,SUM($AH$5:AH2191),"")</f>
        <v/>
      </c>
      <c r="AJ2191" s="20">
        <f>IF(OR(S2191="",'報告書'!$C$4=""),"",IF(S2191&amp;""='報告書'!$C$4&amp;"",COUNTIF($S$5:S2191,'報告書'!$C$4),""))</f>
        <v/>
      </c>
      <c r="AK2191" s="20" t="n"/>
      <c r="AL2191" s="47" t="n"/>
      <c r="AM2191" s="47" t="n"/>
      <c r="AN2191" s="53" t="n"/>
      <c r="AO2191" s="47" t="n"/>
      <c r="AP2191" s="47" t="n"/>
      <c r="AQ2191" s="47" t="n"/>
      <c r="AR2191" s="47" t="n"/>
      <c r="AS2191" s="47" t="n"/>
      <c r="AT2191" s="47" t="n"/>
      <c r="AU2191" s="47" t="n"/>
      <c r="AV2191" s="47" t="n"/>
      <c r="AW2191" s="52" t="n"/>
    </row>
    <row r="2192">
      <c r="A2192" s="48" t="n"/>
      <c r="B2192" s="52" t="n"/>
      <c r="C2192" s="47">
        <f>IF(B2192="","",IFERROR(INDEX('隊員マスタ'!$B$5:$B$204,MATCH(B2192&amp;"",'隊員マスタ'!$F$5:$F$204,0)),IF(AK2192="","番号なし",AK2192)))</f>
        <v/>
      </c>
      <c r="D2192" s="47" t="n"/>
      <c r="E2192" s="47" t="n"/>
      <c r="F2192" s="47" t="n"/>
      <c r="G2192" s="47" t="n"/>
      <c r="H2192" s="47" t="n"/>
      <c r="I2192" s="47" t="n"/>
      <c r="J2192" s="47" t="n"/>
      <c r="K2192" s="47" t="n"/>
      <c r="L2192" s="47" t="n"/>
      <c r="M2192" s="47" t="n"/>
      <c r="N2192" s="47" t="n"/>
      <c r="O2192" s="47" t="n"/>
      <c r="P2192" s="47" t="n"/>
      <c r="Q2192" s="47" t="n"/>
      <c r="R2192" s="47" t="n"/>
      <c r="S2192" s="47" t="n"/>
      <c r="T2192" s="47" t="n"/>
      <c r="U2192" s="53" t="n"/>
      <c r="V2192" s="53" t="n"/>
      <c r="W2192" s="47" t="n"/>
      <c r="X2192" s="47" t="n"/>
      <c r="Y2192" s="47" t="n"/>
      <c r="Z2192" s="47" t="n"/>
      <c r="AA2192" s="47" t="n"/>
      <c r="AB2192" s="47" t="n"/>
      <c r="AC2192" s="47" t="n"/>
      <c r="AD2192" s="47" t="n"/>
      <c r="AE2192" s="47" t="n"/>
      <c r="AF2192" s="20">
        <f>IF(A2192="","",YEAR(EDATE(A2192,-3)))</f>
        <v/>
      </c>
      <c r="AG2192" s="20">
        <f>IF(OR(B2192="",'経歴簿'!$C$4=""),"",IF(B2192&amp;""='経歴簿'!$C$4&amp;"",MAX($AG$4:AG2191)+1,""))</f>
        <v/>
      </c>
      <c r="AH2192" s="20">
        <f>IF(A2192="",0,IF(AND(OR('CSV抽出'!$C$4="",A2192&gt;='CSV抽出'!$C$4),OR('CSV抽出'!$C$5="",A2192&lt;='CSV抽出'!$C$5),OR('CSV抽出'!$C$6="すべて",'CSV抽出'!$C$6="",D2192='CSV抽出'!$C$6),OR('CSV抽出'!$C$7="",B2192&amp;""='CSV抽出'!$C$7&amp;"")),1,0))</f>
        <v/>
      </c>
      <c r="AI2192" s="20">
        <f>IF(AH2192=1,SUM($AH$5:AH2192),"")</f>
        <v/>
      </c>
      <c r="AJ2192" s="20">
        <f>IF(OR(S2192="",'報告書'!$C$4=""),"",IF(S2192&amp;""='報告書'!$C$4&amp;"",COUNTIF($S$5:S2192,'報告書'!$C$4),""))</f>
        <v/>
      </c>
      <c r="AK2192" s="20" t="n"/>
      <c r="AL2192" s="47" t="n"/>
      <c r="AM2192" s="47" t="n"/>
      <c r="AN2192" s="53" t="n"/>
      <c r="AO2192" s="47" t="n"/>
      <c r="AP2192" s="47" t="n"/>
      <c r="AQ2192" s="47" t="n"/>
      <c r="AR2192" s="47" t="n"/>
      <c r="AS2192" s="47" t="n"/>
      <c r="AT2192" s="47" t="n"/>
      <c r="AU2192" s="47" t="n"/>
      <c r="AV2192" s="47" t="n"/>
      <c r="AW2192" s="52" t="n"/>
    </row>
    <row r="2193">
      <c r="A2193" s="48" t="n"/>
      <c r="B2193" s="52" t="n"/>
      <c r="C2193" s="47">
        <f>IF(B2193="","",IFERROR(INDEX('隊員マスタ'!$B$5:$B$204,MATCH(B2193&amp;"",'隊員マスタ'!$F$5:$F$204,0)),IF(AK2193="","番号なし",AK2193)))</f>
        <v/>
      </c>
      <c r="D2193" s="47" t="n"/>
      <c r="E2193" s="47" t="n"/>
      <c r="F2193" s="47" t="n"/>
      <c r="G2193" s="47" t="n"/>
      <c r="H2193" s="47" t="n"/>
      <c r="I2193" s="47" t="n"/>
      <c r="J2193" s="47" t="n"/>
      <c r="K2193" s="47" t="n"/>
      <c r="L2193" s="47" t="n"/>
      <c r="M2193" s="47" t="n"/>
      <c r="N2193" s="47" t="n"/>
      <c r="O2193" s="47" t="n"/>
      <c r="P2193" s="47" t="n"/>
      <c r="Q2193" s="47" t="n"/>
      <c r="R2193" s="47" t="n"/>
      <c r="S2193" s="47" t="n"/>
      <c r="T2193" s="47" t="n"/>
      <c r="U2193" s="53" t="n"/>
      <c r="V2193" s="53" t="n"/>
      <c r="W2193" s="47" t="n"/>
      <c r="X2193" s="47" t="n"/>
      <c r="Y2193" s="47" t="n"/>
      <c r="Z2193" s="47" t="n"/>
      <c r="AA2193" s="47" t="n"/>
      <c r="AB2193" s="47" t="n"/>
      <c r="AC2193" s="47" t="n"/>
      <c r="AD2193" s="47" t="n"/>
      <c r="AE2193" s="47" t="n"/>
      <c r="AF2193" s="20">
        <f>IF(A2193="","",YEAR(EDATE(A2193,-3)))</f>
        <v/>
      </c>
      <c r="AG2193" s="20">
        <f>IF(OR(B2193="",'経歴簿'!$C$4=""),"",IF(B2193&amp;""='経歴簿'!$C$4&amp;"",MAX($AG$4:AG2192)+1,""))</f>
        <v/>
      </c>
      <c r="AH2193" s="20">
        <f>IF(A2193="",0,IF(AND(OR('CSV抽出'!$C$4="",A2193&gt;='CSV抽出'!$C$4),OR('CSV抽出'!$C$5="",A2193&lt;='CSV抽出'!$C$5),OR('CSV抽出'!$C$6="すべて",'CSV抽出'!$C$6="",D2193='CSV抽出'!$C$6),OR('CSV抽出'!$C$7="",B2193&amp;""='CSV抽出'!$C$7&amp;"")),1,0))</f>
        <v/>
      </c>
      <c r="AI2193" s="20">
        <f>IF(AH2193=1,SUM($AH$5:AH2193),"")</f>
        <v/>
      </c>
      <c r="AJ2193" s="20">
        <f>IF(OR(S2193="",'報告書'!$C$4=""),"",IF(S2193&amp;""='報告書'!$C$4&amp;"",COUNTIF($S$5:S2193,'報告書'!$C$4),""))</f>
        <v/>
      </c>
      <c r="AK2193" s="20" t="n"/>
      <c r="AL2193" s="47" t="n"/>
      <c r="AM2193" s="47" t="n"/>
      <c r="AN2193" s="53" t="n"/>
      <c r="AO2193" s="47" t="n"/>
      <c r="AP2193" s="47" t="n"/>
      <c r="AQ2193" s="47" t="n"/>
      <c r="AR2193" s="47" t="n"/>
      <c r="AS2193" s="47" t="n"/>
      <c r="AT2193" s="47" t="n"/>
      <c r="AU2193" s="47" t="n"/>
      <c r="AV2193" s="47" t="n"/>
      <c r="AW2193" s="52" t="n"/>
    </row>
    <row r="2194">
      <c r="A2194" s="48" t="n"/>
      <c r="B2194" s="52" t="n"/>
      <c r="C2194" s="47">
        <f>IF(B2194="","",IFERROR(INDEX('隊員マスタ'!$B$5:$B$204,MATCH(B2194&amp;"",'隊員マスタ'!$F$5:$F$204,0)),IF(AK2194="","番号なし",AK2194)))</f>
        <v/>
      </c>
      <c r="D2194" s="47" t="n"/>
      <c r="E2194" s="47" t="n"/>
      <c r="F2194" s="47" t="n"/>
      <c r="G2194" s="47" t="n"/>
      <c r="H2194" s="47" t="n"/>
      <c r="I2194" s="47" t="n"/>
      <c r="J2194" s="47" t="n"/>
      <c r="K2194" s="47" t="n"/>
      <c r="L2194" s="47" t="n"/>
      <c r="M2194" s="47" t="n"/>
      <c r="N2194" s="47" t="n"/>
      <c r="O2194" s="47" t="n"/>
      <c r="P2194" s="47" t="n"/>
      <c r="Q2194" s="47" t="n"/>
      <c r="R2194" s="47" t="n"/>
      <c r="S2194" s="47" t="n"/>
      <c r="T2194" s="47" t="n"/>
      <c r="U2194" s="53" t="n"/>
      <c r="V2194" s="53" t="n"/>
      <c r="W2194" s="47" t="n"/>
      <c r="X2194" s="47" t="n"/>
      <c r="Y2194" s="47" t="n"/>
      <c r="Z2194" s="47" t="n"/>
      <c r="AA2194" s="47" t="n"/>
      <c r="AB2194" s="47" t="n"/>
      <c r="AC2194" s="47" t="n"/>
      <c r="AD2194" s="47" t="n"/>
      <c r="AE2194" s="47" t="n"/>
      <c r="AF2194" s="20">
        <f>IF(A2194="","",YEAR(EDATE(A2194,-3)))</f>
        <v/>
      </c>
      <c r="AG2194" s="20">
        <f>IF(OR(B2194="",'経歴簿'!$C$4=""),"",IF(B2194&amp;""='経歴簿'!$C$4&amp;"",MAX($AG$4:AG2193)+1,""))</f>
        <v/>
      </c>
      <c r="AH2194" s="20">
        <f>IF(A2194="",0,IF(AND(OR('CSV抽出'!$C$4="",A2194&gt;='CSV抽出'!$C$4),OR('CSV抽出'!$C$5="",A2194&lt;='CSV抽出'!$C$5),OR('CSV抽出'!$C$6="すべて",'CSV抽出'!$C$6="",D2194='CSV抽出'!$C$6),OR('CSV抽出'!$C$7="",B2194&amp;""='CSV抽出'!$C$7&amp;"")),1,0))</f>
        <v/>
      </c>
      <c r="AI2194" s="20">
        <f>IF(AH2194=1,SUM($AH$5:AH2194),"")</f>
        <v/>
      </c>
      <c r="AJ2194" s="20">
        <f>IF(OR(S2194="",'報告書'!$C$4=""),"",IF(S2194&amp;""='報告書'!$C$4&amp;"",COUNTIF($S$5:S2194,'報告書'!$C$4),""))</f>
        <v/>
      </c>
      <c r="AK2194" s="20" t="n"/>
      <c r="AL2194" s="47" t="n"/>
      <c r="AM2194" s="47" t="n"/>
      <c r="AN2194" s="53" t="n"/>
      <c r="AO2194" s="47" t="n"/>
      <c r="AP2194" s="47" t="n"/>
      <c r="AQ2194" s="47" t="n"/>
      <c r="AR2194" s="47" t="n"/>
      <c r="AS2194" s="47" t="n"/>
      <c r="AT2194" s="47" t="n"/>
      <c r="AU2194" s="47" t="n"/>
      <c r="AV2194" s="47" t="n"/>
      <c r="AW2194" s="52" t="n"/>
    </row>
    <row r="2195">
      <c r="A2195" s="48" t="n"/>
      <c r="B2195" s="52" t="n"/>
      <c r="C2195" s="47">
        <f>IF(B2195="","",IFERROR(INDEX('隊員マスタ'!$B$5:$B$204,MATCH(B2195&amp;"",'隊員マスタ'!$F$5:$F$204,0)),IF(AK2195="","番号なし",AK2195)))</f>
        <v/>
      </c>
      <c r="D2195" s="47" t="n"/>
      <c r="E2195" s="47" t="n"/>
      <c r="F2195" s="47" t="n"/>
      <c r="G2195" s="47" t="n"/>
      <c r="H2195" s="47" t="n"/>
      <c r="I2195" s="47" t="n"/>
      <c r="J2195" s="47" t="n"/>
      <c r="K2195" s="47" t="n"/>
      <c r="L2195" s="47" t="n"/>
      <c r="M2195" s="47" t="n"/>
      <c r="N2195" s="47" t="n"/>
      <c r="O2195" s="47" t="n"/>
      <c r="P2195" s="47" t="n"/>
      <c r="Q2195" s="47" t="n"/>
      <c r="R2195" s="47" t="n"/>
      <c r="S2195" s="47" t="n"/>
      <c r="T2195" s="47" t="n"/>
      <c r="U2195" s="53" t="n"/>
      <c r="V2195" s="53" t="n"/>
      <c r="W2195" s="47" t="n"/>
      <c r="X2195" s="47" t="n"/>
      <c r="Y2195" s="47" t="n"/>
      <c r="Z2195" s="47" t="n"/>
      <c r="AA2195" s="47" t="n"/>
      <c r="AB2195" s="47" t="n"/>
      <c r="AC2195" s="47" t="n"/>
      <c r="AD2195" s="47" t="n"/>
      <c r="AE2195" s="47" t="n"/>
      <c r="AF2195" s="20">
        <f>IF(A2195="","",YEAR(EDATE(A2195,-3)))</f>
        <v/>
      </c>
      <c r="AG2195" s="20">
        <f>IF(OR(B2195="",'経歴簿'!$C$4=""),"",IF(B2195&amp;""='経歴簿'!$C$4&amp;"",MAX($AG$4:AG2194)+1,""))</f>
        <v/>
      </c>
      <c r="AH2195" s="20">
        <f>IF(A2195="",0,IF(AND(OR('CSV抽出'!$C$4="",A2195&gt;='CSV抽出'!$C$4),OR('CSV抽出'!$C$5="",A2195&lt;='CSV抽出'!$C$5),OR('CSV抽出'!$C$6="すべて",'CSV抽出'!$C$6="",D2195='CSV抽出'!$C$6),OR('CSV抽出'!$C$7="",B2195&amp;""='CSV抽出'!$C$7&amp;"")),1,0))</f>
        <v/>
      </c>
      <c r="AI2195" s="20">
        <f>IF(AH2195=1,SUM($AH$5:AH2195),"")</f>
        <v/>
      </c>
      <c r="AJ2195" s="20">
        <f>IF(OR(S2195="",'報告書'!$C$4=""),"",IF(S2195&amp;""='報告書'!$C$4&amp;"",COUNTIF($S$5:S2195,'報告書'!$C$4),""))</f>
        <v/>
      </c>
      <c r="AK2195" s="20" t="n"/>
      <c r="AL2195" s="47" t="n"/>
      <c r="AM2195" s="47" t="n"/>
      <c r="AN2195" s="53" t="n"/>
      <c r="AO2195" s="47" t="n"/>
      <c r="AP2195" s="47" t="n"/>
      <c r="AQ2195" s="47" t="n"/>
      <c r="AR2195" s="47" t="n"/>
      <c r="AS2195" s="47" t="n"/>
      <c r="AT2195" s="47" t="n"/>
      <c r="AU2195" s="47" t="n"/>
      <c r="AV2195" s="47" t="n"/>
      <c r="AW2195" s="52" t="n"/>
    </row>
    <row r="2196">
      <c r="A2196" s="48" t="n"/>
      <c r="B2196" s="52" t="n"/>
      <c r="C2196" s="47">
        <f>IF(B2196="","",IFERROR(INDEX('隊員マスタ'!$B$5:$B$204,MATCH(B2196&amp;"",'隊員マスタ'!$F$5:$F$204,0)),IF(AK2196="","番号なし",AK2196)))</f>
        <v/>
      </c>
      <c r="D2196" s="47" t="n"/>
      <c r="E2196" s="47" t="n"/>
      <c r="F2196" s="47" t="n"/>
      <c r="G2196" s="47" t="n"/>
      <c r="H2196" s="47" t="n"/>
      <c r="I2196" s="47" t="n"/>
      <c r="J2196" s="47" t="n"/>
      <c r="K2196" s="47" t="n"/>
      <c r="L2196" s="47" t="n"/>
      <c r="M2196" s="47" t="n"/>
      <c r="N2196" s="47" t="n"/>
      <c r="O2196" s="47" t="n"/>
      <c r="P2196" s="47" t="n"/>
      <c r="Q2196" s="47" t="n"/>
      <c r="R2196" s="47" t="n"/>
      <c r="S2196" s="47" t="n"/>
      <c r="T2196" s="47" t="n"/>
      <c r="U2196" s="53" t="n"/>
      <c r="V2196" s="53" t="n"/>
      <c r="W2196" s="47" t="n"/>
      <c r="X2196" s="47" t="n"/>
      <c r="Y2196" s="47" t="n"/>
      <c r="Z2196" s="47" t="n"/>
      <c r="AA2196" s="47" t="n"/>
      <c r="AB2196" s="47" t="n"/>
      <c r="AC2196" s="47" t="n"/>
      <c r="AD2196" s="47" t="n"/>
      <c r="AE2196" s="47" t="n"/>
      <c r="AF2196" s="20">
        <f>IF(A2196="","",YEAR(EDATE(A2196,-3)))</f>
        <v/>
      </c>
      <c r="AG2196" s="20">
        <f>IF(OR(B2196="",'経歴簿'!$C$4=""),"",IF(B2196&amp;""='経歴簿'!$C$4&amp;"",MAX($AG$4:AG2195)+1,""))</f>
        <v/>
      </c>
      <c r="AH2196" s="20">
        <f>IF(A2196="",0,IF(AND(OR('CSV抽出'!$C$4="",A2196&gt;='CSV抽出'!$C$4),OR('CSV抽出'!$C$5="",A2196&lt;='CSV抽出'!$C$5),OR('CSV抽出'!$C$6="すべて",'CSV抽出'!$C$6="",D2196='CSV抽出'!$C$6),OR('CSV抽出'!$C$7="",B2196&amp;""='CSV抽出'!$C$7&amp;"")),1,0))</f>
        <v/>
      </c>
      <c r="AI2196" s="20">
        <f>IF(AH2196=1,SUM($AH$5:AH2196),"")</f>
        <v/>
      </c>
      <c r="AJ2196" s="20">
        <f>IF(OR(S2196="",'報告書'!$C$4=""),"",IF(S2196&amp;""='報告書'!$C$4&amp;"",COUNTIF($S$5:S2196,'報告書'!$C$4),""))</f>
        <v/>
      </c>
      <c r="AK2196" s="20" t="n"/>
      <c r="AL2196" s="47" t="n"/>
      <c r="AM2196" s="47" t="n"/>
      <c r="AN2196" s="53" t="n"/>
      <c r="AO2196" s="47" t="n"/>
      <c r="AP2196" s="47" t="n"/>
      <c r="AQ2196" s="47" t="n"/>
      <c r="AR2196" s="47" t="n"/>
      <c r="AS2196" s="47" t="n"/>
      <c r="AT2196" s="47" t="n"/>
      <c r="AU2196" s="47" t="n"/>
      <c r="AV2196" s="47" t="n"/>
      <c r="AW2196" s="52" t="n"/>
    </row>
    <row r="2197">
      <c r="A2197" s="48" t="n"/>
      <c r="B2197" s="52" t="n"/>
      <c r="C2197" s="47">
        <f>IF(B2197="","",IFERROR(INDEX('隊員マスタ'!$B$5:$B$204,MATCH(B2197&amp;"",'隊員マスタ'!$F$5:$F$204,0)),IF(AK2197="","番号なし",AK2197)))</f>
        <v/>
      </c>
      <c r="D2197" s="47" t="n"/>
      <c r="E2197" s="47" t="n"/>
      <c r="F2197" s="47" t="n"/>
      <c r="G2197" s="47" t="n"/>
      <c r="H2197" s="47" t="n"/>
      <c r="I2197" s="47" t="n"/>
      <c r="J2197" s="47" t="n"/>
      <c r="K2197" s="47" t="n"/>
      <c r="L2197" s="47" t="n"/>
      <c r="M2197" s="47" t="n"/>
      <c r="N2197" s="47" t="n"/>
      <c r="O2197" s="47" t="n"/>
      <c r="P2197" s="47" t="n"/>
      <c r="Q2197" s="47" t="n"/>
      <c r="R2197" s="47" t="n"/>
      <c r="S2197" s="47" t="n"/>
      <c r="T2197" s="47" t="n"/>
      <c r="U2197" s="53" t="n"/>
      <c r="V2197" s="53" t="n"/>
      <c r="W2197" s="47" t="n"/>
      <c r="X2197" s="47" t="n"/>
      <c r="Y2197" s="47" t="n"/>
      <c r="Z2197" s="47" t="n"/>
      <c r="AA2197" s="47" t="n"/>
      <c r="AB2197" s="47" t="n"/>
      <c r="AC2197" s="47" t="n"/>
      <c r="AD2197" s="47" t="n"/>
      <c r="AE2197" s="47" t="n"/>
      <c r="AF2197" s="20">
        <f>IF(A2197="","",YEAR(EDATE(A2197,-3)))</f>
        <v/>
      </c>
      <c r="AG2197" s="20">
        <f>IF(OR(B2197="",'経歴簿'!$C$4=""),"",IF(B2197&amp;""='経歴簿'!$C$4&amp;"",MAX($AG$4:AG2196)+1,""))</f>
        <v/>
      </c>
      <c r="AH2197" s="20">
        <f>IF(A2197="",0,IF(AND(OR('CSV抽出'!$C$4="",A2197&gt;='CSV抽出'!$C$4),OR('CSV抽出'!$C$5="",A2197&lt;='CSV抽出'!$C$5),OR('CSV抽出'!$C$6="すべて",'CSV抽出'!$C$6="",D2197='CSV抽出'!$C$6),OR('CSV抽出'!$C$7="",B2197&amp;""='CSV抽出'!$C$7&amp;"")),1,0))</f>
        <v/>
      </c>
      <c r="AI2197" s="20">
        <f>IF(AH2197=1,SUM($AH$5:AH2197),"")</f>
        <v/>
      </c>
      <c r="AJ2197" s="20">
        <f>IF(OR(S2197="",'報告書'!$C$4=""),"",IF(S2197&amp;""='報告書'!$C$4&amp;"",COUNTIF($S$5:S2197,'報告書'!$C$4),""))</f>
        <v/>
      </c>
      <c r="AK2197" s="20" t="n"/>
      <c r="AL2197" s="47" t="n"/>
      <c r="AM2197" s="47" t="n"/>
      <c r="AN2197" s="53" t="n"/>
      <c r="AO2197" s="47" t="n"/>
      <c r="AP2197" s="47" t="n"/>
      <c r="AQ2197" s="47" t="n"/>
      <c r="AR2197" s="47" t="n"/>
      <c r="AS2197" s="47" t="n"/>
      <c r="AT2197" s="47" t="n"/>
      <c r="AU2197" s="47" t="n"/>
      <c r="AV2197" s="47" t="n"/>
      <c r="AW2197" s="52" t="n"/>
    </row>
    <row r="2198">
      <c r="A2198" s="48" t="n"/>
      <c r="B2198" s="52" t="n"/>
      <c r="C2198" s="47">
        <f>IF(B2198="","",IFERROR(INDEX('隊員マスタ'!$B$5:$B$204,MATCH(B2198&amp;"",'隊員マスタ'!$F$5:$F$204,0)),IF(AK2198="","番号なし",AK2198)))</f>
        <v/>
      </c>
      <c r="D2198" s="47" t="n"/>
      <c r="E2198" s="47" t="n"/>
      <c r="F2198" s="47" t="n"/>
      <c r="G2198" s="47" t="n"/>
      <c r="H2198" s="47" t="n"/>
      <c r="I2198" s="47" t="n"/>
      <c r="J2198" s="47" t="n"/>
      <c r="K2198" s="47" t="n"/>
      <c r="L2198" s="47" t="n"/>
      <c r="M2198" s="47" t="n"/>
      <c r="N2198" s="47" t="n"/>
      <c r="O2198" s="47" t="n"/>
      <c r="P2198" s="47" t="n"/>
      <c r="Q2198" s="47" t="n"/>
      <c r="R2198" s="47" t="n"/>
      <c r="S2198" s="47" t="n"/>
      <c r="T2198" s="47" t="n"/>
      <c r="U2198" s="53" t="n"/>
      <c r="V2198" s="53" t="n"/>
      <c r="W2198" s="47" t="n"/>
      <c r="X2198" s="47" t="n"/>
      <c r="Y2198" s="47" t="n"/>
      <c r="Z2198" s="47" t="n"/>
      <c r="AA2198" s="47" t="n"/>
      <c r="AB2198" s="47" t="n"/>
      <c r="AC2198" s="47" t="n"/>
      <c r="AD2198" s="47" t="n"/>
      <c r="AE2198" s="47" t="n"/>
      <c r="AF2198" s="20">
        <f>IF(A2198="","",YEAR(EDATE(A2198,-3)))</f>
        <v/>
      </c>
      <c r="AG2198" s="20">
        <f>IF(OR(B2198="",'経歴簿'!$C$4=""),"",IF(B2198&amp;""='経歴簿'!$C$4&amp;"",MAX($AG$4:AG2197)+1,""))</f>
        <v/>
      </c>
      <c r="AH2198" s="20">
        <f>IF(A2198="",0,IF(AND(OR('CSV抽出'!$C$4="",A2198&gt;='CSV抽出'!$C$4),OR('CSV抽出'!$C$5="",A2198&lt;='CSV抽出'!$C$5),OR('CSV抽出'!$C$6="すべて",'CSV抽出'!$C$6="",D2198='CSV抽出'!$C$6),OR('CSV抽出'!$C$7="",B2198&amp;""='CSV抽出'!$C$7&amp;"")),1,0))</f>
        <v/>
      </c>
      <c r="AI2198" s="20">
        <f>IF(AH2198=1,SUM($AH$5:AH2198),"")</f>
        <v/>
      </c>
      <c r="AJ2198" s="20">
        <f>IF(OR(S2198="",'報告書'!$C$4=""),"",IF(S2198&amp;""='報告書'!$C$4&amp;"",COUNTIF($S$5:S2198,'報告書'!$C$4),""))</f>
        <v/>
      </c>
      <c r="AK2198" s="20" t="n"/>
      <c r="AL2198" s="47" t="n"/>
      <c r="AM2198" s="47" t="n"/>
      <c r="AN2198" s="53" t="n"/>
      <c r="AO2198" s="47" t="n"/>
      <c r="AP2198" s="47" t="n"/>
      <c r="AQ2198" s="47" t="n"/>
      <c r="AR2198" s="47" t="n"/>
      <c r="AS2198" s="47" t="n"/>
      <c r="AT2198" s="47" t="n"/>
      <c r="AU2198" s="47" t="n"/>
      <c r="AV2198" s="47" t="n"/>
      <c r="AW2198" s="52" t="n"/>
    </row>
    <row r="2199">
      <c r="A2199" s="48" t="n"/>
      <c r="B2199" s="52" t="n"/>
      <c r="C2199" s="47">
        <f>IF(B2199="","",IFERROR(INDEX('隊員マスタ'!$B$5:$B$204,MATCH(B2199&amp;"",'隊員マスタ'!$F$5:$F$204,0)),IF(AK2199="","番号なし",AK2199)))</f>
        <v/>
      </c>
      <c r="D2199" s="47" t="n"/>
      <c r="E2199" s="47" t="n"/>
      <c r="F2199" s="47" t="n"/>
      <c r="G2199" s="47" t="n"/>
      <c r="H2199" s="47" t="n"/>
      <c r="I2199" s="47" t="n"/>
      <c r="J2199" s="47" t="n"/>
      <c r="K2199" s="47" t="n"/>
      <c r="L2199" s="47" t="n"/>
      <c r="M2199" s="47" t="n"/>
      <c r="N2199" s="47" t="n"/>
      <c r="O2199" s="47" t="n"/>
      <c r="P2199" s="47" t="n"/>
      <c r="Q2199" s="47" t="n"/>
      <c r="R2199" s="47" t="n"/>
      <c r="S2199" s="47" t="n"/>
      <c r="T2199" s="47" t="n"/>
      <c r="U2199" s="53" t="n"/>
      <c r="V2199" s="53" t="n"/>
      <c r="W2199" s="47" t="n"/>
      <c r="X2199" s="47" t="n"/>
      <c r="Y2199" s="47" t="n"/>
      <c r="Z2199" s="47" t="n"/>
      <c r="AA2199" s="47" t="n"/>
      <c r="AB2199" s="47" t="n"/>
      <c r="AC2199" s="47" t="n"/>
      <c r="AD2199" s="47" t="n"/>
      <c r="AE2199" s="47" t="n"/>
      <c r="AF2199" s="20">
        <f>IF(A2199="","",YEAR(EDATE(A2199,-3)))</f>
        <v/>
      </c>
      <c r="AG2199" s="20">
        <f>IF(OR(B2199="",'経歴簿'!$C$4=""),"",IF(B2199&amp;""='経歴簿'!$C$4&amp;"",MAX($AG$4:AG2198)+1,""))</f>
        <v/>
      </c>
      <c r="AH2199" s="20">
        <f>IF(A2199="",0,IF(AND(OR('CSV抽出'!$C$4="",A2199&gt;='CSV抽出'!$C$4),OR('CSV抽出'!$C$5="",A2199&lt;='CSV抽出'!$C$5),OR('CSV抽出'!$C$6="すべて",'CSV抽出'!$C$6="",D2199='CSV抽出'!$C$6),OR('CSV抽出'!$C$7="",B2199&amp;""='CSV抽出'!$C$7&amp;"")),1,0))</f>
        <v/>
      </c>
      <c r="AI2199" s="20">
        <f>IF(AH2199=1,SUM($AH$5:AH2199),"")</f>
        <v/>
      </c>
      <c r="AJ2199" s="20">
        <f>IF(OR(S2199="",'報告書'!$C$4=""),"",IF(S2199&amp;""='報告書'!$C$4&amp;"",COUNTIF($S$5:S2199,'報告書'!$C$4),""))</f>
        <v/>
      </c>
      <c r="AK2199" s="20" t="n"/>
      <c r="AL2199" s="47" t="n"/>
      <c r="AM2199" s="47" t="n"/>
      <c r="AN2199" s="53" t="n"/>
      <c r="AO2199" s="47" t="n"/>
      <c r="AP2199" s="47" t="n"/>
      <c r="AQ2199" s="47" t="n"/>
      <c r="AR2199" s="47" t="n"/>
      <c r="AS2199" s="47" t="n"/>
      <c r="AT2199" s="47" t="n"/>
      <c r="AU2199" s="47" t="n"/>
      <c r="AV2199" s="47" t="n"/>
      <c r="AW2199" s="52" t="n"/>
    </row>
    <row r="2200">
      <c r="A2200" s="48" t="n"/>
      <c r="B2200" s="52" t="n"/>
      <c r="C2200" s="47">
        <f>IF(B2200="","",IFERROR(INDEX('隊員マスタ'!$B$5:$B$204,MATCH(B2200&amp;"",'隊員マスタ'!$F$5:$F$204,0)),IF(AK2200="","番号なし",AK2200)))</f>
        <v/>
      </c>
      <c r="D2200" s="47" t="n"/>
      <c r="E2200" s="47" t="n"/>
      <c r="F2200" s="47" t="n"/>
      <c r="G2200" s="47" t="n"/>
      <c r="H2200" s="47" t="n"/>
      <c r="I2200" s="47" t="n"/>
      <c r="J2200" s="47" t="n"/>
      <c r="K2200" s="47" t="n"/>
      <c r="L2200" s="47" t="n"/>
      <c r="M2200" s="47" t="n"/>
      <c r="N2200" s="47" t="n"/>
      <c r="O2200" s="47" t="n"/>
      <c r="P2200" s="47" t="n"/>
      <c r="Q2200" s="47" t="n"/>
      <c r="R2200" s="47" t="n"/>
      <c r="S2200" s="47" t="n"/>
      <c r="T2200" s="47" t="n"/>
      <c r="U2200" s="53" t="n"/>
      <c r="V2200" s="53" t="n"/>
      <c r="W2200" s="47" t="n"/>
      <c r="X2200" s="47" t="n"/>
      <c r="Y2200" s="47" t="n"/>
      <c r="Z2200" s="47" t="n"/>
      <c r="AA2200" s="47" t="n"/>
      <c r="AB2200" s="47" t="n"/>
      <c r="AC2200" s="47" t="n"/>
      <c r="AD2200" s="47" t="n"/>
      <c r="AE2200" s="47" t="n"/>
      <c r="AF2200" s="20">
        <f>IF(A2200="","",YEAR(EDATE(A2200,-3)))</f>
        <v/>
      </c>
      <c r="AG2200" s="20">
        <f>IF(OR(B2200="",'経歴簿'!$C$4=""),"",IF(B2200&amp;""='経歴簿'!$C$4&amp;"",MAX($AG$4:AG2199)+1,""))</f>
        <v/>
      </c>
      <c r="AH2200" s="20">
        <f>IF(A2200="",0,IF(AND(OR('CSV抽出'!$C$4="",A2200&gt;='CSV抽出'!$C$4),OR('CSV抽出'!$C$5="",A2200&lt;='CSV抽出'!$C$5),OR('CSV抽出'!$C$6="すべて",'CSV抽出'!$C$6="",D2200='CSV抽出'!$C$6),OR('CSV抽出'!$C$7="",B2200&amp;""='CSV抽出'!$C$7&amp;"")),1,0))</f>
        <v/>
      </c>
      <c r="AI2200" s="20">
        <f>IF(AH2200=1,SUM($AH$5:AH2200),"")</f>
        <v/>
      </c>
      <c r="AJ2200" s="20">
        <f>IF(OR(S2200="",'報告書'!$C$4=""),"",IF(S2200&amp;""='報告書'!$C$4&amp;"",COUNTIF($S$5:S2200,'報告書'!$C$4),""))</f>
        <v/>
      </c>
      <c r="AK2200" s="20" t="n"/>
      <c r="AL2200" s="47" t="n"/>
      <c r="AM2200" s="47" t="n"/>
      <c r="AN2200" s="53" t="n"/>
      <c r="AO2200" s="47" t="n"/>
      <c r="AP2200" s="47" t="n"/>
      <c r="AQ2200" s="47" t="n"/>
      <c r="AR2200" s="47" t="n"/>
      <c r="AS2200" s="47" t="n"/>
      <c r="AT2200" s="47" t="n"/>
      <c r="AU2200" s="47" t="n"/>
      <c r="AV2200" s="47" t="n"/>
      <c r="AW2200" s="52" t="n"/>
    </row>
    <row r="2201">
      <c r="A2201" s="48" t="n"/>
      <c r="B2201" s="52" t="n"/>
      <c r="C2201" s="47">
        <f>IF(B2201="","",IFERROR(INDEX('隊員マスタ'!$B$5:$B$204,MATCH(B2201&amp;"",'隊員マスタ'!$F$5:$F$204,0)),IF(AK2201="","番号なし",AK2201)))</f>
        <v/>
      </c>
      <c r="D2201" s="47" t="n"/>
      <c r="E2201" s="47" t="n"/>
      <c r="F2201" s="47" t="n"/>
      <c r="G2201" s="47" t="n"/>
      <c r="H2201" s="47" t="n"/>
      <c r="I2201" s="47" t="n"/>
      <c r="J2201" s="47" t="n"/>
      <c r="K2201" s="47" t="n"/>
      <c r="L2201" s="47" t="n"/>
      <c r="M2201" s="47" t="n"/>
      <c r="N2201" s="47" t="n"/>
      <c r="O2201" s="47" t="n"/>
      <c r="P2201" s="47" t="n"/>
      <c r="Q2201" s="47" t="n"/>
      <c r="R2201" s="47" t="n"/>
      <c r="S2201" s="47" t="n"/>
      <c r="T2201" s="47" t="n"/>
      <c r="U2201" s="53" t="n"/>
      <c r="V2201" s="53" t="n"/>
      <c r="W2201" s="47" t="n"/>
      <c r="X2201" s="47" t="n"/>
      <c r="Y2201" s="47" t="n"/>
      <c r="Z2201" s="47" t="n"/>
      <c r="AA2201" s="47" t="n"/>
      <c r="AB2201" s="47" t="n"/>
      <c r="AC2201" s="47" t="n"/>
      <c r="AD2201" s="47" t="n"/>
      <c r="AE2201" s="47" t="n"/>
      <c r="AF2201" s="20">
        <f>IF(A2201="","",YEAR(EDATE(A2201,-3)))</f>
        <v/>
      </c>
      <c r="AG2201" s="20">
        <f>IF(OR(B2201="",'経歴簿'!$C$4=""),"",IF(B2201&amp;""='経歴簿'!$C$4&amp;"",MAX($AG$4:AG2200)+1,""))</f>
        <v/>
      </c>
      <c r="AH2201" s="20">
        <f>IF(A2201="",0,IF(AND(OR('CSV抽出'!$C$4="",A2201&gt;='CSV抽出'!$C$4),OR('CSV抽出'!$C$5="",A2201&lt;='CSV抽出'!$C$5),OR('CSV抽出'!$C$6="すべて",'CSV抽出'!$C$6="",D2201='CSV抽出'!$C$6),OR('CSV抽出'!$C$7="",B2201&amp;""='CSV抽出'!$C$7&amp;"")),1,0))</f>
        <v/>
      </c>
      <c r="AI2201" s="20">
        <f>IF(AH2201=1,SUM($AH$5:AH2201),"")</f>
        <v/>
      </c>
      <c r="AJ2201" s="20">
        <f>IF(OR(S2201="",'報告書'!$C$4=""),"",IF(S2201&amp;""='報告書'!$C$4&amp;"",COUNTIF($S$5:S2201,'報告書'!$C$4),""))</f>
        <v/>
      </c>
      <c r="AK2201" s="20" t="n"/>
      <c r="AL2201" s="47" t="n"/>
      <c r="AM2201" s="47" t="n"/>
      <c r="AN2201" s="53" t="n"/>
      <c r="AO2201" s="47" t="n"/>
      <c r="AP2201" s="47" t="n"/>
      <c r="AQ2201" s="47" t="n"/>
      <c r="AR2201" s="47" t="n"/>
      <c r="AS2201" s="47" t="n"/>
      <c r="AT2201" s="47" t="n"/>
      <c r="AU2201" s="47" t="n"/>
      <c r="AV2201" s="47" t="n"/>
      <c r="AW2201" s="52" t="n"/>
    </row>
    <row r="2202">
      <c r="A2202" s="48" t="n"/>
      <c r="B2202" s="52" t="n"/>
      <c r="C2202" s="47">
        <f>IF(B2202="","",IFERROR(INDEX('隊員マスタ'!$B$5:$B$204,MATCH(B2202&amp;"",'隊員マスタ'!$F$5:$F$204,0)),IF(AK2202="","番号なし",AK2202)))</f>
        <v/>
      </c>
      <c r="D2202" s="47" t="n"/>
      <c r="E2202" s="47" t="n"/>
      <c r="F2202" s="47" t="n"/>
      <c r="G2202" s="47" t="n"/>
      <c r="H2202" s="47" t="n"/>
      <c r="I2202" s="47" t="n"/>
      <c r="J2202" s="47" t="n"/>
      <c r="K2202" s="47" t="n"/>
      <c r="L2202" s="47" t="n"/>
      <c r="M2202" s="47" t="n"/>
      <c r="N2202" s="47" t="n"/>
      <c r="O2202" s="47" t="n"/>
      <c r="P2202" s="47" t="n"/>
      <c r="Q2202" s="47" t="n"/>
      <c r="R2202" s="47" t="n"/>
      <c r="S2202" s="47" t="n"/>
      <c r="T2202" s="47" t="n"/>
      <c r="U2202" s="53" t="n"/>
      <c r="V2202" s="53" t="n"/>
      <c r="W2202" s="47" t="n"/>
      <c r="X2202" s="47" t="n"/>
      <c r="Y2202" s="47" t="n"/>
      <c r="Z2202" s="47" t="n"/>
      <c r="AA2202" s="47" t="n"/>
      <c r="AB2202" s="47" t="n"/>
      <c r="AC2202" s="47" t="n"/>
      <c r="AD2202" s="47" t="n"/>
      <c r="AE2202" s="47" t="n"/>
      <c r="AF2202" s="20">
        <f>IF(A2202="","",YEAR(EDATE(A2202,-3)))</f>
        <v/>
      </c>
      <c r="AG2202" s="20">
        <f>IF(OR(B2202="",'経歴簿'!$C$4=""),"",IF(B2202&amp;""='経歴簿'!$C$4&amp;"",MAX($AG$4:AG2201)+1,""))</f>
        <v/>
      </c>
      <c r="AH2202" s="20">
        <f>IF(A2202="",0,IF(AND(OR('CSV抽出'!$C$4="",A2202&gt;='CSV抽出'!$C$4),OR('CSV抽出'!$C$5="",A2202&lt;='CSV抽出'!$C$5),OR('CSV抽出'!$C$6="すべて",'CSV抽出'!$C$6="",D2202='CSV抽出'!$C$6),OR('CSV抽出'!$C$7="",B2202&amp;""='CSV抽出'!$C$7&amp;"")),1,0))</f>
        <v/>
      </c>
      <c r="AI2202" s="20">
        <f>IF(AH2202=1,SUM($AH$5:AH2202),"")</f>
        <v/>
      </c>
      <c r="AJ2202" s="20">
        <f>IF(OR(S2202="",'報告書'!$C$4=""),"",IF(S2202&amp;""='報告書'!$C$4&amp;"",COUNTIF($S$5:S2202,'報告書'!$C$4),""))</f>
        <v/>
      </c>
      <c r="AK2202" s="20" t="n"/>
      <c r="AL2202" s="47" t="n"/>
      <c r="AM2202" s="47" t="n"/>
      <c r="AN2202" s="53" t="n"/>
      <c r="AO2202" s="47" t="n"/>
      <c r="AP2202" s="47" t="n"/>
      <c r="AQ2202" s="47" t="n"/>
      <c r="AR2202" s="47" t="n"/>
      <c r="AS2202" s="47" t="n"/>
      <c r="AT2202" s="47" t="n"/>
      <c r="AU2202" s="47" t="n"/>
      <c r="AV2202" s="47" t="n"/>
      <c r="AW2202" s="52" t="n"/>
    </row>
    <row r="2203">
      <c r="A2203" s="48" t="n"/>
      <c r="B2203" s="52" t="n"/>
      <c r="C2203" s="47">
        <f>IF(B2203="","",IFERROR(INDEX('隊員マスタ'!$B$5:$B$204,MATCH(B2203&amp;"",'隊員マスタ'!$F$5:$F$204,0)),IF(AK2203="","番号なし",AK2203)))</f>
        <v/>
      </c>
      <c r="D2203" s="47" t="n"/>
      <c r="E2203" s="47" t="n"/>
      <c r="F2203" s="47" t="n"/>
      <c r="G2203" s="47" t="n"/>
      <c r="H2203" s="47" t="n"/>
      <c r="I2203" s="47" t="n"/>
      <c r="J2203" s="47" t="n"/>
      <c r="K2203" s="47" t="n"/>
      <c r="L2203" s="47" t="n"/>
      <c r="M2203" s="47" t="n"/>
      <c r="N2203" s="47" t="n"/>
      <c r="O2203" s="47" t="n"/>
      <c r="P2203" s="47" t="n"/>
      <c r="Q2203" s="47" t="n"/>
      <c r="R2203" s="47" t="n"/>
      <c r="S2203" s="47" t="n"/>
      <c r="T2203" s="47" t="n"/>
      <c r="U2203" s="53" t="n"/>
      <c r="V2203" s="53" t="n"/>
      <c r="W2203" s="47" t="n"/>
      <c r="X2203" s="47" t="n"/>
      <c r="Y2203" s="47" t="n"/>
      <c r="Z2203" s="47" t="n"/>
      <c r="AA2203" s="47" t="n"/>
      <c r="AB2203" s="47" t="n"/>
      <c r="AC2203" s="47" t="n"/>
      <c r="AD2203" s="47" t="n"/>
      <c r="AE2203" s="47" t="n"/>
      <c r="AF2203" s="20">
        <f>IF(A2203="","",YEAR(EDATE(A2203,-3)))</f>
        <v/>
      </c>
      <c r="AG2203" s="20">
        <f>IF(OR(B2203="",'経歴簿'!$C$4=""),"",IF(B2203&amp;""='経歴簿'!$C$4&amp;"",MAX($AG$4:AG2202)+1,""))</f>
        <v/>
      </c>
      <c r="AH2203" s="20">
        <f>IF(A2203="",0,IF(AND(OR('CSV抽出'!$C$4="",A2203&gt;='CSV抽出'!$C$4),OR('CSV抽出'!$C$5="",A2203&lt;='CSV抽出'!$C$5),OR('CSV抽出'!$C$6="すべて",'CSV抽出'!$C$6="",D2203='CSV抽出'!$C$6),OR('CSV抽出'!$C$7="",B2203&amp;""='CSV抽出'!$C$7&amp;"")),1,0))</f>
        <v/>
      </c>
      <c r="AI2203" s="20">
        <f>IF(AH2203=1,SUM($AH$5:AH2203),"")</f>
        <v/>
      </c>
      <c r="AJ2203" s="20">
        <f>IF(OR(S2203="",'報告書'!$C$4=""),"",IF(S2203&amp;""='報告書'!$C$4&amp;"",COUNTIF($S$5:S2203,'報告書'!$C$4),""))</f>
        <v/>
      </c>
      <c r="AK2203" s="20" t="n"/>
      <c r="AL2203" s="47" t="n"/>
      <c r="AM2203" s="47" t="n"/>
      <c r="AN2203" s="53" t="n"/>
      <c r="AO2203" s="47" t="n"/>
      <c r="AP2203" s="47" t="n"/>
      <c r="AQ2203" s="47" t="n"/>
      <c r="AR2203" s="47" t="n"/>
      <c r="AS2203" s="47" t="n"/>
      <c r="AT2203" s="47" t="n"/>
      <c r="AU2203" s="47" t="n"/>
      <c r="AV2203" s="47" t="n"/>
      <c r="AW2203" s="52" t="n"/>
    </row>
    <row r="2204">
      <c r="A2204" s="48" t="n"/>
      <c r="B2204" s="52" t="n"/>
      <c r="C2204" s="47">
        <f>IF(B2204="","",IFERROR(INDEX('隊員マスタ'!$B$5:$B$204,MATCH(B2204&amp;"",'隊員マスタ'!$F$5:$F$204,0)),IF(AK2204="","番号なし",AK2204)))</f>
        <v/>
      </c>
      <c r="D2204" s="47" t="n"/>
      <c r="E2204" s="47" t="n"/>
      <c r="F2204" s="47" t="n"/>
      <c r="G2204" s="47" t="n"/>
      <c r="H2204" s="47" t="n"/>
      <c r="I2204" s="47" t="n"/>
      <c r="J2204" s="47" t="n"/>
      <c r="K2204" s="47" t="n"/>
      <c r="L2204" s="47" t="n"/>
      <c r="M2204" s="47" t="n"/>
      <c r="N2204" s="47" t="n"/>
      <c r="O2204" s="47" t="n"/>
      <c r="P2204" s="47" t="n"/>
      <c r="Q2204" s="47" t="n"/>
      <c r="R2204" s="47" t="n"/>
      <c r="S2204" s="47" t="n"/>
      <c r="T2204" s="47" t="n"/>
      <c r="U2204" s="53" t="n"/>
      <c r="V2204" s="53" t="n"/>
      <c r="W2204" s="47" t="n"/>
      <c r="X2204" s="47" t="n"/>
      <c r="Y2204" s="47" t="n"/>
      <c r="Z2204" s="47" t="n"/>
      <c r="AA2204" s="47" t="n"/>
      <c r="AB2204" s="47" t="n"/>
      <c r="AC2204" s="47" t="n"/>
      <c r="AD2204" s="47" t="n"/>
      <c r="AE2204" s="47" t="n"/>
      <c r="AF2204" s="20">
        <f>IF(A2204="","",YEAR(EDATE(A2204,-3)))</f>
        <v/>
      </c>
      <c r="AG2204" s="20">
        <f>IF(OR(B2204="",'経歴簿'!$C$4=""),"",IF(B2204&amp;""='経歴簿'!$C$4&amp;"",MAX($AG$4:AG2203)+1,""))</f>
        <v/>
      </c>
      <c r="AH2204" s="20">
        <f>IF(A2204="",0,IF(AND(OR('CSV抽出'!$C$4="",A2204&gt;='CSV抽出'!$C$4),OR('CSV抽出'!$C$5="",A2204&lt;='CSV抽出'!$C$5),OR('CSV抽出'!$C$6="すべて",'CSV抽出'!$C$6="",D2204='CSV抽出'!$C$6),OR('CSV抽出'!$C$7="",B2204&amp;""='CSV抽出'!$C$7&amp;"")),1,0))</f>
        <v/>
      </c>
      <c r="AI2204" s="20">
        <f>IF(AH2204=1,SUM($AH$5:AH2204),"")</f>
        <v/>
      </c>
      <c r="AJ2204" s="20">
        <f>IF(OR(S2204="",'報告書'!$C$4=""),"",IF(S2204&amp;""='報告書'!$C$4&amp;"",COUNTIF($S$5:S2204,'報告書'!$C$4),""))</f>
        <v/>
      </c>
      <c r="AK2204" s="20" t="n"/>
      <c r="AL2204" s="47" t="n"/>
      <c r="AM2204" s="47" t="n"/>
      <c r="AN2204" s="53" t="n"/>
      <c r="AO2204" s="47" t="n"/>
      <c r="AP2204" s="47" t="n"/>
      <c r="AQ2204" s="47" t="n"/>
      <c r="AR2204" s="47" t="n"/>
      <c r="AS2204" s="47" t="n"/>
      <c r="AT2204" s="47" t="n"/>
      <c r="AU2204" s="47" t="n"/>
      <c r="AV2204" s="47" t="n"/>
      <c r="AW2204" s="52" t="n"/>
    </row>
    <row r="2205">
      <c r="A2205" s="48" t="n"/>
      <c r="B2205" s="52" t="n"/>
      <c r="C2205" s="47">
        <f>IF(B2205="","",IFERROR(INDEX('隊員マスタ'!$B$5:$B$204,MATCH(B2205&amp;"",'隊員マスタ'!$F$5:$F$204,0)),IF(AK2205="","番号なし",AK2205)))</f>
        <v/>
      </c>
      <c r="D2205" s="47" t="n"/>
      <c r="E2205" s="47" t="n"/>
      <c r="F2205" s="47" t="n"/>
      <c r="G2205" s="47" t="n"/>
      <c r="H2205" s="47" t="n"/>
      <c r="I2205" s="47" t="n"/>
      <c r="J2205" s="47" t="n"/>
      <c r="K2205" s="47" t="n"/>
      <c r="L2205" s="47" t="n"/>
      <c r="M2205" s="47" t="n"/>
      <c r="N2205" s="47" t="n"/>
      <c r="O2205" s="47" t="n"/>
      <c r="P2205" s="47" t="n"/>
      <c r="Q2205" s="47" t="n"/>
      <c r="R2205" s="47" t="n"/>
      <c r="S2205" s="47" t="n"/>
      <c r="T2205" s="47" t="n"/>
      <c r="U2205" s="53" t="n"/>
      <c r="V2205" s="53" t="n"/>
      <c r="W2205" s="47" t="n"/>
      <c r="X2205" s="47" t="n"/>
      <c r="Y2205" s="47" t="n"/>
      <c r="Z2205" s="47" t="n"/>
      <c r="AA2205" s="47" t="n"/>
      <c r="AB2205" s="47" t="n"/>
      <c r="AC2205" s="47" t="n"/>
      <c r="AD2205" s="47" t="n"/>
      <c r="AE2205" s="47" t="n"/>
      <c r="AF2205" s="20">
        <f>IF(A2205="","",YEAR(EDATE(A2205,-3)))</f>
        <v/>
      </c>
      <c r="AG2205" s="20">
        <f>IF(OR(B2205="",'経歴簿'!$C$4=""),"",IF(B2205&amp;""='経歴簿'!$C$4&amp;"",MAX($AG$4:AG2204)+1,""))</f>
        <v/>
      </c>
      <c r="AH2205" s="20">
        <f>IF(A2205="",0,IF(AND(OR('CSV抽出'!$C$4="",A2205&gt;='CSV抽出'!$C$4),OR('CSV抽出'!$C$5="",A2205&lt;='CSV抽出'!$C$5),OR('CSV抽出'!$C$6="すべて",'CSV抽出'!$C$6="",D2205='CSV抽出'!$C$6),OR('CSV抽出'!$C$7="",B2205&amp;""='CSV抽出'!$C$7&amp;"")),1,0))</f>
        <v/>
      </c>
      <c r="AI2205" s="20">
        <f>IF(AH2205=1,SUM($AH$5:AH2205),"")</f>
        <v/>
      </c>
      <c r="AJ2205" s="20">
        <f>IF(OR(S2205="",'報告書'!$C$4=""),"",IF(S2205&amp;""='報告書'!$C$4&amp;"",COUNTIF($S$5:S2205,'報告書'!$C$4),""))</f>
        <v/>
      </c>
      <c r="AK2205" s="20" t="n"/>
      <c r="AL2205" s="47" t="n"/>
      <c r="AM2205" s="47" t="n"/>
      <c r="AN2205" s="53" t="n"/>
      <c r="AO2205" s="47" t="n"/>
      <c r="AP2205" s="47" t="n"/>
      <c r="AQ2205" s="47" t="n"/>
      <c r="AR2205" s="47" t="n"/>
      <c r="AS2205" s="47" t="n"/>
      <c r="AT2205" s="47" t="n"/>
      <c r="AU2205" s="47" t="n"/>
      <c r="AV2205" s="47" t="n"/>
      <c r="AW2205" s="52" t="n"/>
    </row>
    <row r="2206">
      <c r="A2206" s="48" t="n"/>
      <c r="B2206" s="52" t="n"/>
      <c r="C2206" s="47">
        <f>IF(B2206="","",IFERROR(INDEX('隊員マスタ'!$B$5:$B$204,MATCH(B2206&amp;"",'隊員マスタ'!$F$5:$F$204,0)),IF(AK2206="","番号なし",AK2206)))</f>
        <v/>
      </c>
      <c r="D2206" s="47" t="n"/>
      <c r="E2206" s="47" t="n"/>
      <c r="F2206" s="47" t="n"/>
      <c r="G2206" s="47" t="n"/>
      <c r="H2206" s="47" t="n"/>
      <c r="I2206" s="47" t="n"/>
      <c r="J2206" s="47" t="n"/>
      <c r="K2206" s="47" t="n"/>
      <c r="L2206" s="47" t="n"/>
      <c r="M2206" s="47" t="n"/>
      <c r="N2206" s="47" t="n"/>
      <c r="O2206" s="47" t="n"/>
      <c r="P2206" s="47" t="n"/>
      <c r="Q2206" s="47" t="n"/>
      <c r="R2206" s="47" t="n"/>
      <c r="S2206" s="47" t="n"/>
      <c r="T2206" s="47" t="n"/>
      <c r="U2206" s="53" t="n"/>
      <c r="V2206" s="53" t="n"/>
      <c r="W2206" s="47" t="n"/>
      <c r="X2206" s="47" t="n"/>
      <c r="Y2206" s="47" t="n"/>
      <c r="Z2206" s="47" t="n"/>
      <c r="AA2206" s="47" t="n"/>
      <c r="AB2206" s="47" t="n"/>
      <c r="AC2206" s="47" t="n"/>
      <c r="AD2206" s="47" t="n"/>
      <c r="AE2206" s="47" t="n"/>
      <c r="AF2206" s="20">
        <f>IF(A2206="","",YEAR(EDATE(A2206,-3)))</f>
        <v/>
      </c>
      <c r="AG2206" s="20">
        <f>IF(OR(B2206="",'経歴簿'!$C$4=""),"",IF(B2206&amp;""='経歴簿'!$C$4&amp;"",MAX($AG$4:AG2205)+1,""))</f>
        <v/>
      </c>
      <c r="AH2206" s="20">
        <f>IF(A2206="",0,IF(AND(OR('CSV抽出'!$C$4="",A2206&gt;='CSV抽出'!$C$4),OR('CSV抽出'!$C$5="",A2206&lt;='CSV抽出'!$C$5),OR('CSV抽出'!$C$6="すべて",'CSV抽出'!$C$6="",D2206='CSV抽出'!$C$6),OR('CSV抽出'!$C$7="",B2206&amp;""='CSV抽出'!$C$7&amp;"")),1,0))</f>
        <v/>
      </c>
      <c r="AI2206" s="20">
        <f>IF(AH2206=1,SUM($AH$5:AH2206),"")</f>
        <v/>
      </c>
      <c r="AJ2206" s="20">
        <f>IF(OR(S2206="",'報告書'!$C$4=""),"",IF(S2206&amp;""='報告書'!$C$4&amp;"",COUNTIF($S$5:S2206,'報告書'!$C$4),""))</f>
        <v/>
      </c>
      <c r="AK2206" s="20" t="n"/>
      <c r="AL2206" s="47" t="n"/>
      <c r="AM2206" s="47" t="n"/>
      <c r="AN2206" s="53" t="n"/>
      <c r="AO2206" s="47" t="n"/>
      <c r="AP2206" s="47" t="n"/>
      <c r="AQ2206" s="47" t="n"/>
      <c r="AR2206" s="47" t="n"/>
      <c r="AS2206" s="47" t="n"/>
      <c r="AT2206" s="47" t="n"/>
      <c r="AU2206" s="47" t="n"/>
      <c r="AV2206" s="47" t="n"/>
      <c r="AW2206" s="52" t="n"/>
    </row>
    <row r="2207">
      <c r="A2207" s="48" t="n"/>
      <c r="B2207" s="52" t="n"/>
      <c r="C2207" s="47">
        <f>IF(B2207="","",IFERROR(INDEX('隊員マスタ'!$B$5:$B$204,MATCH(B2207&amp;"",'隊員マスタ'!$F$5:$F$204,0)),IF(AK2207="","番号なし",AK2207)))</f>
        <v/>
      </c>
      <c r="D2207" s="47" t="n"/>
      <c r="E2207" s="47" t="n"/>
      <c r="F2207" s="47" t="n"/>
      <c r="G2207" s="47" t="n"/>
      <c r="H2207" s="47" t="n"/>
      <c r="I2207" s="47" t="n"/>
      <c r="J2207" s="47" t="n"/>
      <c r="K2207" s="47" t="n"/>
      <c r="L2207" s="47" t="n"/>
      <c r="M2207" s="47" t="n"/>
      <c r="N2207" s="47" t="n"/>
      <c r="O2207" s="47" t="n"/>
      <c r="P2207" s="47" t="n"/>
      <c r="Q2207" s="47" t="n"/>
      <c r="R2207" s="47" t="n"/>
      <c r="S2207" s="47" t="n"/>
      <c r="T2207" s="47" t="n"/>
      <c r="U2207" s="53" t="n"/>
      <c r="V2207" s="53" t="n"/>
      <c r="W2207" s="47" t="n"/>
      <c r="X2207" s="47" t="n"/>
      <c r="Y2207" s="47" t="n"/>
      <c r="Z2207" s="47" t="n"/>
      <c r="AA2207" s="47" t="n"/>
      <c r="AB2207" s="47" t="n"/>
      <c r="AC2207" s="47" t="n"/>
      <c r="AD2207" s="47" t="n"/>
      <c r="AE2207" s="47" t="n"/>
      <c r="AF2207" s="20">
        <f>IF(A2207="","",YEAR(EDATE(A2207,-3)))</f>
        <v/>
      </c>
      <c r="AG2207" s="20">
        <f>IF(OR(B2207="",'経歴簿'!$C$4=""),"",IF(B2207&amp;""='経歴簿'!$C$4&amp;"",MAX($AG$4:AG2206)+1,""))</f>
        <v/>
      </c>
      <c r="AH2207" s="20">
        <f>IF(A2207="",0,IF(AND(OR('CSV抽出'!$C$4="",A2207&gt;='CSV抽出'!$C$4),OR('CSV抽出'!$C$5="",A2207&lt;='CSV抽出'!$C$5),OR('CSV抽出'!$C$6="すべて",'CSV抽出'!$C$6="",D2207='CSV抽出'!$C$6),OR('CSV抽出'!$C$7="",B2207&amp;""='CSV抽出'!$C$7&amp;"")),1,0))</f>
        <v/>
      </c>
      <c r="AI2207" s="20">
        <f>IF(AH2207=1,SUM($AH$5:AH2207),"")</f>
        <v/>
      </c>
      <c r="AJ2207" s="20">
        <f>IF(OR(S2207="",'報告書'!$C$4=""),"",IF(S2207&amp;""='報告書'!$C$4&amp;"",COUNTIF($S$5:S2207,'報告書'!$C$4),""))</f>
        <v/>
      </c>
      <c r="AK2207" s="20" t="n"/>
      <c r="AL2207" s="47" t="n"/>
      <c r="AM2207" s="47" t="n"/>
      <c r="AN2207" s="53" t="n"/>
      <c r="AO2207" s="47" t="n"/>
      <c r="AP2207" s="47" t="n"/>
      <c r="AQ2207" s="47" t="n"/>
      <c r="AR2207" s="47" t="n"/>
      <c r="AS2207" s="47" t="n"/>
      <c r="AT2207" s="47" t="n"/>
      <c r="AU2207" s="47" t="n"/>
      <c r="AV2207" s="47" t="n"/>
      <c r="AW2207" s="52" t="n"/>
    </row>
    <row r="2208">
      <c r="A2208" s="48" t="n"/>
      <c r="B2208" s="52" t="n"/>
      <c r="C2208" s="47">
        <f>IF(B2208="","",IFERROR(INDEX('隊員マスタ'!$B$5:$B$204,MATCH(B2208&amp;"",'隊員マスタ'!$F$5:$F$204,0)),IF(AK2208="","番号なし",AK2208)))</f>
        <v/>
      </c>
      <c r="D2208" s="47" t="n"/>
      <c r="E2208" s="47" t="n"/>
      <c r="F2208" s="47" t="n"/>
      <c r="G2208" s="47" t="n"/>
      <c r="H2208" s="47" t="n"/>
      <c r="I2208" s="47" t="n"/>
      <c r="J2208" s="47" t="n"/>
      <c r="K2208" s="47" t="n"/>
      <c r="L2208" s="47" t="n"/>
      <c r="M2208" s="47" t="n"/>
      <c r="N2208" s="47" t="n"/>
      <c r="O2208" s="47" t="n"/>
      <c r="P2208" s="47" t="n"/>
      <c r="Q2208" s="47" t="n"/>
      <c r="R2208" s="47" t="n"/>
      <c r="S2208" s="47" t="n"/>
      <c r="T2208" s="47" t="n"/>
      <c r="U2208" s="53" t="n"/>
      <c r="V2208" s="53" t="n"/>
      <c r="W2208" s="47" t="n"/>
      <c r="X2208" s="47" t="n"/>
      <c r="Y2208" s="47" t="n"/>
      <c r="Z2208" s="47" t="n"/>
      <c r="AA2208" s="47" t="n"/>
      <c r="AB2208" s="47" t="n"/>
      <c r="AC2208" s="47" t="n"/>
      <c r="AD2208" s="47" t="n"/>
      <c r="AE2208" s="47" t="n"/>
      <c r="AF2208" s="20">
        <f>IF(A2208="","",YEAR(EDATE(A2208,-3)))</f>
        <v/>
      </c>
      <c r="AG2208" s="20">
        <f>IF(OR(B2208="",'経歴簿'!$C$4=""),"",IF(B2208&amp;""='経歴簿'!$C$4&amp;"",MAX($AG$4:AG2207)+1,""))</f>
        <v/>
      </c>
      <c r="AH2208" s="20">
        <f>IF(A2208="",0,IF(AND(OR('CSV抽出'!$C$4="",A2208&gt;='CSV抽出'!$C$4),OR('CSV抽出'!$C$5="",A2208&lt;='CSV抽出'!$C$5),OR('CSV抽出'!$C$6="すべて",'CSV抽出'!$C$6="",D2208='CSV抽出'!$C$6),OR('CSV抽出'!$C$7="",B2208&amp;""='CSV抽出'!$C$7&amp;"")),1,0))</f>
        <v/>
      </c>
      <c r="AI2208" s="20">
        <f>IF(AH2208=1,SUM($AH$5:AH2208),"")</f>
        <v/>
      </c>
      <c r="AJ2208" s="20">
        <f>IF(OR(S2208="",'報告書'!$C$4=""),"",IF(S2208&amp;""='報告書'!$C$4&amp;"",COUNTIF($S$5:S2208,'報告書'!$C$4),""))</f>
        <v/>
      </c>
      <c r="AK2208" s="20" t="n"/>
      <c r="AL2208" s="47" t="n"/>
      <c r="AM2208" s="47" t="n"/>
      <c r="AN2208" s="53" t="n"/>
      <c r="AO2208" s="47" t="n"/>
      <c r="AP2208" s="47" t="n"/>
      <c r="AQ2208" s="47" t="n"/>
      <c r="AR2208" s="47" t="n"/>
      <c r="AS2208" s="47" t="n"/>
      <c r="AT2208" s="47" t="n"/>
      <c r="AU2208" s="47" t="n"/>
      <c r="AV2208" s="47" t="n"/>
      <c r="AW2208" s="52" t="n"/>
    </row>
    <row r="2209">
      <c r="A2209" s="48" t="n"/>
      <c r="B2209" s="52" t="n"/>
      <c r="C2209" s="47">
        <f>IF(B2209="","",IFERROR(INDEX('隊員マスタ'!$B$5:$B$204,MATCH(B2209&amp;"",'隊員マスタ'!$F$5:$F$204,0)),IF(AK2209="","番号なし",AK2209)))</f>
        <v/>
      </c>
      <c r="D2209" s="47" t="n"/>
      <c r="E2209" s="47" t="n"/>
      <c r="F2209" s="47" t="n"/>
      <c r="G2209" s="47" t="n"/>
      <c r="H2209" s="47" t="n"/>
      <c r="I2209" s="47" t="n"/>
      <c r="J2209" s="47" t="n"/>
      <c r="K2209" s="47" t="n"/>
      <c r="L2209" s="47" t="n"/>
      <c r="M2209" s="47" t="n"/>
      <c r="N2209" s="47" t="n"/>
      <c r="O2209" s="47" t="n"/>
      <c r="P2209" s="47" t="n"/>
      <c r="Q2209" s="47" t="n"/>
      <c r="R2209" s="47" t="n"/>
      <c r="S2209" s="47" t="n"/>
      <c r="T2209" s="47" t="n"/>
      <c r="U2209" s="53" t="n"/>
      <c r="V2209" s="53" t="n"/>
      <c r="W2209" s="47" t="n"/>
      <c r="X2209" s="47" t="n"/>
      <c r="Y2209" s="47" t="n"/>
      <c r="Z2209" s="47" t="n"/>
      <c r="AA2209" s="47" t="n"/>
      <c r="AB2209" s="47" t="n"/>
      <c r="AC2209" s="47" t="n"/>
      <c r="AD2209" s="47" t="n"/>
      <c r="AE2209" s="47" t="n"/>
      <c r="AF2209" s="20">
        <f>IF(A2209="","",YEAR(EDATE(A2209,-3)))</f>
        <v/>
      </c>
      <c r="AG2209" s="20">
        <f>IF(OR(B2209="",'経歴簿'!$C$4=""),"",IF(B2209&amp;""='経歴簿'!$C$4&amp;"",MAX($AG$4:AG2208)+1,""))</f>
        <v/>
      </c>
      <c r="AH2209" s="20">
        <f>IF(A2209="",0,IF(AND(OR('CSV抽出'!$C$4="",A2209&gt;='CSV抽出'!$C$4),OR('CSV抽出'!$C$5="",A2209&lt;='CSV抽出'!$C$5),OR('CSV抽出'!$C$6="すべて",'CSV抽出'!$C$6="",D2209='CSV抽出'!$C$6),OR('CSV抽出'!$C$7="",B2209&amp;""='CSV抽出'!$C$7&amp;"")),1,0))</f>
        <v/>
      </c>
      <c r="AI2209" s="20">
        <f>IF(AH2209=1,SUM($AH$5:AH2209),"")</f>
        <v/>
      </c>
      <c r="AJ2209" s="20">
        <f>IF(OR(S2209="",'報告書'!$C$4=""),"",IF(S2209&amp;""='報告書'!$C$4&amp;"",COUNTIF($S$5:S2209,'報告書'!$C$4),""))</f>
        <v/>
      </c>
      <c r="AK2209" s="20" t="n"/>
      <c r="AL2209" s="47" t="n"/>
      <c r="AM2209" s="47" t="n"/>
      <c r="AN2209" s="53" t="n"/>
      <c r="AO2209" s="47" t="n"/>
      <c r="AP2209" s="47" t="n"/>
      <c r="AQ2209" s="47" t="n"/>
      <c r="AR2209" s="47" t="n"/>
      <c r="AS2209" s="47" t="n"/>
      <c r="AT2209" s="47" t="n"/>
      <c r="AU2209" s="47" t="n"/>
      <c r="AV2209" s="47" t="n"/>
      <c r="AW2209" s="52" t="n"/>
    </row>
    <row r="2210">
      <c r="A2210" s="48" t="n"/>
      <c r="B2210" s="52" t="n"/>
      <c r="C2210" s="47">
        <f>IF(B2210="","",IFERROR(INDEX('隊員マスタ'!$B$5:$B$204,MATCH(B2210&amp;"",'隊員マスタ'!$F$5:$F$204,0)),IF(AK2210="","番号なし",AK2210)))</f>
        <v/>
      </c>
      <c r="D2210" s="47" t="n"/>
      <c r="E2210" s="47" t="n"/>
      <c r="F2210" s="47" t="n"/>
      <c r="G2210" s="47" t="n"/>
      <c r="H2210" s="47" t="n"/>
      <c r="I2210" s="47" t="n"/>
      <c r="J2210" s="47" t="n"/>
      <c r="K2210" s="47" t="n"/>
      <c r="L2210" s="47" t="n"/>
      <c r="M2210" s="47" t="n"/>
      <c r="N2210" s="47" t="n"/>
      <c r="O2210" s="47" t="n"/>
      <c r="P2210" s="47" t="n"/>
      <c r="Q2210" s="47" t="n"/>
      <c r="R2210" s="47" t="n"/>
      <c r="S2210" s="47" t="n"/>
      <c r="T2210" s="47" t="n"/>
      <c r="U2210" s="53" t="n"/>
      <c r="V2210" s="53" t="n"/>
      <c r="W2210" s="47" t="n"/>
      <c r="X2210" s="47" t="n"/>
      <c r="Y2210" s="47" t="n"/>
      <c r="Z2210" s="47" t="n"/>
      <c r="AA2210" s="47" t="n"/>
      <c r="AB2210" s="47" t="n"/>
      <c r="AC2210" s="47" t="n"/>
      <c r="AD2210" s="47" t="n"/>
      <c r="AE2210" s="47" t="n"/>
      <c r="AF2210" s="20">
        <f>IF(A2210="","",YEAR(EDATE(A2210,-3)))</f>
        <v/>
      </c>
      <c r="AG2210" s="20">
        <f>IF(OR(B2210="",'経歴簿'!$C$4=""),"",IF(B2210&amp;""='経歴簿'!$C$4&amp;"",MAX($AG$4:AG2209)+1,""))</f>
        <v/>
      </c>
      <c r="AH2210" s="20">
        <f>IF(A2210="",0,IF(AND(OR('CSV抽出'!$C$4="",A2210&gt;='CSV抽出'!$C$4),OR('CSV抽出'!$C$5="",A2210&lt;='CSV抽出'!$C$5),OR('CSV抽出'!$C$6="すべて",'CSV抽出'!$C$6="",D2210='CSV抽出'!$C$6),OR('CSV抽出'!$C$7="",B2210&amp;""='CSV抽出'!$C$7&amp;"")),1,0))</f>
        <v/>
      </c>
      <c r="AI2210" s="20">
        <f>IF(AH2210=1,SUM($AH$5:AH2210),"")</f>
        <v/>
      </c>
      <c r="AJ2210" s="20">
        <f>IF(OR(S2210="",'報告書'!$C$4=""),"",IF(S2210&amp;""='報告書'!$C$4&amp;"",COUNTIF($S$5:S2210,'報告書'!$C$4),""))</f>
        <v/>
      </c>
      <c r="AK2210" s="20" t="n"/>
      <c r="AL2210" s="47" t="n"/>
      <c r="AM2210" s="47" t="n"/>
      <c r="AN2210" s="53" t="n"/>
      <c r="AO2210" s="47" t="n"/>
      <c r="AP2210" s="47" t="n"/>
      <c r="AQ2210" s="47" t="n"/>
      <c r="AR2210" s="47" t="n"/>
      <c r="AS2210" s="47" t="n"/>
      <c r="AT2210" s="47" t="n"/>
      <c r="AU2210" s="47" t="n"/>
      <c r="AV2210" s="47" t="n"/>
      <c r="AW2210" s="52" t="n"/>
    </row>
    <row r="2211">
      <c r="A2211" s="48" t="n"/>
      <c r="B2211" s="52" t="n"/>
      <c r="C2211" s="47">
        <f>IF(B2211="","",IFERROR(INDEX('隊員マスタ'!$B$5:$B$204,MATCH(B2211&amp;"",'隊員マスタ'!$F$5:$F$204,0)),IF(AK2211="","番号なし",AK2211)))</f>
        <v/>
      </c>
      <c r="D2211" s="47" t="n"/>
      <c r="E2211" s="47" t="n"/>
      <c r="F2211" s="47" t="n"/>
      <c r="G2211" s="47" t="n"/>
      <c r="H2211" s="47" t="n"/>
      <c r="I2211" s="47" t="n"/>
      <c r="J2211" s="47" t="n"/>
      <c r="K2211" s="47" t="n"/>
      <c r="L2211" s="47" t="n"/>
      <c r="M2211" s="47" t="n"/>
      <c r="N2211" s="47" t="n"/>
      <c r="O2211" s="47" t="n"/>
      <c r="P2211" s="47" t="n"/>
      <c r="Q2211" s="47" t="n"/>
      <c r="R2211" s="47" t="n"/>
      <c r="S2211" s="47" t="n"/>
      <c r="T2211" s="47" t="n"/>
      <c r="U2211" s="53" t="n"/>
      <c r="V2211" s="53" t="n"/>
      <c r="W2211" s="47" t="n"/>
      <c r="X2211" s="47" t="n"/>
      <c r="Y2211" s="47" t="n"/>
      <c r="Z2211" s="47" t="n"/>
      <c r="AA2211" s="47" t="n"/>
      <c r="AB2211" s="47" t="n"/>
      <c r="AC2211" s="47" t="n"/>
      <c r="AD2211" s="47" t="n"/>
      <c r="AE2211" s="47" t="n"/>
      <c r="AF2211" s="20">
        <f>IF(A2211="","",YEAR(EDATE(A2211,-3)))</f>
        <v/>
      </c>
      <c r="AG2211" s="20">
        <f>IF(OR(B2211="",'経歴簿'!$C$4=""),"",IF(B2211&amp;""='経歴簿'!$C$4&amp;"",MAX($AG$4:AG2210)+1,""))</f>
        <v/>
      </c>
      <c r="AH2211" s="20">
        <f>IF(A2211="",0,IF(AND(OR('CSV抽出'!$C$4="",A2211&gt;='CSV抽出'!$C$4),OR('CSV抽出'!$C$5="",A2211&lt;='CSV抽出'!$C$5),OR('CSV抽出'!$C$6="すべて",'CSV抽出'!$C$6="",D2211='CSV抽出'!$C$6),OR('CSV抽出'!$C$7="",B2211&amp;""='CSV抽出'!$C$7&amp;"")),1,0))</f>
        <v/>
      </c>
      <c r="AI2211" s="20">
        <f>IF(AH2211=1,SUM($AH$5:AH2211),"")</f>
        <v/>
      </c>
      <c r="AJ2211" s="20">
        <f>IF(OR(S2211="",'報告書'!$C$4=""),"",IF(S2211&amp;""='報告書'!$C$4&amp;"",COUNTIF($S$5:S2211,'報告書'!$C$4),""))</f>
        <v/>
      </c>
      <c r="AK2211" s="20" t="n"/>
      <c r="AL2211" s="47" t="n"/>
      <c r="AM2211" s="47" t="n"/>
      <c r="AN2211" s="53" t="n"/>
      <c r="AO2211" s="47" t="n"/>
      <c r="AP2211" s="47" t="n"/>
      <c r="AQ2211" s="47" t="n"/>
      <c r="AR2211" s="47" t="n"/>
      <c r="AS2211" s="47" t="n"/>
      <c r="AT2211" s="47" t="n"/>
      <c r="AU2211" s="47" t="n"/>
      <c r="AV2211" s="47" t="n"/>
      <c r="AW2211" s="52" t="n"/>
    </row>
    <row r="2212">
      <c r="A2212" s="48" t="n"/>
      <c r="B2212" s="52" t="n"/>
      <c r="C2212" s="47">
        <f>IF(B2212="","",IFERROR(INDEX('隊員マスタ'!$B$5:$B$204,MATCH(B2212&amp;"",'隊員マスタ'!$F$5:$F$204,0)),IF(AK2212="","番号なし",AK2212)))</f>
        <v/>
      </c>
      <c r="D2212" s="47" t="n"/>
      <c r="E2212" s="47" t="n"/>
      <c r="F2212" s="47" t="n"/>
      <c r="G2212" s="47" t="n"/>
      <c r="H2212" s="47" t="n"/>
      <c r="I2212" s="47" t="n"/>
      <c r="J2212" s="47" t="n"/>
      <c r="K2212" s="47" t="n"/>
      <c r="L2212" s="47" t="n"/>
      <c r="M2212" s="47" t="n"/>
      <c r="N2212" s="47" t="n"/>
      <c r="O2212" s="47" t="n"/>
      <c r="P2212" s="47" t="n"/>
      <c r="Q2212" s="47" t="n"/>
      <c r="R2212" s="47" t="n"/>
      <c r="S2212" s="47" t="n"/>
      <c r="T2212" s="47" t="n"/>
      <c r="U2212" s="53" t="n"/>
      <c r="V2212" s="53" t="n"/>
      <c r="W2212" s="47" t="n"/>
      <c r="X2212" s="47" t="n"/>
      <c r="Y2212" s="47" t="n"/>
      <c r="Z2212" s="47" t="n"/>
      <c r="AA2212" s="47" t="n"/>
      <c r="AB2212" s="47" t="n"/>
      <c r="AC2212" s="47" t="n"/>
      <c r="AD2212" s="47" t="n"/>
      <c r="AE2212" s="47" t="n"/>
      <c r="AF2212" s="20">
        <f>IF(A2212="","",YEAR(EDATE(A2212,-3)))</f>
        <v/>
      </c>
      <c r="AG2212" s="20">
        <f>IF(OR(B2212="",'経歴簿'!$C$4=""),"",IF(B2212&amp;""='経歴簿'!$C$4&amp;"",MAX($AG$4:AG2211)+1,""))</f>
        <v/>
      </c>
      <c r="AH2212" s="20">
        <f>IF(A2212="",0,IF(AND(OR('CSV抽出'!$C$4="",A2212&gt;='CSV抽出'!$C$4),OR('CSV抽出'!$C$5="",A2212&lt;='CSV抽出'!$C$5),OR('CSV抽出'!$C$6="すべて",'CSV抽出'!$C$6="",D2212='CSV抽出'!$C$6),OR('CSV抽出'!$C$7="",B2212&amp;""='CSV抽出'!$C$7&amp;"")),1,0))</f>
        <v/>
      </c>
      <c r="AI2212" s="20">
        <f>IF(AH2212=1,SUM($AH$5:AH2212),"")</f>
        <v/>
      </c>
      <c r="AJ2212" s="20">
        <f>IF(OR(S2212="",'報告書'!$C$4=""),"",IF(S2212&amp;""='報告書'!$C$4&amp;"",COUNTIF($S$5:S2212,'報告書'!$C$4),""))</f>
        <v/>
      </c>
      <c r="AK2212" s="20" t="n"/>
      <c r="AL2212" s="47" t="n"/>
      <c r="AM2212" s="47" t="n"/>
      <c r="AN2212" s="53" t="n"/>
      <c r="AO2212" s="47" t="n"/>
      <c r="AP2212" s="47" t="n"/>
      <c r="AQ2212" s="47" t="n"/>
      <c r="AR2212" s="47" t="n"/>
      <c r="AS2212" s="47" t="n"/>
      <c r="AT2212" s="47" t="n"/>
      <c r="AU2212" s="47" t="n"/>
      <c r="AV2212" s="47" t="n"/>
      <c r="AW2212" s="52" t="n"/>
    </row>
    <row r="2213">
      <c r="A2213" s="48" t="n"/>
      <c r="B2213" s="52" t="n"/>
      <c r="C2213" s="47">
        <f>IF(B2213="","",IFERROR(INDEX('隊員マスタ'!$B$5:$B$204,MATCH(B2213&amp;"",'隊員マスタ'!$F$5:$F$204,0)),IF(AK2213="","番号なし",AK2213)))</f>
        <v/>
      </c>
      <c r="D2213" s="47" t="n"/>
      <c r="E2213" s="47" t="n"/>
      <c r="F2213" s="47" t="n"/>
      <c r="G2213" s="47" t="n"/>
      <c r="H2213" s="47" t="n"/>
      <c r="I2213" s="47" t="n"/>
      <c r="J2213" s="47" t="n"/>
      <c r="K2213" s="47" t="n"/>
      <c r="L2213" s="47" t="n"/>
      <c r="M2213" s="47" t="n"/>
      <c r="N2213" s="47" t="n"/>
      <c r="O2213" s="47" t="n"/>
      <c r="P2213" s="47" t="n"/>
      <c r="Q2213" s="47" t="n"/>
      <c r="R2213" s="47" t="n"/>
      <c r="S2213" s="47" t="n"/>
      <c r="T2213" s="47" t="n"/>
      <c r="U2213" s="53" t="n"/>
      <c r="V2213" s="53" t="n"/>
      <c r="W2213" s="47" t="n"/>
      <c r="X2213" s="47" t="n"/>
      <c r="Y2213" s="47" t="n"/>
      <c r="Z2213" s="47" t="n"/>
      <c r="AA2213" s="47" t="n"/>
      <c r="AB2213" s="47" t="n"/>
      <c r="AC2213" s="47" t="n"/>
      <c r="AD2213" s="47" t="n"/>
      <c r="AE2213" s="47" t="n"/>
      <c r="AF2213" s="20">
        <f>IF(A2213="","",YEAR(EDATE(A2213,-3)))</f>
        <v/>
      </c>
      <c r="AG2213" s="20">
        <f>IF(OR(B2213="",'経歴簿'!$C$4=""),"",IF(B2213&amp;""='経歴簿'!$C$4&amp;"",MAX($AG$4:AG2212)+1,""))</f>
        <v/>
      </c>
      <c r="AH2213" s="20">
        <f>IF(A2213="",0,IF(AND(OR('CSV抽出'!$C$4="",A2213&gt;='CSV抽出'!$C$4),OR('CSV抽出'!$C$5="",A2213&lt;='CSV抽出'!$C$5),OR('CSV抽出'!$C$6="すべて",'CSV抽出'!$C$6="",D2213='CSV抽出'!$C$6),OR('CSV抽出'!$C$7="",B2213&amp;""='CSV抽出'!$C$7&amp;"")),1,0))</f>
        <v/>
      </c>
      <c r="AI2213" s="20">
        <f>IF(AH2213=1,SUM($AH$5:AH2213),"")</f>
        <v/>
      </c>
      <c r="AJ2213" s="20">
        <f>IF(OR(S2213="",'報告書'!$C$4=""),"",IF(S2213&amp;""='報告書'!$C$4&amp;"",COUNTIF($S$5:S2213,'報告書'!$C$4),""))</f>
        <v/>
      </c>
      <c r="AK2213" s="20" t="n"/>
      <c r="AL2213" s="47" t="n"/>
      <c r="AM2213" s="47" t="n"/>
      <c r="AN2213" s="53" t="n"/>
      <c r="AO2213" s="47" t="n"/>
      <c r="AP2213" s="47" t="n"/>
      <c r="AQ2213" s="47" t="n"/>
      <c r="AR2213" s="47" t="n"/>
      <c r="AS2213" s="47" t="n"/>
      <c r="AT2213" s="47" t="n"/>
      <c r="AU2213" s="47" t="n"/>
      <c r="AV2213" s="47" t="n"/>
      <c r="AW2213" s="52" t="n"/>
    </row>
    <row r="2214">
      <c r="A2214" s="48" t="n"/>
      <c r="B2214" s="52" t="n"/>
      <c r="C2214" s="47">
        <f>IF(B2214="","",IFERROR(INDEX('隊員マスタ'!$B$5:$B$204,MATCH(B2214&amp;"",'隊員マスタ'!$F$5:$F$204,0)),IF(AK2214="","番号なし",AK2214)))</f>
        <v/>
      </c>
      <c r="D2214" s="47" t="n"/>
      <c r="E2214" s="47" t="n"/>
      <c r="F2214" s="47" t="n"/>
      <c r="G2214" s="47" t="n"/>
      <c r="H2214" s="47" t="n"/>
      <c r="I2214" s="47" t="n"/>
      <c r="J2214" s="47" t="n"/>
      <c r="K2214" s="47" t="n"/>
      <c r="L2214" s="47" t="n"/>
      <c r="M2214" s="47" t="n"/>
      <c r="N2214" s="47" t="n"/>
      <c r="O2214" s="47" t="n"/>
      <c r="P2214" s="47" t="n"/>
      <c r="Q2214" s="47" t="n"/>
      <c r="R2214" s="47" t="n"/>
      <c r="S2214" s="47" t="n"/>
      <c r="T2214" s="47" t="n"/>
      <c r="U2214" s="53" t="n"/>
      <c r="V2214" s="53" t="n"/>
      <c r="W2214" s="47" t="n"/>
      <c r="X2214" s="47" t="n"/>
      <c r="Y2214" s="47" t="n"/>
      <c r="Z2214" s="47" t="n"/>
      <c r="AA2214" s="47" t="n"/>
      <c r="AB2214" s="47" t="n"/>
      <c r="AC2214" s="47" t="n"/>
      <c r="AD2214" s="47" t="n"/>
      <c r="AE2214" s="47" t="n"/>
      <c r="AF2214" s="20">
        <f>IF(A2214="","",YEAR(EDATE(A2214,-3)))</f>
        <v/>
      </c>
      <c r="AG2214" s="20">
        <f>IF(OR(B2214="",'経歴簿'!$C$4=""),"",IF(B2214&amp;""='経歴簿'!$C$4&amp;"",MAX($AG$4:AG2213)+1,""))</f>
        <v/>
      </c>
      <c r="AH2214" s="20">
        <f>IF(A2214="",0,IF(AND(OR('CSV抽出'!$C$4="",A2214&gt;='CSV抽出'!$C$4),OR('CSV抽出'!$C$5="",A2214&lt;='CSV抽出'!$C$5),OR('CSV抽出'!$C$6="すべて",'CSV抽出'!$C$6="",D2214='CSV抽出'!$C$6),OR('CSV抽出'!$C$7="",B2214&amp;""='CSV抽出'!$C$7&amp;"")),1,0))</f>
        <v/>
      </c>
      <c r="AI2214" s="20">
        <f>IF(AH2214=1,SUM($AH$5:AH2214),"")</f>
        <v/>
      </c>
      <c r="AJ2214" s="20">
        <f>IF(OR(S2214="",'報告書'!$C$4=""),"",IF(S2214&amp;""='報告書'!$C$4&amp;"",COUNTIF($S$5:S2214,'報告書'!$C$4),""))</f>
        <v/>
      </c>
      <c r="AK2214" s="20" t="n"/>
      <c r="AL2214" s="47" t="n"/>
      <c r="AM2214" s="47" t="n"/>
      <c r="AN2214" s="53" t="n"/>
      <c r="AO2214" s="47" t="n"/>
      <c r="AP2214" s="47" t="n"/>
      <c r="AQ2214" s="47" t="n"/>
      <c r="AR2214" s="47" t="n"/>
      <c r="AS2214" s="47" t="n"/>
      <c r="AT2214" s="47" t="n"/>
      <c r="AU2214" s="47" t="n"/>
      <c r="AV2214" s="47" t="n"/>
      <c r="AW2214" s="52" t="n"/>
    </row>
    <row r="2215">
      <c r="A2215" s="48" t="n"/>
      <c r="B2215" s="52" t="n"/>
      <c r="C2215" s="47">
        <f>IF(B2215="","",IFERROR(INDEX('隊員マスタ'!$B$5:$B$204,MATCH(B2215&amp;"",'隊員マスタ'!$F$5:$F$204,0)),IF(AK2215="","番号なし",AK2215)))</f>
        <v/>
      </c>
      <c r="D2215" s="47" t="n"/>
      <c r="E2215" s="47" t="n"/>
      <c r="F2215" s="47" t="n"/>
      <c r="G2215" s="47" t="n"/>
      <c r="H2215" s="47" t="n"/>
      <c r="I2215" s="47" t="n"/>
      <c r="J2215" s="47" t="n"/>
      <c r="K2215" s="47" t="n"/>
      <c r="L2215" s="47" t="n"/>
      <c r="M2215" s="47" t="n"/>
      <c r="N2215" s="47" t="n"/>
      <c r="O2215" s="47" t="n"/>
      <c r="P2215" s="47" t="n"/>
      <c r="Q2215" s="47" t="n"/>
      <c r="R2215" s="47" t="n"/>
      <c r="S2215" s="47" t="n"/>
      <c r="T2215" s="47" t="n"/>
      <c r="U2215" s="53" t="n"/>
      <c r="V2215" s="53" t="n"/>
      <c r="W2215" s="47" t="n"/>
      <c r="X2215" s="47" t="n"/>
      <c r="Y2215" s="47" t="n"/>
      <c r="Z2215" s="47" t="n"/>
      <c r="AA2215" s="47" t="n"/>
      <c r="AB2215" s="47" t="n"/>
      <c r="AC2215" s="47" t="n"/>
      <c r="AD2215" s="47" t="n"/>
      <c r="AE2215" s="47" t="n"/>
      <c r="AF2215" s="20">
        <f>IF(A2215="","",YEAR(EDATE(A2215,-3)))</f>
        <v/>
      </c>
      <c r="AG2215" s="20">
        <f>IF(OR(B2215="",'経歴簿'!$C$4=""),"",IF(B2215&amp;""='経歴簿'!$C$4&amp;"",MAX($AG$4:AG2214)+1,""))</f>
        <v/>
      </c>
      <c r="AH2215" s="20">
        <f>IF(A2215="",0,IF(AND(OR('CSV抽出'!$C$4="",A2215&gt;='CSV抽出'!$C$4),OR('CSV抽出'!$C$5="",A2215&lt;='CSV抽出'!$C$5),OR('CSV抽出'!$C$6="すべて",'CSV抽出'!$C$6="",D2215='CSV抽出'!$C$6),OR('CSV抽出'!$C$7="",B2215&amp;""='CSV抽出'!$C$7&amp;"")),1,0))</f>
        <v/>
      </c>
      <c r="AI2215" s="20">
        <f>IF(AH2215=1,SUM($AH$5:AH2215),"")</f>
        <v/>
      </c>
      <c r="AJ2215" s="20">
        <f>IF(OR(S2215="",'報告書'!$C$4=""),"",IF(S2215&amp;""='報告書'!$C$4&amp;"",COUNTIF($S$5:S2215,'報告書'!$C$4),""))</f>
        <v/>
      </c>
      <c r="AK2215" s="20" t="n"/>
      <c r="AL2215" s="47" t="n"/>
      <c r="AM2215" s="47" t="n"/>
      <c r="AN2215" s="53" t="n"/>
      <c r="AO2215" s="47" t="n"/>
      <c r="AP2215" s="47" t="n"/>
      <c r="AQ2215" s="47" t="n"/>
      <c r="AR2215" s="47" t="n"/>
      <c r="AS2215" s="47" t="n"/>
      <c r="AT2215" s="47" t="n"/>
      <c r="AU2215" s="47" t="n"/>
      <c r="AV2215" s="47" t="n"/>
      <c r="AW2215" s="52" t="n"/>
    </row>
    <row r="2216">
      <c r="A2216" s="48" t="n"/>
      <c r="B2216" s="52" t="n"/>
      <c r="C2216" s="47">
        <f>IF(B2216="","",IFERROR(INDEX('隊員マスタ'!$B$5:$B$204,MATCH(B2216&amp;"",'隊員マスタ'!$F$5:$F$204,0)),IF(AK2216="","番号なし",AK2216)))</f>
        <v/>
      </c>
      <c r="D2216" s="47" t="n"/>
      <c r="E2216" s="47" t="n"/>
      <c r="F2216" s="47" t="n"/>
      <c r="G2216" s="47" t="n"/>
      <c r="H2216" s="47" t="n"/>
      <c r="I2216" s="47" t="n"/>
      <c r="J2216" s="47" t="n"/>
      <c r="K2216" s="47" t="n"/>
      <c r="L2216" s="47" t="n"/>
      <c r="M2216" s="47" t="n"/>
      <c r="N2216" s="47" t="n"/>
      <c r="O2216" s="47" t="n"/>
      <c r="P2216" s="47" t="n"/>
      <c r="Q2216" s="47" t="n"/>
      <c r="R2216" s="47" t="n"/>
      <c r="S2216" s="47" t="n"/>
      <c r="T2216" s="47" t="n"/>
      <c r="U2216" s="53" t="n"/>
      <c r="V2216" s="53" t="n"/>
      <c r="W2216" s="47" t="n"/>
      <c r="X2216" s="47" t="n"/>
      <c r="Y2216" s="47" t="n"/>
      <c r="Z2216" s="47" t="n"/>
      <c r="AA2216" s="47" t="n"/>
      <c r="AB2216" s="47" t="n"/>
      <c r="AC2216" s="47" t="n"/>
      <c r="AD2216" s="47" t="n"/>
      <c r="AE2216" s="47" t="n"/>
      <c r="AF2216" s="20">
        <f>IF(A2216="","",YEAR(EDATE(A2216,-3)))</f>
        <v/>
      </c>
      <c r="AG2216" s="20">
        <f>IF(OR(B2216="",'経歴簿'!$C$4=""),"",IF(B2216&amp;""='経歴簿'!$C$4&amp;"",MAX($AG$4:AG2215)+1,""))</f>
        <v/>
      </c>
      <c r="AH2216" s="20">
        <f>IF(A2216="",0,IF(AND(OR('CSV抽出'!$C$4="",A2216&gt;='CSV抽出'!$C$4),OR('CSV抽出'!$C$5="",A2216&lt;='CSV抽出'!$C$5),OR('CSV抽出'!$C$6="すべて",'CSV抽出'!$C$6="",D2216='CSV抽出'!$C$6),OR('CSV抽出'!$C$7="",B2216&amp;""='CSV抽出'!$C$7&amp;"")),1,0))</f>
        <v/>
      </c>
      <c r="AI2216" s="20">
        <f>IF(AH2216=1,SUM($AH$5:AH2216),"")</f>
        <v/>
      </c>
      <c r="AJ2216" s="20">
        <f>IF(OR(S2216="",'報告書'!$C$4=""),"",IF(S2216&amp;""='報告書'!$C$4&amp;"",COUNTIF($S$5:S2216,'報告書'!$C$4),""))</f>
        <v/>
      </c>
      <c r="AK2216" s="20" t="n"/>
      <c r="AL2216" s="47" t="n"/>
      <c r="AM2216" s="47" t="n"/>
      <c r="AN2216" s="53" t="n"/>
      <c r="AO2216" s="47" t="n"/>
      <c r="AP2216" s="47" t="n"/>
      <c r="AQ2216" s="47" t="n"/>
      <c r="AR2216" s="47" t="n"/>
      <c r="AS2216" s="47" t="n"/>
      <c r="AT2216" s="47" t="n"/>
      <c r="AU2216" s="47" t="n"/>
      <c r="AV2216" s="47" t="n"/>
      <c r="AW2216" s="52" t="n"/>
    </row>
    <row r="2217">
      <c r="A2217" s="48" t="n"/>
      <c r="B2217" s="52" t="n"/>
      <c r="C2217" s="47">
        <f>IF(B2217="","",IFERROR(INDEX('隊員マスタ'!$B$5:$B$204,MATCH(B2217&amp;"",'隊員マスタ'!$F$5:$F$204,0)),IF(AK2217="","番号なし",AK2217)))</f>
        <v/>
      </c>
      <c r="D2217" s="47" t="n"/>
      <c r="E2217" s="47" t="n"/>
      <c r="F2217" s="47" t="n"/>
      <c r="G2217" s="47" t="n"/>
      <c r="H2217" s="47" t="n"/>
      <c r="I2217" s="47" t="n"/>
      <c r="J2217" s="47" t="n"/>
      <c r="K2217" s="47" t="n"/>
      <c r="L2217" s="47" t="n"/>
      <c r="M2217" s="47" t="n"/>
      <c r="N2217" s="47" t="n"/>
      <c r="O2217" s="47" t="n"/>
      <c r="P2217" s="47" t="n"/>
      <c r="Q2217" s="47" t="n"/>
      <c r="R2217" s="47" t="n"/>
      <c r="S2217" s="47" t="n"/>
      <c r="T2217" s="47" t="n"/>
      <c r="U2217" s="53" t="n"/>
      <c r="V2217" s="53" t="n"/>
      <c r="W2217" s="47" t="n"/>
      <c r="X2217" s="47" t="n"/>
      <c r="Y2217" s="47" t="n"/>
      <c r="Z2217" s="47" t="n"/>
      <c r="AA2217" s="47" t="n"/>
      <c r="AB2217" s="47" t="n"/>
      <c r="AC2217" s="47" t="n"/>
      <c r="AD2217" s="47" t="n"/>
      <c r="AE2217" s="47" t="n"/>
      <c r="AF2217" s="20">
        <f>IF(A2217="","",YEAR(EDATE(A2217,-3)))</f>
        <v/>
      </c>
      <c r="AG2217" s="20">
        <f>IF(OR(B2217="",'経歴簿'!$C$4=""),"",IF(B2217&amp;""='経歴簿'!$C$4&amp;"",MAX($AG$4:AG2216)+1,""))</f>
        <v/>
      </c>
      <c r="AH2217" s="20">
        <f>IF(A2217="",0,IF(AND(OR('CSV抽出'!$C$4="",A2217&gt;='CSV抽出'!$C$4),OR('CSV抽出'!$C$5="",A2217&lt;='CSV抽出'!$C$5),OR('CSV抽出'!$C$6="すべて",'CSV抽出'!$C$6="",D2217='CSV抽出'!$C$6),OR('CSV抽出'!$C$7="",B2217&amp;""='CSV抽出'!$C$7&amp;"")),1,0))</f>
        <v/>
      </c>
      <c r="AI2217" s="20">
        <f>IF(AH2217=1,SUM($AH$5:AH2217),"")</f>
        <v/>
      </c>
      <c r="AJ2217" s="20">
        <f>IF(OR(S2217="",'報告書'!$C$4=""),"",IF(S2217&amp;""='報告書'!$C$4&amp;"",COUNTIF($S$5:S2217,'報告書'!$C$4),""))</f>
        <v/>
      </c>
      <c r="AK2217" s="20" t="n"/>
      <c r="AL2217" s="47" t="n"/>
      <c r="AM2217" s="47" t="n"/>
      <c r="AN2217" s="53" t="n"/>
      <c r="AO2217" s="47" t="n"/>
      <c r="AP2217" s="47" t="n"/>
      <c r="AQ2217" s="47" t="n"/>
      <c r="AR2217" s="47" t="n"/>
      <c r="AS2217" s="47" t="n"/>
      <c r="AT2217" s="47" t="n"/>
      <c r="AU2217" s="47" t="n"/>
      <c r="AV2217" s="47" t="n"/>
      <c r="AW2217" s="52" t="n"/>
    </row>
    <row r="2218">
      <c r="A2218" s="48" t="n"/>
      <c r="B2218" s="52" t="n"/>
      <c r="C2218" s="47">
        <f>IF(B2218="","",IFERROR(INDEX('隊員マスタ'!$B$5:$B$204,MATCH(B2218&amp;"",'隊員マスタ'!$F$5:$F$204,0)),IF(AK2218="","番号なし",AK2218)))</f>
        <v/>
      </c>
      <c r="D2218" s="47" t="n"/>
      <c r="E2218" s="47" t="n"/>
      <c r="F2218" s="47" t="n"/>
      <c r="G2218" s="47" t="n"/>
      <c r="H2218" s="47" t="n"/>
      <c r="I2218" s="47" t="n"/>
      <c r="J2218" s="47" t="n"/>
      <c r="K2218" s="47" t="n"/>
      <c r="L2218" s="47" t="n"/>
      <c r="M2218" s="47" t="n"/>
      <c r="N2218" s="47" t="n"/>
      <c r="O2218" s="47" t="n"/>
      <c r="P2218" s="47" t="n"/>
      <c r="Q2218" s="47" t="n"/>
      <c r="R2218" s="47" t="n"/>
      <c r="S2218" s="47" t="n"/>
      <c r="T2218" s="47" t="n"/>
      <c r="U2218" s="53" t="n"/>
      <c r="V2218" s="53" t="n"/>
      <c r="W2218" s="47" t="n"/>
      <c r="X2218" s="47" t="n"/>
      <c r="Y2218" s="47" t="n"/>
      <c r="Z2218" s="47" t="n"/>
      <c r="AA2218" s="47" t="n"/>
      <c r="AB2218" s="47" t="n"/>
      <c r="AC2218" s="47" t="n"/>
      <c r="AD2218" s="47" t="n"/>
      <c r="AE2218" s="47" t="n"/>
      <c r="AF2218" s="20">
        <f>IF(A2218="","",YEAR(EDATE(A2218,-3)))</f>
        <v/>
      </c>
      <c r="AG2218" s="20">
        <f>IF(OR(B2218="",'経歴簿'!$C$4=""),"",IF(B2218&amp;""='経歴簿'!$C$4&amp;"",MAX($AG$4:AG2217)+1,""))</f>
        <v/>
      </c>
      <c r="AH2218" s="20">
        <f>IF(A2218="",0,IF(AND(OR('CSV抽出'!$C$4="",A2218&gt;='CSV抽出'!$C$4),OR('CSV抽出'!$C$5="",A2218&lt;='CSV抽出'!$C$5),OR('CSV抽出'!$C$6="すべて",'CSV抽出'!$C$6="",D2218='CSV抽出'!$C$6),OR('CSV抽出'!$C$7="",B2218&amp;""='CSV抽出'!$C$7&amp;"")),1,0))</f>
        <v/>
      </c>
      <c r="AI2218" s="20">
        <f>IF(AH2218=1,SUM($AH$5:AH2218),"")</f>
        <v/>
      </c>
      <c r="AJ2218" s="20">
        <f>IF(OR(S2218="",'報告書'!$C$4=""),"",IF(S2218&amp;""='報告書'!$C$4&amp;"",COUNTIF($S$5:S2218,'報告書'!$C$4),""))</f>
        <v/>
      </c>
      <c r="AK2218" s="20" t="n"/>
      <c r="AL2218" s="47" t="n"/>
      <c r="AM2218" s="47" t="n"/>
      <c r="AN2218" s="53" t="n"/>
      <c r="AO2218" s="47" t="n"/>
      <c r="AP2218" s="47" t="n"/>
      <c r="AQ2218" s="47" t="n"/>
      <c r="AR2218" s="47" t="n"/>
      <c r="AS2218" s="47" t="n"/>
      <c r="AT2218" s="47" t="n"/>
      <c r="AU2218" s="47" t="n"/>
      <c r="AV2218" s="47" t="n"/>
      <c r="AW2218" s="52" t="n"/>
    </row>
    <row r="2219">
      <c r="A2219" s="48" t="n"/>
      <c r="B2219" s="52" t="n"/>
      <c r="C2219" s="47">
        <f>IF(B2219="","",IFERROR(INDEX('隊員マスタ'!$B$5:$B$204,MATCH(B2219&amp;"",'隊員マスタ'!$F$5:$F$204,0)),IF(AK2219="","番号なし",AK2219)))</f>
        <v/>
      </c>
      <c r="D2219" s="47" t="n"/>
      <c r="E2219" s="47" t="n"/>
      <c r="F2219" s="47" t="n"/>
      <c r="G2219" s="47" t="n"/>
      <c r="H2219" s="47" t="n"/>
      <c r="I2219" s="47" t="n"/>
      <c r="J2219" s="47" t="n"/>
      <c r="K2219" s="47" t="n"/>
      <c r="L2219" s="47" t="n"/>
      <c r="M2219" s="47" t="n"/>
      <c r="N2219" s="47" t="n"/>
      <c r="O2219" s="47" t="n"/>
      <c r="P2219" s="47" t="n"/>
      <c r="Q2219" s="47" t="n"/>
      <c r="R2219" s="47" t="n"/>
      <c r="S2219" s="47" t="n"/>
      <c r="T2219" s="47" t="n"/>
      <c r="U2219" s="53" t="n"/>
      <c r="V2219" s="53" t="n"/>
      <c r="W2219" s="47" t="n"/>
      <c r="X2219" s="47" t="n"/>
      <c r="Y2219" s="47" t="n"/>
      <c r="Z2219" s="47" t="n"/>
      <c r="AA2219" s="47" t="n"/>
      <c r="AB2219" s="47" t="n"/>
      <c r="AC2219" s="47" t="n"/>
      <c r="AD2219" s="47" t="n"/>
      <c r="AE2219" s="47" t="n"/>
      <c r="AF2219" s="20">
        <f>IF(A2219="","",YEAR(EDATE(A2219,-3)))</f>
        <v/>
      </c>
      <c r="AG2219" s="20">
        <f>IF(OR(B2219="",'経歴簿'!$C$4=""),"",IF(B2219&amp;""='経歴簿'!$C$4&amp;"",MAX($AG$4:AG2218)+1,""))</f>
        <v/>
      </c>
      <c r="AH2219" s="20">
        <f>IF(A2219="",0,IF(AND(OR('CSV抽出'!$C$4="",A2219&gt;='CSV抽出'!$C$4),OR('CSV抽出'!$C$5="",A2219&lt;='CSV抽出'!$C$5),OR('CSV抽出'!$C$6="すべて",'CSV抽出'!$C$6="",D2219='CSV抽出'!$C$6),OR('CSV抽出'!$C$7="",B2219&amp;""='CSV抽出'!$C$7&amp;"")),1,0))</f>
        <v/>
      </c>
      <c r="AI2219" s="20">
        <f>IF(AH2219=1,SUM($AH$5:AH2219),"")</f>
        <v/>
      </c>
      <c r="AJ2219" s="20">
        <f>IF(OR(S2219="",'報告書'!$C$4=""),"",IF(S2219&amp;""='報告書'!$C$4&amp;"",COUNTIF($S$5:S2219,'報告書'!$C$4),""))</f>
        <v/>
      </c>
      <c r="AK2219" s="20" t="n"/>
      <c r="AL2219" s="47" t="n"/>
      <c r="AM2219" s="47" t="n"/>
      <c r="AN2219" s="53" t="n"/>
      <c r="AO2219" s="47" t="n"/>
      <c r="AP2219" s="47" t="n"/>
      <c r="AQ2219" s="47" t="n"/>
      <c r="AR2219" s="47" t="n"/>
      <c r="AS2219" s="47" t="n"/>
      <c r="AT2219" s="47" t="n"/>
      <c r="AU2219" s="47" t="n"/>
      <c r="AV2219" s="47" t="n"/>
      <c r="AW2219" s="52" t="n"/>
    </row>
    <row r="2220">
      <c r="A2220" s="48" t="n"/>
      <c r="B2220" s="52" t="n"/>
      <c r="C2220" s="47">
        <f>IF(B2220="","",IFERROR(INDEX('隊員マスタ'!$B$5:$B$204,MATCH(B2220&amp;"",'隊員マスタ'!$F$5:$F$204,0)),IF(AK2220="","番号なし",AK2220)))</f>
        <v/>
      </c>
      <c r="D2220" s="47" t="n"/>
      <c r="E2220" s="47" t="n"/>
      <c r="F2220" s="47" t="n"/>
      <c r="G2220" s="47" t="n"/>
      <c r="H2220" s="47" t="n"/>
      <c r="I2220" s="47" t="n"/>
      <c r="J2220" s="47" t="n"/>
      <c r="K2220" s="47" t="n"/>
      <c r="L2220" s="47" t="n"/>
      <c r="M2220" s="47" t="n"/>
      <c r="N2220" s="47" t="n"/>
      <c r="O2220" s="47" t="n"/>
      <c r="P2220" s="47" t="n"/>
      <c r="Q2220" s="47" t="n"/>
      <c r="R2220" s="47" t="n"/>
      <c r="S2220" s="47" t="n"/>
      <c r="T2220" s="47" t="n"/>
      <c r="U2220" s="53" t="n"/>
      <c r="V2220" s="53" t="n"/>
      <c r="W2220" s="47" t="n"/>
      <c r="X2220" s="47" t="n"/>
      <c r="Y2220" s="47" t="n"/>
      <c r="Z2220" s="47" t="n"/>
      <c r="AA2220" s="47" t="n"/>
      <c r="AB2220" s="47" t="n"/>
      <c r="AC2220" s="47" t="n"/>
      <c r="AD2220" s="47" t="n"/>
      <c r="AE2220" s="47" t="n"/>
      <c r="AF2220" s="20">
        <f>IF(A2220="","",YEAR(EDATE(A2220,-3)))</f>
        <v/>
      </c>
      <c r="AG2220" s="20">
        <f>IF(OR(B2220="",'経歴簿'!$C$4=""),"",IF(B2220&amp;""='経歴簿'!$C$4&amp;"",MAX($AG$4:AG2219)+1,""))</f>
        <v/>
      </c>
      <c r="AH2220" s="20">
        <f>IF(A2220="",0,IF(AND(OR('CSV抽出'!$C$4="",A2220&gt;='CSV抽出'!$C$4),OR('CSV抽出'!$C$5="",A2220&lt;='CSV抽出'!$C$5),OR('CSV抽出'!$C$6="すべて",'CSV抽出'!$C$6="",D2220='CSV抽出'!$C$6),OR('CSV抽出'!$C$7="",B2220&amp;""='CSV抽出'!$C$7&amp;"")),1,0))</f>
        <v/>
      </c>
      <c r="AI2220" s="20">
        <f>IF(AH2220=1,SUM($AH$5:AH2220),"")</f>
        <v/>
      </c>
      <c r="AJ2220" s="20">
        <f>IF(OR(S2220="",'報告書'!$C$4=""),"",IF(S2220&amp;""='報告書'!$C$4&amp;"",COUNTIF($S$5:S2220,'報告書'!$C$4),""))</f>
        <v/>
      </c>
      <c r="AK2220" s="20" t="n"/>
      <c r="AL2220" s="47" t="n"/>
      <c r="AM2220" s="47" t="n"/>
      <c r="AN2220" s="53" t="n"/>
      <c r="AO2220" s="47" t="n"/>
      <c r="AP2220" s="47" t="n"/>
      <c r="AQ2220" s="47" t="n"/>
      <c r="AR2220" s="47" t="n"/>
      <c r="AS2220" s="47" t="n"/>
      <c r="AT2220" s="47" t="n"/>
      <c r="AU2220" s="47" t="n"/>
      <c r="AV2220" s="47" t="n"/>
      <c r="AW2220" s="52" t="n"/>
    </row>
    <row r="2221">
      <c r="A2221" s="48" t="n"/>
      <c r="B2221" s="52" t="n"/>
      <c r="C2221" s="47">
        <f>IF(B2221="","",IFERROR(INDEX('隊員マスタ'!$B$5:$B$204,MATCH(B2221&amp;"",'隊員マスタ'!$F$5:$F$204,0)),IF(AK2221="","番号なし",AK2221)))</f>
        <v/>
      </c>
      <c r="D2221" s="47" t="n"/>
      <c r="E2221" s="47" t="n"/>
      <c r="F2221" s="47" t="n"/>
      <c r="G2221" s="47" t="n"/>
      <c r="H2221" s="47" t="n"/>
      <c r="I2221" s="47" t="n"/>
      <c r="J2221" s="47" t="n"/>
      <c r="K2221" s="47" t="n"/>
      <c r="L2221" s="47" t="n"/>
      <c r="M2221" s="47" t="n"/>
      <c r="N2221" s="47" t="n"/>
      <c r="O2221" s="47" t="n"/>
      <c r="P2221" s="47" t="n"/>
      <c r="Q2221" s="47" t="n"/>
      <c r="R2221" s="47" t="n"/>
      <c r="S2221" s="47" t="n"/>
      <c r="T2221" s="47" t="n"/>
      <c r="U2221" s="53" t="n"/>
      <c r="V2221" s="53" t="n"/>
      <c r="W2221" s="47" t="n"/>
      <c r="X2221" s="47" t="n"/>
      <c r="Y2221" s="47" t="n"/>
      <c r="Z2221" s="47" t="n"/>
      <c r="AA2221" s="47" t="n"/>
      <c r="AB2221" s="47" t="n"/>
      <c r="AC2221" s="47" t="n"/>
      <c r="AD2221" s="47" t="n"/>
      <c r="AE2221" s="47" t="n"/>
      <c r="AF2221" s="20">
        <f>IF(A2221="","",YEAR(EDATE(A2221,-3)))</f>
        <v/>
      </c>
      <c r="AG2221" s="20">
        <f>IF(OR(B2221="",'経歴簿'!$C$4=""),"",IF(B2221&amp;""='経歴簿'!$C$4&amp;"",MAX($AG$4:AG2220)+1,""))</f>
        <v/>
      </c>
      <c r="AH2221" s="20">
        <f>IF(A2221="",0,IF(AND(OR('CSV抽出'!$C$4="",A2221&gt;='CSV抽出'!$C$4),OR('CSV抽出'!$C$5="",A2221&lt;='CSV抽出'!$C$5),OR('CSV抽出'!$C$6="すべて",'CSV抽出'!$C$6="",D2221='CSV抽出'!$C$6),OR('CSV抽出'!$C$7="",B2221&amp;""='CSV抽出'!$C$7&amp;"")),1,0))</f>
        <v/>
      </c>
      <c r="AI2221" s="20">
        <f>IF(AH2221=1,SUM($AH$5:AH2221),"")</f>
        <v/>
      </c>
      <c r="AJ2221" s="20">
        <f>IF(OR(S2221="",'報告書'!$C$4=""),"",IF(S2221&amp;""='報告書'!$C$4&amp;"",COUNTIF($S$5:S2221,'報告書'!$C$4),""))</f>
        <v/>
      </c>
      <c r="AK2221" s="20" t="n"/>
      <c r="AL2221" s="47" t="n"/>
      <c r="AM2221" s="47" t="n"/>
      <c r="AN2221" s="53" t="n"/>
      <c r="AO2221" s="47" t="n"/>
      <c r="AP2221" s="47" t="n"/>
      <c r="AQ2221" s="47" t="n"/>
      <c r="AR2221" s="47" t="n"/>
      <c r="AS2221" s="47" t="n"/>
      <c r="AT2221" s="47" t="n"/>
      <c r="AU2221" s="47" t="n"/>
      <c r="AV2221" s="47" t="n"/>
      <c r="AW2221" s="52" t="n"/>
    </row>
    <row r="2222">
      <c r="A2222" s="48" t="n"/>
      <c r="B2222" s="52" t="n"/>
      <c r="C2222" s="47">
        <f>IF(B2222="","",IFERROR(INDEX('隊員マスタ'!$B$5:$B$204,MATCH(B2222&amp;"",'隊員マスタ'!$F$5:$F$204,0)),IF(AK2222="","番号なし",AK2222)))</f>
        <v/>
      </c>
      <c r="D2222" s="47" t="n"/>
      <c r="E2222" s="47" t="n"/>
      <c r="F2222" s="47" t="n"/>
      <c r="G2222" s="47" t="n"/>
      <c r="H2222" s="47" t="n"/>
      <c r="I2222" s="47" t="n"/>
      <c r="J2222" s="47" t="n"/>
      <c r="K2222" s="47" t="n"/>
      <c r="L2222" s="47" t="n"/>
      <c r="M2222" s="47" t="n"/>
      <c r="N2222" s="47" t="n"/>
      <c r="O2222" s="47" t="n"/>
      <c r="P2222" s="47" t="n"/>
      <c r="Q2222" s="47" t="n"/>
      <c r="R2222" s="47" t="n"/>
      <c r="S2222" s="47" t="n"/>
      <c r="T2222" s="47" t="n"/>
      <c r="U2222" s="53" t="n"/>
      <c r="V2222" s="53" t="n"/>
      <c r="W2222" s="47" t="n"/>
      <c r="X2222" s="47" t="n"/>
      <c r="Y2222" s="47" t="n"/>
      <c r="Z2222" s="47" t="n"/>
      <c r="AA2222" s="47" t="n"/>
      <c r="AB2222" s="47" t="n"/>
      <c r="AC2222" s="47" t="n"/>
      <c r="AD2222" s="47" t="n"/>
      <c r="AE2222" s="47" t="n"/>
      <c r="AF2222" s="20">
        <f>IF(A2222="","",YEAR(EDATE(A2222,-3)))</f>
        <v/>
      </c>
      <c r="AG2222" s="20">
        <f>IF(OR(B2222="",'経歴簿'!$C$4=""),"",IF(B2222&amp;""='経歴簿'!$C$4&amp;"",MAX($AG$4:AG2221)+1,""))</f>
        <v/>
      </c>
      <c r="AH2222" s="20">
        <f>IF(A2222="",0,IF(AND(OR('CSV抽出'!$C$4="",A2222&gt;='CSV抽出'!$C$4),OR('CSV抽出'!$C$5="",A2222&lt;='CSV抽出'!$C$5),OR('CSV抽出'!$C$6="すべて",'CSV抽出'!$C$6="",D2222='CSV抽出'!$C$6),OR('CSV抽出'!$C$7="",B2222&amp;""='CSV抽出'!$C$7&amp;"")),1,0))</f>
        <v/>
      </c>
      <c r="AI2222" s="20">
        <f>IF(AH2222=1,SUM($AH$5:AH2222),"")</f>
        <v/>
      </c>
      <c r="AJ2222" s="20">
        <f>IF(OR(S2222="",'報告書'!$C$4=""),"",IF(S2222&amp;""='報告書'!$C$4&amp;"",COUNTIF($S$5:S2222,'報告書'!$C$4),""))</f>
        <v/>
      </c>
      <c r="AK2222" s="20" t="n"/>
      <c r="AL2222" s="47" t="n"/>
      <c r="AM2222" s="47" t="n"/>
      <c r="AN2222" s="53" t="n"/>
      <c r="AO2222" s="47" t="n"/>
      <c r="AP2222" s="47" t="n"/>
      <c r="AQ2222" s="47" t="n"/>
      <c r="AR2222" s="47" t="n"/>
      <c r="AS2222" s="47" t="n"/>
      <c r="AT2222" s="47" t="n"/>
      <c r="AU2222" s="47" t="n"/>
      <c r="AV2222" s="47" t="n"/>
      <c r="AW2222" s="52" t="n"/>
    </row>
    <row r="2223">
      <c r="A2223" s="48" t="n"/>
      <c r="B2223" s="52" t="n"/>
      <c r="C2223" s="47">
        <f>IF(B2223="","",IFERROR(INDEX('隊員マスタ'!$B$5:$B$204,MATCH(B2223&amp;"",'隊員マスタ'!$F$5:$F$204,0)),IF(AK2223="","番号なし",AK2223)))</f>
        <v/>
      </c>
      <c r="D2223" s="47" t="n"/>
      <c r="E2223" s="47" t="n"/>
      <c r="F2223" s="47" t="n"/>
      <c r="G2223" s="47" t="n"/>
      <c r="H2223" s="47" t="n"/>
      <c r="I2223" s="47" t="n"/>
      <c r="J2223" s="47" t="n"/>
      <c r="K2223" s="47" t="n"/>
      <c r="L2223" s="47" t="n"/>
      <c r="M2223" s="47" t="n"/>
      <c r="N2223" s="47" t="n"/>
      <c r="O2223" s="47" t="n"/>
      <c r="P2223" s="47" t="n"/>
      <c r="Q2223" s="47" t="n"/>
      <c r="R2223" s="47" t="n"/>
      <c r="S2223" s="47" t="n"/>
      <c r="T2223" s="47" t="n"/>
      <c r="U2223" s="53" t="n"/>
      <c r="V2223" s="53" t="n"/>
      <c r="W2223" s="47" t="n"/>
      <c r="X2223" s="47" t="n"/>
      <c r="Y2223" s="47" t="n"/>
      <c r="Z2223" s="47" t="n"/>
      <c r="AA2223" s="47" t="n"/>
      <c r="AB2223" s="47" t="n"/>
      <c r="AC2223" s="47" t="n"/>
      <c r="AD2223" s="47" t="n"/>
      <c r="AE2223" s="47" t="n"/>
      <c r="AF2223" s="20">
        <f>IF(A2223="","",YEAR(EDATE(A2223,-3)))</f>
        <v/>
      </c>
      <c r="AG2223" s="20">
        <f>IF(OR(B2223="",'経歴簿'!$C$4=""),"",IF(B2223&amp;""='経歴簿'!$C$4&amp;"",MAX($AG$4:AG2222)+1,""))</f>
        <v/>
      </c>
      <c r="AH2223" s="20">
        <f>IF(A2223="",0,IF(AND(OR('CSV抽出'!$C$4="",A2223&gt;='CSV抽出'!$C$4),OR('CSV抽出'!$C$5="",A2223&lt;='CSV抽出'!$C$5),OR('CSV抽出'!$C$6="すべて",'CSV抽出'!$C$6="",D2223='CSV抽出'!$C$6),OR('CSV抽出'!$C$7="",B2223&amp;""='CSV抽出'!$C$7&amp;"")),1,0))</f>
        <v/>
      </c>
      <c r="AI2223" s="20">
        <f>IF(AH2223=1,SUM($AH$5:AH2223),"")</f>
        <v/>
      </c>
      <c r="AJ2223" s="20">
        <f>IF(OR(S2223="",'報告書'!$C$4=""),"",IF(S2223&amp;""='報告書'!$C$4&amp;"",COUNTIF($S$5:S2223,'報告書'!$C$4),""))</f>
        <v/>
      </c>
      <c r="AK2223" s="20" t="n"/>
      <c r="AL2223" s="47" t="n"/>
      <c r="AM2223" s="47" t="n"/>
      <c r="AN2223" s="53" t="n"/>
      <c r="AO2223" s="47" t="n"/>
      <c r="AP2223" s="47" t="n"/>
      <c r="AQ2223" s="47" t="n"/>
      <c r="AR2223" s="47" t="n"/>
      <c r="AS2223" s="47" t="n"/>
      <c r="AT2223" s="47" t="n"/>
      <c r="AU2223" s="47" t="n"/>
      <c r="AV2223" s="47" t="n"/>
      <c r="AW2223" s="52" t="n"/>
    </row>
    <row r="2224">
      <c r="A2224" s="48" t="n"/>
      <c r="B2224" s="52" t="n"/>
      <c r="C2224" s="47">
        <f>IF(B2224="","",IFERROR(INDEX('隊員マスタ'!$B$5:$B$204,MATCH(B2224&amp;"",'隊員マスタ'!$F$5:$F$204,0)),IF(AK2224="","番号なし",AK2224)))</f>
        <v/>
      </c>
      <c r="D2224" s="47" t="n"/>
      <c r="E2224" s="47" t="n"/>
      <c r="F2224" s="47" t="n"/>
      <c r="G2224" s="47" t="n"/>
      <c r="H2224" s="47" t="n"/>
      <c r="I2224" s="47" t="n"/>
      <c r="J2224" s="47" t="n"/>
      <c r="K2224" s="47" t="n"/>
      <c r="L2224" s="47" t="n"/>
      <c r="M2224" s="47" t="n"/>
      <c r="N2224" s="47" t="n"/>
      <c r="O2224" s="47" t="n"/>
      <c r="P2224" s="47" t="n"/>
      <c r="Q2224" s="47" t="n"/>
      <c r="R2224" s="47" t="n"/>
      <c r="S2224" s="47" t="n"/>
      <c r="T2224" s="47" t="n"/>
      <c r="U2224" s="53" t="n"/>
      <c r="V2224" s="53" t="n"/>
      <c r="W2224" s="47" t="n"/>
      <c r="X2224" s="47" t="n"/>
      <c r="Y2224" s="47" t="n"/>
      <c r="Z2224" s="47" t="n"/>
      <c r="AA2224" s="47" t="n"/>
      <c r="AB2224" s="47" t="n"/>
      <c r="AC2224" s="47" t="n"/>
      <c r="AD2224" s="47" t="n"/>
      <c r="AE2224" s="47" t="n"/>
      <c r="AF2224" s="20">
        <f>IF(A2224="","",YEAR(EDATE(A2224,-3)))</f>
        <v/>
      </c>
      <c r="AG2224" s="20">
        <f>IF(OR(B2224="",'経歴簿'!$C$4=""),"",IF(B2224&amp;""='経歴簿'!$C$4&amp;"",MAX($AG$4:AG2223)+1,""))</f>
        <v/>
      </c>
      <c r="AH2224" s="20">
        <f>IF(A2224="",0,IF(AND(OR('CSV抽出'!$C$4="",A2224&gt;='CSV抽出'!$C$4),OR('CSV抽出'!$C$5="",A2224&lt;='CSV抽出'!$C$5),OR('CSV抽出'!$C$6="すべて",'CSV抽出'!$C$6="",D2224='CSV抽出'!$C$6),OR('CSV抽出'!$C$7="",B2224&amp;""='CSV抽出'!$C$7&amp;"")),1,0))</f>
        <v/>
      </c>
      <c r="AI2224" s="20">
        <f>IF(AH2224=1,SUM($AH$5:AH2224),"")</f>
        <v/>
      </c>
      <c r="AJ2224" s="20">
        <f>IF(OR(S2224="",'報告書'!$C$4=""),"",IF(S2224&amp;""='報告書'!$C$4&amp;"",COUNTIF($S$5:S2224,'報告書'!$C$4),""))</f>
        <v/>
      </c>
      <c r="AK2224" s="20" t="n"/>
      <c r="AL2224" s="47" t="n"/>
      <c r="AM2224" s="47" t="n"/>
      <c r="AN2224" s="53" t="n"/>
      <c r="AO2224" s="47" t="n"/>
      <c r="AP2224" s="47" t="n"/>
      <c r="AQ2224" s="47" t="n"/>
      <c r="AR2224" s="47" t="n"/>
      <c r="AS2224" s="47" t="n"/>
      <c r="AT2224" s="47" t="n"/>
      <c r="AU2224" s="47" t="n"/>
      <c r="AV2224" s="47" t="n"/>
      <c r="AW2224" s="52" t="n"/>
    </row>
    <row r="2225">
      <c r="A2225" s="48" t="n"/>
      <c r="B2225" s="52" t="n"/>
      <c r="C2225" s="47">
        <f>IF(B2225="","",IFERROR(INDEX('隊員マスタ'!$B$5:$B$204,MATCH(B2225&amp;"",'隊員マスタ'!$F$5:$F$204,0)),IF(AK2225="","番号なし",AK2225)))</f>
        <v/>
      </c>
      <c r="D2225" s="47" t="n"/>
      <c r="E2225" s="47" t="n"/>
      <c r="F2225" s="47" t="n"/>
      <c r="G2225" s="47" t="n"/>
      <c r="H2225" s="47" t="n"/>
      <c r="I2225" s="47" t="n"/>
      <c r="J2225" s="47" t="n"/>
      <c r="K2225" s="47" t="n"/>
      <c r="L2225" s="47" t="n"/>
      <c r="M2225" s="47" t="n"/>
      <c r="N2225" s="47" t="n"/>
      <c r="O2225" s="47" t="n"/>
      <c r="P2225" s="47" t="n"/>
      <c r="Q2225" s="47" t="n"/>
      <c r="R2225" s="47" t="n"/>
      <c r="S2225" s="47" t="n"/>
      <c r="T2225" s="47" t="n"/>
      <c r="U2225" s="53" t="n"/>
      <c r="V2225" s="53" t="n"/>
      <c r="W2225" s="47" t="n"/>
      <c r="X2225" s="47" t="n"/>
      <c r="Y2225" s="47" t="n"/>
      <c r="Z2225" s="47" t="n"/>
      <c r="AA2225" s="47" t="n"/>
      <c r="AB2225" s="47" t="n"/>
      <c r="AC2225" s="47" t="n"/>
      <c r="AD2225" s="47" t="n"/>
      <c r="AE2225" s="47" t="n"/>
      <c r="AF2225" s="20">
        <f>IF(A2225="","",YEAR(EDATE(A2225,-3)))</f>
        <v/>
      </c>
      <c r="AG2225" s="20">
        <f>IF(OR(B2225="",'経歴簿'!$C$4=""),"",IF(B2225&amp;""='経歴簿'!$C$4&amp;"",MAX($AG$4:AG2224)+1,""))</f>
        <v/>
      </c>
      <c r="AH2225" s="20">
        <f>IF(A2225="",0,IF(AND(OR('CSV抽出'!$C$4="",A2225&gt;='CSV抽出'!$C$4),OR('CSV抽出'!$C$5="",A2225&lt;='CSV抽出'!$C$5),OR('CSV抽出'!$C$6="すべて",'CSV抽出'!$C$6="",D2225='CSV抽出'!$C$6),OR('CSV抽出'!$C$7="",B2225&amp;""='CSV抽出'!$C$7&amp;"")),1,0))</f>
        <v/>
      </c>
      <c r="AI2225" s="20">
        <f>IF(AH2225=1,SUM($AH$5:AH2225),"")</f>
        <v/>
      </c>
      <c r="AJ2225" s="20">
        <f>IF(OR(S2225="",'報告書'!$C$4=""),"",IF(S2225&amp;""='報告書'!$C$4&amp;"",COUNTIF($S$5:S2225,'報告書'!$C$4),""))</f>
        <v/>
      </c>
      <c r="AK2225" s="20" t="n"/>
      <c r="AL2225" s="47" t="n"/>
      <c r="AM2225" s="47" t="n"/>
      <c r="AN2225" s="53" t="n"/>
      <c r="AO2225" s="47" t="n"/>
      <c r="AP2225" s="47" t="n"/>
      <c r="AQ2225" s="47" t="n"/>
      <c r="AR2225" s="47" t="n"/>
      <c r="AS2225" s="47" t="n"/>
      <c r="AT2225" s="47" t="n"/>
      <c r="AU2225" s="47" t="n"/>
      <c r="AV2225" s="47" t="n"/>
      <c r="AW2225" s="52" t="n"/>
    </row>
    <row r="2226">
      <c r="A2226" s="48" t="n"/>
      <c r="B2226" s="52" t="n"/>
      <c r="C2226" s="47">
        <f>IF(B2226="","",IFERROR(INDEX('隊員マスタ'!$B$5:$B$204,MATCH(B2226&amp;"",'隊員マスタ'!$F$5:$F$204,0)),IF(AK2226="","番号なし",AK2226)))</f>
        <v/>
      </c>
      <c r="D2226" s="47" t="n"/>
      <c r="E2226" s="47" t="n"/>
      <c r="F2226" s="47" t="n"/>
      <c r="G2226" s="47" t="n"/>
      <c r="H2226" s="47" t="n"/>
      <c r="I2226" s="47" t="n"/>
      <c r="J2226" s="47" t="n"/>
      <c r="K2226" s="47" t="n"/>
      <c r="L2226" s="47" t="n"/>
      <c r="M2226" s="47" t="n"/>
      <c r="N2226" s="47" t="n"/>
      <c r="O2226" s="47" t="n"/>
      <c r="P2226" s="47" t="n"/>
      <c r="Q2226" s="47" t="n"/>
      <c r="R2226" s="47" t="n"/>
      <c r="S2226" s="47" t="n"/>
      <c r="T2226" s="47" t="n"/>
      <c r="U2226" s="53" t="n"/>
      <c r="V2226" s="53" t="n"/>
      <c r="W2226" s="47" t="n"/>
      <c r="X2226" s="47" t="n"/>
      <c r="Y2226" s="47" t="n"/>
      <c r="Z2226" s="47" t="n"/>
      <c r="AA2226" s="47" t="n"/>
      <c r="AB2226" s="47" t="n"/>
      <c r="AC2226" s="47" t="n"/>
      <c r="AD2226" s="47" t="n"/>
      <c r="AE2226" s="47" t="n"/>
      <c r="AF2226" s="20">
        <f>IF(A2226="","",YEAR(EDATE(A2226,-3)))</f>
        <v/>
      </c>
      <c r="AG2226" s="20">
        <f>IF(OR(B2226="",'経歴簿'!$C$4=""),"",IF(B2226&amp;""='経歴簿'!$C$4&amp;"",MAX($AG$4:AG2225)+1,""))</f>
        <v/>
      </c>
      <c r="AH2226" s="20">
        <f>IF(A2226="",0,IF(AND(OR('CSV抽出'!$C$4="",A2226&gt;='CSV抽出'!$C$4),OR('CSV抽出'!$C$5="",A2226&lt;='CSV抽出'!$C$5),OR('CSV抽出'!$C$6="すべて",'CSV抽出'!$C$6="",D2226='CSV抽出'!$C$6),OR('CSV抽出'!$C$7="",B2226&amp;""='CSV抽出'!$C$7&amp;"")),1,0))</f>
        <v/>
      </c>
      <c r="AI2226" s="20">
        <f>IF(AH2226=1,SUM($AH$5:AH2226),"")</f>
        <v/>
      </c>
      <c r="AJ2226" s="20">
        <f>IF(OR(S2226="",'報告書'!$C$4=""),"",IF(S2226&amp;""='報告書'!$C$4&amp;"",COUNTIF($S$5:S2226,'報告書'!$C$4),""))</f>
        <v/>
      </c>
      <c r="AK2226" s="20" t="n"/>
      <c r="AL2226" s="47" t="n"/>
      <c r="AM2226" s="47" t="n"/>
      <c r="AN2226" s="53" t="n"/>
      <c r="AO2226" s="47" t="n"/>
      <c r="AP2226" s="47" t="n"/>
      <c r="AQ2226" s="47" t="n"/>
      <c r="AR2226" s="47" t="n"/>
      <c r="AS2226" s="47" t="n"/>
      <c r="AT2226" s="47" t="n"/>
      <c r="AU2226" s="47" t="n"/>
      <c r="AV2226" s="47" t="n"/>
      <c r="AW2226" s="52" t="n"/>
    </row>
    <row r="2227">
      <c r="A2227" s="48" t="n"/>
      <c r="B2227" s="52" t="n"/>
      <c r="C2227" s="47">
        <f>IF(B2227="","",IFERROR(INDEX('隊員マスタ'!$B$5:$B$204,MATCH(B2227&amp;"",'隊員マスタ'!$F$5:$F$204,0)),IF(AK2227="","番号なし",AK2227)))</f>
        <v/>
      </c>
      <c r="D2227" s="47" t="n"/>
      <c r="E2227" s="47" t="n"/>
      <c r="F2227" s="47" t="n"/>
      <c r="G2227" s="47" t="n"/>
      <c r="H2227" s="47" t="n"/>
      <c r="I2227" s="47" t="n"/>
      <c r="J2227" s="47" t="n"/>
      <c r="K2227" s="47" t="n"/>
      <c r="L2227" s="47" t="n"/>
      <c r="M2227" s="47" t="n"/>
      <c r="N2227" s="47" t="n"/>
      <c r="O2227" s="47" t="n"/>
      <c r="P2227" s="47" t="n"/>
      <c r="Q2227" s="47" t="n"/>
      <c r="R2227" s="47" t="n"/>
      <c r="S2227" s="47" t="n"/>
      <c r="T2227" s="47" t="n"/>
      <c r="U2227" s="53" t="n"/>
      <c r="V2227" s="53" t="n"/>
      <c r="W2227" s="47" t="n"/>
      <c r="X2227" s="47" t="n"/>
      <c r="Y2227" s="47" t="n"/>
      <c r="Z2227" s="47" t="n"/>
      <c r="AA2227" s="47" t="n"/>
      <c r="AB2227" s="47" t="n"/>
      <c r="AC2227" s="47" t="n"/>
      <c r="AD2227" s="47" t="n"/>
      <c r="AE2227" s="47" t="n"/>
      <c r="AF2227" s="20">
        <f>IF(A2227="","",YEAR(EDATE(A2227,-3)))</f>
        <v/>
      </c>
      <c r="AG2227" s="20">
        <f>IF(OR(B2227="",'経歴簿'!$C$4=""),"",IF(B2227&amp;""='経歴簿'!$C$4&amp;"",MAX($AG$4:AG2226)+1,""))</f>
        <v/>
      </c>
      <c r="AH2227" s="20">
        <f>IF(A2227="",0,IF(AND(OR('CSV抽出'!$C$4="",A2227&gt;='CSV抽出'!$C$4),OR('CSV抽出'!$C$5="",A2227&lt;='CSV抽出'!$C$5),OR('CSV抽出'!$C$6="すべて",'CSV抽出'!$C$6="",D2227='CSV抽出'!$C$6),OR('CSV抽出'!$C$7="",B2227&amp;""='CSV抽出'!$C$7&amp;"")),1,0))</f>
        <v/>
      </c>
      <c r="AI2227" s="20">
        <f>IF(AH2227=1,SUM($AH$5:AH2227),"")</f>
        <v/>
      </c>
      <c r="AJ2227" s="20">
        <f>IF(OR(S2227="",'報告書'!$C$4=""),"",IF(S2227&amp;""='報告書'!$C$4&amp;"",COUNTIF($S$5:S2227,'報告書'!$C$4),""))</f>
        <v/>
      </c>
      <c r="AK2227" s="20" t="n"/>
      <c r="AL2227" s="47" t="n"/>
      <c r="AM2227" s="47" t="n"/>
      <c r="AN2227" s="53" t="n"/>
      <c r="AO2227" s="47" t="n"/>
      <c r="AP2227" s="47" t="n"/>
      <c r="AQ2227" s="47" t="n"/>
      <c r="AR2227" s="47" t="n"/>
      <c r="AS2227" s="47" t="n"/>
      <c r="AT2227" s="47" t="n"/>
      <c r="AU2227" s="47" t="n"/>
      <c r="AV2227" s="47" t="n"/>
      <c r="AW2227" s="52" t="n"/>
    </row>
    <row r="2228">
      <c r="A2228" s="48" t="n"/>
      <c r="B2228" s="52" t="n"/>
      <c r="C2228" s="47">
        <f>IF(B2228="","",IFERROR(INDEX('隊員マスタ'!$B$5:$B$204,MATCH(B2228&amp;"",'隊員マスタ'!$F$5:$F$204,0)),IF(AK2228="","番号なし",AK2228)))</f>
        <v/>
      </c>
      <c r="D2228" s="47" t="n"/>
      <c r="E2228" s="47" t="n"/>
      <c r="F2228" s="47" t="n"/>
      <c r="G2228" s="47" t="n"/>
      <c r="H2228" s="47" t="n"/>
      <c r="I2228" s="47" t="n"/>
      <c r="J2228" s="47" t="n"/>
      <c r="K2228" s="47" t="n"/>
      <c r="L2228" s="47" t="n"/>
      <c r="M2228" s="47" t="n"/>
      <c r="N2228" s="47" t="n"/>
      <c r="O2228" s="47" t="n"/>
      <c r="P2228" s="47" t="n"/>
      <c r="Q2228" s="47" t="n"/>
      <c r="R2228" s="47" t="n"/>
      <c r="S2228" s="47" t="n"/>
      <c r="T2228" s="47" t="n"/>
      <c r="U2228" s="53" t="n"/>
      <c r="V2228" s="53" t="n"/>
      <c r="W2228" s="47" t="n"/>
      <c r="X2228" s="47" t="n"/>
      <c r="Y2228" s="47" t="n"/>
      <c r="Z2228" s="47" t="n"/>
      <c r="AA2228" s="47" t="n"/>
      <c r="AB2228" s="47" t="n"/>
      <c r="AC2228" s="47" t="n"/>
      <c r="AD2228" s="47" t="n"/>
      <c r="AE2228" s="47" t="n"/>
      <c r="AF2228" s="20">
        <f>IF(A2228="","",YEAR(EDATE(A2228,-3)))</f>
        <v/>
      </c>
      <c r="AG2228" s="20">
        <f>IF(OR(B2228="",'経歴簿'!$C$4=""),"",IF(B2228&amp;""='経歴簿'!$C$4&amp;"",MAX($AG$4:AG2227)+1,""))</f>
        <v/>
      </c>
      <c r="AH2228" s="20">
        <f>IF(A2228="",0,IF(AND(OR('CSV抽出'!$C$4="",A2228&gt;='CSV抽出'!$C$4),OR('CSV抽出'!$C$5="",A2228&lt;='CSV抽出'!$C$5),OR('CSV抽出'!$C$6="すべて",'CSV抽出'!$C$6="",D2228='CSV抽出'!$C$6),OR('CSV抽出'!$C$7="",B2228&amp;""='CSV抽出'!$C$7&amp;"")),1,0))</f>
        <v/>
      </c>
      <c r="AI2228" s="20">
        <f>IF(AH2228=1,SUM($AH$5:AH2228),"")</f>
        <v/>
      </c>
      <c r="AJ2228" s="20">
        <f>IF(OR(S2228="",'報告書'!$C$4=""),"",IF(S2228&amp;""='報告書'!$C$4&amp;"",COUNTIF($S$5:S2228,'報告書'!$C$4),""))</f>
        <v/>
      </c>
      <c r="AK2228" s="20" t="n"/>
      <c r="AL2228" s="47" t="n"/>
      <c r="AM2228" s="47" t="n"/>
      <c r="AN2228" s="53" t="n"/>
      <c r="AO2228" s="47" t="n"/>
      <c r="AP2228" s="47" t="n"/>
      <c r="AQ2228" s="47" t="n"/>
      <c r="AR2228" s="47" t="n"/>
      <c r="AS2228" s="47" t="n"/>
      <c r="AT2228" s="47" t="n"/>
      <c r="AU2228" s="47" t="n"/>
      <c r="AV2228" s="47" t="n"/>
      <c r="AW2228" s="52" t="n"/>
    </row>
    <row r="2229">
      <c r="A2229" s="48" t="n"/>
      <c r="B2229" s="52" t="n"/>
      <c r="C2229" s="47">
        <f>IF(B2229="","",IFERROR(INDEX('隊員マスタ'!$B$5:$B$204,MATCH(B2229&amp;"",'隊員マスタ'!$F$5:$F$204,0)),IF(AK2229="","番号なし",AK2229)))</f>
        <v/>
      </c>
      <c r="D2229" s="47" t="n"/>
      <c r="E2229" s="47" t="n"/>
      <c r="F2229" s="47" t="n"/>
      <c r="G2229" s="47" t="n"/>
      <c r="H2229" s="47" t="n"/>
      <c r="I2229" s="47" t="n"/>
      <c r="J2229" s="47" t="n"/>
      <c r="K2229" s="47" t="n"/>
      <c r="L2229" s="47" t="n"/>
      <c r="M2229" s="47" t="n"/>
      <c r="N2229" s="47" t="n"/>
      <c r="O2229" s="47" t="n"/>
      <c r="P2229" s="47" t="n"/>
      <c r="Q2229" s="47" t="n"/>
      <c r="R2229" s="47" t="n"/>
      <c r="S2229" s="47" t="n"/>
      <c r="T2229" s="47" t="n"/>
      <c r="U2229" s="53" t="n"/>
      <c r="V2229" s="53" t="n"/>
      <c r="W2229" s="47" t="n"/>
      <c r="X2229" s="47" t="n"/>
      <c r="Y2229" s="47" t="n"/>
      <c r="Z2229" s="47" t="n"/>
      <c r="AA2229" s="47" t="n"/>
      <c r="AB2229" s="47" t="n"/>
      <c r="AC2229" s="47" t="n"/>
      <c r="AD2229" s="47" t="n"/>
      <c r="AE2229" s="47" t="n"/>
      <c r="AF2229" s="20">
        <f>IF(A2229="","",YEAR(EDATE(A2229,-3)))</f>
        <v/>
      </c>
      <c r="AG2229" s="20">
        <f>IF(OR(B2229="",'経歴簿'!$C$4=""),"",IF(B2229&amp;""='経歴簿'!$C$4&amp;"",MAX($AG$4:AG2228)+1,""))</f>
        <v/>
      </c>
      <c r="AH2229" s="20">
        <f>IF(A2229="",0,IF(AND(OR('CSV抽出'!$C$4="",A2229&gt;='CSV抽出'!$C$4),OR('CSV抽出'!$C$5="",A2229&lt;='CSV抽出'!$C$5),OR('CSV抽出'!$C$6="すべて",'CSV抽出'!$C$6="",D2229='CSV抽出'!$C$6),OR('CSV抽出'!$C$7="",B2229&amp;""='CSV抽出'!$C$7&amp;"")),1,0))</f>
        <v/>
      </c>
      <c r="AI2229" s="20">
        <f>IF(AH2229=1,SUM($AH$5:AH2229),"")</f>
        <v/>
      </c>
      <c r="AJ2229" s="20">
        <f>IF(OR(S2229="",'報告書'!$C$4=""),"",IF(S2229&amp;""='報告書'!$C$4&amp;"",COUNTIF($S$5:S2229,'報告書'!$C$4),""))</f>
        <v/>
      </c>
      <c r="AK2229" s="20" t="n"/>
      <c r="AL2229" s="47" t="n"/>
      <c r="AM2229" s="47" t="n"/>
      <c r="AN2229" s="53" t="n"/>
      <c r="AO2229" s="47" t="n"/>
      <c r="AP2229" s="47" t="n"/>
      <c r="AQ2229" s="47" t="n"/>
      <c r="AR2229" s="47" t="n"/>
      <c r="AS2229" s="47" t="n"/>
      <c r="AT2229" s="47" t="n"/>
      <c r="AU2229" s="47" t="n"/>
      <c r="AV2229" s="47" t="n"/>
      <c r="AW2229" s="52" t="n"/>
    </row>
    <row r="2230">
      <c r="A2230" s="48" t="n"/>
      <c r="B2230" s="52" t="n"/>
      <c r="C2230" s="47">
        <f>IF(B2230="","",IFERROR(INDEX('隊員マスタ'!$B$5:$B$204,MATCH(B2230&amp;"",'隊員マスタ'!$F$5:$F$204,0)),IF(AK2230="","番号なし",AK2230)))</f>
        <v/>
      </c>
      <c r="D2230" s="47" t="n"/>
      <c r="E2230" s="47" t="n"/>
      <c r="F2230" s="47" t="n"/>
      <c r="G2230" s="47" t="n"/>
      <c r="H2230" s="47" t="n"/>
      <c r="I2230" s="47" t="n"/>
      <c r="J2230" s="47" t="n"/>
      <c r="K2230" s="47" t="n"/>
      <c r="L2230" s="47" t="n"/>
      <c r="M2230" s="47" t="n"/>
      <c r="N2230" s="47" t="n"/>
      <c r="O2230" s="47" t="n"/>
      <c r="P2230" s="47" t="n"/>
      <c r="Q2230" s="47" t="n"/>
      <c r="R2230" s="47" t="n"/>
      <c r="S2230" s="47" t="n"/>
      <c r="T2230" s="47" t="n"/>
      <c r="U2230" s="53" t="n"/>
      <c r="V2230" s="53" t="n"/>
      <c r="W2230" s="47" t="n"/>
      <c r="X2230" s="47" t="n"/>
      <c r="Y2230" s="47" t="n"/>
      <c r="Z2230" s="47" t="n"/>
      <c r="AA2230" s="47" t="n"/>
      <c r="AB2230" s="47" t="n"/>
      <c r="AC2230" s="47" t="n"/>
      <c r="AD2230" s="47" t="n"/>
      <c r="AE2230" s="47" t="n"/>
      <c r="AF2230" s="20">
        <f>IF(A2230="","",YEAR(EDATE(A2230,-3)))</f>
        <v/>
      </c>
      <c r="AG2230" s="20">
        <f>IF(OR(B2230="",'経歴簿'!$C$4=""),"",IF(B2230&amp;""='経歴簿'!$C$4&amp;"",MAX($AG$4:AG2229)+1,""))</f>
        <v/>
      </c>
      <c r="AH2230" s="20">
        <f>IF(A2230="",0,IF(AND(OR('CSV抽出'!$C$4="",A2230&gt;='CSV抽出'!$C$4),OR('CSV抽出'!$C$5="",A2230&lt;='CSV抽出'!$C$5),OR('CSV抽出'!$C$6="すべて",'CSV抽出'!$C$6="",D2230='CSV抽出'!$C$6),OR('CSV抽出'!$C$7="",B2230&amp;""='CSV抽出'!$C$7&amp;"")),1,0))</f>
        <v/>
      </c>
      <c r="AI2230" s="20">
        <f>IF(AH2230=1,SUM($AH$5:AH2230),"")</f>
        <v/>
      </c>
      <c r="AJ2230" s="20">
        <f>IF(OR(S2230="",'報告書'!$C$4=""),"",IF(S2230&amp;""='報告書'!$C$4&amp;"",COUNTIF($S$5:S2230,'報告書'!$C$4),""))</f>
        <v/>
      </c>
      <c r="AK2230" s="20" t="n"/>
      <c r="AL2230" s="47" t="n"/>
      <c r="AM2230" s="47" t="n"/>
      <c r="AN2230" s="53" t="n"/>
      <c r="AO2230" s="47" t="n"/>
      <c r="AP2230" s="47" t="n"/>
      <c r="AQ2230" s="47" t="n"/>
      <c r="AR2230" s="47" t="n"/>
      <c r="AS2230" s="47" t="n"/>
      <c r="AT2230" s="47" t="n"/>
      <c r="AU2230" s="47" t="n"/>
      <c r="AV2230" s="47" t="n"/>
      <c r="AW2230" s="52" t="n"/>
    </row>
    <row r="2231">
      <c r="A2231" s="48" t="n"/>
      <c r="B2231" s="52" t="n"/>
      <c r="C2231" s="47">
        <f>IF(B2231="","",IFERROR(INDEX('隊員マスタ'!$B$5:$B$204,MATCH(B2231&amp;"",'隊員マスタ'!$F$5:$F$204,0)),IF(AK2231="","番号なし",AK2231)))</f>
        <v/>
      </c>
      <c r="D2231" s="47" t="n"/>
      <c r="E2231" s="47" t="n"/>
      <c r="F2231" s="47" t="n"/>
      <c r="G2231" s="47" t="n"/>
      <c r="H2231" s="47" t="n"/>
      <c r="I2231" s="47" t="n"/>
      <c r="J2231" s="47" t="n"/>
      <c r="K2231" s="47" t="n"/>
      <c r="L2231" s="47" t="n"/>
      <c r="M2231" s="47" t="n"/>
      <c r="N2231" s="47" t="n"/>
      <c r="O2231" s="47" t="n"/>
      <c r="P2231" s="47" t="n"/>
      <c r="Q2231" s="47" t="n"/>
      <c r="R2231" s="47" t="n"/>
      <c r="S2231" s="47" t="n"/>
      <c r="T2231" s="47" t="n"/>
      <c r="U2231" s="53" t="n"/>
      <c r="V2231" s="53" t="n"/>
      <c r="W2231" s="47" t="n"/>
      <c r="X2231" s="47" t="n"/>
      <c r="Y2231" s="47" t="n"/>
      <c r="Z2231" s="47" t="n"/>
      <c r="AA2231" s="47" t="n"/>
      <c r="AB2231" s="47" t="n"/>
      <c r="AC2231" s="47" t="n"/>
      <c r="AD2231" s="47" t="n"/>
      <c r="AE2231" s="47" t="n"/>
      <c r="AF2231" s="20">
        <f>IF(A2231="","",YEAR(EDATE(A2231,-3)))</f>
        <v/>
      </c>
      <c r="AG2231" s="20">
        <f>IF(OR(B2231="",'経歴簿'!$C$4=""),"",IF(B2231&amp;""='経歴簿'!$C$4&amp;"",MAX($AG$4:AG2230)+1,""))</f>
        <v/>
      </c>
      <c r="AH2231" s="20">
        <f>IF(A2231="",0,IF(AND(OR('CSV抽出'!$C$4="",A2231&gt;='CSV抽出'!$C$4),OR('CSV抽出'!$C$5="",A2231&lt;='CSV抽出'!$C$5),OR('CSV抽出'!$C$6="すべて",'CSV抽出'!$C$6="",D2231='CSV抽出'!$C$6),OR('CSV抽出'!$C$7="",B2231&amp;""='CSV抽出'!$C$7&amp;"")),1,0))</f>
        <v/>
      </c>
      <c r="AI2231" s="20">
        <f>IF(AH2231=1,SUM($AH$5:AH2231),"")</f>
        <v/>
      </c>
      <c r="AJ2231" s="20">
        <f>IF(OR(S2231="",'報告書'!$C$4=""),"",IF(S2231&amp;""='報告書'!$C$4&amp;"",COUNTIF($S$5:S2231,'報告書'!$C$4),""))</f>
        <v/>
      </c>
      <c r="AK2231" s="20" t="n"/>
      <c r="AL2231" s="47" t="n"/>
      <c r="AM2231" s="47" t="n"/>
      <c r="AN2231" s="53" t="n"/>
      <c r="AO2231" s="47" t="n"/>
      <c r="AP2231" s="47" t="n"/>
      <c r="AQ2231" s="47" t="n"/>
      <c r="AR2231" s="47" t="n"/>
      <c r="AS2231" s="47" t="n"/>
      <c r="AT2231" s="47" t="n"/>
      <c r="AU2231" s="47" t="n"/>
      <c r="AV2231" s="47" t="n"/>
      <c r="AW2231" s="52" t="n"/>
    </row>
    <row r="2232">
      <c r="A2232" s="48" t="n"/>
      <c r="B2232" s="52" t="n"/>
      <c r="C2232" s="47">
        <f>IF(B2232="","",IFERROR(INDEX('隊員マスタ'!$B$5:$B$204,MATCH(B2232&amp;"",'隊員マスタ'!$F$5:$F$204,0)),IF(AK2232="","番号なし",AK2232)))</f>
        <v/>
      </c>
      <c r="D2232" s="47" t="n"/>
      <c r="E2232" s="47" t="n"/>
      <c r="F2232" s="47" t="n"/>
      <c r="G2232" s="47" t="n"/>
      <c r="H2232" s="47" t="n"/>
      <c r="I2232" s="47" t="n"/>
      <c r="J2232" s="47" t="n"/>
      <c r="K2232" s="47" t="n"/>
      <c r="L2232" s="47" t="n"/>
      <c r="M2232" s="47" t="n"/>
      <c r="N2232" s="47" t="n"/>
      <c r="O2232" s="47" t="n"/>
      <c r="P2232" s="47" t="n"/>
      <c r="Q2232" s="47" t="n"/>
      <c r="R2232" s="47" t="n"/>
      <c r="S2232" s="47" t="n"/>
      <c r="T2232" s="47" t="n"/>
      <c r="U2232" s="53" t="n"/>
      <c r="V2232" s="53" t="n"/>
      <c r="W2232" s="47" t="n"/>
      <c r="X2232" s="47" t="n"/>
      <c r="Y2232" s="47" t="n"/>
      <c r="Z2232" s="47" t="n"/>
      <c r="AA2232" s="47" t="n"/>
      <c r="AB2232" s="47" t="n"/>
      <c r="AC2232" s="47" t="n"/>
      <c r="AD2232" s="47" t="n"/>
      <c r="AE2232" s="47" t="n"/>
      <c r="AF2232" s="20">
        <f>IF(A2232="","",YEAR(EDATE(A2232,-3)))</f>
        <v/>
      </c>
      <c r="AG2232" s="20">
        <f>IF(OR(B2232="",'経歴簿'!$C$4=""),"",IF(B2232&amp;""='経歴簿'!$C$4&amp;"",MAX($AG$4:AG2231)+1,""))</f>
        <v/>
      </c>
      <c r="AH2232" s="20">
        <f>IF(A2232="",0,IF(AND(OR('CSV抽出'!$C$4="",A2232&gt;='CSV抽出'!$C$4),OR('CSV抽出'!$C$5="",A2232&lt;='CSV抽出'!$C$5),OR('CSV抽出'!$C$6="すべて",'CSV抽出'!$C$6="",D2232='CSV抽出'!$C$6),OR('CSV抽出'!$C$7="",B2232&amp;""='CSV抽出'!$C$7&amp;"")),1,0))</f>
        <v/>
      </c>
      <c r="AI2232" s="20">
        <f>IF(AH2232=1,SUM($AH$5:AH2232),"")</f>
        <v/>
      </c>
      <c r="AJ2232" s="20">
        <f>IF(OR(S2232="",'報告書'!$C$4=""),"",IF(S2232&amp;""='報告書'!$C$4&amp;"",COUNTIF($S$5:S2232,'報告書'!$C$4),""))</f>
        <v/>
      </c>
      <c r="AK2232" s="20" t="n"/>
      <c r="AL2232" s="47" t="n"/>
      <c r="AM2232" s="47" t="n"/>
      <c r="AN2232" s="53" t="n"/>
      <c r="AO2232" s="47" t="n"/>
      <c r="AP2232" s="47" t="n"/>
      <c r="AQ2232" s="47" t="n"/>
      <c r="AR2232" s="47" t="n"/>
      <c r="AS2232" s="47" t="n"/>
      <c r="AT2232" s="47" t="n"/>
      <c r="AU2232" s="47" t="n"/>
      <c r="AV2232" s="47" t="n"/>
      <c r="AW2232" s="52" t="n"/>
    </row>
    <row r="2233">
      <c r="A2233" s="48" t="n"/>
      <c r="B2233" s="52" t="n"/>
      <c r="C2233" s="47">
        <f>IF(B2233="","",IFERROR(INDEX('隊員マスタ'!$B$5:$B$204,MATCH(B2233&amp;"",'隊員マスタ'!$F$5:$F$204,0)),IF(AK2233="","番号なし",AK2233)))</f>
        <v/>
      </c>
      <c r="D2233" s="47" t="n"/>
      <c r="E2233" s="47" t="n"/>
      <c r="F2233" s="47" t="n"/>
      <c r="G2233" s="47" t="n"/>
      <c r="H2233" s="47" t="n"/>
      <c r="I2233" s="47" t="n"/>
      <c r="J2233" s="47" t="n"/>
      <c r="K2233" s="47" t="n"/>
      <c r="L2233" s="47" t="n"/>
      <c r="M2233" s="47" t="n"/>
      <c r="N2233" s="47" t="n"/>
      <c r="O2233" s="47" t="n"/>
      <c r="P2233" s="47" t="n"/>
      <c r="Q2233" s="47" t="n"/>
      <c r="R2233" s="47" t="n"/>
      <c r="S2233" s="47" t="n"/>
      <c r="T2233" s="47" t="n"/>
      <c r="U2233" s="53" t="n"/>
      <c r="V2233" s="53" t="n"/>
      <c r="W2233" s="47" t="n"/>
      <c r="X2233" s="47" t="n"/>
      <c r="Y2233" s="47" t="n"/>
      <c r="Z2233" s="47" t="n"/>
      <c r="AA2233" s="47" t="n"/>
      <c r="AB2233" s="47" t="n"/>
      <c r="AC2233" s="47" t="n"/>
      <c r="AD2233" s="47" t="n"/>
      <c r="AE2233" s="47" t="n"/>
      <c r="AF2233" s="20">
        <f>IF(A2233="","",YEAR(EDATE(A2233,-3)))</f>
        <v/>
      </c>
      <c r="AG2233" s="20">
        <f>IF(OR(B2233="",'経歴簿'!$C$4=""),"",IF(B2233&amp;""='経歴簿'!$C$4&amp;"",MAX($AG$4:AG2232)+1,""))</f>
        <v/>
      </c>
      <c r="AH2233" s="20">
        <f>IF(A2233="",0,IF(AND(OR('CSV抽出'!$C$4="",A2233&gt;='CSV抽出'!$C$4),OR('CSV抽出'!$C$5="",A2233&lt;='CSV抽出'!$C$5),OR('CSV抽出'!$C$6="すべて",'CSV抽出'!$C$6="",D2233='CSV抽出'!$C$6),OR('CSV抽出'!$C$7="",B2233&amp;""='CSV抽出'!$C$7&amp;"")),1,0))</f>
        <v/>
      </c>
      <c r="AI2233" s="20">
        <f>IF(AH2233=1,SUM($AH$5:AH2233),"")</f>
        <v/>
      </c>
      <c r="AJ2233" s="20">
        <f>IF(OR(S2233="",'報告書'!$C$4=""),"",IF(S2233&amp;""='報告書'!$C$4&amp;"",COUNTIF($S$5:S2233,'報告書'!$C$4),""))</f>
        <v/>
      </c>
      <c r="AK2233" s="20" t="n"/>
      <c r="AL2233" s="47" t="n"/>
      <c r="AM2233" s="47" t="n"/>
      <c r="AN2233" s="53" t="n"/>
      <c r="AO2233" s="47" t="n"/>
      <c r="AP2233" s="47" t="n"/>
      <c r="AQ2233" s="47" t="n"/>
      <c r="AR2233" s="47" t="n"/>
      <c r="AS2233" s="47" t="n"/>
      <c r="AT2233" s="47" t="n"/>
      <c r="AU2233" s="47" t="n"/>
      <c r="AV2233" s="47" t="n"/>
      <c r="AW2233" s="52" t="n"/>
    </row>
    <row r="2234">
      <c r="A2234" s="48" t="n"/>
      <c r="B2234" s="52" t="n"/>
      <c r="C2234" s="47">
        <f>IF(B2234="","",IFERROR(INDEX('隊員マスタ'!$B$5:$B$204,MATCH(B2234&amp;"",'隊員マスタ'!$F$5:$F$204,0)),IF(AK2234="","番号なし",AK2234)))</f>
        <v/>
      </c>
      <c r="D2234" s="47" t="n"/>
      <c r="E2234" s="47" t="n"/>
      <c r="F2234" s="47" t="n"/>
      <c r="G2234" s="47" t="n"/>
      <c r="H2234" s="47" t="n"/>
      <c r="I2234" s="47" t="n"/>
      <c r="J2234" s="47" t="n"/>
      <c r="K2234" s="47" t="n"/>
      <c r="L2234" s="47" t="n"/>
      <c r="M2234" s="47" t="n"/>
      <c r="N2234" s="47" t="n"/>
      <c r="O2234" s="47" t="n"/>
      <c r="P2234" s="47" t="n"/>
      <c r="Q2234" s="47" t="n"/>
      <c r="R2234" s="47" t="n"/>
      <c r="S2234" s="47" t="n"/>
      <c r="T2234" s="47" t="n"/>
      <c r="U2234" s="53" t="n"/>
      <c r="V2234" s="53" t="n"/>
      <c r="W2234" s="47" t="n"/>
      <c r="X2234" s="47" t="n"/>
      <c r="Y2234" s="47" t="n"/>
      <c r="Z2234" s="47" t="n"/>
      <c r="AA2234" s="47" t="n"/>
      <c r="AB2234" s="47" t="n"/>
      <c r="AC2234" s="47" t="n"/>
      <c r="AD2234" s="47" t="n"/>
      <c r="AE2234" s="47" t="n"/>
      <c r="AF2234" s="20">
        <f>IF(A2234="","",YEAR(EDATE(A2234,-3)))</f>
        <v/>
      </c>
      <c r="AG2234" s="20">
        <f>IF(OR(B2234="",'経歴簿'!$C$4=""),"",IF(B2234&amp;""='経歴簿'!$C$4&amp;"",MAX($AG$4:AG2233)+1,""))</f>
        <v/>
      </c>
      <c r="AH2234" s="20">
        <f>IF(A2234="",0,IF(AND(OR('CSV抽出'!$C$4="",A2234&gt;='CSV抽出'!$C$4),OR('CSV抽出'!$C$5="",A2234&lt;='CSV抽出'!$C$5),OR('CSV抽出'!$C$6="すべて",'CSV抽出'!$C$6="",D2234='CSV抽出'!$C$6),OR('CSV抽出'!$C$7="",B2234&amp;""='CSV抽出'!$C$7&amp;"")),1,0))</f>
        <v/>
      </c>
      <c r="AI2234" s="20">
        <f>IF(AH2234=1,SUM($AH$5:AH2234),"")</f>
        <v/>
      </c>
      <c r="AJ2234" s="20">
        <f>IF(OR(S2234="",'報告書'!$C$4=""),"",IF(S2234&amp;""='報告書'!$C$4&amp;"",COUNTIF($S$5:S2234,'報告書'!$C$4),""))</f>
        <v/>
      </c>
      <c r="AK2234" s="20" t="n"/>
      <c r="AL2234" s="47" t="n"/>
      <c r="AM2234" s="47" t="n"/>
      <c r="AN2234" s="53" t="n"/>
      <c r="AO2234" s="47" t="n"/>
      <c r="AP2234" s="47" t="n"/>
      <c r="AQ2234" s="47" t="n"/>
      <c r="AR2234" s="47" t="n"/>
      <c r="AS2234" s="47" t="n"/>
      <c r="AT2234" s="47" t="n"/>
      <c r="AU2234" s="47" t="n"/>
      <c r="AV2234" s="47" t="n"/>
      <c r="AW2234" s="52" t="n"/>
    </row>
    <row r="2235">
      <c r="A2235" s="48" t="n"/>
      <c r="B2235" s="52" t="n"/>
      <c r="C2235" s="47">
        <f>IF(B2235="","",IFERROR(INDEX('隊員マスタ'!$B$5:$B$204,MATCH(B2235&amp;"",'隊員マスタ'!$F$5:$F$204,0)),IF(AK2235="","番号なし",AK2235)))</f>
        <v/>
      </c>
      <c r="D2235" s="47" t="n"/>
      <c r="E2235" s="47" t="n"/>
      <c r="F2235" s="47" t="n"/>
      <c r="G2235" s="47" t="n"/>
      <c r="H2235" s="47" t="n"/>
      <c r="I2235" s="47" t="n"/>
      <c r="J2235" s="47" t="n"/>
      <c r="K2235" s="47" t="n"/>
      <c r="L2235" s="47" t="n"/>
      <c r="M2235" s="47" t="n"/>
      <c r="N2235" s="47" t="n"/>
      <c r="O2235" s="47" t="n"/>
      <c r="P2235" s="47" t="n"/>
      <c r="Q2235" s="47" t="n"/>
      <c r="R2235" s="47" t="n"/>
      <c r="S2235" s="47" t="n"/>
      <c r="T2235" s="47" t="n"/>
      <c r="U2235" s="53" t="n"/>
      <c r="V2235" s="53" t="n"/>
      <c r="W2235" s="47" t="n"/>
      <c r="X2235" s="47" t="n"/>
      <c r="Y2235" s="47" t="n"/>
      <c r="Z2235" s="47" t="n"/>
      <c r="AA2235" s="47" t="n"/>
      <c r="AB2235" s="47" t="n"/>
      <c r="AC2235" s="47" t="n"/>
      <c r="AD2235" s="47" t="n"/>
      <c r="AE2235" s="47" t="n"/>
      <c r="AF2235" s="20">
        <f>IF(A2235="","",YEAR(EDATE(A2235,-3)))</f>
        <v/>
      </c>
      <c r="AG2235" s="20">
        <f>IF(OR(B2235="",'経歴簿'!$C$4=""),"",IF(B2235&amp;""='経歴簿'!$C$4&amp;"",MAX($AG$4:AG2234)+1,""))</f>
        <v/>
      </c>
      <c r="AH2235" s="20">
        <f>IF(A2235="",0,IF(AND(OR('CSV抽出'!$C$4="",A2235&gt;='CSV抽出'!$C$4),OR('CSV抽出'!$C$5="",A2235&lt;='CSV抽出'!$C$5),OR('CSV抽出'!$C$6="すべて",'CSV抽出'!$C$6="",D2235='CSV抽出'!$C$6),OR('CSV抽出'!$C$7="",B2235&amp;""='CSV抽出'!$C$7&amp;"")),1,0))</f>
        <v/>
      </c>
      <c r="AI2235" s="20">
        <f>IF(AH2235=1,SUM($AH$5:AH2235),"")</f>
        <v/>
      </c>
      <c r="AJ2235" s="20">
        <f>IF(OR(S2235="",'報告書'!$C$4=""),"",IF(S2235&amp;""='報告書'!$C$4&amp;"",COUNTIF($S$5:S2235,'報告書'!$C$4),""))</f>
        <v/>
      </c>
      <c r="AK2235" s="20" t="n"/>
      <c r="AL2235" s="47" t="n"/>
      <c r="AM2235" s="47" t="n"/>
      <c r="AN2235" s="53" t="n"/>
      <c r="AO2235" s="47" t="n"/>
      <c r="AP2235" s="47" t="n"/>
      <c r="AQ2235" s="47" t="n"/>
      <c r="AR2235" s="47" t="n"/>
      <c r="AS2235" s="47" t="n"/>
      <c r="AT2235" s="47" t="n"/>
      <c r="AU2235" s="47" t="n"/>
      <c r="AV2235" s="47" t="n"/>
      <c r="AW2235" s="52" t="n"/>
    </row>
    <row r="2236">
      <c r="A2236" s="48" t="n"/>
      <c r="B2236" s="52" t="n"/>
      <c r="C2236" s="47">
        <f>IF(B2236="","",IFERROR(INDEX('隊員マスタ'!$B$5:$B$204,MATCH(B2236&amp;"",'隊員マスタ'!$F$5:$F$204,0)),IF(AK2236="","番号なし",AK2236)))</f>
        <v/>
      </c>
      <c r="D2236" s="47" t="n"/>
      <c r="E2236" s="47" t="n"/>
      <c r="F2236" s="47" t="n"/>
      <c r="G2236" s="47" t="n"/>
      <c r="H2236" s="47" t="n"/>
      <c r="I2236" s="47" t="n"/>
      <c r="J2236" s="47" t="n"/>
      <c r="K2236" s="47" t="n"/>
      <c r="L2236" s="47" t="n"/>
      <c r="M2236" s="47" t="n"/>
      <c r="N2236" s="47" t="n"/>
      <c r="O2236" s="47" t="n"/>
      <c r="P2236" s="47" t="n"/>
      <c r="Q2236" s="47" t="n"/>
      <c r="R2236" s="47" t="n"/>
      <c r="S2236" s="47" t="n"/>
      <c r="T2236" s="47" t="n"/>
      <c r="U2236" s="53" t="n"/>
      <c r="V2236" s="53" t="n"/>
      <c r="W2236" s="47" t="n"/>
      <c r="X2236" s="47" t="n"/>
      <c r="Y2236" s="47" t="n"/>
      <c r="Z2236" s="47" t="n"/>
      <c r="AA2236" s="47" t="n"/>
      <c r="AB2236" s="47" t="n"/>
      <c r="AC2236" s="47" t="n"/>
      <c r="AD2236" s="47" t="n"/>
      <c r="AE2236" s="47" t="n"/>
      <c r="AF2236" s="20">
        <f>IF(A2236="","",YEAR(EDATE(A2236,-3)))</f>
        <v/>
      </c>
      <c r="AG2236" s="20">
        <f>IF(OR(B2236="",'経歴簿'!$C$4=""),"",IF(B2236&amp;""='経歴簿'!$C$4&amp;"",MAX($AG$4:AG2235)+1,""))</f>
        <v/>
      </c>
      <c r="AH2236" s="20">
        <f>IF(A2236="",0,IF(AND(OR('CSV抽出'!$C$4="",A2236&gt;='CSV抽出'!$C$4),OR('CSV抽出'!$C$5="",A2236&lt;='CSV抽出'!$C$5),OR('CSV抽出'!$C$6="すべて",'CSV抽出'!$C$6="",D2236='CSV抽出'!$C$6),OR('CSV抽出'!$C$7="",B2236&amp;""='CSV抽出'!$C$7&amp;"")),1,0))</f>
        <v/>
      </c>
      <c r="AI2236" s="20">
        <f>IF(AH2236=1,SUM($AH$5:AH2236),"")</f>
        <v/>
      </c>
      <c r="AJ2236" s="20">
        <f>IF(OR(S2236="",'報告書'!$C$4=""),"",IF(S2236&amp;""='報告書'!$C$4&amp;"",COUNTIF($S$5:S2236,'報告書'!$C$4),""))</f>
        <v/>
      </c>
      <c r="AK2236" s="20" t="n"/>
      <c r="AL2236" s="47" t="n"/>
      <c r="AM2236" s="47" t="n"/>
      <c r="AN2236" s="53" t="n"/>
      <c r="AO2236" s="47" t="n"/>
      <c r="AP2236" s="47" t="n"/>
      <c r="AQ2236" s="47" t="n"/>
      <c r="AR2236" s="47" t="n"/>
      <c r="AS2236" s="47" t="n"/>
      <c r="AT2236" s="47" t="n"/>
      <c r="AU2236" s="47" t="n"/>
      <c r="AV2236" s="47" t="n"/>
      <c r="AW2236" s="52" t="n"/>
    </row>
    <row r="2237">
      <c r="A2237" s="48" t="n"/>
      <c r="B2237" s="52" t="n"/>
      <c r="C2237" s="47">
        <f>IF(B2237="","",IFERROR(INDEX('隊員マスタ'!$B$5:$B$204,MATCH(B2237&amp;"",'隊員マスタ'!$F$5:$F$204,0)),IF(AK2237="","番号なし",AK2237)))</f>
        <v/>
      </c>
      <c r="D2237" s="47" t="n"/>
      <c r="E2237" s="47" t="n"/>
      <c r="F2237" s="47" t="n"/>
      <c r="G2237" s="47" t="n"/>
      <c r="H2237" s="47" t="n"/>
      <c r="I2237" s="47" t="n"/>
      <c r="J2237" s="47" t="n"/>
      <c r="K2237" s="47" t="n"/>
      <c r="L2237" s="47" t="n"/>
      <c r="M2237" s="47" t="n"/>
      <c r="N2237" s="47" t="n"/>
      <c r="O2237" s="47" t="n"/>
      <c r="P2237" s="47" t="n"/>
      <c r="Q2237" s="47" t="n"/>
      <c r="R2237" s="47" t="n"/>
      <c r="S2237" s="47" t="n"/>
      <c r="T2237" s="47" t="n"/>
      <c r="U2237" s="53" t="n"/>
      <c r="V2237" s="53" t="n"/>
      <c r="W2237" s="47" t="n"/>
      <c r="X2237" s="47" t="n"/>
      <c r="Y2237" s="47" t="n"/>
      <c r="Z2237" s="47" t="n"/>
      <c r="AA2237" s="47" t="n"/>
      <c r="AB2237" s="47" t="n"/>
      <c r="AC2237" s="47" t="n"/>
      <c r="AD2237" s="47" t="n"/>
      <c r="AE2237" s="47" t="n"/>
      <c r="AF2237" s="20">
        <f>IF(A2237="","",YEAR(EDATE(A2237,-3)))</f>
        <v/>
      </c>
      <c r="AG2237" s="20">
        <f>IF(OR(B2237="",'経歴簿'!$C$4=""),"",IF(B2237&amp;""='経歴簿'!$C$4&amp;"",MAX($AG$4:AG2236)+1,""))</f>
        <v/>
      </c>
      <c r="AH2237" s="20">
        <f>IF(A2237="",0,IF(AND(OR('CSV抽出'!$C$4="",A2237&gt;='CSV抽出'!$C$4),OR('CSV抽出'!$C$5="",A2237&lt;='CSV抽出'!$C$5),OR('CSV抽出'!$C$6="すべて",'CSV抽出'!$C$6="",D2237='CSV抽出'!$C$6),OR('CSV抽出'!$C$7="",B2237&amp;""='CSV抽出'!$C$7&amp;"")),1,0))</f>
        <v/>
      </c>
      <c r="AI2237" s="20">
        <f>IF(AH2237=1,SUM($AH$5:AH2237),"")</f>
        <v/>
      </c>
      <c r="AJ2237" s="20">
        <f>IF(OR(S2237="",'報告書'!$C$4=""),"",IF(S2237&amp;""='報告書'!$C$4&amp;"",COUNTIF($S$5:S2237,'報告書'!$C$4),""))</f>
        <v/>
      </c>
      <c r="AK2237" s="20" t="n"/>
      <c r="AL2237" s="47" t="n"/>
      <c r="AM2237" s="47" t="n"/>
      <c r="AN2237" s="53" t="n"/>
      <c r="AO2237" s="47" t="n"/>
      <c r="AP2237" s="47" t="n"/>
      <c r="AQ2237" s="47" t="n"/>
      <c r="AR2237" s="47" t="n"/>
      <c r="AS2237" s="47" t="n"/>
      <c r="AT2237" s="47" t="n"/>
      <c r="AU2237" s="47" t="n"/>
      <c r="AV2237" s="47" t="n"/>
      <c r="AW2237" s="52" t="n"/>
    </row>
    <row r="2238">
      <c r="A2238" s="48" t="n"/>
      <c r="B2238" s="52" t="n"/>
      <c r="C2238" s="47">
        <f>IF(B2238="","",IFERROR(INDEX('隊員マスタ'!$B$5:$B$204,MATCH(B2238&amp;"",'隊員マスタ'!$F$5:$F$204,0)),IF(AK2238="","番号なし",AK2238)))</f>
        <v/>
      </c>
      <c r="D2238" s="47" t="n"/>
      <c r="E2238" s="47" t="n"/>
      <c r="F2238" s="47" t="n"/>
      <c r="G2238" s="47" t="n"/>
      <c r="H2238" s="47" t="n"/>
      <c r="I2238" s="47" t="n"/>
      <c r="J2238" s="47" t="n"/>
      <c r="K2238" s="47" t="n"/>
      <c r="L2238" s="47" t="n"/>
      <c r="M2238" s="47" t="n"/>
      <c r="N2238" s="47" t="n"/>
      <c r="O2238" s="47" t="n"/>
      <c r="P2238" s="47" t="n"/>
      <c r="Q2238" s="47" t="n"/>
      <c r="R2238" s="47" t="n"/>
      <c r="S2238" s="47" t="n"/>
      <c r="T2238" s="47" t="n"/>
      <c r="U2238" s="53" t="n"/>
      <c r="V2238" s="53" t="n"/>
      <c r="W2238" s="47" t="n"/>
      <c r="X2238" s="47" t="n"/>
      <c r="Y2238" s="47" t="n"/>
      <c r="Z2238" s="47" t="n"/>
      <c r="AA2238" s="47" t="n"/>
      <c r="AB2238" s="47" t="n"/>
      <c r="AC2238" s="47" t="n"/>
      <c r="AD2238" s="47" t="n"/>
      <c r="AE2238" s="47" t="n"/>
      <c r="AF2238" s="20">
        <f>IF(A2238="","",YEAR(EDATE(A2238,-3)))</f>
        <v/>
      </c>
      <c r="AG2238" s="20">
        <f>IF(OR(B2238="",'経歴簿'!$C$4=""),"",IF(B2238&amp;""='経歴簿'!$C$4&amp;"",MAX($AG$4:AG2237)+1,""))</f>
        <v/>
      </c>
      <c r="AH2238" s="20">
        <f>IF(A2238="",0,IF(AND(OR('CSV抽出'!$C$4="",A2238&gt;='CSV抽出'!$C$4),OR('CSV抽出'!$C$5="",A2238&lt;='CSV抽出'!$C$5),OR('CSV抽出'!$C$6="すべて",'CSV抽出'!$C$6="",D2238='CSV抽出'!$C$6),OR('CSV抽出'!$C$7="",B2238&amp;""='CSV抽出'!$C$7&amp;"")),1,0))</f>
        <v/>
      </c>
      <c r="AI2238" s="20">
        <f>IF(AH2238=1,SUM($AH$5:AH2238),"")</f>
        <v/>
      </c>
      <c r="AJ2238" s="20">
        <f>IF(OR(S2238="",'報告書'!$C$4=""),"",IF(S2238&amp;""='報告書'!$C$4&amp;"",COUNTIF($S$5:S2238,'報告書'!$C$4),""))</f>
        <v/>
      </c>
      <c r="AK2238" s="20" t="n"/>
      <c r="AL2238" s="47" t="n"/>
      <c r="AM2238" s="47" t="n"/>
      <c r="AN2238" s="53" t="n"/>
      <c r="AO2238" s="47" t="n"/>
      <c r="AP2238" s="47" t="n"/>
      <c r="AQ2238" s="47" t="n"/>
      <c r="AR2238" s="47" t="n"/>
      <c r="AS2238" s="47" t="n"/>
      <c r="AT2238" s="47" t="n"/>
      <c r="AU2238" s="47" t="n"/>
      <c r="AV2238" s="47" t="n"/>
      <c r="AW2238" s="52" t="n"/>
    </row>
    <row r="2239">
      <c r="A2239" s="48" t="n"/>
      <c r="B2239" s="52" t="n"/>
      <c r="C2239" s="47">
        <f>IF(B2239="","",IFERROR(INDEX('隊員マスタ'!$B$5:$B$204,MATCH(B2239&amp;"",'隊員マスタ'!$F$5:$F$204,0)),IF(AK2239="","番号なし",AK2239)))</f>
        <v/>
      </c>
      <c r="D2239" s="47" t="n"/>
      <c r="E2239" s="47" t="n"/>
      <c r="F2239" s="47" t="n"/>
      <c r="G2239" s="47" t="n"/>
      <c r="H2239" s="47" t="n"/>
      <c r="I2239" s="47" t="n"/>
      <c r="J2239" s="47" t="n"/>
      <c r="K2239" s="47" t="n"/>
      <c r="L2239" s="47" t="n"/>
      <c r="M2239" s="47" t="n"/>
      <c r="N2239" s="47" t="n"/>
      <c r="O2239" s="47" t="n"/>
      <c r="P2239" s="47" t="n"/>
      <c r="Q2239" s="47" t="n"/>
      <c r="R2239" s="47" t="n"/>
      <c r="S2239" s="47" t="n"/>
      <c r="T2239" s="47" t="n"/>
      <c r="U2239" s="53" t="n"/>
      <c r="V2239" s="53" t="n"/>
      <c r="W2239" s="47" t="n"/>
      <c r="X2239" s="47" t="n"/>
      <c r="Y2239" s="47" t="n"/>
      <c r="Z2239" s="47" t="n"/>
      <c r="AA2239" s="47" t="n"/>
      <c r="AB2239" s="47" t="n"/>
      <c r="AC2239" s="47" t="n"/>
      <c r="AD2239" s="47" t="n"/>
      <c r="AE2239" s="47" t="n"/>
      <c r="AF2239" s="20">
        <f>IF(A2239="","",YEAR(EDATE(A2239,-3)))</f>
        <v/>
      </c>
      <c r="AG2239" s="20">
        <f>IF(OR(B2239="",'経歴簿'!$C$4=""),"",IF(B2239&amp;""='経歴簿'!$C$4&amp;"",MAX($AG$4:AG2238)+1,""))</f>
        <v/>
      </c>
      <c r="AH2239" s="20">
        <f>IF(A2239="",0,IF(AND(OR('CSV抽出'!$C$4="",A2239&gt;='CSV抽出'!$C$4),OR('CSV抽出'!$C$5="",A2239&lt;='CSV抽出'!$C$5),OR('CSV抽出'!$C$6="すべて",'CSV抽出'!$C$6="",D2239='CSV抽出'!$C$6),OR('CSV抽出'!$C$7="",B2239&amp;""='CSV抽出'!$C$7&amp;"")),1,0))</f>
        <v/>
      </c>
      <c r="AI2239" s="20">
        <f>IF(AH2239=1,SUM($AH$5:AH2239),"")</f>
        <v/>
      </c>
      <c r="AJ2239" s="20">
        <f>IF(OR(S2239="",'報告書'!$C$4=""),"",IF(S2239&amp;""='報告書'!$C$4&amp;"",COUNTIF($S$5:S2239,'報告書'!$C$4),""))</f>
        <v/>
      </c>
      <c r="AK2239" s="20" t="n"/>
      <c r="AL2239" s="47" t="n"/>
      <c r="AM2239" s="47" t="n"/>
      <c r="AN2239" s="53" t="n"/>
      <c r="AO2239" s="47" t="n"/>
      <c r="AP2239" s="47" t="n"/>
      <c r="AQ2239" s="47" t="n"/>
      <c r="AR2239" s="47" t="n"/>
      <c r="AS2239" s="47" t="n"/>
      <c r="AT2239" s="47" t="n"/>
      <c r="AU2239" s="47" t="n"/>
      <c r="AV2239" s="47" t="n"/>
      <c r="AW2239" s="52" t="n"/>
    </row>
    <row r="2240">
      <c r="A2240" s="48" t="n"/>
      <c r="B2240" s="52" t="n"/>
      <c r="C2240" s="47">
        <f>IF(B2240="","",IFERROR(INDEX('隊員マスタ'!$B$5:$B$204,MATCH(B2240&amp;"",'隊員マスタ'!$F$5:$F$204,0)),IF(AK2240="","番号なし",AK2240)))</f>
        <v/>
      </c>
      <c r="D2240" s="47" t="n"/>
      <c r="E2240" s="47" t="n"/>
      <c r="F2240" s="47" t="n"/>
      <c r="G2240" s="47" t="n"/>
      <c r="H2240" s="47" t="n"/>
      <c r="I2240" s="47" t="n"/>
      <c r="J2240" s="47" t="n"/>
      <c r="K2240" s="47" t="n"/>
      <c r="L2240" s="47" t="n"/>
      <c r="M2240" s="47" t="n"/>
      <c r="N2240" s="47" t="n"/>
      <c r="O2240" s="47" t="n"/>
      <c r="P2240" s="47" t="n"/>
      <c r="Q2240" s="47" t="n"/>
      <c r="R2240" s="47" t="n"/>
      <c r="S2240" s="47" t="n"/>
      <c r="T2240" s="47" t="n"/>
      <c r="U2240" s="53" t="n"/>
      <c r="V2240" s="53" t="n"/>
      <c r="W2240" s="47" t="n"/>
      <c r="X2240" s="47" t="n"/>
      <c r="Y2240" s="47" t="n"/>
      <c r="Z2240" s="47" t="n"/>
      <c r="AA2240" s="47" t="n"/>
      <c r="AB2240" s="47" t="n"/>
      <c r="AC2240" s="47" t="n"/>
      <c r="AD2240" s="47" t="n"/>
      <c r="AE2240" s="47" t="n"/>
      <c r="AF2240" s="20">
        <f>IF(A2240="","",YEAR(EDATE(A2240,-3)))</f>
        <v/>
      </c>
      <c r="AG2240" s="20">
        <f>IF(OR(B2240="",'経歴簿'!$C$4=""),"",IF(B2240&amp;""='経歴簿'!$C$4&amp;"",MAX($AG$4:AG2239)+1,""))</f>
        <v/>
      </c>
      <c r="AH2240" s="20">
        <f>IF(A2240="",0,IF(AND(OR('CSV抽出'!$C$4="",A2240&gt;='CSV抽出'!$C$4),OR('CSV抽出'!$C$5="",A2240&lt;='CSV抽出'!$C$5),OR('CSV抽出'!$C$6="すべて",'CSV抽出'!$C$6="",D2240='CSV抽出'!$C$6),OR('CSV抽出'!$C$7="",B2240&amp;""='CSV抽出'!$C$7&amp;"")),1,0))</f>
        <v/>
      </c>
      <c r="AI2240" s="20">
        <f>IF(AH2240=1,SUM($AH$5:AH2240),"")</f>
        <v/>
      </c>
      <c r="AJ2240" s="20">
        <f>IF(OR(S2240="",'報告書'!$C$4=""),"",IF(S2240&amp;""='報告書'!$C$4&amp;"",COUNTIF($S$5:S2240,'報告書'!$C$4),""))</f>
        <v/>
      </c>
      <c r="AK2240" s="20" t="n"/>
      <c r="AL2240" s="47" t="n"/>
      <c r="AM2240" s="47" t="n"/>
      <c r="AN2240" s="53" t="n"/>
      <c r="AO2240" s="47" t="n"/>
      <c r="AP2240" s="47" t="n"/>
      <c r="AQ2240" s="47" t="n"/>
      <c r="AR2240" s="47" t="n"/>
      <c r="AS2240" s="47" t="n"/>
      <c r="AT2240" s="47" t="n"/>
      <c r="AU2240" s="47" t="n"/>
      <c r="AV2240" s="47" t="n"/>
      <c r="AW2240" s="52" t="n"/>
    </row>
    <row r="2241">
      <c r="A2241" s="48" t="n"/>
      <c r="B2241" s="52" t="n"/>
      <c r="C2241" s="47">
        <f>IF(B2241="","",IFERROR(INDEX('隊員マスタ'!$B$5:$B$204,MATCH(B2241&amp;"",'隊員マスタ'!$F$5:$F$204,0)),IF(AK2241="","番号なし",AK2241)))</f>
        <v/>
      </c>
      <c r="D2241" s="47" t="n"/>
      <c r="E2241" s="47" t="n"/>
      <c r="F2241" s="47" t="n"/>
      <c r="G2241" s="47" t="n"/>
      <c r="H2241" s="47" t="n"/>
      <c r="I2241" s="47" t="n"/>
      <c r="J2241" s="47" t="n"/>
      <c r="K2241" s="47" t="n"/>
      <c r="L2241" s="47" t="n"/>
      <c r="M2241" s="47" t="n"/>
      <c r="N2241" s="47" t="n"/>
      <c r="O2241" s="47" t="n"/>
      <c r="P2241" s="47" t="n"/>
      <c r="Q2241" s="47" t="n"/>
      <c r="R2241" s="47" t="n"/>
      <c r="S2241" s="47" t="n"/>
      <c r="T2241" s="47" t="n"/>
      <c r="U2241" s="53" t="n"/>
      <c r="V2241" s="53" t="n"/>
      <c r="W2241" s="47" t="n"/>
      <c r="X2241" s="47" t="n"/>
      <c r="Y2241" s="47" t="n"/>
      <c r="Z2241" s="47" t="n"/>
      <c r="AA2241" s="47" t="n"/>
      <c r="AB2241" s="47" t="n"/>
      <c r="AC2241" s="47" t="n"/>
      <c r="AD2241" s="47" t="n"/>
      <c r="AE2241" s="47" t="n"/>
      <c r="AF2241" s="20">
        <f>IF(A2241="","",YEAR(EDATE(A2241,-3)))</f>
        <v/>
      </c>
      <c r="AG2241" s="20">
        <f>IF(OR(B2241="",'経歴簿'!$C$4=""),"",IF(B2241&amp;""='経歴簿'!$C$4&amp;"",MAX($AG$4:AG2240)+1,""))</f>
        <v/>
      </c>
      <c r="AH2241" s="20">
        <f>IF(A2241="",0,IF(AND(OR('CSV抽出'!$C$4="",A2241&gt;='CSV抽出'!$C$4),OR('CSV抽出'!$C$5="",A2241&lt;='CSV抽出'!$C$5),OR('CSV抽出'!$C$6="すべて",'CSV抽出'!$C$6="",D2241='CSV抽出'!$C$6),OR('CSV抽出'!$C$7="",B2241&amp;""='CSV抽出'!$C$7&amp;"")),1,0))</f>
        <v/>
      </c>
      <c r="AI2241" s="20">
        <f>IF(AH2241=1,SUM($AH$5:AH2241),"")</f>
        <v/>
      </c>
      <c r="AJ2241" s="20">
        <f>IF(OR(S2241="",'報告書'!$C$4=""),"",IF(S2241&amp;""='報告書'!$C$4&amp;"",COUNTIF($S$5:S2241,'報告書'!$C$4),""))</f>
        <v/>
      </c>
      <c r="AK2241" s="20" t="n"/>
      <c r="AL2241" s="47" t="n"/>
      <c r="AM2241" s="47" t="n"/>
      <c r="AN2241" s="53" t="n"/>
      <c r="AO2241" s="47" t="n"/>
      <c r="AP2241" s="47" t="n"/>
      <c r="AQ2241" s="47" t="n"/>
      <c r="AR2241" s="47" t="n"/>
      <c r="AS2241" s="47" t="n"/>
      <c r="AT2241" s="47" t="n"/>
      <c r="AU2241" s="47" t="n"/>
      <c r="AV2241" s="47" t="n"/>
      <c r="AW2241" s="52" t="n"/>
    </row>
    <row r="2242">
      <c r="A2242" s="48" t="n"/>
      <c r="B2242" s="52" t="n"/>
      <c r="C2242" s="47">
        <f>IF(B2242="","",IFERROR(INDEX('隊員マスタ'!$B$5:$B$204,MATCH(B2242&amp;"",'隊員マスタ'!$F$5:$F$204,0)),IF(AK2242="","番号なし",AK2242)))</f>
        <v/>
      </c>
      <c r="D2242" s="47" t="n"/>
      <c r="E2242" s="47" t="n"/>
      <c r="F2242" s="47" t="n"/>
      <c r="G2242" s="47" t="n"/>
      <c r="H2242" s="47" t="n"/>
      <c r="I2242" s="47" t="n"/>
      <c r="J2242" s="47" t="n"/>
      <c r="K2242" s="47" t="n"/>
      <c r="L2242" s="47" t="n"/>
      <c r="M2242" s="47" t="n"/>
      <c r="N2242" s="47" t="n"/>
      <c r="O2242" s="47" t="n"/>
      <c r="P2242" s="47" t="n"/>
      <c r="Q2242" s="47" t="n"/>
      <c r="R2242" s="47" t="n"/>
      <c r="S2242" s="47" t="n"/>
      <c r="T2242" s="47" t="n"/>
      <c r="U2242" s="53" t="n"/>
      <c r="V2242" s="53" t="n"/>
      <c r="W2242" s="47" t="n"/>
      <c r="X2242" s="47" t="n"/>
      <c r="Y2242" s="47" t="n"/>
      <c r="Z2242" s="47" t="n"/>
      <c r="AA2242" s="47" t="n"/>
      <c r="AB2242" s="47" t="n"/>
      <c r="AC2242" s="47" t="n"/>
      <c r="AD2242" s="47" t="n"/>
      <c r="AE2242" s="47" t="n"/>
      <c r="AF2242" s="20">
        <f>IF(A2242="","",YEAR(EDATE(A2242,-3)))</f>
        <v/>
      </c>
      <c r="AG2242" s="20">
        <f>IF(OR(B2242="",'経歴簿'!$C$4=""),"",IF(B2242&amp;""='経歴簿'!$C$4&amp;"",MAX($AG$4:AG2241)+1,""))</f>
        <v/>
      </c>
      <c r="AH2242" s="20">
        <f>IF(A2242="",0,IF(AND(OR('CSV抽出'!$C$4="",A2242&gt;='CSV抽出'!$C$4),OR('CSV抽出'!$C$5="",A2242&lt;='CSV抽出'!$C$5),OR('CSV抽出'!$C$6="すべて",'CSV抽出'!$C$6="",D2242='CSV抽出'!$C$6),OR('CSV抽出'!$C$7="",B2242&amp;""='CSV抽出'!$C$7&amp;"")),1,0))</f>
        <v/>
      </c>
      <c r="AI2242" s="20">
        <f>IF(AH2242=1,SUM($AH$5:AH2242),"")</f>
        <v/>
      </c>
      <c r="AJ2242" s="20">
        <f>IF(OR(S2242="",'報告書'!$C$4=""),"",IF(S2242&amp;""='報告書'!$C$4&amp;"",COUNTIF($S$5:S2242,'報告書'!$C$4),""))</f>
        <v/>
      </c>
      <c r="AK2242" s="20" t="n"/>
      <c r="AL2242" s="47" t="n"/>
      <c r="AM2242" s="47" t="n"/>
      <c r="AN2242" s="53" t="n"/>
      <c r="AO2242" s="47" t="n"/>
      <c r="AP2242" s="47" t="n"/>
      <c r="AQ2242" s="47" t="n"/>
      <c r="AR2242" s="47" t="n"/>
      <c r="AS2242" s="47" t="n"/>
      <c r="AT2242" s="47" t="n"/>
      <c r="AU2242" s="47" t="n"/>
      <c r="AV2242" s="47" t="n"/>
      <c r="AW2242" s="52" t="n"/>
    </row>
    <row r="2243">
      <c r="A2243" s="48" t="n"/>
      <c r="B2243" s="52" t="n"/>
      <c r="C2243" s="47">
        <f>IF(B2243="","",IFERROR(INDEX('隊員マスタ'!$B$5:$B$204,MATCH(B2243&amp;"",'隊員マスタ'!$F$5:$F$204,0)),IF(AK2243="","番号なし",AK2243)))</f>
        <v/>
      </c>
      <c r="D2243" s="47" t="n"/>
      <c r="E2243" s="47" t="n"/>
      <c r="F2243" s="47" t="n"/>
      <c r="G2243" s="47" t="n"/>
      <c r="H2243" s="47" t="n"/>
      <c r="I2243" s="47" t="n"/>
      <c r="J2243" s="47" t="n"/>
      <c r="K2243" s="47" t="n"/>
      <c r="L2243" s="47" t="n"/>
      <c r="M2243" s="47" t="n"/>
      <c r="N2243" s="47" t="n"/>
      <c r="O2243" s="47" t="n"/>
      <c r="P2243" s="47" t="n"/>
      <c r="Q2243" s="47" t="n"/>
      <c r="R2243" s="47" t="n"/>
      <c r="S2243" s="47" t="n"/>
      <c r="T2243" s="47" t="n"/>
      <c r="U2243" s="53" t="n"/>
      <c r="V2243" s="53" t="n"/>
      <c r="W2243" s="47" t="n"/>
      <c r="X2243" s="47" t="n"/>
      <c r="Y2243" s="47" t="n"/>
      <c r="Z2243" s="47" t="n"/>
      <c r="AA2243" s="47" t="n"/>
      <c r="AB2243" s="47" t="n"/>
      <c r="AC2243" s="47" t="n"/>
      <c r="AD2243" s="47" t="n"/>
      <c r="AE2243" s="47" t="n"/>
      <c r="AF2243" s="20">
        <f>IF(A2243="","",YEAR(EDATE(A2243,-3)))</f>
        <v/>
      </c>
      <c r="AG2243" s="20">
        <f>IF(OR(B2243="",'経歴簿'!$C$4=""),"",IF(B2243&amp;""='経歴簿'!$C$4&amp;"",MAX($AG$4:AG2242)+1,""))</f>
        <v/>
      </c>
      <c r="AH2243" s="20">
        <f>IF(A2243="",0,IF(AND(OR('CSV抽出'!$C$4="",A2243&gt;='CSV抽出'!$C$4),OR('CSV抽出'!$C$5="",A2243&lt;='CSV抽出'!$C$5),OR('CSV抽出'!$C$6="すべて",'CSV抽出'!$C$6="",D2243='CSV抽出'!$C$6),OR('CSV抽出'!$C$7="",B2243&amp;""='CSV抽出'!$C$7&amp;"")),1,0))</f>
        <v/>
      </c>
      <c r="AI2243" s="20">
        <f>IF(AH2243=1,SUM($AH$5:AH2243),"")</f>
        <v/>
      </c>
      <c r="AJ2243" s="20">
        <f>IF(OR(S2243="",'報告書'!$C$4=""),"",IF(S2243&amp;""='報告書'!$C$4&amp;"",COUNTIF($S$5:S2243,'報告書'!$C$4),""))</f>
        <v/>
      </c>
      <c r="AK2243" s="20" t="n"/>
      <c r="AL2243" s="47" t="n"/>
      <c r="AM2243" s="47" t="n"/>
      <c r="AN2243" s="53" t="n"/>
      <c r="AO2243" s="47" t="n"/>
      <c r="AP2243" s="47" t="n"/>
      <c r="AQ2243" s="47" t="n"/>
      <c r="AR2243" s="47" t="n"/>
      <c r="AS2243" s="47" t="n"/>
      <c r="AT2243" s="47" t="n"/>
      <c r="AU2243" s="47" t="n"/>
      <c r="AV2243" s="47" t="n"/>
      <c r="AW2243" s="52" t="n"/>
    </row>
    <row r="2244">
      <c r="A2244" s="48" t="n"/>
      <c r="B2244" s="52" t="n"/>
      <c r="C2244" s="47">
        <f>IF(B2244="","",IFERROR(INDEX('隊員マスタ'!$B$5:$B$204,MATCH(B2244&amp;"",'隊員マスタ'!$F$5:$F$204,0)),IF(AK2244="","番号なし",AK2244)))</f>
        <v/>
      </c>
      <c r="D2244" s="47" t="n"/>
      <c r="E2244" s="47" t="n"/>
      <c r="F2244" s="47" t="n"/>
      <c r="G2244" s="47" t="n"/>
      <c r="H2244" s="47" t="n"/>
      <c r="I2244" s="47" t="n"/>
      <c r="J2244" s="47" t="n"/>
      <c r="K2244" s="47" t="n"/>
      <c r="L2244" s="47" t="n"/>
      <c r="M2244" s="47" t="n"/>
      <c r="N2244" s="47" t="n"/>
      <c r="O2244" s="47" t="n"/>
      <c r="P2244" s="47" t="n"/>
      <c r="Q2244" s="47" t="n"/>
      <c r="R2244" s="47" t="n"/>
      <c r="S2244" s="47" t="n"/>
      <c r="T2244" s="47" t="n"/>
      <c r="U2244" s="53" t="n"/>
      <c r="V2244" s="53" t="n"/>
      <c r="W2244" s="47" t="n"/>
      <c r="X2244" s="47" t="n"/>
      <c r="Y2244" s="47" t="n"/>
      <c r="Z2244" s="47" t="n"/>
      <c r="AA2244" s="47" t="n"/>
      <c r="AB2244" s="47" t="n"/>
      <c r="AC2244" s="47" t="n"/>
      <c r="AD2244" s="47" t="n"/>
      <c r="AE2244" s="47" t="n"/>
      <c r="AF2244" s="20">
        <f>IF(A2244="","",YEAR(EDATE(A2244,-3)))</f>
        <v/>
      </c>
      <c r="AG2244" s="20">
        <f>IF(OR(B2244="",'経歴簿'!$C$4=""),"",IF(B2244&amp;""='経歴簿'!$C$4&amp;"",MAX($AG$4:AG2243)+1,""))</f>
        <v/>
      </c>
      <c r="AH2244" s="20">
        <f>IF(A2244="",0,IF(AND(OR('CSV抽出'!$C$4="",A2244&gt;='CSV抽出'!$C$4),OR('CSV抽出'!$C$5="",A2244&lt;='CSV抽出'!$C$5),OR('CSV抽出'!$C$6="すべて",'CSV抽出'!$C$6="",D2244='CSV抽出'!$C$6),OR('CSV抽出'!$C$7="",B2244&amp;""='CSV抽出'!$C$7&amp;"")),1,0))</f>
        <v/>
      </c>
      <c r="AI2244" s="20">
        <f>IF(AH2244=1,SUM($AH$5:AH2244),"")</f>
        <v/>
      </c>
      <c r="AJ2244" s="20">
        <f>IF(OR(S2244="",'報告書'!$C$4=""),"",IF(S2244&amp;""='報告書'!$C$4&amp;"",COUNTIF($S$5:S2244,'報告書'!$C$4),""))</f>
        <v/>
      </c>
      <c r="AK2244" s="20" t="n"/>
      <c r="AL2244" s="47" t="n"/>
      <c r="AM2244" s="47" t="n"/>
      <c r="AN2244" s="53" t="n"/>
      <c r="AO2244" s="47" t="n"/>
      <c r="AP2244" s="47" t="n"/>
      <c r="AQ2244" s="47" t="n"/>
      <c r="AR2244" s="47" t="n"/>
      <c r="AS2244" s="47" t="n"/>
      <c r="AT2244" s="47" t="n"/>
      <c r="AU2244" s="47" t="n"/>
      <c r="AV2244" s="47" t="n"/>
      <c r="AW2244" s="52" t="n"/>
    </row>
    <row r="2245">
      <c r="A2245" s="48" t="n"/>
      <c r="B2245" s="52" t="n"/>
      <c r="C2245" s="47">
        <f>IF(B2245="","",IFERROR(INDEX('隊員マスタ'!$B$5:$B$204,MATCH(B2245&amp;"",'隊員マスタ'!$F$5:$F$204,0)),IF(AK2245="","番号なし",AK2245)))</f>
        <v/>
      </c>
      <c r="D2245" s="47" t="n"/>
      <c r="E2245" s="47" t="n"/>
      <c r="F2245" s="47" t="n"/>
      <c r="G2245" s="47" t="n"/>
      <c r="H2245" s="47" t="n"/>
      <c r="I2245" s="47" t="n"/>
      <c r="J2245" s="47" t="n"/>
      <c r="K2245" s="47" t="n"/>
      <c r="L2245" s="47" t="n"/>
      <c r="M2245" s="47" t="n"/>
      <c r="N2245" s="47" t="n"/>
      <c r="O2245" s="47" t="n"/>
      <c r="P2245" s="47" t="n"/>
      <c r="Q2245" s="47" t="n"/>
      <c r="R2245" s="47" t="n"/>
      <c r="S2245" s="47" t="n"/>
      <c r="T2245" s="47" t="n"/>
      <c r="U2245" s="53" t="n"/>
      <c r="V2245" s="53" t="n"/>
      <c r="W2245" s="47" t="n"/>
      <c r="X2245" s="47" t="n"/>
      <c r="Y2245" s="47" t="n"/>
      <c r="Z2245" s="47" t="n"/>
      <c r="AA2245" s="47" t="n"/>
      <c r="AB2245" s="47" t="n"/>
      <c r="AC2245" s="47" t="n"/>
      <c r="AD2245" s="47" t="n"/>
      <c r="AE2245" s="47" t="n"/>
      <c r="AF2245" s="20">
        <f>IF(A2245="","",YEAR(EDATE(A2245,-3)))</f>
        <v/>
      </c>
      <c r="AG2245" s="20">
        <f>IF(OR(B2245="",'経歴簿'!$C$4=""),"",IF(B2245&amp;""='経歴簿'!$C$4&amp;"",MAX($AG$4:AG2244)+1,""))</f>
        <v/>
      </c>
      <c r="AH2245" s="20">
        <f>IF(A2245="",0,IF(AND(OR('CSV抽出'!$C$4="",A2245&gt;='CSV抽出'!$C$4),OR('CSV抽出'!$C$5="",A2245&lt;='CSV抽出'!$C$5),OR('CSV抽出'!$C$6="すべて",'CSV抽出'!$C$6="",D2245='CSV抽出'!$C$6),OR('CSV抽出'!$C$7="",B2245&amp;""='CSV抽出'!$C$7&amp;"")),1,0))</f>
        <v/>
      </c>
      <c r="AI2245" s="20">
        <f>IF(AH2245=1,SUM($AH$5:AH2245),"")</f>
        <v/>
      </c>
      <c r="AJ2245" s="20">
        <f>IF(OR(S2245="",'報告書'!$C$4=""),"",IF(S2245&amp;""='報告書'!$C$4&amp;"",COUNTIF($S$5:S2245,'報告書'!$C$4),""))</f>
        <v/>
      </c>
      <c r="AK2245" s="20" t="n"/>
      <c r="AL2245" s="47" t="n"/>
      <c r="AM2245" s="47" t="n"/>
      <c r="AN2245" s="53" t="n"/>
      <c r="AO2245" s="47" t="n"/>
      <c r="AP2245" s="47" t="n"/>
      <c r="AQ2245" s="47" t="n"/>
      <c r="AR2245" s="47" t="n"/>
      <c r="AS2245" s="47" t="n"/>
      <c r="AT2245" s="47" t="n"/>
      <c r="AU2245" s="47" t="n"/>
      <c r="AV2245" s="47" t="n"/>
      <c r="AW2245" s="52" t="n"/>
    </row>
    <row r="2246">
      <c r="A2246" s="48" t="n"/>
      <c r="B2246" s="52" t="n"/>
      <c r="C2246" s="47">
        <f>IF(B2246="","",IFERROR(INDEX('隊員マスタ'!$B$5:$B$204,MATCH(B2246&amp;"",'隊員マスタ'!$F$5:$F$204,0)),IF(AK2246="","番号なし",AK2246)))</f>
        <v/>
      </c>
      <c r="D2246" s="47" t="n"/>
      <c r="E2246" s="47" t="n"/>
      <c r="F2246" s="47" t="n"/>
      <c r="G2246" s="47" t="n"/>
      <c r="H2246" s="47" t="n"/>
      <c r="I2246" s="47" t="n"/>
      <c r="J2246" s="47" t="n"/>
      <c r="K2246" s="47" t="n"/>
      <c r="L2246" s="47" t="n"/>
      <c r="M2246" s="47" t="n"/>
      <c r="N2246" s="47" t="n"/>
      <c r="O2246" s="47" t="n"/>
      <c r="P2246" s="47" t="n"/>
      <c r="Q2246" s="47" t="n"/>
      <c r="R2246" s="47" t="n"/>
      <c r="S2246" s="47" t="n"/>
      <c r="T2246" s="47" t="n"/>
      <c r="U2246" s="53" t="n"/>
      <c r="V2246" s="53" t="n"/>
      <c r="W2246" s="47" t="n"/>
      <c r="X2246" s="47" t="n"/>
      <c r="Y2246" s="47" t="n"/>
      <c r="Z2246" s="47" t="n"/>
      <c r="AA2246" s="47" t="n"/>
      <c r="AB2246" s="47" t="n"/>
      <c r="AC2246" s="47" t="n"/>
      <c r="AD2246" s="47" t="n"/>
      <c r="AE2246" s="47" t="n"/>
      <c r="AF2246" s="20">
        <f>IF(A2246="","",YEAR(EDATE(A2246,-3)))</f>
        <v/>
      </c>
      <c r="AG2246" s="20">
        <f>IF(OR(B2246="",'経歴簿'!$C$4=""),"",IF(B2246&amp;""='経歴簿'!$C$4&amp;"",MAX($AG$4:AG2245)+1,""))</f>
        <v/>
      </c>
      <c r="AH2246" s="20">
        <f>IF(A2246="",0,IF(AND(OR('CSV抽出'!$C$4="",A2246&gt;='CSV抽出'!$C$4),OR('CSV抽出'!$C$5="",A2246&lt;='CSV抽出'!$C$5),OR('CSV抽出'!$C$6="すべて",'CSV抽出'!$C$6="",D2246='CSV抽出'!$C$6),OR('CSV抽出'!$C$7="",B2246&amp;""='CSV抽出'!$C$7&amp;"")),1,0))</f>
        <v/>
      </c>
      <c r="AI2246" s="20">
        <f>IF(AH2246=1,SUM($AH$5:AH2246),"")</f>
        <v/>
      </c>
      <c r="AJ2246" s="20">
        <f>IF(OR(S2246="",'報告書'!$C$4=""),"",IF(S2246&amp;""='報告書'!$C$4&amp;"",COUNTIF($S$5:S2246,'報告書'!$C$4),""))</f>
        <v/>
      </c>
      <c r="AK2246" s="20" t="n"/>
      <c r="AL2246" s="47" t="n"/>
      <c r="AM2246" s="47" t="n"/>
      <c r="AN2246" s="53" t="n"/>
      <c r="AO2246" s="47" t="n"/>
      <c r="AP2246" s="47" t="n"/>
      <c r="AQ2246" s="47" t="n"/>
      <c r="AR2246" s="47" t="n"/>
      <c r="AS2246" s="47" t="n"/>
      <c r="AT2246" s="47" t="n"/>
      <c r="AU2246" s="47" t="n"/>
      <c r="AV2246" s="47" t="n"/>
      <c r="AW2246" s="52" t="n"/>
    </row>
    <row r="2247">
      <c r="A2247" s="48" t="n"/>
      <c r="B2247" s="52" t="n"/>
      <c r="C2247" s="47">
        <f>IF(B2247="","",IFERROR(INDEX('隊員マスタ'!$B$5:$B$204,MATCH(B2247&amp;"",'隊員マスタ'!$F$5:$F$204,0)),IF(AK2247="","番号なし",AK2247)))</f>
        <v/>
      </c>
      <c r="D2247" s="47" t="n"/>
      <c r="E2247" s="47" t="n"/>
      <c r="F2247" s="47" t="n"/>
      <c r="G2247" s="47" t="n"/>
      <c r="H2247" s="47" t="n"/>
      <c r="I2247" s="47" t="n"/>
      <c r="J2247" s="47" t="n"/>
      <c r="K2247" s="47" t="n"/>
      <c r="L2247" s="47" t="n"/>
      <c r="M2247" s="47" t="n"/>
      <c r="N2247" s="47" t="n"/>
      <c r="O2247" s="47" t="n"/>
      <c r="P2247" s="47" t="n"/>
      <c r="Q2247" s="47" t="n"/>
      <c r="R2247" s="47" t="n"/>
      <c r="S2247" s="47" t="n"/>
      <c r="T2247" s="47" t="n"/>
      <c r="U2247" s="53" t="n"/>
      <c r="V2247" s="53" t="n"/>
      <c r="W2247" s="47" t="n"/>
      <c r="X2247" s="47" t="n"/>
      <c r="Y2247" s="47" t="n"/>
      <c r="Z2247" s="47" t="n"/>
      <c r="AA2247" s="47" t="n"/>
      <c r="AB2247" s="47" t="n"/>
      <c r="AC2247" s="47" t="n"/>
      <c r="AD2247" s="47" t="n"/>
      <c r="AE2247" s="47" t="n"/>
      <c r="AF2247" s="20">
        <f>IF(A2247="","",YEAR(EDATE(A2247,-3)))</f>
        <v/>
      </c>
      <c r="AG2247" s="20">
        <f>IF(OR(B2247="",'経歴簿'!$C$4=""),"",IF(B2247&amp;""='経歴簿'!$C$4&amp;"",MAX($AG$4:AG2246)+1,""))</f>
        <v/>
      </c>
      <c r="AH2247" s="20">
        <f>IF(A2247="",0,IF(AND(OR('CSV抽出'!$C$4="",A2247&gt;='CSV抽出'!$C$4),OR('CSV抽出'!$C$5="",A2247&lt;='CSV抽出'!$C$5),OR('CSV抽出'!$C$6="すべて",'CSV抽出'!$C$6="",D2247='CSV抽出'!$C$6),OR('CSV抽出'!$C$7="",B2247&amp;""='CSV抽出'!$C$7&amp;"")),1,0))</f>
        <v/>
      </c>
      <c r="AI2247" s="20">
        <f>IF(AH2247=1,SUM($AH$5:AH2247),"")</f>
        <v/>
      </c>
      <c r="AJ2247" s="20">
        <f>IF(OR(S2247="",'報告書'!$C$4=""),"",IF(S2247&amp;""='報告書'!$C$4&amp;"",COUNTIF($S$5:S2247,'報告書'!$C$4),""))</f>
        <v/>
      </c>
      <c r="AK2247" s="20" t="n"/>
      <c r="AL2247" s="47" t="n"/>
      <c r="AM2247" s="47" t="n"/>
      <c r="AN2247" s="53" t="n"/>
      <c r="AO2247" s="47" t="n"/>
      <c r="AP2247" s="47" t="n"/>
      <c r="AQ2247" s="47" t="n"/>
      <c r="AR2247" s="47" t="n"/>
      <c r="AS2247" s="47" t="n"/>
      <c r="AT2247" s="47" t="n"/>
      <c r="AU2247" s="47" t="n"/>
      <c r="AV2247" s="47" t="n"/>
      <c r="AW2247" s="52" t="n"/>
    </row>
    <row r="2248">
      <c r="A2248" s="48" t="n"/>
      <c r="B2248" s="52" t="n"/>
      <c r="C2248" s="47">
        <f>IF(B2248="","",IFERROR(INDEX('隊員マスタ'!$B$5:$B$204,MATCH(B2248&amp;"",'隊員マスタ'!$F$5:$F$204,0)),IF(AK2248="","番号なし",AK2248)))</f>
        <v/>
      </c>
      <c r="D2248" s="47" t="n"/>
      <c r="E2248" s="47" t="n"/>
      <c r="F2248" s="47" t="n"/>
      <c r="G2248" s="47" t="n"/>
      <c r="H2248" s="47" t="n"/>
      <c r="I2248" s="47" t="n"/>
      <c r="J2248" s="47" t="n"/>
      <c r="K2248" s="47" t="n"/>
      <c r="L2248" s="47" t="n"/>
      <c r="M2248" s="47" t="n"/>
      <c r="N2248" s="47" t="n"/>
      <c r="O2248" s="47" t="n"/>
      <c r="P2248" s="47" t="n"/>
      <c r="Q2248" s="47" t="n"/>
      <c r="R2248" s="47" t="n"/>
      <c r="S2248" s="47" t="n"/>
      <c r="T2248" s="47" t="n"/>
      <c r="U2248" s="53" t="n"/>
      <c r="V2248" s="53" t="n"/>
      <c r="W2248" s="47" t="n"/>
      <c r="X2248" s="47" t="n"/>
      <c r="Y2248" s="47" t="n"/>
      <c r="Z2248" s="47" t="n"/>
      <c r="AA2248" s="47" t="n"/>
      <c r="AB2248" s="47" t="n"/>
      <c r="AC2248" s="47" t="n"/>
      <c r="AD2248" s="47" t="n"/>
      <c r="AE2248" s="47" t="n"/>
      <c r="AF2248" s="20">
        <f>IF(A2248="","",YEAR(EDATE(A2248,-3)))</f>
        <v/>
      </c>
      <c r="AG2248" s="20">
        <f>IF(OR(B2248="",'経歴簿'!$C$4=""),"",IF(B2248&amp;""='経歴簿'!$C$4&amp;"",MAX($AG$4:AG2247)+1,""))</f>
        <v/>
      </c>
      <c r="AH2248" s="20">
        <f>IF(A2248="",0,IF(AND(OR('CSV抽出'!$C$4="",A2248&gt;='CSV抽出'!$C$4),OR('CSV抽出'!$C$5="",A2248&lt;='CSV抽出'!$C$5),OR('CSV抽出'!$C$6="すべて",'CSV抽出'!$C$6="",D2248='CSV抽出'!$C$6),OR('CSV抽出'!$C$7="",B2248&amp;""='CSV抽出'!$C$7&amp;"")),1,0))</f>
        <v/>
      </c>
      <c r="AI2248" s="20">
        <f>IF(AH2248=1,SUM($AH$5:AH2248),"")</f>
        <v/>
      </c>
      <c r="AJ2248" s="20">
        <f>IF(OR(S2248="",'報告書'!$C$4=""),"",IF(S2248&amp;""='報告書'!$C$4&amp;"",COUNTIF($S$5:S2248,'報告書'!$C$4),""))</f>
        <v/>
      </c>
      <c r="AK2248" s="20" t="n"/>
      <c r="AL2248" s="47" t="n"/>
      <c r="AM2248" s="47" t="n"/>
      <c r="AN2248" s="53" t="n"/>
      <c r="AO2248" s="47" t="n"/>
      <c r="AP2248" s="47" t="n"/>
      <c r="AQ2248" s="47" t="n"/>
      <c r="AR2248" s="47" t="n"/>
      <c r="AS2248" s="47" t="n"/>
      <c r="AT2248" s="47" t="n"/>
      <c r="AU2248" s="47" t="n"/>
      <c r="AV2248" s="47" t="n"/>
      <c r="AW2248" s="52" t="n"/>
    </row>
    <row r="2249">
      <c r="A2249" s="48" t="n"/>
      <c r="B2249" s="52" t="n"/>
      <c r="C2249" s="47">
        <f>IF(B2249="","",IFERROR(INDEX('隊員マスタ'!$B$5:$B$204,MATCH(B2249&amp;"",'隊員マスタ'!$F$5:$F$204,0)),IF(AK2249="","番号なし",AK2249)))</f>
        <v/>
      </c>
      <c r="D2249" s="47" t="n"/>
      <c r="E2249" s="47" t="n"/>
      <c r="F2249" s="47" t="n"/>
      <c r="G2249" s="47" t="n"/>
      <c r="H2249" s="47" t="n"/>
      <c r="I2249" s="47" t="n"/>
      <c r="J2249" s="47" t="n"/>
      <c r="K2249" s="47" t="n"/>
      <c r="L2249" s="47" t="n"/>
      <c r="M2249" s="47" t="n"/>
      <c r="N2249" s="47" t="n"/>
      <c r="O2249" s="47" t="n"/>
      <c r="P2249" s="47" t="n"/>
      <c r="Q2249" s="47" t="n"/>
      <c r="R2249" s="47" t="n"/>
      <c r="S2249" s="47" t="n"/>
      <c r="T2249" s="47" t="n"/>
      <c r="U2249" s="53" t="n"/>
      <c r="V2249" s="53" t="n"/>
      <c r="W2249" s="47" t="n"/>
      <c r="X2249" s="47" t="n"/>
      <c r="Y2249" s="47" t="n"/>
      <c r="Z2249" s="47" t="n"/>
      <c r="AA2249" s="47" t="n"/>
      <c r="AB2249" s="47" t="n"/>
      <c r="AC2249" s="47" t="n"/>
      <c r="AD2249" s="47" t="n"/>
      <c r="AE2249" s="47" t="n"/>
      <c r="AF2249" s="20">
        <f>IF(A2249="","",YEAR(EDATE(A2249,-3)))</f>
        <v/>
      </c>
      <c r="AG2249" s="20">
        <f>IF(OR(B2249="",'経歴簿'!$C$4=""),"",IF(B2249&amp;""='経歴簿'!$C$4&amp;"",MAX($AG$4:AG2248)+1,""))</f>
        <v/>
      </c>
      <c r="AH2249" s="20">
        <f>IF(A2249="",0,IF(AND(OR('CSV抽出'!$C$4="",A2249&gt;='CSV抽出'!$C$4),OR('CSV抽出'!$C$5="",A2249&lt;='CSV抽出'!$C$5),OR('CSV抽出'!$C$6="すべて",'CSV抽出'!$C$6="",D2249='CSV抽出'!$C$6),OR('CSV抽出'!$C$7="",B2249&amp;""='CSV抽出'!$C$7&amp;"")),1,0))</f>
        <v/>
      </c>
      <c r="AI2249" s="20">
        <f>IF(AH2249=1,SUM($AH$5:AH2249),"")</f>
        <v/>
      </c>
      <c r="AJ2249" s="20">
        <f>IF(OR(S2249="",'報告書'!$C$4=""),"",IF(S2249&amp;""='報告書'!$C$4&amp;"",COUNTIF($S$5:S2249,'報告書'!$C$4),""))</f>
        <v/>
      </c>
      <c r="AK2249" s="20" t="n"/>
      <c r="AL2249" s="47" t="n"/>
      <c r="AM2249" s="47" t="n"/>
      <c r="AN2249" s="53" t="n"/>
      <c r="AO2249" s="47" t="n"/>
      <c r="AP2249" s="47" t="n"/>
      <c r="AQ2249" s="47" t="n"/>
      <c r="AR2249" s="47" t="n"/>
      <c r="AS2249" s="47" t="n"/>
      <c r="AT2249" s="47" t="n"/>
      <c r="AU2249" s="47" t="n"/>
      <c r="AV2249" s="47" t="n"/>
      <c r="AW2249" s="52" t="n"/>
    </row>
    <row r="2250">
      <c r="A2250" s="48" t="n"/>
      <c r="B2250" s="52" t="n"/>
      <c r="C2250" s="47">
        <f>IF(B2250="","",IFERROR(INDEX('隊員マスタ'!$B$5:$B$204,MATCH(B2250&amp;"",'隊員マスタ'!$F$5:$F$204,0)),IF(AK2250="","番号なし",AK2250)))</f>
        <v/>
      </c>
      <c r="D2250" s="47" t="n"/>
      <c r="E2250" s="47" t="n"/>
      <c r="F2250" s="47" t="n"/>
      <c r="G2250" s="47" t="n"/>
      <c r="H2250" s="47" t="n"/>
      <c r="I2250" s="47" t="n"/>
      <c r="J2250" s="47" t="n"/>
      <c r="K2250" s="47" t="n"/>
      <c r="L2250" s="47" t="n"/>
      <c r="M2250" s="47" t="n"/>
      <c r="N2250" s="47" t="n"/>
      <c r="O2250" s="47" t="n"/>
      <c r="P2250" s="47" t="n"/>
      <c r="Q2250" s="47" t="n"/>
      <c r="R2250" s="47" t="n"/>
      <c r="S2250" s="47" t="n"/>
      <c r="T2250" s="47" t="n"/>
      <c r="U2250" s="53" t="n"/>
      <c r="V2250" s="53" t="n"/>
      <c r="W2250" s="47" t="n"/>
      <c r="X2250" s="47" t="n"/>
      <c r="Y2250" s="47" t="n"/>
      <c r="Z2250" s="47" t="n"/>
      <c r="AA2250" s="47" t="n"/>
      <c r="AB2250" s="47" t="n"/>
      <c r="AC2250" s="47" t="n"/>
      <c r="AD2250" s="47" t="n"/>
      <c r="AE2250" s="47" t="n"/>
      <c r="AF2250" s="20">
        <f>IF(A2250="","",YEAR(EDATE(A2250,-3)))</f>
        <v/>
      </c>
      <c r="AG2250" s="20">
        <f>IF(OR(B2250="",'経歴簿'!$C$4=""),"",IF(B2250&amp;""='経歴簿'!$C$4&amp;"",MAX($AG$4:AG2249)+1,""))</f>
        <v/>
      </c>
      <c r="AH2250" s="20">
        <f>IF(A2250="",0,IF(AND(OR('CSV抽出'!$C$4="",A2250&gt;='CSV抽出'!$C$4),OR('CSV抽出'!$C$5="",A2250&lt;='CSV抽出'!$C$5),OR('CSV抽出'!$C$6="すべて",'CSV抽出'!$C$6="",D2250='CSV抽出'!$C$6),OR('CSV抽出'!$C$7="",B2250&amp;""='CSV抽出'!$C$7&amp;"")),1,0))</f>
        <v/>
      </c>
      <c r="AI2250" s="20">
        <f>IF(AH2250=1,SUM($AH$5:AH2250),"")</f>
        <v/>
      </c>
      <c r="AJ2250" s="20">
        <f>IF(OR(S2250="",'報告書'!$C$4=""),"",IF(S2250&amp;""='報告書'!$C$4&amp;"",COUNTIF($S$5:S2250,'報告書'!$C$4),""))</f>
        <v/>
      </c>
      <c r="AK2250" s="20" t="n"/>
      <c r="AL2250" s="47" t="n"/>
      <c r="AM2250" s="47" t="n"/>
      <c r="AN2250" s="53" t="n"/>
      <c r="AO2250" s="47" t="n"/>
      <c r="AP2250" s="47" t="n"/>
      <c r="AQ2250" s="47" t="n"/>
      <c r="AR2250" s="47" t="n"/>
      <c r="AS2250" s="47" t="n"/>
      <c r="AT2250" s="47" t="n"/>
      <c r="AU2250" s="47" t="n"/>
      <c r="AV2250" s="47" t="n"/>
      <c r="AW2250" s="52" t="n"/>
    </row>
    <row r="2251">
      <c r="A2251" s="48" t="n"/>
      <c r="B2251" s="52" t="n"/>
      <c r="C2251" s="47">
        <f>IF(B2251="","",IFERROR(INDEX('隊員マスタ'!$B$5:$B$204,MATCH(B2251&amp;"",'隊員マスタ'!$F$5:$F$204,0)),IF(AK2251="","番号なし",AK2251)))</f>
        <v/>
      </c>
      <c r="D2251" s="47" t="n"/>
      <c r="E2251" s="47" t="n"/>
      <c r="F2251" s="47" t="n"/>
      <c r="G2251" s="47" t="n"/>
      <c r="H2251" s="47" t="n"/>
      <c r="I2251" s="47" t="n"/>
      <c r="J2251" s="47" t="n"/>
      <c r="K2251" s="47" t="n"/>
      <c r="L2251" s="47" t="n"/>
      <c r="M2251" s="47" t="n"/>
      <c r="N2251" s="47" t="n"/>
      <c r="O2251" s="47" t="n"/>
      <c r="P2251" s="47" t="n"/>
      <c r="Q2251" s="47" t="n"/>
      <c r="R2251" s="47" t="n"/>
      <c r="S2251" s="47" t="n"/>
      <c r="T2251" s="47" t="n"/>
      <c r="U2251" s="53" t="n"/>
      <c r="V2251" s="53" t="n"/>
      <c r="W2251" s="47" t="n"/>
      <c r="X2251" s="47" t="n"/>
      <c r="Y2251" s="47" t="n"/>
      <c r="Z2251" s="47" t="n"/>
      <c r="AA2251" s="47" t="n"/>
      <c r="AB2251" s="47" t="n"/>
      <c r="AC2251" s="47" t="n"/>
      <c r="AD2251" s="47" t="n"/>
      <c r="AE2251" s="47" t="n"/>
      <c r="AF2251" s="20">
        <f>IF(A2251="","",YEAR(EDATE(A2251,-3)))</f>
        <v/>
      </c>
      <c r="AG2251" s="20">
        <f>IF(OR(B2251="",'経歴簿'!$C$4=""),"",IF(B2251&amp;""='経歴簿'!$C$4&amp;"",MAX($AG$4:AG2250)+1,""))</f>
        <v/>
      </c>
      <c r="AH2251" s="20">
        <f>IF(A2251="",0,IF(AND(OR('CSV抽出'!$C$4="",A2251&gt;='CSV抽出'!$C$4),OR('CSV抽出'!$C$5="",A2251&lt;='CSV抽出'!$C$5),OR('CSV抽出'!$C$6="すべて",'CSV抽出'!$C$6="",D2251='CSV抽出'!$C$6),OR('CSV抽出'!$C$7="",B2251&amp;""='CSV抽出'!$C$7&amp;"")),1,0))</f>
        <v/>
      </c>
      <c r="AI2251" s="20">
        <f>IF(AH2251=1,SUM($AH$5:AH2251),"")</f>
        <v/>
      </c>
      <c r="AJ2251" s="20">
        <f>IF(OR(S2251="",'報告書'!$C$4=""),"",IF(S2251&amp;""='報告書'!$C$4&amp;"",COUNTIF($S$5:S2251,'報告書'!$C$4),""))</f>
        <v/>
      </c>
      <c r="AK2251" s="20" t="n"/>
      <c r="AL2251" s="47" t="n"/>
      <c r="AM2251" s="47" t="n"/>
      <c r="AN2251" s="53" t="n"/>
      <c r="AO2251" s="47" t="n"/>
      <c r="AP2251" s="47" t="n"/>
      <c r="AQ2251" s="47" t="n"/>
      <c r="AR2251" s="47" t="n"/>
      <c r="AS2251" s="47" t="n"/>
      <c r="AT2251" s="47" t="n"/>
      <c r="AU2251" s="47" t="n"/>
      <c r="AV2251" s="47" t="n"/>
      <c r="AW2251" s="52" t="n"/>
    </row>
    <row r="2252">
      <c r="A2252" s="48" t="n"/>
      <c r="B2252" s="52" t="n"/>
      <c r="C2252" s="47">
        <f>IF(B2252="","",IFERROR(INDEX('隊員マスタ'!$B$5:$B$204,MATCH(B2252&amp;"",'隊員マスタ'!$F$5:$F$204,0)),IF(AK2252="","番号なし",AK2252)))</f>
        <v/>
      </c>
      <c r="D2252" s="47" t="n"/>
      <c r="E2252" s="47" t="n"/>
      <c r="F2252" s="47" t="n"/>
      <c r="G2252" s="47" t="n"/>
      <c r="H2252" s="47" t="n"/>
      <c r="I2252" s="47" t="n"/>
      <c r="J2252" s="47" t="n"/>
      <c r="K2252" s="47" t="n"/>
      <c r="L2252" s="47" t="n"/>
      <c r="M2252" s="47" t="n"/>
      <c r="N2252" s="47" t="n"/>
      <c r="O2252" s="47" t="n"/>
      <c r="P2252" s="47" t="n"/>
      <c r="Q2252" s="47" t="n"/>
      <c r="R2252" s="47" t="n"/>
      <c r="S2252" s="47" t="n"/>
      <c r="T2252" s="47" t="n"/>
      <c r="U2252" s="53" t="n"/>
      <c r="V2252" s="53" t="n"/>
      <c r="W2252" s="47" t="n"/>
      <c r="X2252" s="47" t="n"/>
      <c r="Y2252" s="47" t="n"/>
      <c r="Z2252" s="47" t="n"/>
      <c r="AA2252" s="47" t="n"/>
      <c r="AB2252" s="47" t="n"/>
      <c r="AC2252" s="47" t="n"/>
      <c r="AD2252" s="47" t="n"/>
      <c r="AE2252" s="47" t="n"/>
      <c r="AF2252" s="20">
        <f>IF(A2252="","",YEAR(EDATE(A2252,-3)))</f>
        <v/>
      </c>
      <c r="AG2252" s="20">
        <f>IF(OR(B2252="",'経歴簿'!$C$4=""),"",IF(B2252&amp;""='経歴簿'!$C$4&amp;"",MAX($AG$4:AG2251)+1,""))</f>
        <v/>
      </c>
      <c r="AH2252" s="20">
        <f>IF(A2252="",0,IF(AND(OR('CSV抽出'!$C$4="",A2252&gt;='CSV抽出'!$C$4),OR('CSV抽出'!$C$5="",A2252&lt;='CSV抽出'!$C$5),OR('CSV抽出'!$C$6="すべて",'CSV抽出'!$C$6="",D2252='CSV抽出'!$C$6),OR('CSV抽出'!$C$7="",B2252&amp;""='CSV抽出'!$C$7&amp;"")),1,0))</f>
        <v/>
      </c>
      <c r="AI2252" s="20">
        <f>IF(AH2252=1,SUM($AH$5:AH2252),"")</f>
        <v/>
      </c>
      <c r="AJ2252" s="20">
        <f>IF(OR(S2252="",'報告書'!$C$4=""),"",IF(S2252&amp;""='報告書'!$C$4&amp;"",COUNTIF($S$5:S2252,'報告書'!$C$4),""))</f>
        <v/>
      </c>
      <c r="AK2252" s="20" t="n"/>
      <c r="AL2252" s="47" t="n"/>
      <c r="AM2252" s="47" t="n"/>
      <c r="AN2252" s="53" t="n"/>
      <c r="AO2252" s="47" t="n"/>
      <c r="AP2252" s="47" t="n"/>
      <c r="AQ2252" s="47" t="n"/>
      <c r="AR2252" s="47" t="n"/>
      <c r="AS2252" s="47" t="n"/>
      <c r="AT2252" s="47" t="n"/>
      <c r="AU2252" s="47" t="n"/>
      <c r="AV2252" s="47" t="n"/>
      <c r="AW2252" s="52" t="n"/>
    </row>
    <row r="2253">
      <c r="A2253" s="48" t="n"/>
      <c r="B2253" s="52" t="n"/>
      <c r="C2253" s="47">
        <f>IF(B2253="","",IFERROR(INDEX('隊員マスタ'!$B$5:$B$204,MATCH(B2253&amp;"",'隊員マスタ'!$F$5:$F$204,0)),IF(AK2253="","番号なし",AK2253)))</f>
        <v/>
      </c>
      <c r="D2253" s="47" t="n"/>
      <c r="E2253" s="47" t="n"/>
      <c r="F2253" s="47" t="n"/>
      <c r="G2253" s="47" t="n"/>
      <c r="H2253" s="47" t="n"/>
      <c r="I2253" s="47" t="n"/>
      <c r="J2253" s="47" t="n"/>
      <c r="K2253" s="47" t="n"/>
      <c r="L2253" s="47" t="n"/>
      <c r="M2253" s="47" t="n"/>
      <c r="N2253" s="47" t="n"/>
      <c r="O2253" s="47" t="n"/>
      <c r="P2253" s="47" t="n"/>
      <c r="Q2253" s="47" t="n"/>
      <c r="R2253" s="47" t="n"/>
      <c r="S2253" s="47" t="n"/>
      <c r="T2253" s="47" t="n"/>
      <c r="U2253" s="53" t="n"/>
      <c r="V2253" s="53" t="n"/>
      <c r="W2253" s="47" t="n"/>
      <c r="X2253" s="47" t="n"/>
      <c r="Y2253" s="47" t="n"/>
      <c r="Z2253" s="47" t="n"/>
      <c r="AA2253" s="47" t="n"/>
      <c r="AB2253" s="47" t="n"/>
      <c r="AC2253" s="47" t="n"/>
      <c r="AD2253" s="47" t="n"/>
      <c r="AE2253" s="47" t="n"/>
      <c r="AF2253" s="20">
        <f>IF(A2253="","",YEAR(EDATE(A2253,-3)))</f>
        <v/>
      </c>
      <c r="AG2253" s="20">
        <f>IF(OR(B2253="",'経歴簿'!$C$4=""),"",IF(B2253&amp;""='経歴簿'!$C$4&amp;"",MAX($AG$4:AG2252)+1,""))</f>
        <v/>
      </c>
      <c r="AH2253" s="20">
        <f>IF(A2253="",0,IF(AND(OR('CSV抽出'!$C$4="",A2253&gt;='CSV抽出'!$C$4),OR('CSV抽出'!$C$5="",A2253&lt;='CSV抽出'!$C$5),OR('CSV抽出'!$C$6="すべて",'CSV抽出'!$C$6="",D2253='CSV抽出'!$C$6),OR('CSV抽出'!$C$7="",B2253&amp;""='CSV抽出'!$C$7&amp;"")),1,0))</f>
        <v/>
      </c>
      <c r="AI2253" s="20">
        <f>IF(AH2253=1,SUM($AH$5:AH2253),"")</f>
        <v/>
      </c>
      <c r="AJ2253" s="20">
        <f>IF(OR(S2253="",'報告書'!$C$4=""),"",IF(S2253&amp;""='報告書'!$C$4&amp;"",COUNTIF($S$5:S2253,'報告書'!$C$4),""))</f>
        <v/>
      </c>
      <c r="AK2253" s="20" t="n"/>
      <c r="AL2253" s="47" t="n"/>
      <c r="AM2253" s="47" t="n"/>
      <c r="AN2253" s="53" t="n"/>
      <c r="AO2253" s="47" t="n"/>
      <c r="AP2253" s="47" t="n"/>
      <c r="AQ2253" s="47" t="n"/>
      <c r="AR2253" s="47" t="n"/>
      <c r="AS2253" s="47" t="n"/>
      <c r="AT2253" s="47" t="n"/>
      <c r="AU2253" s="47" t="n"/>
      <c r="AV2253" s="47" t="n"/>
      <c r="AW2253" s="52" t="n"/>
    </row>
    <row r="2254">
      <c r="A2254" s="48" t="n"/>
      <c r="B2254" s="52" t="n"/>
      <c r="C2254" s="47">
        <f>IF(B2254="","",IFERROR(INDEX('隊員マスタ'!$B$5:$B$204,MATCH(B2254&amp;"",'隊員マスタ'!$F$5:$F$204,0)),IF(AK2254="","番号なし",AK2254)))</f>
        <v/>
      </c>
      <c r="D2254" s="47" t="n"/>
      <c r="E2254" s="47" t="n"/>
      <c r="F2254" s="47" t="n"/>
      <c r="G2254" s="47" t="n"/>
      <c r="H2254" s="47" t="n"/>
      <c r="I2254" s="47" t="n"/>
      <c r="J2254" s="47" t="n"/>
      <c r="K2254" s="47" t="n"/>
      <c r="L2254" s="47" t="n"/>
      <c r="M2254" s="47" t="n"/>
      <c r="N2254" s="47" t="n"/>
      <c r="O2254" s="47" t="n"/>
      <c r="P2254" s="47" t="n"/>
      <c r="Q2254" s="47" t="n"/>
      <c r="R2254" s="47" t="n"/>
      <c r="S2254" s="47" t="n"/>
      <c r="T2254" s="47" t="n"/>
      <c r="U2254" s="53" t="n"/>
      <c r="V2254" s="53" t="n"/>
      <c r="W2254" s="47" t="n"/>
      <c r="X2254" s="47" t="n"/>
      <c r="Y2254" s="47" t="n"/>
      <c r="Z2254" s="47" t="n"/>
      <c r="AA2254" s="47" t="n"/>
      <c r="AB2254" s="47" t="n"/>
      <c r="AC2254" s="47" t="n"/>
      <c r="AD2254" s="47" t="n"/>
      <c r="AE2254" s="47" t="n"/>
      <c r="AF2254" s="20">
        <f>IF(A2254="","",YEAR(EDATE(A2254,-3)))</f>
        <v/>
      </c>
      <c r="AG2254" s="20">
        <f>IF(OR(B2254="",'経歴簿'!$C$4=""),"",IF(B2254&amp;""='経歴簿'!$C$4&amp;"",MAX($AG$4:AG2253)+1,""))</f>
        <v/>
      </c>
      <c r="AH2254" s="20">
        <f>IF(A2254="",0,IF(AND(OR('CSV抽出'!$C$4="",A2254&gt;='CSV抽出'!$C$4),OR('CSV抽出'!$C$5="",A2254&lt;='CSV抽出'!$C$5),OR('CSV抽出'!$C$6="すべて",'CSV抽出'!$C$6="",D2254='CSV抽出'!$C$6),OR('CSV抽出'!$C$7="",B2254&amp;""='CSV抽出'!$C$7&amp;"")),1,0))</f>
        <v/>
      </c>
      <c r="AI2254" s="20">
        <f>IF(AH2254=1,SUM($AH$5:AH2254),"")</f>
        <v/>
      </c>
      <c r="AJ2254" s="20">
        <f>IF(OR(S2254="",'報告書'!$C$4=""),"",IF(S2254&amp;""='報告書'!$C$4&amp;"",COUNTIF($S$5:S2254,'報告書'!$C$4),""))</f>
        <v/>
      </c>
      <c r="AK2254" s="20" t="n"/>
      <c r="AL2254" s="47" t="n"/>
      <c r="AM2254" s="47" t="n"/>
      <c r="AN2254" s="53" t="n"/>
      <c r="AO2254" s="47" t="n"/>
      <c r="AP2254" s="47" t="n"/>
      <c r="AQ2254" s="47" t="n"/>
      <c r="AR2254" s="47" t="n"/>
      <c r="AS2254" s="47" t="n"/>
      <c r="AT2254" s="47" t="n"/>
      <c r="AU2254" s="47" t="n"/>
      <c r="AV2254" s="47" t="n"/>
      <c r="AW2254" s="52" t="n"/>
    </row>
    <row r="2255">
      <c r="A2255" s="48" t="n"/>
      <c r="B2255" s="52" t="n"/>
      <c r="C2255" s="47">
        <f>IF(B2255="","",IFERROR(INDEX('隊員マスタ'!$B$5:$B$204,MATCH(B2255&amp;"",'隊員マスタ'!$F$5:$F$204,0)),IF(AK2255="","番号なし",AK2255)))</f>
        <v/>
      </c>
      <c r="D2255" s="47" t="n"/>
      <c r="E2255" s="47" t="n"/>
      <c r="F2255" s="47" t="n"/>
      <c r="G2255" s="47" t="n"/>
      <c r="H2255" s="47" t="n"/>
      <c r="I2255" s="47" t="n"/>
      <c r="J2255" s="47" t="n"/>
      <c r="K2255" s="47" t="n"/>
      <c r="L2255" s="47" t="n"/>
      <c r="M2255" s="47" t="n"/>
      <c r="N2255" s="47" t="n"/>
      <c r="O2255" s="47" t="n"/>
      <c r="P2255" s="47" t="n"/>
      <c r="Q2255" s="47" t="n"/>
      <c r="R2255" s="47" t="n"/>
      <c r="S2255" s="47" t="n"/>
      <c r="T2255" s="47" t="n"/>
      <c r="U2255" s="53" t="n"/>
      <c r="V2255" s="53" t="n"/>
      <c r="W2255" s="47" t="n"/>
      <c r="X2255" s="47" t="n"/>
      <c r="Y2255" s="47" t="n"/>
      <c r="Z2255" s="47" t="n"/>
      <c r="AA2255" s="47" t="n"/>
      <c r="AB2255" s="47" t="n"/>
      <c r="AC2255" s="47" t="n"/>
      <c r="AD2255" s="47" t="n"/>
      <c r="AE2255" s="47" t="n"/>
      <c r="AF2255" s="20">
        <f>IF(A2255="","",YEAR(EDATE(A2255,-3)))</f>
        <v/>
      </c>
      <c r="AG2255" s="20">
        <f>IF(OR(B2255="",'経歴簿'!$C$4=""),"",IF(B2255&amp;""='経歴簿'!$C$4&amp;"",MAX($AG$4:AG2254)+1,""))</f>
        <v/>
      </c>
      <c r="AH2255" s="20">
        <f>IF(A2255="",0,IF(AND(OR('CSV抽出'!$C$4="",A2255&gt;='CSV抽出'!$C$4),OR('CSV抽出'!$C$5="",A2255&lt;='CSV抽出'!$C$5),OR('CSV抽出'!$C$6="すべて",'CSV抽出'!$C$6="",D2255='CSV抽出'!$C$6),OR('CSV抽出'!$C$7="",B2255&amp;""='CSV抽出'!$C$7&amp;"")),1,0))</f>
        <v/>
      </c>
      <c r="AI2255" s="20">
        <f>IF(AH2255=1,SUM($AH$5:AH2255),"")</f>
        <v/>
      </c>
      <c r="AJ2255" s="20">
        <f>IF(OR(S2255="",'報告書'!$C$4=""),"",IF(S2255&amp;""='報告書'!$C$4&amp;"",COUNTIF($S$5:S2255,'報告書'!$C$4),""))</f>
        <v/>
      </c>
      <c r="AK2255" s="20" t="n"/>
      <c r="AL2255" s="47" t="n"/>
      <c r="AM2255" s="47" t="n"/>
      <c r="AN2255" s="53" t="n"/>
      <c r="AO2255" s="47" t="n"/>
      <c r="AP2255" s="47" t="n"/>
      <c r="AQ2255" s="47" t="n"/>
      <c r="AR2255" s="47" t="n"/>
      <c r="AS2255" s="47" t="n"/>
      <c r="AT2255" s="47" t="n"/>
      <c r="AU2255" s="47" t="n"/>
      <c r="AV2255" s="47" t="n"/>
      <c r="AW2255" s="52" t="n"/>
    </row>
    <row r="2256">
      <c r="A2256" s="48" t="n"/>
      <c r="B2256" s="52" t="n"/>
      <c r="C2256" s="47">
        <f>IF(B2256="","",IFERROR(INDEX('隊員マスタ'!$B$5:$B$204,MATCH(B2256&amp;"",'隊員マスタ'!$F$5:$F$204,0)),IF(AK2256="","番号なし",AK2256)))</f>
        <v/>
      </c>
      <c r="D2256" s="47" t="n"/>
      <c r="E2256" s="47" t="n"/>
      <c r="F2256" s="47" t="n"/>
      <c r="G2256" s="47" t="n"/>
      <c r="H2256" s="47" t="n"/>
      <c r="I2256" s="47" t="n"/>
      <c r="J2256" s="47" t="n"/>
      <c r="K2256" s="47" t="n"/>
      <c r="L2256" s="47" t="n"/>
      <c r="M2256" s="47" t="n"/>
      <c r="N2256" s="47" t="n"/>
      <c r="O2256" s="47" t="n"/>
      <c r="P2256" s="47" t="n"/>
      <c r="Q2256" s="47" t="n"/>
      <c r="R2256" s="47" t="n"/>
      <c r="S2256" s="47" t="n"/>
      <c r="T2256" s="47" t="n"/>
      <c r="U2256" s="53" t="n"/>
      <c r="V2256" s="53" t="n"/>
      <c r="W2256" s="47" t="n"/>
      <c r="X2256" s="47" t="n"/>
      <c r="Y2256" s="47" t="n"/>
      <c r="Z2256" s="47" t="n"/>
      <c r="AA2256" s="47" t="n"/>
      <c r="AB2256" s="47" t="n"/>
      <c r="AC2256" s="47" t="n"/>
      <c r="AD2256" s="47" t="n"/>
      <c r="AE2256" s="47" t="n"/>
      <c r="AF2256" s="20">
        <f>IF(A2256="","",YEAR(EDATE(A2256,-3)))</f>
        <v/>
      </c>
      <c r="AG2256" s="20">
        <f>IF(OR(B2256="",'経歴簿'!$C$4=""),"",IF(B2256&amp;""='経歴簿'!$C$4&amp;"",MAX($AG$4:AG2255)+1,""))</f>
        <v/>
      </c>
      <c r="AH2256" s="20">
        <f>IF(A2256="",0,IF(AND(OR('CSV抽出'!$C$4="",A2256&gt;='CSV抽出'!$C$4),OR('CSV抽出'!$C$5="",A2256&lt;='CSV抽出'!$C$5),OR('CSV抽出'!$C$6="すべて",'CSV抽出'!$C$6="",D2256='CSV抽出'!$C$6),OR('CSV抽出'!$C$7="",B2256&amp;""='CSV抽出'!$C$7&amp;"")),1,0))</f>
        <v/>
      </c>
      <c r="AI2256" s="20">
        <f>IF(AH2256=1,SUM($AH$5:AH2256),"")</f>
        <v/>
      </c>
      <c r="AJ2256" s="20">
        <f>IF(OR(S2256="",'報告書'!$C$4=""),"",IF(S2256&amp;""='報告書'!$C$4&amp;"",COUNTIF($S$5:S2256,'報告書'!$C$4),""))</f>
        <v/>
      </c>
      <c r="AK2256" s="20" t="n"/>
      <c r="AL2256" s="47" t="n"/>
      <c r="AM2256" s="47" t="n"/>
      <c r="AN2256" s="53" t="n"/>
      <c r="AO2256" s="47" t="n"/>
      <c r="AP2256" s="47" t="n"/>
      <c r="AQ2256" s="47" t="n"/>
      <c r="AR2256" s="47" t="n"/>
      <c r="AS2256" s="47" t="n"/>
      <c r="AT2256" s="47" t="n"/>
      <c r="AU2256" s="47" t="n"/>
      <c r="AV2256" s="47" t="n"/>
      <c r="AW2256" s="52" t="n"/>
    </row>
    <row r="2257">
      <c r="A2257" s="48" t="n"/>
      <c r="B2257" s="52" t="n"/>
      <c r="C2257" s="47">
        <f>IF(B2257="","",IFERROR(INDEX('隊員マスタ'!$B$5:$B$204,MATCH(B2257&amp;"",'隊員マスタ'!$F$5:$F$204,0)),IF(AK2257="","番号なし",AK2257)))</f>
        <v/>
      </c>
      <c r="D2257" s="47" t="n"/>
      <c r="E2257" s="47" t="n"/>
      <c r="F2257" s="47" t="n"/>
      <c r="G2257" s="47" t="n"/>
      <c r="H2257" s="47" t="n"/>
      <c r="I2257" s="47" t="n"/>
      <c r="J2257" s="47" t="n"/>
      <c r="K2257" s="47" t="n"/>
      <c r="L2257" s="47" t="n"/>
      <c r="M2257" s="47" t="n"/>
      <c r="N2257" s="47" t="n"/>
      <c r="O2257" s="47" t="n"/>
      <c r="P2257" s="47" t="n"/>
      <c r="Q2257" s="47" t="n"/>
      <c r="R2257" s="47" t="n"/>
      <c r="S2257" s="47" t="n"/>
      <c r="T2257" s="47" t="n"/>
      <c r="U2257" s="53" t="n"/>
      <c r="V2257" s="53" t="n"/>
      <c r="W2257" s="47" t="n"/>
      <c r="X2257" s="47" t="n"/>
      <c r="Y2257" s="47" t="n"/>
      <c r="Z2257" s="47" t="n"/>
      <c r="AA2257" s="47" t="n"/>
      <c r="AB2257" s="47" t="n"/>
      <c r="AC2257" s="47" t="n"/>
      <c r="AD2257" s="47" t="n"/>
      <c r="AE2257" s="47" t="n"/>
      <c r="AF2257" s="20">
        <f>IF(A2257="","",YEAR(EDATE(A2257,-3)))</f>
        <v/>
      </c>
      <c r="AG2257" s="20">
        <f>IF(OR(B2257="",'経歴簿'!$C$4=""),"",IF(B2257&amp;""='経歴簿'!$C$4&amp;"",MAX($AG$4:AG2256)+1,""))</f>
        <v/>
      </c>
      <c r="AH2257" s="20">
        <f>IF(A2257="",0,IF(AND(OR('CSV抽出'!$C$4="",A2257&gt;='CSV抽出'!$C$4),OR('CSV抽出'!$C$5="",A2257&lt;='CSV抽出'!$C$5),OR('CSV抽出'!$C$6="すべて",'CSV抽出'!$C$6="",D2257='CSV抽出'!$C$6),OR('CSV抽出'!$C$7="",B2257&amp;""='CSV抽出'!$C$7&amp;"")),1,0))</f>
        <v/>
      </c>
      <c r="AI2257" s="20">
        <f>IF(AH2257=1,SUM($AH$5:AH2257),"")</f>
        <v/>
      </c>
      <c r="AJ2257" s="20">
        <f>IF(OR(S2257="",'報告書'!$C$4=""),"",IF(S2257&amp;""='報告書'!$C$4&amp;"",COUNTIF($S$5:S2257,'報告書'!$C$4),""))</f>
        <v/>
      </c>
      <c r="AK2257" s="20" t="n"/>
      <c r="AL2257" s="47" t="n"/>
      <c r="AM2257" s="47" t="n"/>
      <c r="AN2257" s="53" t="n"/>
      <c r="AO2257" s="47" t="n"/>
      <c r="AP2257" s="47" t="n"/>
      <c r="AQ2257" s="47" t="n"/>
      <c r="AR2257" s="47" t="n"/>
      <c r="AS2257" s="47" t="n"/>
      <c r="AT2257" s="47" t="n"/>
      <c r="AU2257" s="47" t="n"/>
      <c r="AV2257" s="47" t="n"/>
      <c r="AW2257" s="52" t="n"/>
    </row>
    <row r="2258">
      <c r="A2258" s="48" t="n"/>
      <c r="B2258" s="52" t="n"/>
      <c r="C2258" s="47">
        <f>IF(B2258="","",IFERROR(INDEX('隊員マスタ'!$B$5:$B$204,MATCH(B2258&amp;"",'隊員マスタ'!$F$5:$F$204,0)),IF(AK2258="","番号なし",AK2258)))</f>
        <v/>
      </c>
      <c r="D2258" s="47" t="n"/>
      <c r="E2258" s="47" t="n"/>
      <c r="F2258" s="47" t="n"/>
      <c r="G2258" s="47" t="n"/>
      <c r="H2258" s="47" t="n"/>
      <c r="I2258" s="47" t="n"/>
      <c r="J2258" s="47" t="n"/>
      <c r="K2258" s="47" t="n"/>
      <c r="L2258" s="47" t="n"/>
      <c r="M2258" s="47" t="n"/>
      <c r="N2258" s="47" t="n"/>
      <c r="O2258" s="47" t="n"/>
      <c r="P2258" s="47" t="n"/>
      <c r="Q2258" s="47" t="n"/>
      <c r="R2258" s="47" t="n"/>
      <c r="S2258" s="47" t="n"/>
      <c r="T2258" s="47" t="n"/>
      <c r="U2258" s="53" t="n"/>
      <c r="V2258" s="53" t="n"/>
      <c r="W2258" s="47" t="n"/>
      <c r="X2258" s="47" t="n"/>
      <c r="Y2258" s="47" t="n"/>
      <c r="Z2258" s="47" t="n"/>
      <c r="AA2258" s="47" t="n"/>
      <c r="AB2258" s="47" t="n"/>
      <c r="AC2258" s="47" t="n"/>
      <c r="AD2258" s="47" t="n"/>
      <c r="AE2258" s="47" t="n"/>
      <c r="AF2258" s="20">
        <f>IF(A2258="","",YEAR(EDATE(A2258,-3)))</f>
        <v/>
      </c>
      <c r="AG2258" s="20">
        <f>IF(OR(B2258="",'経歴簿'!$C$4=""),"",IF(B2258&amp;""='経歴簿'!$C$4&amp;"",MAX($AG$4:AG2257)+1,""))</f>
        <v/>
      </c>
      <c r="AH2258" s="20">
        <f>IF(A2258="",0,IF(AND(OR('CSV抽出'!$C$4="",A2258&gt;='CSV抽出'!$C$4),OR('CSV抽出'!$C$5="",A2258&lt;='CSV抽出'!$C$5),OR('CSV抽出'!$C$6="すべて",'CSV抽出'!$C$6="",D2258='CSV抽出'!$C$6),OR('CSV抽出'!$C$7="",B2258&amp;""='CSV抽出'!$C$7&amp;"")),1,0))</f>
        <v/>
      </c>
      <c r="AI2258" s="20">
        <f>IF(AH2258=1,SUM($AH$5:AH2258),"")</f>
        <v/>
      </c>
      <c r="AJ2258" s="20">
        <f>IF(OR(S2258="",'報告書'!$C$4=""),"",IF(S2258&amp;""='報告書'!$C$4&amp;"",COUNTIF($S$5:S2258,'報告書'!$C$4),""))</f>
        <v/>
      </c>
      <c r="AK2258" s="20" t="n"/>
      <c r="AL2258" s="47" t="n"/>
      <c r="AM2258" s="47" t="n"/>
      <c r="AN2258" s="53" t="n"/>
      <c r="AO2258" s="47" t="n"/>
      <c r="AP2258" s="47" t="n"/>
      <c r="AQ2258" s="47" t="n"/>
      <c r="AR2258" s="47" t="n"/>
      <c r="AS2258" s="47" t="n"/>
      <c r="AT2258" s="47" t="n"/>
      <c r="AU2258" s="47" t="n"/>
      <c r="AV2258" s="47" t="n"/>
      <c r="AW2258" s="52" t="n"/>
    </row>
    <row r="2259">
      <c r="A2259" s="48" t="n"/>
      <c r="B2259" s="52" t="n"/>
      <c r="C2259" s="47">
        <f>IF(B2259="","",IFERROR(INDEX('隊員マスタ'!$B$5:$B$204,MATCH(B2259&amp;"",'隊員マスタ'!$F$5:$F$204,0)),IF(AK2259="","番号なし",AK2259)))</f>
        <v/>
      </c>
      <c r="D2259" s="47" t="n"/>
      <c r="E2259" s="47" t="n"/>
      <c r="F2259" s="47" t="n"/>
      <c r="G2259" s="47" t="n"/>
      <c r="H2259" s="47" t="n"/>
      <c r="I2259" s="47" t="n"/>
      <c r="J2259" s="47" t="n"/>
      <c r="K2259" s="47" t="n"/>
      <c r="L2259" s="47" t="n"/>
      <c r="M2259" s="47" t="n"/>
      <c r="N2259" s="47" t="n"/>
      <c r="O2259" s="47" t="n"/>
      <c r="P2259" s="47" t="n"/>
      <c r="Q2259" s="47" t="n"/>
      <c r="R2259" s="47" t="n"/>
      <c r="S2259" s="47" t="n"/>
      <c r="T2259" s="47" t="n"/>
      <c r="U2259" s="53" t="n"/>
      <c r="V2259" s="53" t="n"/>
      <c r="W2259" s="47" t="n"/>
      <c r="X2259" s="47" t="n"/>
      <c r="Y2259" s="47" t="n"/>
      <c r="Z2259" s="47" t="n"/>
      <c r="AA2259" s="47" t="n"/>
      <c r="AB2259" s="47" t="n"/>
      <c r="AC2259" s="47" t="n"/>
      <c r="AD2259" s="47" t="n"/>
      <c r="AE2259" s="47" t="n"/>
      <c r="AF2259" s="20">
        <f>IF(A2259="","",YEAR(EDATE(A2259,-3)))</f>
        <v/>
      </c>
      <c r="AG2259" s="20">
        <f>IF(OR(B2259="",'経歴簿'!$C$4=""),"",IF(B2259&amp;""='経歴簿'!$C$4&amp;"",MAX($AG$4:AG2258)+1,""))</f>
        <v/>
      </c>
      <c r="AH2259" s="20">
        <f>IF(A2259="",0,IF(AND(OR('CSV抽出'!$C$4="",A2259&gt;='CSV抽出'!$C$4),OR('CSV抽出'!$C$5="",A2259&lt;='CSV抽出'!$C$5),OR('CSV抽出'!$C$6="すべて",'CSV抽出'!$C$6="",D2259='CSV抽出'!$C$6),OR('CSV抽出'!$C$7="",B2259&amp;""='CSV抽出'!$C$7&amp;"")),1,0))</f>
        <v/>
      </c>
      <c r="AI2259" s="20">
        <f>IF(AH2259=1,SUM($AH$5:AH2259),"")</f>
        <v/>
      </c>
      <c r="AJ2259" s="20">
        <f>IF(OR(S2259="",'報告書'!$C$4=""),"",IF(S2259&amp;""='報告書'!$C$4&amp;"",COUNTIF($S$5:S2259,'報告書'!$C$4),""))</f>
        <v/>
      </c>
      <c r="AK2259" s="20" t="n"/>
      <c r="AL2259" s="47" t="n"/>
      <c r="AM2259" s="47" t="n"/>
      <c r="AN2259" s="53" t="n"/>
      <c r="AO2259" s="47" t="n"/>
      <c r="AP2259" s="47" t="n"/>
      <c r="AQ2259" s="47" t="n"/>
      <c r="AR2259" s="47" t="n"/>
      <c r="AS2259" s="47" t="n"/>
      <c r="AT2259" s="47" t="n"/>
      <c r="AU2259" s="47" t="n"/>
      <c r="AV2259" s="47" t="n"/>
      <c r="AW2259" s="52" t="n"/>
    </row>
    <row r="2260">
      <c r="A2260" s="48" t="n"/>
      <c r="B2260" s="52" t="n"/>
      <c r="C2260" s="47">
        <f>IF(B2260="","",IFERROR(INDEX('隊員マスタ'!$B$5:$B$204,MATCH(B2260&amp;"",'隊員マスタ'!$F$5:$F$204,0)),IF(AK2260="","番号なし",AK2260)))</f>
        <v/>
      </c>
      <c r="D2260" s="47" t="n"/>
      <c r="E2260" s="47" t="n"/>
      <c r="F2260" s="47" t="n"/>
      <c r="G2260" s="47" t="n"/>
      <c r="H2260" s="47" t="n"/>
      <c r="I2260" s="47" t="n"/>
      <c r="J2260" s="47" t="n"/>
      <c r="K2260" s="47" t="n"/>
      <c r="L2260" s="47" t="n"/>
      <c r="M2260" s="47" t="n"/>
      <c r="N2260" s="47" t="n"/>
      <c r="O2260" s="47" t="n"/>
      <c r="P2260" s="47" t="n"/>
      <c r="Q2260" s="47" t="n"/>
      <c r="R2260" s="47" t="n"/>
      <c r="S2260" s="47" t="n"/>
      <c r="T2260" s="47" t="n"/>
      <c r="U2260" s="53" t="n"/>
      <c r="V2260" s="53" t="n"/>
      <c r="W2260" s="47" t="n"/>
      <c r="X2260" s="47" t="n"/>
      <c r="Y2260" s="47" t="n"/>
      <c r="Z2260" s="47" t="n"/>
      <c r="AA2260" s="47" t="n"/>
      <c r="AB2260" s="47" t="n"/>
      <c r="AC2260" s="47" t="n"/>
      <c r="AD2260" s="47" t="n"/>
      <c r="AE2260" s="47" t="n"/>
      <c r="AF2260" s="20">
        <f>IF(A2260="","",YEAR(EDATE(A2260,-3)))</f>
        <v/>
      </c>
      <c r="AG2260" s="20">
        <f>IF(OR(B2260="",'経歴簿'!$C$4=""),"",IF(B2260&amp;""='経歴簿'!$C$4&amp;"",MAX($AG$4:AG2259)+1,""))</f>
        <v/>
      </c>
      <c r="AH2260" s="20">
        <f>IF(A2260="",0,IF(AND(OR('CSV抽出'!$C$4="",A2260&gt;='CSV抽出'!$C$4),OR('CSV抽出'!$C$5="",A2260&lt;='CSV抽出'!$C$5),OR('CSV抽出'!$C$6="すべて",'CSV抽出'!$C$6="",D2260='CSV抽出'!$C$6),OR('CSV抽出'!$C$7="",B2260&amp;""='CSV抽出'!$C$7&amp;"")),1,0))</f>
        <v/>
      </c>
      <c r="AI2260" s="20">
        <f>IF(AH2260=1,SUM($AH$5:AH2260),"")</f>
        <v/>
      </c>
      <c r="AJ2260" s="20">
        <f>IF(OR(S2260="",'報告書'!$C$4=""),"",IF(S2260&amp;""='報告書'!$C$4&amp;"",COUNTIF($S$5:S2260,'報告書'!$C$4),""))</f>
        <v/>
      </c>
      <c r="AK2260" s="20" t="n"/>
      <c r="AL2260" s="47" t="n"/>
      <c r="AM2260" s="47" t="n"/>
      <c r="AN2260" s="53" t="n"/>
      <c r="AO2260" s="47" t="n"/>
      <c r="AP2260" s="47" t="n"/>
      <c r="AQ2260" s="47" t="n"/>
      <c r="AR2260" s="47" t="n"/>
      <c r="AS2260" s="47" t="n"/>
      <c r="AT2260" s="47" t="n"/>
      <c r="AU2260" s="47" t="n"/>
      <c r="AV2260" s="47" t="n"/>
      <c r="AW2260" s="52" t="n"/>
    </row>
    <row r="2261">
      <c r="A2261" s="48" t="n"/>
      <c r="B2261" s="52" t="n"/>
      <c r="C2261" s="47">
        <f>IF(B2261="","",IFERROR(INDEX('隊員マスタ'!$B$5:$B$204,MATCH(B2261&amp;"",'隊員マスタ'!$F$5:$F$204,0)),IF(AK2261="","番号なし",AK2261)))</f>
        <v/>
      </c>
      <c r="D2261" s="47" t="n"/>
      <c r="E2261" s="47" t="n"/>
      <c r="F2261" s="47" t="n"/>
      <c r="G2261" s="47" t="n"/>
      <c r="H2261" s="47" t="n"/>
      <c r="I2261" s="47" t="n"/>
      <c r="J2261" s="47" t="n"/>
      <c r="K2261" s="47" t="n"/>
      <c r="L2261" s="47" t="n"/>
      <c r="M2261" s="47" t="n"/>
      <c r="N2261" s="47" t="n"/>
      <c r="O2261" s="47" t="n"/>
      <c r="P2261" s="47" t="n"/>
      <c r="Q2261" s="47" t="n"/>
      <c r="R2261" s="47" t="n"/>
      <c r="S2261" s="47" t="n"/>
      <c r="T2261" s="47" t="n"/>
      <c r="U2261" s="53" t="n"/>
      <c r="V2261" s="53" t="n"/>
      <c r="W2261" s="47" t="n"/>
      <c r="X2261" s="47" t="n"/>
      <c r="Y2261" s="47" t="n"/>
      <c r="Z2261" s="47" t="n"/>
      <c r="AA2261" s="47" t="n"/>
      <c r="AB2261" s="47" t="n"/>
      <c r="AC2261" s="47" t="n"/>
      <c r="AD2261" s="47" t="n"/>
      <c r="AE2261" s="47" t="n"/>
      <c r="AF2261" s="20">
        <f>IF(A2261="","",YEAR(EDATE(A2261,-3)))</f>
        <v/>
      </c>
      <c r="AG2261" s="20">
        <f>IF(OR(B2261="",'経歴簿'!$C$4=""),"",IF(B2261&amp;""='経歴簿'!$C$4&amp;"",MAX($AG$4:AG2260)+1,""))</f>
        <v/>
      </c>
      <c r="AH2261" s="20">
        <f>IF(A2261="",0,IF(AND(OR('CSV抽出'!$C$4="",A2261&gt;='CSV抽出'!$C$4),OR('CSV抽出'!$C$5="",A2261&lt;='CSV抽出'!$C$5),OR('CSV抽出'!$C$6="すべて",'CSV抽出'!$C$6="",D2261='CSV抽出'!$C$6),OR('CSV抽出'!$C$7="",B2261&amp;""='CSV抽出'!$C$7&amp;"")),1,0))</f>
        <v/>
      </c>
      <c r="AI2261" s="20">
        <f>IF(AH2261=1,SUM($AH$5:AH2261),"")</f>
        <v/>
      </c>
      <c r="AJ2261" s="20">
        <f>IF(OR(S2261="",'報告書'!$C$4=""),"",IF(S2261&amp;""='報告書'!$C$4&amp;"",COUNTIF($S$5:S2261,'報告書'!$C$4),""))</f>
        <v/>
      </c>
      <c r="AK2261" s="20" t="n"/>
      <c r="AL2261" s="47" t="n"/>
      <c r="AM2261" s="47" t="n"/>
      <c r="AN2261" s="53" t="n"/>
      <c r="AO2261" s="47" t="n"/>
      <c r="AP2261" s="47" t="n"/>
      <c r="AQ2261" s="47" t="n"/>
      <c r="AR2261" s="47" t="n"/>
      <c r="AS2261" s="47" t="n"/>
      <c r="AT2261" s="47" t="n"/>
      <c r="AU2261" s="47" t="n"/>
      <c r="AV2261" s="47" t="n"/>
      <c r="AW2261" s="52" t="n"/>
    </row>
    <row r="2262">
      <c r="A2262" s="48" t="n"/>
      <c r="B2262" s="52" t="n"/>
      <c r="C2262" s="47">
        <f>IF(B2262="","",IFERROR(INDEX('隊員マスタ'!$B$5:$B$204,MATCH(B2262&amp;"",'隊員マスタ'!$F$5:$F$204,0)),IF(AK2262="","番号なし",AK2262)))</f>
        <v/>
      </c>
      <c r="D2262" s="47" t="n"/>
      <c r="E2262" s="47" t="n"/>
      <c r="F2262" s="47" t="n"/>
      <c r="G2262" s="47" t="n"/>
      <c r="H2262" s="47" t="n"/>
      <c r="I2262" s="47" t="n"/>
      <c r="J2262" s="47" t="n"/>
      <c r="K2262" s="47" t="n"/>
      <c r="L2262" s="47" t="n"/>
      <c r="M2262" s="47" t="n"/>
      <c r="N2262" s="47" t="n"/>
      <c r="O2262" s="47" t="n"/>
      <c r="P2262" s="47" t="n"/>
      <c r="Q2262" s="47" t="n"/>
      <c r="R2262" s="47" t="n"/>
      <c r="S2262" s="47" t="n"/>
      <c r="T2262" s="47" t="n"/>
      <c r="U2262" s="53" t="n"/>
      <c r="V2262" s="53" t="n"/>
      <c r="W2262" s="47" t="n"/>
      <c r="X2262" s="47" t="n"/>
      <c r="Y2262" s="47" t="n"/>
      <c r="Z2262" s="47" t="n"/>
      <c r="AA2262" s="47" t="n"/>
      <c r="AB2262" s="47" t="n"/>
      <c r="AC2262" s="47" t="n"/>
      <c r="AD2262" s="47" t="n"/>
      <c r="AE2262" s="47" t="n"/>
      <c r="AF2262" s="20">
        <f>IF(A2262="","",YEAR(EDATE(A2262,-3)))</f>
        <v/>
      </c>
      <c r="AG2262" s="20">
        <f>IF(OR(B2262="",'経歴簿'!$C$4=""),"",IF(B2262&amp;""='経歴簿'!$C$4&amp;"",MAX($AG$4:AG2261)+1,""))</f>
        <v/>
      </c>
      <c r="AH2262" s="20">
        <f>IF(A2262="",0,IF(AND(OR('CSV抽出'!$C$4="",A2262&gt;='CSV抽出'!$C$4),OR('CSV抽出'!$C$5="",A2262&lt;='CSV抽出'!$C$5),OR('CSV抽出'!$C$6="すべて",'CSV抽出'!$C$6="",D2262='CSV抽出'!$C$6),OR('CSV抽出'!$C$7="",B2262&amp;""='CSV抽出'!$C$7&amp;"")),1,0))</f>
        <v/>
      </c>
      <c r="AI2262" s="20">
        <f>IF(AH2262=1,SUM($AH$5:AH2262),"")</f>
        <v/>
      </c>
      <c r="AJ2262" s="20">
        <f>IF(OR(S2262="",'報告書'!$C$4=""),"",IF(S2262&amp;""='報告書'!$C$4&amp;"",COUNTIF($S$5:S2262,'報告書'!$C$4),""))</f>
        <v/>
      </c>
      <c r="AK2262" s="20" t="n"/>
      <c r="AL2262" s="47" t="n"/>
      <c r="AM2262" s="47" t="n"/>
      <c r="AN2262" s="53" t="n"/>
      <c r="AO2262" s="47" t="n"/>
      <c r="AP2262" s="47" t="n"/>
      <c r="AQ2262" s="47" t="n"/>
      <c r="AR2262" s="47" t="n"/>
      <c r="AS2262" s="47" t="n"/>
      <c r="AT2262" s="47" t="n"/>
      <c r="AU2262" s="47" t="n"/>
      <c r="AV2262" s="47" t="n"/>
      <c r="AW2262" s="52" t="n"/>
    </row>
    <row r="2263">
      <c r="A2263" s="48" t="n"/>
      <c r="B2263" s="52" t="n"/>
      <c r="C2263" s="47">
        <f>IF(B2263="","",IFERROR(INDEX('隊員マスタ'!$B$5:$B$204,MATCH(B2263&amp;"",'隊員マスタ'!$F$5:$F$204,0)),IF(AK2263="","番号なし",AK2263)))</f>
        <v/>
      </c>
      <c r="D2263" s="47" t="n"/>
      <c r="E2263" s="47" t="n"/>
      <c r="F2263" s="47" t="n"/>
      <c r="G2263" s="47" t="n"/>
      <c r="H2263" s="47" t="n"/>
      <c r="I2263" s="47" t="n"/>
      <c r="J2263" s="47" t="n"/>
      <c r="K2263" s="47" t="n"/>
      <c r="L2263" s="47" t="n"/>
      <c r="M2263" s="47" t="n"/>
      <c r="N2263" s="47" t="n"/>
      <c r="O2263" s="47" t="n"/>
      <c r="P2263" s="47" t="n"/>
      <c r="Q2263" s="47" t="n"/>
      <c r="R2263" s="47" t="n"/>
      <c r="S2263" s="47" t="n"/>
      <c r="T2263" s="47" t="n"/>
      <c r="U2263" s="53" t="n"/>
      <c r="V2263" s="53" t="n"/>
      <c r="W2263" s="47" t="n"/>
      <c r="X2263" s="47" t="n"/>
      <c r="Y2263" s="47" t="n"/>
      <c r="Z2263" s="47" t="n"/>
      <c r="AA2263" s="47" t="n"/>
      <c r="AB2263" s="47" t="n"/>
      <c r="AC2263" s="47" t="n"/>
      <c r="AD2263" s="47" t="n"/>
      <c r="AE2263" s="47" t="n"/>
      <c r="AF2263" s="20">
        <f>IF(A2263="","",YEAR(EDATE(A2263,-3)))</f>
        <v/>
      </c>
      <c r="AG2263" s="20">
        <f>IF(OR(B2263="",'経歴簿'!$C$4=""),"",IF(B2263&amp;""='経歴簿'!$C$4&amp;"",MAX($AG$4:AG2262)+1,""))</f>
        <v/>
      </c>
      <c r="AH2263" s="20">
        <f>IF(A2263="",0,IF(AND(OR('CSV抽出'!$C$4="",A2263&gt;='CSV抽出'!$C$4),OR('CSV抽出'!$C$5="",A2263&lt;='CSV抽出'!$C$5),OR('CSV抽出'!$C$6="すべて",'CSV抽出'!$C$6="",D2263='CSV抽出'!$C$6),OR('CSV抽出'!$C$7="",B2263&amp;""='CSV抽出'!$C$7&amp;"")),1,0))</f>
        <v/>
      </c>
      <c r="AI2263" s="20">
        <f>IF(AH2263=1,SUM($AH$5:AH2263),"")</f>
        <v/>
      </c>
      <c r="AJ2263" s="20">
        <f>IF(OR(S2263="",'報告書'!$C$4=""),"",IF(S2263&amp;""='報告書'!$C$4&amp;"",COUNTIF($S$5:S2263,'報告書'!$C$4),""))</f>
        <v/>
      </c>
      <c r="AK2263" s="20" t="n"/>
      <c r="AL2263" s="47" t="n"/>
      <c r="AM2263" s="47" t="n"/>
      <c r="AN2263" s="53" t="n"/>
      <c r="AO2263" s="47" t="n"/>
      <c r="AP2263" s="47" t="n"/>
      <c r="AQ2263" s="47" t="n"/>
      <c r="AR2263" s="47" t="n"/>
      <c r="AS2263" s="47" t="n"/>
      <c r="AT2263" s="47" t="n"/>
      <c r="AU2263" s="47" t="n"/>
      <c r="AV2263" s="47" t="n"/>
      <c r="AW2263" s="52" t="n"/>
    </row>
    <row r="2264">
      <c r="A2264" s="48" t="n"/>
      <c r="B2264" s="52" t="n"/>
      <c r="C2264" s="47">
        <f>IF(B2264="","",IFERROR(INDEX('隊員マスタ'!$B$5:$B$204,MATCH(B2264&amp;"",'隊員マスタ'!$F$5:$F$204,0)),IF(AK2264="","番号なし",AK2264)))</f>
        <v/>
      </c>
      <c r="D2264" s="47" t="n"/>
      <c r="E2264" s="47" t="n"/>
      <c r="F2264" s="47" t="n"/>
      <c r="G2264" s="47" t="n"/>
      <c r="H2264" s="47" t="n"/>
      <c r="I2264" s="47" t="n"/>
      <c r="J2264" s="47" t="n"/>
      <c r="K2264" s="47" t="n"/>
      <c r="L2264" s="47" t="n"/>
      <c r="M2264" s="47" t="n"/>
      <c r="N2264" s="47" t="n"/>
      <c r="O2264" s="47" t="n"/>
      <c r="P2264" s="47" t="n"/>
      <c r="Q2264" s="47" t="n"/>
      <c r="R2264" s="47" t="n"/>
      <c r="S2264" s="47" t="n"/>
      <c r="T2264" s="47" t="n"/>
      <c r="U2264" s="53" t="n"/>
      <c r="V2264" s="53" t="n"/>
      <c r="W2264" s="47" t="n"/>
      <c r="X2264" s="47" t="n"/>
      <c r="Y2264" s="47" t="n"/>
      <c r="Z2264" s="47" t="n"/>
      <c r="AA2264" s="47" t="n"/>
      <c r="AB2264" s="47" t="n"/>
      <c r="AC2264" s="47" t="n"/>
      <c r="AD2264" s="47" t="n"/>
      <c r="AE2264" s="47" t="n"/>
      <c r="AF2264" s="20">
        <f>IF(A2264="","",YEAR(EDATE(A2264,-3)))</f>
        <v/>
      </c>
      <c r="AG2264" s="20">
        <f>IF(OR(B2264="",'経歴簿'!$C$4=""),"",IF(B2264&amp;""='経歴簿'!$C$4&amp;"",MAX($AG$4:AG2263)+1,""))</f>
        <v/>
      </c>
      <c r="AH2264" s="20">
        <f>IF(A2264="",0,IF(AND(OR('CSV抽出'!$C$4="",A2264&gt;='CSV抽出'!$C$4),OR('CSV抽出'!$C$5="",A2264&lt;='CSV抽出'!$C$5),OR('CSV抽出'!$C$6="すべて",'CSV抽出'!$C$6="",D2264='CSV抽出'!$C$6),OR('CSV抽出'!$C$7="",B2264&amp;""='CSV抽出'!$C$7&amp;"")),1,0))</f>
        <v/>
      </c>
      <c r="AI2264" s="20">
        <f>IF(AH2264=1,SUM($AH$5:AH2264),"")</f>
        <v/>
      </c>
      <c r="AJ2264" s="20">
        <f>IF(OR(S2264="",'報告書'!$C$4=""),"",IF(S2264&amp;""='報告書'!$C$4&amp;"",COUNTIF($S$5:S2264,'報告書'!$C$4),""))</f>
        <v/>
      </c>
      <c r="AK2264" s="20" t="n"/>
      <c r="AL2264" s="47" t="n"/>
      <c r="AM2264" s="47" t="n"/>
      <c r="AN2264" s="53" t="n"/>
      <c r="AO2264" s="47" t="n"/>
      <c r="AP2264" s="47" t="n"/>
      <c r="AQ2264" s="47" t="n"/>
      <c r="AR2264" s="47" t="n"/>
      <c r="AS2264" s="47" t="n"/>
      <c r="AT2264" s="47" t="n"/>
      <c r="AU2264" s="47" t="n"/>
      <c r="AV2264" s="47" t="n"/>
      <c r="AW2264" s="52" t="n"/>
    </row>
    <row r="2265">
      <c r="A2265" s="48" t="n"/>
      <c r="B2265" s="52" t="n"/>
      <c r="C2265" s="47">
        <f>IF(B2265="","",IFERROR(INDEX('隊員マスタ'!$B$5:$B$204,MATCH(B2265&amp;"",'隊員マスタ'!$F$5:$F$204,0)),IF(AK2265="","番号なし",AK2265)))</f>
        <v/>
      </c>
      <c r="D2265" s="47" t="n"/>
      <c r="E2265" s="47" t="n"/>
      <c r="F2265" s="47" t="n"/>
      <c r="G2265" s="47" t="n"/>
      <c r="H2265" s="47" t="n"/>
      <c r="I2265" s="47" t="n"/>
      <c r="J2265" s="47" t="n"/>
      <c r="K2265" s="47" t="n"/>
      <c r="L2265" s="47" t="n"/>
      <c r="M2265" s="47" t="n"/>
      <c r="N2265" s="47" t="n"/>
      <c r="O2265" s="47" t="n"/>
      <c r="P2265" s="47" t="n"/>
      <c r="Q2265" s="47" t="n"/>
      <c r="R2265" s="47" t="n"/>
      <c r="S2265" s="47" t="n"/>
      <c r="T2265" s="47" t="n"/>
      <c r="U2265" s="53" t="n"/>
      <c r="V2265" s="53" t="n"/>
      <c r="W2265" s="47" t="n"/>
      <c r="X2265" s="47" t="n"/>
      <c r="Y2265" s="47" t="n"/>
      <c r="Z2265" s="47" t="n"/>
      <c r="AA2265" s="47" t="n"/>
      <c r="AB2265" s="47" t="n"/>
      <c r="AC2265" s="47" t="n"/>
      <c r="AD2265" s="47" t="n"/>
      <c r="AE2265" s="47" t="n"/>
      <c r="AF2265" s="20">
        <f>IF(A2265="","",YEAR(EDATE(A2265,-3)))</f>
        <v/>
      </c>
      <c r="AG2265" s="20">
        <f>IF(OR(B2265="",'経歴簿'!$C$4=""),"",IF(B2265&amp;""='経歴簿'!$C$4&amp;"",MAX($AG$4:AG2264)+1,""))</f>
        <v/>
      </c>
      <c r="AH2265" s="20">
        <f>IF(A2265="",0,IF(AND(OR('CSV抽出'!$C$4="",A2265&gt;='CSV抽出'!$C$4),OR('CSV抽出'!$C$5="",A2265&lt;='CSV抽出'!$C$5),OR('CSV抽出'!$C$6="すべて",'CSV抽出'!$C$6="",D2265='CSV抽出'!$C$6),OR('CSV抽出'!$C$7="",B2265&amp;""='CSV抽出'!$C$7&amp;"")),1,0))</f>
        <v/>
      </c>
      <c r="AI2265" s="20">
        <f>IF(AH2265=1,SUM($AH$5:AH2265),"")</f>
        <v/>
      </c>
      <c r="AJ2265" s="20">
        <f>IF(OR(S2265="",'報告書'!$C$4=""),"",IF(S2265&amp;""='報告書'!$C$4&amp;"",COUNTIF($S$5:S2265,'報告書'!$C$4),""))</f>
        <v/>
      </c>
      <c r="AK2265" s="20" t="n"/>
      <c r="AL2265" s="47" t="n"/>
      <c r="AM2265" s="47" t="n"/>
      <c r="AN2265" s="53" t="n"/>
      <c r="AO2265" s="47" t="n"/>
      <c r="AP2265" s="47" t="n"/>
      <c r="AQ2265" s="47" t="n"/>
      <c r="AR2265" s="47" t="n"/>
      <c r="AS2265" s="47" t="n"/>
      <c r="AT2265" s="47" t="n"/>
      <c r="AU2265" s="47" t="n"/>
      <c r="AV2265" s="47" t="n"/>
      <c r="AW2265" s="52" t="n"/>
    </row>
    <row r="2266">
      <c r="A2266" s="48" t="n"/>
      <c r="B2266" s="52" t="n"/>
      <c r="C2266" s="47">
        <f>IF(B2266="","",IFERROR(INDEX('隊員マスタ'!$B$5:$B$204,MATCH(B2266&amp;"",'隊員マスタ'!$F$5:$F$204,0)),IF(AK2266="","番号なし",AK2266)))</f>
        <v/>
      </c>
      <c r="D2266" s="47" t="n"/>
      <c r="E2266" s="47" t="n"/>
      <c r="F2266" s="47" t="n"/>
      <c r="G2266" s="47" t="n"/>
      <c r="H2266" s="47" t="n"/>
      <c r="I2266" s="47" t="n"/>
      <c r="J2266" s="47" t="n"/>
      <c r="K2266" s="47" t="n"/>
      <c r="L2266" s="47" t="n"/>
      <c r="M2266" s="47" t="n"/>
      <c r="N2266" s="47" t="n"/>
      <c r="O2266" s="47" t="n"/>
      <c r="P2266" s="47" t="n"/>
      <c r="Q2266" s="47" t="n"/>
      <c r="R2266" s="47" t="n"/>
      <c r="S2266" s="47" t="n"/>
      <c r="T2266" s="47" t="n"/>
      <c r="U2266" s="53" t="n"/>
      <c r="V2266" s="53" t="n"/>
      <c r="W2266" s="47" t="n"/>
      <c r="X2266" s="47" t="n"/>
      <c r="Y2266" s="47" t="n"/>
      <c r="Z2266" s="47" t="n"/>
      <c r="AA2266" s="47" t="n"/>
      <c r="AB2266" s="47" t="n"/>
      <c r="AC2266" s="47" t="n"/>
      <c r="AD2266" s="47" t="n"/>
      <c r="AE2266" s="47" t="n"/>
      <c r="AF2266" s="20">
        <f>IF(A2266="","",YEAR(EDATE(A2266,-3)))</f>
        <v/>
      </c>
      <c r="AG2266" s="20">
        <f>IF(OR(B2266="",'経歴簿'!$C$4=""),"",IF(B2266&amp;""='経歴簿'!$C$4&amp;"",MAX($AG$4:AG2265)+1,""))</f>
        <v/>
      </c>
      <c r="AH2266" s="20">
        <f>IF(A2266="",0,IF(AND(OR('CSV抽出'!$C$4="",A2266&gt;='CSV抽出'!$C$4),OR('CSV抽出'!$C$5="",A2266&lt;='CSV抽出'!$C$5),OR('CSV抽出'!$C$6="すべて",'CSV抽出'!$C$6="",D2266='CSV抽出'!$C$6),OR('CSV抽出'!$C$7="",B2266&amp;""='CSV抽出'!$C$7&amp;"")),1,0))</f>
        <v/>
      </c>
      <c r="AI2266" s="20">
        <f>IF(AH2266=1,SUM($AH$5:AH2266),"")</f>
        <v/>
      </c>
      <c r="AJ2266" s="20">
        <f>IF(OR(S2266="",'報告書'!$C$4=""),"",IF(S2266&amp;""='報告書'!$C$4&amp;"",COUNTIF($S$5:S2266,'報告書'!$C$4),""))</f>
        <v/>
      </c>
      <c r="AK2266" s="20" t="n"/>
      <c r="AL2266" s="47" t="n"/>
      <c r="AM2266" s="47" t="n"/>
      <c r="AN2266" s="53" t="n"/>
      <c r="AO2266" s="47" t="n"/>
      <c r="AP2266" s="47" t="n"/>
      <c r="AQ2266" s="47" t="n"/>
      <c r="AR2266" s="47" t="n"/>
      <c r="AS2266" s="47" t="n"/>
      <c r="AT2266" s="47" t="n"/>
      <c r="AU2266" s="47" t="n"/>
      <c r="AV2266" s="47" t="n"/>
      <c r="AW2266" s="52" t="n"/>
    </row>
    <row r="2267">
      <c r="A2267" s="48" t="n"/>
      <c r="B2267" s="52" t="n"/>
      <c r="C2267" s="47">
        <f>IF(B2267="","",IFERROR(INDEX('隊員マスタ'!$B$5:$B$204,MATCH(B2267&amp;"",'隊員マスタ'!$F$5:$F$204,0)),IF(AK2267="","番号なし",AK2267)))</f>
        <v/>
      </c>
      <c r="D2267" s="47" t="n"/>
      <c r="E2267" s="47" t="n"/>
      <c r="F2267" s="47" t="n"/>
      <c r="G2267" s="47" t="n"/>
      <c r="H2267" s="47" t="n"/>
      <c r="I2267" s="47" t="n"/>
      <c r="J2267" s="47" t="n"/>
      <c r="K2267" s="47" t="n"/>
      <c r="L2267" s="47" t="n"/>
      <c r="M2267" s="47" t="n"/>
      <c r="N2267" s="47" t="n"/>
      <c r="O2267" s="47" t="n"/>
      <c r="P2267" s="47" t="n"/>
      <c r="Q2267" s="47" t="n"/>
      <c r="R2267" s="47" t="n"/>
      <c r="S2267" s="47" t="n"/>
      <c r="T2267" s="47" t="n"/>
      <c r="U2267" s="53" t="n"/>
      <c r="V2267" s="53" t="n"/>
      <c r="W2267" s="47" t="n"/>
      <c r="X2267" s="47" t="n"/>
      <c r="Y2267" s="47" t="n"/>
      <c r="Z2267" s="47" t="n"/>
      <c r="AA2267" s="47" t="n"/>
      <c r="AB2267" s="47" t="n"/>
      <c r="AC2267" s="47" t="n"/>
      <c r="AD2267" s="47" t="n"/>
      <c r="AE2267" s="47" t="n"/>
      <c r="AF2267" s="20">
        <f>IF(A2267="","",YEAR(EDATE(A2267,-3)))</f>
        <v/>
      </c>
      <c r="AG2267" s="20">
        <f>IF(OR(B2267="",'経歴簿'!$C$4=""),"",IF(B2267&amp;""='経歴簿'!$C$4&amp;"",MAX($AG$4:AG2266)+1,""))</f>
        <v/>
      </c>
      <c r="AH2267" s="20">
        <f>IF(A2267="",0,IF(AND(OR('CSV抽出'!$C$4="",A2267&gt;='CSV抽出'!$C$4),OR('CSV抽出'!$C$5="",A2267&lt;='CSV抽出'!$C$5),OR('CSV抽出'!$C$6="すべて",'CSV抽出'!$C$6="",D2267='CSV抽出'!$C$6),OR('CSV抽出'!$C$7="",B2267&amp;""='CSV抽出'!$C$7&amp;"")),1,0))</f>
        <v/>
      </c>
      <c r="AI2267" s="20">
        <f>IF(AH2267=1,SUM($AH$5:AH2267),"")</f>
        <v/>
      </c>
      <c r="AJ2267" s="20">
        <f>IF(OR(S2267="",'報告書'!$C$4=""),"",IF(S2267&amp;""='報告書'!$C$4&amp;"",COUNTIF($S$5:S2267,'報告書'!$C$4),""))</f>
        <v/>
      </c>
      <c r="AK2267" s="20" t="n"/>
      <c r="AL2267" s="47" t="n"/>
      <c r="AM2267" s="47" t="n"/>
      <c r="AN2267" s="53" t="n"/>
      <c r="AO2267" s="47" t="n"/>
      <c r="AP2267" s="47" t="n"/>
      <c r="AQ2267" s="47" t="n"/>
      <c r="AR2267" s="47" t="n"/>
      <c r="AS2267" s="47" t="n"/>
      <c r="AT2267" s="47" t="n"/>
      <c r="AU2267" s="47" t="n"/>
      <c r="AV2267" s="47" t="n"/>
      <c r="AW2267" s="52" t="n"/>
    </row>
    <row r="2268">
      <c r="A2268" s="48" t="n"/>
      <c r="B2268" s="52" t="n"/>
      <c r="C2268" s="47">
        <f>IF(B2268="","",IFERROR(INDEX('隊員マスタ'!$B$5:$B$204,MATCH(B2268&amp;"",'隊員マスタ'!$F$5:$F$204,0)),IF(AK2268="","番号なし",AK2268)))</f>
        <v/>
      </c>
      <c r="D2268" s="47" t="n"/>
      <c r="E2268" s="47" t="n"/>
      <c r="F2268" s="47" t="n"/>
      <c r="G2268" s="47" t="n"/>
      <c r="H2268" s="47" t="n"/>
      <c r="I2268" s="47" t="n"/>
      <c r="J2268" s="47" t="n"/>
      <c r="K2268" s="47" t="n"/>
      <c r="L2268" s="47" t="n"/>
      <c r="M2268" s="47" t="n"/>
      <c r="N2268" s="47" t="n"/>
      <c r="O2268" s="47" t="n"/>
      <c r="P2268" s="47" t="n"/>
      <c r="Q2268" s="47" t="n"/>
      <c r="R2268" s="47" t="n"/>
      <c r="S2268" s="47" t="n"/>
      <c r="T2268" s="47" t="n"/>
      <c r="U2268" s="53" t="n"/>
      <c r="V2268" s="53" t="n"/>
      <c r="W2268" s="47" t="n"/>
      <c r="X2268" s="47" t="n"/>
      <c r="Y2268" s="47" t="n"/>
      <c r="Z2268" s="47" t="n"/>
      <c r="AA2268" s="47" t="n"/>
      <c r="AB2268" s="47" t="n"/>
      <c r="AC2268" s="47" t="n"/>
      <c r="AD2268" s="47" t="n"/>
      <c r="AE2268" s="47" t="n"/>
      <c r="AF2268" s="20">
        <f>IF(A2268="","",YEAR(EDATE(A2268,-3)))</f>
        <v/>
      </c>
      <c r="AG2268" s="20">
        <f>IF(OR(B2268="",'経歴簿'!$C$4=""),"",IF(B2268&amp;""='経歴簿'!$C$4&amp;"",MAX($AG$4:AG2267)+1,""))</f>
        <v/>
      </c>
      <c r="AH2268" s="20">
        <f>IF(A2268="",0,IF(AND(OR('CSV抽出'!$C$4="",A2268&gt;='CSV抽出'!$C$4),OR('CSV抽出'!$C$5="",A2268&lt;='CSV抽出'!$C$5),OR('CSV抽出'!$C$6="すべて",'CSV抽出'!$C$6="",D2268='CSV抽出'!$C$6),OR('CSV抽出'!$C$7="",B2268&amp;""='CSV抽出'!$C$7&amp;"")),1,0))</f>
        <v/>
      </c>
      <c r="AI2268" s="20">
        <f>IF(AH2268=1,SUM($AH$5:AH2268),"")</f>
        <v/>
      </c>
      <c r="AJ2268" s="20">
        <f>IF(OR(S2268="",'報告書'!$C$4=""),"",IF(S2268&amp;""='報告書'!$C$4&amp;"",COUNTIF($S$5:S2268,'報告書'!$C$4),""))</f>
        <v/>
      </c>
      <c r="AK2268" s="20" t="n"/>
      <c r="AL2268" s="47" t="n"/>
      <c r="AM2268" s="47" t="n"/>
      <c r="AN2268" s="53" t="n"/>
      <c r="AO2268" s="47" t="n"/>
      <c r="AP2268" s="47" t="n"/>
      <c r="AQ2268" s="47" t="n"/>
      <c r="AR2268" s="47" t="n"/>
      <c r="AS2268" s="47" t="n"/>
      <c r="AT2268" s="47" t="n"/>
      <c r="AU2268" s="47" t="n"/>
      <c r="AV2268" s="47" t="n"/>
      <c r="AW2268" s="52" t="n"/>
    </row>
    <row r="2269">
      <c r="A2269" s="48" t="n"/>
      <c r="B2269" s="52" t="n"/>
      <c r="C2269" s="47">
        <f>IF(B2269="","",IFERROR(INDEX('隊員マスタ'!$B$5:$B$204,MATCH(B2269&amp;"",'隊員マスタ'!$F$5:$F$204,0)),IF(AK2269="","番号なし",AK2269)))</f>
        <v/>
      </c>
      <c r="D2269" s="47" t="n"/>
      <c r="E2269" s="47" t="n"/>
      <c r="F2269" s="47" t="n"/>
      <c r="G2269" s="47" t="n"/>
      <c r="H2269" s="47" t="n"/>
      <c r="I2269" s="47" t="n"/>
      <c r="J2269" s="47" t="n"/>
      <c r="K2269" s="47" t="n"/>
      <c r="L2269" s="47" t="n"/>
      <c r="M2269" s="47" t="n"/>
      <c r="N2269" s="47" t="n"/>
      <c r="O2269" s="47" t="n"/>
      <c r="P2269" s="47" t="n"/>
      <c r="Q2269" s="47" t="n"/>
      <c r="R2269" s="47" t="n"/>
      <c r="S2269" s="47" t="n"/>
      <c r="T2269" s="47" t="n"/>
      <c r="U2269" s="53" t="n"/>
      <c r="V2269" s="53" t="n"/>
      <c r="W2269" s="47" t="n"/>
      <c r="X2269" s="47" t="n"/>
      <c r="Y2269" s="47" t="n"/>
      <c r="Z2269" s="47" t="n"/>
      <c r="AA2269" s="47" t="n"/>
      <c r="AB2269" s="47" t="n"/>
      <c r="AC2269" s="47" t="n"/>
      <c r="AD2269" s="47" t="n"/>
      <c r="AE2269" s="47" t="n"/>
      <c r="AF2269" s="20">
        <f>IF(A2269="","",YEAR(EDATE(A2269,-3)))</f>
        <v/>
      </c>
      <c r="AG2269" s="20">
        <f>IF(OR(B2269="",'経歴簿'!$C$4=""),"",IF(B2269&amp;""='経歴簿'!$C$4&amp;"",MAX($AG$4:AG2268)+1,""))</f>
        <v/>
      </c>
      <c r="AH2269" s="20">
        <f>IF(A2269="",0,IF(AND(OR('CSV抽出'!$C$4="",A2269&gt;='CSV抽出'!$C$4),OR('CSV抽出'!$C$5="",A2269&lt;='CSV抽出'!$C$5),OR('CSV抽出'!$C$6="すべて",'CSV抽出'!$C$6="",D2269='CSV抽出'!$C$6),OR('CSV抽出'!$C$7="",B2269&amp;""='CSV抽出'!$C$7&amp;"")),1,0))</f>
        <v/>
      </c>
      <c r="AI2269" s="20">
        <f>IF(AH2269=1,SUM($AH$5:AH2269),"")</f>
        <v/>
      </c>
      <c r="AJ2269" s="20">
        <f>IF(OR(S2269="",'報告書'!$C$4=""),"",IF(S2269&amp;""='報告書'!$C$4&amp;"",COUNTIF($S$5:S2269,'報告書'!$C$4),""))</f>
        <v/>
      </c>
      <c r="AK2269" s="20" t="n"/>
      <c r="AL2269" s="47" t="n"/>
      <c r="AM2269" s="47" t="n"/>
      <c r="AN2269" s="53" t="n"/>
      <c r="AO2269" s="47" t="n"/>
      <c r="AP2269" s="47" t="n"/>
      <c r="AQ2269" s="47" t="n"/>
      <c r="AR2269" s="47" t="n"/>
      <c r="AS2269" s="47" t="n"/>
      <c r="AT2269" s="47" t="n"/>
      <c r="AU2269" s="47" t="n"/>
      <c r="AV2269" s="47" t="n"/>
      <c r="AW2269" s="52" t="n"/>
    </row>
    <row r="2270">
      <c r="A2270" s="48" t="n"/>
      <c r="B2270" s="52" t="n"/>
      <c r="C2270" s="47">
        <f>IF(B2270="","",IFERROR(INDEX('隊員マスタ'!$B$5:$B$204,MATCH(B2270&amp;"",'隊員マスタ'!$F$5:$F$204,0)),IF(AK2270="","番号なし",AK2270)))</f>
        <v/>
      </c>
      <c r="D2270" s="47" t="n"/>
      <c r="E2270" s="47" t="n"/>
      <c r="F2270" s="47" t="n"/>
      <c r="G2270" s="47" t="n"/>
      <c r="H2270" s="47" t="n"/>
      <c r="I2270" s="47" t="n"/>
      <c r="J2270" s="47" t="n"/>
      <c r="K2270" s="47" t="n"/>
      <c r="L2270" s="47" t="n"/>
      <c r="M2270" s="47" t="n"/>
      <c r="N2270" s="47" t="n"/>
      <c r="O2270" s="47" t="n"/>
      <c r="P2270" s="47" t="n"/>
      <c r="Q2270" s="47" t="n"/>
      <c r="R2270" s="47" t="n"/>
      <c r="S2270" s="47" t="n"/>
      <c r="T2270" s="47" t="n"/>
      <c r="U2270" s="53" t="n"/>
      <c r="V2270" s="53" t="n"/>
      <c r="W2270" s="47" t="n"/>
      <c r="X2270" s="47" t="n"/>
      <c r="Y2270" s="47" t="n"/>
      <c r="Z2270" s="47" t="n"/>
      <c r="AA2270" s="47" t="n"/>
      <c r="AB2270" s="47" t="n"/>
      <c r="AC2270" s="47" t="n"/>
      <c r="AD2270" s="47" t="n"/>
      <c r="AE2270" s="47" t="n"/>
      <c r="AF2270" s="20">
        <f>IF(A2270="","",YEAR(EDATE(A2270,-3)))</f>
        <v/>
      </c>
      <c r="AG2270" s="20">
        <f>IF(OR(B2270="",'経歴簿'!$C$4=""),"",IF(B2270&amp;""='経歴簿'!$C$4&amp;"",MAX($AG$4:AG2269)+1,""))</f>
        <v/>
      </c>
      <c r="AH2270" s="20">
        <f>IF(A2270="",0,IF(AND(OR('CSV抽出'!$C$4="",A2270&gt;='CSV抽出'!$C$4),OR('CSV抽出'!$C$5="",A2270&lt;='CSV抽出'!$C$5),OR('CSV抽出'!$C$6="すべて",'CSV抽出'!$C$6="",D2270='CSV抽出'!$C$6),OR('CSV抽出'!$C$7="",B2270&amp;""='CSV抽出'!$C$7&amp;"")),1,0))</f>
        <v/>
      </c>
      <c r="AI2270" s="20">
        <f>IF(AH2270=1,SUM($AH$5:AH2270),"")</f>
        <v/>
      </c>
      <c r="AJ2270" s="20">
        <f>IF(OR(S2270="",'報告書'!$C$4=""),"",IF(S2270&amp;""='報告書'!$C$4&amp;"",COUNTIF($S$5:S2270,'報告書'!$C$4),""))</f>
        <v/>
      </c>
      <c r="AK2270" s="20" t="n"/>
      <c r="AL2270" s="47" t="n"/>
      <c r="AM2270" s="47" t="n"/>
      <c r="AN2270" s="53" t="n"/>
      <c r="AO2270" s="47" t="n"/>
      <c r="AP2270" s="47" t="n"/>
      <c r="AQ2270" s="47" t="n"/>
      <c r="AR2270" s="47" t="n"/>
      <c r="AS2270" s="47" t="n"/>
      <c r="AT2270" s="47" t="n"/>
      <c r="AU2270" s="47" t="n"/>
      <c r="AV2270" s="47" t="n"/>
      <c r="AW2270" s="52" t="n"/>
    </row>
    <row r="2271">
      <c r="A2271" s="48" t="n"/>
      <c r="B2271" s="52" t="n"/>
      <c r="C2271" s="47">
        <f>IF(B2271="","",IFERROR(INDEX('隊員マスタ'!$B$5:$B$204,MATCH(B2271&amp;"",'隊員マスタ'!$F$5:$F$204,0)),IF(AK2271="","番号なし",AK2271)))</f>
        <v/>
      </c>
      <c r="D2271" s="47" t="n"/>
      <c r="E2271" s="47" t="n"/>
      <c r="F2271" s="47" t="n"/>
      <c r="G2271" s="47" t="n"/>
      <c r="H2271" s="47" t="n"/>
      <c r="I2271" s="47" t="n"/>
      <c r="J2271" s="47" t="n"/>
      <c r="K2271" s="47" t="n"/>
      <c r="L2271" s="47" t="n"/>
      <c r="M2271" s="47" t="n"/>
      <c r="N2271" s="47" t="n"/>
      <c r="O2271" s="47" t="n"/>
      <c r="P2271" s="47" t="n"/>
      <c r="Q2271" s="47" t="n"/>
      <c r="R2271" s="47" t="n"/>
      <c r="S2271" s="47" t="n"/>
      <c r="T2271" s="47" t="n"/>
      <c r="U2271" s="53" t="n"/>
      <c r="V2271" s="53" t="n"/>
      <c r="W2271" s="47" t="n"/>
      <c r="X2271" s="47" t="n"/>
      <c r="Y2271" s="47" t="n"/>
      <c r="Z2271" s="47" t="n"/>
      <c r="AA2271" s="47" t="n"/>
      <c r="AB2271" s="47" t="n"/>
      <c r="AC2271" s="47" t="n"/>
      <c r="AD2271" s="47" t="n"/>
      <c r="AE2271" s="47" t="n"/>
      <c r="AF2271" s="20">
        <f>IF(A2271="","",YEAR(EDATE(A2271,-3)))</f>
        <v/>
      </c>
      <c r="AG2271" s="20">
        <f>IF(OR(B2271="",'経歴簿'!$C$4=""),"",IF(B2271&amp;""='経歴簿'!$C$4&amp;"",MAX($AG$4:AG2270)+1,""))</f>
        <v/>
      </c>
      <c r="AH2271" s="20">
        <f>IF(A2271="",0,IF(AND(OR('CSV抽出'!$C$4="",A2271&gt;='CSV抽出'!$C$4),OR('CSV抽出'!$C$5="",A2271&lt;='CSV抽出'!$C$5),OR('CSV抽出'!$C$6="すべて",'CSV抽出'!$C$6="",D2271='CSV抽出'!$C$6),OR('CSV抽出'!$C$7="",B2271&amp;""='CSV抽出'!$C$7&amp;"")),1,0))</f>
        <v/>
      </c>
      <c r="AI2271" s="20">
        <f>IF(AH2271=1,SUM($AH$5:AH2271),"")</f>
        <v/>
      </c>
      <c r="AJ2271" s="20">
        <f>IF(OR(S2271="",'報告書'!$C$4=""),"",IF(S2271&amp;""='報告書'!$C$4&amp;"",COUNTIF($S$5:S2271,'報告書'!$C$4),""))</f>
        <v/>
      </c>
      <c r="AK2271" s="20" t="n"/>
      <c r="AL2271" s="47" t="n"/>
      <c r="AM2271" s="47" t="n"/>
      <c r="AN2271" s="53" t="n"/>
      <c r="AO2271" s="47" t="n"/>
      <c r="AP2271" s="47" t="n"/>
      <c r="AQ2271" s="47" t="n"/>
      <c r="AR2271" s="47" t="n"/>
      <c r="AS2271" s="47" t="n"/>
      <c r="AT2271" s="47" t="n"/>
      <c r="AU2271" s="47" t="n"/>
      <c r="AV2271" s="47" t="n"/>
      <c r="AW2271" s="52" t="n"/>
    </row>
    <row r="2272">
      <c r="A2272" s="48" t="n"/>
      <c r="B2272" s="52" t="n"/>
      <c r="C2272" s="47">
        <f>IF(B2272="","",IFERROR(INDEX('隊員マスタ'!$B$5:$B$204,MATCH(B2272&amp;"",'隊員マスタ'!$F$5:$F$204,0)),IF(AK2272="","番号なし",AK2272)))</f>
        <v/>
      </c>
      <c r="D2272" s="47" t="n"/>
      <c r="E2272" s="47" t="n"/>
      <c r="F2272" s="47" t="n"/>
      <c r="G2272" s="47" t="n"/>
      <c r="H2272" s="47" t="n"/>
      <c r="I2272" s="47" t="n"/>
      <c r="J2272" s="47" t="n"/>
      <c r="K2272" s="47" t="n"/>
      <c r="L2272" s="47" t="n"/>
      <c r="M2272" s="47" t="n"/>
      <c r="N2272" s="47" t="n"/>
      <c r="O2272" s="47" t="n"/>
      <c r="P2272" s="47" t="n"/>
      <c r="Q2272" s="47" t="n"/>
      <c r="R2272" s="47" t="n"/>
      <c r="S2272" s="47" t="n"/>
      <c r="T2272" s="47" t="n"/>
      <c r="U2272" s="53" t="n"/>
      <c r="V2272" s="53" t="n"/>
      <c r="W2272" s="47" t="n"/>
      <c r="X2272" s="47" t="n"/>
      <c r="Y2272" s="47" t="n"/>
      <c r="Z2272" s="47" t="n"/>
      <c r="AA2272" s="47" t="n"/>
      <c r="AB2272" s="47" t="n"/>
      <c r="AC2272" s="47" t="n"/>
      <c r="AD2272" s="47" t="n"/>
      <c r="AE2272" s="47" t="n"/>
      <c r="AF2272" s="20">
        <f>IF(A2272="","",YEAR(EDATE(A2272,-3)))</f>
        <v/>
      </c>
      <c r="AG2272" s="20">
        <f>IF(OR(B2272="",'経歴簿'!$C$4=""),"",IF(B2272&amp;""='経歴簿'!$C$4&amp;"",MAX($AG$4:AG2271)+1,""))</f>
        <v/>
      </c>
      <c r="AH2272" s="20">
        <f>IF(A2272="",0,IF(AND(OR('CSV抽出'!$C$4="",A2272&gt;='CSV抽出'!$C$4),OR('CSV抽出'!$C$5="",A2272&lt;='CSV抽出'!$C$5),OR('CSV抽出'!$C$6="すべて",'CSV抽出'!$C$6="",D2272='CSV抽出'!$C$6),OR('CSV抽出'!$C$7="",B2272&amp;""='CSV抽出'!$C$7&amp;"")),1,0))</f>
        <v/>
      </c>
      <c r="AI2272" s="20">
        <f>IF(AH2272=1,SUM($AH$5:AH2272),"")</f>
        <v/>
      </c>
      <c r="AJ2272" s="20">
        <f>IF(OR(S2272="",'報告書'!$C$4=""),"",IF(S2272&amp;""='報告書'!$C$4&amp;"",COUNTIF($S$5:S2272,'報告書'!$C$4),""))</f>
        <v/>
      </c>
      <c r="AK2272" s="20" t="n"/>
      <c r="AL2272" s="47" t="n"/>
      <c r="AM2272" s="47" t="n"/>
      <c r="AN2272" s="53" t="n"/>
      <c r="AO2272" s="47" t="n"/>
      <c r="AP2272" s="47" t="n"/>
      <c r="AQ2272" s="47" t="n"/>
      <c r="AR2272" s="47" t="n"/>
      <c r="AS2272" s="47" t="n"/>
      <c r="AT2272" s="47" t="n"/>
      <c r="AU2272" s="47" t="n"/>
      <c r="AV2272" s="47" t="n"/>
      <c r="AW2272" s="52" t="n"/>
    </row>
    <row r="2273">
      <c r="A2273" s="48" t="n"/>
      <c r="B2273" s="52" t="n"/>
      <c r="C2273" s="47">
        <f>IF(B2273="","",IFERROR(INDEX('隊員マスタ'!$B$5:$B$204,MATCH(B2273&amp;"",'隊員マスタ'!$F$5:$F$204,0)),IF(AK2273="","番号なし",AK2273)))</f>
        <v/>
      </c>
      <c r="D2273" s="47" t="n"/>
      <c r="E2273" s="47" t="n"/>
      <c r="F2273" s="47" t="n"/>
      <c r="G2273" s="47" t="n"/>
      <c r="H2273" s="47" t="n"/>
      <c r="I2273" s="47" t="n"/>
      <c r="J2273" s="47" t="n"/>
      <c r="K2273" s="47" t="n"/>
      <c r="L2273" s="47" t="n"/>
      <c r="M2273" s="47" t="n"/>
      <c r="N2273" s="47" t="n"/>
      <c r="O2273" s="47" t="n"/>
      <c r="P2273" s="47" t="n"/>
      <c r="Q2273" s="47" t="n"/>
      <c r="R2273" s="47" t="n"/>
      <c r="S2273" s="47" t="n"/>
      <c r="T2273" s="47" t="n"/>
      <c r="U2273" s="53" t="n"/>
      <c r="V2273" s="53" t="n"/>
      <c r="W2273" s="47" t="n"/>
      <c r="X2273" s="47" t="n"/>
      <c r="Y2273" s="47" t="n"/>
      <c r="Z2273" s="47" t="n"/>
      <c r="AA2273" s="47" t="n"/>
      <c r="AB2273" s="47" t="n"/>
      <c r="AC2273" s="47" t="n"/>
      <c r="AD2273" s="47" t="n"/>
      <c r="AE2273" s="47" t="n"/>
      <c r="AF2273" s="20">
        <f>IF(A2273="","",YEAR(EDATE(A2273,-3)))</f>
        <v/>
      </c>
      <c r="AG2273" s="20">
        <f>IF(OR(B2273="",'経歴簿'!$C$4=""),"",IF(B2273&amp;""='経歴簿'!$C$4&amp;"",MAX($AG$4:AG2272)+1,""))</f>
        <v/>
      </c>
      <c r="AH2273" s="20">
        <f>IF(A2273="",0,IF(AND(OR('CSV抽出'!$C$4="",A2273&gt;='CSV抽出'!$C$4),OR('CSV抽出'!$C$5="",A2273&lt;='CSV抽出'!$C$5),OR('CSV抽出'!$C$6="すべて",'CSV抽出'!$C$6="",D2273='CSV抽出'!$C$6),OR('CSV抽出'!$C$7="",B2273&amp;""='CSV抽出'!$C$7&amp;"")),1,0))</f>
        <v/>
      </c>
      <c r="AI2273" s="20">
        <f>IF(AH2273=1,SUM($AH$5:AH2273),"")</f>
        <v/>
      </c>
      <c r="AJ2273" s="20">
        <f>IF(OR(S2273="",'報告書'!$C$4=""),"",IF(S2273&amp;""='報告書'!$C$4&amp;"",COUNTIF($S$5:S2273,'報告書'!$C$4),""))</f>
        <v/>
      </c>
      <c r="AK2273" s="20" t="n"/>
      <c r="AL2273" s="47" t="n"/>
      <c r="AM2273" s="47" t="n"/>
      <c r="AN2273" s="53" t="n"/>
      <c r="AO2273" s="47" t="n"/>
      <c r="AP2273" s="47" t="n"/>
      <c r="AQ2273" s="47" t="n"/>
      <c r="AR2273" s="47" t="n"/>
      <c r="AS2273" s="47" t="n"/>
      <c r="AT2273" s="47" t="n"/>
      <c r="AU2273" s="47" t="n"/>
      <c r="AV2273" s="47" t="n"/>
      <c r="AW2273" s="52" t="n"/>
    </row>
    <row r="2274">
      <c r="A2274" s="48" t="n"/>
      <c r="B2274" s="52" t="n"/>
      <c r="C2274" s="47">
        <f>IF(B2274="","",IFERROR(INDEX('隊員マスタ'!$B$5:$B$204,MATCH(B2274&amp;"",'隊員マスタ'!$F$5:$F$204,0)),IF(AK2274="","番号なし",AK2274)))</f>
        <v/>
      </c>
      <c r="D2274" s="47" t="n"/>
      <c r="E2274" s="47" t="n"/>
      <c r="F2274" s="47" t="n"/>
      <c r="G2274" s="47" t="n"/>
      <c r="H2274" s="47" t="n"/>
      <c r="I2274" s="47" t="n"/>
      <c r="J2274" s="47" t="n"/>
      <c r="K2274" s="47" t="n"/>
      <c r="L2274" s="47" t="n"/>
      <c r="M2274" s="47" t="n"/>
      <c r="N2274" s="47" t="n"/>
      <c r="O2274" s="47" t="n"/>
      <c r="P2274" s="47" t="n"/>
      <c r="Q2274" s="47" t="n"/>
      <c r="R2274" s="47" t="n"/>
      <c r="S2274" s="47" t="n"/>
      <c r="T2274" s="47" t="n"/>
      <c r="U2274" s="53" t="n"/>
      <c r="V2274" s="53" t="n"/>
      <c r="W2274" s="47" t="n"/>
      <c r="X2274" s="47" t="n"/>
      <c r="Y2274" s="47" t="n"/>
      <c r="Z2274" s="47" t="n"/>
      <c r="AA2274" s="47" t="n"/>
      <c r="AB2274" s="47" t="n"/>
      <c r="AC2274" s="47" t="n"/>
      <c r="AD2274" s="47" t="n"/>
      <c r="AE2274" s="47" t="n"/>
      <c r="AF2274" s="20">
        <f>IF(A2274="","",YEAR(EDATE(A2274,-3)))</f>
        <v/>
      </c>
      <c r="AG2274" s="20">
        <f>IF(OR(B2274="",'経歴簿'!$C$4=""),"",IF(B2274&amp;""='経歴簿'!$C$4&amp;"",MAX($AG$4:AG2273)+1,""))</f>
        <v/>
      </c>
      <c r="AH2274" s="20">
        <f>IF(A2274="",0,IF(AND(OR('CSV抽出'!$C$4="",A2274&gt;='CSV抽出'!$C$4),OR('CSV抽出'!$C$5="",A2274&lt;='CSV抽出'!$C$5),OR('CSV抽出'!$C$6="すべて",'CSV抽出'!$C$6="",D2274='CSV抽出'!$C$6),OR('CSV抽出'!$C$7="",B2274&amp;""='CSV抽出'!$C$7&amp;"")),1,0))</f>
        <v/>
      </c>
      <c r="AI2274" s="20">
        <f>IF(AH2274=1,SUM($AH$5:AH2274),"")</f>
        <v/>
      </c>
      <c r="AJ2274" s="20">
        <f>IF(OR(S2274="",'報告書'!$C$4=""),"",IF(S2274&amp;""='報告書'!$C$4&amp;"",COUNTIF($S$5:S2274,'報告書'!$C$4),""))</f>
        <v/>
      </c>
      <c r="AK2274" s="20" t="n"/>
      <c r="AL2274" s="47" t="n"/>
      <c r="AM2274" s="47" t="n"/>
      <c r="AN2274" s="53" t="n"/>
      <c r="AO2274" s="47" t="n"/>
      <c r="AP2274" s="47" t="n"/>
      <c r="AQ2274" s="47" t="n"/>
      <c r="AR2274" s="47" t="n"/>
      <c r="AS2274" s="47" t="n"/>
      <c r="AT2274" s="47" t="n"/>
      <c r="AU2274" s="47" t="n"/>
      <c r="AV2274" s="47" t="n"/>
      <c r="AW2274" s="52" t="n"/>
    </row>
    <row r="2275">
      <c r="A2275" s="48" t="n"/>
      <c r="B2275" s="52" t="n"/>
      <c r="C2275" s="47">
        <f>IF(B2275="","",IFERROR(INDEX('隊員マスタ'!$B$5:$B$204,MATCH(B2275&amp;"",'隊員マスタ'!$F$5:$F$204,0)),IF(AK2275="","番号なし",AK2275)))</f>
        <v/>
      </c>
      <c r="D2275" s="47" t="n"/>
      <c r="E2275" s="47" t="n"/>
      <c r="F2275" s="47" t="n"/>
      <c r="G2275" s="47" t="n"/>
      <c r="H2275" s="47" t="n"/>
      <c r="I2275" s="47" t="n"/>
      <c r="J2275" s="47" t="n"/>
      <c r="K2275" s="47" t="n"/>
      <c r="L2275" s="47" t="n"/>
      <c r="M2275" s="47" t="n"/>
      <c r="N2275" s="47" t="n"/>
      <c r="O2275" s="47" t="n"/>
      <c r="P2275" s="47" t="n"/>
      <c r="Q2275" s="47" t="n"/>
      <c r="R2275" s="47" t="n"/>
      <c r="S2275" s="47" t="n"/>
      <c r="T2275" s="47" t="n"/>
      <c r="U2275" s="53" t="n"/>
      <c r="V2275" s="53" t="n"/>
      <c r="W2275" s="47" t="n"/>
      <c r="X2275" s="47" t="n"/>
      <c r="Y2275" s="47" t="n"/>
      <c r="Z2275" s="47" t="n"/>
      <c r="AA2275" s="47" t="n"/>
      <c r="AB2275" s="47" t="n"/>
      <c r="AC2275" s="47" t="n"/>
      <c r="AD2275" s="47" t="n"/>
      <c r="AE2275" s="47" t="n"/>
      <c r="AF2275" s="20">
        <f>IF(A2275="","",YEAR(EDATE(A2275,-3)))</f>
        <v/>
      </c>
      <c r="AG2275" s="20">
        <f>IF(OR(B2275="",'経歴簿'!$C$4=""),"",IF(B2275&amp;""='経歴簿'!$C$4&amp;"",MAX($AG$4:AG2274)+1,""))</f>
        <v/>
      </c>
      <c r="AH2275" s="20">
        <f>IF(A2275="",0,IF(AND(OR('CSV抽出'!$C$4="",A2275&gt;='CSV抽出'!$C$4),OR('CSV抽出'!$C$5="",A2275&lt;='CSV抽出'!$C$5),OR('CSV抽出'!$C$6="すべて",'CSV抽出'!$C$6="",D2275='CSV抽出'!$C$6),OR('CSV抽出'!$C$7="",B2275&amp;""='CSV抽出'!$C$7&amp;"")),1,0))</f>
        <v/>
      </c>
      <c r="AI2275" s="20">
        <f>IF(AH2275=1,SUM($AH$5:AH2275),"")</f>
        <v/>
      </c>
      <c r="AJ2275" s="20">
        <f>IF(OR(S2275="",'報告書'!$C$4=""),"",IF(S2275&amp;""='報告書'!$C$4&amp;"",COUNTIF($S$5:S2275,'報告書'!$C$4),""))</f>
        <v/>
      </c>
      <c r="AK2275" s="20" t="n"/>
      <c r="AL2275" s="47" t="n"/>
      <c r="AM2275" s="47" t="n"/>
      <c r="AN2275" s="53" t="n"/>
      <c r="AO2275" s="47" t="n"/>
      <c r="AP2275" s="47" t="n"/>
      <c r="AQ2275" s="47" t="n"/>
      <c r="AR2275" s="47" t="n"/>
      <c r="AS2275" s="47" t="n"/>
      <c r="AT2275" s="47" t="n"/>
      <c r="AU2275" s="47" t="n"/>
      <c r="AV2275" s="47" t="n"/>
      <c r="AW2275" s="52" t="n"/>
    </row>
    <row r="2276">
      <c r="A2276" s="48" t="n"/>
      <c r="B2276" s="52" t="n"/>
      <c r="C2276" s="47">
        <f>IF(B2276="","",IFERROR(INDEX('隊員マスタ'!$B$5:$B$204,MATCH(B2276&amp;"",'隊員マスタ'!$F$5:$F$204,0)),IF(AK2276="","番号なし",AK2276)))</f>
        <v/>
      </c>
      <c r="D2276" s="47" t="n"/>
      <c r="E2276" s="47" t="n"/>
      <c r="F2276" s="47" t="n"/>
      <c r="G2276" s="47" t="n"/>
      <c r="H2276" s="47" t="n"/>
      <c r="I2276" s="47" t="n"/>
      <c r="J2276" s="47" t="n"/>
      <c r="K2276" s="47" t="n"/>
      <c r="L2276" s="47" t="n"/>
      <c r="M2276" s="47" t="n"/>
      <c r="N2276" s="47" t="n"/>
      <c r="O2276" s="47" t="n"/>
      <c r="P2276" s="47" t="n"/>
      <c r="Q2276" s="47" t="n"/>
      <c r="R2276" s="47" t="n"/>
      <c r="S2276" s="47" t="n"/>
      <c r="T2276" s="47" t="n"/>
      <c r="U2276" s="53" t="n"/>
      <c r="V2276" s="53" t="n"/>
      <c r="W2276" s="47" t="n"/>
      <c r="X2276" s="47" t="n"/>
      <c r="Y2276" s="47" t="n"/>
      <c r="Z2276" s="47" t="n"/>
      <c r="AA2276" s="47" t="n"/>
      <c r="AB2276" s="47" t="n"/>
      <c r="AC2276" s="47" t="n"/>
      <c r="AD2276" s="47" t="n"/>
      <c r="AE2276" s="47" t="n"/>
      <c r="AF2276" s="20">
        <f>IF(A2276="","",YEAR(EDATE(A2276,-3)))</f>
        <v/>
      </c>
      <c r="AG2276" s="20">
        <f>IF(OR(B2276="",'経歴簿'!$C$4=""),"",IF(B2276&amp;""='経歴簿'!$C$4&amp;"",MAX($AG$4:AG2275)+1,""))</f>
        <v/>
      </c>
      <c r="AH2276" s="20">
        <f>IF(A2276="",0,IF(AND(OR('CSV抽出'!$C$4="",A2276&gt;='CSV抽出'!$C$4),OR('CSV抽出'!$C$5="",A2276&lt;='CSV抽出'!$C$5),OR('CSV抽出'!$C$6="すべて",'CSV抽出'!$C$6="",D2276='CSV抽出'!$C$6),OR('CSV抽出'!$C$7="",B2276&amp;""='CSV抽出'!$C$7&amp;"")),1,0))</f>
        <v/>
      </c>
      <c r="AI2276" s="20">
        <f>IF(AH2276=1,SUM($AH$5:AH2276),"")</f>
        <v/>
      </c>
      <c r="AJ2276" s="20">
        <f>IF(OR(S2276="",'報告書'!$C$4=""),"",IF(S2276&amp;""='報告書'!$C$4&amp;"",COUNTIF($S$5:S2276,'報告書'!$C$4),""))</f>
        <v/>
      </c>
      <c r="AK2276" s="20" t="n"/>
      <c r="AL2276" s="47" t="n"/>
      <c r="AM2276" s="47" t="n"/>
      <c r="AN2276" s="53" t="n"/>
      <c r="AO2276" s="47" t="n"/>
      <c r="AP2276" s="47" t="n"/>
      <c r="AQ2276" s="47" t="n"/>
      <c r="AR2276" s="47" t="n"/>
      <c r="AS2276" s="47" t="n"/>
      <c r="AT2276" s="47" t="n"/>
      <c r="AU2276" s="47" t="n"/>
      <c r="AV2276" s="47" t="n"/>
      <c r="AW2276" s="52" t="n"/>
    </row>
    <row r="2277">
      <c r="A2277" s="48" t="n"/>
      <c r="B2277" s="52" t="n"/>
      <c r="C2277" s="47">
        <f>IF(B2277="","",IFERROR(INDEX('隊員マスタ'!$B$5:$B$204,MATCH(B2277&amp;"",'隊員マスタ'!$F$5:$F$204,0)),IF(AK2277="","番号なし",AK2277)))</f>
        <v/>
      </c>
      <c r="D2277" s="47" t="n"/>
      <c r="E2277" s="47" t="n"/>
      <c r="F2277" s="47" t="n"/>
      <c r="G2277" s="47" t="n"/>
      <c r="H2277" s="47" t="n"/>
      <c r="I2277" s="47" t="n"/>
      <c r="J2277" s="47" t="n"/>
      <c r="K2277" s="47" t="n"/>
      <c r="L2277" s="47" t="n"/>
      <c r="M2277" s="47" t="n"/>
      <c r="N2277" s="47" t="n"/>
      <c r="O2277" s="47" t="n"/>
      <c r="P2277" s="47" t="n"/>
      <c r="Q2277" s="47" t="n"/>
      <c r="R2277" s="47" t="n"/>
      <c r="S2277" s="47" t="n"/>
      <c r="T2277" s="47" t="n"/>
      <c r="U2277" s="53" t="n"/>
      <c r="V2277" s="53" t="n"/>
      <c r="W2277" s="47" t="n"/>
      <c r="X2277" s="47" t="n"/>
      <c r="Y2277" s="47" t="n"/>
      <c r="Z2277" s="47" t="n"/>
      <c r="AA2277" s="47" t="n"/>
      <c r="AB2277" s="47" t="n"/>
      <c r="AC2277" s="47" t="n"/>
      <c r="AD2277" s="47" t="n"/>
      <c r="AE2277" s="47" t="n"/>
      <c r="AF2277" s="20">
        <f>IF(A2277="","",YEAR(EDATE(A2277,-3)))</f>
        <v/>
      </c>
      <c r="AG2277" s="20">
        <f>IF(OR(B2277="",'経歴簿'!$C$4=""),"",IF(B2277&amp;""='経歴簿'!$C$4&amp;"",MAX($AG$4:AG2276)+1,""))</f>
        <v/>
      </c>
      <c r="AH2277" s="20">
        <f>IF(A2277="",0,IF(AND(OR('CSV抽出'!$C$4="",A2277&gt;='CSV抽出'!$C$4),OR('CSV抽出'!$C$5="",A2277&lt;='CSV抽出'!$C$5),OR('CSV抽出'!$C$6="すべて",'CSV抽出'!$C$6="",D2277='CSV抽出'!$C$6),OR('CSV抽出'!$C$7="",B2277&amp;""='CSV抽出'!$C$7&amp;"")),1,0))</f>
        <v/>
      </c>
      <c r="AI2277" s="20">
        <f>IF(AH2277=1,SUM($AH$5:AH2277),"")</f>
        <v/>
      </c>
      <c r="AJ2277" s="20">
        <f>IF(OR(S2277="",'報告書'!$C$4=""),"",IF(S2277&amp;""='報告書'!$C$4&amp;"",COUNTIF($S$5:S2277,'報告書'!$C$4),""))</f>
        <v/>
      </c>
      <c r="AK2277" s="20" t="n"/>
      <c r="AL2277" s="47" t="n"/>
      <c r="AM2277" s="47" t="n"/>
      <c r="AN2277" s="53" t="n"/>
      <c r="AO2277" s="47" t="n"/>
      <c r="AP2277" s="47" t="n"/>
      <c r="AQ2277" s="47" t="n"/>
      <c r="AR2277" s="47" t="n"/>
      <c r="AS2277" s="47" t="n"/>
      <c r="AT2277" s="47" t="n"/>
      <c r="AU2277" s="47" t="n"/>
      <c r="AV2277" s="47" t="n"/>
      <c r="AW2277" s="52" t="n"/>
    </row>
    <row r="2278">
      <c r="A2278" s="48" t="n"/>
      <c r="B2278" s="52" t="n"/>
      <c r="C2278" s="47">
        <f>IF(B2278="","",IFERROR(INDEX('隊員マスタ'!$B$5:$B$204,MATCH(B2278&amp;"",'隊員マスタ'!$F$5:$F$204,0)),IF(AK2278="","番号なし",AK2278)))</f>
        <v/>
      </c>
      <c r="D2278" s="47" t="n"/>
      <c r="E2278" s="47" t="n"/>
      <c r="F2278" s="47" t="n"/>
      <c r="G2278" s="47" t="n"/>
      <c r="H2278" s="47" t="n"/>
      <c r="I2278" s="47" t="n"/>
      <c r="J2278" s="47" t="n"/>
      <c r="K2278" s="47" t="n"/>
      <c r="L2278" s="47" t="n"/>
      <c r="M2278" s="47" t="n"/>
      <c r="N2278" s="47" t="n"/>
      <c r="O2278" s="47" t="n"/>
      <c r="P2278" s="47" t="n"/>
      <c r="Q2278" s="47" t="n"/>
      <c r="R2278" s="47" t="n"/>
      <c r="S2278" s="47" t="n"/>
      <c r="T2278" s="47" t="n"/>
      <c r="U2278" s="53" t="n"/>
      <c r="V2278" s="53" t="n"/>
      <c r="W2278" s="47" t="n"/>
      <c r="X2278" s="47" t="n"/>
      <c r="Y2278" s="47" t="n"/>
      <c r="Z2278" s="47" t="n"/>
      <c r="AA2278" s="47" t="n"/>
      <c r="AB2278" s="47" t="n"/>
      <c r="AC2278" s="47" t="n"/>
      <c r="AD2278" s="47" t="n"/>
      <c r="AE2278" s="47" t="n"/>
      <c r="AF2278" s="20">
        <f>IF(A2278="","",YEAR(EDATE(A2278,-3)))</f>
        <v/>
      </c>
      <c r="AG2278" s="20">
        <f>IF(OR(B2278="",'経歴簿'!$C$4=""),"",IF(B2278&amp;""='経歴簿'!$C$4&amp;"",MAX($AG$4:AG2277)+1,""))</f>
        <v/>
      </c>
      <c r="AH2278" s="20">
        <f>IF(A2278="",0,IF(AND(OR('CSV抽出'!$C$4="",A2278&gt;='CSV抽出'!$C$4),OR('CSV抽出'!$C$5="",A2278&lt;='CSV抽出'!$C$5),OR('CSV抽出'!$C$6="すべて",'CSV抽出'!$C$6="",D2278='CSV抽出'!$C$6),OR('CSV抽出'!$C$7="",B2278&amp;""='CSV抽出'!$C$7&amp;"")),1,0))</f>
        <v/>
      </c>
      <c r="AI2278" s="20">
        <f>IF(AH2278=1,SUM($AH$5:AH2278),"")</f>
        <v/>
      </c>
      <c r="AJ2278" s="20">
        <f>IF(OR(S2278="",'報告書'!$C$4=""),"",IF(S2278&amp;""='報告書'!$C$4&amp;"",COUNTIF($S$5:S2278,'報告書'!$C$4),""))</f>
        <v/>
      </c>
      <c r="AK2278" s="20" t="n"/>
      <c r="AL2278" s="47" t="n"/>
      <c r="AM2278" s="47" t="n"/>
      <c r="AN2278" s="53" t="n"/>
      <c r="AO2278" s="47" t="n"/>
      <c r="AP2278" s="47" t="n"/>
      <c r="AQ2278" s="47" t="n"/>
      <c r="AR2278" s="47" t="n"/>
      <c r="AS2278" s="47" t="n"/>
      <c r="AT2278" s="47" t="n"/>
      <c r="AU2278" s="47" t="n"/>
      <c r="AV2278" s="47" t="n"/>
      <c r="AW2278" s="52" t="n"/>
    </row>
    <row r="2279">
      <c r="A2279" s="48" t="n"/>
      <c r="B2279" s="52" t="n"/>
      <c r="C2279" s="47">
        <f>IF(B2279="","",IFERROR(INDEX('隊員マスタ'!$B$5:$B$204,MATCH(B2279&amp;"",'隊員マスタ'!$F$5:$F$204,0)),IF(AK2279="","番号なし",AK2279)))</f>
        <v/>
      </c>
      <c r="D2279" s="47" t="n"/>
      <c r="E2279" s="47" t="n"/>
      <c r="F2279" s="47" t="n"/>
      <c r="G2279" s="47" t="n"/>
      <c r="H2279" s="47" t="n"/>
      <c r="I2279" s="47" t="n"/>
      <c r="J2279" s="47" t="n"/>
      <c r="K2279" s="47" t="n"/>
      <c r="L2279" s="47" t="n"/>
      <c r="M2279" s="47" t="n"/>
      <c r="N2279" s="47" t="n"/>
      <c r="O2279" s="47" t="n"/>
      <c r="P2279" s="47" t="n"/>
      <c r="Q2279" s="47" t="n"/>
      <c r="R2279" s="47" t="n"/>
      <c r="S2279" s="47" t="n"/>
      <c r="T2279" s="47" t="n"/>
      <c r="U2279" s="53" t="n"/>
      <c r="V2279" s="53" t="n"/>
      <c r="W2279" s="47" t="n"/>
      <c r="X2279" s="47" t="n"/>
      <c r="Y2279" s="47" t="n"/>
      <c r="Z2279" s="47" t="n"/>
      <c r="AA2279" s="47" t="n"/>
      <c r="AB2279" s="47" t="n"/>
      <c r="AC2279" s="47" t="n"/>
      <c r="AD2279" s="47" t="n"/>
      <c r="AE2279" s="47" t="n"/>
      <c r="AF2279" s="20">
        <f>IF(A2279="","",YEAR(EDATE(A2279,-3)))</f>
        <v/>
      </c>
      <c r="AG2279" s="20">
        <f>IF(OR(B2279="",'経歴簿'!$C$4=""),"",IF(B2279&amp;""='経歴簿'!$C$4&amp;"",MAX($AG$4:AG2278)+1,""))</f>
        <v/>
      </c>
      <c r="AH2279" s="20">
        <f>IF(A2279="",0,IF(AND(OR('CSV抽出'!$C$4="",A2279&gt;='CSV抽出'!$C$4),OR('CSV抽出'!$C$5="",A2279&lt;='CSV抽出'!$C$5),OR('CSV抽出'!$C$6="すべて",'CSV抽出'!$C$6="",D2279='CSV抽出'!$C$6),OR('CSV抽出'!$C$7="",B2279&amp;""='CSV抽出'!$C$7&amp;"")),1,0))</f>
        <v/>
      </c>
      <c r="AI2279" s="20">
        <f>IF(AH2279=1,SUM($AH$5:AH2279),"")</f>
        <v/>
      </c>
      <c r="AJ2279" s="20">
        <f>IF(OR(S2279="",'報告書'!$C$4=""),"",IF(S2279&amp;""='報告書'!$C$4&amp;"",COUNTIF($S$5:S2279,'報告書'!$C$4),""))</f>
        <v/>
      </c>
      <c r="AK2279" s="20" t="n"/>
      <c r="AL2279" s="47" t="n"/>
      <c r="AM2279" s="47" t="n"/>
      <c r="AN2279" s="53" t="n"/>
      <c r="AO2279" s="47" t="n"/>
      <c r="AP2279" s="47" t="n"/>
      <c r="AQ2279" s="47" t="n"/>
      <c r="AR2279" s="47" t="n"/>
      <c r="AS2279" s="47" t="n"/>
      <c r="AT2279" s="47" t="n"/>
      <c r="AU2279" s="47" t="n"/>
      <c r="AV2279" s="47" t="n"/>
      <c r="AW2279" s="52" t="n"/>
    </row>
    <row r="2280">
      <c r="A2280" s="48" t="n"/>
      <c r="B2280" s="52" t="n"/>
      <c r="C2280" s="47">
        <f>IF(B2280="","",IFERROR(INDEX('隊員マスタ'!$B$5:$B$204,MATCH(B2280&amp;"",'隊員マスタ'!$F$5:$F$204,0)),IF(AK2280="","番号なし",AK2280)))</f>
        <v/>
      </c>
      <c r="D2280" s="47" t="n"/>
      <c r="E2280" s="47" t="n"/>
      <c r="F2280" s="47" t="n"/>
      <c r="G2280" s="47" t="n"/>
      <c r="H2280" s="47" t="n"/>
      <c r="I2280" s="47" t="n"/>
      <c r="J2280" s="47" t="n"/>
      <c r="K2280" s="47" t="n"/>
      <c r="L2280" s="47" t="n"/>
      <c r="M2280" s="47" t="n"/>
      <c r="N2280" s="47" t="n"/>
      <c r="O2280" s="47" t="n"/>
      <c r="P2280" s="47" t="n"/>
      <c r="Q2280" s="47" t="n"/>
      <c r="R2280" s="47" t="n"/>
      <c r="S2280" s="47" t="n"/>
      <c r="T2280" s="47" t="n"/>
      <c r="U2280" s="53" t="n"/>
      <c r="V2280" s="53" t="n"/>
      <c r="W2280" s="47" t="n"/>
      <c r="X2280" s="47" t="n"/>
      <c r="Y2280" s="47" t="n"/>
      <c r="Z2280" s="47" t="n"/>
      <c r="AA2280" s="47" t="n"/>
      <c r="AB2280" s="47" t="n"/>
      <c r="AC2280" s="47" t="n"/>
      <c r="AD2280" s="47" t="n"/>
      <c r="AE2280" s="47" t="n"/>
      <c r="AF2280" s="20">
        <f>IF(A2280="","",YEAR(EDATE(A2280,-3)))</f>
        <v/>
      </c>
      <c r="AG2280" s="20">
        <f>IF(OR(B2280="",'経歴簿'!$C$4=""),"",IF(B2280&amp;""='経歴簿'!$C$4&amp;"",MAX($AG$4:AG2279)+1,""))</f>
        <v/>
      </c>
      <c r="AH2280" s="20">
        <f>IF(A2280="",0,IF(AND(OR('CSV抽出'!$C$4="",A2280&gt;='CSV抽出'!$C$4),OR('CSV抽出'!$C$5="",A2280&lt;='CSV抽出'!$C$5),OR('CSV抽出'!$C$6="すべて",'CSV抽出'!$C$6="",D2280='CSV抽出'!$C$6),OR('CSV抽出'!$C$7="",B2280&amp;""='CSV抽出'!$C$7&amp;"")),1,0))</f>
        <v/>
      </c>
      <c r="AI2280" s="20">
        <f>IF(AH2280=1,SUM($AH$5:AH2280),"")</f>
        <v/>
      </c>
      <c r="AJ2280" s="20">
        <f>IF(OR(S2280="",'報告書'!$C$4=""),"",IF(S2280&amp;""='報告書'!$C$4&amp;"",COUNTIF($S$5:S2280,'報告書'!$C$4),""))</f>
        <v/>
      </c>
      <c r="AK2280" s="20" t="n"/>
      <c r="AL2280" s="47" t="n"/>
      <c r="AM2280" s="47" t="n"/>
      <c r="AN2280" s="53" t="n"/>
      <c r="AO2280" s="47" t="n"/>
      <c r="AP2280" s="47" t="n"/>
      <c r="AQ2280" s="47" t="n"/>
      <c r="AR2280" s="47" t="n"/>
      <c r="AS2280" s="47" t="n"/>
      <c r="AT2280" s="47" t="n"/>
      <c r="AU2280" s="47" t="n"/>
      <c r="AV2280" s="47" t="n"/>
      <c r="AW2280" s="52" t="n"/>
    </row>
    <row r="2281">
      <c r="A2281" s="48" t="n"/>
      <c r="B2281" s="52" t="n"/>
      <c r="C2281" s="47">
        <f>IF(B2281="","",IFERROR(INDEX('隊員マスタ'!$B$5:$B$204,MATCH(B2281&amp;"",'隊員マスタ'!$F$5:$F$204,0)),IF(AK2281="","番号なし",AK2281)))</f>
        <v/>
      </c>
      <c r="D2281" s="47" t="n"/>
      <c r="E2281" s="47" t="n"/>
      <c r="F2281" s="47" t="n"/>
      <c r="G2281" s="47" t="n"/>
      <c r="H2281" s="47" t="n"/>
      <c r="I2281" s="47" t="n"/>
      <c r="J2281" s="47" t="n"/>
      <c r="K2281" s="47" t="n"/>
      <c r="L2281" s="47" t="n"/>
      <c r="M2281" s="47" t="n"/>
      <c r="N2281" s="47" t="n"/>
      <c r="O2281" s="47" t="n"/>
      <c r="P2281" s="47" t="n"/>
      <c r="Q2281" s="47" t="n"/>
      <c r="R2281" s="47" t="n"/>
      <c r="S2281" s="47" t="n"/>
      <c r="T2281" s="47" t="n"/>
      <c r="U2281" s="53" t="n"/>
      <c r="V2281" s="53" t="n"/>
      <c r="W2281" s="47" t="n"/>
      <c r="X2281" s="47" t="n"/>
      <c r="Y2281" s="47" t="n"/>
      <c r="Z2281" s="47" t="n"/>
      <c r="AA2281" s="47" t="n"/>
      <c r="AB2281" s="47" t="n"/>
      <c r="AC2281" s="47" t="n"/>
      <c r="AD2281" s="47" t="n"/>
      <c r="AE2281" s="47" t="n"/>
      <c r="AF2281" s="20">
        <f>IF(A2281="","",YEAR(EDATE(A2281,-3)))</f>
        <v/>
      </c>
      <c r="AG2281" s="20">
        <f>IF(OR(B2281="",'経歴簿'!$C$4=""),"",IF(B2281&amp;""='経歴簿'!$C$4&amp;"",MAX($AG$4:AG2280)+1,""))</f>
        <v/>
      </c>
      <c r="AH2281" s="20">
        <f>IF(A2281="",0,IF(AND(OR('CSV抽出'!$C$4="",A2281&gt;='CSV抽出'!$C$4),OR('CSV抽出'!$C$5="",A2281&lt;='CSV抽出'!$C$5),OR('CSV抽出'!$C$6="すべて",'CSV抽出'!$C$6="",D2281='CSV抽出'!$C$6),OR('CSV抽出'!$C$7="",B2281&amp;""='CSV抽出'!$C$7&amp;"")),1,0))</f>
        <v/>
      </c>
      <c r="AI2281" s="20">
        <f>IF(AH2281=1,SUM($AH$5:AH2281),"")</f>
        <v/>
      </c>
      <c r="AJ2281" s="20">
        <f>IF(OR(S2281="",'報告書'!$C$4=""),"",IF(S2281&amp;""='報告書'!$C$4&amp;"",COUNTIF($S$5:S2281,'報告書'!$C$4),""))</f>
        <v/>
      </c>
      <c r="AK2281" s="20" t="n"/>
      <c r="AL2281" s="47" t="n"/>
      <c r="AM2281" s="47" t="n"/>
      <c r="AN2281" s="53" t="n"/>
      <c r="AO2281" s="47" t="n"/>
      <c r="AP2281" s="47" t="n"/>
      <c r="AQ2281" s="47" t="n"/>
      <c r="AR2281" s="47" t="n"/>
      <c r="AS2281" s="47" t="n"/>
      <c r="AT2281" s="47" t="n"/>
      <c r="AU2281" s="47" t="n"/>
      <c r="AV2281" s="47" t="n"/>
      <c r="AW2281" s="52" t="n"/>
    </row>
    <row r="2282">
      <c r="A2282" s="48" t="n"/>
      <c r="B2282" s="52" t="n"/>
      <c r="C2282" s="47">
        <f>IF(B2282="","",IFERROR(INDEX('隊員マスタ'!$B$5:$B$204,MATCH(B2282&amp;"",'隊員マスタ'!$F$5:$F$204,0)),IF(AK2282="","番号なし",AK2282)))</f>
        <v/>
      </c>
      <c r="D2282" s="47" t="n"/>
      <c r="E2282" s="47" t="n"/>
      <c r="F2282" s="47" t="n"/>
      <c r="G2282" s="47" t="n"/>
      <c r="H2282" s="47" t="n"/>
      <c r="I2282" s="47" t="n"/>
      <c r="J2282" s="47" t="n"/>
      <c r="K2282" s="47" t="n"/>
      <c r="L2282" s="47" t="n"/>
      <c r="M2282" s="47" t="n"/>
      <c r="N2282" s="47" t="n"/>
      <c r="O2282" s="47" t="n"/>
      <c r="P2282" s="47" t="n"/>
      <c r="Q2282" s="47" t="n"/>
      <c r="R2282" s="47" t="n"/>
      <c r="S2282" s="47" t="n"/>
      <c r="T2282" s="47" t="n"/>
      <c r="U2282" s="53" t="n"/>
      <c r="V2282" s="53" t="n"/>
      <c r="W2282" s="47" t="n"/>
      <c r="X2282" s="47" t="n"/>
      <c r="Y2282" s="47" t="n"/>
      <c r="Z2282" s="47" t="n"/>
      <c r="AA2282" s="47" t="n"/>
      <c r="AB2282" s="47" t="n"/>
      <c r="AC2282" s="47" t="n"/>
      <c r="AD2282" s="47" t="n"/>
      <c r="AE2282" s="47" t="n"/>
      <c r="AF2282" s="20">
        <f>IF(A2282="","",YEAR(EDATE(A2282,-3)))</f>
        <v/>
      </c>
      <c r="AG2282" s="20">
        <f>IF(OR(B2282="",'経歴簿'!$C$4=""),"",IF(B2282&amp;""='経歴簿'!$C$4&amp;"",MAX($AG$4:AG2281)+1,""))</f>
        <v/>
      </c>
      <c r="AH2282" s="20">
        <f>IF(A2282="",0,IF(AND(OR('CSV抽出'!$C$4="",A2282&gt;='CSV抽出'!$C$4),OR('CSV抽出'!$C$5="",A2282&lt;='CSV抽出'!$C$5),OR('CSV抽出'!$C$6="すべて",'CSV抽出'!$C$6="",D2282='CSV抽出'!$C$6),OR('CSV抽出'!$C$7="",B2282&amp;""='CSV抽出'!$C$7&amp;"")),1,0))</f>
        <v/>
      </c>
      <c r="AI2282" s="20">
        <f>IF(AH2282=1,SUM($AH$5:AH2282),"")</f>
        <v/>
      </c>
      <c r="AJ2282" s="20">
        <f>IF(OR(S2282="",'報告書'!$C$4=""),"",IF(S2282&amp;""='報告書'!$C$4&amp;"",COUNTIF($S$5:S2282,'報告書'!$C$4),""))</f>
        <v/>
      </c>
      <c r="AK2282" s="20" t="n"/>
      <c r="AL2282" s="47" t="n"/>
      <c r="AM2282" s="47" t="n"/>
      <c r="AN2282" s="53" t="n"/>
      <c r="AO2282" s="47" t="n"/>
      <c r="AP2282" s="47" t="n"/>
      <c r="AQ2282" s="47" t="n"/>
      <c r="AR2282" s="47" t="n"/>
      <c r="AS2282" s="47" t="n"/>
      <c r="AT2282" s="47" t="n"/>
      <c r="AU2282" s="47" t="n"/>
      <c r="AV2282" s="47" t="n"/>
      <c r="AW2282" s="52" t="n"/>
    </row>
    <row r="2283">
      <c r="A2283" s="48" t="n"/>
      <c r="B2283" s="52" t="n"/>
      <c r="C2283" s="47">
        <f>IF(B2283="","",IFERROR(INDEX('隊員マスタ'!$B$5:$B$204,MATCH(B2283&amp;"",'隊員マスタ'!$F$5:$F$204,0)),IF(AK2283="","番号なし",AK2283)))</f>
        <v/>
      </c>
      <c r="D2283" s="47" t="n"/>
      <c r="E2283" s="47" t="n"/>
      <c r="F2283" s="47" t="n"/>
      <c r="G2283" s="47" t="n"/>
      <c r="H2283" s="47" t="n"/>
      <c r="I2283" s="47" t="n"/>
      <c r="J2283" s="47" t="n"/>
      <c r="K2283" s="47" t="n"/>
      <c r="L2283" s="47" t="n"/>
      <c r="M2283" s="47" t="n"/>
      <c r="N2283" s="47" t="n"/>
      <c r="O2283" s="47" t="n"/>
      <c r="P2283" s="47" t="n"/>
      <c r="Q2283" s="47" t="n"/>
      <c r="R2283" s="47" t="n"/>
      <c r="S2283" s="47" t="n"/>
      <c r="T2283" s="47" t="n"/>
      <c r="U2283" s="53" t="n"/>
      <c r="V2283" s="53" t="n"/>
      <c r="W2283" s="47" t="n"/>
      <c r="X2283" s="47" t="n"/>
      <c r="Y2283" s="47" t="n"/>
      <c r="Z2283" s="47" t="n"/>
      <c r="AA2283" s="47" t="n"/>
      <c r="AB2283" s="47" t="n"/>
      <c r="AC2283" s="47" t="n"/>
      <c r="AD2283" s="47" t="n"/>
      <c r="AE2283" s="47" t="n"/>
      <c r="AF2283" s="20">
        <f>IF(A2283="","",YEAR(EDATE(A2283,-3)))</f>
        <v/>
      </c>
      <c r="AG2283" s="20">
        <f>IF(OR(B2283="",'経歴簿'!$C$4=""),"",IF(B2283&amp;""='経歴簿'!$C$4&amp;"",MAX($AG$4:AG2282)+1,""))</f>
        <v/>
      </c>
      <c r="AH2283" s="20">
        <f>IF(A2283="",0,IF(AND(OR('CSV抽出'!$C$4="",A2283&gt;='CSV抽出'!$C$4),OR('CSV抽出'!$C$5="",A2283&lt;='CSV抽出'!$C$5),OR('CSV抽出'!$C$6="すべて",'CSV抽出'!$C$6="",D2283='CSV抽出'!$C$6),OR('CSV抽出'!$C$7="",B2283&amp;""='CSV抽出'!$C$7&amp;"")),1,0))</f>
        <v/>
      </c>
      <c r="AI2283" s="20">
        <f>IF(AH2283=1,SUM($AH$5:AH2283),"")</f>
        <v/>
      </c>
      <c r="AJ2283" s="20">
        <f>IF(OR(S2283="",'報告書'!$C$4=""),"",IF(S2283&amp;""='報告書'!$C$4&amp;"",COUNTIF($S$5:S2283,'報告書'!$C$4),""))</f>
        <v/>
      </c>
      <c r="AK2283" s="20" t="n"/>
      <c r="AL2283" s="47" t="n"/>
      <c r="AM2283" s="47" t="n"/>
      <c r="AN2283" s="53" t="n"/>
      <c r="AO2283" s="47" t="n"/>
      <c r="AP2283" s="47" t="n"/>
      <c r="AQ2283" s="47" t="n"/>
      <c r="AR2283" s="47" t="n"/>
      <c r="AS2283" s="47" t="n"/>
      <c r="AT2283" s="47" t="n"/>
      <c r="AU2283" s="47" t="n"/>
      <c r="AV2283" s="47" t="n"/>
      <c r="AW2283" s="52" t="n"/>
    </row>
    <row r="2284">
      <c r="A2284" s="48" t="n"/>
      <c r="B2284" s="52" t="n"/>
      <c r="C2284" s="47">
        <f>IF(B2284="","",IFERROR(INDEX('隊員マスタ'!$B$5:$B$204,MATCH(B2284&amp;"",'隊員マスタ'!$F$5:$F$204,0)),IF(AK2284="","番号なし",AK2284)))</f>
        <v/>
      </c>
      <c r="D2284" s="47" t="n"/>
      <c r="E2284" s="47" t="n"/>
      <c r="F2284" s="47" t="n"/>
      <c r="G2284" s="47" t="n"/>
      <c r="H2284" s="47" t="n"/>
      <c r="I2284" s="47" t="n"/>
      <c r="J2284" s="47" t="n"/>
      <c r="K2284" s="47" t="n"/>
      <c r="L2284" s="47" t="n"/>
      <c r="M2284" s="47" t="n"/>
      <c r="N2284" s="47" t="n"/>
      <c r="O2284" s="47" t="n"/>
      <c r="P2284" s="47" t="n"/>
      <c r="Q2284" s="47" t="n"/>
      <c r="R2284" s="47" t="n"/>
      <c r="S2284" s="47" t="n"/>
      <c r="T2284" s="47" t="n"/>
      <c r="U2284" s="53" t="n"/>
      <c r="V2284" s="53" t="n"/>
      <c r="W2284" s="47" t="n"/>
      <c r="X2284" s="47" t="n"/>
      <c r="Y2284" s="47" t="n"/>
      <c r="Z2284" s="47" t="n"/>
      <c r="AA2284" s="47" t="n"/>
      <c r="AB2284" s="47" t="n"/>
      <c r="AC2284" s="47" t="n"/>
      <c r="AD2284" s="47" t="n"/>
      <c r="AE2284" s="47" t="n"/>
      <c r="AF2284" s="20">
        <f>IF(A2284="","",YEAR(EDATE(A2284,-3)))</f>
        <v/>
      </c>
      <c r="AG2284" s="20">
        <f>IF(OR(B2284="",'経歴簿'!$C$4=""),"",IF(B2284&amp;""='経歴簿'!$C$4&amp;"",MAX($AG$4:AG2283)+1,""))</f>
        <v/>
      </c>
      <c r="AH2284" s="20">
        <f>IF(A2284="",0,IF(AND(OR('CSV抽出'!$C$4="",A2284&gt;='CSV抽出'!$C$4),OR('CSV抽出'!$C$5="",A2284&lt;='CSV抽出'!$C$5),OR('CSV抽出'!$C$6="すべて",'CSV抽出'!$C$6="",D2284='CSV抽出'!$C$6),OR('CSV抽出'!$C$7="",B2284&amp;""='CSV抽出'!$C$7&amp;"")),1,0))</f>
        <v/>
      </c>
      <c r="AI2284" s="20">
        <f>IF(AH2284=1,SUM($AH$5:AH2284),"")</f>
        <v/>
      </c>
      <c r="AJ2284" s="20">
        <f>IF(OR(S2284="",'報告書'!$C$4=""),"",IF(S2284&amp;""='報告書'!$C$4&amp;"",COUNTIF($S$5:S2284,'報告書'!$C$4),""))</f>
        <v/>
      </c>
      <c r="AK2284" s="20" t="n"/>
      <c r="AL2284" s="47" t="n"/>
      <c r="AM2284" s="47" t="n"/>
      <c r="AN2284" s="53" t="n"/>
      <c r="AO2284" s="47" t="n"/>
      <c r="AP2284" s="47" t="n"/>
      <c r="AQ2284" s="47" t="n"/>
      <c r="AR2284" s="47" t="n"/>
      <c r="AS2284" s="47" t="n"/>
      <c r="AT2284" s="47" t="n"/>
      <c r="AU2284" s="47" t="n"/>
      <c r="AV2284" s="47" t="n"/>
      <c r="AW2284" s="52" t="n"/>
    </row>
    <row r="2285">
      <c r="A2285" s="48" t="n"/>
      <c r="B2285" s="52" t="n"/>
      <c r="C2285" s="47">
        <f>IF(B2285="","",IFERROR(INDEX('隊員マスタ'!$B$5:$B$204,MATCH(B2285&amp;"",'隊員マスタ'!$F$5:$F$204,0)),IF(AK2285="","番号なし",AK2285)))</f>
        <v/>
      </c>
      <c r="D2285" s="47" t="n"/>
      <c r="E2285" s="47" t="n"/>
      <c r="F2285" s="47" t="n"/>
      <c r="G2285" s="47" t="n"/>
      <c r="H2285" s="47" t="n"/>
      <c r="I2285" s="47" t="n"/>
      <c r="J2285" s="47" t="n"/>
      <c r="K2285" s="47" t="n"/>
      <c r="L2285" s="47" t="n"/>
      <c r="M2285" s="47" t="n"/>
      <c r="N2285" s="47" t="n"/>
      <c r="O2285" s="47" t="n"/>
      <c r="P2285" s="47" t="n"/>
      <c r="Q2285" s="47" t="n"/>
      <c r="R2285" s="47" t="n"/>
      <c r="S2285" s="47" t="n"/>
      <c r="T2285" s="47" t="n"/>
      <c r="U2285" s="53" t="n"/>
      <c r="V2285" s="53" t="n"/>
      <c r="W2285" s="47" t="n"/>
      <c r="X2285" s="47" t="n"/>
      <c r="Y2285" s="47" t="n"/>
      <c r="Z2285" s="47" t="n"/>
      <c r="AA2285" s="47" t="n"/>
      <c r="AB2285" s="47" t="n"/>
      <c r="AC2285" s="47" t="n"/>
      <c r="AD2285" s="47" t="n"/>
      <c r="AE2285" s="47" t="n"/>
      <c r="AF2285" s="20">
        <f>IF(A2285="","",YEAR(EDATE(A2285,-3)))</f>
        <v/>
      </c>
      <c r="AG2285" s="20">
        <f>IF(OR(B2285="",'経歴簿'!$C$4=""),"",IF(B2285&amp;""='経歴簿'!$C$4&amp;"",MAX($AG$4:AG2284)+1,""))</f>
        <v/>
      </c>
      <c r="AH2285" s="20">
        <f>IF(A2285="",0,IF(AND(OR('CSV抽出'!$C$4="",A2285&gt;='CSV抽出'!$C$4),OR('CSV抽出'!$C$5="",A2285&lt;='CSV抽出'!$C$5),OR('CSV抽出'!$C$6="すべて",'CSV抽出'!$C$6="",D2285='CSV抽出'!$C$6),OR('CSV抽出'!$C$7="",B2285&amp;""='CSV抽出'!$C$7&amp;"")),1,0))</f>
        <v/>
      </c>
      <c r="AI2285" s="20">
        <f>IF(AH2285=1,SUM($AH$5:AH2285),"")</f>
        <v/>
      </c>
      <c r="AJ2285" s="20">
        <f>IF(OR(S2285="",'報告書'!$C$4=""),"",IF(S2285&amp;""='報告書'!$C$4&amp;"",COUNTIF($S$5:S2285,'報告書'!$C$4),""))</f>
        <v/>
      </c>
      <c r="AK2285" s="20" t="n"/>
      <c r="AL2285" s="47" t="n"/>
      <c r="AM2285" s="47" t="n"/>
      <c r="AN2285" s="53" t="n"/>
      <c r="AO2285" s="47" t="n"/>
      <c r="AP2285" s="47" t="n"/>
      <c r="AQ2285" s="47" t="n"/>
      <c r="AR2285" s="47" t="n"/>
      <c r="AS2285" s="47" t="n"/>
      <c r="AT2285" s="47" t="n"/>
      <c r="AU2285" s="47" t="n"/>
      <c r="AV2285" s="47" t="n"/>
      <c r="AW2285" s="52" t="n"/>
    </row>
    <row r="2286">
      <c r="A2286" s="48" t="n"/>
      <c r="B2286" s="52" t="n"/>
      <c r="C2286" s="47">
        <f>IF(B2286="","",IFERROR(INDEX('隊員マスタ'!$B$5:$B$204,MATCH(B2286&amp;"",'隊員マスタ'!$F$5:$F$204,0)),IF(AK2286="","番号なし",AK2286)))</f>
        <v/>
      </c>
      <c r="D2286" s="47" t="n"/>
      <c r="E2286" s="47" t="n"/>
      <c r="F2286" s="47" t="n"/>
      <c r="G2286" s="47" t="n"/>
      <c r="H2286" s="47" t="n"/>
      <c r="I2286" s="47" t="n"/>
      <c r="J2286" s="47" t="n"/>
      <c r="K2286" s="47" t="n"/>
      <c r="L2286" s="47" t="n"/>
      <c r="M2286" s="47" t="n"/>
      <c r="N2286" s="47" t="n"/>
      <c r="O2286" s="47" t="n"/>
      <c r="P2286" s="47" t="n"/>
      <c r="Q2286" s="47" t="n"/>
      <c r="R2286" s="47" t="n"/>
      <c r="S2286" s="47" t="n"/>
      <c r="T2286" s="47" t="n"/>
      <c r="U2286" s="53" t="n"/>
      <c r="V2286" s="53" t="n"/>
      <c r="W2286" s="47" t="n"/>
      <c r="X2286" s="47" t="n"/>
      <c r="Y2286" s="47" t="n"/>
      <c r="Z2286" s="47" t="n"/>
      <c r="AA2286" s="47" t="n"/>
      <c r="AB2286" s="47" t="n"/>
      <c r="AC2286" s="47" t="n"/>
      <c r="AD2286" s="47" t="n"/>
      <c r="AE2286" s="47" t="n"/>
      <c r="AF2286" s="20">
        <f>IF(A2286="","",YEAR(EDATE(A2286,-3)))</f>
        <v/>
      </c>
      <c r="AG2286" s="20">
        <f>IF(OR(B2286="",'経歴簿'!$C$4=""),"",IF(B2286&amp;""='経歴簿'!$C$4&amp;"",MAX($AG$4:AG2285)+1,""))</f>
        <v/>
      </c>
      <c r="AH2286" s="20">
        <f>IF(A2286="",0,IF(AND(OR('CSV抽出'!$C$4="",A2286&gt;='CSV抽出'!$C$4),OR('CSV抽出'!$C$5="",A2286&lt;='CSV抽出'!$C$5),OR('CSV抽出'!$C$6="すべて",'CSV抽出'!$C$6="",D2286='CSV抽出'!$C$6),OR('CSV抽出'!$C$7="",B2286&amp;""='CSV抽出'!$C$7&amp;"")),1,0))</f>
        <v/>
      </c>
      <c r="AI2286" s="20">
        <f>IF(AH2286=1,SUM($AH$5:AH2286),"")</f>
        <v/>
      </c>
      <c r="AJ2286" s="20">
        <f>IF(OR(S2286="",'報告書'!$C$4=""),"",IF(S2286&amp;""='報告書'!$C$4&amp;"",COUNTIF($S$5:S2286,'報告書'!$C$4),""))</f>
        <v/>
      </c>
      <c r="AK2286" s="20" t="n"/>
      <c r="AL2286" s="47" t="n"/>
      <c r="AM2286" s="47" t="n"/>
      <c r="AN2286" s="53" t="n"/>
      <c r="AO2286" s="47" t="n"/>
      <c r="AP2286" s="47" t="n"/>
      <c r="AQ2286" s="47" t="n"/>
      <c r="AR2286" s="47" t="n"/>
      <c r="AS2286" s="47" t="n"/>
      <c r="AT2286" s="47" t="n"/>
      <c r="AU2286" s="47" t="n"/>
      <c r="AV2286" s="47" t="n"/>
      <c r="AW2286" s="52" t="n"/>
    </row>
    <row r="2287">
      <c r="A2287" s="48" t="n"/>
      <c r="B2287" s="52" t="n"/>
      <c r="C2287" s="47">
        <f>IF(B2287="","",IFERROR(INDEX('隊員マスタ'!$B$5:$B$204,MATCH(B2287&amp;"",'隊員マスタ'!$F$5:$F$204,0)),IF(AK2287="","番号なし",AK2287)))</f>
        <v/>
      </c>
      <c r="D2287" s="47" t="n"/>
      <c r="E2287" s="47" t="n"/>
      <c r="F2287" s="47" t="n"/>
      <c r="G2287" s="47" t="n"/>
      <c r="H2287" s="47" t="n"/>
      <c r="I2287" s="47" t="n"/>
      <c r="J2287" s="47" t="n"/>
      <c r="K2287" s="47" t="n"/>
      <c r="L2287" s="47" t="n"/>
      <c r="M2287" s="47" t="n"/>
      <c r="N2287" s="47" t="n"/>
      <c r="O2287" s="47" t="n"/>
      <c r="P2287" s="47" t="n"/>
      <c r="Q2287" s="47" t="n"/>
      <c r="R2287" s="47" t="n"/>
      <c r="S2287" s="47" t="n"/>
      <c r="T2287" s="47" t="n"/>
      <c r="U2287" s="53" t="n"/>
      <c r="V2287" s="53" t="n"/>
      <c r="W2287" s="47" t="n"/>
      <c r="X2287" s="47" t="n"/>
      <c r="Y2287" s="47" t="n"/>
      <c r="Z2287" s="47" t="n"/>
      <c r="AA2287" s="47" t="n"/>
      <c r="AB2287" s="47" t="n"/>
      <c r="AC2287" s="47" t="n"/>
      <c r="AD2287" s="47" t="n"/>
      <c r="AE2287" s="47" t="n"/>
      <c r="AF2287" s="20">
        <f>IF(A2287="","",YEAR(EDATE(A2287,-3)))</f>
        <v/>
      </c>
      <c r="AG2287" s="20">
        <f>IF(OR(B2287="",'経歴簿'!$C$4=""),"",IF(B2287&amp;""='経歴簿'!$C$4&amp;"",MAX($AG$4:AG2286)+1,""))</f>
        <v/>
      </c>
      <c r="AH2287" s="20">
        <f>IF(A2287="",0,IF(AND(OR('CSV抽出'!$C$4="",A2287&gt;='CSV抽出'!$C$4),OR('CSV抽出'!$C$5="",A2287&lt;='CSV抽出'!$C$5),OR('CSV抽出'!$C$6="すべて",'CSV抽出'!$C$6="",D2287='CSV抽出'!$C$6),OR('CSV抽出'!$C$7="",B2287&amp;""='CSV抽出'!$C$7&amp;"")),1,0))</f>
        <v/>
      </c>
      <c r="AI2287" s="20">
        <f>IF(AH2287=1,SUM($AH$5:AH2287),"")</f>
        <v/>
      </c>
      <c r="AJ2287" s="20">
        <f>IF(OR(S2287="",'報告書'!$C$4=""),"",IF(S2287&amp;""='報告書'!$C$4&amp;"",COUNTIF($S$5:S2287,'報告書'!$C$4),""))</f>
        <v/>
      </c>
      <c r="AK2287" s="20" t="n"/>
      <c r="AL2287" s="47" t="n"/>
      <c r="AM2287" s="47" t="n"/>
      <c r="AN2287" s="53" t="n"/>
      <c r="AO2287" s="47" t="n"/>
      <c r="AP2287" s="47" t="n"/>
      <c r="AQ2287" s="47" t="n"/>
      <c r="AR2287" s="47" t="n"/>
      <c r="AS2287" s="47" t="n"/>
      <c r="AT2287" s="47" t="n"/>
      <c r="AU2287" s="47" t="n"/>
      <c r="AV2287" s="47" t="n"/>
      <c r="AW2287" s="52" t="n"/>
    </row>
    <row r="2288">
      <c r="A2288" s="48" t="n"/>
      <c r="B2288" s="52" t="n"/>
      <c r="C2288" s="47">
        <f>IF(B2288="","",IFERROR(INDEX('隊員マスタ'!$B$5:$B$204,MATCH(B2288&amp;"",'隊員マスタ'!$F$5:$F$204,0)),IF(AK2288="","番号なし",AK2288)))</f>
        <v/>
      </c>
      <c r="D2288" s="47" t="n"/>
      <c r="E2288" s="47" t="n"/>
      <c r="F2288" s="47" t="n"/>
      <c r="G2288" s="47" t="n"/>
      <c r="H2288" s="47" t="n"/>
      <c r="I2288" s="47" t="n"/>
      <c r="J2288" s="47" t="n"/>
      <c r="K2288" s="47" t="n"/>
      <c r="L2288" s="47" t="n"/>
      <c r="M2288" s="47" t="n"/>
      <c r="N2288" s="47" t="n"/>
      <c r="O2288" s="47" t="n"/>
      <c r="P2288" s="47" t="n"/>
      <c r="Q2288" s="47" t="n"/>
      <c r="R2288" s="47" t="n"/>
      <c r="S2288" s="47" t="n"/>
      <c r="T2288" s="47" t="n"/>
      <c r="U2288" s="53" t="n"/>
      <c r="V2288" s="53" t="n"/>
      <c r="W2288" s="47" t="n"/>
      <c r="X2288" s="47" t="n"/>
      <c r="Y2288" s="47" t="n"/>
      <c r="Z2288" s="47" t="n"/>
      <c r="AA2288" s="47" t="n"/>
      <c r="AB2288" s="47" t="n"/>
      <c r="AC2288" s="47" t="n"/>
      <c r="AD2288" s="47" t="n"/>
      <c r="AE2288" s="47" t="n"/>
      <c r="AF2288" s="20">
        <f>IF(A2288="","",YEAR(EDATE(A2288,-3)))</f>
        <v/>
      </c>
      <c r="AG2288" s="20">
        <f>IF(OR(B2288="",'経歴簿'!$C$4=""),"",IF(B2288&amp;""='経歴簿'!$C$4&amp;"",MAX($AG$4:AG2287)+1,""))</f>
        <v/>
      </c>
      <c r="AH2288" s="20">
        <f>IF(A2288="",0,IF(AND(OR('CSV抽出'!$C$4="",A2288&gt;='CSV抽出'!$C$4),OR('CSV抽出'!$C$5="",A2288&lt;='CSV抽出'!$C$5),OR('CSV抽出'!$C$6="すべて",'CSV抽出'!$C$6="",D2288='CSV抽出'!$C$6),OR('CSV抽出'!$C$7="",B2288&amp;""='CSV抽出'!$C$7&amp;"")),1,0))</f>
        <v/>
      </c>
      <c r="AI2288" s="20">
        <f>IF(AH2288=1,SUM($AH$5:AH2288),"")</f>
        <v/>
      </c>
      <c r="AJ2288" s="20">
        <f>IF(OR(S2288="",'報告書'!$C$4=""),"",IF(S2288&amp;""='報告書'!$C$4&amp;"",COUNTIF($S$5:S2288,'報告書'!$C$4),""))</f>
        <v/>
      </c>
      <c r="AK2288" s="20" t="n"/>
      <c r="AL2288" s="47" t="n"/>
      <c r="AM2288" s="47" t="n"/>
      <c r="AN2288" s="53" t="n"/>
      <c r="AO2288" s="47" t="n"/>
      <c r="AP2288" s="47" t="n"/>
      <c r="AQ2288" s="47" t="n"/>
      <c r="AR2288" s="47" t="n"/>
      <c r="AS2288" s="47" t="n"/>
      <c r="AT2288" s="47" t="n"/>
      <c r="AU2288" s="47" t="n"/>
      <c r="AV2288" s="47" t="n"/>
      <c r="AW2288" s="52" t="n"/>
    </row>
    <row r="2289">
      <c r="A2289" s="48" t="n"/>
      <c r="B2289" s="52" t="n"/>
      <c r="C2289" s="47">
        <f>IF(B2289="","",IFERROR(INDEX('隊員マスタ'!$B$5:$B$204,MATCH(B2289&amp;"",'隊員マスタ'!$F$5:$F$204,0)),IF(AK2289="","番号なし",AK2289)))</f>
        <v/>
      </c>
      <c r="D2289" s="47" t="n"/>
      <c r="E2289" s="47" t="n"/>
      <c r="F2289" s="47" t="n"/>
      <c r="G2289" s="47" t="n"/>
      <c r="H2289" s="47" t="n"/>
      <c r="I2289" s="47" t="n"/>
      <c r="J2289" s="47" t="n"/>
      <c r="K2289" s="47" t="n"/>
      <c r="L2289" s="47" t="n"/>
      <c r="M2289" s="47" t="n"/>
      <c r="N2289" s="47" t="n"/>
      <c r="O2289" s="47" t="n"/>
      <c r="P2289" s="47" t="n"/>
      <c r="Q2289" s="47" t="n"/>
      <c r="R2289" s="47" t="n"/>
      <c r="S2289" s="47" t="n"/>
      <c r="T2289" s="47" t="n"/>
      <c r="U2289" s="53" t="n"/>
      <c r="V2289" s="53" t="n"/>
      <c r="W2289" s="47" t="n"/>
      <c r="X2289" s="47" t="n"/>
      <c r="Y2289" s="47" t="n"/>
      <c r="Z2289" s="47" t="n"/>
      <c r="AA2289" s="47" t="n"/>
      <c r="AB2289" s="47" t="n"/>
      <c r="AC2289" s="47" t="n"/>
      <c r="AD2289" s="47" t="n"/>
      <c r="AE2289" s="47" t="n"/>
      <c r="AF2289" s="20">
        <f>IF(A2289="","",YEAR(EDATE(A2289,-3)))</f>
        <v/>
      </c>
      <c r="AG2289" s="20">
        <f>IF(OR(B2289="",'経歴簿'!$C$4=""),"",IF(B2289&amp;""='経歴簿'!$C$4&amp;"",MAX($AG$4:AG2288)+1,""))</f>
        <v/>
      </c>
      <c r="AH2289" s="20">
        <f>IF(A2289="",0,IF(AND(OR('CSV抽出'!$C$4="",A2289&gt;='CSV抽出'!$C$4),OR('CSV抽出'!$C$5="",A2289&lt;='CSV抽出'!$C$5),OR('CSV抽出'!$C$6="すべて",'CSV抽出'!$C$6="",D2289='CSV抽出'!$C$6),OR('CSV抽出'!$C$7="",B2289&amp;""='CSV抽出'!$C$7&amp;"")),1,0))</f>
        <v/>
      </c>
      <c r="AI2289" s="20">
        <f>IF(AH2289=1,SUM($AH$5:AH2289),"")</f>
        <v/>
      </c>
      <c r="AJ2289" s="20">
        <f>IF(OR(S2289="",'報告書'!$C$4=""),"",IF(S2289&amp;""='報告書'!$C$4&amp;"",COUNTIF($S$5:S2289,'報告書'!$C$4),""))</f>
        <v/>
      </c>
      <c r="AK2289" s="20" t="n"/>
      <c r="AL2289" s="47" t="n"/>
      <c r="AM2289" s="47" t="n"/>
      <c r="AN2289" s="53" t="n"/>
      <c r="AO2289" s="47" t="n"/>
      <c r="AP2289" s="47" t="n"/>
      <c r="AQ2289" s="47" t="n"/>
      <c r="AR2289" s="47" t="n"/>
      <c r="AS2289" s="47" t="n"/>
      <c r="AT2289" s="47" t="n"/>
      <c r="AU2289" s="47" t="n"/>
      <c r="AV2289" s="47" t="n"/>
      <c r="AW2289" s="52" t="n"/>
    </row>
    <row r="2290">
      <c r="A2290" s="48" t="n"/>
      <c r="B2290" s="52" t="n"/>
      <c r="C2290" s="47">
        <f>IF(B2290="","",IFERROR(INDEX('隊員マスタ'!$B$5:$B$204,MATCH(B2290&amp;"",'隊員マスタ'!$F$5:$F$204,0)),IF(AK2290="","番号なし",AK2290)))</f>
        <v/>
      </c>
      <c r="D2290" s="47" t="n"/>
      <c r="E2290" s="47" t="n"/>
      <c r="F2290" s="47" t="n"/>
      <c r="G2290" s="47" t="n"/>
      <c r="H2290" s="47" t="n"/>
      <c r="I2290" s="47" t="n"/>
      <c r="J2290" s="47" t="n"/>
      <c r="K2290" s="47" t="n"/>
      <c r="L2290" s="47" t="n"/>
      <c r="M2290" s="47" t="n"/>
      <c r="N2290" s="47" t="n"/>
      <c r="O2290" s="47" t="n"/>
      <c r="P2290" s="47" t="n"/>
      <c r="Q2290" s="47" t="n"/>
      <c r="R2290" s="47" t="n"/>
      <c r="S2290" s="47" t="n"/>
      <c r="T2290" s="47" t="n"/>
      <c r="U2290" s="53" t="n"/>
      <c r="V2290" s="53" t="n"/>
      <c r="W2290" s="47" t="n"/>
      <c r="X2290" s="47" t="n"/>
      <c r="Y2290" s="47" t="n"/>
      <c r="Z2290" s="47" t="n"/>
      <c r="AA2290" s="47" t="n"/>
      <c r="AB2290" s="47" t="n"/>
      <c r="AC2290" s="47" t="n"/>
      <c r="AD2290" s="47" t="n"/>
      <c r="AE2290" s="47" t="n"/>
      <c r="AF2290" s="20">
        <f>IF(A2290="","",YEAR(EDATE(A2290,-3)))</f>
        <v/>
      </c>
      <c r="AG2290" s="20">
        <f>IF(OR(B2290="",'経歴簿'!$C$4=""),"",IF(B2290&amp;""='経歴簿'!$C$4&amp;"",MAX($AG$4:AG2289)+1,""))</f>
        <v/>
      </c>
      <c r="AH2290" s="20">
        <f>IF(A2290="",0,IF(AND(OR('CSV抽出'!$C$4="",A2290&gt;='CSV抽出'!$C$4),OR('CSV抽出'!$C$5="",A2290&lt;='CSV抽出'!$C$5),OR('CSV抽出'!$C$6="すべて",'CSV抽出'!$C$6="",D2290='CSV抽出'!$C$6),OR('CSV抽出'!$C$7="",B2290&amp;""='CSV抽出'!$C$7&amp;"")),1,0))</f>
        <v/>
      </c>
      <c r="AI2290" s="20">
        <f>IF(AH2290=1,SUM($AH$5:AH2290),"")</f>
        <v/>
      </c>
      <c r="AJ2290" s="20">
        <f>IF(OR(S2290="",'報告書'!$C$4=""),"",IF(S2290&amp;""='報告書'!$C$4&amp;"",COUNTIF($S$5:S2290,'報告書'!$C$4),""))</f>
        <v/>
      </c>
      <c r="AK2290" s="20" t="n"/>
      <c r="AL2290" s="47" t="n"/>
      <c r="AM2290" s="47" t="n"/>
      <c r="AN2290" s="53" t="n"/>
      <c r="AO2290" s="47" t="n"/>
      <c r="AP2290" s="47" t="n"/>
      <c r="AQ2290" s="47" t="n"/>
      <c r="AR2290" s="47" t="n"/>
      <c r="AS2290" s="47" t="n"/>
      <c r="AT2290" s="47" t="n"/>
      <c r="AU2290" s="47" t="n"/>
      <c r="AV2290" s="47" t="n"/>
      <c r="AW2290" s="52" t="n"/>
    </row>
    <row r="2291">
      <c r="A2291" s="48" t="n"/>
      <c r="B2291" s="52" t="n"/>
      <c r="C2291" s="47">
        <f>IF(B2291="","",IFERROR(INDEX('隊員マスタ'!$B$5:$B$204,MATCH(B2291&amp;"",'隊員マスタ'!$F$5:$F$204,0)),IF(AK2291="","番号なし",AK2291)))</f>
        <v/>
      </c>
      <c r="D2291" s="47" t="n"/>
      <c r="E2291" s="47" t="n"/>
      <c r="F2291" s="47" t="n"/>
      <c r="G2291" s="47" t="n"/>
      <c r="H2291" s="47" t="n"/>
      <c r="I2291" s="47" t="n"/>
      <c r="J2291" s="47" t="n"/>
      <c r="K2291" s="47" t="n"/>
      <c r="L2291" s="47" t="n"/>
      <c r="M2291" s="47" t="n"/>
      <c r="N2291" s="47" t="n"/>
      <c r="O2291" s="47" t="n"/>
      <c r="P2291" s="47" t="n"/>
      <c r="Q2291" s="47" t="n"/>
      <c r="R2291" s="47" t="n"/>
      <c r="S2291" s="47" t="n"/>
      <c r="T2291" s="47" t="n"/>
      <c r="U2291" s="53" t="n"/>
      <c r="V2291" s="53" t="n"/>
      <c r="W2291" s="47" t="n"/>
      <c r="X2291" s="47" t="n"/>
      <c r="Y2291" s="47" t="n"/>
      <c r="Z2291" s="47" t="n"/>
      <c r="AA2291" s="47" t="n"/>
      <c r="AB2291" s="47" t="n"/>
      <c r="AC2291" s="47" t="n"/>
      <c r="AD2291" s="47" t="n"/>
      <c r="AE2291" s="47" t="n"/>
      <c r="AF2291" s="20">
        <f>IF(A2291="","",YEAR(EDATE(A2291,-3)))</f>
        <v/>
      </c>
      <c r="AG2291" s="20">
        <f>IF(OR(B2291="",'経歴簿'!$C$4=""),"",IF(B2291&amp;""='経歴簿'!$C$4&amp;"",MAX($AG$4:AG2290)+1,""))</f>
        <v/>
      </c>
      <c r="AH2291" s="20">
        <f>IF(A2291="",0,IF(AND(OR('CSV抽出'!$C$4="",A2291&gt;='CSV抽出'!$C$4),OR('CSV抽出'!$C$5="",A2291&lt;='CSV抽出'!$C$5),OR('CSV抽出'!$C$6="すべて",'CSV抽出'!$C$6="",D2291='CSV抽出'!$C$6),OR('CSV抽出'!$C$7="",B2291&amp;""='CSV抽出'!$C$7&amp;"")),1,0))</f>
        <v/>
      </c>
      <c r="AI2291" s="20">
        <f>IF(AH2291=1,SUM($AH$5:AH2291),"")</f>
        <v/>
      </c>
      <c r="AJ2291" s="20">
        <f>IF(OR(S2291="",'報告書'!$C$4=""),"",IF(S2291&amp;""='報告書'!$C$4&amp;"",COUNTIF($S$5:S2291,'報告書'!$C$4),""))</f>
        <v/>
      </c>
      <c r="AK2291" s="20" t="n"/>
      <c r="AL2291" s="47" t="n"/>
      <c r="AM2291" s="47" t="n"/>
      <c r="AN2291" s="53" t="n"/>
      <c r="AO2291" s="47" t="n"/>
      <c r="AP2291" s="47" t="n"/>
      <c r="AQ2291" s="47" t="n"/>
      <c r="AR2291" s="47" t="n"/>
      <c r="AS2291" s="47" t="n"/>
      <c r="AT2291" s="47" t="n"/>
      <c r="AU2291" s="47" t="n"/>
      <c r="AV2291" s="47" t="n"/>
      <c r="AW2291" s="52" t="n"/>
    </row>
    <row r="2292">
      <c r="A2292" s="48" t="n"/>
      <c r="B2292" s="52" t="n"/>
      <c r="C2292" s="47">
        <f>IF(B2292="","",IFERROR(INDEX('隊員マスタ'!$B$5:$B$204,MATCH(B2292&amp;"",'隊員マスタ'!$F$5:$F$204,0)),IF(AK2292="","番号なし",AK2292)))</f>
        <v/>
      </c>
      <c r="D2292" s="47" t="n"/>
      <c r="E2292" s="47" t="n"/>
      <c r="F2292" s="47" t="n"/>
      <c r="G2292" s="47" t="n"/>
      <c r="H2292" s="47" t="n"/>
      <c r="I2292" s="47" t="n"/>
      <c r="J2292" s="47" t="n"/>
      <c r="K2292" s="47" t="n"/>
      <c r="L2292" s="47" t="n"/>
      <c r="M2292" s="47" t="n"/>
      <c r="N2292" s="47" t="n"/>
      <c r="O2292" s="47" t="n"/>
      <c r="P2292" s="47" t="n"/>
      <c r="Q2292" s="47" t="n"/>
      <c r="R2292" s="47" t="n"/>
      <c r="S2292" s="47" t="n"/>
      <c r="T2292" s="47" t="n"/>
      <c r="U2292" s="53" t="n"/>
      <c r="V2292" s="53" t="n"/>
      <c r="W2292" s="47" t="n"/>
      <c r="X2292" s="47" t="n"/>
      <c r="Y2292" s="47" t="n"/>
      <c r="Z2292" s="47" t="n"/>
      <c r="AA2292" s="47" t="n"/>
      <c r="AB2292" s="47" t="n"/>
      <c r="AC2292" s="47" t="n"/>
      <c r="AD2292" s="47" t="n"/>
      <c r="AE2292" s="47" t="n"/>
      <c r="AF2292" s="20">
        <f>IF(A2292="","",YEAR(EDATE(A2292,-3)))</f>
        <v/>
      </c>
      <c r="AG2292" s="20">
        <f>IF(OR(B2292="",'経歴簿'!$C$4=""),"",IF(B2292&amp;""='経歴簿'!$C$4&amp;"",MAX($AG$4:AG2291)+1,""))</f>
        <v/>
      </c>
      <c r="AH2292" s="20">
        <f>IF(A2292="",0,IF(AND(OR('CSV抽出'!$C$4="",A2292&gt;='CSV抽出'!$C$4),OR('CSV抽出'!$C$5="",A2292&lt;='CSV抽出'!$C$5),OR('CSV抽出'!$C$6="すべて",'CSV抽出'!$C$6="",D2292='CSV抽出'!$C$6),OR('CSV抽出'!$C$7="",B2292&amp;""='CSV抽出'!$C$7&amp;"")),1,0))</f>
        <v/>
      </c>
      <c r="AI2292" s="20">
        <f>IF(AH2292=1,SUM($AH$5:AH2292),"")</f>
        <v/>
      </c>
      <c r="AJ2292" s="20">
        <f>IF(OR(S2292="",'報告書'!$C$4=""),"",IF(S2292&amp;""='報告書'!$C$4&amp;"",COUNTIF($S$5:S2292,'報告書'!$C$4),""))</f>
        <v/>
      </c>
      <c r="AK2292" s="20" t="n"/>
      <c r="AL2292" s="47" t="n"/>
      <c r="AM2292" s="47" t="n"/>
      <c r="AN2292" s="53" t="n"/>
      <c r="AO2292" s="47" t="n"/>
      <c r="AP2292" s="47" t="n"/>
      <c r="AQ2292" s="47" t="n"/>
      <c r="AR2292" s="47" t="n"/>
      <c r="AS2292" s="47" t="n"/>
      <c r="AT2292" s="47" t="n"/>
      <c r="AU2292" s="47" t="n"/>
      <c r="AV2292" s="47" t="n"/>
      <c r="AW2292" s="52" t="n"/>
    </row>
    <row r="2293">
      <c r="A2293" s="48" t="n"/>
      <c r="B2293" s="52" t="n"/>
      <c r="C2293" s="47">
        <f>IF(B2293="","",IFERROR(INDEX('隊員マスタ'!$B$5:$B$204,MATCH(B2293&amp;"",'隊員マスタ'!$F$5:$F$204,0)),IF(AK2293="","番号なし",AK2293)))</f>
        <v/>
      </c>
      <c r="D2293" s="47" t="n"/>
      <c r="E2293" s="47" t="n"/>
      <c r="F2293" s="47" t="n"/>
      <c r="G2293" s="47" t="n"/>
      <c r="H2293" s="47" t="n"/>
      <c r="I2293" s="47" t="n"/>
      <c r="J2293" s="47" t="n"/>
      <c r="K2293" s="47" t="n"/>
      <c r="L2293" s="47" t="n"/>
      <c r="M2293" s="47" t="n"/>
      <c r="N2293" s="47" t="n"/>
      <c r="O2293" s="47" t="n"/>
      <c r="P2293" s="47" t="n"/>
      <c r="Q2293" s="47" t="n"/>
      <c r="R2293" s="47" t="n"/>
      <c r="S2293" s="47" t="n"/>
      <c r="T2293" s="47" t="n"/>
      <c r="U2293" s="53" t="n"/>
      <c r="V2293" s="53" t="n"/>
      <c r="W2293" s="47" t="n"/>
      <c r="X2293" s="47" t="n"/>
      <c r="Y2293" s="47" t="n"/>
      <c r="Z2293" s="47" t="n"/>
      <c r="AA2293" s="47" t="n"/>
      <c r="AB2293" s="47" t="n"/>
      <c r="AC2293" s="47" t="n"/>
      <c r="AD2293" s="47" t="n"/>
      <c r="AE2293" s="47" t="n"/>
      <c r="AF2293" s="20">
        <f>IF(A2293="","",YEAR(EDATE(A2293,-3)))</f>
        <v/>
      </c>
      <c r="AG2293" s="20">
        <f>IF(OR(B2293="",'経歴簿'!$C$4=""),"",IF(B2293&amp;""='経歴簿'!$C$4&amp;"",MAX($AG$4:AG2292)+1,""))</f>
        <v/>
      </c>
      <c r="AH2293" s="20">
        <f>IF(A2293="",0,IF(AND(OR('CSV抽出'!$C$4="",A2293&gt;='CSV抽出'!$C$4),OR('CSV抽出'!$C$5="",A2293&lt;='CSV抽出'!$C$5),OR('CSV抽出'!$C$6="すべて",'CSV抽出'!$C$6="",D2293='CSV抽出'!$C$6),OR('CSV抽出'!$C$7="",B2293&amp;""='CSV抽出'!$C$7&amp;"")),1,0))</f>
        <v/>
      </c>
      <c r="AI2293" s="20">
        <f>IF(AH2293=1,SUM($AH$5:AH2293),"")</f>
        <v/>
      </c>
      <c r="AJ2293" s="20">
        <f>IF(OR(S2293="",'報告書'!$C$4=""),"",IF(S2293&amp;""='報告書'!$C$4&amp;"",COUNTIF($S$5:S2293,'報告書'!$C$4),""))</f>
        <v/>
      </c>
      <c r="AK2293" s="20" t="n"/>
      <c r="AL2293" s="47" t="n"/>
      <c r="AM2293" s="47" t="n"/>
      <c r="AN2293" s="53" t="n"/>
      <c r="AO2293" s="47" t="n"/>
      <c r="AP2293" s="47" t="n"/>
      <c r="AQ2293" s="47" t="n"/>
      <c r="AR2293" s="47" t="n"/>
      <c r="AS2293" s="47" t="n"/>
      <c r="AT2293" s="47" t="n"/>
      <c r="AU2293" s="47" t="n"/>
      <c r="AV2293" s="47" t="n"/>
      <c r="AW2293" s="52" t="n"/>
    </row>
    <row r="2294">
      <c r="A2294" s="48" t="n"/>
      <c r="B2294" s="52" t="n"/>
      <c r="C2294" s="47">
        <f>IF(B2294="","",IFERROR(INDEX('隊員マスタ'!$B$5:$B$204,MATCH(B2294&amp;"",'隊員マスタ'!$F$5:$F$204,0)),IF(AK2294="","番号なし",AK2294)))</f>
        <v/>
      </c>
      <c r="D2294" s="47" t="n"/>
      <c r="E2294" s="47" t="n"/>
      <c r="F2294" s="47" t="n"/>
      <c r="G2294" s="47" t="n"/>
      <c r="H2294" s="47" t="n"/>
      <c r="I2294" s="47" t="n"/>
      <c r="J2294" s="47" t="n"/>
      <c r="K2294" s="47" t="n"/>
      <c r="L2294" s="47" t="n"/>
      <c r="M2294" s="47" t="n"/>
      <c r="N2294" s="47" t="n"/>
      <c r="O2294" s="47" t="n"/>
      <c r="P2294" s="47" t="n"/>
      <c r="Q2294" s="47" t="n"/>
      <c r="R2294" s="47" t="n"/>
      <c r="S2294" s="47" t="n"/>
      <c r="T2294" s="47" t="n"/>
      <c r="U2294" s="53" t="n"/>
      <c r="V2294" s="53" t="n"/>
      <c r="W2294" s="47" t="n"/>
      <c r="X2294" s="47" t="n"/>
      <c r="Y2294" s="47" t="n"/>
      <c r="Z2294" s="47" t="n"/>
      <c r="AA2294" s="47" t="n"/>
      <c r="AB2294" s="47" t="n"/>
      <c r="AC2294" s="47" t="n"/>
      <c r="AD2294" s="47" t="n"/>
      <c r="AE2294" s="47" t="n"/>
      <c r="AF2294" s="20">
        <f>IF(A2294="","",YEAR(EDATE(A2294,-3)))</f>
        <v/>
      </c>
      <c r="AG2294" s="20">
        <f>IF(OR(B2294="",'経歴簿'!$C$4=""),"",IF(B2294&amp;""='経歴簿'!$C$4&amp;"",MAX($AG$4:AG2293)+1,""))</f>
        <v/>
      </c>
      <c r="AH2294" s="20">
        <f>IF(A2294="",0,IF(AND(OR('CSV抽出'!$C$4="",A2294&gt;='CSV抽出'!$C$4),OR('CSV抽出'!$C$5="",A2294&lt;='CSV抽出'!$C$5),OR('CSV抽出'!$C$6="すべて",'CSV抽出'!$C$6="",D2294='CSV抽出'!$C$6),OR('CSV抽出'!$C$7="",B2294&amp;""='CSV抽出'!$C$7&amp;"")),1,0))</f>
        <v/>
      </c>
      <c r="AI2294" s="20">
        <f>IF(AH2294=1,SUM($AH$5:AH2294),"")</f>
        <v/>
      </c>
      <c r="AJ2294" s="20">
        <f>IF(OR(S2294="",'報告書'!$C$4=""),"",IF(S2294&amp;""='報告書'!$C$4&amp;"",COUNTIF($S$5:S2294,'報告書'!$C$4),""))</f>
        <v/>
      </c>
      <c r="AK2294" s="20" t="n"/>
      <c r="AL2294" s="47" t="n"/>
      <c r="AM2294" s="47" t="n"/>
      <c r="AN2294" s="53" t="n"/>
      <c r="AO2294" s="47" t="n"/>
      <c r="AP2294" s="47" t="n"/>
      <c r="AQ2294" s="47" t="n"/>
      <c r="AR2294" s="47" t="n"/>
      <c r="AS2294" s="47" t="n"/>
      <c r="AT2294" s="47" t="n"/>
      <c r="AU2294" s="47" t="n"/>
      <c r="AV2294" s="47" t="n"/>
      <c r="AW2294" s="52" t="n"/>
    </row>
    <row r="2295">
      <c r="A2295" s="48" t="n"/>
      <c r="B2295" s="52" t="n"/>
      <c r="C2295" s="47">
        <f>IF(B2295="","",IFERROR(INDEX('隊員マスタ'!$B$5:$B$204,MATCH(B2295&amp;"",'隊員マスタ'!$F$5:$F$204,0)),IF(AK2295="","番号なし",AK2295)))</f>
        <v/>
      </c>
      <c r="D2295" s="47" t="n"/>
      <c r="E2295" s="47" t="n"/>
      <c r="F2295" s="47" t="n"/>
      <c r="G2295" s="47" t="n"/>
      <c r="H2295" s="47" t="n"/>
      <c r="I2295" s="47" t="n"/>
      <c r="J2295" s="47" t="n"/>
      <c r="K2295" s="47" t="n"/>
      <c r="L2295" s="47" t="n"/>
      <c r="M2295" s="47" t="n"/>
      <c r="N2295" s="47" t="n"/>
      <c r="O2295" s="47" t="n"/>
      <c r="P2295" s="47" t="n"/>
      <c r="Q2295" s="47" t="n"/>
      <c r="R2295" s="47" t="n"/>
      <c r="S2295" s="47" t="n"/>
      <c r="T2295" s="47" t="n"/>
      <c r="U2295" s="53" t="n"/>
      <c r="V2295" s="53" t="n"/>
      <c r="W2295" s="47" t="n"/>
      <c r="X2295" s="47" t="n"/>
      <c r="Y2295" s="47" t="n"/>
      <c r="Z2295" s="47" t="n"/>
      <c r="AA2295" s="47" t="n"/>
      <c r="AB2295" s="47" t="n"/>
      <c r="AC2295" s="47" t="n"/>
      <c r="AD2295" s="47" t="n"/>
      <c r="AE2295" s="47" t="n"/>
      <c r="AF2295" s="20">
        <f>IF(A2295="","",YEAR(EDATE(A2295,-3)))</f>
        <v/>
      </c>
      <c r="AG2295" s="20">
        <f>IF(OR(B2295="",'経歴簿'!$C$4=""),"",IF(B2295&amp;""='経歴簿'!$C$4&amp;"",MAX($AG$4:AG2294)+1,""))</f>
        <v/>
      </c>
      <c r="AH2295" s="20">
        <f>IF(A2295="",0,IF(AND(OR('CSV抽出'!$C$4="",A2295&gt;='CSV抽出'!$C$4),OR('CSV抽出'!$C$5="",A2295&lt;='CSV抽出'!$C$5),OR('CSV抽出'!$C$6="すべて",'CSV抽出'!$C$6="",D2295='CSV抽出'!$C$6),OR('CSV抽出'!$C$7="",B2295&amp;""='CSV抽出'!$C$7&amp;"")),1,0))</f>
        <v/>
      </c>
      <c r="AI2295" s="20">
        <f>IF(AH2295=1,SUM($AH$5:AH2295),"")</f>
        <v/>
      </c>
      <c r="AJ2295" s="20">
        <f>IF(OR(S2295="",'報告書'!$C$4=""),"",IF(S2295&amp;""='報告書'!$C$4&amp;"",COUNTIF($S$5:S2295,'報告書'!$C$4),""))</f>
        <v/>
      </c>
      <c r="AK2295" s="20" t="n"/>
      <c r="AL2295" s="47" t="n"/>
      <c r="AM2295" s="47" t="n"/>
      <c r="AN2295" s="53" t="n"/>
      <c r="AO2295" s="47" t="n"/>
      <c r="AP2295" s="47" t="n"/>
      <c r="AQ2295" s="47" t="n"/>
      <c r="AR2295" s="47" t="n"/>
      <c r="AS2295" s="47" t="n"/>
      <c r="AT2295" s="47" t="n"/>
      <c r="AU2295" s="47" t="n"/>
      <c r="AV2295" s="47" t="n"/>
      <c r="AW2295" s="52" t="n"/>
    </row>
    <row r="2296">
      <c r="A2296" s="48" t="n"/>
      <c r="B2296" s="52" t="n"/>
      <c r="C2296" s="47">
        <f>IF(B2296="","",IFERROR(INDEX('隊員マスタ'!$B$5:$B$204,MATCH(B2296&amp;"",'隊員マスタ'!$F$5:$F$204,0)),IF(AK2296="","番号なし",AK2296)))</f>
        <v/>
      </c>
      <c r="D2296" s="47" t="n"/>
      <c r="E2296" s="47" t="n"/>
      <c r="F2296" s="47" t="n"/>
      <c r="G2296" s="47" t="n"/>
      <c r="H2296" s="47" t="n"/>
      <c r="I2296" s="47" t="n"/>
      <c r="J2296" s="47" t="n"/>
      <c r="K2296" s="47" t="n"/>
      <c r="L2296" s="47" t="n"/>
      <c r="M2296" s="47" t="n"/>
      <c r="N2296" s="47" t="n"/>
      <c r="O2296" s="47" t="n"/>
      <c r="P2296" s="47" t="n"/>
      <c r="Q2296" s="47" t="n"/>
      <c r="R2296" s="47" t="n"/>
      <c r="S2296" s="47" t="n"/>
      <c r="T2296" s="47" t="n"/>
      <c r="U2296" s="53" t="n"/>
      <c r="V2296" s="53" t="n"/>
      <c r="W2296" s="47" t="n"/>
      <c r="X2296" s="47" t="n"/>
      <c r="Y2296" s="47" t="n"/>
      <c r="Z2296" s="47" t="n"/>
      <c r="AA2296" s="47" t="n"/>
      <c r="AB2296" s="47" t="n"/>
      <c r="AC2296" s="47" t="n"/>
      <c r="AD2296" s="47" t="n"/>
      <c r="AE2296" s="47" t="n"/>
      <c r="AF2296" s="20">
        <f>IF(A2296="","",YEAR(EDATE(A2296,-3)))</f>
        <v/>
      </c>
      <c r="AG2296" s="20">
        <f>IF(OR(B2296="",'経歴簿'!$C$4=""),"",IF(B2296&amp;""='経歴簿'!$C$4&amp;"",MAX($AG$4:AG2295)+1,""))</f>
        <v/>
      </c>
      <c r="AH2296" s="20">
        <f>IF(A2296="",0,IF(AND(OR('CSV抽出'!$C$4="",A2296&gt;='CSV抽出'!$C$4),OR('CSV抽出'!$C$5="",A2296&lt;='CSV抽出'!$C$5),OR('CSV抽出'!$C$6="すべて",'CSV抽出'!$C$6="",D2296='CSV抽出'!$C$6),OR('CSV抽出'!$C$7="",B2296&amp;""='CSV抽出'!$C$7&amp;"")),1,0))</f>
        <v/>
      </c>
      <c r="AI2296" s="20">
        <f>IF(AH2296=1,SUM($AH$5:AH2296),"")</f>
        <v/>
      </c>
      <c r="AJ2296" s="20">
        <f>IF(OR(S2296="",'報告書'!$C$4=""),"",IF(S2296&amp;""='報告書'!$C$4&amp;"",COUNTIF($S$5:S2296,'報告書'!$C$4),""))</f>
        <v/>
      </c>
      <c r="AK2296" s="20" t="n"/>
      <c r="AL2296" s="47" t="n"/>
      <c r="AM2296" s="47" t="n"/>
      <c r="AN2296" s="53" t="n"/>
      <c r="AO2296" s="47" t="n"/>
      <c r="AP2296" s="47" t="n"/>
      <c r="AQ2296" s="47" t="n"/>
      <c r="AR2296" s="47" t="n"/>
      <c r="AS2296" s="47" t="n"/>
      <c r="AT2296" s="47" t="n"/>
      <c r="AU2296" s="47" t="n"/>
      <c r="AV2296" s="47" t="n"/>
      <c r="AW2296" s="52" t="n"/>
    </row>
    <row r="2297">
      <c r="A2297" s="48" t="n"/>
      <c r="B2297" s="52" t="n"/>
      <c r="C2297" s="47">
        <f>IF(B2297="","",IFERROR(INDEX('隊員マスタ'!$B$5:$B$204,MATCH(B2297&amp;"",'隊員マスタ'!$F$5:$F$204,0)),IF(AK2297="","番号なし",AK2297)))</f>
        <v/>
      </c>
      <c r="D2297" s="47" t="n"/>
      <c r="E2297" s="47" t="n"/>
      <c r="F2297" s="47" t="n"/>
      <c r="G2297" s="47" t="n"/>
      <c r="H2297" s="47" t="n"/>
      <c r="I2297" s="47" t="n"/>
      <c r="J2297" s="47" t="n"/>
      <c r="K2297" s="47" t="n"/>
      <c r="L2297" s="47" t="n"/>
      <c r="M2297" s="47" t="n"/>
      <c r="N2297" s="47" t="n"/>
      <c r="O2297" s="47" t="n"/>
      <c r="P2297" s="47" t="n"/>
      <c r="Q2297" s="47" t="n"/>
      <c r="R2297" s="47" t="n"/>
      <c r="S2297" s="47" t="n"/>
      <c r="T2297" s="47" t="n"/>
      <c r="U2297" s="53" t="n"/>
      <c r="V2297" s="53" t="n"/>
      <c r="W2297" s="47" t="n"/>
      <c r="X2297" s="47" t="n"/>
      <c r="Y2297" s="47" t="n"/>
      <c r="Z2297" s="47" t="n"/>
      <c r="AA2297" s="47" t="n"/>
      <c r="AB2297" s="47" t="n"/>
      <c r="AC2297" s="47" t="n"/>
      <c r="AD2297" s="47" t="n"/>
      <c r="AE2297" s="47" t="n"/>
      <c r="AF2297" s="20">
        <f>IF(A2297="","",YEAR(EDATE(A2297,-3)))</f>
        <v/>
      </c>
      <c r="AG2297" s="20">
        <f>IF(OR(B2297="",'経歴簿'!$C$4=""),"",IF(B2297&amp;""='経歴簿'!$C$4&amp;"",MAX($AG$4:AG2296)+1,""))</f>
        <v/>
      </c>
      <c r="AH2297" s="20">
        <f>IF(A2297="",0,IF(AND(OR('CSV抽出'!$C$4="",A2297&gt;='CSV抽出'!$C$4),OR('CSV抽出'!$C$5="",A2297&lt;='CSV抽出'!$C$5),OR('CSV抽出'!$C$6="すべて",'CSV抽出'!$C$6="",D2297='CSV抽出'!$C$6),OR('CSV抽出'!$C$7="",B2297&amp;""='CSV抽出'!$C$7&amp;"")),1,0))</f>
        <v/>
      </c>
      <c r="AI2297" s="20">
        <f>IF(AH2297=1,SUM($AH$5:AH2297),"")</f>
        <v/>
      </c>
      <c r="AJ2297" s="20">
        <f>IF(OR(S2297="",'報告書'!$C$4=""),"",IF(S2297&amp;""='報告書'!$C$4&amp;"",COUNTIF($S$5:S2297,'報告書'!$C$4),""))</f>
        <v/>
      </c>
      <c r="AK2297" s="20" t="n"/>
      <c r="AL2297" s="47" t="n"/>
      <c r="AM2297" s="47" t="n"/>
      <c r="AN2297" s="53" t="n"/>
      <c r="AO2297" s="47" t="n"/>
      <c r="AP2297" s="47" t="n"/>
      <c r="AQ2297" s="47" t="n"/>
      <c r="AR2297" s="47" t="n"/>
      <c r="AS2297" s="47" t="n"/>
      <c r="AT2297" s="47" t="n"/>
      <c r="AU2297" s="47" t="n"/>
      <c r="AV2297" s="47" t="n"/>
      <c r="AW2297" s="52" t="n"/>
    </row>
    <row r="2298">
      <c r="A2298" s="48" t="n"/>
      <c r="B2298" s="52" t="n"/>
      <c r="C2298" s="47">
        <f>IF(B2298="","",IFERROR(INDEX('隊員マスタ'!$B$5:$B$204,MATCH(B2298&amp;"",'隊員マスタ'!$F$5:$F$204,0)),IF(AK2298="","番号なし",AK2298)))</f>
        <v/>
      </c>
      <c r="D2298" s="47" t="n"/>
      <c r="E2298" s="47" t="n"/>
      <c r="F2298" s="47" t="n"/>
      <c r="G2298" s="47" t="n"/>
      <c r="H2298" s="47" t="n"/>
      <c r="I2298" s="47" t="n"/>
      <c r="J2298" s="47" t="n"/>
      <c r="K2298" s="47" t="n"/>
      <c r="L2298" s="47" t="n"/>
      <c r="M2298" s="47" t="n"/>
      <c r="N2298" s="47" t="n"/>
      <c r="O2298" s="47" t="n"/>
      <c r="P2298" s="47" t="n"/>
      <c r="Q2298" s="47" t="n"/>
      <c r="R2298" s="47" t="n"/>
      <c r="S2298" s="47" t="n"/>
      <c r="T2298" s="47" t="n"/>
      <c r="U2298" s="53" t="n"/>
      <c r="V2298" s="53" t="n"/>
      <c r="W2298" s="47" t="n"/>
      <c r="X2298" s="47" t="n"/>
      <c r="Y2298" s="47" t="n"/>
      <c r="Z2298" s="47" t="n"/>
      <c r="AA2298" s="47" t="n"/>
      <c r="AB2298" s="47" t="n"/>
      <c r="AC2298" s="47" t="n"/>
      <c r="AD2298" s="47" t="n"/>
      <c r="AE2298" s="47" t="n"/>
      <c r="AF2298" s="20">
        <f>IF(A2298="","",YEAR(EDATE(A2298,-3)))</f>
        <v/>
      </c>
      <c r="AG2298" s="20">
        <f>IF(OR(B2298="",'経歴簿'!$C$4=""),"",IF(B2298&amp;""='経歴簿'!$C$4&amp;"",MAX($AG$4:AG2297)+1,""))</f>
        <v/>
      </c>
      <c r="AH2298" s="20">
        <f>IF(A2298="",0,IF(AND(OR('CSV抽出'!$C$4="",A2298&gt;='CSV抽出'!$C$4),OR('CSV抽出'!$C$5="",A2298&lt;='CSV抽出'!$C$5),OR('CSV抽出'!$C$6="すべて",'CSV抽出'!$C$6="",D2298='CSV抽出'!$C$6),OR('CSV抽出'!$C$7="",B2298&amp;""='CSV抽出'!$C$7&amp;"")),1,0))</f>
        <v/>
      </c>
      <c r="AI2298" s="20">
        <f>IF(AH2298=1,SUM($AH$5:AH2298),"")</f>
        <v/>
      </c>
      <c r="AJ2298" s="20">
        <f>IF(OR(S2298="",'報告書'!$C$4=""),"",IF(S2298&amp;""='報告書'!$C$4&amp;"",COUNTIF($S$5:S2298,'報告書'!$C$4),""))</f>
        <v/>
      </c>
      <c r="AK2298" s="20" t="n"/>
      <c r="AL2298" s="47" t="n"/>
      <c r="AM2298" s="47" t="n"/>
      <c r="AN2298" s="53" t="n"/>
      <c r="AO2298" s="47" t="n"/>
      <c r="AP2298" s="47" t="n"/>
      <c r="AQ2298" s="47" t="n"/>
      <c r="AR2298" s="47" t="n"/>
      <c r="AS2298" s="47" t="n"/>
      <c r="AT2298" s="47" t="n"/>
      <c r="AU2298" s="47" t="n"/>
      <c r="AV2298" s="47" t="n"/>
      <c r="AW2298" s="52" t="n"/>
    </row>
    <row r="2299">
      <c r="A2299" s="48" t="n"/>
      <c r="B2299" s="52" t="n"/>
      <c r="C2299" s="47">
        <f>IF(B2299="","",IFERROR(INDEX('隊員マスタ'!$B$5:$B$204,MATCH(B2299&amp;"",'隊員マスタ'!$F$5:$F$204,0)),IF(AK2299="","番号なし",AK2299)))</f>
        <v/>
      </c>
      <c r="D2299" s="47" t="n"/>
      <c r="E2299" s="47" t="n"/>
      <c r="F2299" s="47" t="n"/>
      <c r="G2299" s="47" t="n"/>
      <c r="H2299" s="47" t="n"/>
      <c r="I2299" s="47" t="n"/>
      <c r="J2299" s="47" t="n"/>
      <c r="K2299" s="47" t="n"/>
      <c r="L2299" s="47" t="n"/>
      <c r="M2299" s="47" t="n"/>
      <c r="N2299" s="47" t="n"/>
      <c r="O2299" s="47" t="n"/>
      <c r="P2299" s="47" t="n"/>
      <c r="Q2299" s="47" t="n"/>
      <c r="R2299" s="47" t="n"/>
      <c r="S2299" s="47" t="n"/>
      <c r="T2299" s="47" t="n"/>
      <c r="U2299" s="53" t="n"/>
      <c r="V2299" s="53" t="n"/>
      <c r="W2299" s="47" t="n"/>
      <c r="X2299" s="47" t="n"/>
      <c r="Y2299" s="47" t="n"/>
      <c r="Z2299" s="47" t="n"/>
      <c r="AA2299" s="47" t="n"/>
      <c r="AB2299" s="47" t="n"/>
      <c r="AC2299" s="47" t="n"/>
      <c r="AD2299" s="47" t="n"/>
      <c r="AE2299" s="47" t="n"/>
      <c r="AF2299" s="20">
        <f>IF(A2299="","",YEAR(EDATE(A2299,-3)))</f>
        <v/>
      </c>
      <c r="AG2299" s="20">
        <f>IF(OR(B2299="",'経歴簿'!$C$4=""),"",IF(B2299&amp;""='経歴簿'!$C$4&amp;"",MAX($AG$4:AG2298)+1,""))</f>
        <v/>
      </c>
      <c r="AH2299" s="20">
        <f>IF(A2299="",0,IF(AND(OR('CSV抽出'!$C$4="",A2299&gt;='CSV抽出'!$C$4),OR('CSV抽出'!$C$5="",A2299&lt;='CSV抽出'!$C$5),OR('CSV抽出'!$C$6="すべて",'CSV抽出'!$C$6="",D2299='CSV抽出'!$C$6),OR('CSV抽出'!$C$7="",B2299&amp;""='CSV抽出'!$C$7&amp;"")),1,0))</f>
        <v/>
      </c>
      <c r="AI2299" s="20">
        <f>IF(AH2299=1,SUM($AH$5:AH2299),"")</f>
        <v/>
      </c>
      <c r="AJ2299" s="20">
        <f>IF(OR(S2299="",'報告書'!$C$4=""),"",IF(S2299&amp;""='報告書'!$C$4&amp;"",COUNTIF($S$5:S2299,'報告書'!$C$4),""))</f>
        <v/>
      </c>
      <c r="AK2299" s="20" t="n"/>
      <c r="AL2299" s="47" t="n"/>
      <c r="AM2299" s="47" t="n"/>
      <c r="AN2299" s="53" t="n"/>
      <c r="AO2299" s="47" t="n"/>
      <c r="AP2299" s="47" t="n"/>
      <c r="AQ2299" s="47" t="n"/>
      <c r="AR2299" s="47" t="n"/>
      <c r="AS2299" s="47" t="n"/>
      <c r="AT2299" s="47" t="n"/>
      <c r="AU2299" s="47" t="n"/>
      <c r="AV2299" s="47" t="n"/>
      <c r="AW2299" s="52" t="n"/>
    </row>
    <row r="2300">
      <c r="A2300" s="48" t="n"/>
      <c r="B2300" s="52" t="n"/>
      <c r="C2300" s="47">
        <f>IF(B2300="","",IFERROR(INDEX('隊員マスタ'!$B$5:$B$204,MATCH(B2300&amp;"",'隊員マスタ'!$F$5:$F$204,0)),IF(AK2300="","番号なし",AK2300)))</f>
        <v/>
      </c>
      <c r="D2300" s="47" t="n"/>
      <c r="E2300" s="47" t="n"/>
      <c r="F2300" s="47" t="n"/>
      <c r="G2300" s="47" t="n"/>
      <c r="H2300" s="47" t="n"/>
      <c r="I2300" s="47" t="n"/>
      <c r="J2300" s="47" t="n"/>
      <c r="K2300" s="47" t="n"/>
      <c r="L2300" s="47" t="n"/>
      <c r="M2300" s="47" t="n"/>
      <c r="N2300" s="47" t="n"/>
      <c r="O2300" s="47" t="n"/>
      <c r="P2300" s="47" t="n"/>
      <c r="Q2300" s="47" t="n"/>
      <c r="R2300" s="47" t="n"/>
      <c r="S2300" s="47" t="n"/>
      <c r="T2300" s="47" t="n"/>
      <c r="U2300" s="53" t="n"/>
      <c r="V2300" s="53" t="n"/>
      <c r="W2300" s="47" t="n"/>
      <c r="X2300" s="47" t="n"/>
      <c r="Y2300" s="47" t="n"/>
      <c r="Z2300" s="47" t="n"/>
      <c r="AA2300" s="47" t="n"/>
      <c r="AB2300" s="47" t="n"/>
      <c r="AC2300" s="47" t="n"/>
      <c r="AD2300" s="47" t="n"/>
      <c r="AE2300" s="47" t="n"/>
      <c r="AF2300" s="20">
        <f>IF(A2300="","",YEAR(EDATE(A2300,-3)))</f>
        <v/>
      </c>
      <c r="AG2300" s="20">
        <f>IF(OR(B2300="",'経歴簿'!$C$4=""),"",IF(B2300&amp;""='経歴簿'!$C$4&amp;"",MAX($AG$4:AG2299)+1,""))</f>
        <v/>
      </c>
      <c r="AH2300" s="20">
        <f>IF(A2300="",0,IF(AND(OR('CSV抽出'!$C$4="",A2300&gt;='CSV抽出'!$C$4),OR('CSV抽出'!$C$5="",A2300&lt;='CSV抽出'!$C$5),OR('CSV抽出'!$C$6="すべて",'CSV抽出'!$C$6="",D2300='CSV抽出'!$C$6),OR('CSV抽出'!$C$7="",B2300&amp;""='CSV抽出'!$C$7&amp;"")),1,0))</f>
        <v/>
      </c>
      <c r="AI2300" s="20">
        <f>IF(AH2300=1,SUM($AH$5:AH2300),"")</f>
        <v/>
      </c>
      <c r="AJ2300" s="20">
        <f>IF(OR(S2300="",'報告書'!$C$4=""),"",IF(S2300&amp;""='報告書'!$C$4&amp;"",COUNTIF($S$5:S2300,'報告書'!$C$4),""))</f>
        <v/>
      </c>
      <c r="AK2300" s="20" t="n"/>
      <c r="AL2300" s="47" t="n"/>
      <c r="AM2300" s="47" t="n"/>
      <c r="AN2300" s="53" t="n"/>
      <c r="AO2300" s="47" t="n"/>
      <c r="AP2300" s="47" t="n"/>
      <c r="AQ2300" s="47" t="n"/>
      <c r="AR2300" s="47" t="n"/>
      <c r="AS2300" s="47" t="n"/>
      <c r="AT2300" s="47" t="n"/>
      <c r="AU2300" s="47" t="n"/>
      <c r="AV2300" s="47" t="n"/>
      <c r="AW2300" s="52" t="n"/>
    </row>
    <row r="2301">
      <c r="A2301" s="48" t="n"/>
      <c r="B2301" s="52" t="n"/>
      <c r="C2301" s="47">
        <f>IF(B2301="","",IFERROR(INDEX('隊員マスタ'!$B$5:$B$204,MATCH(B2301&amp;"",'隊員マスタ'!$F$5:$F$204,0)),IF(AK2301="","番号なし",AK2301)))</f>
        <v/>
      </c>
      <c r="D2301" s="47" t="n"/>
      <c r="E2301" s="47" t="n"/>
      <c r="F2301" s="47" t="n"/>
      <c r="G2301" s="47" t="n"/>
      <c r="H2301" s="47" t="n"/>
      <c r="I2301" s="47" t="n"/>
      <c r="J2301" s="47" t="n"/>
      <c r="K2301" s="47" t="n"/>
      <c r="L2301" s="47" t="n"/>
      <c r="M2301" s="47" t="n"/>
      <c r="N2301" s="47" t="n"/>
      <c r="O2301" s="47" t="n"/>
      <c r="P2301" s="47" t="n"/>
      <c r="Q2301" s="47" t="n"/>
      <c r="R2301" s="47" t="n"/>
      <c r="S2301" s="47" t="n"/>
      <c r="T2301" s="47" t="n"/>
      <c r="U2301" s="53" t="n"/>
      <c r="V2301" s="53" t="n"/>
      <c r="W2301" s="47" t="n"/>
      <c r="X2301" s="47" t="n"/>
      <c r="Y2301" s="47" t="n"/>
      <c r="Z2301" s="47" t="n"/>
      <c r="AA2301" s="47" t="n"/>
      <c r="AB2301" s="47" t="n"/>
      <c r="AC2301" s="47" t="n"/>
      <c r="AD2301" s="47" t="n"/>
      <c r="AE2301" s="47" t="n"/>
      <c r="AF2301" s="20">
        <f>IF(A2301="","",YEAR(EDATE(A2301,-3)))</f>
        <v/>
      </c>
      <c r="AG2301" s="20">
        <f>IF(OR(B2301="",'経歴簿'!$C$4=""),"",IF(B2301&amp;""='経歴簿'!$C$4&amp;"",MAX($AG$4:AG2300)+1,""))</f>
        <v/>
      </c>
      <c r="AH2301" s="20">
        <f>IF(A2301="",0,IF(AND(OR('CSV抽出'!$C$4="",A2301&gt;='CSV抽出'!$C$4),OR('CSV抽出'!$C$5="",A2301&lt;='CSV抽出'!$C$5),OR('CSV抽出'!$C$6="すべて",'CSV抽出'!$C$6="",D2301='CSV抽出'!$C$6),OR('CSV抽出'!$C$7="",B2301&amp;""='CSV抽出'!$C$7&amp;"")),1,0))</f>
        <v/>
      </c>
      <c r="AI2301" s="20">
        <f>IF(AH2301=1,SUM($AH$5:AH2301),"")</f>
        <v/>
      </c>
      <c r="AJ2301" s="20">
        <f>IF(OR(S2301="",'報告書'!$C$4=""),"",IF(S2301&amp;""='報告書'!$C$4&amp;"",COUNTIF($S$5:S2301,'報告書'!$C$4),""))</f>
        <v/>
      </c>
      <c r="AK2301" s="20" t="n"/>
      <c r="AL2301" s="47" t="n"/>
      <c r="AM2301" s="47" t="n"/>
      <c r="AN2301" s="53" t="n"/>
      <c r="AO2301" s="47" t="n"/>
      <c r="AP2301" s="47" t="n"/>
      <c r="AQ2301" s="47" t="n"/>
      <c r="AR2301" s="47" t="n"/>
      <c r="AS2301" s="47" t="n"/>
      <c r="AT2301" s="47" t="n"/>
      <c r="AU2301" s="47" t="n"/>
      <c r="AV2301" s="47" t="n"/>
      <c r="AW2301" s="52" t="n"/>
    </row>
    <row r="2302">
      <c r="A2302" s="48" t="n"/>
      <c r="B2302" s="52" t="n"/>
      <c r="C2302" s="47">
        <f>IF(B2302="","",IFERROR(INDEX('隊員マスタ'!$B$5:$B$204,MATCH(B2302&amp;"",'隊員マスタ'!$F$5:$F$204,0)),IF(AK2302="","番号なし",AK2302)))</f>
        <v/>
      </c>
      <c r="D2302" s="47" t="n"/>
      <c r="E2302" s="47" t="n"/>
      <c r="F2302" s="47" t="n"/>
      <c r="G2302" s="47" t="n"/>
      <c r="H2302" s="47" t="n"/>
      <c r="I2302" s="47" t="n"/>
      <c r="J2302" s="47" t="n"/>
      <c r="K2302" s="47" t="n"/>
      <c r="L2302" s="47" t="n"/>
      <c r="M2302" s="47" t="n"/>
      <c r="N2302" s="47" t="n"/>
      <c r="O2302" s="47" t="n"/>
      <c r="P2302" s="47" t="n"/>
      <c r="Q2302" s="47" t="n"/>
      <c r="R2302" s="47" t="n"/>
      <c r="S2302" s="47" t="n"/>
      <c r="T2302" s="47" t="n"/>
      <c r="U2302" s="53" t="n"/>
      <c r="V2302" s="53" t="n"/>
      <c r="W2302" s="47" t="n"/>
      <c r="X2302" s="47" t="n"/>
      <c r="Y2302" s="47" t="n"/>
      <c r="Z2302" s="47" t="n"/>
      <c r="AA2302" s="47" t="n"/>
      <c r="AB2302" s="47" t="n"/>
      <c r="AC2302" s="47" t="n"/>
      <c r="AD2302" s="47" t="n"/>
      <c r="AE2302" s="47" t="n"/>
      <c r="AF2302" s="20">
        <f>IF(A2302="","",YEAR(EDATE(A2302,-3)))</f>
        <v/>
      </c>
      <c r="AG2302" s="20">
        <f>IF(OR(B2302="",'経歴簿'!$C$4=""),"",IF(B2302&amp;""='経歴簿'!$C$4&amp;"",MAX($AG$4:AG2301)+1,""))</f>
        <v/>
      </c>
      <c r="AH2302" s="20">
        <f>IF(A2302="",0,IF(AND(OR('CSV抽出'!$C$4="",A2302&gt;='CSV抽出'!$C$4),OR('CSV抽出'!$C$5="",A2302&lt;='CSV抽出'!$C$5),OR('CSV抽出'!$C$6="すべて",'CSV抽出'!$C$6="",D2302='CSV抽出'!$C$6),OR('CSV抽出'!$C$7="",B2302&amp;""='CSV抽出'!$C$7&amp;"")),1,0))</f>
        <v/>
      </c>
      <c r="AI2302" s="20">
        <f>IF(AH2302=1,SUM($AH$5:AH2302),"")</f>
        <v/>
      </c>
      <c r="AJ2302" s="20">
        <f>IF(OR(S2302="",'報告書'!$C$4=""),"",IF(S2302&amp;""='報告書'!$C$4&amp;"",COUNTIF($S$5:S2302,'報告書'!$C$4),""))</f>
        <v/>
      </c>
      <c r="AK2302" s="20" t="n"/>
      <c r="AL2302" s="47" t="n"/>
      <c r="AM2302" s="47" t="n"/>
      <c r="AN2302" s="53" t="n"/>
      <c r="AO2302" s="47" t="n"/>
      <c r="AP2302" s="47" t="n"/>
      <c r="AQ2302" s="47" t="n"/>
      <c r="AR2302" s="47" t="n"/>
      <c r="AS2302" s="47" t="n"/>
      <c r="AT2302" s="47" t="n"/>
      <c r="AU2302" s="47" t="n"/>
      <c r="AV2302" s="47" t="n"/>
      <c r="AW2302" s="52" t="n"/>
    </row>
    <row r="2303">
      <c r="A2303" s="48" t="n"/>
      <c r="B2303" s="52" t="n"/>
      <c r="C2303" s="47">
        <f>IF(B2303="","",IFERROR(INDEX('隊員マスタ'!$B$5:$B$204,MATCH(B2303&amp;"",'隊員マスタ'!$F$5:$F$204,0)),IF(AK2303="","番号なし",AK2303)))</f>
        <v/>
      </c>
      <c r="D2303" s="47" t="n"/>
      <c r="E2303" s="47" t="n"/>
      <c r="F2303" s="47" t="n"/>
      <c r="G2303" s="47" t="n"/>
      <c r="H2303" s="47" t="n"/>
      <c r="I2303" s="47" t="n"/>
      <c r="J2303" s="47" t="n"/>
      <c r="K2303" s="47" t="n"/>
      <c r="L2303" s="47" t="n"/>
      <c r="M2303" s="47" t="n"/>
      <c r="N2303" s="47" t="n"/>
      <c r="O2303" s="47" t="n"/>
      <c r="P2303" s="47" t="n"/>
      <c r="Q2303" s="47" t="n"/>
      <c r="R2303" s="47" t="n"/>
      <c r="S2303" s="47" t="n"/>
      <c r="T2303" s="47" t="n"/>
      <c r="U2303" s="53" t="n"/>
      <c r="V2303" s="53" t="n"/>
      <c r="W2303" s="47" t="n"/>
      <c r="X2303" s="47" t="n"/>
      <c r="Y2303" s="47" t="n"/>
      <c r="Z2303" s="47" t="n"/>
      <c r="AA2303" s="47" t="n"/>
      <c r="AB2303" s="47" t="n"/>
      <c r="AC2303" s="47" t="n"/>
      <c r="AD2303" s="47" t="n"/>
      <c r="AE2303" s="47" t="n"/>
      <c r="AF2303" s="20">
        <f>IF(A2303="","",YEAR(EDATE(A2303,-3)))</f>
        <v/>
      </c>
      <c r="AG2303" s="20">
        <f>IF(OR(B2303="",'経歴簿'!$C$4=""),"",IF(B2303&amp;""='経歴簿'!$C$4&amp;"",MAX($AG$4:AG2302)+1,""))</f>
        <v/>
      </c>
      <c r="AH2303" s="20">
        <f>IF(A2303="",0,IF(AND(OR('CSV抽出'!$C$4="",A2303&gt;='CSV抽出'!$C$4),OR('CSV抽出'!$C$5="",A2303&lt;='CSV抽出'!$C$5),OR('CSV抽出'!$C$6="すべて",'CSV抽出'!$C$6="",D2303='CSV抽出'!$C$6),OR('CSV抽出'!$C$7="",B2303&amp;""='CSV抽出'!$C$7&amp;"")),1,0))</f>
        <v/>
      </c>
      <c r="AI2303" s="20">
        <f>IF(AH2303=1,SUM($AH$5:AH2303),"")</f>
        <v/>
      </c>
      <c r="AJ2303" s="20">
        <f>IF(OR(S2303="",'報告書'!$C$4=""),"",IF(S2303&amp;""='報告書'!$C$4&amp;"",COUNTIF($S$5:S2303,'報告書'!$C$4),""))</f>
        <v/>
      </c>
      <c r="AK2303" s="20" t="n"/>
      <c r="AL2303" s="47" t="n"/>
      <c r="AM2303" s="47" t="n"/>
      <c r="AN2303" s="53" t="n"/>
      <c r="AO2303" s="47" t="n"/>
      <c r="AP2303" s="47" t="n"/>
      <c r="AQ2303" s="47" t="n"/>
      <c r="AR2303" s="47" t="n"/>
      <c r="AS2303" s="47" t="n"/>
      <c r="AT2303" s="47" t="n"/>
      <c r="AU2303" s="47" t="n"/>
      <c r="AV2303" s="47" t="n"/>
      <c r="AW2303" s="52" t="n"/>
    </row>
    <row r="2304">
      <c r="A2304" s="48" t="n"/>
      <c r="B2304" s="52" t="n"/>
      <c r="C2304" s="47">
        <f>IF(B2304="","",IFERROR(INDEX('隊員マスタ'!$B$5:$B$204,MATCH(B2304&amp;"",'隊員マスタ'!$F$5:$F$204,0)),IF(AK2304="","番号なし",AK2304)))</f>
        <v/>
      </c>
      <c r="D2304" s="47" t="n"/>
      <c r="E2304" s="47" t="n"/>
      <c r="F2304" s="47" t="n"/>
      <c r="G2304" s="47" t="n"/>
      <c r="H2304" s="47" t="n"/>
      <c r="I2304" s="47" t="n"/>
      <c r="J2304" s="47" t="n"/>
      <c r="K2304" s="47" t="n"/>
      <c r="L2304" s="47" t="n"/>
      <c r="M2304" s="47" t="n"/>
      <c r="N2304" s="47" t="n"/>
      <c r="O2304" s="47" t="n"/>
      <c r="P2304" s="47" t="n"/>
      <c r="Q2304" s="47" t="n"/>
      <c r="R2304" s="47" t="n"/>
      <c r="S2304" s="47" t="n"/>
      <c r="T2304" s="47" t="n"/>
      <c r="U2304" s="53" t="n"/>
      <c r="V2304" s="53" t="n"/>
      <c r="W2304" s="47" t="n"/>
      <c r="X2304" s="47" t="n"/>
      <c r="Y2304" s="47" t="n"/>
      <c r="Z2304" s="47" t="n"/>
      <c r="AA2304" s="47" t="n"/>
      <c r="AB2304" s="47" t="n"/>
      <c r="AC2304" s="47" t="n"/>
      <c r="AD2304" s="47" t="n"/>
      <c r="AE2304" s="47" t="n"/>
      <c r="AF2304" s="20">
        <f>IF(A2304="","",YEAR(EDATE(A2304,-3)))</f>
        <v/>
      </c>
      <c r="AG2304" s="20">
        <f>IF(OR(B2304="",'経歴簿'!$C$4=""),"",IF(B2304&amp;""='経歴簿'!$C$4&amp;"",MAX($AG$4:AG2303)+1,""))</f>
        <v/>
      </c>
      <c r="AH2304" s="20">
        <f>IF(A2304="",0,IF(AND(OR('CSV抽出'!$C$4="",A2304&gt;='CSV抽出'!$C$4),OR('CSV抽出'!$C$5="",A2304&lt;='CSV抽出'!$C$5),OR('CSV抽出'!$C$6="すべて",'CSV抽出'!$C$6="",D2304='CSV抽出'!$C$6),OR('CSV抽出'!$C$7="",B2304&amp;""='CSV抽出'!$C$7&amp;"")),1,0))</f>
        <v/>
      </c>
      <c r="AI2304" s="20">
        <f>IF(AH2304=1,SUM($AH$5:AH2304),"")</f>
        <v/>
      </c>
      <c r="AJ2304" s="20">
        <f>IF(OR(S2304="",'報告書'!$C$4=""),"",IF(S2304&amp;""='報告書'!$C$4&amp;"",COUNTIF($S$5:S2304,'報告書'!$C$4),""))</f>
        <v/>
      </c>
      <c r="AK2304" s="20" t="n"/>
      <c r="AL2304" s="47" t="n"/>
      <c r="AM2304" s="47" t="n"/>
      <c r="AN2304" s="53" t="n"/>
      <c r="AO2304" s="47" t="n"/>
      <c r="AP2304" s="47" t="n"/>
      <c r="AQ2304" s="47" t="n"/>
      <c r="AR2304" s="47" t="n"/>
      <c r="AS2304" s="47" t="n"/>
      <c r="AT2304" s="47" t="n"/>
      <c r="AU2304" s="47" t="n"/>
      <c r="AV2304" s="47" t="n"/>
      <c r="AW2304" s="52" t="n"/>
    </row>
    <row r="2305">
      <c r="A2305" s="48" t="n"/>
      <c r="B2305" s="52" t="n"/>
      <c r="C2305" s="47">
        <f>IF(B2305="","",IFERROR(INDEX('隊員マスタ'!$B$5:$B$204,MATCH(B2305&amp;"",'隊員マスタ'!$F$5:$F$204,0)),IF(AK2305="","番号なし",AK2305)))</f>
        <v/>
      </c>
      <c r="D2305" s="47" t="n"/>
      <c r="E2305" s="47" t="n"/>
      <c r="F2305" s="47" t="n"/>
      <c r="G2305" s="47" t="n"/>
      <c r="H2305" s="47" t="n"/>
      <c r="I2305" s="47" t="n"/>
      <c r="J2305" s="47" t="n"/>
      <c r="K2305" s="47" t="n"/>
      <c r="L2305" s="47" t="n"/>
      <c r="M2305" s="47" t="n"/>
      <c r="N2305" s="47" t="n"/>
      <c r="O2305" s="47" t="n"/>
      <c r="P2305" s="47" t="n"/>
      <c r="Q2305" s="47" t="n"/>
      <c r="R2305" s="47" t="n"/>
      <c r="S2305" s="47" t="n"/>
      <c r="T2305" s="47" t="n"/>
      <c r="U2305" s="53" t="n"/>
      <c r="V2305" s="53" t="n"/>
      <c r="W2305" s="47" t="n"/>
      <c r="X2305" s="47" t="n"/>
      <c r="Y2305" s="47" t="n"/>
      <c r="Z2305" s="47" t="n"/>
      <c r="AA2305" s="47" t="n"/>
      <c r="AB2305" s="47" t="n"/>
      <c r="AC2305" s="47" t="n"/>
      <c r="AD2305" s="47" t="n"/>
      <c r="AE2305" s="47" t="n"/>
      <c r="AF2305" s="20">
        <f>IF(A2305="","",YEAR(EDATE(A2305,-3)))</f>
        <v/>
      </c>
      <c r="AG2305" s="20">
        <f>IF(OR(B2305="",'経歴簿'!$C$4=""),"",IF(B2305&amp;""='経歴簿'!$C$4&amp;"",MAX($AG$4:AG2304)+1,""))</f>
        <v/>
      </c>
      <c r="AH2305" s="20">
        <f>IF(A2305="",0,IF(AND(OR('CSV抽出'!$C$4="",A2305&gt;='CSV抽出'!$C$4),OR('CSV抽出'!$C$5="",A2305&lt;='CSV抽出'!$C$5),OR('CSV抽出'!$C$6="すべて",'CSV抽出'!$C$6="",D2305='CSV抽出'!$C$6),OR('CSV抽出'!$C$7="",B2305&amp;""='CSV抽出'!$C$7&amp;"")),1,0))</f>
        <v/>
      </c>
      <c r="AI2305" s="20">
        <f>IF(AH2305=1,SUM($AH$5:AH2305),"")</f>
        <v/>
      </c>
      <c r="AJ2305" s="20">
        <f>IF(OR(S2305="",'報告書'!$C$4=""),"",IF(S2305&amp;""='報告書'!$C$4&amp;"",COUNTIF($S$5:S2305,'報告書'!$C$4),""))</f>
        <v/>
      </c>
      <c r="AK2305" s="20" t="n"/>
      <c r="AL2305" s="47" t="n"/>
      <c r="AM2305" s="47" t="n"/>
      <c r="AN2305" s="53" t="n"/>
      <c r="AO2305" s="47" t="n"/>
      <c r="AP2305" s="47" t="n"/>
      <c r="AQ2305" s="47" t="n"/>
      <c r="AR2305" s="47" t="n"/>
      <c r="AS2305" s="47" t="n"/>
      <c r="AT2305" s="47" t="n"/>
      <c r="AU2305" s="47" t="n"/>
      <c r="AV2305" s="47" t="n"/>
      <c r="AW2305" s="52" t="n"/>
    </row>
    <row r="2306">
      <c r="A2306" s="48" t="n"/>
      <c r="B2306" s="52" t="n"/>
      <c r="C2306" s="47">
        <f>IF(B2306="","",IFERROR(INDEX('隊員マスタ'!$B$5:$B$204,MATCH(B2306&amp;"",'隊員マスタ'!$F$5:$F$204,0)),IF(AK2306="","番号なし",AK2306)))</f>
        <v/>
      </c>
      <c r="D2306" s="47" t="n"/>
      <c r="E2306" s="47" t="n"/>
      <c r="F2306" s="47" t="n"/>
      <c r="G2306" s="47" t="n"/>
      <c r="H2306" s="47" t="n"/>
      <c r="I2306" s="47" t="n"/>
      <c r="J2306" s="47" t="n"/>
      <c r="K2306" s="47" t="n"/>
      <c r="L2306" s="47" t="n"/>
      <c r="M2306" s="47" t="n"/>
      <c r="N2306" s="47" t="n"/>
      <c r="O2306" s="47" t="n"/>
      <c r="P2306" s="47" t="n"/>
      <c r="Q2306" s="47" t="n"/>
      <c r="R2306" s="47" t="n"/>
      <c r="S2306" s="47" t="n"/>
      <c r="T2306" s="47" t="n"/>
      <c r="U2306" s="53" t="n"/>
      <c r="V2306" s="53" t="n"/>
      <c r="W2306" s="47" t="n"/>
      <c r="X2306" s="47" t="n"/>
      <c r="Y2306" s="47" t="n"/>
      <c r="Z2306" s="47" t="n"/>
      <c r="AA2306" s="47" t="n"/>
      <c r="AB2306" s="47" t="n"/>
      <c r="AC2306" s="47" t="n"/>
      <c r="AD2306" s="47" t="n"/>
      <c r="AE2306" s="47" t="n"/>
      <c r="AF2306" s="20">
        <f>IF(A2306="","",YEAR(EDATE(A2306,-3)))</f>
        <v/>
      </c>
      <c r="AG2306" s="20">
        <f>IF(OR(B2306="",'経歴簿'!$C$4=""),"",IF(B2306&amp;""='経歴簿'!$C$4&amp;"",MAX($AG$4:AG2305)+1,""))</f>
        <v/>
      </c>
      <c r="AH2306" s="20">
        <f>IF(A2306="",0,IF(AND(OR('CSV抽出'!$C$4="",A2306&gt;='CSV抽出'!$C$4),OR('CSV抽出'!$C$5="",A2306&lt;='CSV抽出'!$C$5),OR('CSV抽出'!$C$6="すべて",'CSV抽出'!$C$6="",D2306='CSV抽出'!$C$6),OR('CSV抽出'!$C$7="",B2306&amp;""='CSV抽出'!$C$7&amp;"")),1,0))</f>
        <v/>
      </c>
      <c r="AI2306" s="20">
        <f>IF(AH2306=1,SUM($AH$5:AH2306),"")</f>
        <v/>
      </c>
      <c r="AJ2306" s="20">
        <f>IF(OR(S2306="",'報告書'!$C$4=""),"",IF(S2306&amp;""='報告書'!$C$4&amp;"",COUNTIF($S$5:S2306,'報告書'!$C$4),""))</f>
        <v/>
      </c>
      <c r="AK2306" s="20" t="n"/>
      <c r="AL2306" s="47" t="n"/>
      <c r="AM2306" s="47" t="n"/>
      <c r="AN2306" s="53" t="n"/>
      <c r="AO2306" s="47" t="n"/>
      <c r="AP2306" s="47" t="n"/>
      <c r="AQ2306" s="47" t="n"/>
      <c r="AR2306" s="47" t="n"/>
      <c r="AS2306" s="47" t="n"/>
      <c r="AT2306" s="47" t="n"/>
      <c r="AU2306" s="47" t="n"/>
      <c r="AV2306" s="47" t="n"/>
      <c r="AW2306" s="52" t="n"/>
    </row>
    <row r="2307">
      <c r="A2307" s="48" t="n"/>
      <c r="B2307" s="52" t="n"/>
      <c r="C2307" s="47">
        <f>IF(B2307="","",IFERROR(INDEX('隊員マスタ'!$B$5:$B$204,MATCH(B2307&amp;"",'隊員マスタ'!$F$5:$F$204,0)),IF(AK2307="","番号なし",AK2307)))</f>
        <v/>
      </c>
      <c r="D2307" s="47" t="n"/>
      <c r="E2307" s="47" t="n"/>
      <c r="F2307" s="47" t="n"/>
      <c r="G2307" s="47" t="n"/>
      <c r="H2307" s="47" t="n"/>
      <c r="I2307" s="47" t="n"/>
      <c r="J2307" s="47" t="n"/>
      <c r="K2307" s="47" t="n"/>
      <c r="L2307" s="47" t="n"/>
      <c r="M2307" s="47" t="n"/>
      <c r="N2307" s="47" t="n"/>
      <c r="O2307" s="47" t="n"/>
      <c r="P2307" s="47" t="n"/>
      <c r="Q2307" s="47" t="n"/>
      <c r="R2307" s="47" t="n"/>
      <c r="S2307" s="47" t="n"/>
      <c r="T2307" s="47" t="n"/>
      <c r="U2307" s="53" t="n"/>
      <c r="V2307" s="53" t="n"/>
      <c r="W2307" s="47" t="n"/>
      <c r="X2307" s="47" t="n"/>
      <c r="Y2307" s="47" t="n"/>
      <c r="Z2307" s="47" t="n"/>
      <c r="AA2307" s="47" t="n"/>
      <c r="AB2307" s="47" t="n"/>
      <c r="AC2307" s="47" t="n"/>
      <c r="AD2307" s="47" t="n"/>
      <c r="AE2307" s="47" t="n"/>
      <c r="AF2307" s="20">
        <f>IF(A2307="","",YEAR(EDATE(A2307,-3)))</f>
        <v/>
      </c>
      <c r="AG2307" s="20">
        <f>IF(OR(B2307="",'経歴簿'!$C$4=""),"",IF(B2307&amp;""='経歴簿'!$C$4&amp;"",MAX($AG$4:AG2306)+1,""))</f>
        <v/>
      </c>
      <c r="AH2307" s="20">
        <f>IF(A2307="",0,IF(AND(OR('CSV抽出'!$C$4="",A2307&gt;='CSV抽出'!$C$4),OR('CSV抽出'!$C$5="",A2307&lt;='CSV抽出'!$C$5),OR('CSV抽出'!$C$6="すべて",'CSV抽出'!$C$6="",D2307='CSV抽出'!$C$6),OR('CSV抽出'!$C$7="",B2307&amp;""='CSV抽出'!$C$7&amp;"")),1,0))</f>
        <v/>
      </c>
      <c r="AI2307" s="20">
        <f>IF(AH2307=1,SUM($AH$5:AH2307),"")</f>
        <v/>
      </c>
      <c r="AJ2307" s="20">
        <f>IF(OR(S2307="",'報告書'!$C$4=""),"",IF(S2307&amp;""='報告書'!$C$4&amp;"",COUNTIF($S$5:S2307,'報告書'!$C$4),""))</f>
        <v/>
      </c>
      <c r="AK2307" s="20" t="n"/>
      <c r="AL2307" s="47" t="n"/>
      <c r="AM2307" s="47" t="n"/>
      <c r="AN2307" s="53" t="n"/>
      <c r="AO2307" s="47" t="n"/>
      <c r="AP2307" s="47" t="n"/>
      <c r="AQ2307" s="47" t="n"/>
      <c r="AR2307" s="47" t="n"/>
      <c r="AS2307" s="47" t="n"/>
      <c r="AT2307" s="47" t="n"/>
      <c r="AU2307" s="47" t="n"/>
      <c r="AV2307" s="47" t="n"/>
      <c r="AW2307" s="52" t="n"/>
    </row>
    <row r="2308">
      <c r="A2308" s="48" t="n"/>
      <c r="B2308" s="52" t="n"/>
      <c r="C2308" s="47">
        <f>IF(B2308="","",IFERROR(INDEX('隊員マスタ'!$B$5:$B$204,MATCH(B2308&amp;"",'隊員マスタ'!$F$5:$F$204,0)),IF(AK2308="","番号なし",AK2308)))</f>
        <v/>
      </c>
      <c r="D2308" s="47" t="n"/>
      <c r="E2308" s="47" t="n"/>
      <c r="F2308" s="47" t="n"/>
      <c r="G2308" s="47" t="n"/>
      <c r="H2308" s="47" t="n"/>
      <c r="I2308" s="47" t="n"/>
      <c r="J2308" s="47" t="n"/>
      <c r="K2308" s="47" t="n"/>
      <c r="L2308" s="47" t="n"/>
      <c r="M2308" s="47" t="n"/>
      <c r="N2308" s="47" t="n"/>
      <c r="O2308" s="47" t="n"/>
      <c r="P2308" s="47" t="n"/>
      <c r="Q2308" s="47" t="n"/>
      <c r="R2308" s="47" t="n"/>
      <c r="S2308" s="47" t="n"/>
      <c r="T2308" s="47" t="n"/>
      <c r="U2308" s="53" t="n"/>
      <c r="V2308" s="53" t="n"/>
      <c r="W2308" s="47" t="n"/>
      <c r="X2308" s="47" t="n"/>
      <c r="Y2308" s="47" t="n"/>
      <c r="Z2308" s="47" t="n"/>
      <c r="AA2308" s="47" t="n"/>
      <c r="AB2308" s="47" t="n"/>
      <c r="AC2308" s="47" t="n"/>
      <c r="AD2308" s="47" t="n"/>
      <c r="AE2308" s="47" t="n"/>
      <c r="AF2308" s="20">
        <f>IF(A2308="","",YEAR(EDATE(A2308,-3)))</f>
        <v/>
      </c>
      <c r="AG2308" s="20">
        <f>IF(OR(B2308="",'経歴簿'!$C$4=""),"",IF(B2308&amp;""='経歴簿'!$C$4&amp;"",MAX($AG$4:AG2307)+1,""))</f>
        <v/>
      </c>
      <c r="AH2308" s="20">
        <f>IF(A2308="",0,IF(AND(OR('CSV抽出'!$C$4="",A2308&gt;='CSV抽出'!$C$4),OR('CSV抽出'!$C$5="",A2308&lt;='CSV抽出'!$C$5),OR('CSV抽出'!$C$6="すべて",'CSV抽出'!$C$6="",D2308='CSV抽出'!$C$6),OR('CSV抽出'!$C$7="",B2308&amp;""='CSV抽出'!$C$7&amp;"")),1,0))</f>
        <v/>
      </c>
      <c r="AI2308" s="20">
        <f>IF(AH2308=1,SUM($AH$5:AH2308),"")</f>
        <v/>
      </c>
      <c r="AJ2308" s="20">
        <f>IF(OR(S2308="",'報告書'!$C$4=""),"",IF(S2308&amp;""='報告書'!$C$4&amp;"",COUNTIF($S$5:S2308,'報告書'!$C$4),""))</f>
        <v/>
      </c>
      <c r="AK2308" s="20" t="n"/>
      <c r="AL2308" s="47" t="n"/>
      <c r="AM2308" s="47" t="n"/>
      <c r="AN2308" s="53" t="n"/>
      <c r="AO2308" s="47" t="n"/>
      <c r="AP2308" s="47" t="n"/>
      <c r="AQ2308" s="47" t="n"/>
      <c r="AR2308" s="47" t="n"/>
      <c r="AS2308" s="47" t="n"/>
      <c r="AT2308" s="47" t="n"/>
      <c r="AU2308" s="47" t="n"/>
      <c r="AV2308" s="47" t="n"/>
      <c r="AW2308" s="52" t="n"/>
    </row>
    <row r="2309">
      <c r="A2309" s="48" t="n"/>
      <c r="B2309" s="52" t="n"/>
      <c r="C2309" s="47">
        <f>IF(B2309="","",IFERROR(INDEX('隊員マスタ'!$B$5:$B$204,MATCH(B2309&amp;"",'隊員マスタ'!$F$5:$F$204,0)),IF(AK2309="","番号なし",AK2309)))</f>
        <v/>
      </c>
      <c r="D2309" s="47" t="n"/>
      <c r="E2309" s="47" t="n"/>
      <c r="F2309" s="47" t="n"/>
      <c r="G2309" s="47" t="n"/>
      <c r="H2309" s="47" t="n"/>
      <c r="I2309" s="47" t="n"/>
      <c r="J2309" s="47" t="n"/>
      <c r="K2309" s="47" t="n"/>
      <c r="L2309" s="47" t="n"/>
      <c r="M2309" s="47" t="n"/>
      <c r="N2309" s="47" t="n"/>
      <c r="O2309" s="47" t="n"/>
      <c r="P2309" s="47" t="n"/>
      <c r="Q2309" s="47" t="n"/>
      <c r="R2309" s="47" t="n"/>
      <c r="S2309" s="47" t="n"/>
      <c r="T2309" s="47" t="n"/>
      <c r="U2309" s="53" t="n"/>
      <c r="V2309" s="53" t="n"/>
      <c r="W2309" s="47" t="n"/>
      <c r="X2309" s="47" t="n"/>
      <c r="Y2309" s="47" t="n"/>
      <c r="Z2309" s="47" t="n"/>
      <c r="AA2309" s="47" t="n"/>
      <c r="AB2309" s="47" t="n"/>
      <c r="AC2309" s="47" t="n"/>
      <c r="AD2309" s="47" t="n"/>
      <c r="AE2309" s="47" t="n"/>
      <c r="AF2309" s="20">
        <f>IF(A2309="","",YEAR(EDATE(A2309,-3)))</f>
        <v/>
      </c>
      <c r="AG2309" s="20">
        <f>IF(OR(B2309="",'経歴簿'!$C$4=""),"",IF(B2309&amp;""='経歴簿'!$C$4&amp;"",MAX($AG$4:AG2308)+1,""))</f>
        <v/>
      </c>
      <c r="AH2309" s="20">
        <f>IF(A2309="",0,IF(AND(OR('CSV抽出'!$C$4="",A2309&gt;='CSV抽出'!$C$4),OR('CSV抽出'!$C$5="",A2309&lt;='CSV抽出'!$C$5),OR('CSV抽出'!$C$6="すべて",'CSV抽出'!$C$6="",D2309='CSV抽出'!$C$6),OR('CSV抽出'!$C$7="",B2309&amp;""='CSV抽出'!$C$7&amp;"")),1,0))</f>
        <v/>
      </c>
      <c r="AI2309" s="20">
        <f>IF(AH2309=1,SUM($AH$5:AH2309),"")</f>
        <v/>
      </c>
      <c r="AJ2309" s="20">
        <f>IF(OR(S2309="",'報告書'!$C$4=""),"",IF(S2309&amp;""='報告書'!$C$4&amp;"",COUNTIF($S$5:S2309,'報告書'!$C$4),""))</f>
        <v/>
      </c>
      <c r="AK2309" s="20" t="n"/>
      <c r="AL2309" s="47" t="n"/>
      <c r="AM2309" s="47" t="n"/>
      <c r="AN2309" s="53" t="n"/>
      <c r="AO2309" s="47" t="n"/>
      <c r="AP2309" s="47" t="n"/>
      <c r="AQ2309" s="47" t="n"/>
      <c r="AR2309" s="47" t="n"/>
      <c r="AS2309" s="47" t="n"/>
      <c r="AT2309" s="47" t="n"/>
      <c r="AU2309" s="47" t="n"/>
      <c r="AV2309" s="47" t="n"/>
      <c r="AW2309" s="52" t="n"/>
    </row>
    <row r="2310">
      <c r="A2310" s="48" t="n"/>
      <c r="B2310" s="52" t="n"/>
      <c r="C2310" s="47">
        <f>IF(B2310="","",IFERROR(INDEX('隊員マスタ'!$B$5:$B$204,MATCH(B2310&amp;"",'隊員マスタ'!$F$5:$F$204,0)),IF(AK2310="","番号なし",AK2310)))</f>
        <v/>
      </c>
      <c r="D2310" s="47" t="n"/>
      <c r="E2310" s="47" t="n"/>
      <c r="F2310" s="47" t="n"/>
      <c r="G2310" s="47" t="n"/>
      <c r="H2310" s="47" t="n"/>
      <c r="I2310" s="47" t="n"/>
      <c r="J2310" s="47" t="n"/>
      <c r="K2310" s="47" t="n"/>
      <c r="L2310" s="47" t="n"/>
      <c r="M2310" s="47" t="n"/>
      <c r="N2310" s="47" t="n"/>
      <c r="O2310" s="47" t="n"/>
      <c r="P2310" s="47" t="n"/>
      <c r="Q2310" s="47" t="n"/>
      <c r="R2310" s="47" t="n"/>
      <c r="S2310" s="47" t="n"/>
      <c r="T2310" s="47" t="n"/>
      <c r="U2310" s="53" t="n"/>
      <c r="V2310" s="53" t="n"/>
      <c r="W2310" s="47" t="n"/>
      <c r="X2310" s="47" t="n"/>
      <c r="Y2310" s="47" t="n"/>
      <c r="Z2310" s="47" t="n"/>
      <c r="AA2310" s="47" t="n"/>
      <c r="AB2310" s="47" t="n"/>
      <c r="AC2310" s="47" t="n"/>
      <c r="AD2310" s="47" t="n"/>
      <c r="AE2310" s="47" t="n"/>
      <c r="AF2310" s="20">
        <f>IF(A2310="","",YEAR(EDATE(A2310,-3)))</f>
        <v/>
      </c>
      <c r="AG2310" s="20">
        <f>IF(OR(B2310="",'経歴簿'!$C$4=""),"",IF(B2310&amp;""='経歴簿'!$C$4&amp;"",MAX($AG$4:AG2309)+1,""))</f>
        <v/>
      </c>
      <c r="AH2310" s="20">
        <f>IF(A2310="",0,IF(AND(OR('CSV抽出'!$C$4="",A2310&gt;='CSV抽出'!$C$4),OR('CSV抽出'!$C$5="",A2310&lt;='CSV抽出'!$C$5),OR('CSV抽出'!$C$6="すべて",'CSV抽出'!$C$6="",D2310='CSV抽出'!$C$6),OR('CSV抽出'!$C$7="",B2310&amp;""='CSV抽出'!$C$7&amp;"")),1,0))</f>
        <v/>
      </c>
      <c r="AI2310" s="20">
        <f>IF(AH2310=1,SUM($AH$5:AH2310),"")</f>
        <v/>
      </c>
      <c r="AJ2310" s="20">
        <f>IF(OR(S2310="",'報告書'!$C$4=""),"",IF(S2310&amp;""='報告書'!$C$4&amp;"",COUNTIF($S$5:S2310,'報告書'!$C$4),""))</f>
        <v/>
      </c>
      <c r="AK2310" s="20" t="n"/>
      <c r="AL2310" s="47" t="n"/>
      <c r="AM2310" s="47" t="n"/>
      <c r="AN2310" s="53" t="n"/>
      <c r="AO2310" s="47" t="n"/>
      <c r="AP2310" s="47" t="n"/>
      <c r="AQ2310" s="47" t="n"/>
      <c r="AR2310" s="47" t="n"/>
      <c r="AS2310" s="47" t="n"/>
      <c r="AT2310" s="47" t="n"/>
      <c r="AU2310" s="47" t="n"/>
      <c r="AV2310" s="47" t="n"/>
      <c r="AW2310" s="52" t="n"/>
    </row>
    <row r="2311">
      <c r="A2311" s="48" t="n"/>
      <c r="B2311" s="52" t="n"/>
      <c r="C2311" s="47">
        <f>IF(B2311="","",IFERROR(INDEX('隊員マスタ'!$B$5:$B$204,MATCH(B2311&amp;"",'隊員マスタ'!$F$5:$F$204,0)),IF(AK2311="","番号なし",AK2311)))</f>
        <v/>
      </c>
      <c r="D2311" s="47" t="n"/>
      <c r="E2311" s="47" t="n"/>
      <c r="F2311" s="47" t="n"/>
      <c r="G2311" s="47" t="n"/>
      <c r="H2311" s="47" t="n"/>
      <c r="I2311" s="47" t="n"/>
      <c r="J2311" s="47" t="n"/>
      <c r="K2311" s="47" t="n"/>
      <c r="L2311" s="47" t="n"/>
      <c r="M2311" s="47" t="n"/>
      <c r="N2311" s="47" t="n"/>
      <c r="O2311" s="47" t="n"/>
      <c r="P2311" s="47" t="n"/>
      <c r="Q2311" s="47" t="n"/>
      <c r="R2311" s="47" t="n"/>
      <c r="S2311" s="47" t="n"/>
      <c r="T2311" s="47" t="n"/>
      <c r="U2311" s="53" t="n"/>
      <c r="V2311" s="53" t="n"/>
      <c r="W2311" s="47" t="n"/>
      <c r="X2311" s="47" t="n"/>
      <c r="Y2311" s="47" t="n"/>
      <c r="Z2311" s="47" t="n"/>
      <c r="AA2311" s="47" t="n"/>
      <c r="AB2311" s="47" t="n"/>
      <c r="AC2311" s="47" t="n"/>
      <c r="AD2311" s="47" t="n"/>
      <c r="AE2311" s="47" t="n"/>
      <c r="AF2311" s="20">
        <f>IF(A2311="","",YEAR(EDATE(A2311,-3)))</f>
        <v/>
      </c>
      <c r="AG2311" s="20">
        <f>IF(OR(B2311="",'経歴簿'!$C$4=""),"",IF(B2311&amp;""='経歴簿'!$C$4&amp;"",MAX($AG$4:AG2310)+1,""))</f>
        <v/>
      </c>
      <c r="AH2311" s="20">
        <f>IF(A2311="",0,IF(AND(OR('CSV抽出'!$C$4="",A2311&gt;='CSV抽出'!$C$4),OR('CSV抽出'!$C$5="",A2311&lt;='CSV抽出'!$C$5),OR('CSV抽出'!$C$6="すべて",'CSV抽出'!$C$6="",D2311='CSV抽出'!$C$6),OR('CSV抽出'!$C$7="",B2311&amp;""='CSV抽出'!$C$7&amp;"")),1,0))</f>
        <v/>
      </c>
      <c r="AI2311" s="20">
        <f>IF(AH2311=1,SUM($AH$5:AH2311),"")</f>
        <v/>
      </c>
      <c r="AJ2311" s="20">
        <f>IF(OR(S2311="",'報告書'!$C$4=""),"",IF(S2311&amp;""='報告書'!$C$4&amp;"",COUNTIF($S$5:S2311,'報告書'!$C$4),""))</f>
        <v/>
      </c>
      <c r="AK2311" s="20" t="n"/>
      <c r="AL2311" s="47" t="n"/>
      <c r="AM2311" s="47" t="n"/>
      <c r="AN2311" s="53" t="n"/>
      <c r="AO2311" s="47" t="n"/>
      <c r="AP2311" s="47" t="n"/>
      <c r="AQ2311" s="47" t="n"/>
      <c r="AR2311" s="47" t="n"/>
      <c r="AS2311" s="47" t="n"/>
      <c r="AT2311" s="47" t="n"/>
      <c r="AU2311" s="47" t="n"/>
      <c r="AV2311" s="47" t="n"/>
      <c r="AW2311" s="52" t="n"/>
    </row>
    <row r="2312">
      <c r="A2312" s="48" t="n"/>
      <c r="B2312" s="52" t="n"/>
      <c r="C2312" s="47">
        <f>IF(B2312="","",IFERROR(INDEX('隊員マスタ'!$B$5:$B$204,MATCH(B2312&amp;"",'隊員マスタ'!$F$5:$F$204,0)),IF(AK2312="","番号なし",AK2312)))</f>
        <v/>
      </c>
      <c r="D2312" s="47" t="n"/>
      <c r="E2312" s="47" t="n"/>
      <c r="F2312" s="47" t="n"/>
      <c r="G2312" s="47" t="n"/>
      <c r="H2312" s="47" t="n"/>
      <c r="I2312" s="47" t="n"/>
      <c r="J2312" s="47" t="n"/>
      <c r="K2312" s="47" t="n"/>
      <c r="L2312" s="47" t="n"/>
      <c r="M2312" s="47" t="n"/>
      <c r="N2312" s="47" t="n"/>
      <c r="O2312" s="47" t="n"/>
      <c r="P2312" s="47" t="n"/>
      <c r="Q2312" s="47" t="n"/>
      <c r="R2312" s="47" t="n"/>
      <c r="S2312" s="47" t="n"/>
      <c r="T2312" s="47" t="n"/>
      <c r="U2312" s="53" t="n"/>
      <c r="V2312" s="53" t="n"/>
      <c r="W2312" s="47" t="n"/>
      <c r="X2312" s="47" t="n"/>
      <c r="Y2312" s="47" t="n"/>
      <c r="Z2312" s="47" t="n"/>
      <c r="AA2312" s="47" t="n"/>
      <c r="AB2312" s="47" t="n"/>
      <c r="AC2312" s="47" t="n"/>
      <c r="AD2312" s="47" t="n"/>
      <c r="AE2312" s="47" t="n"/>
      <c r="AF2312" s="20">
        <f>IF(A2312="","",YEAR(EDATE(A2312,-3)))</f>
        <v/>
      </c>
      <c r="AG2312" s="20">
        <f>IF(OR(B2312="",'経歴簿'!$C$4=""),"",IF(B2312&amp;""='経歴簿'!$C$4&amp;"",MAX($AG$4:AG2311)+1,""))</f>
        <v/>
      </c>
      <c r="AH2312" s="20">
        <f>IF(A2312="",0,IF(AND(OR('CSV抽出'!$C$4="",A2312&gt;='CSV抽出'!$C$4),OR('CSV抽出'!$C$5="",A2312&lt;='CSV抽出'!$C$5),OR('CSV抽出'!$C$6="すべて",'CSV抽出'!$C$6="",D2312='CSV抽出'!$C$6),OR('CSV抽出'!$C$7="",B2312&amp;""='CSV抽出'!$C$7&amp;"")),1,0))</f>
        <v/>
      </c>
      <c r="AI2312" s="20">
        <f>IF(AH2312=1,SUM($AH$5:AH2312),"")</f>
        <v/>
      </c>
      <c r="AJ2312" s="20">
        <f>IF(OR(S2312="",'報告書'!$C$4=""),"",IF(S2312&amp;""='報告書'!$C$4&amp;"",COUNTIF($S$5:S2312,'報告書'!$C$4),""))</f>
        <v/>
      </c>
      <c r="AK2312" s="20" t="n"/>
      <c r="AL2312" s="47" t="n"/>
      <c r="AM2312" s="47" t="n"/>
      <c r="AN2312" s="53" t="n"/>
      <c r="AO2312" s="47" t="n"/>
      <c r="AP2312" s="47" t="n"/>
      <c r="AQ2312" s="47" t="n"/>
      <c r="AR2312" s="47" t="n"/>
      <c r="AS2312" s="47" t="n"/>
      <c r="AT2312" s="47" t="n"/>
      <c r="AU2312" s="47" t="n"/>
      <c r="AV2312" s="47" t="n"/>
      <c r="AW2312" s="52" t="n"/>
    </row>
    <row r="2313">
      <c r="A2313" s="48" t="n"/>
      <c r="B2313" s="52" t="n"/>
      <c r="C2313" s="47">
        <f>IF(B2313="","",IFERROR(INDEX('隊員マスタ'!$B$5:$B$204,MATCH(B2313&amp;"",'隊員マスタ'!$F$5:$F$204,0)),IF(AK2313="","番号なし",AK2313)))</f>
        <v/>
      </c>
      <c r="D2313" s="47" t="n"/>
      <c r="E2313" s="47" t="n"/>
      <c r="F2313" s="47" t="n"/>
      <c r="G2313" s="47" t="n"/>
      <c r="H2313" s="47" t="n"/>
      <c r="I2313" s="47" t="n"/>
      <c r="J2313" s="47" t="n"/>
      <c r="K2313" s="47" t="n"/>
      <c r="L2313" s="47" t="n"/>
      <c r="M2313" s="47" t="n"/>
      <c r="N2313" s="47" t="n"/>
      <c r="O2313" s="47" t="n"/>
      <c r="P2313" s="47" t="n"/>
      <c r="Q2313" s="47" t="n"/>
      <c r="R2313" s="47" t="n"/>
      <c r="S2313" s="47" t="n"/>
      <c r="T2313" s="47" t="n"/>
      <c r="U2313" s="53" t="n"/>
      <c r="V2313" s="53" t="n"/>
      <c r="W2313" s="47" t="n"/>
      <c r="X2313" s="47" t="n"/>
      <c r="Y2313" s="47" t="n"/>
      <c r="Z2313" s="47" t="n"/>
      <c r="AA2313" s="47" t="n"/>
      <c r="AB2313" s="47" t="n"/>
      <c r="AC2313" s="47" t="n"/>
      <c r="AD2313" s="47" t="n"/>
      <c r="AE2313" s="47" t="n"/>
      <c r="AF2313" s="20">
        <f>IF(A2313="","",YEAR(EDATE(A2313,-3)))</f>
        <v/>
      </c>
      <c r="AG2313" s="20">
        <f>IF(OR(B2313="",'経歴簿'!$C$4=""),"",IF(B2313&amp;""='経歴簿'!$C$4&amp;"",MAX($AG$4:AG2312)+1,""))</f>
        <v/>
      </c>
      <c r="AH2313" s="20">
        <f>IF(A2313="",0,IF(AND(OR('CSV抽出'!$C$4="",A2313&gt;='CSV抽出'!$C$4),OR('CSV抽出'!$C$5="",A2313&lt;='CSV抽出'!$C$5),OR('CSV抽出'!$C$6="すべて",'CSV抽出'!$C$6="",D2313='CSV抽出'!$C$6),OR('CSV抽出'!$C$7="",B2313&amp;""='CSV抽出'!$C$7&amp;"")),1,0))</f>
        <v/>
      </c>
      <c r="AI2313" s="20">
        <f>IF(AH2313=1,SUM($AH$5:AH2313),"")</f>
        <v/>
      </c>
      <c r="AJ2313" s="20">
        <f>IF(OR(S2313="",'報告書'!$C$4=""),"",IF(S2313&amp;""='報告書'!$C$4&amp;"",COUNTIF($S$5:S2313,'報告書'!$C$4),""))</f>
        <v/>
      </c>
      <c r="AK2313" s="20" t="n"/>
      <c r="AL2313" s="47" t="n"/>
      <c r="AM2313" s="47" t="n"/>
      <c r="AN2313" s="53" t="n"/>
      <c r="AO2313" s="47" t="n"/>
      <c r="AP2313" s="47" t="n"/>
      <c r="AQ2313" s="47" t="n"/>
      <c r="AR2313" s="47" t="n"/>
      <c r="AS2313" s="47" t="n"/>
      <c r="AT2313" s="47" t="n"/>
      <c r="AU2313" s="47" t="n"/>
      <c r="AV2313" s="47" t="n"/>
      <c r="AW2313" s="52" t="n"/>
    </row>
    <row r="2314">
      <c r="A2314" s="48" t="n"/>
      <c r="B2314" s="52" t="n"/>
      <c r="C2314" s="47">
        <f>IF(B2314="","",IFERROR(INDEX('隊員マスタ'!$B$5:$B$204,MATCH(B2314&amp;"",'隊員マスタ'!$F$5:$F$204,0)),IF(AK2314="","番号なし",AK2314)))</f>
        <v/>
      </c>
      <c r="D2314" s="47" t="n"/>
      <c r="E2314" s="47" t="n"/>
      <c r="F2314" s="47" t="n"/>
      <c r="G2314" s="47" t="n"/>
      <c r="H2314" s="47" t="n"/>
      <c r="I2314" s="47" t="n"/>
      <c r="J2314" s="47" t="n"/>
      <c r="K2314" s="47" t="n"/>
      <c r="L2314" s="47" t="n"/>
      <c r="M2314" s="47" t="n"/>
      <c r="N2314" s="47" t="n"/>
      <c r="O2314" s="47" t="n"/>
      <c r="P2314" s="47" t="n"/>
      <c r="Q2314" s="47" t="n"/>
      <c r="R2314" s="47" t="n"/>
      <c r="S2314" s="47" t="n"/>
      <c r="T2314" s="47" t="n"/>
      <c r="U2314" s="53" t="n"/>
      <c r="V2314" s="53" t="n"/>
      <c r="W2314" s="47" t="n"/>
      <c r="X2314" s="47" t="n"/>
      <c r="Y2314" s="47" t="n"/>
      <c r="Z2314" s="47" t="n"/>
      <c r="AA2314" s="47" t="n"/>
      <c r="AB2314" s="47" t="n"/>
      <c r="AC2314" s="47" t="n"/>
      <c r="AD2314" s="47" t="n"/>
      <c r="AE2314" s="47" t="n"/>
      <c r="AF2314" s="20">
        <f>IF(A2314="","",YEAR(EDATE(A2314,-3)))</f>
        <v/>
      </c>
      <c r="AG2314" s="20">
        <f>IF(OR(B2314="",'経歴簿'!$C$4=""),"",IF(B2314&amp;""='経歴簿'!$C$4&amp;"",MAX($AG$4:AG2313)+1,""))</f>
        <v/>
      </c>
      <c r="AH2314" s="20">
        <f>IF(A2314="",0,IF(AND(OR('CSV抽出'!$C$4="",A2314&gt;='CSV抽出'!$C$4),OR('CSV抽出'!$C$5="",A2314&lt;='CSV抽出'!$C$5),OR('CSV抽出'!$C$6="すべて",'CSV抽出'!$C$6="",D2314='CSV抽出'!$C$6),OR('CSV抽出'!$C$7="",B2314&amp;""='CSV抽出'!$C$7&amp;"")),1,0))</f>
        <v/>
      </c>
      <c r="AI2314" s="20">
        <f>IF(AH2314=1,SUM($AH$5:AH2314),"")</f>
        <v/>
      </c>
      <c r="AJ2314" s="20">
        <f>IF(OR(S2314="",'報告書'!$C$4=""),"",IF(S2314&amp;""='報告書'!$C$4&amp;"",COUNTIF($S$5:S2314,'報告書'!$C$4),""))</f>
        <v/>
      </c>
      <c r="AK2314" s="20" t="n"/>
      <c r="AL2314" s="47" t="n"/>
      <c r="AM2314" s="47" t="n"/>
      <c r="AN2314" s="53" t="n"/>
      <c r="AO2314" s="47" t="n"/>
      <c r="AP2314" s="47" t="n"/>
      <c r="AQ2314" s="47" t="n"/>
      <c r="AR2314" s="47" t="n"/>
      <c r="AS2314" s="47" t="n"/>
      <c r="AT2314" s="47" t="n"/>
      <c r="AU2314" s="47" t="n"/>
      <c r="AV2314" s="47" t="n"/>
      <c r="AW2314" s="52" t="n"/>
    </row>
    <row r="2315">
      <c r="A2315" s="48" t="n"/>
      <c r="B2315" s="52" t="n"/>
      <c r="C2315" s="47">
        <f>IF(B2315="","",IFERROR(INDEX('隊員マスタ'!$B$5:$B$204,MATCH(B2315&amp;"",'隊員マスタ'!$F$5:$F$204,0)),IF(AK2315="","番号なし",AK2315)))</f>
        <v/>
      </c>
      <c r="D2315" s="47" t="n"/>
      <c r="E2315" s="47" t="n"/>
      <c r="F2315" s="47" t="n"/>
      <c r="G2315" s="47" t="n"/>
      <c r="H2315" s="47" t="n"/>
      <c r="I2315" s="47" t="n"/>
      <c r="J2315" s="47" t="n"/>
      <c r="K2315" s="47" t="n"/>
      <c r="L2315" s="47" t="n"/>
      <c r="M2315" s="47" t="n"/>
      <c r="N2315" s="47" t="n"/>
      <c r="O2315" s="47" t="n"/>
      <c r="P2315" s="47" t="n"/>
      <c r="Q2315" s="47" t="n"/>
      <c r="R2315" s="47" t="n"/>
      <c r="S2315" s="47" t="n"/>
      <c r="T2315" s="47" t="n"/>
      <c r="U2315" s="53" t="n"/>
      <c r="V2315" s="53" t="n"/>
      <c r="W2315" s="47" t="n"/>
      <c r="X2315" s="47" t="n"/>
      <c r="Y2315" s="47" t="n"/>
      <c r="Z2315" s="47" t="n"/>
      <c r="AA2315" s="47" t="n"/>
      <c r="AB2315" s="47" t="n"/>
      <c r="AC2315" s="47" t="n"/>
      <c r="AD2315" s="47" t="n"/>
      <c r="AE2315" s="47" t="n"/>
      <c r="AF2315" s="20">
        <f>IF(A2315="","",YEAR(EDATE(A2315,-3)))</f>
        <v/>
      </c>
      <c r="AG2315" s="20">
        <f>IF(OR(B2315="",'経歴簿'!$C$4=""),"",IF(B2315&amp;""='経歴簿'!$C$4&amp;"",MAX($AG$4:AG2314)+1,""))</f>
        <v/>
      </c>
      <c r="AH2315" s="20">
        <f>IF(A2315="",0,IF(AND(OR('CSV抽出'!$C$4="",A2315&gt;='CSV抽出'!$C$4),OR('CSV抽出'!$C$5="",A2315&lt;='CSV抽出'!$C$5),OR('CSV抽出'!$C$6="すべて",'CSV抽出'!$C$6="",D2315='CSV抽出'!$C$6),OR('CSV抽出'!$C$7="",B2315&amp;""='CSV抽出'!$C$7&amp;"")),1,0))</f>
        <v/>
      </c>
      <c r="AI2315" s="20">
        <f>IF(AH2315=1,SUM($AH$5:AH2315),"")</f>
        <v/>
      </c>
      <c r="AJ2315" s="20">
        <f>IF(OR(S2315="",'報告書'!$C$4=""),"",IF(S2315&amp;""='報告書'!$C$4&amp;"",COUNTIF($S$5:S2315,'報告書'!$C$4),""))</f>
        <v/>
      </c>
      <c r="AK2315" s="20" t="n"/>
      <c r="AL2315" s="47" t="n"/>
      <c r="AM2315" s="47" t="n"/>
      <c r="AN2315" s="53" t="n"/>
      <c r="AO2315" s="47" t="n"/>
      <c r="AP2315" s="47" t="n"/>
      <c r="AQ2315" s="47" t="n"/>
      <c r="AR2315" s="47" t="n"/>
      <c r="AS2315" s="47" t="n"/>
      <c r="AT2315" s="47" t="n"/>
      <c r="AU2315" s="47" t="n"/>
      <c r="AV2315" s="47" t="n"/>
      <c r="AW2315" s="52" t="n"/>
    </row>
    <row r="2316">
      <c r="A2316" s="48" t="n"/>
      <c r="B2316" s="52" t="n"/>
      <c r="C2316" s="47">
        <f>IF(B2316="","",IFERROR(INDEX('隊員マスタ'!$B$5:$B$204,MATCH(B2316&amp;"",'隊員マスタ'!$F$5:$F$204,0)),IF(AK2316="","番号なし",AK2316)))</f>
        <v/>
      </c>
      <c r="D2316" s="47" t="n"/>
      <c r="E2316" s="47" t="n"/>
      <c r="F2316" s="47" t="n"/>
      <c r="G2316" s="47" t="n"/>
      <c r="H2316" s="47" t="n"/>
      <c r="I2316" s="47" t="n"/>
      <c r="J2316" s="47" t="n"/>
      <c r="K2316" s="47" t="n"/>
      <c r="L2316" s="47" t="n"/>
      <c r="M2316" s="47" t="n"/>
      <c r="N2316" s="47" t="n"/>
      <c r="O2316" s="47" t="n"/>
      <c r="P2316" s="47" t="n"/>
      <c r="Q2316" s="47" t="n"/>
      <c r="R2316" s="47" t="n"/>
      <c r="S2316" s="47" t="n"/>
      <c r="T2316" s="47" t="n"/>
      <c r="U2316" s="53" t="n"/>
      <c r="V2316" s="53" t="n"/>
      <c r="W2316" s="47" t="n"/>
      <c r="X2316" s="47" t="n"/>
      <c r="Y2316" s="47" t="n"/>
      <c r="Z2316" s="47" t="n"/>
      <c r="AA2316" s="47" t="n"/>
      <c r="AB2316" s="47" t="n"/>
      <c r="AC2316" s="47" t="n"/>
      <c r="AD2316" s="47" t="n"/>
      <c r="AE2316" s="47" t="n"/>
      <c r="AF2316" s="20">
        <f>IF(A2316="","",YEAR(EDATE(A2316,-3)))</f>
        <v/>
      </c>
      <c r="AG2316" s="20">
        <f>IF(OR(B2316="",'経歴簿'!$C$4=""),"",IF(B2316&amp;""='経歴簿'!$C$4&amp;"",MAX($AG$4:AG2315)+1,""))</f>
        <v/>
      </c>
      <c r="AH2316" s="20">
        <f>IF(A2316="",0,IF(AND(OR('CSV抽出'!$C$4="",A2316&gt;='CSV抽出'!$C$4),OR('CSV抽出'!$C$5="",A2316&lt;='CSV抽出'!$C$5),OR('CSV抽出'!$C$6="すべて",'CSV抽出'!$C$6="",D2316='CSV抽出'!$C$6),OR('CSV抽出'!$C$7="",B2316&amp;""='CSV抽出'!$C$7&amp;"")),1,0))</f>
        <v/>
      </c>
      <c r="AI2316" s="20">
        <f>IF(AH2316=1,SUM($AH$5:AH2316),"")</f>
        <v/>
      </c>
      <c r="AJ2316" s="20">
        <f>IF(OR(S2316="",'報告書'!$C$4=""),"",IF(S2316&amp;""='報告書'!$C$4&amp;"",COUNTIF($S$5:S2316,'報告書'!$C$4),""))</f>
        <v/>
      </c>
      <c r="AK2316" s="20" t="n"/>
      <c r="AL2316" s="47" t="n"/>
      <c r="AM2316" s="47" t="n"/>
      <c r="AN2316" s="53" t="n"/>
      <c r="AO2316" s="47" t="n"/>
      <c r="AP2316" s="47" t="n"/>
      <c r="AQ2316" s="47" t="n"/>
      <c r="AR2316" s="47" t="n"/>
      <c r="AS2316" s="47" t="n"/>
      <c r="AT2316" s="47" t="n"/>
      <c r="AU2316" s="47" t="n"/>
      <c r="AV2316" s="47" t="n"/>
      <c r="AW2316" s="52" t="n"/>
    </row>
    <row r="2317">
      <c r="A2317" s="48" t="n"/>
      <c r="B2317" s="52" t="n"/>
      <c r="C2317" s="47">
        <f>IF(B2317="","",IFERROR(INDEX('隊員マスタ'!$B$5:$B$204,MATCH(B2317&amp;"",'隊員マスタ'!$F$5:$F$204,0)),IF(AK2317="","番号なし",AK2317)))</f>
        <v/>
      </c>
      <c r="D2317" s="47" t="n"/>
      <c r="E2317" s="47" t="n"/>
      <c r="F2317" s="47" t="n"/>
      <c r="G2317" s="47" t="n"/>
      <c r="H2317" s="47" t="n"/>
      <c r="I2317" s="47" t="n"/>
      <c r="J2317" s="47" t="n"/>
      <c r="K2317" s="47" t="n"/>
      <c r="L2317" s="47" t="n"/>
      <c r="M2317" s="47" t="n"/>
      <c r="N2317" s="47" t="n"/>
      <c r="O2317" s="47" t="n"/>
      <c r="P2317" s="47" t="n"/>
      <c r="Q2317" s="47" t="n"/>
      <c r="R2317" s="47" t="n"/>
      <c r="S2317" s="47" t="n"/>
      <c r="T2317" s="47" t="n"/>
      <c r="U2317" s="53" t="n"/>
      <c r="V2317" s="53" t="n"/>
      <c r="W2317" s="47" t="n"/>
      <c r="X2317" s="47" t="n"/>
      <c r="Y2317" s="47" t="n"/>
      <c r="Z2317" s="47" t="n"/>
      <c r="AA2317" s="47" t="n"/>
      <c r="AB2317" s="47" t="n"/>
      <c r="AC2317" s="47" t="n"/>
      <c r="AD2317" s="47" t="n"/>
      <c r="AE2317" s="47" t="n"/>
      <c r="AF2317" s="20">
        <f>IF(A2317="","",YEAR(EDATE(A2317,-3)))</f>
        <v/>
      </c>
      <c r="AG2317" s="20">
        <f>IF(OR(B2317="",'経歴簿'!$C$4=""),"",IF(B2317&amp;""='経歴簿'!$C$4&amp;"",MAX($AG$4:AG2316)+1,""))</f>
        <v/>
      </c>
      <c r="AH2317" s="20">
        <f>IF(A2317="",0,IF(AND(OR('CSV抽出'!$C$4="",A2317&gt;='CSV抽出'!$C$4),OR('CSV抽出'!$C$5="",A2317&lt;='CSV抽出'!$C$5),OR('CSV抽出'!$C$6="すべて",'CSV抽出'!$C$6="",D2317='CSV抽出'!$C$6),OR('CSV抽出'!$C$7="",B2317&amp;""='CSV抽出'!$C$7&amp;"")),1,0))</f>
        <v/>
      </c>
      <c r="AI2317" s="20">
        <f>IF(AH2317=1,SUM($AH$5:AH2317),"")</f>
        <v/>
      </c>
      <c r="AJ2317" s="20">
        <f>IF(OR(S2317="",'報告書'!$C$4=""),"",IF(S2317&amp;""='報告書'!$C$4&amp;"",COUNTIF($S$5:S2317,'報告書'!$C$4),""))</f>
        <v/>
      </c>
      <c r="AK2317" s="20" t="n"/>
      <c r="AL2317" s="47" t="n"/>
      <c r="AM2317" s="47" t="n"/>
      <c r="AN2317" s="53" t="n"/>
      <c r="AO2317" s="47" t="n"/>
      <c r="AP2317" s="47" t="n"/>
      <c r="AQ2317" s="47" t="n"/>
      <c r="AR2317" s="47" t="n"/>
      <c r="AS2317" s="47" t="n"/>
      <c r="AT2317" s="47" t="n"/>
      <c r="AU2317" s="47" t="n"/>
      <c r="AV2317" s="47" t="n"/>
      <c r="AW2317" s="52" t="n"/>
    </row>
    <row r="2318">
      <c r="A2318" s="48" t="n"/>
      <c r="B2318" s="52" t="n"/>
      <c r="C2318" s="47">
        <f>IF(B2318="","",IFERROR(INDEX('隊員マスタ'!$B$5:$B$204,MATCH(B2318&amp;"",'隊員マスタ'!$F$5:$F$204,0)),IF(AK2318="","番号なし",AK2318)))</f>
        <v/>
      </c>
      <c r="D2318" s="47" t="n"/>
      <c r="E2318" s="47" t="n"/>
      <c r="F2318" s="47" t="n"/>
      <c r="G2318" s="47" t="n"/>
      <c r="H2318" s="47" t="n"/>
      <c r="I2318" s="47" t="n"/>
      <c r="J2318" s="47" t="n"/>
      <c r="K2318" s="47" t="n"/>
      <c r="L2318" s="47" t="n"/>
      <c r="M2318" s="47" t="n"/>
      <c r="N2318" s="47" t="n"/>
      <c r="O2318" s="47" t="n"/>
      <c r="P2318" s="47" t="n"/>
      <c r="Q2318" s="47" t="n"/>
      <c r="R2318" s="47" t="n"/>
      <c r="S2318" s="47" t="n"/>
      <c r="T2318" s="47" t="n"/>
      <c r="U2318" s="53" t="n"/>
      <c r="V2318" s="53" t="n"/>
      <c r="W2318" s="47" t="n"/>
      <c r="X2318" s="47" t="n"/>
      <c r="Y2318" s="47" t="n"/>
      <c r="Z2318" s="47" t="n"/>
      <c r="AA2318" s="47" t="n"/>
      <c r="AB2318" s="47" t="n"/>
      <c r="AC2318" s="47" t="n"/>
      <c r="AD2318" s="47" t="n"/>
      <c r="AE2318" s="47" t="n"/>
      <c r="AF2318" s="20">
        <f>IF(A2318="","",YEAR(EDATE(A2318,-3)))</f>
        <v/>
      </c>
      <c r="AG2318" s="20">
        <f>IF(OR(B2318="",'経歴簿'!$C$4=""),"",IF(B2318&amp;""='経歴簿'!$C$4&amp;"",MAX($AG$4:AG2317)+1,""))</f>
        <v/>
      </c>
      <c r="AH2318" s="20">
        <f>IF(A2318="",0,IF(AND(OR('CSV抽出'!$C$4="",A2318&gt;='CSV抽出'!$C$4),OR('CSV抽出'!$C$5="",A2318&lt;='CSV抽出'!$C$5),OR('CSV抽出'!$C$6="すべて",'CSV抽出'!$C$6="",D2318='CSV抽出'!$C$6),OR('CSV抽出'!$C$7="",B2318&amp;""='CSV抽出'!$C$7&amp;"")),1,0))</f>
        <v/>
      </c>
      <c r="AI2318" s="20">
        <f>IF(AH2318=1,SUM($AH$5:AH2318),"")</f>
        <v/>
      </c>
      <c r="AJ2318" s="20">
        <f>IF(OR(S2318="",'報告書'!$C$4=""),"",IF(S2318&amp;""='報告書'!$C$4&amp;"",COUNTIF($S$5:S2318,'報告書'!$C$4),""))</f>
        <v/>
      </c>
      <c r="AK2318" s="20" t="n"/>
      <c r="AL2318" s="47" t="n"/>
      <c r="AM2318" s="47" t="n"/>
      <c r="AN2318" s="53" t="n"/>
      <c r="AO2318" s="47" t="n"/>
      <c r="AP2318" s="47" t="n"/>
      <c r="AQ2318" s="47" t="n"/>
      <c r="AR2318" s="47" t="n"/>
      <c r="AS2318" s="47" t="n"/>
      <c r="AT2318" s="47" t="n"/>
      <c r="AU2318" s="47" t="n"/>
      <c r="AV2318" s="47" t="n"/>
      <c r="AW2318" s="52" t="n"/>
    </row>
    <row r="2319">
      <c r="A2319" s="48" t="n"/>
      <c r="B2319" s="52" t="n"/>
      <c r="C2319" s="47">
        <f>IF(B2319="","",IFERROR(INDEX('隊員マスタ'!$B$5:$B$204,MATCH(B2319&amp;"",'隊員マスタ'!$F$5:$F$204,0)),IF(AK2319="","番号なし",AK2319)))</f>
        <v/>
      </c>
      <c r="D2319" s="47" t="n"/>
      <c r="E2319" s="47" t="n"/>
      <c r="F2319" s="47" t="n"/>
      <c r="G2319" s="47" t="n"/>
      <c r="H2319" s="47" t="n"/>
      <c r="I2319" s="47" t="n"/>
      <c r="J2319" s="47" t="n"/>
      <c r="K2319" s="47" t="n"/>
      <c r="L2319" s="47" t="n"/>
      <c r="M2319" s="47" t="n"/>
      <c r="N2319" s="47" t="n"/>
      <c r="O2319" s="47" t="n"/>
      <c r="P2319" s="47" t="n"/>
      <c r="Q2319" s="47" t="n"/>
      <c r="R2319" s="47" t="n"/>
      <c r="S2319" s="47" t="n"/>
      <c r="T2319" s="47" t="n"/>
      <c r="U2319" s="53" t="n"/>
      <c r="V2319" s="53" t="n"/>
      <c r="W2319" s="47" t="n"/>
      <c r="X2319" s="47" t="n"/>
      <c r="Y2319" s="47" t="n"/>
      <c r="Z2319" s="47" t="n"/>
      <c r="AA2319" s="47" t="n"/>
      <c r="AB2319" s="47" t="n"/>
      <c r="AC2319" s="47" t="n"/>
      <c r="AD2319" s="47" t="n"/>
      <c r="AE2319" s="47" t="n"/>
      <c r="AF2319" s="20">
        <f>IF(A2319="","",YEAR(EDATE(A2319,-3)))</f>
        <v/>
      </c>
      <c r="AG2319" s="20">
        <f>IF(OR(B2319="",'経歴簿'!$C$4=""),"",IF(B2319&amp;""='経歴簿'!$C$4&amp;"",MAX($AG$4:AG2318)+1,""))</f>
        <v/>
      </c>
      <c r="AH2319" s="20">
        <f>IF(A2319="",0,IF(AND(OR('CSV抽出'!$C$4="",A2319&gt;='CSV抽出'!$C$4),OR('CSV抽出'!$C$5="",A2319&lt;='CSV抽出'!$C$5),OR('CSV抽出'!$C$6="すべて",'CSV抽出'!$C$6="",D2319='CSV抽出'!$C$6),OR('CSV抽出'!$C$7="",B2319&amp;""='CSV抽出'!$C$7&amp;"")),1,0))</f>
        <v/>
      </c>
      <c r="AI2319" s="20">
        <f>IF(AH2319=1,SUM($AH$5:AH2319),"")</f>
        <v/>
      </c>
      <c r="AJ2319" s="20">
        <f>IF(OR(S2319="",'報告書'!$C$4=""),"",IF(S2319&amp;""='報告書'!$C$4&amp;"",COUNTIF($S$5:S2319,'報告書'!$C$4),""))</f>
        <v/>
      </c>
      <c r="AK2319" s="20" t="n"/>
      <c r="AL2319" s="47" t="n"/>
      <c r="AM2319" s="47" t="n"/>
      <c r="AN2319" s="53" t="n"/>
      <c r="AO2319" s="47" t="n"/>
      <c r="AP2319" s="47" t="n"/>
      <c r="AQ2319" s="47" t="n"/>
      <c r="AR2319" s="47" t="n"/>
      <c r="AS2319" s="47" t="n"/>
      <c r="AT2319" s="47" t="n"/>
      <c r="AU2319" s="47" t="n"/>
      <c r="AV2319" s="47" t="n"/>
      <c r="AW2319" s="52" t="n"/>
    </row>
    <row r="2320">
      <c r="A2320" s="48" t="n"/>
      <c r="B2320" s="52" t="n"/>
      <c r="C2320" s="47">
        <f>IF(B2320="","",IFERROR(INDEX('隊員マスタ'!$B$5:$B$204,MATCH(B2320&amp;"",'隊員マスタ'!$F$5:$F$204,0)),IF(AK2320="","番号なし",AK2320)))</f>
        <v/>
      </c>
      <c r="D2320" s="47" t="n"/>
      <c r="E2320" s="47" t="n"/>
      <c r="F2320" s="47" t="n"/>
      <c r="G2320" s="47" t="n"/>
      <c r="H2320" s="47" t="n"/>
      <c r="I2320" s="47" t="n"/>
      <c r="J2320" s="47" t="n"/>
      <c r="K2320" s="47" t="n"/>
      <c r="L2320" s="47" t="n"/>
      <c r="M2320" s="47" t="n"/>
      <c r="N2320" s="47" t="n"/>
      <c r="O2320" s="47" t="n"/>
      <c r="P2320" s="47" t="n"/>
      <c r="Q2320" s="47" t="n"/>
      <c r="R2320" s="47" t="n"/>
      <c r="S2320" s="47" t="n"/>
      <c r="T2320" s="47" t="n"/>
      <c r="U2320" s="53" t="n"/>
      <c r="V2320" s="53" t="n"/>
      <c r="W2320" s="47" t="n"/>
      <c r="X2320" s="47" t="n"/>
      <c r="Y2320" s="47" t="n"/>
      <c r="Z2320" s="47" t="n"/>
      <c r="AA2320" s="47" t="n"/>
      <c r="AB2320" s="47" t="n"/>
      <c r="AC2320" s="47" t="n"/>
      <c r="AD2320" s="47" t="n"/>
      <c r="AE2320" s="47" t="n"/>
      <c r="AF2320" s="20">
        <f>IF(A2320="","",YEAR(EDATE(A2320,-3)))</f>
        <v/>
      </c>
      <c r="AG2320" s="20">
        <f>IF(OR(B2320="",'経歴簿'!$C$4=""),"",IF(B2320&amp;""='経歴簿'!$C$4&amp;"",MAX($AG$4:AG2319)+1,""))</f>
        <v/>
      </c>
      <c r="AH2320" s="20">
        <f>IF(A2320="",0,IF(AND(OR('CSV抽出'!$C$4="",A2320&gt;='CSV抽出'!$C$4),OR('CSV抽出'!$C$5="",A2320&lt;='CSV抽出'!$C$5),OR('CSV抽出'!$C$6="すべて",'CSV抽出'!$C$6="",D2320='CSV抽出'!$C$6),OR('CSV抽出'!$C$7="",B2320&amp;""='CSV抽出'!$C$7&amp;"")),1,0))</f>
        <v/>
      </c>
      <c r="AI2320" s="20">
        <f>IF(AH2320=1,SUM($AH$5:AH2320),"")</f>
        <v/>
      </c>
      <c r="AJ2320" s="20">
        <f>IF(OR(S2320="",'報告書'!$C$4=""),"",IF(S2320&amp;""='報告書'!$C$4&amp;"",COUNTIF($S$5:S2320,'報告書'!$C$4),""))</f>
        <v/>
      </c>
      <c r="AK2320" s="20" t="n"/>
      <c r="AL2320" s="47" t="n"/>
      <c r="AM2320" s="47" t="n"/>
      <c r="AN2320" s="53" t="n"/>
      <c r="AO2320" s="47" t="n"/>
      <c r="AP2320" s="47" t="n"/>
      <c r="AQ2320" s="47" t="n"/>
      <c r="AR2320" s="47" t="n"/>
      <c r="AS2320" s="47" t="n"/>
      <c r="AT2320" s="47" t="n"/>
      <c r="AU2320" s="47" t="n"/>
      <c r="AV2320" s="47" t="n"/>
      <c r="AW2320" s="52" t="n"/>
    </row>
    <row r="2321">
      <c r="A2321" s="48" t="n"/>
      <c r="B2321" s="52" t="n"/>
      <c r="C2321" s="47">
        <f>IF(B2321="","",IFERROR(INDEX('隊員マスタ'!$B$5:$B$204,MATCH(B2321&amp;"",'隊員マスタ'!$F$5:$F$204,0)),IF(AK2321="","番号なし",AK2321)))</f>
        <v/>
      </c>
      <c r="D2321" s="47" t="n"/>
      <c r="E2321" s="47" t="n"/>
      <c r="F2321" s="47" t="n"/>
      <c r="G2321" s="47" t="n"/>
      <c r="H2321" s="47" t="n"/>
      <c r="I2321" s="47" t="n"/>
      <c r="J2321" s="47" t="n"/>
      <c r="K2321" s="47" t="n"/>
      <c r="L2321" s="47" t="n"/>
      <c r="M2321" s="47" t="n"/>
      <c r="N2321" s="47" t="n"/>
      <c r="O2321" s="47" t="n"/>
      <c r="P2321" s="47" t="n"/>
      <c r="Q2321" s="47" t="n"/>
      <c r="R2321" s="47" t="n"/>
      <c r="S2321" s="47" t="n"/>
      <c r="T2321" s="47" t="n"/>
      <c r="U2321" s="53" t="n"/>
      <c r="V2321" s="53" t="n"/>
      <c r="W2321" s="47" t="n"/>
      <c r="X2321" s="47" t="n"/>
      <c r="Y2321" s="47" t="n"/>
      <c r="Z2321" s="47" t="n"/>
      <c r="AA2321" s="47" t="n"/>
      <c r="AB2321" s="47" t="n"/>
      <c r="AC2321" s="47" t="n"/>
      <c r="AD2321" s="47" t="n"/>
      <c r="AE2321" s="47" t="n"/>
      <c r="AF2321" s="20">
        <f>IF(A2321="","",YEAR(EDATE(A2321,-3)))</f>
        <v/>
      </c>
      <c r="AG2321" s="20">
        <f>IF(OR(B2321="",'経歴簿'!$C$4=""),"",IF(B2321&amp;""='経歴簿'!$C$4&amp;"",MAX($AG$4:AG2320)+1,""))</f>
        <v/>
      </c>
      <c r="AH2321" s="20">
        <f>IF(A2321="",0,IF(AND(OR('CSV抽出'!$C$4="",A2321&gt;='CSV抽出'!$C$4),OR('CSV抽出'!$C$5="",A2321&lt;='CSV抽出'!$C$5),OR('CSV抽出'!$C$6="すべて",'CSV抽出'!$C$6="",D2321='CSV抽出'!$C$6),OR('CSV抽出'!$C$7="",B2321&amp;""='CSV抽出'!$C$7&amp;"")),1,0))</f>
        <v/>
      </c>
      <c r="AI2321" s="20">
        <f>IF(AH2321=1,SUM($AH$5:AH2321),"")</f>
        <v/>
      </c>
      <c r="AJ2321" s="20">
        <f>IF(OR(S2321="",'報告書'!$C$4=""),"",IF(S2321&amp;""='報告書'!$C$4&amp;"",COUNTIF($S$5:S2321,'報告書'!$C$4),""))</f>
        <v/>
      </c>
      <c r="AK2321" s="20" t="n"/>
      <c r="AL2321" s="47" t="n"/>
      <c r="AM2321" s="47" t="n"/>
      <c r="AN2321" s="53" t="n"/>
      <c r="AO2321" s="47" t="n"/>
      <c r="AP2321" s="47" t="n"/>
      <c r="AQ2321" s="47" t="n"/>
      <c r="AR2321" s="47" t="n"/>
      <c r="AS2321" s="47" t="n"/>
      <c r="AT2321" s="47" t="n"/>
      <c r="AU2321" s="47" t="n"/>
      <c r="AV2321" s="47" t="n"/>
      <c r="AW2321" s="52" t="n"/>
    </row>
    <row r="2322">
      <c r="A2322" s="48" t="n"/>
      <c r="B2322" s="52" t="n"/>
      <c r="C2322" s="47">
        <f>IF(B2322="","",IFERROR(INDEX('隊員マスタ'!$B$5:$B$204,MATCH(B2322&amp;"",'隊員マスタ'!$F$5:$F$204,0)),IF(AK2322="","番号なし",AK2322)))</f>
        <v/>
      </c>
      <c r="D2322" s="47" t="n"/>
      <c r="E2322" s="47" t="n"/>
      <c r="F2322" s="47" t="n"/>
      <c r="G2322" s="47" t="n"/>
      <c r="H2322" s="47" t="n"/>
      <c r="I2322" s="47" t="n"/>
      <c r="J2322" s="47" t="n"/>
      <c r="K2322" s="47" t="n"/>
      <c r="L2322" s="47" t="n"/>
      <c r="M2322" s="47" t="n"/>
      <c r="N2322" s="47" t="n"/>
      <c r="O2322" s="47" t="n"/>
      <c r="P2322" s="47" t="n"/>
      <c r="Q2322" s="47" t="n"/>
      <c r="R2322" s="47" t="n"/>
      <c r="S2322" s="47" t="n"/>
      <c r="T2322" s="47" t="n"/>
      <c r="U2322" s="53" t="n"/>
      <c r="V2322" s="53" t="n"/>
      <c r="W2322" s="47" t="n"/>
      <c r="X2322" s="47" t="n"/>
      <c r="Y2322" s="47" t="n"/>
      <c r="Z2322" s="47" t="n"/>
      <c r="AA2322" s="47" t="n"/>
      <c r="AB2322" s="47" t="n"/>
      <c r="AC2322" s="47" t="n"/>
      <c r="AD2322" s="47" t="n"/>
      <c r="AE2322" s="47" t="n"/>
      <c r="AF2322" s="20">
        <f>IF(A2322="","",YEAR(EDATE(A2322,-3)))</f>
        <v/>
      </c>
      <c r="AG2322" s="20">
        <f>IF(OR(B2322="",'経歴簿'!$C$4=""),"",IF(B2322&amp;""='経歴簿'!$C$4&amp;"",MAX($AG$4:AG2321)+1,""))</f>
        <v/>
      </c>
      <c r="AH2322" s="20">
        <f>IF(A2322="",0,IF(AND(OR('CSV抽出'!$C$4="",A2322&gt;='CSV抽出'!$C$4),OR('CSV抽出'!$C$5="",A2322&lt;='CSV抽出'!$C$5),OR('CSV抽出'!$C$6="すべて",'CSV抽出'!$C$6="",D2322='CSV抽出'!$C$6),OR('CSV抽出'!$C$7="",B2322&amp;""='CSV抽出'!$C$7&amp;"")),1,0))</f>
        <v/>
      </c>
      <c r="AI2322" s="20">
        <f>IF(AH2322=1,SUM($AH$5:AH2322),"")</f>
        <v/>
      </c>
      <c r="AJ2322" s="20">
        <f>IF(OR(S2322="",'報告書'!$C$4=""),"",IF(S2322&amp;""='報告書'!$C$4&amp;"",COUNTIF($S$5:S2322,'報告書'!$C$4),""))</f>
        <v/>
      </c>
      <c r="AK2322" s="20" t="n"/>
      <c r="AL2322" s="47" t="n"/>
      <c r="AM2322" s="47" t="n"/>
      <c r="AN2322" s="53" t="n"/>
      <c r="AO2322" s="47" t="n"/>
      <c r="AP2322" s="47" t="n"/>
      <c r="AQ2322" s="47" t="n"/>
      <c r="AR2322" s="47" t="n"/>
      <c r="AS2322" s="47" t="n"/>
      <c r="AT2322" s="47" t="n"/>
      <c r="AU2322" s="47" t="n"/>
      <c r="AV2322" s="47" t="n"/>
      <c r="AW2322" s="52" t="n"/>
    </row>
    <row r="2323">
      <c r="A2323" s="48" t="n"/>
      <c r="B2323" s="52" t="n"/>
      <c r="C2323" s="47">
        <f>IF(B2323="","",IFERROR(INDEX('隊員マスタ'!$B$5:$B$204,MATCH(B2323&amp;"",'隊員マスタ'!$F$5:$F$204,0)),IF(AK2323="","番号なし",AK2323)))</f>
        <v/>
      </c>
      <c r="D2323" s="47" t="n"/>
      <c r="E2323" s="47" t="n"/>
      <c r="F2323" s="47" t="n"/>
      <c r="G2323" s="47" t="n"/>
      <c r="H2323" s="47" t="n"/>
      <c r="I2323" s="47" t="n"/>
      <c r="J2323" s="47" t="n"/>
      <c r="K2323" s="47" t="n"/>
      <c r="L2323" s="47" t="n"/>
      <c r="M2323" s="47" t="n"/>
      <c r="N2323" s="47" t="n"/>
      <c r="O2323" s="47" t="n"/>
      <c r="P2323" s="47" t="n"/>
      <c r="Q2323" s="47" t="n"/>
      <c r="R2323" s="47" t="n"/>
      <c r="S2323" s="47" t="n"/>
      <c r="T2323" s="47" t="n"/>
      <c r="U2323" s="53" t="n"/>
      <c r="V2323" s="53" t="n"/>
      <c r="W2323" s="47" t="n"/>
      <c r="X2323" s="47" t="n"/>
      <c r="Y2323" s="47" t="n"/>
      <c r="Z2323" s="47" t="n"/>
      <c r="AA2323" s="47" t="n"/>
      <c r="AB2323" s="47" t="n"/>
      <c r="AC2323" s="47" t="n"/>
      <c r="AD2323" s="47" t="n"/>
      <c r="AE2323" s="47" t="n"/>
      <c r="AF2323" s="20">
        <f>IF(A2323="","",YEAR(EDATE(A2323,-3)))</f>
        <v/>
      </c>
      <c r="AG2323" s="20">
        <f>IF(OR(B2323="",'経歴簿'!$C$4=""),"",IF(B2323&amp;""='経歴簿'!$C$4&amp;"",MAX($AG$4:AG2322)+1,""))</f>
        <v/>
      </c>
      <c r="AH2323" s="20">
        <f>IF(A2323="",0,IF(AND(OR('CSV抽出'!$C$4="",A2323&gt;='CSV抽出'!$C$4),OR('CSV抽出'!$C$5="",A2323&lt;='CSV抽出'!$C$5),OR('CSV抽出'!$C$6="すべて",'CSV抽出'!$C$6="",D2323='CSV抽出'!$C$6),OR('CSV抽出'!$C$7="",B2323&amp;""='CSV抽出'!$C$7&amp;"")),1,0))</f>
        <v/>
      </c>
      <c r="AI2323" s="20">
        <f>IF(AH2323=1,SUM($AH$5:AH2323),"")</f>
        <v/>
      </c>
      <c r="AJ2323" s="20">
        <f>IF(OR(S2323="",'報告書'!$C$4=""),"",IF(S2323&amp;""='報告書'!$C$4&amp;"",COUNTIF($S$5:S2323,'報告書'!$C$4),""))</f>
        <v/>
      </c>
      <c r="AK2323" s="20" t="n"/>
      <c r="AL2323" s="47" t="n"/>
      <c r="AM2323" s="47" t="n"/>
      <c r="AN2323" s="53" t="n"/>
      <c r="AO2323" s="47" t="n"/>
      <c r="AP2323" s="47" t="n"/>
      <c r="AQ2323" s="47" t="n"/>
      <c r="AR2323" s="47" t="n"/>
      <c r="AS2323" s="47" t="n"/>
      <c r="AT2323" s="47" t="n"/>
      <c r="AU2323" s="47" t="n"/>
      <c r="AV2323" s="47" t="n"/>
      <c r="AW2323" s="52" t="n"/>
    </row>
    <row r="2324">
      <c r="A2324" s="48" t="n"/>
      <c r="B2324" s="52" t="n"/>
      <c r="C2324" s="47">
        <f>IF(B2324="","",IFERROR(INDEX('隊員マスタ'!$B$5:$B$204,MATCH(B2324&amp;"",'隊員マスタ'!$F$5:$F$204,0)),IF(AK2324="","番号なし",AK2324)))</f>
        <v/>
      </c>
      <c r="D2324" s="47" t="n"/>
      <c r="E2324" s="47" t="n"/>
      <c r="F2324" s="47" t="n"/>
      <c r="G2324" s="47" t="n"/>
      <c r="H2324" s="47" t="n"/>
      <c r="I2324" s="47" t="n"/>
      <c r="J2324" s="47" t="n"/>
      <c r="K2324" s="47" t="n"/>
      <c r="L2324" s="47" t="n"/>
      <c r="M2324" s="47" t="n"/>
      <c r="N2324" s="47" t="n"/>
      <c r="O2324" s="47" t="n"/>
      <c r="P2324" s="47" t="n"/>
      <c r="Q2324" s="47" t="n"/>
      <c r="R2324" s="47" t="n"/>
      <c r="S2324" s="47" t="n"/>
      <c r="T2324" s="47" t="n"/>
      <c r="U2324" s="53" t="n"/>
      <c r="V2324" s="53" t="n"/>
      <c r="W2324" s="47" t="n"/>
      <c r="X2324" s="47" t="n"/>
      <c r="Y2324" s="47" t="n"/>
      <c r="Z2324" s="47" t="n"/>
      <c r="AA2324" s="47" t="n"/>
      <c r="AB2324" s="47" t="n"/>
      <c r="AC2324" s="47" t="n"/>
      <c r="AD2324" s="47" t="n"/>
      <c r="AE2324" s="47" t="n"/>
      <c r="AF2324" s="20">
        <f>IF(A2324="","",YEAR(EDATE(A2324,-3)))</f>
        <v/>
      </c>
      <c r="AG2324" s="20">
        <f>IF(OR(B2324="",'経歴簿'!$C$4=""),"",IF(B2324&amp;""='経歴簿'!$C$4&amp;"",MAX($AG$4:AG2323)+1,""))</f>
        <v/>
      </c>
      <c r="AH2324" s="20">
        <f>IF(A2324="",0,IF(AND(OR('CSV抽出'!$C$4="",A2324&gt;='CSV抽出'!$C$4),OR('CSV抽出'!$C$5="",A2324&lt;='CSV抽出'!$C$5),OR('CSV抽出'!$C$6="すべて",'CSV抽出'!$C$6="",D2324='CSV抽出'!$C$6),OR('CSV抽出'!$C$7="",B2324&amp;""='CSV抽出'!$C$7&amp;"")),1,0))</f>
        <v/>
      </c>
      <c r="AI2324" s="20">
        <f>IF(AH2324=1,SUM($AH$5:AH2324),"")</f>
        <v/>
      </c>
      <c r="AJ2324" s="20">
        <f>IF(OR(S2324="",'報告書'!$C$4=""),"",IF(S2324&amp;""='報告書'!$C$4&amp;"",COUNTIF($S$5:S2324,'報告書'!$C$4),""))</f>
        <v/>
      </c>
      <c r="AK2324" s="20" t="n"/>
      <c r="AL2324" s="47" t="n"/>
      <c r="AM2324" s="47" t="n"/>
      <c r="AN2324" s="53" t="n"/>
      <c r="AO2324" s="47" t="n"/>
      <c r="AP2324" s="47" t="n"/>
      <c r="AQ2324" s="47" t="n"/>
      <c r="AR2324" s="47" t="n"/>
      <c r="AS2324" s="47" t="n"/>
      <c r="AT2324" s="47" t="n"/>
      <c r="AU2324" s="47" t="n"/>
      <c r="AV2324" s="47" t="n"/>
      <c r="AW2324" s="52" t="n"/>
    </row>
    <row r="2325">
      <c r="A2325" s="48" t="n"/>
      <c r="B2325" s="52" t="n"/>
      <c r="C2325" s="47">
        <f>IF(B2325="","",IFERROR(INDEX('隊員マスタ'!$B$5:$B$204,MATCH(B2325&amp;"",'隊員マスタ'!$F$5:$F$204,0)),IF(AK2325="","番号なし",AK2325)))</f>
        <v/>
      </c>
      <c r="D2325" s="47" t="n"/>
      <c r="E2325" s="47" t="n"/>
      <c r="F2325" s="47" t="n"/>
      <c r="G2325" s="47" t="n"/>
      <c r="H2325" s="47" t="n"/>
      <c r="I2325" s="47" t="n"/>
      <c r="J2325" s="47" t="n"/>
      <c r="K2325" s="47" t="n"/>
      <c r="L2325" s="47" t="n"/>
      <c r="M2325" s="47" t="n"/>
      <c r="N2325" s="47" t="n"/>
      <c r="O2325" s="47" t="n"/>
      <c r="P2325" s="47" t="n"/>
      <c r="Q2325" s="47" t="n"/>
      <c r="R2325" s="47" t="n"/>
      <c r="S2325" s="47" t="n"/>
      <c r="T2325" s="47" t="n"/>
      <c r="U2325" s="53" t="n"/>
      <c r="V2325" s="53" t="n"/>
      <c r="W2325" s="47" t="n"/>
      <c r="X2325" s="47" t="n"/>
      <c r="Y2325" s="47" t="n"/>
      <c r="Z2325" s="47" t="n"/>
      <c r="AA2325" s="47" t="n"/>
      <c r="AB2325" s="47" t="n"/>
      <c r="AC2325" s="47" t="n"/>
      <c r="AD2325" s="47" t="n"/>
      <c r="AE2325" s="47" t="n"/>
      <c r="AF2325" s="20">
        <f>IF(A2325="","",YEAR(EDATE(A2325,-3)))</f>
        <v/>
      </c>
      <c r="AG2325" s="20">
        <f>IF(OR(B2325="",'経歴簿'!$C$4=""),"",IF(B2325&amp;""='経歴簿'!$C$4&amp;"",MAX($AG$4:AG2324)+1,""))</f>
        <v/>
      </c>
      <c r="AH2325" s="20">
        <f>IF(A2325="",0,IF(AND(OR('CSV抽出'!$C$4="",A2325&gt;='CSV抽出'!$C$4),OR('CSV抽出'!$C$5="",A2325&lt;='CSV抽出'!$C$5),OR('CSV抽出'!$C$6="すべて",'CSV抽出'!$C$6="",D2325='CSV抽出'!$C$6),OR('CSV抽出'!$C$7="",B2325&amp;""='CSV抽出'!$C$7&amp;"")),1,0))</f>
        <v/>
      </c>
      <c r="AI2325" s="20">
        <f>IF(AH2325=1,SUM($AH$5:AH2325),"")</f>
        <v/>
      </c>
      <c r="AJ2325" s="20">
        <f>IF(OR(S2325="",'報告書'!$C$4=""),"",IF(S2325&amp;""='報告書'!$C$4&amp;"",COUNTIF($S$5:S2325,'報告書'!$C$4),""))</f>
        <v/>
      </c>
      <c r="AK2325" s="20" t="n"/>
      <c r="AL2325" s="47" t="n"/>
      <c r="AM2325" s="47" t="n"/>
      <c r="AN2325" s="53" t="n"/>
      <c r="AO2325" s="47" t="n"/>
      <c r="AP2325" s="47" t="n"/>
      <c r="AQ2325" s="47" t="n"/>
      <c r="AR2325" s="47" t="n"/>
      <c r="AS2325" s="47" t="n"/>
      <c r="AT2325" s="47" t="n"/>
      <c r="AU2325" s="47" t="n"/>
      <c r="AV2325" s="47" t="n"/>
      <c r="AW2325" s="52" t="n"/>
    </row>
    <row r="2326">
      <c r="A2326" s="48" t="n"/>
      <c r="B2326" s="52" t="n"/>
      <c r="C2326" s="47">
        <f>IF(B2326="","",IFERROR(INDEX('隊員マスタ'!$B$5:$B$204,MATCH(B2326&amp;"",'隊員マスタ'!$F$5:$F$204,0)),IF(AK2326="","番号なし",AK2326)))</f>
        <v/>
      </c>
      <c r="D2326" s="47" t="n"/>
      <c r="E2326" s="47" t="n"/>
      <c r="F2326" s="47" t="n"/>
      <c r="G2326" s="47" t="n"/>
      <c r="H2326" s="47" t="n"/>
      <c r="I2326" s="47" t="n"/>
      <c r="J2326" s="47" t="n"/>
      <c r="K2326" s="47" t="n"/>
      <c r="L2326" s="47" t="n"/>
      <c r="M2326" s="47" t="n"/>
      <c r="N2326" s="47" t="n"/>
      <c r="O2326" s="47" t="n"/>
      <c r="P2326" s="47" t="n"/>
      <c r="Q2326" s="47" t="n"/>
      <c r="R2326" s="47" t="n"/>
      <c r="S2326" s="47" t="n"/>
      <c r="T2326" s="47" t="n"/>
      <c r="U2326" s="53" t="n"/>
      <c r="V2326" s="53" t="n"/>
      <c r="W2326" s="47" t="n"/>
      <c r="X2326" s="47" t="n"/>
      <c r="Y2326" s="47" t="n"/>
      <c r="Z2326" s="47" t="n"/>
      <c r="AA2326" s="47" t="n"/>
      <c r="AB2326" s="47" t="n"/>
      <c r="AC2326" s="47" t="n"/>
      <c r="AD2326" s="47" t="n"/>
      <c r="AE2326" s="47" t="n"/>
      <c r="AF2326" s="20">
        <f>IF(A2326="","",YEAR(EDATE(A2326,-3)))</f>
        <v/>
      </c>
      <c r="AG2326" s="20">
        <f>IF(OR(B2326="",'経歴簿'!$C$4=""),"",IF(B2326&amp;""='経歴簿'!$C$4&amp;"",MAX($AG$4:AG2325)+1,""))</f>
        <v/>
      </c>
      <c r="AH2326" s="20">
        <f>IF(A2326="",0,IF(AND(OR('CSV抽出'!$C$4="",A2326&gt;='CSV抽出'!$C$4),OR('CSV抽出'!$C$5="",A2326&lt;='CSV抽出'!$C$5),OR('CSV抽出'!$C$6="すべて",'CSV抽出'!$C$6="",D2326='CSV抽出'!$C$6),OR('CSV抽出'!$C$7="",B2326&amp;""='CSV抽出'!$C$7&amp;"")),1,0))</f>
        <v/>
      </c>
      <c r="AI2326" s="20">
        <f>IF(AH2326=1,SUM($AH$5:AH2326),"")</f>
        <v/>
      </c>
      <c r="AJ2326" s="20">
        <f>IF(OR(S2326="",'報告書'!$C$4=""),"",IF(S2326&amp;""='報告書'!$C$4&amp;"",COUNTIF($S$5:S2326,'報告書'!$C$4),""))</f>
        <v/>
      </c>
      <c r="AK2326" s="20" t="n"/>
      <c r="AL2326" s="47" t="n"/>
      <c r="AM2326" s="47" t="n"/>
      <c r="AN2326" s="53" t="n"/>
      <c r="AO2326" s="47" t="n"/>
      <c r="AP2326" s="47" t="n"/>
      <c r="AQ2326" s="47" t="n"/>
      <c r="AR2326" s="47" t="n"/>
      <c r="AS2326" s="47" t="n"/>
      <c r="AT2326" s="47" t="n"/>
      <c r="AU2326" s="47" t="n"/>
      <c r="AV2326" s="47" t="n"/>
      <c r="AW2326" s="52" t="n"/>
    </row>
    <row r="2327">
      <c r="A2327" s="48" t="n"/>
      <c r="B2327" s="52" t="n"/>
      <c r="C2327" s="47">
        <f>IF(B2327="","",IFERROR(INDEX('隊員マスタ'!$B$5:$B$204,MATCH(B2327&amp;"",'隊員マスタ'!$F$5:$F$204,0)),IF(AK2327="","番号なし",AK2327)))</f>
        <v/>
      </c>
      <c r="D2327" s="47" t="n"/>
      <c r="E2327" s="47" t="n"/>
      <c r="F2327" s="47" t="n"/>
      <c r="G2327" s="47" t="n"/>
      <c r="H2327" s="47" t="n"/>
      <c r="I2327" s="47" t="n"/>
      <c r="J2327" s="47" t="n"/>
      <c r="K2327" s="47" t="n"/>
      <c r="L2327" s="47" t="n"/>
      <c r="M2327" s="47" t="n"/>
      <c r="N2327" s="47" t="n"/>
      <c r="O2327" s="47" t="n"/>
      <c r="P2327" s="47" t="n"/>
      <c r="Q2327" s="47" t="n"/>
      <c r="R2327" s="47" t="n"/>
      <c r="S2327" s="47" t="n"/>
      <c r="T2327" s="47" t="n"/>
      <c r="U2327" s="53" t="n"/>
      <c r="V2327" s="53" t="n"/>
      <c r="W2327" s="47" t="n"/>
      <c r="X2327" s="47" t="n"/>
      <c r="Y2327" s="47" t="n"/>
      <c r="Z2327" s="47" t="n"/>
      <c r="AA2327" s="47" t="n"/>
      <c r="AB2327" s="47" t="n"/>
      <c r="AC2327" s="47" t="n"/>
      <c r="AD2327" s="47" t="n"/>
      <c r="AE2327" s="47" t="n"/>
      <c r="AF2327" s="20">
        <f>IF(A2327="","",YEAR(EDATE(A2327,-3)))</f>
        <v/>
      </c>
      <c r="AG2327" s="20">
        <f>IF(OR(B2327="",'経歴簿'!$C$4=""),"",IF(B2327&amp;""='経歴簿'!$C$4&amp;"",MAX($AG$4:AG2326)+1,""))</f>
        <v/>
      </c>
      <c r="AH2327" s="20">
        <f>IF(A2327="",0,IF(AND(OR('CSV抽出'!$C$4="",A2327&gt;='CSV抽出'!$C$4),OR('CSV抽出'!$C$5="",A2327&lt;='CSV抽出'!$C$5),OR('CSV抽出'!$C$6="すべて",'CSV抽出'!$C$6="",D2327='CSV抽出'!$C$6),OR('CSV抽出'!$C$7="",B2327&amp;""='CSV抽出'!$C$7&amp;"")),1,0))</f>
        <v/>
      </c>
      <c r="AI2327" s="20">
        <f>IF(AH2327=1,SUM($AH$5:AH2327),"")</f>
        <v/>
      </c>
      <c r="AJ2327" s="20">
        <f>IF(OR(S2327="",'報告書'!$C$4=""),"",IF(S2327&amp;""='報告書'!$C$4&amp;"",COUNTIF($S$5:S2327,'報告書'!$C$4),""))</f>
        <v/>
      </c>
      <c r="AK2327" s="20" t="n"/>
      <c r="AL2327" s="47" t="n"/>
      <c r="AM2327" s="47" t="n"/>
      <c r="AN2327" s="53" t="n"/>
      <c r="AO2327" s="47" t="n"/>
      <c r="AP2327" s="47" t="n"/>
      <c r="AQ2327" s="47" t="n"/>
      <c r="AR2327" s="47" t="n"/>
      <c r="AS2327" s="47" t="n"/>
      <c r="AT2327" s="47" t="n"/>
      <c r="AU2327" s="47" t="n"/>
      <c r="AV2327" s="47" t="n"/>
      <c r="AW2327" s="52" t="n"/>
    </row>
    <row r="2328">
      <c r="A2328" s="48" t="n"/>
      <c r="B2328" s="52" t="n"/>
      <c r="C2328" s="47">
        <f>IF(B2328="","",IFERROR(INDEX('隊員マスタ'!$B$5:$B$204,MATCH(B2328&amp;"",'隊員マスタ'!$F$5:$F$204,0)),IF(AK2328="","番号なし",AK2328)))</f>
        <v/>
      </c>
      <c r="D2328" s="47" t="n"/>
      <c r="E2328" s="47" t="n"/>
      <c r="F2328" s="47" t="n"/>
      <c r="G2328" s="47" t="n"/>
      <c r="H2328" s="47" t="n"/>
      <c r="I2328" s="47" t="n"/>
      <c r="J2328" s="47" t="n"/>
      <c r="K2328" s="47" t="n"/>
      <c r="L2328" s="47" t="n"/>
      <c r="M2328" s="47" t="n"/>
      <c r="N2328" s="47" t="n"/>
      <c r="O2328" s="47" t="n"/>
      <c r="P2328" s="47" t="n"/>
      <c r="Q2328" s="47" t="n"/>
      <c r="R2328" s="47" t="n"/>
      <c r="S2328" s="47" t="n"/>
      <c r="T2328" s="47" t="n"/>
      <c r="U2328" s="53" t="n"/>
      <c r="V2328" s="53" t="n"/>
      <c r="W2328" s="47" t="n"/>
      <c r="X2328" s="47" t="n"/>
      <c r="Y2328" s="47" t="n"/>
      <c r="Z2328" s="47" t="n"/>
      <c r="AA2328" s="47" t="n"/>
      <c r="AB2328" s="47" t="n"/>
      <c r="AC2328" s="47" t="n"/>
      <c r="AD2328" s="47" t="n"/>
      <c r="AE2328" s="47" t="n"/>
      <c r="AF2328" s="20">
        <f>IF(A2328="","",YEAR(EDATE(A2328,-3)))</f>
        <v/>
      </c>
      <c r="AG2328" s="20">
        <f>IF(OR(B2328="",'経歴簿'!$C$4=""),"",IF(B2328&amp;""='経歴簿'!$C$4&amp;"",MAX($AG$4:AG2327)+1,""))</f>
        <v/>
      </c>
      <c r="AH2328" s="20">
        <f>IF(A2328="",0,IF(AND(OR('CSV抽出'!$C$4="",A2328&gt;='CSV抽出'!$C$4),OR('CSV抽出'!$C$5="",A2328&lt;='CSV抽出'!$C$5),OR('CSV抽出'!$C$6="すべて",'CSV抽出'!$C$6="",D2328='CSV抽出'!$C$6),OR('CSV抽出'!$C$7="",B2328&amp;""='CSV抽出'!$C$7&amp;"")),1,0))</f>
        <v/>
      </c>
      <c r="AI2328" s="20">
        <f>IF(AH2328=1,SUM($AH$5:AH2328),"")</f>
        <v/>
      </c>
      <c r="AJ2328" s="20">
        <f>IF(OR(S2328="",'報告書'!$C$4=""),"",IF(S2328&amp;""='報告書'!$C$4&amp;"",COUNTIF($S$5:S2328,'報告書'!$C$4),""))</f>
        <v/>
      </c>
      <c r="AK2328" s="20" t="n"/>
      <c r="AL2328" s="47" t="n"/>
      <c r="AM2328" s="47" t="n"/>
      <c r="AN2328" s="53" t="n"/>
      <c r="AO2328" s="47" t="n"/>
      <c r="AP2328" s="47" t="n"/>
      <c r="AQ2328" s="47" t="n"/>
      <c r="AR2328" s="47" t="n"/>
      <c r="AS2328" s="47" t="n"/>
      <c r="AT2328" s="47" t="n"/>
      <c r="AU2328" s="47" t="n"/>
      <c r="AV2328" s="47" t="n"/>
      <c r="AW2328" s="52" t="n"/>
    </row>
    <row r="2329">
      <c r="A2329" s="48" t="n"/>
      <c r="B2329" s="52" t="n"/>
      <c r="C2329" s="47">
        <f>IF(B2329="","",IFERROR(INDEX('隊員マスタ'!$B$5:$B$204,MATCH(B2329&amp;"",'隊員マスタ'!$F$5:$F$204,0)),IF(AK2329="","番号なし",AK2329)))</f>
        <v/>
      </c>
      <c r="D2329" s="47" t="n"/>
      <c r="E2329" s="47" t="n"/>
      <c r="F2329" s="47" t="n"/>
      <c r="G2329" s="47" t="n"/>
      <c r="H2329" s="47" t="n"/>
      <c r="I2329" s="47" t="n"/>
      <c r="J2329" s="47" t="n"/>
      <c r="K2329" s="47" t="n"/>
      <c r="L2329" s="47" t="n"/>
      <c r="M2329" s="47" t="n"/>
      <c r="N2329" s="47" t="n"/>
      <c r="O2329" s="47" t="n"/>
      <c r="P2329" s="47" t="n"/>
      <c r="Q2329" s="47" t="n"/>
      <c r="R2329" s="47" t="n"/>
      <c r="S2329" s="47" t="n"/>
      <c r="T2329" s="47" t="n"/>
      <c r="U2329" s="53" t="n"/>
      <c r="V2329" s="53" t="n"/>
      <c r="W2329" s="47" t="n"/>
      <c r="X2329" s="47" t="n"/>
      <c r="Y2329" s="47" t="n"/>
      <c r="Z2329" s="47" t="n"/>
      <c r="AA2329" s="47" t="n"/>
      <c r="AB2329" s="47" t="n"/>
      <c r="AC2329" s="47" t="n"/>
      <c r="AD2329" s="47" t="n"/>
      <c r="AE2329" s="47" t="n"/>
      <c r="AF2329" s="20">
        <f>IF(A2329="","",YEAR(EDATE(A2329,-3)))</f>
        <v/>
      </c>
      <c r="AG2329" s="20">
        <f>IF(OR(B2329="",'経歴簿'!$C$4=""),"",IF(B2329&amp;""='経歴簿'!$C$4&amp;"",MAX($AG$4:AG2328)+1,""))</f>
        <v/>
      </c>
      <c r="AH2329" s="20">
        <f>IF(A2329="",0,IF(AND(OR('CSV抽出'!$C$4="",A2329&gt;='CSV抽出'!$C$4),OR('CSV抽出'!$C$5="",A2329&lt;='CSV抽出'!$C$5),OR('CSV抽出'!$C$6="すべて",'CSV抽出'!$C$6="",D2329='CSV抽出'!$C$6),OR('CSV抽出'!$C$7="",B2329&amp;""='CSV抽出'!$C$7&amp;"")),1,0))</f>
        <v/>
      </c>
      <c r="AI2329" s="20">
        <f>IF(AH2329=1,SUM($AH$5:AH2329),"")</f>
        <v/>
      </c>
      <c r="AJ2329" s="20">
        <f>IF(OR(S2329="",'報告書'!$C$4=""),"",IF(S2329&amp;""='報告書'!$C$4&amp;"",COUNTIF($S$5:S2329,'報告書'!$C$4),""))</f>
        <v/>
      </c>
      <c r="AK2329" s="20" t="n"/>
      <c r="AL2329" s="47" t="n"/>
      <c r="AM2329" s="47" t="n"/>
      <c r="AN2329" s="53" t="n"/>
      <c r="AO2329" s="47" t="n"/>
      <c r="AP2329" s="47" t="n"/>
      <c r="AQ2329" s="47" t="n"/>
      <c r="AR2329" s="47" t="n"/>
      <c r="AS2329" s="47" t="n"/>
      <c r="AT2329" s="47" t="n"/>
      <c r="AU2329" s="47" t="n"/>
      <c r="AV2329" s="47" t="n"/>
      <c r="AW2329" s="52" t="n"/>
    </row>
    <row r="2330">
      <c r="A2330" s="48" t="n"/>
      <c r="B2330" s="52" t="n"/>
      <c r="C2330" s="47">
        <f>IF(B2330="","",IFERROR(INDEX('隊員マスタ'!$B$5:$B$204,MATCH(B2330&amp;"",'隊員マスタ'!$F$5:$F$204,0)),IF(AK2330="","番号なし",AK2330)))</f>
        <v/>
      </c>
      <c r="D2330" s="47" t="n"/>
      <c r="E2330" s="47" t="n"/>
      <c r="F2330" s="47" t="n"/>
      <c r="G2330" s="47" t="n"/>
      <c r="H2330" s="47" t="n"/>
      <c r="I2330" s="47" t="n"/>
      <c r="J2330" s="47" t="n"/>
      <c r="K2330" s="47" t="n"/>
      <c r="L2330" s="47" t="n"/>
      <c r="M2330" s="47" t="n"/>
      <c r="N2330" s="47" t="n"/>
      <c r="O2330" s="47" t="n"/>
      <c r="P2330" s="47" t="n"/>
      <c r="Q2330" s="47" t="n"/>
      <c r="R2330" s="47" t="n"/>
      <c r="S2330" s="47" t="n"/>
      <c r="T2330" s="47" t="n"/>
      <c r="U2330" s="53" t="n"/>
      <c r="V2330" s="53" t="n"/>
      <c r="W2330" s="47" t="n"/>
      <c r="X2330" s="47" t="n"/>
      <c r="Y2330" s="47" t="n"/>
      <c r="Z2330" s="47" t="n"/>
      <c r="AA2330" s="47" t="n"/>
      <c r="AB2330" s="47" t="n"/>
      <c r="AC2330" s="47" t="n"/>
      <c r="AD2330" s="47" t="n"/>
      <c r="AE2330" s="47" t="n"/>
      <c r="AF2330" s="20">
        <f>IF(A2330="","",YEAR(EDATE(A2330,-3)))</f>
        <v/>
      </c>
      <c r="AG2330" s="20">
        <f>IF(OR(B2330="",'経歴簿'!$C$4=""),"",IF(B2330&amp;""='経歴簿'!$C$4&amp;"",MAX($AG$4:AG2329)+1,""))</f>
        <v/>
      </c>
      <c r="AH2330" s="20">
        <f>IF(A2330="",0,IF(AND(OR('CSV抽出'!$C$4="",A2330&gt;='CSV抽出'!$C$4),OR('CSV抽出'!$C$5="",A2330&lt;='CSV抽出'!$C$5),OR('CSV抽出'!$C$6="すべて",'CSV抽出'!$C$6="",D2330='CSV抽出'!$C$6),OR('CSV抽出'!$C$7="",B2330&amp;""='CSV抽出'!$C$7&amp;"")),1,0))</f>
        <v/>
      </c>
      <c r="AI2330" s="20">
        <f>IF(AH2330=1,SUM($AH$5:AH2330),"")</f>
        <v/>
      </c>
      <c r="AJ2330" s="20">
        <f>IF(OR(S2330="",'報告書'!$C$4=""),"",IF(S2330&amp;""='報告書'!$C$4&amp;"",COUNTIF($S$5:S2330,'報告書'!$C$4),""))</f>
        <v/>
      </c>
      <c r="AK2330" s="20" t="n"/>
      <c r="AL2330" s="47" t="n"/>
      <c r="AM2330" s="47" t="n"/>
      <c r="AN2330" s="53" t="n"/>
      <c r="AO2330" s="47" t="n"/>
      <c r="AP2330" s="47" t="n"/>
      <c r="AQ2330" s="47" t="n"/>
      <c r="AR2330" s="47" t="n"/>
      <c r="AS2330" s="47" t="n"/>
      <c r="AT2330" s="47" t="n"/>
      <c r="AU2330" s="47" t="n"/>
      <c r="AV2330" s="47" t="n"/>
      <c r="AW2330" s="52" t="n"/>
    </row>
    <row r="2331">
      <c r="A2331" s="48" t="n"/>
      <c r="B2331" s="52" t="n"/>
      <c r="C2331" s="47">
        <f>IF(B2331="","",IFERROR(INDEX('隊員マスタ'!$B$5:$B$204,MATCH(B2331&amp;"",'隊員マスタ'!$F$5:$F$204,0)),IF(AK2331="","番号なし",AK2331)))</f>
        <v/>
      </c>
      <c r="D2331" s="47" t="n"/>
      <c r="E2331" s="47" t="n"/>
      <c r="F2331" s="47" t="n"/>
      <c r="G2331" s="47" t="n"/>
      <c r="H2331" s="47" t="n"/>
      <c r="I2331" s="47" t="n"/>
      <c r="J2331" s="47" t="n"/>
      <c r="K2331" s="47" t="n"/>
      <c r="L2331" s="47" t="n"/>
      <c r="M2331" s="47" t="n"/>
      <c r="N2331" s="47" t="n"/>
      <c r="O2331" s="47" t="n"/>
      <c r="P2331" s="47" t="n"/>
      <c r="Q2331" s="47" t="n"/>
      <c r="R2331" s="47" t="n"/>
      <c r="S2331" s="47" t="n"/>
      <c r="T2331" s="47" t="n"/>
      <c r="U2331" s="53" t="n"/>
      <c r="V2331" s="53" t="n"/>
      <c r="W2331" s="47" t="n"/>
      <c r="X2331" s="47" t="n"/>
      <c r="Y2331" s="47" t="n"/>
      <c r="Z2331" s="47" t="n"/>
      <c r="AA2331" s="47" t="n"/>
      <c r="AB2331" s="47" t="n"/>
      <c r="AC2331" s="47" t="n"/>
      <c r="AD2331" s="47" t="n"/>
      <c r="AE2331" s="47" t="n"/>
      <c r="AF2331" s="20">
        <f>IF(A2331="","",YEAR(EDATE(A2331,-3)))</f>
        <v/>
      </c>
      <c r="AG2331" s="20">
        <f>IF(OR(B2331="",'経歴簿'!$C$4=""),"",IF(B2331&amp;""='経歴簿'!$C$4&amp;"",MAX($AG$4:AG2330)+1,""))</f>
        <v/>
      </c>
      <c r="AH2331" s="20">
        <f>IF(A2331="",0,IF(AND(OR('CSV抽出'!$C$4="",A2331&gt;='CSV抽出'!$C$4),OR('CSV抽出'!$C$5="",A2331&lt;='CSV抽出'!$C$5),OR('CSV抽出'!$C$6="すべて",'CSV抽出'!$C$6="",D2331='CSV抽出'!$C$6),OR('CSV抽出'!$C$7="",B2331&amp;""='CSV抽出'!$C$7&amp;"")),1,0))</f>
        <v/>
      </c>
      <c r="AI2331" s="20">
        <f>IF(AH2331=1,SUM($AH$5:AH2331),"")</f>
        <v/>
      </c>
      <c r="AJ2331" s="20">
        <f>IF(OR(S2331="",'報告書'!$C$4=""),"",IF(S2331&amp;""='報告書'!$C$4&amp;"",COUNTIF($S$5:S2331,'報告書'!$C$4),""))</f>
        <v/>
      </c>
      <c r="AK2331" s="20" t="n"/>
      <c r="AL2331" s="47" t="n"/>
      <c r="AM2331" s="47" t="n"/>
      <c r="AN2331" s="53" t="n"/>
      <c r="AO2331" s="47" t="n"/>
      <c r="AP2331" s="47" t="n"/>
      <c r="AQ2331" s="47" t="n"/>
      <c r="AR2331" s="47" t="n"/>
      <c r="AS2331" s="47" t="n"/>
      <c r="AT2331" s="47" t="n"/>
      <c r="AU2331" s="47" t="n"/>
      <c r="AV2331" s="47" t="n"/>
      <c r="AW2331" s="52" t="n"/>
    </row>
    <row r="2332">
      <c r="A2332" s="48" t="n"/>
      <c r="B2332" s="52" t="n"/>
      <c r="C2332" s="47">
        <f>IF(B2332="","",IFERROR(INDEX('隊員マスタ'!$B$5:$B$204,MATCH(B2332&amp;"",'隊員マスタ'!$F$5:$F$204,0)),IF(AK2332="","番号なし",AK2332)))</f>
        <v/>
      </c>
      <c r="D2332" s="47" t="n"/>
      <c r="E2332" s="47" t="n"/>
      <c r="F2332" s="47" t="n"/>
      <c r="G2332" s="47" t="n"/>
      <c r="H2332" s="47" t="n"/>
      <c r="I2332" s="47" t="n"/>
      <c r="J2332" s="47" t="n"/>
      <c r="K2332" s="47" t="n"/>
      <c r="L2332" s="47" t="n"/>
      <c r="M2332" s="47" t="n"/>
      <c r="N2332" s="47" t="n"/>
      <c r="O2332" s="47" t="n"/>
      <c r="P2332" s="47" t="n"/>
      <c r="Q2332" s="47" t="n"/>
      <c r="R2332" s="47" t="n"/>
      <c r="S2332" s="47" t="n"/>
      <c r="T2332" s="47" t="n"/>
      <c r="U2332" s="53" t="n"/>
      <c r="V2332" s="53" t="n"/>
      <c r="W2332" s="47" t="n"/>
      <c r="X2332" s="47" t="n"/>
      <c r="Y2332" s="47" t="n"/>
      <c r="Z2332" s="47" t="n"/>
      <c r="AA2332" s="47" t="n"/>
      <c r="AB2332" s="47" t="n"/>
      <c r="AC2332" s="47" t="n"/>
      <c r="AD2332" s="47" t="n"/>
      <c r="AE2332" s="47" t="n"/>
      <c r="AF2332" s="20">
        <f>IF(A2332="","",YEAR(EDATE(A2332,-3)))</f>
        <v/>
      </c>
      <c r="AG2332" s="20">
        <f>IF(OR(B2332="",'経歴簿'!$C$4=""),"",IF(B2332&amp;""='経歴簿'!$C$4&amp;"",MAX($AG$4:AG2331)+1,""))</f>
        <v/>
      </c>
      <c r="AH2332" s="20">
        <f>IF(A2332="",0,IF(AND(OR('CSV抽出'!$C$4="",A2332&gt;='CSV抽出'!$C$4),OR('CSV抽出'!$C$5="",A2332&lt;='CSV抽出'!$C$5),OR('CSV抽出'!$C$6="すべて",'CSV抽出'!$C$6="",D2332='CSV抽出'!$C$6),OR('CSV抽出'!$C$7="",B2332&amp;""='CSV抽出'!$C$7&amp;"")),1,0))</f>
        <v/>
      </c>
      <c r="AI2332" s="20">
        <f>IF(AH2332=1,SUM($AH$5:AH2332),"")</f>
        <v/>
      </c>
      <c r="AJ2332" s="20">
        <f>IF(OR(S2332="",'報告書'!$C$4=""),"",IF(S2332&amp;""='報告書'!$C$4&amp;"",COUNTIF($S$5:S2332,'報告書'!$C$4),""))</f>
        <v/>
      </c>
      <c r="AK2332" s="20" t="n"/>
      <c r="AL2332" s="47" t="n"/>
      <c r="AM2332" s="47" t="n"/>
      <c r="AN2332" s="53" t="n"/>
      <c r="AO2332" s="47" t="n"/>
      <c r="AP2332" s="47" t="n"/>
      <c r="AQ2332" s="47" t="n"/>
      <c r="AR2332" s="47" t="n"/>
      <c r="AS2332" s="47" t="n"/>
      <c r="AT2332" s="47" t="n"/>
      <c r="AU2332" s="47" t="n"/>
      <c r="AV2332" s="47" t="n"/>
      <c r="AW2332" s="52" t="n"/>
    </row>
    <row r="2333">
      <c r="A2333" s="48" t="n"/>
      <c r="B2333" s="52" t="n"/>
      <c r="C2333" s="47">
        <f>IF(B2333="","",IFERROR(INDEX('隊員マスタ'!$B$5:$B$204,MATCH(B2333&amp;"",'隊員マスタ'!$F$5:$F$204,0)),IF(AK2333="","番号なし",AK2333)))</f>
        <v/>
      </c>
      <c r="D2333" s="47" t="n"/>
      <c r="E2333" s="47" t="n"/>
      <c r="F2333" s="47" t="n"/>
      <c r="G2333" s="47" t="n"/>
      <c r="H2333" s="47" t="n"/>
      <c r="I2333" s="47" t="n"/>
      <c r="J2333" s="47" t="n"/>
      <c r="K2333" s="47" t="n"/>
      <c r="L2333" s="47" t="n"/>
      <c r="M2333" s="47" t="n"/>
      <c r="N2333" s="47" t="n"/>
      <c r="O2333" s="47" t="n"/>
      <c r="P2333" s="47" t="n"/>
      <c r="Q2333" s="47" t="n"/>
      <c r="R2333" s="47" t="n"/>
      <c r="S2333" s="47" t="n"/>
      <c r="T2333" s="47" t="n"/>
      <c r="U2333" s="53" t="n"/>
      <c r="V2333" s="53" t="n"/>
      <c r="W2333" s="47" t="n"/>
      <c r="X2333" s="47" t="n"/>
      <c r="Y2333" s="47" t="n"/>
      <c r="Z2333" s="47" t="n"/>
      <c r="AA2333" s="47" t="n"/>
      <c r="AB2333" s="47" t="n"/>
      <c r="AC2333" s="47" t="n"/>
      <c r="AD2333" s="47" t="n"/>
      <c r="AE2333" s="47" t="n"/>
      <c r="AF2333" s="20">
        <f>IF(A2333="","",YEAR(EDATE(A2333,-3)))</f>
        <v/>
      </c>
      <c r="AG2333" s="20">
        <f>IF(OR(B2333="",'経歴簿'!$C$4=""),"",IF(B2333&amp;""='経歴簿'!$C$4&amp;"",MAX($AG$4:AG2332)+1,""))</f>
        <v/>
      </c>
      <c r="AH2333" s="20">
        <f>IF(A2333="",0,IF(AND(OR('CSV抽出'!$C$4="",A2333&gt;='CSV抽出'!$C$4),OR('CSV抽出'!$C$5="",A2333&lt;='CSV抽出'!$C$5),OR('CSV抽出'!$C$6="すべて",'CSV抽出'!$C$6="",D2333='CSV抽出'!$C$6),OR('CSV抽出'!$C$7="",B2333&amp;""='CSV抽出'!$C$7&amp;"")),1,0))</f>
        <v/>
      </c>
      <c r="AI2333" s="20">
        <f>IF(AH2333=1,SUM($AH$5:AH2333),"")</f>
        <v/>
      </c>
      <c r="AJ2333" s="20">
        <f>IF(OR(S2333="",'報告書'!$C$4=""),"",IF(S2333&amp;""='報告書'!$C$4&amp;"",COUNTIF($S$5:S2333,'報告書'!$C$4),""))</f>
        <v/>
      </c>
      <c r="AK2333" s="20" t="n"/>
      <c r="AL2333" s="47" t="n"/>
      <c r="AM2333" s="47" t="n"/>
      <c r="AN2333" s="53" t="n"/>
      <c r="AO2333" s="47" t="n"/>
      <c r="AP2333" s="47" t="n"/>
      <c r="AQ2333" s="47" t="n"/>
      <c r="AR2333" s="47" t="n"/>
      <c r="AS2333" s="47" t="n"/>
      <c r="AT2333" s="47" t="n"/>
      <c r="AU2333" s="47" t="n"/>
      <c r="AV2333" s="47" t="n"/>
      <c r="AW2333" s="52" t="n"/>
    </row>
    <row r="2334">
      <c r="A2334" s="48" t="n"/>
      <c r="B2334" s="52" t="n"/>
      <c r="C2334" s="47">
        <f>IF(B2334="","",IFERROR(INDEX('隊員マスタ'!$B$5:$B$204,MATCH(B2334&amp;"",'隊員マスタ'!$F$5:$F$204,0)),IF(AK2334="","番号なし",AK2334)))</f>
        <v/>
      </c>
      <c r="D2334" s="47" t="n"/>
      <c r="E2334" s="47" t="n"/>
      <c r="F2334" s="47" t="n"/>
      <c r="G2334" s="47" t="n"/>
      <c r="H2334" s="47" t="n"/>
      <c r="I2334" s="47" t="n"/>
      <c r="J2334" s="47" t="n"/>
      <c r="K2334" s="47" t="n"/>
      <c r="L2334" s="47" t="n"/>
      <c r="M2334" s="47" t="n"/>
      <c r="N2334" s="47" t="n"/>
      <c r="O2334" s="47" t="n"/>
      <c r="P2334" s="47" t="n"/>
      <c r="Q2334" s="47" t="n"/>
      <c r="R2334" s="47" t="n"/>
      <c r="S2334" s="47" t="n"/>
      <c r="T2334" s="47" t="n"/>
      <c r="U2334" s="53" t="n"/>
      <c r="V2334" s="53" t="n"/>
      <c r="W2334" s="47" t="n"/>
      <c r="X2334" s="47" t="n"/>
      <c r="Y2334" s="47" t="n"/>
      <c r="Z2334" s="47" t="n"/>
      <c r="AA2334" s="47" t="n"/>
      <c r="AB2334" s="47" t="n"/>
      <c r="AC2334" s="47" t="n"/>
      <c r="AD2334" s="47" t="n"/>
      <c r="AE2334" s="47" t="n"/>
      <c r="AF2334" s="20">
        <f>IF(A2334="","",YEAR(EDATE(A2334,-3)))</f>
        <v/>
      </c>
      <c r="AG2334" s="20">
        <f>IF(OR(B2334="",'経歴簿'!$C$4=""),"",IF(B2334&amp;""='経歴簿'!$C$4&amp;"",MAX($AG$4:AG2333)+1,""))</f>
        <v/>
      </c>
      <c r="AH2334" s="20">
        <f>IF(A2334="",0,IF(AND(OR('CSV抽出'!$C$4="",A2334&gt;='CSV抽出'!$C$4),OR('CSV抽出'!$C$5="",A2334&lt;='CSV抽出'!$C$5),OR('CSV抽出'!$C$6="すべて",'CSV抽出'!$C$6="",D2334='CSV抽出'!$C$6),OR('CSV抽出'!$C$7="",B2334&amp;""='CSV抽出'!$C$7&amp;"")),1,0))</f>
        <v/>
      </c>
      <c r="AI2334" s="20">
        <f>IF(AH2334=1,SUM($AH$5:AH2334),"")</f>
        <v/>
      </c>
      <c r="AJ2334" s="20">
        <f>IF(OR(S2334="",'報告書'!$C$4=""),"",IF(S2334&amp;""='報告書'!$C$4&amp;"",COUNTIF($S$5:S2334,'報告書'!$C$4),""))</f>
        <v/>
      </c>
      <c r="AK2334" s="20" t="n"/>
      <c r="AL2334" s="47" t="n"/>
      <c r="AM2334" s="47" t="n"/>
      <c r="AN2334" s="53" t="n"/>
      <c r="AO2334" s="47" t="n"/>
      <c r="AP2334" s="47" t="n"/>
      <c r="AQ2334" s="47" t="n"/>
      <c r="AR2334" s="47" t="n"/>
      <c r="AS2334" s="47" t="n"/>
      <c r="AT2334" s="47" t="n"/>
      <c r="AU2334" s="47" t="n"/>
      <c r="AV2334" s="47" t="n"/>
      <c r="AW2334" s="52" t="n"/>
    </row>
    <row r="2335">
      <c r="A2335" s="48" t="n"/>
      <c r="B2335" s="52" t="n"/>
      <c r="C2335" s="47">
        <f>IF(B2335="","",IFERROR(INDEX('隊員マスタ'!$B$5:$B$204,MATCH(B2335&amp;"",'隊員マスタ'!$F$5:$F$204,0)),IF(AK2335="","番号なし",AK2335)))</f>
        <v/>
      </c>
      <c r="D2335" s="47" t="n"/>
      <c r="E2335" s="47" t="n"/>
      <c r="F2335" s="47" t="n"/>
      <c r="G2335" s="47" t="n"/>
      <c r="H2335" s="47" t="n"/>
      <c r="I2335" s="47" t="n"/>
      <c r="J2335" s="47" t="n"/>
      <c r="K2335" s="47" t="n"/>
      <c r="L2335" s="47" t="n"/>
      <c r="M2335" s="47" t="n"/>
      <c r="N2335" s="47" t="n"/>
      <c r="O2335" s="47" t="n"/>
      <c r="P2335" s="47" t="n"/>
      <c r="Q2335" s="47" t="n"/>
      <c r="R2335" s="47" t="n"/>
      <c r="S2335" s="47" t="n"/>
      <c r="T2335" s="47" t="n"/>
      <c r="U2335" s="53" t="n"/>
      <c r="V2335" s="53" t="n"/>
      <c r="W2335" s="47" t="n"/>
      <c r="X2335" s="47" t="n"/>
      <c r="Y2335" s="47" t="n"/>
      <c r="Z2335" s="47" t="n"/>
      <c r="AA2335" s="47" t="n"/>
      <c r="AB2335" s="47" t="n"/>
      <c r="AC2335" s="47" t="n"/>
      <c r="AD2335" s="47" t="n"/>
      <c r="AE2335" s="47" t="n"/>
      <c r="AF2335" s="20">
        <f>IF(A2335="","",YEAR(EDATE(A2335,-3)))</f>
        <v/>
      </c>
      <c r="AG2335" s="20">
        <f>IF(OR(B2335="",'経歴簿'!$C$4=""),"",IF(B2335&amp;""='経歴簿'!$C$4&amp;"",MAX($AG$4:AG2334)+1,""))</f>
        <v/>
      </c>
      <c r="AH2335" s="20">
        <f>IF(A2335="",0,IF(AND(OR('CSV抽出'!$C$4="",A2335&gt;='CSV抽出'!$C$4),OR('CSV抽出'!$C$5="",A2335&lt;='CSV抽出'!$C$5),OR('CSV抽出'!$C$6="すべて",'CSV抽出'!$C$6="",D2335='CSV抽出'!$C$6),OR('CSV抽出'!$C$7="",B2335&amp;""='CSV抽出'!$C$7&amp;"")),1,0))</f>
        <v/>
      </c>
      <c r="AI2335" s="20">
        <f>IF(AH2335=1,SUM($AH$5:AH2335),"")</f>
        <v/>
      </c>
      <c r="AJ2335" s="20">
        <f>IF(OR(S2335="",'報告書'!$C$4=""),"",IF(S2335&amp;""='報告書'!$C$4&amp;"",COUNTIF($S$5:S2335,'報告書'!$C$4),""))</f>
        <v/>
      </c>
      <c r="AK2335" s="20" t="n"/>
      <c r="AL2335" s="47" t="n"/>
      <c r="AM2335" s="47" t="n"/>
      <c r="AN2335" s="53" t="n"/>
      <c r="AO2335" s="47" t="n"/>
      <c r="AP2335" s="47" t="n"/>
      <c r="AQ2335" s="47" t="n"/>
      <c r="AR2335" s="47" t="n"/>
      <c r="AS2335" s="47" t="n"/>
      <c r="AT2335" s="47" t="n"/>
      <c r="AU2335" s="47" t="n"/>
      <c r="AV2335" s="47" t="n"/>
      <c r="AW2335" s="52" t="n"/>
    </row>
    <row r="2336">
      <c r="A2336" s="48" t="n"/>
      <c r="B2336" s="52" t="n"/>
      <c r="C2336" s="47">
        <f>IF(B2336="","",IFERROR(INDEX('隊員マスタ'!$B$5:$B$204,MATCH(B2336&amp;"",'隊員マスタ'!$F$5:$F$204,0)),IF(AK2336="","番号なし",AK2336)))</f>
        <v/>
      </c>
      <c r="D2336" s="47" t="n"/>
      <c r="E2336" s="47" t="n"/>
      <c r="F2336" s="47" t="n"/>
      <c r="G2336" s="47" t="n"/>
      <c r="H2336" s="47" t="n"/>
      <c r="I2336" s="47" t="n"/>
      <c r="J2336" s="47" t="n"/>
      <c r="K2336" s="47" t="n"/>
      <c r="L2336" s="47" t="n"/>
      <c r="M2336" s="47" t="n"/>
      <c r="N2336" s="47" t="n"/>
      <c r="O2336" s="47" t="n"/>
      <c r="P2336" s="47" t="n"/>
      <c r="Q2336" s="47" t="n"/>
      <c r="R2336" s="47" t="n"/>
      <c r="S2336" s="47" t="n"/>
      <c r="T2336" s="47" t="n"/>
      <c r="U2336" s="53" t="n"/>
      <c r="V2336" s="53" t="n"/>
      <c r="W2336" s="47" t="n"/>
      <c r="X2336" s="47" t="n"/>
      <c r="Y2336" s="47" t="n"/>
      <c r="Z2336" s="47" t="n"/>
      <c r="AA2336" s="47" t="n"/>
      <c r="AB2336" s="47" t="n"/>
      <c r="AC2336" s="47" t="n"/>
      <c r="AD2336" s="47" t="n"/>
      <c r="AE2336" s="47" t="n"/>
      <c r="AF2336" s="20">
        <f>IF(A2336="","",YEAR(EDATE(A2336,-3)))</f>
        <v/>
      </c>
      <c r="AG2336" s="20">
        <f>IF(OR(B2336="",'経歴簿'!$C$4=""),"",IF(B2336&amp;""='経歴簿'!$C$4&amp;"",MAX($AG$4:AG2335)+1,""))</f>
        <v/>
      </c>
      <c r="AH2336" s="20">
        <f>IF(A2336="",0,IF(AND(OR('CSV抽出'!$C$4="",A2336&gt;='CSV抽出'!$C$4),OR('CSV抽出'!$C$5="",A2336&lt;='CSV抽出'!$C$5),OR('CSV抽出'!$C$6="すべて",'CSV抽出'!$C$6="",D2336='CSV抽出'!$C$6),OR('CSV抽出'!$C$7="",B2336&amp;""='CSV抽出'!$C$7&amp;"")),1,0))</f>
        <v/>
      </c>
      <c r="AI2336" s="20">
        <f>IF(AH2336=1,SUM($AH$5:AH2336),"")</f>
        <v/>
      </c>
      <c r="AJ2336" s="20">
        <f>IF(OR(S2336="",'報告書'!$C$4=""),"",IF(S2336&amp;""='報告書'!$C$4&amp;"",COUNTIF($S$5:S2336,'報告書'!$C$4),""))</f>
        <v/>
      </c>
      <c r="AK2336" s="20" t="n"/>
      <c r="AL2336" s="47" t="n"/>
      <c r="AM2336" s="47" t="n"/>
      <c r="AN2336" s="53" t="n"/>
      <c r="AO2336" s="47" t="n"/>
      <c r="AP2336" s="47" t="n"/>
      <c r="AQ2336" s="47" t="n"/>
      <c r="AR2336" s="47" t="n"/>
      <c r="AS2336" s="47" t="n"/>
      <c r="AT2336" s="47" t="n"/>
      <c r="AU2336" s="47" t="n"/>
      <c r="AV2336" s="47" t="n"/>
      <c r="AW2336" s="52" t="n"/>
    </row>
    <row r="2337">
      <c r="A2337" s="48" t="n"/>
      <c r="B2337" s="52" t="n"/>
      <c r="C2337" s="47">
        <f>IF(B2337="","",IFERROR(INDEX('隊員マスタ'!$B$5:$B$204,MATCH(B2337&amp;"",'隊員マスタ'!$F$5:$F$204,0)),IF(AK2337="","番号なし",AK2337)))</f>
        <v/>
      </c>
      <c r="D2337" s="47" t="n"/>
      <c r="E2337" s="47" t="n"/>
      <c r="F2337" s="47" t="n"/>
      <c r="G2337" s="47" t="n"/>
      <c r="H2337" s="47" t="n"/>
      <c r="I2337" s="47" t="n"/>
      <c r="J2337" s="47" t="n"/>
      <c r="K2337" s="47" t="n"/>
      <c r="L2337" s="47" t="n"/>
      <c r="M2337" s="47" t="n"/>
      <c r="N2337" s="47" t="n"/>
      <c r="O2337" s="47" t="n"/>
      <c r="P2337" s="47" t="n"/>
      <c r="Q2337" s="47" t="n"/>
      <c r="R2337" s="47" t="n"/>
      <c r="S2337" s="47" t="n"/>
      <c r="T2337" s="47" t="n"/>
      <c r="U2337" s="53" t="n"/>
      <c r="V2337" s="53" t="n"/>
      <c r="W2337" s="47" t="n"/>
      <c r="X2337" s="47" t="n"/>
      <c r="Y2337" s="47" t="n"/>
      <c r="Z2337" s="47" t="n"/>
      <c r="AA2337" s="47" t="n"/>
      <c r="AB2337" s="47" t="n"/>
      <c r="AC2337" s="47" t="n"/>
      <c r="AD2337" s="47" t="n"/>
      <c r="AE2337" s="47" t="n"/>
      <c r="AF2337" s="20">
        <f>IF(A2337="","",YEAR(EDATE(A2337,-3)))</f>
        <v/>
      </c>
      <c r="AG2337" s="20">
        <f>IF(OR(B2337="",'経歴簿'!$C$4=""),"",IF(B2337&amp;""='経歴簿'!$C$4&amp;"",MAX($AG$4:AG2336)+1,""))</f>
        <v/>
      </c>
      <c r="AH2337" s="20">
        <f>IF(A2337="",0,IF(AND(OR('CSV抽出'!$C$4="",A2337&gt;='CSV抽出'!$C$4),OR('CSV抽出'!$C$5="",A2337&lt;='CSV抽出'!$C$5),OR('CSV抽出'!$C$6="すべて",'CSV抽出'!$C$6="",D2337='CSV抽出'!$C$6),OR('CSV抽出'!$C$7="",B2337&amp;""='CSV抽出'!$C$7&amp;"")),1,0))</f>
        <v/>
      </c>
      <c r="AI2337" s="20">
        <f>IF(AH2337=1,SUM($AH$5:AH2337),"")</f>
        <v/>
      </c>
      <c r="AJ2337" s="20">
        <f>IF(OR(S2337="",'報告書'!$C$4=""),"",IF(S2337&amp;""='報告書'!$C$4&amp;"",COUNTIF($S$5:S2337,'報告書'!$C$4),""))</f>
        <v/>
      </c>
      <c r="AK2337" s="20" t="n"/>
      <c r="AL2337" s="47" t="n"/>
      <c r="AM2337" s="47" t="n"/>
      <c r="AN2337" s="53" t="n"/>
      <c r="AO2337" s="47" t="n"/>
      <c r="AP2337" s="47" t="n"/>
      <c r="AQ2337" s="47" t="n"/>
      <c r="AR2337" s="47" t="n"/>
      <c r="AS2337" s="47" t="n"/>
      <c r="AT2337" s="47" t="n"/>
      <c r="AU2337" s="47" t="n"/>
      <c r="AV2337" s="47" t="n"/>
      <c r="AW2337" s="52" t="n"/>
    </row>
    <row r="2338">
      <c r="A2338" s="48" t="n"/>
      <c r="B2338" s="52" t="n"/>
      <c r="C2338" s="47">
        <f>IF(B2338="","",IFERROR(INDEX('隊員マスタ'!$B$5:$B$204,MATCH(B2338&amp;"",'隊員マスタ'!$F$5:$F$204,0)),IF(AK2338="","番号なし",AK2338)))</f>
        <v/>
      </c>
      <c r="D2338" s="47" t="n"/>
      <c r="E2338" s="47" t="n"/>
      <c r="F2338" s="47" t="n"/>
      <c r="G2338" s="47" t="n"/>
      <c r="H2338" s="47" t="n"/>
      <c r="I2338" s="47" t="n"/>
      <c r="J2338" s="47" t="n"/>
      <c r="K2338" s="47" t="n"/>
      <c r="L2338" s="47" t="n"/>
      <c r="M2338" s="47" t="n"/>
      <c r="N2338" s="47" t="n"/>
      <c r="O2338" s="47" t="n"/>
      <c r="P2338" s="47" t="n"/>
      <c r="Q2338" s="47" t="n"/>
      <c r="R2338" s="47" t="n"/>
      <c r="S2338" s="47" t="n"/>
      <c r="T2338" s="47" t="n"/>
      <c r="U2338" s="53" t="n"/>
      <c r="V2338" s="53" t="n"/>
      <c r="W2338" s="47" t="n"/>
      <c r="X2338" s="47" t="n"/>
      <c r="Y2338" s="47" t="n"/>
      <c r="Z2338" s="47" t="n"/>
      <c r="AA2338" s="47" t="n"/>
      <c r="AB2338" s="47" t="n"/>
      <c r="AC2338" s="47" t="n"/>
      <c r="AD2338" s="47" t="n"/>
      <c r="AE2338" s="47" t="n"/>
      <c r="AF2338" s="20">
        <f>IF(A2338="","",YEAR(EDATE(A2338,-3)))</f>
        <v/>
      </c>
      <c r="AG2338" s="20">
        <f>IF(OR(B2338="",'経歴簿'!$C$4=""),"",IF(B2338&amp;""='経歴簿'!$C$4&amp;"",MAX($AG$4:AG2337)+1,""))</f>
        <v/>
      </c>
      <c r="AH2338" s="20">
        <f>IF(A2338="",0,IF(AND(OR('CSV抽出'!$C$4="",A2338&gt;='CSV抽出'!$C$4),OR('CSV抽出'!$C$5="",A2338&lt;='CSV抽出'!$C$5),OR('CSV抽出'!$C$6="すべて",'CSV抽出'!$C$6="",D2338='CSV抽出'!$C$6),OR('CSV抽出'!$C$7="",B2338&amp;""='CSV抽出'!$C$7&amp;"")),1,0))</f>
        <v/>
      </c>
      <c r="AI2338" s="20">
        <f>IF(AH2338=1,SUM($AH$5:AH2338),"")</f>
        <v/>
      </c>
      <c r="AJ2338" s="20">
        <f>IF(OR(S2338="",'報告書'!$C$4=""),"",IF(S2338&amp;""='報告書'!$C$4&amp;"",COUNTIF($S$5:S2338,'報告書'!$C$4),""))</f>
        <v/>
      </c>
      <c r="AK2338" s="20" t="n"/>
      <c r="AL2338" s="47" t="n"/>
      <c r="AM2338" s="47" t="n"/>
      <c r="AN2338" s="53" t="n"/>
      <c r="AO2338" s="47" t="n"/>
      <c r="AP2338" s="47" t="n"/>
      <c r="AQ2338" s="47" t="n"/>
      <c r="AR2338" s="47" t="n"/>
      <c r="AS2338" s="47" t="n"/>
      <c r="AT2338" s="47" t="n"/>
      <c r="AU2338" s="47" t="n"/>
      <c r="AV2338" s="47" t="n"/>
      <c r="AW2338" s="52" t="n"/>
    </row>
    <row r="2339">
      <c r="A2339" s="48" t="n"/>
      <c r="B2339" s="52" t="n"/>
      <c r="C2339" s="47">
        <f>IF(B2339="","",IFERROR(INDEX('隊員マスタ'!$B$5:$B$204,MATCH(B2339&amp;"",'隊員マスタ'!$F$5:$F$204,0)),IF(AK2339="","番号なし",AK2339)))</f>
        <v/>
      </c>
      <c r="D2339" s="47" t="n"/>
      <c r="E2339" s="47" t="n"/>
      <c r="F2339" s="47" t="n"/>
      <c r="G2339" s="47" t="n"/>
      <c r="H2339" s="47" t="n"/>
      <c r="I2339" s="47" t="n"/>
      <c r="J2339" s="47" t="n"/>
      <c r="K2339" s="47" t="n"/>
      <c r="L2339" s="47" t="n"/>
      <c r="M2339" s="47" t="n"/>
      <c r="N2339" s="47" t="n"/>
      <c r="O2339" s="47" t="n"/>
      <c r="P2339" s="47" t="n"/>
      <c r="Q2339" s="47" t="n"/>
      <c r="R2339" s="47" t="n"/>
      <c r="S2339" s="47" t="n"/>
      <c r="T2339" s="47" t="n"/>
      <c r="U2339" s="53" t="n"/>
      <c r="V2339" s="53" t="n"/>
      <c r="W2339" s="47" t="n"/>
      <c r="X2339" s="47" t="n"/>
      <c r="Y2339" s="47" t="n"/>
      <c r="Z2339" s="47" t="n"/>
      <c r="AA2339" s="47" t="n"/>
      <c r="AB2339" s="47" t="n"/>
      <c r="AC2339" s="47" t="n"/>
      <c r="AD2339" s="47" t="n"/>
      <c r="AE2339" s="47" t="n"/>
      <c r="AF2339" s="20">
        <f>IF(A2339="","",YEAR(EDATE(A2339,-3)))</f>
        <v/>
      </c>
      <c r="AG2339" s="20">
        <f>IF(OR(B2339="",'経歴簿'!$C$4=""),"",IF(B2339&amp;""='経歴簿'!$C$4&amp;"",MAX($AG$4:AG2338)+1,""))</f>
        <v/>
      </c>
      <c r="AH2339" s="20">
        <f>IF(A2339="",0,IF(AND(OR('CSV抽出'!$C$4="",A2339&gt;='CSV抽出'!$C$4),OR('CSV抽出'!$C$5="",A2339&lt;='CSV抽出'!$C$5),OR('CSV抽出'!$C$6="すべて",'CSV抽出'!$C$6="",D2339='CSV抽出'!$C$6),OR('CSV抽出'!$C$7="",B2339&amp;""='CSV抽出'!$C$7&amp;"")),1,0))</f>
        <v/>
      </c>
      <c r="AI2339" s="20">
        <f>IF(AH2339=1,SUM($AH$5:AH2339),"")</f>
        <v/>
      </c>
      <c r="AJ2339" s="20">
        <f>IF(OR(S2339="",'報告書'!$C$4=""),"",IF(S2339&amp;""='報告書'!$C$4&amp;"",COUNTIF($S$5:S2339,'報告書'!$C$4),""))</f>
        <v/>
      </c>
      <c r="AK2339" s="20" t="n"/>
      <c r="AL2339" s="47" t="n"/>
      <c r="AM2339" s="47" t="n"/>
      <c r="AN2339" s="53" t="n"/>
      <c r="AO2339" s="47" t="n"/>
      <c r="AP2339" s="47" t="n"/>
      <c r="AQ2339" s="47" t="n"/>
      <c r="AR2339" s="47" t="n"/>
      <c r="AS2339" s="47" t="n"/>
      <c r="AT2339" s="47" t="n"/>
      <c r="AU2339" s="47" t="n"/>
      <c r="AV2339" s="47" t="n"/>
      <c r="AW2339" s="52" t="n"/>
    </row>
    <row r="2340">
      <c r="A2340" s="48" t="n"/>
      <c r="B2340" s="52" t="n"/>
      <c r="C2340" s="47">
        <f>IF(B2340="","",IFERROR(INDEX('隊員マスタ'!$B$5:$B$204,MATCH(B2340&amp;"",'隊員マスタ'!$F$5:$F$204,0)),IF(AK2340="","番号なし",AK2340)))</f>
        <v/>
      </c>
      <c r="D2340" s="47" t="n"/>
      <c r="E2340" s="47" t="n"/>
      <c r="F2340" s="47" t="n"/>
      <c r="G2340" s="47" t="n"/>
      <c r="H2340" s="47" t="n"/>
      <c r="I2340" s="47" t="n"/>
      <c r="J2340" s="47" t="n"/>
      <c r="K2340" s="47" t="n"/>
      <c r="L2340" s="47" t="n"/>
      <c r="M2340" s="47" t="n"/>
      <c r="N2340" s="47" t="n"/>
      <c r="O2340" s="47" t="n"/>
      <c r="P2340" s="47" t="n"/>
      <c r="Q2340" s="47" t="n"/>
      <c r="R2340" s="47" t="n"/>
      <c r="S2340" s="47" t="n"/>
      <c r="T2340" s="47" t="n"/>
      <c r="U2340" s="53" t="n"/>
      <c r="V2340" s="53" t="n"/>
      <c r="W2340" s="47" t="n"/>
      <c r="X2340" s="47" t="n"/>
      <c r="Y2340" s="47" t="n"/>
      <c r="Z2340" s="47" t="n"/>
      <c r="AA2340" s="47" t="n"/>
      <c r="AB2340" s="47" t="n"/>
      <c r="AC2340" s="47" t="n"/>
      <c r="AD2340" s="47" t="n"/>
      <c r="AE2340" s="47" t="n"/>
      <c r="AF2340" s="20">
        <f>IF(A2340="","",YEAR(EDATE(A2340,-3)))</f>
        <v/>
      </c>
      <c r="AG2340" s="20">
        <f>IF(OR(B2340="",'経歴簿'!$C$4=""),"",IF(B2340&amp;""='経歴簿'!$C$4&amp;"",MAX($AG$4:AG2339)+1,""))</f>
        <v/>
      </c>
      <c r="AH2340" s="20">
        <f>IF(A2340="",0,IF(AND(OR('CSV抽出'!$C$4="",A2340&gt;='CSV抽出'!$C$4),OR('CSV抽出'!$C$5="",A2340&lt;='CSV抽出'!$C$5),OR('CSV抽出'!$C$6="すべて",'CSV抽出'!$C$6="",D2340='CSV抽出'!$C$6),OR('CSV抽出'!$C$7="",B2340&amp;""='CSV抽出'!$C$7&amp;"")),1,0))</f>
        <v/>
      </c>
      <c r="AI2340" s="20">
        <f>IF(AH2340=1,SUM($AH$5:AH2340),"")</f>
        <v/>
      </c>
      <c r="AJ2340" s="20">
        <f>IF(OR(S2340="",'報告書'!$C$4=""),"",IF(S2340&amp;""='報告書'!$C$4&amp;"",COUNTIF($S$5:S2340,'報告書'!$C$4),""))</f>
        <v/>
      </c>
      <c r="AK2340" s="20" t="n"/>
      <c r="AL2340" s="47" t="n"/>
      <c r="AM2340" s="47" t="n"/>
      <c r="AN2340" s="53" t="n"/>
      <c r="AO2340" s="47" t="n"/>
      <c r="AP2340" s="47" t="n"/>
      <c r="AQ2340" s="47" t="n"/>
      <c r="AR2340" s="47" t="n"/>
      <c r="AS2340" s="47" t="n"/>
      <c r="AT2340" s="47" t="n"/>
      <c r="AU2340" s="47" t="n"/>
      <c r="AV2340" s="47" t="n"/>
      <c r="AW2340" s="52" t="n"/>
    </row>
    <row r="2341">
      <c r="A2341" s="48" t="n"/>
      <c r="B2341" s="52" t="n"/>
      <c r="C2341" s="47">
        <f>IF(B2341="","",IFERROR(INDEX('隊員マスタ'!$B$5:$B$204,MATCH(B2341&amp;"",'隊員マスタ'!$F$5:$F$204,0)),IF(AK2341="","番号なし",AK2341)))</f>
        <v/>
      </c>
      <c r="D2341" s="47" t="n"/>
      <c r="E2341" s="47" t="n"/>
      <c r="F2341" s="47" t="n"/>
      <c r="G2341" s="47" t="n"/>
      <c r="H2341" s="47" t="n"/>
      <c r="I2341" s="47" t="n"/>
      <c r="J2341" s="47" t="n"/>
      <c r="K2341" s="47" t="n"/>
      <c r="L2341" s="47" t="n"/>
      <c r="M2341" s="47" t="n"/>
      <c r="N2341" s="47" t="n"/>
      <c r="O2341" s="47" t="n"/>
      <c r="P2341" s="47" t="n"/>
      <c r="Q2341" s="47" t="n"/>
      <c r="R2341" s="47" t="n"/>
      <c r="S2341" s="47" t="n"/>
      <c r="T2341" s="47" t="n"/>
      <c r="U2341" s="53" t="n"/>
      <c r="V2341" s="53" t="n"/>
      <c r="W2341" s="47" t="n"/>
      <c r="X2341" s="47" t="n"/>
      <c r="Y2341" s="47" t="n"/>
      <c r="Z2341" s="47" t="n"/>
      <c r="AA2341" s="47" t="n"/>
      <c r="AB2341" s="47" t="n"/>
      <c r="AC2341" s="47" t="n"/>
      <c r="AD2341" s="47" t="n"/>
      <c r="AE2341" s="47" t="n"/>
      <c r="AF2341" s="20">
        <f>IF(A2341="","",YEAR(EDATE(A2341,-3)))</f>
        <v/>
      </c>
      <c r="AG2341" s="20">
        <f>IF(OR(B2341="",'経歴簿'!$C$4=""),"",IF(B2341&amp;""='経歴簿'!$C$4&amp;"",MAX($AG$4:AG2340)+1,""))</f>
        <v/>
      </c>
      <c r="AH2341" s="20">
        <f>IF(A2341="",0,IF(AND(OR('CSV抽出'!$C$4="",A2341&gt;='CSV抽出'!$C$4),OR('CSV抽出'!$C$5="",A2341&lt;='CSV抽出'!$C$5),OR('CSV抽出'!$C$6="すべて",'CSV抽出'!$C$6="",D2341='CSV抽出'!$C$6),OR('CSV抽出'!$C$7="",B2341&amp;""='CSV抽出'!$C$7&amp;"")),1,0))</f>
        <v/>
      </c>
      <c r="AI2341" s="20">
        <f>IF(AH2341=1,SUM($AH$5:AH2341),"")</f>
        <v/>
      </c>
      <c r="AJ2341" s="20">
        <f>IF(OR(S2341="",'報告書'!$C$4=""),"",IF(S2341&amp;""='報告書'!$C$4&amp;"",COUNTIF($S$5:S2341,'報告書'!$C$4),""))</f>
        <v/>
      </c>
      <c r="AK2341" s="20" t="n"/>
      <c r="AL2341" s="47" t="n"/>
      <c r="AM2341" s="47" t="n"/>
      <c r="AN2341" s="53" t="n"/>
      <c r="AO2341" s="47" t="n"/>
      <c r="AP2341" s="47" t="n"/>
      <c r="AQ2341" s="47" t="n"/>
      <c r="AR2341" s="47" t="n"/>
      <c r="AS2341" s="47" t="n"/>
      <c r="AT2341" s="47" t="n"/>
      <c r="AU2341" s="47" t="n"/>
      <c r="AV2341" s="47" t="n"/>
      <c r="AW2341" s="52" t="n"/>
    </row>
    <row r="2342">
      <c r="A2342" s="48" t="n"/>
      <c r="B2342" s="52" t="n"/>
      <c r="C2342" s="47">
        <f>IF(B2342="","",IFERROR(INDEX('隊員マスタ'!$B$5:$B$204,MATCH(B2342&amp;"",'隊員マスタ'!$F$5:$F$204,0)),IF(AK2342="","番号なし",AK2342)))</f>
        <v/>
      </c>
      <c r="D2342" s="47" t="n"/>
      <c r="E2342" s="47" t="n"/>
      <c r="F2342" s="47" t="n"/>
      <c r="G2342" s="47" t="n"/>
      <c r="H2342" s="47" t="n"/>
      <c r="I2342" s="47" t="n"/>
      <c r="J2342" s="47" t="n"/>
      <c r="K2342" s="47" t="n"/>
      <c r="L2342" s="47" t="n"/>
      <c r="M2342" s="47" t="n"/>
      <c r="N2342" s="47" t="n"/>
      <c r="O2342" s="47" t="n"/>
      <c r="P2342" s="47" t="n"/>
      <c r="Q2342" s="47" t="n"/>
      <c r="R2342" s="47" t="n"/>
      <c r="S2342" s="47" t="n"/>
      <c r="T2342" s="47" t="n"/>
      <c r="U2342" s="53" t="n"/>
      <c r="V2342" s="53" t="n"/>
      <c r="W2342" s="47" t="n"/>
      <c r="X2342" s="47" t="n"/>
      <c r="Y2342" s="47" t="n"/>
      <c r="Z2342" s="47" t="n"/>
      <c r="AA2342" s="47" t="n"/>
      <c r="AB2342" s="47" t="n"/>
      <c r="AC2342" s="47" t="n"/>
      <c r="AD2342" s="47" t="n"/>
      <c r="AE2342" s="47" t="n"/>
      <c r="AF2342" s="20">
        <f>IF(A2342="","",YEAR(EDATE(A2342,-3)))</f>
        <v/>
      </c>
      <c r="AG2342" s="20">
        <f>IF(OR(B2342="",'経歴簿'!$C$4=""),"",IF(B2342&amp;""='経歴簿'!$C$4&amp;"",MAX($AG$4:AG2341)+1,""))</f>
        <v/>
      </c>
      <c r="AH2342" s="20">
        <f>IF(A2342="",0,IF(AND(OR('CSV抽出'!$C$4="",A2342&gt;='CSV抽出'!$C$4),OR('CSV抽出'!$C$5="",A2342&lt;='CSV抽出'!$C$5),OR('CSV抽出'!$C$6="すべて",'CSV抽出'!$C$6="",D2342='CSV抽出'!$C$6),OR('CSV抽出'!$C$7="",B2342&amp;""='CSV抽出'!$C$7&amp;"")),1,0))</f>
        <v/>
      </c>
      <c r="AI2342" s="20">
        <f>IF(AH2342=1,SUM($AH$5:AH2342),"")</f>
        <v/>
      </c>
      <c r="AJ2342" s="20">
        <f>IF(OR(S2342="",'報告書'!$C$4=""),"",IF(S2342&amp;""='報告書'!$C$4&amp;"",COUNTIF($S$5:S2342,'報告書'!$C$4),""))</f>
        <v/>
      </c>
      <c r="AK2342" s="20" t="n"/>
      <c r="AL2342" s="47" t="n"/>
      <c r="AM2342" s="47" t="n"/>
      <c r="AN2342" s="53" t="n"/>
      <c r="AO2342" s="47" t="n"/>
      <c r="AP2342" s="47" t="n"/>
      <c r="AQ2342" s="47" t="n"/>
      <c r="AR2342" s="47" t="n"/>
      <c r="AS2342" s="47" t="n"/>
      <c r="AT2342" s="47" t="n"/>
      <c r="AU2342" s="47" t="n"/>
      <c r="AV2342" s="47" t="n"/>
      <c r="AW2342" s="52" t="n"/>
    </row>
    <row r="2343">
      <c r="A2343" s="48" t="n"/>
      <c r="B2343" s="52" t="n"/>
      <c r="C2343" s="47">
        <f>IF(B2343="","",IFERROR(INDEX('隊員マスタ'!$B$5:$B$204,MATCH(B2343&amp;"",'隊員マスタ'!$F$5:$F$204,0)),IF(AK2343="","番号なし",AK2343)))</f>
        <v/>
      </c>
      <c r="D2343" s="47" t="n"/>
      <c r="E2343" s="47" t="n"/>
      <c r="F2343" s="47" t="n"/>
      <c r="G2343" s="47" t="n"/>
      <c r="H2343" s="47" t="n"/>
      <c r="I2343" s="47" t="n"/>
      <c r="J2343" s="47" t="n"/>
      <c r="K2343" s="47" t="n"/>
      <c r="L2343" s="47" t="n"/>
      <c r="M2343" s="47" t="n"/>
      <c r="N2343" s="47" t="n"/>
      <c r="O2343" s="47" t="n"/>
      <c r="P2343" s="47" t="n"/>
      <c r="Q2343" s="47" t="n"/>
      <c r="R2343" s="47" t="n"/>
      <c r="S2343" s="47" t="n"/>
      <c r="T2343" s="47" t="n"/>
      <c r="U2343" s="53" t="n"/>
      <c r="V2343" s="53" t="n"/>
      <c r="W2343" s="47" t="n"/>
      <c r="X2343" s="47" t="n"/>
      <c r="Y2343" s="47" t="n"/>
      <c r="Z2343" s="47" t="n"/>
      <c r="AA2343" s="47" t="n"/>
      <c r="AB2343" s="47" t="n"/>
      <c r="AC2343" s="47" t="n"/>
      <c r="AD2343" s="47" t="n"/>
      <c r="AE2343" s="47" t="n"/>
      <c r="AF2343" s="20">
        <f>IF(A2343="","",YEAR(EDATE(A2343,-3)))</f>
        <v/>
      </c>
      <c r="AG2343" s="20">
        <f>IF(OR(B2343="",'経歴簿'!$C$4=""),"",IF(B2343&amp;""='経歴簿'!$C$4&amp;"",MAX($AG$4:AG2342)+1,""))</f>
        <v/>
      </c>
      <c r="AH2343" s="20">
        <f>IF(A2343="",0,IF(AND(OR('CSV抽出'!$C$4="",A2343&gt;='CSV抽出'!$C$4),OR('CSV抽出'!$C$5="",A2343&lt;='CSV抽出'!$C$5),OR('CSV抽出'!$C$6="すべて",'CSV抽出'!$C$6="",D2343='CSV抽出'!$C$6),OR('CSV抽出'!$C$7="",B2343&amp;""='CSV抽出'!$C$7&amp;"")),1,0))</f>
        <v/>
      </c>
      <c r="AI2343" s="20">
        <f>IF(AH2343=1,SUM($AH$5:AH2343),"")</f>
        <v/>
      </c>
      <c r="AJ2343" s="20">
        <f>IF(OR(S2343="",'報告書'!$C$4=""),"",IF(S2343&amp;""='報告書'!$C$4&amp;"",COUNTIF($S$5:S2343,'報告書'!$C$4),""))</f>
        <v/>
      </c>
      <c r="AK2343" s="20" t="n"/>
      <c r="AL2343" s="47" t="n"/>
      <c r="AM2343" s="47" t="n"/>
      <c r="AN2343" s="53" t="n"/>
      <c r="AO2343" s="47" t="n"/>
      <c r="AP2343" s="47" t="n"/>
      <c r="AQ2343" s="47" t="n"/>
      <c r="AR2343" s="47" t="n"/>
      <c r="AS2343" s="47" t="n"/>
      <c r="AT2343" s="47" t="n"/>
      <c r="AU2343" s="47" t="n"/>
      <c r="AV2343" s="47" t="n"/>
      <c r="AW2343" s="52" t="n"/>
    </row>
    <row r="2344">
      <c r="A2344" s="48" t="n"/>
      <c r="B2344" s="52" t="n"/>
      <c r="C2344" s="47">
        <f>IF(B2344="","",IFERROR(INDEX('隊員マスタ'!$B$5:$B$204,MATCH(B2344&amp;"",'隊員マスタ'!$F$5:$F$204,0)),IF(AK2344="","番号なし",AK2344)))</f>
        <v/>
      </c>
      <c r="D2344" s="47" t="n"/>
      <c r="E2344" s="47" t="n"/>
      <c r="F2344" s="47" t="n"/>
      <c r="G2344" s="47" t="n"/>
      <c r="H2344" s="47" t="n"/>
      <c r="I2344" s="47" t="n"/>
      <c r="J2344" s="47" t="n"/>
      <c r="K2344" s="47" t="n"/>
      <c r="L2344" s="47" t="n"/>
      <c r="M2344" s="47" t="n"/>
      <c r="N2344" s="47" t="n"/>
      <c r="O2344" s="47" t="n"/>
      <c r="P2344" s="47" t="n"/>
      <c r="Q2344" s="47" t="n"/>
      <c r="R2344" s="47" t="n"/>
      <c r="S2344" s="47" t="n"/>
      <c r="T2344" s="47" t="n"/>
      <c r="U2344" s="53" t="n"/>
      <c r="V2344" s="53" t="n"/>
      <c r="W2344" s="47" t="n"/>
      <c r="X2344" s="47" t="n"/>
      <c r="Y2344" s="47" t="n"/>
      <c r="Z2344" s="47" t="n"/>
      <c r="AA2344" s="47" t="n"/>
      <c r="AB2344" s="47" t="n"/>
      <c r="AC2344" s="47" t="n"/>
      <c r="AD2344" s="47" t="n"/>
      <c r="AE2344" s="47" t="n"/>
      <c r="AF2344" s="20">
        <f>IF(A2344="","",YEAR(EDATE(A2344,-3)))</f>
        <v/>
      </c>
      <c r="AG2344" s="20">
        <f>IF(OR(B2344="",'経歴簿'!$C$4=""),"",IF(B2344&amp;""='経歴簿'!$C$4&amp;"",MAX($AG$4:AG2343)+1,""))</f>
        <v/>
      </c>
      <c r="AH2344" s="20">
        <f>IF(A2344="",0,IF(AND(OR('CSV抽出'!$C$4="",A2344&gt;='CSV抽出'!$C$4),OR('CSV抽出'!$C$5="",A2344&lt;='CSV抽出'!$C$5),OR('CSV抽出'!$C$6="すべて",'CSV抽出'!$C$6="",D2344='CSV抽出'!$C$6),OR('CSV抽出'!$C$7="",B2344&amp;""='CSV抽出'!$C$7&amp;"")),1,0))</f>
        <v/>
      </c>
      <c r="AI2344" s="20">
        <f>IF(AH2344=1,SUM($AH$5:AH2344),"")</f>
        <v/>
      </c>
      <c r="AJ2344" s="20">
        <f>IF(OR(S2344="",'報告書'!$C$4=""),"",IF(S2344&amp;""='報告書'!$C$4&amp;"",COUNTIF($S$5:S2344,'報告書'!$C$4),""))</f>
        <v/>
      </c>
      <c r="AK2344" s="20" t="n"/>
      <c r="AL2344" s="47" t="n"/>
      <c r="AM2344" s="47" t="n"/>
      <c r="AN2344" s="53" t="n"/>
      <c r="AO2344" s="47" t="n"/>
      <c r="AP2344" s="47" t="n"/>
      <c r="AQ2344" s="47" t="n"/>
      <c r="AR2344" s="47" t="n"/>
      <c r="AS2344" s="47" t="n"/>
      <c r="AT2344" s="47" t="n"/>
      <c r="AU2344" s="47" t="n"/>
      <c r="AV2344" s="47" t="n"/>
      <c r="AW2344" s="52" t="n"/>
    </row>
    <row r="2345">
      <c r="A2345" s="48" t="n"/>
      <c r="B2345" s="52" t="n"/>
      <c r="C2345" s="47">
        <f>IF(B2345="","",IFERROR(INDEX('隊員マスタ'!$B$5:$B$204,MATCH(B2345&amp;"",'隊員マスタ'!$F$5:$F$204,0)),IF(AK2345="","番号なし",AK2345)))</f>
        <v/>
      </c>
      <c r="D2345" s="47" t="n"/>
      <c r="E2345" s="47" t="n"/>
      <c r="F2345" s="47" t="n"/>
      <c r="G2345" s="47" t="n"/>
      <c r="H2345" s="47" t="n"/>
      <c r="I2345" s="47" t="n"/>
      <c r="J2345" s="47" t="n"/>
      <c r="K2345" s="47" t="n"/>
      <c r="L2345" s="47" t="n"/>
      <c r="M2345" s="47" t="n"/>
      <c r="N2345" s="47" t="n"/>
      <c r="O2345" s="47" t="n"/>
      <c r="P2345" s="47" t="n"/>
      <c r="Q2345" s="47" t="n"/>
      <c r="R2345" s="47" t="n"/>
      <c r="S2345" s="47" t="n"/>
      <c r="T2345" s="47" t="n"/>
      <c r="U2345" s="53" t="n"/>
      <c r="V2345" s="53" t="n"/>
      <c r="W2345" s="47" t="n"/>
      <c r="X2345" s="47" t="n"/>
      <c r="Y2345" s="47" t="n"/>
      <c r="Z2345" s="47" t="n"/>
      <c r="AA2345" s="47" t="n"/>
      <c r="AB2345" s="47" t="n"/>
      <c r="AC2345" s="47" t="n"/>
      <c r="AD2345" s="47" t="n"/>
      <c r="AE2345" s="47" t="n"/>
      <c r="AF2345" s="20">
        <f>IF(A2345="","",YEAR(EDATE(A2345,-3)))</f>
        <v/>
      </c>
      <c r="AG2345" s="20">
        <f>IF(OR(B2345="",'経歴簿'!$C$4=""),"",IF(B2345&amp;""='経歴簿'!$C$4&amp;"",MAX($AG$4:AG2344)+1,""))</f>
        <v/>
      </c>
      <c r="AH2345" s="20">
        <f>IF(A2345="",0,IF(AND(OR('CSV抽出'!$C$4="",A2345&gt;='CSV抽出'!$C$4),OR('CSV抽出'!$C$5="",A2345&lt;='CSV抽出'!$C$5),OR('CSV抽出'!$C$6="すべて",'CSV抽出'!$C$6="",D2345='CSV抽出'!$C$6),OR('CSV抽出'!$C$7="",B2345&amp;""='CSV抽出'!$C$7&amp;"")),1,0))</f>
        <v/>
      </c>
      <c r="AI2345" s="20">
        <f>IF(AH2345=1,SUM($AH$5:AH2345),"")</f>
        <v/>
      </c>
      <c r="AJ2345" s="20">
        <f>IF(OR(S2345="",'報告書'!$C$4=""),"",IF(S2345&amp;""='報告書'!$C$4&amp;"",COUNTIF($S$5:S2345,'報告書'!$C$4),""))</f>
        <v/>
      </c>
      <c r="AK2345" s="20" t="n"/>
      <c r="AL2345" s="47" t="n"/>
      <c r="AM2345" s="47" t="n"/>
      <c r="AN2345" s="53" t="n"/>
      <c r="AO2345" s="47" t="n"/>
      <c r="AP2345" s="47" t="n"/>
      <c r="AQ2345" s="47" t="n"/>
      <c r="AR2345" s="47" t="n"/>
      <c r="AS2345" s="47" t="n"/>
      <c r="AT2345" s="47" t="n"/>
      <c r="AU2345" s="47" t="n"/>
      <c r="AV2345" s="47" t="n"/>
      <c r="AW2345" s="52" t="n"/>
    </row>
    <row r="2346">
      <c r="A2346" s="48" t="n"/>
      <c r="B2346" s="52" t="n"/>
      <c r="C2346" s="47">
        <f>IF(B2346="","",IFERROR(INDEX('隊員マスタ'!$B$5:$B$204,MATCH(B2346&amp;"",'隊員マスタ'!$F$5:$F$204,0)),IF(AK2346="","番号なし",AK2346)))</f>
        <v/>
      </c>
      <c r="D2346" s="47" t="n"/>
      <c r="E2346" s="47" t="n"/>
      <c r="F2346" s="47" t="n"/>
      <c r="G2346" s="47" t="n"/>
      <c r="H2346" s="47" t="n"/>
      <c r="I2346" s="47" t="n"/>
      <c r="J2346" s="47" t="n"/>
      <c r="K2346" s="47" t="n"/>
      <c r="L2346" s="47" t="n"/>
      <c r="M2346" s="47" t="n"/>
      <c r="N2346" s="47" t="n"/>
      <c r="O2346" s="47" t="n"/>
      <c r="P2346" s="47" t="n"/>
      <c r="Q2346" s="47" t="n"/>
      <c r="R2346" s="47" t="n"/>
      <c r="S2346" s="47" t="n"/>
      <c r="T2346" s="47" t="n"/>
      <c r="U2346" s="53" t="n"/>
      <c r="V2346" s="53" t="n"/>
      <c r="W2346" s="47" t="n"/>
      <c r="X2346" s="47" t="n"/>
      <c r="Y2346" s="47" t="n"/>
      <c r="Z2346" s="47" t="n"/>
      <c r="AA2346" s="47" t="n"/>
      <c r="AB2346" s="47" t="n"/>
      <c r="AC2346" s="47" t="n"/>
      <c r="AD2346" s="47" t="n"/>
      <c r="AE2346" s="47" t="n"/>
      <c r="AF2346" s="20">
        <f>IF(A2346="","",YEAR(EDATE(A2346,-3)))</f>
        <v/>
      </c>
      <c r="AG2346" s="20">
        <f>IF(OR(B2346="",'経歴簿'!$C$4=""),"",IF(B2346&amp;""='経歴簿'!$C$4&amp;"",MAX($AG$4:AG2345)+1,""))</f>
        <v/>
      </c>
      <c r="AH2346" s="20">
        <f>IF(A2346="",0,IF(AND(OR('CSV抽出'!$C$4="",A2346&gt;='CSV抽出'!$C$4),OR('CSV抽出'!$C$5="",A2346&lt;='CSV抽出'!$C$5),OR('CSV抽出'!$C$6="すべて",'CSV抽出'!$C$6="",D2346='CSV抽出'!$C$6),OR('CSV抽出'!$C$7="",B2346&amp;""='CSV抽出'!$C$7&amp;"")),1,0))</f>
        <v/>
      </c>
      <c r="AI2346" s="20">
        <f>IF(AH2346=1,SUM($AH$5:AH2346),"")</f>
        <v/>
      </c>
      <c r="AJ2346" s="20">
        <f>IF(OR(S2346="",'報告書'!$C$4=""),"",IF(S2346&amp;""='報告書'!$C$4&amp;"",COUNTIF($S$5:S2346,'報告書'!$C$4),""))</f>
        <v/>
      </c>
      <c r="AK2346" s="20" t="n"/>
      <c r="AL2346" s="47" t="n"/>
      <c r="AM2346" s="47" t="n"/>
      <c r="AN2346" s="53" t="n"/>
      <c r="AO2346" s="47" t="n"/>
      <c r="AP2346" s="47" t="n"/>
      <c r="AQ2346" s="47" t="n"/>
      <c r="AR2346" s="47" t="n"/>
      <c r="AS2346" s="47" t="n"/>
      <c r="AT2346" s="47" t="n"/>
      <c r="AU2346" s="47" t="n"/>
      <c r="AV2346" s="47" t="n"/>
      <c r="AW2346" s="52" t="n"/>
    </row>
    <row r="2347">
      <c r="A2347" s="48" t="n"/>
      <c r="B2347" s="52" t="n"/>
      <c r="C2347" s="47">
        <f>IF(B2347="","",IFERROR(INDEX('隊員マスタ'!$B$5:$B$204,MATCH(B2347&amp;"",'隊員マスタ'!$F$5:$F$204,0)),IF(AK2347="","番号なし",AK2347)))</f>
        <v/>
      </c>
      <c r="D2347" s="47" t="n"/>
      <c r="E2347" s="47" t="n"/>
      <c r="F2347" s="47" t="n"/>
      <c r="G2347" s="47" t="n"/>
      <c r="H2347" s="47" t="n"/>
      <c r="I2347" s="47" t="n"/>
      <c r="J2347" s="47" t="n"/>
      <c r="K2347" s="47" t="n"/>
      <c r="L2347" s="47" t="n"/>
      <c r="M2347" s="47" t="n"/>
      <c r="N2347" s="47" t="n"/>
      <c r="O2347" s="47" t="n"/>
      <c r="P2347" s="47" t="n"/>
      <c r="Q2347" s="47" t="n"/>
      <c r="R2347" s="47" t="n"/>
      <c r="S2347" s="47" t="n"/>
      <c r="T2347" s="47" t="n"/>
      <c r="U2347" s="53" t="n"/>
      <c r="V2347" s="53" t="n"/>
      <c r="W2347" s="47" t="n"/>
      <c r="X2347" s="47" t="n"/>
      <c r="Y2347" s="47" t="n"/>
      <c r="Z2347" s="47" t="n"/>
      <c r="AA2347" s="47" t="n"/>
      <c r="AB2347" s="47" t="n"/>
      <c r="AC2347" s="47" t="n"/>
      <c r="AD2347" s="47" t="n"/>
      <c r="AE2347" s="47" t="n"/>
      <c r="AF2347" s="20">
        <f>IF(A2347="","",YEAR(EDATE(A2347,-3)))</f>
        <v/>
      </c>
      <c r="AG2347" s="20">
        <f>IF(OR(B2347="",'経歴簿'!$C$4=""),"",IF(B2347&amp;""='経歴簿'!$C$4&amp;"",MAX($AG$4:AG2346)+1,""))</f>
        <v/>
      </c>
      <c r="AH2347" s="20">
        <f>IF(A2347="",0,IF(AND(OR('CSV抽出'!$C$4="",A2347&gt;='CSV抽出'!$C$4),OR('CSV抽出'!$C$5="",A2347&lt;='CSV抽出'!$C$5),OR('CSV抽出'!$C$6="すべて",'CSV抽出'!$C$6="",D2347='CSV抽出'!$C$6),OR('CSV抽出'!$C$7="",B2347&amp;""='CSV抽出'!$C$7&amp;"")),1,0))</f>
        <v/>
      </c>
      <c r="AI2347" s="20">
        <f>IF(AH2347=1,SUM($AH$5:AH2347),"")</f>
        <v/>
      </c>
      <c r="AJ2347" s="20">
        <f>IF(OR(S2347="",'報告書'!$C$4=""),"",IF(S2347&amp;""='報告書'!$C$4&amp;"",COUNTIF($S$5:S2347,'報告書'!$C$4),""))</f>
        <v/>
      </c>
      <c r="AK2347" s="20" t="n"/>
      <c r="AL2347" s="47" t="n"/>
      <c r="AM2347" s="47" t="n"/>
      <c r="AN2347" s="53" t="n"/>
      <c r="AO2347" s="47" t="n"/>
      <c r="AP2347" s="47" t="n"/>
      <c r="AQ2347" s="47" t="n"/>
      <c r="AR2347" s="47" t="n"/>
      <c r="AS2347" s="47" t="n"/>
      <c r="AT2347" s="47" t="n"/>
      <c r="AU2347" s="47" t="n"/>
      <c r="AV2347" s="47" t="n"/>
      <c r="AW2347" s="52" t="n"/>
    </row>
    <row r="2348">
      <c r="A2348" s="48" t="n"/>
      <c r="B2348" s="52" t="n"/>
      <c r="C2348" s="47">
        <f>IF(B2348="","",IFERROR(INDEX('隊員マスタ'!$B$5:$B$204,MATCH(B2348&amp;"",'隊員マスタ'!$F$5:$F$204,0)),IF(AK2348="","番号なし",AK2348)))</f>
        <v/>
      </c>
      <c r="D2348" s="47" t="n"/>
      <c r="E2348" s="47" t="n"/>
      <c r="F2348" s="47" t="n"/>
      <c r="G2348" s="47" t="n"/>
      <c r="H2348" s="47" t="n"/>
      <c r="I2348" s="47" t="n"/>
      <c r="J2348" s="47" t="n"/>
      <c r="K2348" s="47" t="n"/>
      <c r="L2348" s="47" t="n"/>
      <c r="M2348" s="47" t="n"/>
      <c r="N2348" s="47" t="n"/>
      <c r="O2348" s="47" t="n"/>
      <c r="P2348" s="47" t="n"/>
      <c r="Q2348" s="47" t="n"/>
      <c r="R2348" s="47" t="n"/>
      <c r="S2348" s="47" t="n"/>
      <c r="T2348" s="47" t="n"/>
      <c r="U2348" s="53" t="n"/>
      <c r="V2348" s="53" t="n"/>
      <c r="W2348" s="47" t="n"/>
      <c r="X2348" s="47" t="n"/>
      <c r="Y2348" s="47" t="n"/>
      <c r="Z2348" s="47" t="n"/>
      <c r="AA2348" s="47" t="n"/>
      <c r="AB2348" s="47" t="n"/>
      <c r="AC2348" s="47" t="n"/>
      <c r="AD2348" s="47" t="n"/>
      <c r="AE2348" s="47" t="n"/>
      <c r="AF2348" s="20">
        <f>IF(A2348="","",YEAR(EDATE(A2348,-3)))</f>
        <v/>
      </c>
      <c r="AG2348" s="20">
        <f>IF(OR(B2348="",'経歴簿'!$C$4=""),"",IF(B2348&amp;""='経歴簿'!$C$4&amp;"",MAX($AG$4:AG2347)+1,""))</f>
        <v/>
      </c>
      <c r="AH2348" s="20">
        <f>IF(A2348="",0,IF(AND(OR('CSV抽出'!$C$4="",A2348&gt;='CSV抽出'!$C$4),OR('CSV抽出'!$C$5="",A2348&lt;='CSV抽出'!$C$5),OR('CSV抽出'!$C$6="すべて",'CSV抽出'!$C$6="",D2348='CSV抽出'!$C$6),OR('CSV抽出'!$C$7="",B2348&amp;""='CSV抽出'!$C$7&amp;"")),1,0))</f>
        <v/>
      </c>
      <c r="AI2348" s="20">
        <f>IF(AH2348=1,SUM($AH$5:AH2348),"")</f>
        <v/>
      </c>
      <c r="AJ2348" s="20">
        <f>IF(OR(S2348="",'報告書'!$C$4=""),"",IF(S2348&amp;""='報告書'!$C$4&amp;"",COUNTIF($S$5:S2348,'報告書'!$C$4),""))</f>
        <v/>
      </c>
      <c r="AK2348" s="20" t="n"/>
      <c r="AL2348" s="47" t="n"/>
      <c r="AM2348" s="47" t="n"/>
      <c r="AN2348" s="53" t="n"/>
      <c r="AO2348" s="47" t="n"/>
      <c r="AP2348" s="47" t="n"/>
      <c r="AQ2348" s="47" t="n"/>
      <c r="AR2348" s="47" t="n"/>
      <c r="AS2348" s="47" t="n"/>
      <c r="AT2348" s="47" t="n"/>
      <c r="AU2348" s="47" t="n"/>
      <c r="AV2348" s="47" t="n"/>
      <c r="AW2348" s="52" t="n"/>
    </row>
    <row r="2349">
      <c r="A2349" s="48" t="n"/>
      <c r="B2349" s="52" t="n"/>
      <c r="C2349" s="47">
        <f>IF(B2349="","",IFERROR(INDEX('隊員マスタ'!$B$5:$B$204,MATCH(B2349&amp;"",'隊員マスタ'!$F$5:$F$204,0)),IF(AK2349="","番号なし",AK2349)))</f>
        <v/>
      </c>
      <c r="D2349" s="47" t="n"/>
      <c r="E2349" s="47" t="n"/>
      <c r="F2349" s="47" t="n"/>
      <c r="G2349" s="47" t="n"/>
      <c r="H2349" s="47" t="n"/>
      <c r="I2349" s="47" t="n"/>
      <c r="J2349" s="47" t="n"/>
      <c r="K2349" s="47" t="n"/>
      <c r="L2349" s="47" t="n"/>
      <c r="M2349" s="47" t="n"/>
      <c r="N2349" s="47" t="n"/>
      <c r="O2349" s="47" t="n"/>
      <c r="P2349" s="47" t="n"/>
      <c r="Q2349" s="47" t="n"/>
      <c r="R2349" s="47" t="n"/>
      <c r="S2349" s="47" t="n"/>
      <c r="T2349" s="47" t="n"/>
      <c r="U2349" s="53" t="n"/>
      <c r="V2349" s="53" t="n"/>
      <c r="W2349" s="47" t="n"/>
      <c r="X2349" s="47" t="n"/>
      <c r="Y2349" s="47" t="n"/>
      <c r="Z2349" s="47" t="n"/>
      <c r="AA2349" s="47" t="n"/>
      <c r="AB2349" s="47" t="n"/>
      <c r="AC2349" s="47" t="n"/>
      <c r="AD2349" s="47" t="n"/>
      <c r="AE2349" s="47" t="n"/>
      <c r="AF2349" s="20">
        <f>IF(A2349="","",YEAR(EDATE(A2349,-3)))</f>
        <v/>
      </c>
      <c r="AG2349" s="20">
        <f>IF(OR(B2349="",'経歴簿'!$C$4=""),"",IF(B2349&amp;""='経歴簿'!$C$4&amp;"",MAX($AG$4:AG2348)+1,""))</f>
        <v/>
      </c>
      <c r="AH2349" s="20">
        <f>IF(A2349="",0,IF(AND(OR('CSV抽出'!$C$4="",A2349&gt;='CSV抽出'!$C$4),OR('CSV抽出'!$C$5="",A2349&lt;='CSV抽出'!$C$5),OR('CSV抽出'!$C$6="すべて",'CSV抽出'!$C$6="",D2349='CSV抽出'!$C$6),OR('CSV抽出'!$C$7="",B2349&amp;""='CSV抽出'!$C$7&amp;"")),1,0))</f>
        <v/>
      </c>
      <c r="AI2349" s="20">
        <f>IF(AH2349=1,SUM($AH$5:AH2349),"")</f>
        <v/>
      </c>
      <c r="AJ2349" s="20">
        <f>IF(OR(S2349="",'報告書'!$C$4=""),"",IF(S2349&amp;""='報告書'!$C$4&amp;"",COUNTIF($S$5:S2349,'報告書'!$C$4),""))</f>
        <v/>
      </c>
      <c r="AK2349" s="20" t="n"/>
      <c r="AL2349" s="47" t="n"/>
      <c r="AM2349" s="47" t="n"/>
      <c r="AN2349" s="53" t="n"/>
      <c r="AO2349" s="47" t="n"/>
      <c r="AP2349" s="47" t="n"/>
      <c r="AQ2349" s="47" t="n"/>
      <c r="AR2349" s="47" t="n"/>
      <c r="AS2349" s="47" t="n"/>
      <c r="AT2349" s="47" t="n"/>
      <c r="AU2349" s="47" t="n"/>
      <c r="AV2349" s="47" t="n"/>
      <c r="AW2349" s="52" t="n"/>
    </row>
    <row r="2350">
      <c r="A2350" s="48" t="n"/>
      <c r="B2350" s="52" t="n"/>
      <c r="C2350" s="47">
        <f>IF(B2350="","",IFERROR(INDEX('隊員マスタ'!$B$5:$B$204,MATCH(B2350&amp;"",'隊員マスタ'!$F$5:$F$204,0)),IF(AK2350="","番号なし",AK2350)))</f>
        <v/>
      </c>
      <c r="D2350" s="47" t="n"/>
      <c r="E2350" s="47" t="n"/>
      <c r="F2350" s="47" t="n"/>
      <c r="G2350" s="47" t="n"/>
      <c r="H2350" s="47" t="n"/>
      <c r="I2350" s="47" t="n"/>
      <c r="J2350" s="47" t="n"/>
      <c r="K2350" s="47" t="n"/>
      <c r="L2350" s="47" t="n"/>
      <c r="M2350" s="47" t="n"/>
      <c r="N2350" s="47" t="n"/>
      <c r="O2350" s="47" t="n"/>
      <c r="P2350" s="47" t="n"/>
      <c r="Q2350" s="47" t="n"/>
      <c r="R2350" s="47" t="n"/>
      <c r="S2350" s="47" t="n"/>
      <c r="T2350" s="47" t="n"/>
      <c r="U2350" s="53" t="n"/>
      <c r="V2350" s="53" t="n"/>
      <c r="W2350" s="47" t="n"/>
      <c r="X2350" s="47" t="n"/>
      <c r="Y2350" s="47" t="n"/>
      <c r="Z2350" s="47" t="n"/>
      <c r="AA2350" s="47" t="n"/>
      <c r="AB2350" s="47" t="n"/>
      <c r="AC2350" s="47" t="n"/>
      <c r="AD2350" s="47" t="n"/>
      <c r="AE2350" s="47" t="n"/>
      <c r="AF2350" s="20">
        <f>IF(A2350="","",YEAR(EDATE(A2350,-3)))</f>
        <v/>
      </c>
      <c r="AG2350" s="20">
        <f>IF(OR(B2350="",'経歴簿'!$C$4=""),"",IF(B2350&amp;""='経歴簿'!$C$4&amp;"",MAX($AG$4:AG2349)+1,""))</f>
        <v/>
      </c>
      <c r="AH2350" s="20">
        <f>IF(A2350="",0,IF(AND(OR('CSV抽出'!$C$4="",A2350&gt;='CSV抽出'!$C$4),OR('CSV抽出'!$C$5="",A2350&lt;='CSV抽出'!$C$5),OR('CSV抽出'!$C$6="すべて",'CSV抽出'!$C$6="",D2350='CSV抽出'!$C$6),OR('CSV抽出'!$C$7="",B2350&amp;""='CSV抽出'!$C$7&amp;"")),1,0))</f>
        <v/>
      </c>
      <c r="AI2350" s="20">
        <f>IF(AH2350=1,SUM($AH$5:AH2350),"")</f>
        <v/>
      </c>
      <c r="AJ2350" s="20">
        <f>IF(OR(S2350="",'報告書'!$C$4=""),"",IF(S2350&amp;""='報告書'!$C$4&amp;"",COUNTIF($S$5:S2350,'報告書'!$C$4),""))</f>
        <v/>
      </c>
      <c r="AK2350" s="20" t="n"/>
      <c r="AL2350" s="47" t="n"/>
      <c r="AM2350" s="47" t="n"/>
      <c r="AN2350" s="53" t="n"/>
      <c r="AO2350" s="47" t="n"/>
      <c r="AP2350" s="47" t="n"/>
      <c r="AQ2350" s="47" t="n"/>
      <c r="AR2350" s="47" t="n"/>
      <c r="AS2350" s="47" t="n"/>
      <c r="AT2350" s="47" t="n"/>
      <c r="AU2350" s="47" t="n"/>
      <c r="AV2350" s="47" t="n"/>
      <c r="AW2350" s="52" t="n"/>
    </row>
    <row r="2351">
      <c r="A2351" s="48" t="n"/>
      <c r="B2351" s="52" t="n"/>
      <c r="C2351" s="47">
        <f>IF(B2351="","",IFERROR(INDEX('隊員マスタ'!$B$5:$B$204,MATCH(B2351&amp;"",'隊員マスタ'!$F$5:$F$204,0)),IF(AK2351="","番号なし",AK2351)))</f>
        <v/>
      </c>
      <c r="D2351" s="47" t="n"/>
      <c r="E2351" s="47" t="n"/>
      <c r="F2351" s="47" t="n"/>
      <c r="G2351" s="47" t="n"/>
      <c r="H2351" s="47" t="n"/>
      <c r="I2351" s="47" t="n"/>
      <c r="J2351" s="47" t="n"/>
      <c r="K2351" s="47" t="n"/>
      <c r="L2351" s="47" t="n"/>
      <c r="M2351" s="47" t="n"/>
      <c r="N2351" s="47" t="n"/>
      <c r="O2351" s="47" t="n"/>
      <c r="P2351" s="47" t="n"/>
      <c r="Q2351" s="47" t="n"/>
      <c r="R2351" s="47" t="n"/>
      <c r="S2351" s="47" t="n"/>
      <c r="T2351" s="47" t="n"/>
      <c r="U2351" s="53" t="n"/>
      <c r="V2351" s="53" t="n"/>
      <c r="W2351" s="47" t="n"/>
      <c r="X2351" s="47" t="n"/>
      <c r="Y2351" s="47" t="n"/>
      <c r="Z2351" s="47" t="n"/>
      <c r="AA2351" s="47" t="n"/>
      <c r="AB2351" s="47" t="n"/>
      <c r="AC2351" s="47" t="n"/>
      <c r="AD2351" s="47" t="n"/>
      <c r="AE2351" s="47" t="n"/>
      <c r="AF2351" s="20">
        <f>IF(A2351="","",YEAR(EDATE(A2351,-3)))</f>
        <v/>
      </c>
      <c r="AG2351" s="20">
        <f>IF(OR(B2351="",'経歴簿'!$C$4=""),"",IF(B2351&amp;""='経歴簿'!$C$4&amp;"",MAX($AG$4:AG2350)+1,""))</f>
        <v/>
      </c>
      <c r="AH2351" s="20">
        <f>IF(A2351="",0,IF(AND(OR('CSV抽出'!$C$4="",A2351&gt;='CSV抽出'!$C$4),OR('CSV抽出'!$C$5="",A2351&lt;='CSV抽出'!$C$5),OR('CSV抽出'!$C$6="すべて",'CSV抽出'!$C$6="",D2351='CSV抽出'!$C$6),OR('CSV抽出'!$C$7="",B2351&amp;""='CSV抽出'!$C$7&amp;"")),1,0))</f>
        <v/>
      </c>
      <c r="AI2351" s="20">
        <f>IF(AH2351=1,SUM($AH$5:AH2351),"")</f>
        <v/>
      </c>
      <c r="AJ2351" s="20">
        <f>IF(OR(S2351="",'報告書'!$C$4=""),"",IF(S2351&amp;""='報告書'!$C$4&amp;"",COUNTIF($S$5:S2351,'報告書'!$C$4),""))</f>
        <v/>
      </c>
      <c r="AK2351" s="20" t="n"/>
      <c r="AL2351" s="47" t="n"/>
      <c r="AM2351" s="47" t="n"/>
      <c r="AN2351" s="53" t="n"/>
      <c r="AO2351" s="47" t="n"/>
      <c r="AP2351" s="47" t="n"/>
      <c r="AQ2351" s="47" t="n"/>
      <c r="AR2351" s="47" t="n"/>
      <c r="AS2351" s="47" t="n"/>
      <c r="AT2351" s="47" t="n"/>
      <c r="AU2351" s="47" t="n"/>
      <c r="AV2351" s="47" t="n"/>
      <c r="AW2351" s="52" t="n"/>
    </row>
    <row r="2352">
      <c r="A2352" s="48" t="n"/>
      <c r="B2352" s="52" t="n"/>
      <c r="C2352" s="47">
        <f>IF(B2352="","",IFERROR(INDEX('隊員マスタ'!$B$5:$B$204,MATCH(B2352&amp;"",'隊員マスタ'!$F$5:$F$204,0)),IF(AK2352="","番号なし",AK2352)))</f>
        <v/>
      </c>
      <c r="D2352" s="47" t="n"/>
      <c r="E2352" s="47" t="n"/>
      <c r="F2352" s="47" t="n"/>
      <c r="G2352" s="47" t="n"/>
      <c r="H2352" s="47" t="n"/>
      <c r="I2352" s="47" t="n"/>
      <c r="J2352" s="47" t="n"/>
      <c r="K2352" s="47" t="n"/>
      <c r="L2352" s="47" t="n"/>
      <c r="M2352" s="47" t="n"/>
      <c r="N2352" s="47" t="n"/>
      <c r="O2352" s="47" t="n"/>
      <c r="P2352" s="47" t="n"/>
      <c r="Q2352" s="47" t="n"/>
      <c r="R2352" s="47" t="n"/>
      <c r="S2352" s="47" t="n"/>
      <c r="T2352" s="47" t="n"/>
      <c r="U2352" s="53" t="n"/>
      <c r="V2352" s="53" t="n"/>
      <c r="W2352" s="47" t="n"/>
      <c r="X2352" s="47" t="n"/>
      <c r="Y2352" s="47" t="n"/>
      <c r="Z2352" s="47" t="n"/>
      <c r="AA2352" s="47" t="n"/>
      <c r="AB2352" s="47" t="n"/>
      <c r="AC2352" s="47" t="n"/>
      <c r="AD2352" s="47" t="n"/>
      <c r="AE2352" s="47" t="n"/>
      <c r="AF2352" s="20">
        <f>IF(A2352="","",YEAR(EDATE(A2352,-3)))</f>
        <v/>
      </c>
      <c r="AG2352" s="20">
        <f>IF(OR(B2352="",'経歴簿'!$C$4=""),"",IF(B2352&amp;""='経歴簿'!$C$4&amp;"",MAX($AG$4:AG2351)+1,""))</f>
        <v/>
      </c>
      <c r="AH2352" s="20">
        <f>IF(A2352="",0,IF(AND(OR('CSV抽出'!$C$4="",A2352&gt;='CSV抽出'!$C$4),OR('CSV抽出'!$C$5="",A2352&lt;='CSV抽出'!$C$5),OR('CSV抽出'!$C$6="すべて",'CSV抽出'!$C$6="",D2352='CSV抽出'!$C$6),OR('CSV抽出'!$C$7="",B2352&amp;""='CSV抽出'!$C$7&amp;"")),1,0))</f>
        <v/>
      </c>
      <c r="AI2352" s="20">
        <f>IF(AH2352=1,SUM($AH$5:AH2352),"")</f>
        <v/>
      </c>
      <c r="AJ2352" s="20">
        <f>IF(OR(S2352="",'報告書'!$C$4=""),"",IF(S2352&amp;""='報告書'!$C$4&amp;"",COUNTIF($S$5:S2352,'報告書'!$C$4),""))</f>
        <v/>
      </c>
      <c r="AK2352" s="20" t="n"/>
      <c r="AL2352" s="47" t="n"/>
      <c r="AM2352" s="47" t="n"/>
      <c r="AN2352" s="53" t="n"/>
      <c r="AO2352" s="47" t="n"/>
      <c r="AP2352" s="47" t="n"/>
      <c r="AQ2352" s="47" t="n"/>
      <c r="AR2352" s="47" t="n"/>
      <c r="AS2352" s="47" t="n"/>
      <c r="AT2352" s="47" t="n"/>
      <c r="AU2352" s="47" t="n"/>
      <c r="AV2352" s="47" t="n"/>
      <c r="AW2352" s="52" t="n"/>
    </row>
    <row r="2353">
      <c r="A2353" s="48" t="n"/>
      <c r="B2353" s="52" t="n"/>
      <c r="C2353" s="47">
        <f>IF(B2353="","",IFERROR(INDEX('隊員マスタ'!$B$5:$B$204,MATCH(B2353&amp;"",'隊員マスタ'!$F$5:$F$204,0)),IF(AK2353="","番号なし",AK2353)))</f>
        <v/>
      </c>
      <c r="D2353" s="47" t="n"/>
      <c r="E2353" s="47" t="n"/>
      <c r="F2353" s="47" t="n"/>
      <c r="G2353" s="47" t="n"/>
      <c r="H2353" s="47" t="n"/>
      <c r="I2353" s="47" t="n"/>
      <c r="J2353" s="47" t="n"/>
      <c r="K2353" s="47" t="n"/>
      <c r="L2353" s="47" t="n"/>
      <c r="M2353" s="47" t="n"/>
      <c r="N2353" s="47" t="n"/>
      <c r="O2353" s="47" t="n"/>
      <c r="P2353" s="47" t="n"/>
      <c r="Q2353" s="47" t="n"/>
      <c r="R2353" s="47" t="n"/>
      <c r="S2353" s="47" t="n"/>
      <c r="T2353" s="47" t="n"/>
      <c r="U2353" s="53" t="n"/>
      <c r="V2353" s="53" t="n"/>
      <c r="W2353" s="47" t="n"/>
      <c r="X2353" s="47" t="n"/>
      <c r="Y2353" s="47" t="n"/>
      <c r="Z2353" s="47" t="n"/>
      <c r="AA2353" s="47" t="n"/>
      <c r="AB2353" s="47" t="n"/>
      <c r="AC2353" s="47" t="n"/>
      <c r="AD2353" s="47" t="n"/>
      <c r="AE2353" s="47" t="n"/>
      <c r="AF2353" s="20">
        <f>IF(A2353="","",YEAR(EDATE(A2353,-3)))</f>
        <v/>
      </c>
      <c r="AG2353" s="20">
        <f>IF(OR(B2353="",'経歴簿'!$C$4=""),"",IF(B2353&amp;""='経歴簿'!$C$4&amp;"",MAX($AG$4:AG2352)+1,""))</f>
        <v/>
      </c>
      <c r="AH2353" s="20">
        <f>IF(A2353="",0,IF(AND(OR('CSV抽出'!$C$4="",A2353&gt;='CSV抽出'!$C$4),OR('CSV抽出'!$C$5="",A2353&lt;='CSV抽出'!$C$5),OR('CSV抽出'!$C$6="すべて",'CSV抽出'!$C$6="",D2353='CSV抽出'!$C$6),OR('CSV抽出'!$C$7="",B2353&amp;""='CSV抽出'!$C$7&amp;"")),1,0))</f>
        <v/>
      </c>
      <c r="AI2353" s="20">
        <f>IF(AH2353=1,SUM($AH$5:AH2353),"")</f>
        <v/>
      </c>
      <c r="AJ2353" s="20">
        <f>IF(OR(S2353="",'報告書'!$C$4=""),"",IF(S2353&amp;""='報告書'!$C$4&amp;"",COUNTIF($S$5:S2353,'報告書'!$C$4),""))</f>
        <v/>
      </c>
      <c r="AK2353" s="20" t="n"/>
      <c r="AL2353" s="47" t="n"/>
      <c r="AM2353" s="47" t="n"/>
      <c r="AN2353" s="53" t="n"/>
      <c r="AO2353" s="47" t="n"/>
      <c r="AP2353" s="47" t="n"/>
      <c r="AQ2353" s="47" t="n"/>
      <c r="AR2353" s="47" t="n"/>
      <c r="AS2353" s="47" t="n"/>
      <c r="AT2353" s="47" t="n"/>
      <c r="AU2353" s="47" t="n"/>
      <c r="AV2353" s="47" t="n"/>
      <c r="AW2353" s="52" t="n"/>
    </row>
    <row r="2354">
      <c r="A2354" s="48" t="n"/>
      <c r="B2354" s="52" t="n"/>
      <c r="C2354" s="47">
        <f>IF(B2354="","",IFERROR(INDEX('隊員マスタ'!$B$5:$B$204,MATCH(B2354&amp;"",'隊員マスタ'!$F$5:$F$204,0)),IF(AK2354="","番号なし",AK2354)))</f>
        <v/>
      </c>
      <c r="D2354" s="47" t="n"/>
      <c r="E2354" s="47" t="n"/>
      <c r="F2354" s="47" t="n"/>
      <c r="G2354" s="47" t="n"/>
      <c r="H2354" s="47" t="n"/>
      <c r="I2354" s="47" t="n"/>
      <c r="J2354" s="47" t="n"/>
      <c r="K2354" s="47" t="n"/>
      <c r="L2354" s="47" t="n"/>
      <c r="M2354" s="47" t="n"/>
      <c r="N2354" s="47" t="n"/>
      <c r="O2354" s="47" t="n"/>
      <c r="P2354" s="47" t="n"/>
      <c r="Q2354" s="47" t="n"/>
      <c r="R2354" s="47" t="n"/>
      <c r="S2354" s="47" t="n"/>
      <c r="T2354" s="47" t="n"/>
      <c r="U2354" s="53" t="n"/>
      <c r="V2354" s="53" t="n"/>
      <c r="W2354" s="47" t="n"/>
      <c r="X2354" s="47" t="n"/>
      <c r="Y2354" s="47" t="n"/>
      <c r="Z2354" s="47" t="n"/>
      <c r="AA2354" s="47" t="n"/>
      <c r="AB2354" s="47" t="n"/>
      <c r="AC2354" s="47" t="n"/>
      <c r="AD2354" s="47" t="n"/>
      <c r="AE2354" s="47" t="n"/>
      <c r="AF2354" s="20">
        <f>IF(A2354="","",YEAR(EDATE(A2354,-3)))</f>
        <v/>
      </c>
      <c r="AG2354" s="20">
        <f>IF(OR(B2354="",'経歴簿'!$C$4=""),"",IF(B2354&amp;""='経歴簿'!$C$4&amp;"",MAX($AG$4:AG2353)+1,""))</f>
        <v/>
      </c>
      <c r="AH2354" s="20">
        <f>IF(A2354="",0,IF(AND(OR('CSV抽出'!$C$4="",A2354&gt;='CSV抽出'!$C$4),OR('CSV抽出'!$C$5="",A2354&lt;='CSV抽出'!$C$5),OR('CSV抽出'!$C$6="すべて",'CSV抽出'!$C$6="",D2354='CSV抽出'!$C$6),OR('CSV抽出'!$C$7="",B2354&amp;""='CSV抽出'!$C$7&amp;"")),1,0))</f>
        <v/>
      </c>
      <c r="AI2354" s="20">
        <f>IF(AH2354=1,SUM($AH$5:AH2354),"")</f>
        <v/>
      </c>
      <c r="AJ2354" s="20">
        <f>IF(OR(S2354="",'報告書'!$C$4=""),"",IF(S2354&amp;""='報告書'!$C$4&amp;"",COUNTIF($S$5:S2354,'報告書'!$C$4),""))</f>
        <v/>
      </c>
      <c r="AK2354" s="20" t="n"/>
      <c r="AL2354" s="47" t="n"/>
      <c r="AM2354" s="47" t="n"/>
      <c r="AN2354" s="53" t="n"/>
      <c r="AO2354" s="47" t="n"/>
      <c r="AP2354" s="47" t="n"/>
      <c r="AQ2354" s="47" t="n"/>
      <c r="AR2354" s="47" t="n"/>
      <c r="AS2354" s="47" t="n"/>
      <c r="AT2354" s="47" t="n"/>
      <c r="AU2354" s="47" t="n"/>
      <c r="AV2354" s="47" t="n"/>
      <c r="AW2354" s="52" t="n"/>
    </row>
    <row r="2355">
      <c r="A2355" s="48" t="n"/>
      <c r="B2355" s="52" t="n"/>
      <c r="C2355" s="47">
        <f>IF(B2355="","",IFERROR(INDEX('隊員マスタ'!$B$5:$B$204,MATCH(B2355&amp;"",'隊員マスタ'!$F$5:$F$204,0)),IF(AK2355="","番号なし",AK2355)))</f>
        <v/>
      </c>
      <c r="D2355" s="47" t="n"/>
      <c r="E2355" s="47" t="n"/>
      <c r="F2355" s="47" t="n"/>
      <c r="G2355" s="47" t="n"/>
      <c r="H2355" s="47" t="n"/>
      <c r="I2355" s="47" t="n"/>
      <c r="J2355" s="47" t="n"/>
      <c r="K2355" s="47" t="n"/>
      <c r="L2355" s="47" t="n"/>
      <c r="M2355" s="47" t="n"/>
      <c r="N2355" s="47" t="n"/>
      <c r="O2355" s="47" t="n"/>
      <c r="P2355" s="47" t="n"/>
      <c r="Q2355" s="47" t="n"/>
      <c r="R2355" s="47" t="n"/>
      <c r="S2355" s="47" t="n"/>
      <c r="T2355" s="47" t="n"/>
      <c r="U2355" s="53" t="n"/>
      <c r="V2355" s="53" t="n"/>
      <c r="W2355" s="47" t="n"/>
      <c r="X2355" s="47" t="n"/>
      <c r="Y2355" s="47" t="n"/>
      <c r="Z2355" s="47" t="n"/>
      <c r="AA2355" s="47" t="n"/>
      <c r="AB2355" s="47" t="n"/>
      <c r="AC2355" s="47" t="n"/>
      <c r="AD2355" s="47" t="n"/>
      <c r="AE2355" s="47" t="n"/>
      <c r="AF2355" s="20">
        <f>IF(A2355="","",YEAR(EDATE(A2355,-3)))</f>
        <v/>
      </c>
      <c r="AG2355" s="20">
        <f>IF(OR(B2355="",'経歴簿'!$C$4=""),"",IF(B2355&amp;""='経歴簿'!$C$4&amp;"",MAX($AG$4:AG2354)+1,""))</f>
        <v/>
      </c>
      <c r="AH2355" s="20">
        <f>IF(A2355="",0,IF(AND(OR('CSV抽出'!$C$4="",A2355&gt;='CSV抽出'!$C$4),OR('CSV抽出'!$C$5="",A2355&lt;='CSV抽出'!$C$5),OR('CSV抽出'!$C$6="すべて",'CSV抽出'!$C$6="",D2355='CSV抽出'!$C$6),OR('CSV抽出'!$C$7="",B2355&amp;""='CSV抽出'!$C$7&amp;"")),1,0))</f>
        <v/>
      </c>
      <c r="AI2355" s="20">
        <f>IF(AH2355=1,SUM($AH$5:AH2355),"")</f>
        <v/>
      </c>
      <c r="AJ2355" s="20">
        <f>IF(OR(S2355="",'報告書'!$C$4=""),"",IF(S2355&amp;""='報告書'!$C$4&amp;"",COUNTIF($S$5:S2355,'報告書'!$C$4),""))</f>
        <v/>
      </c>
      <c r="AK2355" s="20" t="n"/>
      <c r="AL2355" s="47" t="n"/>
      <c r="AM2355" s="47" t="n"/>
      <c r="AN2355" s="53" t="n"/>
      <c r="AO2355" s="47" t="n"/>
      <c r="AP2355" s="47" t="n"/>
      <c r="AQ2355" s="47" t="n"/>
      <c r="AR2355" s="47" t="n"/>
      <c r="AS2355" s="47" t="n"/>
      <c r="AT2355" s="47" t="n"/>
      <c r="AU2355" s="47" t="n"/>
      <c r="AV2355" s="47" t="n"/>
      <c r="AW2355" s="52" t="n"/>
    </row>
    <row r="2356">
      <c r="A2356" s="48" t="n"/>
      <c r="B2356" s="52" t="n"/>
      <c r="C2356" s="47">
        <f>IF(B2356="","",IFERROR(INDEX('隊員マスタ'!$B$5:$B$204,MATCH(B2356&amp;"",'隊員マスタ'!$F$5:$F$204,0)),IF(AK2356="","番号なし",AK2356)))</f>
        <v/>
      </c>
      <c r="D2356" s="47" t="n"/>
      <c r="E2356" s="47" t="n"/>
      <c r="F2356" s="47" t="n"/>
      <c r="G2356" s="47" t="n"/>
      <c r="H2356" s="47" t="n"/>
      <c r="I2356" s="47" t="n"/>
      <c r="J2356" s="47" t="n"/>
      <c r="K2356" s="47" t="n"/>
      <c r="L2356" s="47" t="n"/>
      <c r="M2356" s="47" t="n"/>
      <c r="N2356" s="47" t="n"/>
      <c r="O2356" s="47" t="n"/>
      <c r="P2356" s="47" t="n"/>
      <c r="Q2356" s="47" t="n"/>
      <c r="R2356" s="47" t="n"/>
      <c r="S2356" s="47" t="n"/>
      <c r="T2356" s="47" t="n"/>
      <c r="U2356" s="53" t="n"/>
      <c r="V2356" s="53" t="n"/>
      <c r="W2356" s="47" t="n"/>
      <c r="X2356" s="47" t="n"/>
      <c r="Y2356" s="47" t="n"/>
      <c r="Z2356" s="47" t="n"/>
      <c r="AA2356" s="47" t="n"/>
      <c r="AB2356" s="47" t="n"/>
      <c r="AC2356" s="47" t="n"/>
      <c r="AD2356" s="47" t="n"/>
      <c r="AE2356" s="47" t="n"/>
      <c r="AF2356" s="20">
        <f>IF(A2356="","",YEAR(EDATE(A2356,-3)))</f>
        <v/>
      </c>
      <c r="AG2356" s="20">
        <f>IF(OR(B2356="",'経歴簿'!$C$4=""),"",IF(B2356&amp;""='経歴簿'!$C$4&amp;"",MAX($AG$4:AG2355)+1,""))</f>
        <v/>
      </c>
      <c r="AH2356" s="20">
        <f>IF(A2356="",0,IF(AND(OR('CSV抽出'!$C$4="",A2356&gt;='CSV抽出'!$C$4),OR('CSV抽出'!$C$5="",A2356&lt;='CSV抽出'!$C$5),OR('CSV抽出'!$C$6="すべて",'CSV抽出'!$C$6="",D2356='CSV抽出'!$C$6),OR('CSV抽出'!$C$7="",B2356&amp;""='CSV抽出'!$C$7&amp;"")),1,0))</f>
        <v/>
      </c>
      <c r="AI2356" s="20">
        <f>IF(AH2356=1,SUM($AH$5:AH2356),"")</f>
        <v/>
      </c>
      <c r="AJ2356" s="20">
        <f>IF(OR(S2356="",'報告書'!$C$4=""),"",IF(S2356&amp;""='報告書'!$C$4&amp;"",COUNTIF($S$5:S2356,'報告書'!$C$4),""))</f>
        <v/>
      </c>
      <c r="AK2356" s="20" t="n"/>
      <c r="AL2356" s="47" t="n"/>
      <c r="AM2356" s="47" t="n"/>
      <c r="AN2356" s="53" t="n"/>
      <c r="AO2356" s="47" t="n"/>
      <c r="AP2356" s="47" t="n"/>
      <c r="AQ2356" s="47" t="n"/>
      <c r="AR2356" s="47" t="n"/>
      <c r="AS2356" s="47" t="n"/>
      <c r="AT2356" s="47" t="n"/>
      <c r="AU2356" s="47" t="n"/>
      <c r="AV2356" s="47" t="n"/>
      <c r="AW2356" s="52" t="n"/>
    </row>
    <row r="2357">
      <c r="A2357" s="48" t="n"/>
      <c r="B2357" s="52" t="n"/>
      <c r="C2357" s="47">
        <f>IF(B2357="","",IFERROR(INDEX('隊員マスタ'!$B$5:$B$204,MATCH(B2357&amp;"",'隊員マスタ'!$F$5:$F$204,0)),IF(AK2357="","番号なし",AK2357)))</f>
        <v/>
      </c>
      <c r="D2357" s="47" t="n"/>
      <c r="E2357" s="47" t="n"/>
      <c r="F2357" s="47" t="n"/>
      <c r="G2357" s="47" t="n"/>
      <c r="H2357" s="47" t="n"/>
      <c r="I2357" s="47" t="n"/>
      <c r="J2357" s="47" t="n"/>
      <c r="K2357" s="47" t="n"/>
      <c r="L2357" s="47" t="n"/>
      <c r="M2357" s="47" t="n"/>
      <c r="N2357" s="47" t="n"/>
      <c r="O2357" s="47" t="n"/>
      <c r="P2357" s="47" t="n"/>
      <c r="Q2357" s="47" t="n"/>
      <c r="R2357" s="47" t="n"/>
      <c r="S2357" s="47" t="n"/>
      <c r="T2357" s="47" t="n"/>
      <c r="U2357" s="53" t="n"/>
      <c r="V2357" s="53" t="n"/>
      <c r="W2357" s="47" t="n"/>
      <c r="X2357" s="47" t="n"/>
      <c r="Y2357" s="47" t="n"/>
      <c r="Z2357" s="47" t="n"/>
      <c r="AA2357" s="47" t="n"/>
      <c r="AB2357" s="47" t="n"/>
      <c r="AC2357" s="47" t="n"/>
      <c r="AD2357" s="47" t="n"/>
      <c r="AE2357" s="47" t="n"/>
      <c r="AF2357" s="20">
        <f>IF(A2357="","",YEAR(EDATE(A2357,-3)))</f>
        <v/>
      </c>
      <c r="AG2357" s="20">
        <f>IF(OR(B2357="",'経歴簿'!$C$4=""),"",IF(B2357&amp;""='経歴簿'!$C$4&amp;"",MAX($AG$4:AG2356)+1,""))</f>
        <v/>
      </c>
      <c r="AH2357" s="20">
        <f>IF(A2357="",0,IF(AND(OR('CSV抽出'!$C$4="",A2357&gt;='CSV抽出'!$C$4),OR('CSV抽出'!$C$5="",A2357&lt;='CSV抽出'!$C$5),OR('CSV抽出'!$C$6="すべて",'CSV抽出'!$C$6="",D2357='CSV抽出'!$C$6),OR('CSV抽出'!$C$7="",B2357&amp;""='CSV抽出'!$C$7&amp;"")),1,0))</f>
        <v/>
      </c>
      <c r="AI2357" s="20">
        <f>IF(AH2357=1,SUM($AH$5:AH2357),"")</f>
        <v/>
      </c>
      <c r="AJ2357" s="20">
        <f>IF(OR(S2357="",'報告書'!$C$4=""),"",IF(S2357&amp;""='報告書'!$C$4&amp;"",COUNTIF($S$5:S2357,'報告書'!$C$4),""))</f>
        <v/>
      </c>
      <c r="AK2357" s="20" t="n"/>
      <c r="AL2357" s="47" t="n"/>
      <c r="AM2357" s="47" t="n"/>
      <c r="AN2357" s="53" t="n"/>
      <c r="AO2357" s="47" t="n"/>
      <c r="AP2357" s="47" t="n"/>
      <c r="AQ2357" s="47" t="n"/>
      <c r="AR2357" s="47" t="n"/>
      <c r="AS2357" s="47" t="n"/>
      <c r="AT2357" s="47" t="n"/>
      <c r="AU2357" s="47" t="n"/>
      <c r="AV2357" s="47" t="n"/>
      <c r="AW2357" s="52" t="n"/>
    </row>
    <row r="2358">
      <c r="A2358" s="48" t="n"/>
      <c r="B2358" s="52" t="n"/>
      <c r="C2358" s="47">
        <f>IF(B2358="","",IFERROR(INDEX('隊員マスタ'!$B$5:$B$204,MATCH(B2358&amp;"",'隊員マスタ'!$F$5:$F$204,0)),IF(AK2358="","番号なし",AK2358)))</f>
        <v/>
      </c>
      <c r="D2358" s="47" t="n"/>
      <c r="E2358" s="47" t="n"/>
      <c r="F2358" s="47" t="n"/>
      <c r="G2358" s="47" t="n"/>
      <c r="H2358" s="47" t="n"/>
      <c r="I2358" s="47" t="n"/>
      <c r="J2358" s="47" t="n"/>
      <c r="K2358" s="47" t="n"/>
      <c r="L2358" s="47" t="n"/>
      <c r="M2358" s="47" t="n"/>
      <c r="N2358" s="47" t="n"/>
      <c r="O2358" s="47" t="n"/>
      <c r="P2358" s="47" t="n"/>
      <c r="Q2358" s="47" t="n"/>
      <c r="R2358" s="47" t="n"/>
      <c r="S2358" s="47" t="n"/>
      <c r="T2358" s="47" t="n"/>
      <c r="U2358" s="53" t="n"/>
      <c r="V2358" s="53" t="n"/>
      <c r="W2358" s="47" t="n"/>
      <c r="X2358" s="47" t="n"/>
      <c r="Y2358" s="47" t="n"/>
      <c r="Z2358" s="47" t="n"/>
      <c r="AA2358" s="47" t="n"/>
      <c r="AB2358" s="47" t="n"/>
      <c r="AC2358" s="47" t="n"/>
      <c r="AD2358" s="47" t="n"/>
      <c r="AE2358" s="47" t="n"/>
      <c r="AF2358" s="20">
        <f>IF(A2358="","",YEAR(EDATE(A2358,-3)))</f>
        <v/>
      </c>
      <c r="AG2358" s="20">
        <f>IF(OR(B2358="",'経歴簿'!$C$4=""),"",IF(B2358&amp;""='経歴簿'!$C$4&amp;"",MAX($AG$4:AG2357)+1,""))</f>
        <v/>
      </c>
      <c r="AH2358" s="20">
        <f>IF(A2358="",0,IF(AND(OR('CSV抽出'!$C$4="",A2358&gt;='CSV抽出'!$C$4),OR('CSV抽出'!$C$5="",A2358&lt;='CSV抽出'!$C$5),OR('CSV抽出'!$C$6="すべて",'CSV抽出'!$C$6="",D2358='CSV抽出'!$C$6),OR('CSV抽出'!$C$7="",B2358&amp;""='CSV抽出'!$C$7&amp;"")),1,0))</f>
        <v/>
      </c>
      <c r="AI2358" s="20">
        <f>IF(AH2358=1,SUM($AH$5:AH2358),"")</f>
        <v/>
      </c>
      <c r="AJ2358" s="20">
        <f>IF(OR(S2358="",'報告書'!$C$4=""),"",IF(S2358&amp;""='報告書'!$C$4&amp;"",COUNTIF($S$5:S2358,'報告書'!$C$4),""))</f>
        <v/>
      </c>
      <c r="AK2358" s="20" t="n"/>
      <c r="AL2358" s="47" t="n"/>
      <c r="AM2358" s="47" t="n"/>
      <c r="AN2358" s="53" t="n"/>
      <c r="AO2358" s="47" t="n"/>
      <c r="AP2358" s="47" t="n"/>
      <c r="AQ2358" s="47" t="n"/>
      <c r="AR2358" s="47" t="n"/>
      <c r="AS2358" s="47" t="n"/>
      <c r="AT2358" s="47" t="n"/>
      <c r="AU2358" s="47" t="n"/>
      <c r="AV2358" s="47" t="n"/>
      <c r="AW2358" s="52" t="n"/>
    </row>
    <row r="2359">
      <c r="A2359" s="48" t="n"/>
      <c r="B2359" s="52" t="n"/>
      <c r="C2359" s="47">
        <f>IF(B2359="","",IFERROR(INDEX('隊員マスタ'!$B$5:$B$204,MATCH(B2359&amp;"",'隊員マスタ'!$F$5:$F$204,0)),IF(AK2359="","番号なし",AK2359)))</f>
        <v/>
      </c>
      <c r="D2359" s="47" t="n"/>
      <c r="E2359" s="47" t="n"/>
      <c r="F2359" s="47" t="n"/>
      <c r="G2359" s="47" t="n"/>
      <c r="H2359" s="47" t="n"/>
      <c r="I2359" s="47" t="n"/>
      <c r="J2359" s="47" t="n"/>
      <c r="K2359" s="47" t="n"/>
      <c r="L2359" s="47" t="n"/>
      <c r="M2359" s="47" t="n"/>
      <c r="N2359" s="47" t="n"/>
      <c r="O2359" s="47" t="n"/>
      <c r="P2359" s="47" t="n"/>
      <c r="Q2359" s="47" t="n"/>
      <c r="R2359" s="47" t="n"/>
      <c r="S2359" s="47" t="n"/>
      <c r="T2359" s="47" t="n"/>
      <c r="U2359" s="53" t="n"/>
      <c r="V2359" s="53" t="n"/>
      <c r="W2359" s="47" t="n"/>
      <c r="X2359" s="47" t="n"/>
      <c r="Y2359" s="47" t="n"/>
      <c r="Z2359" s="47" t="n"/>
      <c r="AA2359" s="47" t="n"/>
      <c r="AB2359" s="47" t="n"/>
      <c r="AC2359" s="47" t="n"/>
      <c r="AD2359" s="47" t="n"/>
      <c r="AE2359" s="47" t="n"/>
      <c r="AF2359" s="20">
        <f>IF(A2359="","",YEAR(EDATE(A2359,-3)))</f>
        <v/>
      </c>
      <c r="AG2359" s="20">
        <f>IF(OR(B2359="",'経歴簿'!$C$4=""),"",IF(B2359&amp;""='経歴簿'!$C$4&amp;"",MAX($AG$4:AG2358)+1,""))</f>
        <v/>
      </c>
      <c r="AH2359" s="20">
        <f>IF(A2359="",0,IF(AND(OR('CSV抽出'!$C$4="",A2359&gt;='CSV抽出'!$C$4),OR('CSV抽出'!$C$5="",A2359&lt;='CSV抽出'!$C$5),OR('CSV抽出'!$C$6="すべて",'CSV抽出'!$C$6="",D2359='CSV抽出'!$C$6),OR('CSV抽出'!$C$7="",B2359&amp;""='CSV抽出'!$C$7&amp;"")),1,0))</f>
        <v/>
      </c>
      <c r="AI2359" s="20">
        <f>IF(AH2359=1,SUM($AH$5:AH2359),"")</f>
        <v/>
      </c>
      <c r="AJ2359" s="20">
        <f>IF(OR(S2359="",'報告書'!$C$4=""),"",IF(S2359&amp;""='報告書'!$C$4&amp;"",COUNTIF($S$5:S2359,'報告書'!$C$4),""))</f>
        <v/>
      </c>
      <c r="AK2359" s="20" t="n"/>
      <c r="AL2359" s="47" t="n"/>
      <c r="AM2359" s="47" t="n"/>
      <c r="AN2359" s="53" t="n"/>
      <c r="AO2359" s="47" t="n"/>
      <c r="AP2359" s="47" t="n"/>
      <c r="AQ2359" s="47" t="n"/>
      <c r="AR2359" s="47" t="n"/>
      <c r="AS2359" s="47" t="n"/>
      <c r="AT2359" s="47" t="n"/>
      <c r="AU2359" s="47" t="n"/>
      <c r="AV2359" s="47" t="n"/>
      <c r="AW2359" s="52" t="n"/>
    </row>
    <row r="2360">
      <c r="A2360" s="48" t="n"/>
      <c r="B2360" s="52" t="n"/>
      <c r="C2360" s="47">
        <f>IF(B2360="","",IFERROR(INDEX('隊員マスタ'!$B$5:$B$204,MATCH(B2360&amp;"",'隊員マスタ'!$F$5:$F$204,0)),IF(AK2360="","番号なし",AK2360)))</f>
        <v/>
      </c>
      <c r="D2360" s="47" t="n"/>
      <c r="E2360" s="47" t="n"/>
      <c r="F2360" s="47" t="n"/>
      <c r="G2360" s="47" t="n"/>
      <c r="H2360" s="47" t="n"/>
      <c r="I2360" s="47" t="n"/>
      <c r="J2360" s="47" t="n"/>
      <c r="K2360" s="47" t="n"/>
      <c r="L2360" s="47" t="n"/>
      <c r="M2360" s="47" t="n"/>
      <c r="N2360" s="47" t="n"/>
      <c r="O2360" s="47" t="n"/>
      <c r="P2360" s="47" t="n"/>
      <c r="Q2360" s="47" t="n"/>
      <c r="R2360" s="47" t="n"/>
      <c r="S2360" s="47" t="n"/>
      <c r="T2360" s="47" t="n"/>
      <c r="U2360" s="53" t="n"/>
      <c r="V2360" s="53" t="n"/>
      <c r="W2360" s="47" t="n"/>
      <c r="X2360" s="47" t="n"/>
      <c r="Y2360" s="47" t="n"/>
      <c r="Z2360" s="47" t="n"/>
      <c r="AA2360" s="47" t="n"/>
      <c r="AB2360" s="47" t="n"/>
      <c r="AC2360" s="47" t="n"/>
      <c r="AD2360" s="47" t="n"/>
      <c r="AE2360" s="47" t="n"/>
      <c r="AF2360" s="20">
        <f>IF(A2360="","",YEAR(EDATE(A2360,-3)))</f>
        <v/>
      </c>
      <c r="AG2360" s="20">
        <f>IF(OR(B2360="",'経歴簿'!$C$4=""),"",IF(B2360&amp;""='経歴簿'!$C$4&amp;"",MAX($AG$4:AG2359)+1,""))</f>
        <v/>
      </c>
      <c r="AH2360" s="20">
        <f>IF(A2360="",0,IF(AND(OR('CSV抽出'!$C$4="",A2360&gt;='CSV抽出'!$C$4),OR('CSV抽出'!$C$5="",A2360&lt;='CSV抽出'!$C$5),OR('CSV抽出'!$C$6="すべて",'CSV抽出'!$C$6="",D2360='CSV抽出'!$C$6),OR('CSV抽出'!$C$7="",B2360&amp;""='CSV抽出'!$C$7&amp;"")),1,0))</f>
        <v/>
      </c>
      <c r="AI2360" s="20">
        <f>IF(AH2360=1,SUM($AH$5:AH2360),"")</f>
        <v/>
      </c>
      <c r="AJ2360" s="20">
        <f>IF(OR(S2360="",'報告書'!$C$4=""),"",IF(S2360&amp;""='報告書'!$C$4&amp;"",COUNTIF($S$5:S2360,'報告書'!$C$4),""))</f>
        <v/>
      </c>
      <c r="AK2360" s="20" t="n"/>
      <c r="AL2360" s="47" t="n"/>
      <c r="AM2360" s="47" t="n"/>
      <c r="AN2360" s="53" t="n"/>
      <c r="AO2360" s="47" t="n"/>
      <c r="AP2360" s="47" t="n"/>
      <c r="AQ2360" s="47" t="n"/>
      <c r="AR2360" s="47" t="n"/>
      <c r="AS2360" s="47" t="n"/>
      <c r="AT2360" s="47" t="n"/>
      <c r="AU2360" s="47" t="n"/>
      <c r="AV2360" s="47" t="n"/>
      <c r="AW2360" s="52" t="n"/>
    </row>
    <row r="2361">
      <c r="A2361" s="48" t="n"/>
      <c r="B2361" s="52" t="n"/>
      <c r="C2361" s="47">
        <f>IF(B2361="","",IFERROR(INDEX('隊員マスタ'!$B$5:$B$204,MATCH(B2361&amp;"",'隊員マスタ'!$F$5:$F$204,0)),IF(AK2361="","番号なし",AK2361)))</f>
        <v/>
      </c>
      <c r="D2361" s="47" t="n"/>
      <c r="E2361" s="47" t="n"/>
      <c r="F2361" s="47" t="n"/>
      <c r="G2361" s="47" t="n"/>
      <c r="H2361" s="47" t="n"/>
      <c r="I2361" s="47" t="n"/>
      <c r="J2361" s="47" t="n"/>
      <c r="K2361" s="47" t="n"/>
      <c r="L2361" s="47" t="n"/>
      <c r="M2361" s="47" t="n"/>
      <c r="N2361" s="47" t="n"/>
      <c r="O2361" s="47" t="n"/>
      <c r="P2361" s="47" t="n"/>
      <c r="Q2361" s="47" t="n"/>
      <c r="R2361" s="47" t="n"/>
      <c r="S2361" s="47" t="n"/>
      <c r="T2361" s="47" t="n"/>
      <c r="U2361" s="53" t="n"/>
      <c r="V2361" s="53" t="n"/>
      <c r="W2361" s="47" t="n"/>
      <c r="X2361" s="47" t="n"/>
      <c r="Y2361" s="47" t="n"/>
      <c r="Z2361" s="47" t="n"/>
      <c r="AA2361" s="47" t="n"/>
      <c r="AB2361" s="47" t="n"/>
      <c r="AC2361" s="47" t="n"/>
      <c r="AD2361" s="47" t="n"/>
      <c r="AE2361" s="47" t="n"/>
      <c r="AF2361" s="20">
        <f>IF(A2361="","",YEAR(EDATE(A2361,-3)))</f>
        <v/>
      </c>
      <c r="AG2361" s="20">
        <f>IF(OR(B2361="",'経歴簿'!$C$4=""),"",IF(B2361&amp;""='経歴簿'!$C$4&amp;"",MAX($AG$4:AG2360)+1,""))</f>
        <v/>
      </c>
      <c r="AH2361" s="20">
        <f>IF(A2361="",0,IF(AND(OR('CSV抽出'!$C$4="",A2361&gt;='CSV抽出'!$C$4),OR('CSV抽出'!$C$5="",A2361&lt;='CSV抽出'!$C$5),OR('CSV抽出'!$C$6="すべて",'CSV抽出'!$C$6="",D2361='CSV抽出'!$C$6),OR('CSV抽出'!$C$7="",B2361&amp;""='CSV抽出'!$C$7&amp;"")),1,0))</f>
        <v/>
      </c>
      <c r="AI2361" s="20">
        <f>IF(AH2361=1,SUM($AH$5:AH2361),"")</f>
        <v/>
      </c>
      <c r="AJ2361" s="20">
        <f>IF(OR(S2361="",'報告書'!$C$4=""),"",IF(S2361&amp;""='報告書'!$C$4&amp;"",COUNTIF($S$5:S2361,'報告書'!$C$4),""))</f>
        <v/>
      </c>
      <c r="AK2361" s="20" t="n"/>
      <c r="AL2361" s="47" t="n"/>
      <c r="AM2361" s="47" t="n"/>
      <c r="AN2361" s="53" t="n"/>
      <c r="AO2361" s="47" t="n"/>
      <c r="AP2361" s="47" t="n"/>
      <c r="AQ2361" s="47" t="n"/>
      <c r="AR2361" s="47" t="n"/>
      <c r="AS2361" s="47" t="n"/>
      <c r="AT2361" s="47" t="n"/>
      <c r="AU2361" s="47" t="n"/>
      <c r="AV2361" s="47" t="n"/>
      <c r="AW2361" s="52" t="n"/>
    </row>
    <row r="2362">
      <c r="A2362" s="48" t="n"/>
      <c r="B2362" s="52" t="n"/>
      <c r="C2362" s="47">
        <f>IF(B2362="","",IFERROR(INDEX('隊員マスタ'!$B$5:$B$204,MATCH(B2362&amp;"",'隊員マスタ'!$F$5:$F$204,0)),IF(AK2362="","番号なし",AK2362)))</f>
        <v/>
      </c>
      <c r="D2362" s="47" t="n"/>
      <c r="E2362" s="47" t="n"/>
      <c r="F2362" s="47" t="n"/>
      <c r="G2362" s="47" t="n"/>
      <c r="H2362" s="47" t="n"/>
      <c r="I2362" s="47" t="n"/>
      <c r="J2362" s="47" t="n"/>
      <c r="K2362" s="47" t="n"/>
      <c r="L2362" s="47" t="n"/>
      <c r="M2362" s="47" t="n"/>
      <c r="N2362" s="47" t="n"/>
      <c r="O2362" s="47" t="n"/>
      <c r="P2362" s="47" t="n"/>
      <c r="Q2362" s="47" t="n"/>
      <c r="R2362" s="47" t="n"/>
      <c r="S2362" s="47" t="n"/>
      <c r="T2362" s="47" t="n"/>
      <c r="U2362" s="53" t="n"/>
      <c r="V2362" s="53" t="n"/>
      <c r="W2362" s="47" t="n"/>
      <c r="X2362" s="47" t="n"/>
      <c r="Y2362" s="47" t="n"/>
      <c r="Z2362" s="47" t="n"/>
      <c r="AA2362" s="47" t="n"/>
      <c r="AB2362" s="47" t="n"/>
      <c r="AC2362" s="47" t="n"/>
      <c r="AD2362" s="47" t="n"/>
      <c r="AE2362" s="47" t="n"/>
      <c r="AF2362" s="20">
        <f>IF(A2362="","",YEAR(EDATE(A2362,-3)))</f>
        <v/>
      </c>
      <c r="AG2362" s="20">
        <f>IF(OR(B2362="",'経歴簿'!$C$4=""),"",IF(B2362&amp;""='経歴簿'!$C$4&amp;"",MAX($AG$4:AG2361)+1,""))</f>
        <v/>
      </c>
      <c r="AH2362" s="20">
        <f>IF(A2362="",0,IF(AND(OR('CSV抽出'!$C$4="",A2362&gt;='CSV抽出'!$C$4),OR('CSV抽出'!$C$5="",A2362&lt;='CSV抽出'!$C$5),OR('CSV抽出'!$C$6="すべて",'CSV抽出'!$C$6="",D2362='CSV抽出'!$C$6),OR('CSV抽出'!$C$7="",B2362&amp;""='CSV抽出'!$C$7&amp;"")),1,0))</f>
        <v/>
      </c>
      <c r="AI2362" s="20">
        <f>IF(AH2362=1,SUM($AH$5:AH2362),"")</f>
        <v/>
      </c>
      <c r="AJ2362" s="20">
        <f>IF(OR(S2362="",'報告書'!$C$4=""),"",IF(S2362&amp;""='報告書'!$C$4&amp;"",COUNTIF($S$5:S2362,'報告書'!$C$4),""))</f>
        <v/>
      </c>
      <c r="AK2362" s="20" t="n"/>
      <c r="AL2362" s="47" t="n"/>
      <c r="AM2362" s="47" t="n"/>
      <c r="AN2362" s="53" t="n"/>
      <c r="AO2362" s="47" t="n"/>
      <c r="AP2362" s="47" t="n"/>
      <c r="AQ2362" s="47" t="n"/>
      <c r="AR2362" s="47" t="n"/>
      <c r="AS2362" s="47" t="n"/>
      <c r="AT2362" s="47" t="n"/>
      <c r="AU2362" s="47" t="n"/>
      <c r="AV2362" s="47" t="n"/>
      <c r="AW2362" s="52" t="n"/>
    </row>
    <row r="2363">
      <c r="A2363" s="48" t="n"/>
      <c r="B2363" s="52" t="n"/>
      <c r="C2363" s="47">
        <f>IF(B2363="","",IFERROR(INDEX('隊員マスタ'!$B$5:$B$204,MATCH(B2363&amp;"",'隊員マスタ'!$F$5:$F$204,0)),IF(AK2363="","番号なし",AK2363)))</f>
        <v/>
      </c>
      <c r="D2363" s="47" t="n"/>
      <c r="E2363" s="47" t="n"/>
      <c r="F2363" s="47" t="n"/>
      <c r="G2363" s="47" t="n"/>
      <c r="H2363" s="47" t="n"/>
      <c r="I2363" s="47" t="n"/>
      <c r="J2363" s="47" t="n"/>
      <c r="K2363" s="47" t="n"/>
      <c r="L2363" s="47" t="n"/>
      <c r="M2363" s="47" t="n"/>
      <c r="N2363" s="47" t="n"/>
      <c r="O2363" s="47" t="n"/>
      <c r="P2363" s="47" t="n"/>
      <c r="Q2363" s="47" t="n"/>
      <c r="R2363" s="47" t="n"/>
      <c r="S2363" s="47" t="n"/>
      <c r="T2363" s="47" t="n"/>
      <c r="U2363" s="53" t="n"/>
      <c r="V2363" s="53" t="n"/>
      <c r="W2363" s="47" t="n"/>
      <c r="X2363" s="47" t="n"/>
      <c r="Y2363" s="47" t="n"/>
      <c r="Z2363" s="47" t="n"/>
      <c r="AA2363" s="47" t="n"/>
      <c r="AB2363" s="47" t="n"/>
      <c r="AC2363" s="47" t="n"/>
      <c r="AD2363" s="47" t="n"/>
      <c r="AE2363" s="47" t="n"/>
      <c r="AF2363" s="20">
        <f>IF(A2363="","",YEAR(EDATE(A2363,-3)))</f>
        <v/>
      </c>
      <c r="AG2363" s="20">
        <f>IF(OR(B2363="",'経歴簿'!$C$4=""),"",IF(B2363&amp;""='経歴簿'!$C$4&amp;"",MAX($AG$4:AG2362)+1,""))</f>
        <v/>
      </c>
      <c r="AH2363" s="20">
        <f>IF(A2363="",0,IF(AND(OR('CSV抽出'!$C$4="",A2363&gt;='CSV抽出'!$C$4),OR('CSV抽出'!$C$5="",A2363&lt;='CSV抽出'!$C$5),OR('CSV抽出'!$C$6="すべて",'CSV抽出'!$C$6="",D2363='CSV抽出'!$C$6),OR('CSV抽出'!$C$7="",B2363&amp;""='CSV抽出'!$C$7&amp;"")),1,0))</f>
        <v/>
      </c>
      <c r="AI2363" s="20">
        <f>IF(AH2363=1,SUM($AH$5:AH2363),"")</f>
        <v/>
      </c>
      <c r="AJ2363" s="20">
        <f>IF(OR(S2363="",'報告書'!$C$4=""),"",IF(S2363&amp;""='報告書'!$C$4&amp;"",COUNTIF($S$5:S2363,'報告書'!$C$4),""))</f>
        <v/>
      </c>
      <c r="AK2363" s="20" t="n"/>
      <c r="AL2363" s="47" t="n"/>
      <c r="AM2363" s="47" t="n"/>
      <c r="AN2363" s="53" t="n"/>
      <c r="AO2363" s="47" t="n"/>
      <c r="AP2363" s="47" t="n"/>
      <c r="AQ2363" s="47" t="n"/>
      <c r="AR2363" s="47" t="n"/>
      <c r="AS2363" s="47" t="n"/>
      <c r="AT2363" s="47" t="n"/>
      <c r="AU2363" s="47" t="n"/>
      <c r="AV2363" s="47" t="n"/>
      <c r="AW2363" s="52" t="n"/>
    </row>
    <row r="2364">
      <c r="A2364" s="48" t="n"/>
      <c r="B2364" s="52" t="n"/>
      <c r="C2364" s="47">
        <f>IF(B2364="","",IFERROR(INDEX('隊員マスタ'!$B$5:$B$204,MATCH(B2364&amp;"",'隊員マスタ'!$F$5:$F$204,0)),IF(AK2364="","番号なし",AK2364)))</f>
        <v/>
      </c>
      <c r="D2364" s="47" t="n"/>
      <c r="E2364" s="47" t="n"/>
      <c r="F2364" s="47" t="n"/>
      <c r="G2364" s="47" t="n"/>
      <c r="H2364" s="47" t="n"/>
      <c r="I2364" s="47" t="n"/>
      <c r="J2364" s="47" t="n"/>
      <c r="K2364" s="47" t="n"/>
      <c r="L2364" s="47" t="n"/>
      <c r="M2364" s="47" t="n"/>
      <c r="N2364" s="47" t="n"/>
      <c r="O2364" s="47" t="n"/>
      <c r="P2364" s="47" t="n"/>
      <c r="Q2364" s="47" t="n"/>
      <c r="R2364" s="47" t="n"/>
      <c r="S2364" s="47" t="n"/>
      <c r="T2364" s="47" t="n"/>
      <c r="U2364" s="53" t="n"/>
      <c r="V2364" s="53" t="n"/>
      <c r="W2364" s="47" t="n"/>
      <c r="X2364" s="47" t="n"/>
      <c r="Y2364" s="47" t="n"/>
      <c r="Z2364" s="47" t="n"/>
      <c r="AA2364" s="47" t="n"/>
      <c r="AB2364" s="47" t="n"/>
      <c r="AC2364" s="47" t="n"/>
      <c r="AD2364" s="47" t="n"/>
      <c r="AE2364" s="47" t="n"/>
      <c r="AF2364" s="20">
        <f>IF(A2364="","",YEAR(EDATE(A2364,-3)))</f>
        <v/>
      </c>
      <c r="AG2364" s="20">
        <f>IF(OR(B2364="",'経歴簿'!$C$4=""),"",IF(B2364&amp;""='経歴簿'!$C$4&amp;"",MAX($AG$4:AG2363)+1,""))</f>
        <v/>
      </c>
      <c r="AH2364" s="20">
        <f>IF(A2364="",0,IF(AND(OR('CSV抽出'!$C$4="",A2364&gt;='CSV抽出'!$C$4),OR('CSV抽出'!$C$5="",A2364&lt;='CSV抽出'!$C$5),OR('CSV抽出'!$C$6="すべて",'CSV抽出'!$C$6="",D2364='CSV抽出'!$C$6),OR('CSV抽出'!$C$7="",B2364&amp;""='CSV抽出'!$C$7&amp;"")),1,0))</f>
        <v/>
      </c>
      <c r="AI2364" s="20">
        <f>IF(AH2364=1,SUM($AH$5:AH2364),"")</f>
        <v/>
      </c>
      <c r="AJ2364" s="20">
        <f>IF(OR(S2364="",'報告書'!$C$4=""),"",IF(S2364&amp;""='報告書'!$C$4&amp;"",COUNTIF($S$5:S2364,'報告書'!$C$4),""))</f>
        <v/>
      </c>
      <c r="AK2364" s="20" t="n"/>
      <c r="AL2364" s="47" t="n"/>
      <c r="AM2364" s="47" t="n"/>
      <c r="AN2364" s="53" t="n"/>
      <c r="AO2364" s="47" t="n"/>
      <c r="AP2364" s="47" t="n"/>
      <c r="AQ2364" s="47" t="n"/>
      <c r="AR2364" s="47" t="n"/>
      <c r="AS2364" s="47" t="n"/>
      <c r="AT2364" s="47" t="n"/>
      <c r="AU2364" s="47" t="n"/>
      <c r="AV2364" s="47" t="n"/>
      <c r="AW2364" s="52" t="n"/>
    </row>
    <row r="2365">
      <c r="A2365" s="48" t="n"/>
      <c r="B2365" s="52" t="n"/>
      <c r="C2365" s="47">
        <f>IF(B2365="","",IFERROR(INDEX('隊員マスタ'!$B$5:$B$204,MATCH(B2365&amp;"",'隊員マスタ'!$F$5:$F$204,0)),IF(AK2365="","番号なし",AK2365)))</f>
        <v/>
      </c>
      <c r="D2365" s="47" t="n"/>
      <c r="E2365" s="47" t="n"/>
      <c r="F2365" s="47" t="n"/>
      <c r="G2365" s="47" t="n"/>
      <c r="H2365" s="47" t="n"/>
      <c r="I2365" s="47" t="n"/>
      <c r="J2365" s="47" t="n"/>
      <c r="K2365" s="47" t="n"/>
      <c r="L2365" s="47" t="n"/>
      <c r="M2365" s="47" t="n"/>
      <c r="N2365" s="47" t="n"/>
      <c r="O2365" s="47" t="n"/>
      <c r="P2365" s="47" t="n"/>
      <c r="Q2365" s="47" t="n"/>
      <c r="R2365" s="47" t="n"/>
      <c r="S2365" s="47" t="n"/>
      <c r="T2365" s="47" t="n"/>
      <c r="U2365" s="53" t="n"/>
      <c r="V2365" s="53" t="n"/>
      <c r="W2365" s="47" t="n"/>
      <c r="X2365" s="47" t="n"/>
      <c r="Y2365" s="47" t="n"/>
      <c r="Z2365" s="47" t="n"/>
      <c r="AA2365" s="47" t="n"/>
      <c r="AB2365" s="47" t="n"/>
      <c r="AC2365" s="47" t="n"/>
      <c r="AD2365" s="47" t="n"/>
      <c r="AE2365" s="47" t="n"/>
      <c r="AF2365" s="20">
        <f>IF(A2365="","",YEAR(EDATE(A2365,-3)))</f>
        <v/>
      </c>
      <c r="AG2365" s="20">
        <f>IF(OR(B2365="",'経歴簿'!$C$4=""),"",IF(B2365&amp;""='経歴簿'!$C$4&amp;"",MAX($AG$4:AG2364)+1,""))</f>
        <v/>
      </c>
      <c r="AH2365" s="20">
        <f>IF(A2365="",0,IF(AND(OR('CSV抽出'!$C$4="",A2365&gt;='CSV抽出'!$C$4),OR('CSV抽出'!$C$5="",A2365&lt;='CSV抽出'!$C$5),OR('CSV抽出'!$C$6="すべて",'CSV抽出'!$C$6="",D2365='CSV抽出'!$C$6),OR('CSV抽出'!$C$7="",B2365&amp;""='CSV抽出'!$C$7&amp;"")),1,0))</f>
        <v/>
      </c>
      <c r="AI2365" s="20">
        <f>IF(AH2365=1,SUM($AH$5:AH2365),"")</f>
        <v/>
      </c>
      <c r="AJ2365" s="20">
        <f>IF(OR(S2365="",'報告書'!$C$4=""),"",IF(S2365&amp;""='報告書'!$C$4&amp;"",COUNTIF($S$5:S2365,'報告書'!$C$4),""))</f>
        <v/>
      </c>
      <c r="AK2365" s="20" t="n"/>
      <c r="AL2365" s="47" t="n"/>
      <c r="AM2365" s="47" t="n"/>
      <c r="AN2365" s="53" t="n"/>
      <c r="AO2365" s="47" t="n"/>
      <c r="AP2365" s="47" t="n"/>
      <c r="AQ2365" s="47" t="n"/>
      <c r="AR2365" s="47" t="n"/>
      <c r="AS2365" s="47" t="n"/>
      <c r="AT2365" s="47" t="n"/>
      <c r="AU2365" s="47" t="n"/>
      <c r="AV2365" s="47" t="n"/>
      <c r="AW2365" s="52" t="n"/>
    </row>
    <row r="2366">
      <c r="A2366" s="48" t="n"/>
      <c r="B2366" s="52" t="n"/>
      <c r="C2366" s="47">
        <f>IF(B2366="","",IFERROR(INDEX('隊員マスタ'!$B$5:$B$204,MATCH(B2366&amp;"",'隊員マスタ'!$F$5:$F$204,0)),IF(AK2366="","番号なし",AK2366)))</f>
        <v/>
      </c>
      <c r="D2366" s="47" t="n"/>
      <c r="E2366" s="47" t="n"/>
      <c r="F2366" s="47" t="n"/>
      <c r="G2366" s="47" t="n"/>
      <c r="H2366" s="47" t="n"/>
      <c r="I2366" s="47" t="n"/>
      <c r="J2366" s="47" t="n"/>
      <c r="K2366" s="47" t="n"/>
      <c r="L2366" s="47" t="n"/>
      <c r="M2366" s="47" t="n"/>
      <c r="N2366" s="47" t="n"/>
      <c r="O2366" s="47" t="n"/>
      <c r="P2366" s="47" t="n"/>
      <c r="Q2366" s="47" t="n"/>
      <c r="R2366" s="47" t="n"/>
      <c r="S2366" s="47" t="n"/>
      <c r="T2366" s="47" t="n"/>
      <c r="U2366" s="53" t="n"/>
      <c r="V2366" s="53" t="n"/>
      <c r="W2366" s="47" t="n"/>
      <c r="X2366" s="47" t="n"/>
      <c r="Y2366" s="47" t="n"/>
      <c r="Z2366" s="47" t="n"/>
      <c r="AA2366" s="47" t="n"/>
      <c r="AB2366" s="47" t="n"/>
      <c r="AC2366" s="47" t="n"/>
      <c r="AD2366" s="47" t="n"/>
      <c r="AE2366" s="47" t="n"/>
      <c r="AF2366" s="20">
        <f>IF(A2366="","",YEAR(EDATE(A2366,-3)))</f>
        <v/>
      </c>
      <c r="AG2366" s="20">
        <f>IF(OR(B2366="",'経歴簿'!$C$4=""),"",IF(B2366&amp;""='経歴簿'!$C$4&amp;"",MAX($AG$4:AG2365)+1,""))</f>
        <v/>
      </c>
      <c r="AH2366" s="20">
        <f>IF(A2366="",0,IF(AND(OR('CSV抽出'!$C$4="",A2366&gt;='CSV抽出'!$C$4),OR('CSV抽出'!$C$5="",A2366&lt;='CSV抽出'!$C$5),OR('CSV抽出'!$C$6="すべて",'CSV抽出'!$C$6="",D2366='CSV抽出'!$C$6),OR('CSV抽出'!$C$7="",B2366&amp;""='CSV抽出'!$C$7&amp;"")),1,0))</f>
        <v/>
      </c>
      <c r="AI2366" s="20">
        <f>IF(AH2366=1,SUM($AH$5:AH2366),"")</f>
        <v/>
      </c>
      <c r="AJ2366" s="20">
        <f>IF(OR(S2366="",'報告書'!$C$4=""),"",IF(S2366&amp;""='報告書'!$C$4&amp;"",COUNTIF($S$5:S2366,'報告書'!$C$4),""))</f>
        <v/>
      </c>
      <c r="AK2366" s="20" t="n"/>
      <c r="AL2366" s="47" t="n"/>
      <c r="AM2366" s="47" t="n"/>
      <c r="AN2366" s="53" t="n"/>
      <c r="AO2366" s="47" t="n"/>
      <c r="AP2366" s="47" t="n"/>
      <c r="AQ2366" s="47" t="n"/>
      <c r="AR2366" s="47" t="n"/>
      <c r="AS2366" s="47" t="n"/>
      <c r="AT2366" s="47" t="n"/>
      <c r="AU2366" s="47" t="n"/>
      <c r="AV2366" s="47" t="n"/>
      <c r="AW2366" s="52" t="n"/>
    </row>
    <row r="2367">
      <c r="A2367" s="48" t="n"/>
      <c r="B2367" s="52" t="n"/>
      <c r="C2367" s="47">
        <f>IF(B2367="","",IFERROR(INDEX('隊員マスタ'!$B$5:$B$204,MATCH(B2367&amp;"",'隊員マスタ'!$F$5:$F$204,0)),IF(AK2367="","番号なし",AK2367)))</f>
        <v/>
      </c>
      <c r="D2367" s="47" t="n"/>
      <c r="E2367" s="47" t="n"/>
      <c r="F2367" s="47" t="n"/>
      <c r="G2367" s="47" t="n"/>
      <c r="H2367" s="47" t="n"/>
      <c r="I2367" s="47" t="n"/>
      <c r="J2367" s="47" t="n"/>
      <c r="K2367" s="47" t="n"/>
      <c r="L2367" s="47" t="n"/>
      <c r="M2367" s="47" t="n"/>
      <c r="N2367" s="47" t="n"/>
      <c r="O2367" s="47" t="n"/>
      <c r="P2367" s="47" t="n"/>
      <c r="Q2367" s="47" t="n"/>
      <c r="R2367" s="47" t="n"/>
      <c r="S2367" s="47" t="n"/>
      <c r="T2367" s="47" t="n"/>
      <c r="U2367" s="53" t="n"/>
      <c r="V2367" s="53" t="n"/>
      <c r="W2367" s="47" t="n"/>
      <c r="X2367" s="47" t="n"/>
      <c r="Y2367" s="47" t="n"/>
      <c r="Z2367" s="47" t="n"/>
      <c r="AA2367" s="47" t="n"/>
      <c r="AB2367" s="47" t="n"/>
      <c r="AC2367" s="47" t="n"/>
      <c r="AD2367" s="47" t="n"/>
      <c r="AE2367" s="47" t="n"/>
      <c r="AF2367" s="20">
        <f>IF(A2367="","",YEAR(EDATE(A2367,-3)))</f>
        <v/>
      </c>
      <c r="AG2367" s="20">
        <f>IF(OR(B2367="",'経歴簿'!$C$4=""),"",IF(B2367&amp;""='経歴簿'!$C$4&amp;"",MAX($AG$4:AG2366)+1,""))</f>
        <v/>
      </c>
      <c r="AH2367" s="20">
        <f>IF(A2367="",0,IF(AND(OR('CSV抽出'!$C$4="",A2367&gt;='CSV抽出'!$C$4),OR('CSV抽出'!$C$5="",A2367&lt;='CSV抽出'!$C$5),OR('CSV抽出'!$C$6="すべて",'CSV抽出'!$C$6="",D2367='CSV抽出'!$C$6),OR('CSV抽出'!$C$7="",B2367&amp;""='CSV抽出'!$C$7&amp;"")),1,0))</f>
        <v/>
      </c>
      <c r="AI2367" s="20">
        <f>IF(AH2367=1,SUM($AH$5:AH2367),"")</f>
        <v/>
      </c>
      <c r="AJ2367" s="20">
        <f>IF(OR(S2367="",'報告書'!$C$4=""),"",IF(S2367&amp;""='報告書'!$C$4&amp;"",COUNTIF($S$5:S2367,'報告書'!$C$4),""))</f>
        <v/>
      </c>
      <c r="AK2367" s="20" t="n"/>
      <c r="AL2367" s="47" t="n"/>
      <c r="AM2367" s="47" t="n"/>
      <c r="AN2367" s="53" t="n"/>
      <c r="AO2367" s="47" t="n"/>
      <c r="AP2367" s="47" t="n"/>
      <c r="AQ2367" s="47" t="n"/>
      <c r="AR2367" s="47" t="n"/>
      <c r="AS2367" s="47" t="n"/>
      <c r="AT2367" s="47" t="n"/>
      <c r="AU2367" s="47" t="n"/>
      <c r="AV2367" s="47" t="n"/>
      <c r="AW2367" s="52" t="n"/>
    </row>
    <row r="2368">
      <c r="A2368" s="48" t="n"/>
      <c r="B2368" s="52" t="n"/>
      <c r="C2368" s="47">
        <f>IF(B2368="","",IFERROR(INDEX('隊員マスタ'!$B$5:$B$204,MATCH(B2368&amp;"",'隊員マスタ'!$F$5:$F$204,0)),IF(AK2368="","番号なし",AK2368)))</f>
        <v/>
      </c>
      <c r="D2368" s="47" t="n"/>
      <c r="E2368" s="47" t="n"/>
      <c r="F2368" s="47" t="n"/>
      <c r="G2368" s="47" t="n"/>
      <c r="H2368" s="47" t="n"/>
      <c r="I2368" s="47" t="n"/>
      <c r="J2368" s="47" t="n"/>
      <c r="K2368" s="47" t="n"/>
      <c r="L2368" s="47" t="n"/>
      <c r="M2368" s="47" t="n"/>
      <c r="N2368" s="47" t="n"/>
      <c r="O2368" s="47" t="n"/>
      <c r="P2368" s="47" t="n"/>
      <c r="Q2368" s="47" t="n"/>
      <c r="R2368" s="47" t="n"/>
      <c r="S2368" s="47" t="n"/>
      <c r="T2368" s="47" t="n"/>
      <c r="U2368" s="53" t="n"/>
      <c r="V2368" s="53" t="n"/>
      <c r="W2368" s="47" t="n"/>
      <c r="X2368" s="47" t="n"/>
      <c r="Y2368" s="47" t="n"/>
      <c r="Z2368" s="47" t="n"/>
      <c r="AA2368" s="47" t="n"/>
      <c r="AB2368" s="47" t="n"/>
      <c r="AC2368" s="47" t="n"/>
      <c r="AD2368" s="47" t="n"/>
      <c r="AE2368" s="47" t="n"/>
      <c r="AF2368" s="20">
        <f>IF(A2368="","",YEAR(EDATE(A2368,-3)))</f>
        <v/>
      </c>
      <c r="AG2368" s="20">
        <f>IF(OR(B2368="",'経歴簿'!$C$4=""),"",IF(B2368&amp;""='経歴簿'!$C$4&amp;"",MAX($AG$4:AG2367)+1,""))</f>
        <v/>
      </c>
      <c r="AH2368" s="20">
        <f>IF(A2368="",0,IF(AND(OR('CSV抽出'!$C$4="",A2368&gt;='CSV抽出'!$C$4),OR('CSV抽出'!$C$5="",A2368&lt;='CSV抽出'!$C$5),OR('CSV抽出'!$C$6="すべて",'CSV抽出'!$C$6="",D2368='CSV抽出'!$C$6),OR('CSV抽出'!$C$7="",B2368&amp;""='CSV抽出'!$C$7&amp;"")),1,0))</f>
        <v/>
      </c>
      <c r="AI2368" s="20">
        <f>IF(AH2368=1,SUM($AH$5:AH2368),"")</f>
        <v/>
      </c>
      <c r="AJ2368" s="20">
        <f>IF(OR(S2368="",'報告書'!$C$4=""),"",IF(S2368&amp;""='報告書'!$C$4&amp;"",COUNTIF($S$5:S2368,'報告書'!$C$4),""))</f>
        <v/>
      </c>
      <c r="AK2368" s="20" t="n"/>
      <c r="AL2368" s="47" t="n"/>
      <c r="AM2368" s="47" t="n"/>
      <c r="AN2368" s="53" t="n"/>
      <c r="AO2368" s="47" t="n"/>
      <c r="AP2368" s="47" t="n"/>
      <c r="AQ2368" s="47" t="n"/>
      <c r="AR2368" s="47" t="n"/>
      <c r="AS2368" s="47" t="n"/>
      <c r="AT2368" s="47" t="n"/>
      <c r="AU2368" s="47" t="n"/>
      <c r="AV2368" s="47" t="n"/>
      <c r="AW2368" s="52" t="n"/>
    </row>
    <row r="2369">
      <c r="A2369" s="48" t="n"/>
      <c r="B2369" s="52" t="n"/>
      <c r="C2369" s="47">
        <f>IF(B2369="","",IFERROR(INDEX('隊員マスタ'!$B$5:$B$204,MATCH(B2369&amp;"",'隊員マスタ'!$F$5:$F$204,0)),IF(AK2369="","番号なし",AK2369)))</f>
        <v/>
      </c>
      <c r="D2369" s="47" t="n"/>
      <c r="E2369" s="47" t="n"/>
      <c r="F2369" s="47" t="n"/>
      <c r="G2369" s="47" t="n"/>
      <c r="H2369" s="47" t="n"/>
      <c r="I2369" s="47" t="n"/>
      <c r="J2369" s="47" t="n"/>
      <c r="K2369" s="47" t="n"/>
      <c r="L2369" s="47" t="n"/>
      <c r="M2369" s="47" t="n"/>
      <c r="N2369" s="47" t="n"/>
      <c r="O2369" s="47" t="n"/>
      <c r="P2369" s="47" t="n"/>
      <c r="Q2369" s="47" t="n"/>
      <c r="R2369" s="47" t="n"/>
      <c r="S2369" s="47" t="n"/>
      <c r="T2369" s="47" t="n"/>
      <c r="U2369" s="53" t="n"/>
      <c r="V2369" s="53" t="n"/>
      <c r="W2369" s="47" t="n"/>
      <c r="X2369" s="47" t="n"/>
      <c r="Y2369" s="47" t="n"/>
      <c r="Z2369" s="47" t="n"/>
      <c r="AA2369" s="47" t="n"/>
      <c r="AB2369" s="47" t="n"/>
      <c r="AC2369" s="47" t="n"/>
      <c r="AD2369" s="47" t="n"/>
      <c r="AE2369" s="47" t="n"/>
      <c r="AF2369" s="20">
        <f>IF(A2369="","",YEAR(EDATE(A2369,-3)))</f>
        <v/>
      </c>
      <c r="AG2369" s="20">
        <f>IF(OR(B2369="",'経歴簿'!$C$4=""),"",IF(B2369&amp;""='経歴簿'!$C$4&amp;"",MAX($AG$4:AG2368)+1,""))</f>
        <v/>
      </c>
      <c r="AH2369" s="20">
        <f>IF(A2369="",0,IF(AND(OR('CSV抽出'!$C$4="",A2369&gt;='CSV抽出'!$C$4),OR('CSV抽出'!$C$5="",A2369&lt;='CSV抽出'!$C$5),OR('CSV抽出'!$C$6="すべて",'CSV抽出'!$C$6="",D2369='CSV抽出'!$C$6),OR('CSV抽出'!$C$7="",B2369&amp;""='CSV抽出'!$C$7&amp;"")),1,0))</f>
        <v/>
      </c>
      <c r="AI2369" s="20">
        <f>IF(AH2369=1,SUM($AH$5:AH2369),"")</f>
        <v/>
      </c>
      <c r="AJ2369" s="20">
        <f>IF(OR(S2369="",'報告書'!$C$4=""),"",IF(S2369&amp;""='報告書'!$C$4&amp;"",COUNTIF($S$5:S2369,'報告書'!$C$4),""))</f>
        <v/>
      </c>
      <c r="AK2369" s="20" t="n"/>
      <c r="AL2369" s="47" t="n"/>
      <c r="AM2369" s="47" t="n"/>
      <c r="AN2369" s="53" t="n"/>
      <c r="AO2369" s="47" t="n"/>
      <c r="AP2369" s="47" t="n"/>
      <c r="AQ2369" s="47" t="n"/>
      <c r="AR2369" s="47" t="n"/>
      <c r="AS2369" s="47" t="n"/>
      <c r="AT2369" s="47" t="n"/>
      <c r="AU2369" s="47" t="n"/>
      <c r="AV2369" s="47" t="n"/>
      <c r="AW2369" s="52" t="n"/>
    </row>
    <row r="2370">
      <c r="A2370" s="48" t="n"/>
      <c r="B2370" s="52" t="n"/>
      <c r="C2370" s="47">
        <f>IF(B2370="","",IFERROR(INDEX('隊員マスタ'!$B$5:$B$204,MATCH(B2370&amp;"",'隊員マスタ'!$F$5:$F$204,0)),IF(AK2370="","番号なし",AK2370)))</f>
        <v/>
      </c>
      <c r="D2370" s="47" t="n"/>
      <c r="E2370" s="47" t="n"/>
      <c r="F2370" s="47" t="n"/>
      <c r="G2370" s="47" t="n"/>
      <c r="H2370" s="47" t="n"/>
      <c r="I2370" s="47" t="n"/>
      <c r="J2370" s="47" t="n"/>
      <c r="K2370" s="47" t="n"/>
      <c r="L2370" s="47" t="n"/>
      <c r="M2370" s="47" t="n"/>
      <c r="N2370" s="47" t="n"/>
      <c r="O2370" s="47" t="n"/>
      <c r="P2370" s="47" t="n"/>
      <c r="Q2370" s="47" t="n"/>
      <c r="R2370" s="47" t="n"/>
      <c r="S2370" s="47" t="n"/>
      <c r="T2370" s="47" t="n"/>
      <c r="U2370" s="53" t="n"/>
      <c r="V2370" s="53" t="n"/>
      <c r="W2370" s="47" t="n"/>
      <c r="X2370" s="47" t="n"/>
      <c r="Y2370" s="47" t="n"/>
      <c r="Z2370" s="47" t="n"/>
      <c r="AA2370" s="47" t="n"/>
      <c r="AB2370" s="47" t="n"/>
      <c r="AC2370" s="47" t="n"/>
      <c r="AD2370" s="47" t="n"/>
      <c r="AE2370" s="47" t="n"/>
      <c r="AF2370" s="20">
        <f>IF(A2370="","",YEAR(EDATE(A2370,-3)))</f>
        <v/>
      </c>
      <c r="AG2370" s="20">
        <f>IF(OR(B2370="",'経歴簿'!$C$4=""),"",IF(B2370&amp;""='経歴簿'!$C$4&amp;"",MAX($AG$4:AG2369)+1,""))</f>
        <v/>
      </c>
      <c r="AH2370" s="20">
        <f>IF(A2370="",0,IF(AND(OR('CSV抽出'!$C$4="",A2370&gt;='CSV抽出'!$C$4),OR('CSV抽出'!$C$5="",A2370&lt;='CSV抽出'!$C$5),OR('CSV抽出'!$C$6="すべて",'CSV抽出'!$C$6="",D2370='CSV抽出'!$C$6),OR('CSV抽出'!$C$7="",B2370&amp;""='CSV抽出'!$C$7&amp;"")),1,0))</f>
        <v/>
      </c>
      <c r="AI2370" s="20">
        <f>IF(AH2370=1,SUM($AH$5:AH2370),"")</f>
        <v/>
      </c>
      <c r="AJ2370" s="20">
        <f>IF(OR(S2370="",'報告書'!$C$4=""),"",IF(S2370&amp;""='報告書'!$C$4&amp;"",COUNTIF($S$5:S2370,'報告書'!$C$4),""))</f>
        <v/>
      </c>
      <c r="AK2370" s="20" t="n"/>
      <c r="AL2370" s="47" t="n"/>
      <c r="AM2370" s="47" t="n"/>
      <c r="AN2370" s="53" t="n"/>
      <c r="AO2370" s="47" t="n"/>
      <c r="AP2370" s="47" t="n"/>
      <c r="AQ2370" s="47" t="n"/>
      <c r="AR2370" s="47" t="n"/>
      <c r="AS2370" s="47" t="n"/>
      <c r="AT2370" s="47" t="n"/>
      <c r="AU2370" s="47" t="n"/>
      <c r="AV2370" s="47" t="n"/>
      <c r="AW2370" s="52" t="n"/>
    </row>
    <row r="2371">
      <c r="A2371" s="48" t="n"/>
      <c r="B2371" s="52" t="n"/>
      <c r="C2371" s="47">
        <f>IF(B2371="","",IFERROR(INDEX('隊員マスタ'!$B$5:$B$204,MATCH(B2371&amp;"",'隊員マスタ'!$F$5:$F$204,0)),IF(AK2371="","番号なし",AK2371)))</f>
        <v/>
      </c>
      <c r="D2371" s="47" t="n"/>
      <c r="E2371" s="47" t="n"/>
      <c r="F2371" s="47" t="n"/>
      <c r="G2371" s="47" t="n"/>
      <c r="H2371" s="47" t="n"/>
      <c r="I2371" s="47" t="n"/>
      <c r="J2371" s="47" t="n"/>
      <c r="K2371" s="47" t="n"/>
      <c r="L2371" s="47" t="n"/>
      <c r="M2371" s="47" t="n"/>
      <c r="N2371" s="47" t="n"/>
      <c r="O2371" s="47" t="n"/>
      <c r="P2371" s="47" t="n"/>
      <c r="Q2371" s="47" t="n"/>
      <c r="R2371" s="47" t="n"/>
      <c r="S2371" s="47" t="n"/>
      <c r="T2371" s="47" t="n"/>
      <c r="U2371" s="53" t="n"/>
      <c r="V2371" s="53" t="n"/>
      <c r="W2371" s="47" t="n"/>
      <c r="X2371" s="47" t="n"/>
      <c r="Y2371" s="47" t="n"/>
      <c r="Z2371" s="47" t="n"/>
      <c r="AA2371" s="47" t="n"/>
      <c r="AB2371" s="47" t="n"/>
      <c r="AC2371" s="47" t="n"/>
      <c r="AD2371" s="47" t="n"/>
      <c r="AE2371" s="47" t="n"/>
      <c r="AF2371" s="20">
        <f>IF(A2371="","",YEAR(EDATE(A2371,-3)))</f>
        <v/>
      </c>
      <c r="AG2371" s="20">
        <f>IF(OR(B2371="",'経歴簿'!$C$4=""),"",IF(B2371&amp;""='経歴簿'!$C$4&amp;"",MAX($AG$4:AG2370)+1,""))</f>
        <v/>
      </c>
      <c r="AH2371" s="20">
        <f>IF(A2371="",0,IF(AND(OR('CSV抽出'!$C$4="",A2371&gt;='CSV抽出'!$C$4),OR('CSV抽出'!$C$5="",A2371&lt;='CSV抽出'!$C$5),OR('CSV抽出'!$C$6="すべて",'CSV抽出'!$C$6="",D2371='CSV抽出'!$C$6),OR('CSV抽出'!$C$7="",B2371&amp;""='CSV抽出'!$C$7&amp;"")),1,0))</f>
        <v/>
      </c>
      <c r="AI2371" s="20">
        <f>IF(AH2371=1,SUM($AH$5:AH2371),"")</f>
        <v/>
      </c>
      <c r="AJ2371" s="20">
        <f>IF(OR(S2371="",'報告書'!$C$4=""),"",IF(S2371&amp;""='報告書'!$C$4&amp;"",COUNTIF($S$5:S2371,'報告書'!$C$4),""))</f>
        <v/>
      </c>
      <c r="AK2371" s="20" t="n"/>
      <c r="AL2371" s="47" t="n"/>
      <c r="AM2371" s="47" t="n"/>
      <c r="AN2371" s="53" t="n"/>
      <c r="AO2371" s="47" t="n"/>
      <c r="AP2371" s="47" t="n"/>
      <c r="AQ2371" s="47" t="n"/>
      <c r="AR2371" s="47" t="n"/>
      <c r="AS2371" s="47" t="n"/>
      <c r="AT2371" s="47" t="n"/>
      <c r="AU2371" s="47" t="n"/>
      <c r="AV2371" s="47" t="n"/>
      <c r="AW2371" s="52" t="n"/>
    </row>
    <row r="2372">
      <c r="A2372" s="48" t="n"/>
      <c r="B2372" s="52" t="n"/>
      <c r="C2372" s="47">
        <f>IF(B2372="","",IFERROR(INDEX('隊員マスタ'!$B$5:$B$204,MATCH(B2372&amp;"",'隊員マスタ'!$F$5:$F$204,0)),IF(AK2372="","番号なし",AK2372)))</f>
        <v/>
      </c>
      <c r="D2372" s="47" t="n"/>
      <c r="E2372" s="47" t="n"/>
      <c r="F2372" s="47" t="n"/>
      <c r="G2372" s="47" t="n"/>
      <c r="H2372" s="47" t="n"/>
      <c r="I2372" s="47" t="n"/>
      <c r="J2372" s="47" t="n"/>
      <c r="K2372" s="47" t="n"/>
      <c r="L2372" s="47" t="n"/>
      <c r="M2372" s="47" t="n"/>
      <c r="N2372" s="47" t="n"/>
      <c r="O2372" s="47" t="n"/>
      <c r="P2372" s="47" t="n"/>
      <c r="Q2372" s="47" t="n"/>
      <c r="R2372" s="47" t="n"/>
      <c r="S2372" s="47" t="n"/>
      <c r="T2372" s="47" t="n"/>
      <c r="U2372" s="53" t="n"/>
      <c r="V2372" s="53" t="n"/>
      <c r="W2372" s="47" t="n"/>
      <c r="X2372" s="47" t="n"/>
      <c r="Y2372" s="47" t="n"/>
      <c r="Z2372" s="47" t="n"/>
      <c r="AA2372" s="47" t="n"/>
      <c r="AB2372" s="47" t="n"/>
      <c r="AC2372" s="47" t="n"/>
      <c r="AD2372" s="47" t="n"/>
      <c r="AE2372" s="47" t="n"/>
      <c r="AF2372" s="20">
        <f>IF(A2372="","",YEAR(EDATE(A2372,-3)))</f>
        <v/>
      </c>
      <c r="AG2372" s="20">
        <f>IF(OR(B2372="",'経歴簿'!$C$4=""),"",IF(B2372&amp;""='経歴簿'!$C$4&amp;"",MAX($AG$4:AG2371)+1,""))</f>
        <v/>
      </c>
      <c r="AH2372" s="20">
        <f>IF(A2372="",0,IF(AND(OR('CSV抽出'!$C$4="",A2372&gt;='CSV抽出'!$C$4),OR('CSV抽出'!$C$5="",A2372&lt;='CSV抽出'!$C$5),OR('CSV抽出'!$C$6="すべて",'CSV抽出'!$C$6="",D2372='CSV抽出'!$C$6),OR('CSV抽出'!$C$7="",B2372&amp;""='CSV抽出'!$C$7&amp;"")),1,0))</f>
        <v/>
      </c>
      <c r="AI2372" s="20">
        <f>IF(AH2372=1,SUM($AH$5:AH2372),"")</f>
        <v/>
      </c>
      <c r="AJ2372" s="20">
        <f>IF(OR(S2372="",'報告書'!$C$4=""),"",IF(S2372&amp;""='報告書'!$C$4&amp;"",COUNTIF($S$5:S2372,'報告書'!$C$4),""))</f>
        <v/>
      </c>
      <c r="AK2372" s="20" t="n"/>
      <c r="AL2372" s="47" t="n"/>
      <c r="AM2372" s="47" t="n"/>
      <c r="AN2372" s="53" t="n"/>
      <c r="AO2372" s="47" t="n"/>
      <c r="AP2372" s="47" t="n"/>
      <c r="AQ2372" s="47" t="n"/>
      <c r="AR2372" s="47" t="n"/>
      <c r="AS2372" s="47" t="n"/>
      <c r="AT2372" s="47" t="n"/>
      <c r="AU2372" s="47" t="n"/>
      <c r="AV2372" s="47" t="n"/>
      <c r="AW2372" s="52" t="n"/>
    </row>
    <row r="2373">
      <c r="A2373" s="48" t="n"/>
      <c r="B2373" s="52" t="n"/>
      <c r="C2373" s="47">
        <f>IF(B2373="","",IFERROR(INDEX('隊員マスタ'!$B$5:$B$204,MATCH(B2373&amp;"",'隊員マスタ'!$F$5:$F$204,0)),IF(AK2373="","番号なし",AK2373)))</f>
        <v/>
      </c>
      <c r="D2373" s="47" t="n"/>
      <c r="E2373" s="47" t="n"/>
      <c r="F2373" s="47" t="n"/>
      <c r="G2373" s="47" t="n"/>
      <c r="H2373" s="47" t="n"/>
      <c r="I2373" s="47" t="n"/>
      <c r="J2373" s="47" t="n"/>
      <c r="K2373" s="47" t="n"/>
      <c r="L2373" s="47" t="n"/>
      <c r="M2373" s="47" t="n"/>
      <c r="N2373" s="47" t="n"/>
      <c r="O2373" s="47" t="n"/>
      <c r="P2373" s="47" t="n"/>
      <c r="Q2373" s="47" t="n"/>
      <c r="R2373" s="47" t="n"/>
      <c r="S2373" s="47" t="n"/>
      <c r="T2373" s="47" t="n"/>
      <c r="U2373" s="53" t="n"/>
      <c r="V2373" s="53" t="n"/>
      <c r="W2373" s="47" t="n"/>
      <c r="X2373" s="47" t="n"/>
      <c r="Y2373" s="47" t="n"/>
      <c r="Z2373" s="47" t="n"/>
      <c r="AA2373" s="47" t="n"/>
      <c r="AB2373" s="47" t="n"/>
      <c r="AC2373" s="47" t="n"/>
      <c r="AD2373" s="47" t="n"/>
      <c r="AE2373" s="47" t="n"/>
      <c r="AF2373" s="20">
        <f>IF(A2373="","",YEAR(EDATE(A2373,-3)))</f>
        <v/>
      </c>
      <c r="AG2373" s="20">
        <f>IF(OR(B2373="",'経歴簿'!$C$4=""),"",IF(B2373&amp;""='経歴簿'!$C$4&amp;"",MAX($AG$4:AG2372)+1,""))</f>
        <v/>
      </c>
      <c r="AH2373" s="20">
        <f>IF(A2373="",0,IF(AND(OR('CSV抽出'!$C$4="",A2373&gt;='CSV抽出'!$C$4),OR('CSV抽出'!$C$5="",A2373&lt;='CSV抽出'!$C$5),OR('CSV抽出'!$C$6="すべて",'CSV抽出'!$C$6="",D2373='CSV抽出'!$C$6),OR('CSV抽出'!$C$7="",B2373&amp;""='CSV抽出'!$C$7&amp;"")),1,0))</f>
        <v/>
      </c>
      <c r="AI2373" s="20">
        <f>IF(AH2373=1,SUM($AH$5:AH2373),"")</f>
        <v/>
      </c>
      <c r="AJ2373" s="20">
        <f>IF(OR(S2373="",'報告書'!$C$4=""),"",IF(S2373&amp;""='報告書'!$C$4&amp;"",COUNTIF($S$5:S2373,'報告書'!$C$4),""))</f>
        <v/>
      </c>
      <c r="AK2373" s="20" t="n"/>
      <c r="AL2373" s="47" t="n"/>
      <c r="AM2373" s="47" t="n"/>
      <c r="AN2373" s="53" t="n"/>
      <c r="AO2373" s="47" t="n"/>
      <c r="AP2373" s="47" t="n"/>
      <c r="AQ2373" s="47" t="n"/>
      <c r="AR2373" s="47" t="n"/>
      <c r="AS2373" s="47" t="n"/>
      <c r="AT2373" s="47" t="n"/>
      <c r="AU2373" s="47" t="n"/>
      <c r="AV2373" s="47" t="n"/>
      <c r="AW2373" s="52" t="n"/>
    </row>
    <row r="2374">
      <c r="A2374" s="48" t="n"/>
      <c r="B2374" s="52" t="n"/>
      <c r="C2374" s="47">
        <f>IF(B2374="","",IFERROR(INDEX('隊員マスタ'!$B$5:$B$204,MATCH(B2374&amp;"",'隊員マスタ'!$F$5:$F$204,0)),IF(AK2374="","番号なし",AK2374)))</f>
        <v/>
      </c>
      <c r="D2374" s="47" t="n"/>
      <c r="E2374" s="47" t="n"/>
      <c r="F2374" s="47" t="n"/>
      <c r="G2374" s="47" t="n"/>
      <c r="H2374" s="47" t="n"/>
      <c r="I2374" s="47" t="n"/>
      <c r="J2374" s="47" t="n"/>
      <c r="K2374" s="47" t="n"/>
      <c r="L2374" s="47" t="n"/>
      <c r="M2374" s="47" t="n"/>
      <c r="N2374" s="47" t="n"/>
      <c r="O2374" s="47" t="n"/>
      <c r="P2374" s="47" t="n"/>
      <c r="Q2374" s="47" t="n"/>
      <c r="R2374" s="47" t="n"/>
      <c r="S2374" s="47" t="n"/>
      <c r="T2374" s="47" t="n"/>
      <c r="U2374" s="53" t="n"/>
      <c r="V2374" s="53" t="n"/>
      <c r="W2374" s="47" t="n"/>
      <c r="X2374" s="47" t="n"/>
      <c r="Y2374" s="47" t="n"/>
      <c r="Z2374" s="47" t="n"/>
      <c r="AA2374" s="47" t="n"/>
      <c r="AB2374" s="47" t="n"/>
      <c r="AC2374" s="47" t="n"/>
      <c r="AD2374" s="47" t="n"/>
      <c r="AE2374" s="47" t="n"/>
      <c r="AF2374" s="20">
        <f>IF(A2374="","",YEAR(EDATE(A2374,-3)))</f>
        <v/>
      </c>
      <c r="AG2374" s="20">
        <f>IF(OR(B2374="",'経歴簿'!$C$4=""),"",IF(B2374&amp;""='経歴簿'!$C$4&amp;"",MAX($AG$4:AG2373)+1,""))</f>
        <v/>
      </c>
      <c r="AH2374" s="20">
        <f>IF(A2374="",0,IF(AND(OR('CSV抽出'!$C$4="",A2374&gt;='CSV抽出'!$C$4),OR('CSV抽出'!$C$5="",A2374&lt;='CSV抽出'!$C$5),OR('CSV抽出'!$C$6="すべて",'CSV抽出'!$C$6="",D2374='CSV抽出'!$C$6),OR('CSV抽出'!$C$7="",B2374&amp;""='CSV抽出'!$C$7&amp;"")),1,0))</f>
        <v/>
      </c>
      <c r="AI2374" s="20">
        <f>IF(AH2374=1,SUM($AH$5:AH2374),"")</f>
        <v/>
      </c>
      <c r="AJ2374" s="20">
        <f>IF(OR(S2374="",'報告書'!$C$4=""),"",IF(S2374&amp;""='報告書'!$C$4&amp;"",COUNTIF($S$5:S2374,'報告書'!$C$4),""))</f>
        <v/>
      </c>
      <c r="AK2374" s="20" t="n"/>
      <c r="AL2374" s="47" t="n"/>
      <c r="AM2374" s="47" t="n"/>
      <c r="AN2374" s="53" t="n"/>
      <c r="AO2374" s="47" t="n"/>
      <c r="AP2374" s="47" t="n"/>
      <c r="AQ2374" s="47" t="n"/>
      <c r="AR2374" s="47" t="n"/>
      <c r="AS2374" s="47" t="n"/>
      <c r="AT2374" s="47" t="n"/>
      <c r="AU2374" s="47" t="n"/>
      <c r="AV2374" s="47" t="n"/>
      <c r="AW2374" s="52" t="n"/>
    </row>
    <row r="2375">
      <c r="A2375" s="48" t="n"/>
      <c r="B2375" s="52" t="n"/>
      <c r="C2375" s="47">
        <f>IF(B2375="","",IFERROR(INDEX('隊員マスタ'!$B$5:$B$204,MATCH(B2375&amp;"",'隊員マスタ'!$F$5:$F$204,0)),IF(AK2375="","番号なし",AK2375)))</f>
        <v/>
      </c>
      <c r="D2375" s="47" t="n"/>
      <c r="E2375" s="47" t="n"/>
      <c r="F2375" s="47" t="n"/>
      <c r="G2375" s="47" t="n"/>
      <c r="H2375" s="47" t="n"/>
      <c r="I2375" s="47" t="n"/>
      <c r="J2375" s="47" t="n"/>
      <c r="K2375" s="47" t="n"/>
      <c r="L2375" s="47" t="n"/>
      <c r="M2375" s="47" t="n"/>
      <c r="N2375" s="47" t="n"/>
      <c r="O2375" s="47" t="n"/>
      <c r="P2375" s="47" t="n"/>
      <c r="Q2375" s="47" t="n"/>
      <c r="R2375" s="47" t="n"/>
      <c r="S2375" s="47" t="n"/>
      <c r="T2375" s="47" t="n"/>
      <c r="U2375" s="53" t="n"/>
      <c r="V2375" s="53" t="n"/>
      <c r="W2375" s="47" t="n"/>
      <c r="X2375" s="47" t="n"/>
      <c r="Y2375" s="47" t="n"/>
      <c r="Z2375" s="47" t="n"/>
      <c r="AA2375" s="47" t="n"/>
      <c r="AB2375" s="47" t="n"/>
      <c r="AC2375" s="47" t="n"/>
      <c r="AD2375" s="47" t="n"/>
      <c r="AE2375" s="47" t="n"/>
      <c r="AF2375" s="20">
        <f>IF(A2375="","",YEAR(EDATE(A2375,-3)))</f>
        <v/>
      </c>
      <c r="AG2375" s="20">
        <f>IF(OR(B2375="",'経歴簿'!$C$4=""),"",IF(B2375&amp;""='経歴簿'!$C$4&amp;"",MAX($AG$4:AG2374)+1,""))</f>
        <v/>
      </c>
      <c r="AH2375" s="20">
        <f>IF(A2375="",0,IF(AND(OR('CSV抽出'!$C$4="",A2375&gt;='CSV抽出'!$C$4),OR('CSV抽出'!$C$5="",A2375&lt;='CSV抽出'!$C$5),OR('CSV抽出'!$C$6="すべて",'CSV抽出'!$C$6="",D2375='CSV抽出'!$C$6),OR('CSV抽出'!$C$7="",B2375&amp;""='CSV抽出'!$C$7&amp;"")),1,0))</f>
        <v/>
      </c>
      <c r="AI2375" s="20">
        <f>IF(AH2375=1,SUM($AH$5:AH2375),"")</f>
        <v/>
      </c>
      <c r="AJ2375" s="20">
        <f>IF(OR(S2375="",'報告書'!$C$4=""),"",IF(S2375&amp;""='報告書'!$C$4&amp;"",COUNTIF($S$5:S2375,'報告書'!$C$4),""))</f>
        <v/>
      </c>
      <c r="AK2375" s="20" t="n"/>
      <c r="AL2375" s="47" t="n"/>
      <c r="AM2375" s="47" t="n"/>
      <c r="AN2375" s="53" t="n"/>
      <c r="AO2375" s="47" t="n"/>
      <c r="AP2375" s="47" t="n"/>
      <c r="AQ2375" s="47" t="n"/>
      <c r="AR2375" s="47" t="n"/>
      <c r="AS2375" s="47" t="n"/>
      <c r="AT2375" s="47" t="n"/>
      <c r="AU2375" s="47" t="n"/>
      <c r="AV2375" s="47" t="n"/>
      <c r="AW2375" s="52" t="n"/>
    </row>
    <row r="2376">
      <c r="A2376" s="48" t="n"/>
      <c r="B2376" s="52" t="n"/>
      <c r="C2376" s="47">
        <f>IF(B2376="","",IFERROR(INDEX('隊員マスタ'!$B$5:$B$204,MATCH(B2376&amp;"",'隊員マスタ'!$F$5:$F$204,0)),IF(AK2376="","番号なし",AK2376)))</f>
        <v/>
      </c>
      <c r="D2376" s="47" t="n"/>
      <c r="E2376" s="47" t="n"/>
      <c r="F2376" s="47" t="n"/>
      <c r="G2376" s="47" t="n"/>
      <c r="H2376" s="47" t="n"/>
      <c r="I2376" s="47" t="n"/>
      <c r="J2376" s="47" t="n"/>
      <c r="K2376" s="47" t="n"/>
      <c r="L2376" s="47" t="n"/>
      <c r="M2376" s="47" t="n"/>
      <c r="N2376" s="47" t="n"/>
      <c r="O2376" s="47" t="n"/>
      <c r="P2376" s="47" t="n"/>
      <c r="Q2376" s="47" t="n"/>
      <c r="R2376" s="47" t="n"/>
      <c r="S2376" s="47" t="n"/>
      <c r="T2376" s="47" t="n"/>
      <c r="U2376" s="53" t="n"/>
      <c r="V2376" s="53" t="n"/>
      <c r="W2376" s="47" t="n"/>
      <c r="X2376" s="47" t="n"/>
      <c r="Y2376" s="47" t="n"/>
      <c r="Z2376" s="47" t="n"/>
      <c r="AA2376" s="47" t="n"/>
      <c r="AB2376" s="47" t="n"/>
      <c r="AC2376" s="47" t="n"/>
      <c r="AD2376" s="47" t="n"/>
      <c r="AE2376" s="47" t="n"/>
      <c r="AF2376" s="20">
        <f>IF(A2376="","",YEAR(EDATE(A2376,-3)))</f>
        <v/>
      </c>
      <c r="AG2376" s="20">
        <f>IF(OR(B2376="",'経歴簿'!$C$4=""),"",IF(B2376&amp;""='経歴簿'!$C$4&amp;"",MAX($AG$4:AG2375)+1,""))</f>
        <v/>
      </c>
      <c r="AH2376" s="20">
        <f>IF(A2376="",0,IF(AND(OR('CSV抽出'!$C$4="",A2376&gt;='CSV抽出'!$C$4),OR('CSV抽出'!$C$5="",A2376&lt;='CSV抽出'!$C$5),OR('CSV抽出'!$C$6="すべて",'CSV抽出'!$C$6="",D2376='CSV抽出'!$C$6),OR('CSV抽出'!$C$7="",B2376&amp;""='CSV抽出'!$C$7&amp;"")),1,0))</f>
        <v/>
      </c>
      <c r="AI2376" s="20">
        <f>IF(AH2376=1,SUM($AH$5:AH2376),"")</f>
        <v/>
      </c>
      <c r="AJ2376" s="20">
        <f>IF(OR(S2376="",'報告書'!$C$4=""),"",IF(S2376&amp;""='報告書'!$C$4&amp;"",COUNTIF($S$5:S2376,'報告書'!$C$4),""))</f>
        <v/>
      </c>
      <c r="AK2376" s="20" t="n"/>
      <c r="AL2376" s="47" t="n"/>
      <c r="AM2376" s="47" t="n"/>
      <c r="AN2376" s="53" t="n"/>
      <c r="AO2376" s="47" t="n"/>
      <c r="AP2376" s="47" t="n"/>
      <c r="AQ2376" s="47" t="n"/>
      <c r="AR2376" s="47" t="n"/>
      <c r="AS2376" s="47" t="n"/>
      <c r="AT2376" s="47" t="n"/>
      <c r="AU2376" s="47" t="n"/>
      <c r="AV2376" s="47" t="n"/>
      <c r="AW2376" s="52" t="n"/>
    </row>
    <row r="2377">
      <c r="A2377" s="48" t="n"/>
      <c r="B2377" s="52" t="n"/>
      <c r="C2377" s="47">
        <f>IF(B2377="","",IFERROR(INDEX('隊員マスタ'!$B$5:$B$204,MATCH(B2377&amp;"",'隊員マスタ'!$F$5:$F$204,0)),IF(AK2377="","番号なし",AK2377)))</f>
        <v/>
      </c>
      <c r="D2377" s="47" t="n"/>
      <c r="E2377" s="47" t="n"/>
      <c r="F2377" s="47" t="n"/>
      <c r="G2377" s="47" t="n"/>
      <c r="H2377" s="47" t="n"/>
      <c r="I2377" s="47" t="n"/>
      <c r="J2377" s="47" t="n"/>
      <c r="K2377" s="47" t="n"/>
      <c r="L2377" s="47" t="n"/>
      <c r="M2377" s="47" t="n"/>
      <c r="N2377" s="47" t="n"/>
      <c r="O2377" s="47" t="n"/>
      <c r="P2377" s="47" t="n"/>
      <c r="Q2377" s="47" t="n"/>
      <c r="R2377" s="47" t="n"/>
      <c r="S2377" s="47" t="n"/>
      <c r="T2377" s="47" t="n"/>
      <c r="U2377" s="53" t="n"/>
      <c r="V2377" s="53" t="n"/>
      <c r="W2377" s="47" t="n"/>
      <c r="X2377" s="47" t="n"/>
      <c r="Y2377" s="47" t="n"/>
      <c r="Z2377" s="47" t="n"/>
      <c r="AA2377" s="47" t="n"/>
      <c r="AB2377" s="47" t="n"/>
      <c r="AC2377" s="47" t="n"/>
      <c r="AD2377" s="47" t="n"/>
      <c r="AE2377" s="47" t="n"/>
      <c r="AF2377" s="20">
        <f>IF(A2377="","",YEAR(EDATE(A2377,-3)))</f>
        <v/>
      </c>
      <c r="AG2377" s="20">
        <f>IF(OR(B2377="",'経歴簿'!$C$4=""),"",IF(B2377&amp;""='経歴簿'!$C$4&amp;"",MAX($AG$4:AG2376)+1,""))</f>
        <v/>
      </c>
      <c r="AH2377" s="20">
        <f>IF(A2377="",0,IF(AND(OR('CSV抽出'!$C$4="",A2377&gt;='CSV抽出'!$C$4),OR('CSV抽出'!$C$5="",A2377&lt;='CSV抽出'!$C$5),OR('CSV抽出'!$C$6="すべて",'CSV抽出'!$C$6="",D2377='CSV抽出'!$C$6),OR('CSV抽出'!$C$7="",B2377&amp;""='CSV抽出'!$C$7&amp;"")),1,0))</f>
        <v/>
      </c>
      <c r="AI2377" s="20">
        <f>IF(AH2377=1,SUM($AH$5:AH2377),"")</f>
        <v/>
      </c>
      <c r="AJ2377" s="20">
        <f>IF(OR(S2377="",'報告書'!$C$4=""),"",IF(S2377&amp;""='報告書'!$C$4&amp;"",COUNTIF($S$5:S2377,'報告書'!$C$4),""))</f>
        <v/>
      </c>
      <c r="AK2377" s="20" t="n"/>
      <c r="AL2377" s="47" t="n"/>
      <c r="AM2377" s="47" t="n"/>
      <c r="AN2377" s="53" t="n"/>
      <c r="AO2377" s="47" t="n"/>
      <c r="AP2377" s="47" t="n"/>
      <c r="AQ2377" s="47" t="n"/>
      <c r="AR2377" s="47" t="n"/>
      <c r="AS2377" s="47" t="n"/>
      <c r="AT2377" s="47" t="n"/>
      <c r="AU2377" s="47" t="n"/>
      <c r="AV2377" s="47" t="n"/>
      <c r="AW2377" s="52" t="n"/>
    </row>
    <row r="2378">
      <c r="A2378" s="48" t="n"/>
      <c r="B2378" s="52" t="n"/>
      <c r="C2378" s="47">
        <f>IF(B2378="","",IFERROR(INDEX('隊員マスタ'!$B$5:$B$204,MATCH(B2378&amp;"",'隊員マスタ'!$F$5:$F$204,0)),IF(AK2378="","番号なし",AK2378)))</f>
        <v/>
      </c>
      <c r="D2378" s="47" t="n"/>
      <c r="E2378" s="47" t="n"/>
      <c r="F2378" s="47" t="n"/>
      <c r="G2378" s="47" t="n"/>
      <c r="H2378" s="47" t="n"/>
      <c r="I2378" s="47" t="n"/>
      <c r="J2378" s="47" t="n"/>
      <c r="K2378" s="47" t="n"/>
      <c r="L2378" s="47" t="n"/>
      <c r="M2378" s="47" t="n"/>
      <c r="N2378" s="47" t="n"/>
      <c r="O2378" s="47" t="n"/>
      <c r="P2378" s="47" t="n"/>
      <c r="Q2378" s="47" t="n"/>
      <c r="R2378" s="47" t="n"/>
      <c r="S2378" s="47" t="n"/>
      <c r="T2378" s="47" t="n"/>
      <c r="U2378" s="53" t="n"/>
      <c r="V2378" s="53" t="n"/>
      <c r="W2378" s="47" t="n"/>
      <c r="X2378" s="47" t="n"/>
      <c r="Y2378" s="47" t="n"/>
      <c r="Z2378" s="47" t="n"/>
      <c r="AA2378" s="47" t="n"/>
      <c r="AB2378" s="47" t="n"/>
      <c r="AC2378" s="47" t="n"/>
      <c r="AD2378" s="47" t="n"/>
      <c r="AE2378" s="47" t="n"/>
      <c r="AF2378" s="20">
        <f>IF(A2378="","",YEAR(EDATE(A2378,-3)))</f>
        <v/>
      </c>
      <c r="AG2378" s="20">
        <f>IF(OR(B2378="",'経歴簿'!$C$4=""),"",IF(B2378&amp;""='経歴簿'!$C$4&amp;"",MAX($AG$4:AG2377)+1,""))</f>
        <v/>
      </c>
      <c r="AH2378" s="20">
        <f>IF(A2378="",0,IF(AND(OR('CSV抽出'!$C$4="",A2378&gt;='CSV抽出'!$C$4),OR('CSV抽出'!$C$5="",A2378&lt;='CSV抽出'!$C$5),OR('CSV抽出'!$C$6="すべて",'CSV抽出'!$C$6="",D2378='CSV抽出'!$C$6),OR('CSV抽出'!$C$7="",B2378&amp;""='CSV抽出'!$C$7&amp;"")),1,0))</f>
        <v/>
      </c>
      <c r="AI2378" s="20">
        <f>IF(AH2378=1,SUM($AH$5:AH2378),"")</f>
        <v/>
      </c>
      <c r="AJ2378" s="20">
        <f>IF(OR(S2378="",'報告書'!$C$4=""),"",IF(S2378&amp;""='報告書'!$C$4&amp;"",COUNTIF($S$5:S2378,'報告書'!$C$4),""))</f>
        <v/>
      </c>
      <c r="AK2378" s="20" t="n"/>
      <c r="AL2378" s="47" t="n"/>
      <c r="AM2378" s="47" t="n"/>
      <c r="AN2378" s="53" t="n"/>
      <c r="AO2378" s="47" t="n"/>
      <c r="AP2378" s="47" t="n"/>
      <c r="AQ2378" s="47" t="n"/>
      <c r="AR2378" s="47" t="n"/>
      <c r="AS2378" s="47" t="n"/>
      <c r="AT2378" s="47" t="n"/>
      <c r="AU2378" s="47" t="n"/>
      <c r="AV2378" s="47" t="n"/>
      <c r="AW2378" s="52" t="n"/>
    </row>
    <row r="2379">
      <c r="A2379" s="48" t="n"/>
      <c r="B2379" s="52" t="n"/>
      <c r="C2379" s="47">
        <f>IF(B2379="","",IFERROR(INDEX('隊員マスタ'!$B$5:$B$204,MATCH(B2379&amp;"",'隊員マスタ'!$F$5:$F$204,0)),IF(AK2379="","番号なし",AK2379)))</f>
        <v/>
      </c>
      <c r="D2379" s="47" t="n"/>
      <c r="E2379" s="47" t="n"/>
      <c r="F2379" s="47" t="n"/>
      <c r="G2379" s="47" t="n"/>
      <c r="H2379" s="47" t="n"/>
      <c r="I2379" s="47" t="n"/>
      <c r="J2379" s="47" t="n"/>
      <c r="K2379" s="47" t="n"/>
      <c r="L2379" s="47" t="n"/>
      <c r="M2379" s="47" t="n"/>
      <c r="N2379" s="47" t="n"/>
      <c r="O2379" s="47" t="n"/>
      <c r="P2379" s="47" t="n"/>
      <c r="Q2379" s="47" t="n"/>
      <c r="R2379" s="47" t="n"/>
      <c r="S2379" s="47" t="n"/>
      <c r="T2379" s="47" t="n"/>
      <c r="U2379" s="53" t="n"/>
      <c r="V2379" s="53" t="n"/>
      <c r="W2379" s="47" t="n"/>
      <c r="X2379" s="47" t="n"/>
      <c r="Y2379" s="47" t="n"/>
      <c r="Z2379" s="47" t="n"/>
      <c r="AA2379" s="47" t="n"/>
      <c r="AB2379" s="47" t="n"/>
      <c r="AC2379" s="47" t="n"/>
      <c r="AD2379" s="47" t="n"/>
      <c r="AE2379" s="47" t="n"/>
      <c r="AF2379" s="20">
        <f>IF(A2379="","",YEAR(EDATE(A2379,-3)))</f>
        <v/>
      </c>
      <c r="AG2379" s="20">
        <f>IF(OR(B2379="",'経歴簿'!$C$4=""),"",IF(B2379&amp;""='経歴簿'!$C$4&amp;"",MAX($AG$4:AG2378)+1,""))</f>
        <v/>
      </c>
      <c r="AH2379" s="20">
        <f>IF(A2379="",0,IF(AND(OR('CSV抽出'!$C$4="",A2379&gt;='CSV抽出'!$C$4),OR('CSV抽出'!$C$5="",A2379&lt;='CSV抽出'!$C$5),OR('CSV抽出'!$C$6="すべて",'CSV抽出'!$C$6="",D2379='CSV抽出'!$C$6),OR('CSV抽出'!$C$7="",B2379&amp;""='CSV抽出'!$C$7&amp;"")),1,0))</f>
        <v/>
      </c>
      <c r="AI2379" s="20">
        <f>IF(AH2379=1,SUM($AH$5:AH2379),"")</f>
        <v/>
      </c>
      <c r="AJ2379" s="20">
        <f>IF(OR(S2379="",'報告書'!$C$4=""),"",IF(S2379&amp;""='報告書'!$C$4&amp;"",COUNTIF($S$5:S2379,'報告書'!$C$4),""))</f>
        <v/>
      </c>
      <c r="AK2379" s="20" t="n"/>
      <c r="AL2379" s="47" t="n"/>
      <c r="AM2379" s="47" t="n"/>
      <c r="AN2379" s="53" t="n"/>
      <c r="AO2379" s="47" t="n"/>
      <c r="AP2379" s="47" t="n"/>
      <c r="AQ2379" s="47" t="n"/>
      <c r="AR2379" s="47" t="n"/>
      <c r="AS2379" s="47" t="n"/>
      <c r="AT2379" s="47" t="n"/>
      <c r="AU2379" s="47" t="n"/>
      <c r="AV2379" s="47" t="n"/>
      <c r="AW2379" s="52" t="n"/>
    </row>
    <row r="2380">
      <c r="A2380" s="48" t="n"/>
      <c r="B2380" s="52" t="n"/>
      <c r="C2380" s="47">
        <f>IF(B2380="","",IFERROR(INDEX('隊員マスタ'!$B$5:$B$204,MATCH(B2380&amp;"",'隊員マスタ'!$F$5:$F$204,0)),IF(AK2380="","番号なし",AK2380)))</f>
        <v/>
      </c>
      <c r="D2380" s="47" t="n"/>
      <c r="E2380" s="47" t="n"/>
      <c r="F2380" s="47" t="n"/>
      <c r="G2380" s="47" t="n"/>
      <c r="H2380" s="47" t="n"/>
      <c r="I2380" s="47" t="n"/>
      <c r="J2380" s="47" t="n"/>
      <c r="K2380" s="47" t="n"/>
      <c r="L2380" s="47" t="n"/>
      <c r="M2380" s="47" t="n"/>
      <c r="N2380" s="47" t="n"/>
      <c r="O2380" s="47" t="n"/>
      <c r="P2380" s="47" t="n"/>
      <c r="Q2380" s="47" t="n"/>
      <c r="R2380" s="47" t="n"/>
      <c r="S2380" s="47" t="n"/>
      <c r="T2380" s="47" t="n"/>
      <c r="U2380" s="53" t="n"/>
      <c r="V2380" s="53" t="n"/>
      <c r="W2380" s="47" t="n"/>
      <c r="X2380" s="47" t="n"/>
      <c r="Y2380" s="47" t="n"/>
      <c r="Z2380" s="47" t="n"/>
      <c r="AA2380" s="47" t="n"/>
      <c r="AB2380" s="47" t="n"/>
      <c r="AC2380" s="47" t="n"/>
      <c r="AD2380" s="47" t="n"/>
      <c r="AE2380" s="47" t="n"/>
      <c r="AF2380" s="20">
        <f>IF(A2380="","",YEAR(EDATE(A2380,-3)))</f>
        <v/>
      </c>
      <c r="AG2380" s="20">
        <f>IF(OR(B2380="",'経歴簿'!$C$4=""),"",IF(B2380&amp;""='経歴簿'!$C$4&amp;"",MAX($AG$4:AG2379)+1,""))</f>
        <v/>
      </c>
      <c r="AH2380" s="20">
        <f>IF(A2380="",0,IF(AND(OR('CSV抽出'!$C$4="",A2380&gt;='CSV抽出'!$C$4),OR('CSV抽出'!$C$5="",A2380&lt;='CSV抽出'!$C$5),OR('CSV抽出'!$C$6="すべて",'CSV抽出'!$C$6="",D2380='CSV抽出'!$C$6),OR('CSV抽出'!$C$7="",B2380&amp;""='CSV抽出'!$C$7&amp;"")),1,0))</f>
        <v/>
      </c>
      <c r="AI2380" s="20">
        <f>IF(AH2380=1,SUM($AH$5:AH2380),"")</f>
        <v/>
      </c>
      <c r="AJ2380" s="20">
        <f>IF(OR(S2380="",'報告書'!$C$4=""),"",IF(S2380&amp;""='報告書'!$C$4&amp;"",COUNTIF($S$5:S2380,'報告書'!$C$4),""))</f>
        <v/>
      </c>
      <c r="AK2380" s="20" t="n"/>
      <c r="AL2380" s="47" t="n"/>
      <c r="AM2380" s="47" t="n"/>
      <c r="AN2380" s="53" t="n"/>
      <c r="AO2380" s="47" t="n"/>
      <c r="AP2380" s="47" t="n"/>
      <c r="AQ2380" s="47" t="n"/>
      <c r="AR2380" s="47" t="n"/>
      <c r="AS2380" s="47" t="n"/>
      <c r="AT2380" s="47" t="n"/>
      <c r="AU2380" s="47" t="n"/>
      <c r="AV2380" s="47" t="n"/>
      <c r="AW2380" s="52" t="n"/>
    </row>
    <row r="2381">
      <c r="A2381" s="48" t="n"/>
      <c r="B2381" s="52" t="n"/>
      <c r="C2381" s="47">
        <f>IF(B2381="","",IFERROR(INDEX('隊員マスタ'!$B$5:$B$204,MATCH(B2381&amp;"",'隊員マスタ'!$F$5:$F$204,0)),IF(AK2381="","番号なし",AK2381)))</f>
        <v/>
      </c>
      <c r="D2381" s="47" t="n"/>
      <c r="E2381" s="47" t="n"/>
      <c r="F2381" s="47" t="n"/>
      <c r="G2381" s="47" t="n"/>
      <c r="H2381" s="47" t="n"/>
      <c r="I2381" s="47" t="n"/>
      <c r="J2381" s="47" t="n"/>
      <c r="K2381" s="47" t="n"/>
      <c r="L2381" s="47" t="n"/>
      <c r="M2381" s="47" t="n"/>
      <c r="N2381" s="47" t="n"/>
      <c r="O2381" s="47" t="n"/>
      <c r="P2381" s="47" t="n"/>
      <c r="Q2381" s="47" t="n"/>
      <c r="R2381" s="47" t="n"/>
      <c r="S2381" s="47" t="n"/>
      <c r="T2381" s="47" t="n"/>
      <c r="U2381" s="53" t="n"/>
      <c r="V2381" s="53" t="n"/>
      <c r="W2381" s="47" t="n"/>
      <c r="X2381" s="47" t="n"/>
      <c r="Y2381" s="47" t="n"/>
      <c r="Z2381" s="47" t="n"/>
      <c r="AA2381" s="47" t="n"/>
      <c r="AB2381" s="47" t="n"/>
      <c r="AC2381" s="47" t="n"/>
      <c r="AD2381" s="47" t="n"/>
      <c r="AE2381" s="47" t="n"/>
      <c r="AF2381" s="20">
        <f>IF(A2381="","",YEAR(EDATE(A2381,-3)))</f>
        <v/>
      </c>
      <c r="AG2381" s="20">
        <f>IF(OR(B2381="",'経歴簿'!$C$4=""),"",IF(B2381&amp;""='経歴簿'!$C$4&amp;"",MAX($AG$4:AG2380)+1,""))</f>
        <v/>
      </c>
      <c r="AH2381" s="20">
        <f>IF(A2381="",0,IF(AND(OR('CSV抽出'!$C$4="",A2381&gt;='CSV抽出'!$C$4),OR('CSV抽出'!$C$5="",A2381&lt;='CSV抽出'!$C$5),OR('CSV抽出'!$C$6="すべて",'CSV抽出'!$C$6="",D2381='CSV抽出'!$C$6),OR('CSV抽出'!$C$7="",B2381&amp;""='CSV抽出'!$C$7&amp;"")),1,0))</f>
        <v/>
      </c>
      <c r="AI2381" s="20">
        <f>IF(AH2381=1,SUM($AH$5:AH2381),"")</f>
        <v/>
      </c>
      <c r="AJ2381" s="20">
        <f>IF(OR(S2381="",'報告書'!$C$4=""),"",IF(S2381&amp;""='報告書'!$C$4&amp;"",COUNTIF($S$5:S2381,'報告書'!$C$4),""))</f>
        <v/>
      </c>
      <c r="AK2381" s="20" t="n"/>
      <c r="AL2381" s="47" t="n"/>
      <c r="AM2381" s="47" t="n"/>
      <c r="AN2381" s="53" t="n"/>
      <c r="AO2381" s="47" t="n"/>
      <c r="AP2381" s="47" t="n"/>
      <c r="AQ2381" s="47" t="n"/>
      <c r="AR2381" s="47" t="n"/>
      <c r="AS2381" s="47" t="n"/>
      <c r="AT2381" s="47" t="n"/>
      <c r="AU2381" s="47" t="n"/>
      <c r="AV2381" s="47" t="n"/>
      <c r="AW2381" s="52" t="n"/>
    </row>
    <row r="2382">
      <c r="A2382" s="48" t="n"/>
      <c r="B2382" s="52" t="n"/>
      <c r="C2382" s="47">
        <f>IF(B2382="","",IFERROR(INDEX('隊員マスタ'!$B$5:$B$204,MATCH(B2382&amp;"",'隊員マスタ'!$F$5:$F$204,0)),IF(AK2382="","番号なし",AK2382)))</f>
        <v/>
      </c>
      <c r="D2382" s="47" t="n"/>
      <c r="E2382" s="47" t="n"/>
      <c r="F2382" s="47" t="n"/>
      <c r="G2382" s="47" t="n"/>
      <c r="H2382" s="47" t="n"/>
      <c r="I2382" s="47" t="n"/>
      <c r="J2382" s="47" t="n"/>
      <c r="K2382" s="47" t="n"/>
      <c r="L2382" s="47" t="n"/>
      <c r="M2382" s="47" t="n"/>
      <c r="N2382" s="47" t="n"/>
      <c r="O2382" s="47" t="n"/>
      <c r="P2382" s="47" t="n"/>
      <c r="Q2382" s="47" t="n"/>
      <c r="R2382" s="47" t="n"/>
      <c r="S2382" s="47" t="n"/>
      <c r="T2382" s="47" t="n"/>
      <c r="U2382" s="53" t="n"/>
      <c r="V2382" s="53" t="n"/>
      <c r="W2382" s="47" t="n"/>
      <c r="X2382" s="47" t="n"/>
      <c r="Y2382" s="47" t="n"/>
      <c r="Z2382" s="47" t="n"/>
      <c r="AA2382" s="47" t="n"/>
      <c r="AB2382" s="47" t="n"/>
      <c r="AC2382" s="47" t="n"/>
      <c r="AD2382" s="47" t="n"/>
      <c r="AE2382" s="47" t="n"/>
      <c r="AF2382" s="20">
        <f>IF(A2382="","",YEAR(EDATE(A2382,-3)))</f>
        <v/>
      </c>
      <c r="AG2382" s="20">
        <f>IF(OR(B2382="",'経歴簿'!$C$4=""),"",IF(B2382&amp;""='経歴簿'!$C$4&amp;"",MAX($AG$4:AG2381)+1,""))</f>
        <v/>
      </c>
      <c r="AH2382" s="20">
        <f>IF(A2382="",0,IF(AND(OR('CSV抽出'!$C$4="",A2382&gt;='CSV抽出'!$C$4),OR('CSV抽出'!$C$5="",A2382&lt;='CSV抽出'!$C$5),OR('CSV抽出'!$C$6="すべて",'CSV抽出'!$C$6="",D2382='CSV抽出'!$C$6),OR('CSV抽出'!$C$7="",B2382&amp;""='CSV抽出'!$C$7&amp;"")),1,0))</f>
        <v/>
      </c>
      <c r="AI2382" s="20">
        <f>IF(AH2382=1,SUM($AH$5:AH2382),"")</f>
        <v/>
      </c>
      <c r="AJ2382" s="20">
        <f>IF(OR(S2382="",'報告書'!$C$4=""),"",IF(S2382&amp;""='報告書'!$C$4&amp;"",COUNTIF($S$5:S2382,'報告書'!$C$4),""))</f>
        <v/>
      </c>
      <c r="AK2382" s="20" t="n"/>
      <c r="AL2382" s="47" t="n"/>
      <c r="AM2382" s="47" t="n"/>
      <c r="AN2382" s="53" t="n"/>
      <c r="AO2382" s="47" t="n"/>
      <c r="AP2382" s="47" t="n"/>
      <c r="AQ2382" s="47" t="n"/>
      <c r="AR2382" s="47" t="n"/>
      <c r="AS2382" s="47" t="n"/>
      <c r="AT2382" s="47" t="n"/>
      <c r="AU2382" s="47" t="n"/>
      <c r="AV2382" s="47" t="n"/>
      <c r="AW2382" s="52" t="n"/>
    </row>
    <row r="2383">
      <c r="A2383" s="48" t="n"/>
      <c r="B2383" s="52" t="n"/>
      <c r="C2383" s="47">
        <f>IF(B2383="","",IFERROR(INDEX('隊員マスタ'!$B$5:$B$204,MATCH(B2383&amp;"",'隊員マスタ'!$F$5:$F$204,0)),IF(AK2383="","番号なし",AK2383)))</f>
        <v/>
      </c>
      <c r="D2383" s="47" t="n"/>
      <c r="E2383" s="47" t="n"/>
      <c r="F2383" s="47" t="n"/>
      <c r="G2383" s="47" t="n"/>
      <c r="H2383" s="47" t="n"/>
      <c r="I2383" s="47" t="n"/>
      <c r="J2383" s="47" t="n"/>
      <c r="K2383" s="47" t="n"/>
      <c r="L2383" s="47" t="n"/>
      <c r="M2383" s="47" t="n"/>
      <c r="N2383" s="47" t="n"/>
      <c r="O2383" s="47" t="n"/>
      <c r="P2383" s="47" t="n"/>
      <c r="Q2383" s="47" t="n"/>
      <c r="R2383" s="47" t="n"/>
      <c r="S2383" s="47" t="n"/>
      <c r="T2383" s="47" t="n"/>
      <c r="U2383" s="53" t="n"/>
      <c r="V2383" s="53" t="n"/>
      <c r="W2383" s="47" t="n"/>
      <c r="X2383" s="47" t="n"/>
      <c r="Y2383" s="47" t="n"/>
      <c r="Z2383" s="47" t="n"/>
      <c r="AA2383" s="47" t="n"/>
      <c r="AB2383" s="47" t="n"/>
      <c r="AC2383" s="47" t="n"/>
      <c r="AD2383" s="47" t="n"/>
      <c r="AE2383" s="47" t="n"/>
      <c r="AF2383" s="20">
        <f>IF(A2383="","",YEAR(EDATE(A2383,-3)))</f>
        <v/>
      </c>
      <c r="AG2383" s="20">
        <f>IF(OR(B2383="",'経歴簿'!$C$4=""),"",IF(B2383&amp;""='経歴簿'!$C$4&amp;"",MAX($AG$4:AG2382)+1,""))</f>
        <v/>
      </c>
      <c r="AH2383" s="20">
        <f>IF(A2383="",0,IF(AND(OR('CSV抽出'!$C$4="",A2383&gt;='CSV抽出'!$C$4),OR('CSV抽出'!$C$5="",A2383&lt;='CSV抽出'!$C$5),OR('CSV抽出'!$C$6="すべて",'CSV抽出'!$C$6="",D2383='CSV抽出'!$C$6),OR('CSV抽出'!$C$7="",B2383&amp;""='CSV抽出'!$C$7&amp;"")),1,0))</f>
        <v/>
      </c>
      <c r="AI2383" s="20">
        <f>IF(AH2383=1,SUM($AH$5:AH2383),"")</f>
        <v/>
      </c>
      <c r="AJ2383" s="20">
        <f>IF(OR(S2383="",'報告書'!$C$4=""),"",IF(S2383&amp;""='報告書'!$C$4&amp;"",COUNTIF($S$5:S2383,'報告書'!$C$4),""))</f>
        <v/>
      </c>
      <c r="AK2383" s="20" t="n"/>
      <c r="AL2383" s="47" t="n"/>
      <c r="AM2383" s="47" t="n"/>
      <c r="AN2383" s="53" t="n"/>
      <c r="AO2383" s="47" t="n"/>
      <c r="AP2383" s="47" t="n"/>
      <c r="AQ2383" s="47" t="n"/>
      <c r="AR2383" s="47" t="n"/>
      <c r="AS2383" s="47" t="n"/>
      <c r="AT2383" s="47" t="n"/>
      <c r="AU2383" s="47" t="n"/>
      <c r="AV2383" s="47" t="n"/>
      <c r="AW2383" s="52" t="n"/>
    </row>
    <row r="2384">
      <c r="A2384" s="48" t="n"/>
      <c r="B2384" s="52" t="n"/>
      <c r="C2384" s="47">
        <f>IF(B2384="","",IFERROR(INDEX('隊員マスタ'!$B$5:$B$204,MATCH(B2384&amp;"",'隊員マスタ'!$F$5:$F$204,0)),IF(AK2384="","番号なし",AK2384)))</f>
        <v/>
      </c>
      <c r="D2384" s="47" t="n"/>
      <c r="E2384" s="47" t="n"/>
      <c r="F2384" s="47" t="n"/>
      <c r="G2384" s="47" t="n"/>
      <c r="H2384" s="47" t="n"/>
      <c r="I2384" s="47" t="n"/>
      <c r="J2384" s="47" t="n"/>
      <c r="K2384" s="47" t="n"/>
      <c r="L2384" s="47" t="n"/>
      <c r="M2384" s="47" t="n"/>
      <c r="N2384" s="47" t="n"/>
      <c r="O2384" s="47" t="n"/>
      <c r="P2384" s="47" t="n"/>
      <c r="Q2384" s="47" t="n"/>
      <c r="R2384" s="47" t="n"/>
      <c r="S2384" s="47" t="n"/>
      <c r="T2384" s="47" t="n"/>
      <c r="U2384" s="53" t="n"/>
      <c r="V2384" s="53" t="n"/>
      <c r="W2384" s="47" t="n"/>
      <c r="X2384" s="47" t="n"/>
      <c r="Y2384" s="47" t="n"/>
      <c r="Z2384" s="47" t="n"/>
      <c r="AA2384" s="47" t="n"/>
      <c r="AB2384" s="47" t="n"/>
      <c r="AC2384" s="47" t="n"/>
      <c r="AD2384" s="47" t="n"/>
      <c r="AE2384" s="47" t="n"/>
      <c r="AF2384" s="20">
        <f>IF(A2384="","",YEAR(EDATE(A2384,-3)))</f>
        <v/>
      </c>
      <c r="AG2384" s="20">
        <f>IF(OR(B2384="",'経歴簿'!$C$4=""),"",IF(B2384&amp;""='経歴簿'!$C$4&amp;"",MAX($AG$4:AG2383)+1,""))</f>
        <v/>
      </c>
      <c r="AH2384" s="20">
        <f>IF(A2384="",0,IF(AND(OR('CSV抽出'!$C$4="",A2384&gt;='CSV抽出'!$C$4),OR('CSV抽出'!$C$5="",A2384&lt;='CSV抽出'!$C$5),OR('CSV抽出'!$C$6="すべて",'CSV抽出'!$C$6="",D2384='CSV抽出'!$C$6),OR('CSV抽出'!$C$7="",B2384&amp;""='CSV抽出'!$C$7&amp;"")),1,0))</f>
        <v/>
      </c>
      <c r="AI2384" s="20">
        <f>IF(AH2384=1,SUM($AH$5:AH2384),"")</f>
        <v/>
      </c>
      <c r="AJ2384" s="20">
        <f>IF(OR(S2384="",'報告書'!$C$4=""),"",IF(S2384&amp;""='報告書'!$C$4&amp;"",COUNTIF($S$5:S2384,'報告書'!$C$4),""))</f>
        <v/>
      </c>
      <c r="AK2384" s="20" t="n"/>
      <c r="AL2384" s="47" t="n"/>
      <c r="AM2384" s="47" t="n"/>
      <c r="AN2384" s="53" t="n"/>
      <c r="AO2384" s="47" t="n"/>
      <c r="AP2384" s="47" t="n"/>
      <c r="AQ2384" s="47" t="n"/>
      <c r="AR2384" s="47" t="n"/>
      <c r="AS2384" s="47" t="n"/>
      <c r="AT2384" s="47" t="n"/>
      <c r="AU2384" s="47" t="n"/>
      <c r="AV2384" s="47" t="n"/>
      <c r="AW2384" s="52" t="n"/>
    </row>
    <row r="2385">
      <c r="A2385" s="48" t="n"/>
      <c r="B2385" s="52" t="n"/>
      <c r="C2385" s="47">
        <f>IF(B2385="","",IFERROR(INDEX('隊員マスタ'!$B$5:$B$204,MATCH(B2385&amp;"",'隊員マスタ'!$F$5:$F$204,0)),IF(AK2385="","番号なし",AK2385)))</f>
        <v/>
      </c>
      <c r="D2385" s="47" t="n"/>
      <c r="E2385" s="47" t="n"/>
      <c r="F2385" s="47" t="n"/>
      <c r="G2385" s="47" t="n"/>
      <c r="H2385" s="47" t="n"/>
      <c r="I2385" s="47" t="n"/>
      <c r="J2385" s="47" t="n"/>
      <c r="K2385" s="47" t="n"/>
      <c r="L2385" s="47" t="n"/>
      <c r="M2385" s="47" t="n"/>
      <c r="N2385" s="47" t="n"/>
      <c r="O2385" s="47" t="n"/>
      <c r="P2385" s="47" t="n"/>
      <c r="Q2385" s="47" t="n"/>
      <c r="R2385" s="47" t="n"/>
      <c r="S2385" s="47" t="n"/>
      <c r="T2385" s="47" t="n"/>
      <c r="U2385" s="53" t="n"/>
      <c r="V2385" s="53" t="n"/>
      <c r="W2385" s="47" t="n"/>
      <c r="X2385" s="47" t="n"/>
      <c r="Y2385" s="47" t="n"/>
      <c r="Z2385" s="47" t="n"/>
      <c r="AA2385" s="47" t="n"/>
      <c r="AB2385" s="47" t="n"/>
      <c r="AC2385" s="47" t="n"/>
      <c r="AD2385" s="47" t="n"/>
      <c r="AE2385" s="47" t="n"/>
      <c r="AF2385" s="20">
        <f>IF(A2385="","",YEAR(EDATE(A2385,-3)))</f>
        <v/>
      </c>
      <c r="AG2385" s="20">
        <f>IF(OR(B2385="",'経歴簿'!$C$4=""),"",IF(B2385&amp;""='経歴簿'!$C$4&amp;"",MAX($AG$4:AG2384)+1,""))</f>
        <v/>
      </c>
      <c r="AH2385" s="20">
        <f>IF(A2385="",0,IF(AND(OR('CSV抽出'!$C$4="",A2385&gt;='CSV抽出'!$C$4),OR('CSV抽出'!$C$5="",A2385&lt;='CSV抽出'!$C$5),OR('CSV抽出'!$C$6="すべて",'CSV抽出'!$C$6="",D2385='CSV抽出'!$C$6),OR('CSV抽出'!$C$7="",B2385&amp;""='CSV抽出'!$C$7&amp;"")),1,0))</f>
        <v/>
      </c>
      <c r="AI2385" s="20">
        <f>IF(AH2385=1,SUM($AH$5:AH2385),"")</f>
        <v/>
      </c>
      <c r="AJ2385" s="20">
        <f>IF(OR(S2385="",'報告書'!$C$4=""),"",IF(S2385&amp;""='報告書'!$C$4&amp;"",COUNTIF($S$5:S2385,'報告書'!$C$4),""))</f>
        <v/>
      </c>
      <c r="AK2385" s="20" t="n"/>
      <c r="AL2385" s="47" t="n"/>
      <c r="AM2385" s="47" t="n"/>
      <c r="AN2385" s="53" t="n"/>
      <c r="AO2385" s="47" t="n"/>
      <c r="AP2385" s="47" t="n"/>
      <c r="AQ2385" s="47" t="n"/>
      <c r="AR2385" s="47" t="n"/>
      <c r="AS2385" s="47" t="n"/>
      <c r="AT2385" s="47" t="n"/>
      <c r="AU2385" s="47" t="n"/>
      <c r="AV2385" s="47" t="n"/>
      <c r="AW2385" s="52" t="n"/>
    </row>
    <row r="2386">
      <c r="A2386" s="48" t="n"/>
      <c r="B2386" s="52" t="n"/>
      <c r="C2386" s="47">
        <f>IF(B2386="","",IFERROR(INDEX('隊員マスタ'!$B$5:$B$204,MATCH(B2386&amp;"",'隊員マスタ'!$F$5:$F$204,0)),IF(AK2386="","番号なし",AK2386)))</f>
        <v/>
      </c>
      <c r="D2386" s="47" t="n"/>
      <c r="E2386" s="47" t="n"/>
      <c r="F2386" s="47" t="n"/>
      <c r="G2386" s="47" t="n"/>
      <c r="H2386" s="47" t="n"/>
      <c r="I2386" s="47" t="n"/>
      <c r="J2386" s="47" t="n"/>
      <c r="K2386" s="47" t="n"/>
      <c r="L2386" s="47" t="n"/>
      <c r="M2386" s="47" t="n"/>
      <c r="N2386" s="47" t="n"/>
      <c r="O2386" s="47" t="n"/>
      <c r="P2386" s="47" t="n"/>
      <c r="Q2386" s="47" t="n"/>
      <c r="R2386" s="47" t="n"/>
      <c r="S2386" s="47" t="n"/>
      <c r="T2386" s="47" t="n"/>
      <c r="U2386" s="53" t="n"/>
      <c r="V2386" s="53" t="n"/>
      <c r="W2386" s="47" t="n"/>
      <c r="X2386" s="47" t="n"/>
      <c r="Y2386" s="47" t="n"/>
      <c r="Z2386" s="47" t="n"/>
      <c r="AA2386" s="47" t="n"/>
      <c r="AB2386" s="47" t="n"/>
      <c r="AC2386" s="47" t="n"/>
      <c r="AD2386" s="47" t="n"/>
      <c r="AE2386" s="47" t="n"/>
      <c r="AF2386" s="20">
        <f>IF(A2386="","",YEAR(EDATE(A2386,-3)))</f>
        <v/>
      </c>
      <c r="AG2386" s="20">
        <f>IF(OR(B2386="",'経歴簿'!$C$4=""),"",IF(B2386&amp;""='経歴簿'!$C$4&amp;"",MAX($AG$4:AG2385)+1,""))</f>
        <v/>
      </c>
      <c r="AH2386" s="20">
        <f>IF(A2386="",0,IF(AND(OR('CSV抽出'!$C$4="",A2386&gt;='CSV抽出'!$C$4),OR('CSV抽出'!$C$5="",A2386&lt;='CSV抽出'!$C$5),OR('CSV抽出'!$C$6="すべて",'CSV抽出'!$C$6="",D2386='CSV抽出'!$C$6),OR('CSV抽出'!$C$7="",B2386&amp;""='CSV抽出'!$C$7&amp;"")),1,0))</f>
        <v/>
      </c>
      <c r="AI2386" s="20">
        <f>IF(AH2386=1,SUM($AH$5:AH2386),"")</f>
        <v/>
      </c>
      <c r="AJ2386" s="20">
        <f>IF(OR(S2386="",'報告書'!$C$4=""),"",IF(S2386&amp;""='報告書'!$C$4&amp;"",COUNTIF($S$5:S2386,'報告書'!$C$4),""))</f>
        <v/>
      </c>
      <c r="AK2386" s="20" t="n"/>
      <c r="AL2386" s="47" t="n"/>
      <c r="AM2386" s="47" t="n"/>
      <c r="AN2386" s="53" t="n"/>
      <c r="AO2386" s="47" t="n"/>
      <c r="AP2386" s="47" t="n"/>
      <c r="AQ2386" s="47" t="n"/>
      <c r="AR2386" s="47" t="n"/>
      <c r="AS2386" s="47" t="n"/>
      <c r="AT2386" s="47" t="n"/>
      <c r="AU2386" s="47" t="n"/>
      <c r="AV2386" s="47" t="n"/>
      <c r="AW2386" s="52" t="n"/>
    </row>
    <row r="2387">
      <c r="A2387" s="48" t="n"/>
      <c r="B2387" s="52" t="n"/>
      <c r="C2387" s="47">
        <f>IF(B2387="","",IFERROR(INDEX('隊員マスタ'!$B$5:$B$204,MATCH(B2387&amp;"",'隊員マスタ'!$F$5:$F$204,0)),IF(AK2387="","番号なし",AK2387)))</f>
        <v/>
      </c>
      <c r="D2387" s="47" t="n"/>
      <c r="E2387" s="47" t="n"/>
      <c r="F2387" s="47" t="n"/>
      <c r="G2387" s="47" t="n"/>
      <c r="H2387" s="47" t="n"/>
      <c r="I2387" s="47" t="n"/>
      <c r="J2387" s="47" t="n"/>
      <c r="K2387" s="47" t="n"/>
      <c r="L2387" s="47" t="n"/>
      <c r="M2387" s="47" t="n"/>
      <c r="N2387" s="47" t="n"/>
      <c r="O2387" s="47" t="n"/>
      <c r="P2387" s="47" t="n"/>
      <c r="Q2387" s="47" t="n"/>
      <c r="R2387" s="47" t="n"/>
      <c r="S2387" s="47" t="n"/>
      <c r="T2387" s="47" t="n"/>
      <c r="U2387" s="53" t="n"/>
      <c r="V2387" s="53" t="n"/>
      <c r="W2387" s="47" t="n"/>
      <c r="X2387" s="47" t="n"/>
      <c r="Y2387" s="47" t="n"/>
      <c r="Z2387" s="47" t="n"/>
      <c r="AA2387" s="47" t="n"/>
      <c r="AB2387" s="47" t="n"/>
      <c r="AC2387" s="47" t="n"/>
      <c r="AD2387" s="47" t="n"/>
      <c r="AE2387" s="47" t="n"/>
      <c r="AF2387" s="20">
        <f>IF(A2387="","",YEAR(EDATE(A2387,-3)))</f>
        <v/>
      </c>
      <c r="AG2387" s="20">
        <f>IF(OR(B2387="",'経歴簿'!$C$4=""),"",IF(B2387&amp;""='経歴簿'!$C$4&amp;"",MAX($AG$4:AG2386)+1,""))</f>
        <v/>
      </c>
      <c r="AH2387" s="20">
        <f>IF(A2387="",0,IF(AND(OR('CSV抽出'!$C$4="",A2387&gt;='CSV抽出'!$C$4),OR('CSV抽出'!$C$5="",A2387&lt;='CSV抽出'!$C$5),OR('CSV抽出'!$C$6="すべて",'CSV抽出'!$C$6="",D2387='CSV抽出'!$C$6),OR('CSV抽出'!$C$7="",B2387&amp;""='CSV抽出'!$C$7&amp;"")),1,0))</f>
        <v/>
      </c>
      <c r="AI2387" s="20">
        <f>IF(AH2387=1,SUM($AH$5:AH2387),"")</f>
        <v/>
      </c>
      <c r="AJ2387" s="20">
        <f>IF(OR(S2387="",'報告書'!$C$4=""),"",IF(S2387&amp;""='報告書'!$C$4&amp;"",COUNTIF($S$5:S2387,'報告書'!$C$4),""))</f>
        <v/>
      </c>
      <c r="AK2387" s="20" t="n"/>
      <c r="AL2387" s="47" t="n"/>
      <c r="AM2387" s="47" t="n"/>
      <c r="AN2387" s="53" t="n"/>
      <c r="AO2387" s="47" t="n"/>
      <c r="AP2387" s="47" t="n"/>
      <c r="AQ2387" s="47" t="n"/>
      <c r="AR2387" s="47" t="n"/>
      <c r="AS2387" s="47" t="n"/>
      <c r="AT2387" s="47" t="n"/>
      <c r="AU2387" s="47" t="n"/>
      <c r="AV2387" s="47" t="n"/>
      <c r="AW2387" s="52" t="n"/>
    </row>
    <row r="2388">
      <c r="A2388" s="48" t="n"/>
      <c r="B2388" s="52" t="n"/>
      <c r="C2388" s="47">
        <f>IF(B2388="","",IFERROR(INDEX('隊員マスタ'!$B$5:$B$204,MATCH(B2388&amp;"",'隊員マスタ'!$F$5:$F$204,0)),IF(AK2388="","番号なし",AK2388)))</f>
        <v/>
      </c>
      <c r="D2388" s="47" t="n"/>
      <c r="E2388" s="47" t="n"/>
      <c r="F2388" s="47" t="n"/>
      <c r="G2388" s="47" t="n"/>
      <c r="H2388" s="47" t="n"/>
      <c r="I2388" s="47" t="n"/>
      <c r="J2388" s="47" t="n"/>
      <c r="K2388" s="47" t="n"/>
      <c r="L2388" s="47" t="n"/>
      <c r="M2388" s="47" t="n"/>
      <c r="N2388" s="47" t="n"/>
      <c r="O2388" s="47" t="n"/>
      <c r="P2388" s="47" t="n"/>
      <c r="Q2388" s="47" t="n"/>
      <c r="R2388" s="47" t="n"/>
      <c r="S2388" s="47" t="n"/>
      <c r="T2388" s="47" t="n"/>
      <c r="U2388" s="53" t="n"/>
      <c r="V2388" s="53" t="n"/>
      <c r="W2388" s="47" t="n"/>
      <c r="X2388" s="47" t="n"/>
      <c r="Y2388" s="47" t="n"/>
      <c r="Z2388" s="47" t="n"/>
      <c r="AA2388" s="47" t="n"/>
      <c r="AB2388" s="47" t="n"/>
      <c r="AC2388" s="47" t="n"/>
      <c r="AD2388" s="47" t="n"/>
      <c r="AE2388" s="47" t="n"/>
      <c r="AF2388" s="20">
        <f>IF(A2388="","",YEAR(EDATE(A2388,-3)))</f>
        <v/>
      </c>
      <c r="AG2388" s="20">
        <f>IF(OR(B2388="",'経歴簿'!$C$4=""),"",IF(B2388&amp;""='経歴簿'!$C$4&amp;"",MAX($AG$4:AG2387)+1,""))</f>
        <v/>
      </c>
      <c r="AH2388" s="20">
        <f>IF(A2388="",0,IF(AND(OR('CSV抽出'!$C$4="",A2388&gt;='CSV抽出'!$C$4),OR('CSV抽出'!$C$5="",A2388&lt;='CSV抽出'!$C$5),OR('CSV抽出'!$C$6="すべて",'CSV抽出'!$C$6="",D2388='CSV抽出'!$C$6),OR('CSV抽出'!$C$7="",B2388&amp;""='CSV抽出'!$C$7&amp;"")),1,0))</f>
        <v/>
      </c>
      <c r="AI2388" s="20">
        <f>IF(AH2388=1,SUM($AH$5:AH2388),"")</f>
        <v/>
      </c>
      <c r="AJ2388" s="20">
        <f>IF(OR(S2388="",'報告書'!$C$4=""),"",IF(S2388&amp;""='報告書'!$C$4&amp;"",COUNTIF($S$5:S2388,'報告書'!$C$4),""))</f>
        <v/>
      </c>
      <c r="AK2388" s="20" t="n"/>
      <c r="AL2388" s="47" t="n"/>
      <c r="AM2388" s="47" t="n"/>
      <c r="AN2388" s="53" t="n"/>
      <c r="AO2388" s="47" t="n"/>
      <c r="AP2388" s="47" t="n"/>
      <c r="AQ2388" s="47" t="n"/>
      <c r="AR2388" s="47" t="n"/>
      <c r="AS2388" s="47" t="n"/>
      <c r="AT2388" s="47" t="n"/>
      <c r="AU2388" s="47" t="n"/>
      <c r="AV2388" s="47" t="n"/>
      <c r="AW2388" s="52" t="n"/>
    </row>
    <row r="2389">
      <c r="A2389" s="48" t="n"/>
      <c r="B2389" s="52" t="n"/>
      <c r="C2389" s="47">
        <f>IF(B2389="","",IFERROR(INDEX('隊員マスタ'!$B$5:$B$204,MATCH(B2389&amp;"",'隊員マスタ'!$F$5:$F$204,0)),IF(AK2389="","番号なし",AK2389)))</f>
        <v/>
      </c>
      <c r="D2389" s="47" t="n"/>
      <c r="E2389" s="47" t="n"/>
      <c r="F2389" s="47" t="n"/>
      <c r="G2389" s="47" t="n"/>
      <c r="H2389" s="47" t="n"/>
      <c r="I2389" s="47" t="n"/>
      <c r="J2389" s="47" t="n"/>
      <c r="K2389" s="47" t="n"/>
      <c r="L2389" s="47" t="n"/>
      <c r="M2389" s="47" t="n"/>
      <c r="N2389" s="47" t="n"/>
      <c r="O2389" s="47" t="n"/>
      <c r="P2389" s="47" t="n"/>
      <c r="Q2389" s="47" t="n"/>
      <c r="R2389" s="47" t="n"/>
      <c r="S2389" s="47" t="n"/>
      <c r="T2389" s="47" t="n"/>
      <c r="U2389" s="53" t="n"/>
      <c r="V2389" s="53" t="n"/>
      <c r="W2389" s="47" t="n"/>
      <c r="X2389" s="47" t="n"/>
      <c r="Y2389" s="47" t="n"/>
      <c r="Z2389" s="47" t="n"/>
      <c r="AA2389" s="47" t="n"/>
      <c r="AB2389" s="47" t="n"/>
      <c r="AC2389" s="47" t="n"/>
      <c r="AD2389" s="47" t="n"/>
      <c r="AE2389" s="47" t="n"/>
      <c r="AF2389" s="20">
        <f>IF(A2389="","",YEAR(EDATE(A2389,-3)))</f>
        <v/>
      </c>
      <c r="AG2389" s="20">
        <f>IF(OR(B2389="",'経歴簿'!$C$4=""),"",IF(B2389&amp;""='経歴簿'!$C$4&amp;"",MAX($AG$4:AG2388)+1,""))</f>
        <v/>
      </c>
      <c r="AH2389" s="20">
        <f>IF(A2389="",0,IF(AND(OR('CSV抽出'!$C$4="",A2389&gt;='CSV抽出'!$C$4),OR('CSV抽出'!$C$5="",A2389&lt;='CSV抽出'!$C$5),OR('CSV抽出'!$C$6="すべて",'CSV抽出'!$C$6="",D2389='CSV抽出'!$C$6),OR('CSV抽出'!$C$7="",B2389&amp;""='CSV抽出'!$C$7&amp;"")),1,0))</f>
        <v/>
      </c>
      <c r="AI2389" s="20">
        <f>IF(AH2389=1,SUM($AH$5:AH2389),"")</f>
        <v/>
      </c>
      <c r="AJ2389" s="20">
        <f>IF(OR(S2389="",'報告書'!$C$4=""),"",IF(S2389&amp;""='報告書'!$C$4&amp;"",COUNTIF($S$5:S2389,'報告書'!$C$4),""))</f>
        <v/>
      </c>
      <c r="AK2389" s="20" t="n"/>
      <c r="AL2389" s="47" t="n"/>
      <c r="AM2389" s="47" t="n"/>
      <c r="AN2389" s="53" t="n"/>
      <c r="AO2389" s="47" t="n"/>
      <c r="AP2389" s="47" t="n"/>
      <c r="AQ2389" s="47" t="n"/>
      <c r="AR2389" s="47" t="n"/>
      <c r="AS2389" s="47" t="n"/>
      <c r="AT2389" s="47" t="n"/>
      <c r="AU2389" s="47" t="n"/>
      <c r="AV2389" s="47" t="n"/>
      <c r="AW2389" s="52" t="n"/>
    </row>
    <row r="2390">
      <c r="A2390" s="48" t="n"/>
      <c r="B2390" s="52" t="n"/>
      <c r="C2390" s="47">
        <f>IF(B2390="","",IFERROR(INDEX('隊員マスタ'!$B$5:$B$204,MATCH(B2390&amp;"",'隊員マスタ'!$F$5:$F$204,0)),IF(AK2390="","番号なし",AK2390)))</f>
        <v/>
      </c>
      <c r="D2390" s="47" t="n"/>
      <c r="E2390" s="47" t="n"/>
      <c r="F2390" s="47" t="n"/>
      <c r="G2390" s="47" t="n"/>
      <c r="H2390" s="47" t="n"/>
      <c r="I2390" s="47" t="n"/>
      <c r="J2390" s="47" t="n"/>
      <c r="K2390" s="47" t="n"/>
      <c r="L2390" s="47" t="n"/>
      <c r="M2390" s="47" t="n"/>
      <c r="N2390" s="47" t="n"/>
      <c r="O2390" s="47" t="n"/>
      <c r="P2390" s="47" t="n"/>
      <c r="Q2390" s="47" t="n"/>
      <c r="R2390" s="47" t="n"/>
      <c r="S2390" s="47" t="n"/>
      <c r="T2390" s="47" t="n"/>
      <c r="U2390" s="53" t="n"/>
      <c r="V2390" s="53" t="n"/>
      <c r="W2390" s="47" t="n"/>
      <c r="X2390" s="47" t="n"/>
      <c r="Y2390" s="47" t="n"/>
      <c r="Z2390" s="47" t="n"/>
      <c r="AA2390" s="47" t="n"/>
      <c r="AB2390" s="47" t="n"/>
      <c r="AC2390" s="47" t="n"/>
      <c r="AD2390" s="47" t="n"/>
      <c r="AE2390" s="47" t="n"/>
      <c r="AF2390" s="20">
        <f>IF(A2390="","",YEAR(EDATE(A2390,-3)))</f>
        <v/>
      </c>
      <c r="AG2390" s="20">
        <f>IF(OR(B2390="",'経歴簿'!$C$4=""),"",IF(B2390&amp;""='経歴簿'!$C$4&amp;"",MAX($AG$4:AG2389)+1,""))</f>
        <v/>
      </c>
      <c r="AH2390" s="20">
        <f>IF(A2390="",0,IF(AND(OR('CSV抽出'!$C$4="",A2390&gt;='CSV抽出'!$C$4),OR('CSV抽出'!$C$5="",A2390&lt;='CSV抽出'!$C$5),OR('CSV抽出'!$C$6="すべて",'CSV抽出'!$C$6="",D2390='CSV抽出'!$C$6),OR('CSV抽出'!$C$7="",B2390&amp;""='CSV抽出'!$C$7&amp;"")),1,0))</f>
        <v/>
      </c>
      <c r="AI2390" s="20">
        <f>IF(AH2390=1,SUM($AH$5:AH2390),"")</f>
        <v/>
      </c>
      <c r="AJ2390" s="20">
        <f>IF(OR(S2390="",'報告書'!$C$4=""),"",IF(S2390&amp;""='報告書'!$C$4&amp;"",COUNTIF($S$5:S2390,'報告書'!$C$4),""))</f>
        <v/>
      </c>
      <c r="AK2390" s="20" t="n"/>
      <c r="AL2390" s="47" t="n"/>
      <c r="AM2390" s="47" t="n"/>
      <c r="AN2390" s="53" t="n"/>
      <c r="AO2390" s="47" t="n"/>
      <c r="AP2390" s="47" t="n"/>
      <c r="AQ2390" s="47" t="n"/>
      <c r="AR2390" s="47" t="n"/>
      <c r="AS2390" s="47" t="n"/>
      <c r="AT2390" s="47" t="n"/>
      <c r="AU2390" s="47" t="n"/>
      <c r="AV2390" s="47" t="n"/>
      <c r="AW2390" s="52" t="n"/>
    </row>
    <row r="2391">
      <c r="A2391" s="48" t="n"/>
      <c r="B2391" s="52" t="n"/>
      <c r="C2391" s="47">
        <f>IF(B2391="","",IFERROR(INDEX('隊員マスタ'!$B$5:$B$204,MATCH(B2391&amp;"",'隊員マスタ'!$F$5:$F$204,0)),IF(AK2391="","番号なし",AK2391)))</f>
        <v/>
      </c>
      <c r="D2391" s="47" t="n"/>
      <c r="E2391" s="47" t="n"/>
      <c r="F2391" s="47" t="n"/>
      <c r="G2391" s="47" t="n"/>
      <c r="H2391" s="47" t="n"/>
      <c r="I2391" s="47" t="n"/>
      <c r="J2391" s="47" t="n"/>
      <c r="K2391" s="47" t="n"/>
      <c r="L2391" s="47" t="n"/>
      <c r="M2391" s="47" t="n"/>
      <c r="N2391" s="47" t="n"/>
      <c r="O2391" s="47" t="n"/>
      <c r="P2391" s="47" t="n"/>
      <c r="Q2391" s="47" t="n"/>
      <c r="R2391" s="47" t="n"/>
      <c r="S2391" s="47" t="n"/>
      <c r="T2391" s="47" t="n"/>
      <c r="U2391" s="53" t="n"/>
      <c r="V2391" s="53" t="n"/>
      <c r="W2391" s="47" t="n"/>
      <c r="X2391" s="47" t="n"/>
      <c r="Y2391" s="47" t="n"/>
      <c r="Z2391" s="47" t="n"/>
      <c r="AA2391" s="47" t="n"/>
      <c r="AB2391" s="47" t="n"/>
      <c r="AC2391" s="47" t="n"/>
      <c r="AD2391" s="47" t="n"/>
      <c r="AE2391" s="47" t="n"/>
      <c r="AF2391" s="20">
        <f>IF(A2391="","",YEAR(EDATE(A2391,-3)))</f>
        <v/>
      </c>
      <c r="AG2391" s="20">
        <f>IF(OR(B2391="",'経歴簿'!$C$4=""),"",IF(B2391&amp;""='経歴簿'!$C$4&amp;"",MAX($AG$4:AG2390)+1,""))</f>
        <v/>
      </c>
      <c r="AH2391" s="20">
        <f>IF(A2391="",0,IF(AND(OR('CSV抽出'!$C$4="",A2391&gt;='CSV抽出'!$C$4),OR('CSV抽出'!$C$5="",A2391&lt;='CSV抽出'!$C$5),OR('CSV抽出'!$C$6="すべて",'CSV抽出'!$C$6="",D2391='CSV抽出'!$C$6),OR('CSV抽出'!$C$7="",B2391&amp;""='CSV抽出'!$C$7&amp;"")),1,0))</f>
        <v/>
      </c>
      <c r="AI2391" s="20">
        <f>IF(AH2391=1,SUM($AH$5:AH2391),"")</f>
        <v/>
      </c>
      <c r="AJ2391" s="20">
        <f>IF(OR(S2391="",'報告書'!$C$4=""),"",IF(S2391&amp;""='報告書'!$C$4&amp;"",COUNTIF($S$5:S2391,'報告書'!$C$4),""))</f>
        <v/>
      </c>
      <c r="AK2391" s="20" t="n"/>
      <c r="AL2391" s="47" t="n"/>
      <c r="AM2391" s="47" t="n"/>
      <c r="AN2391" s="53" t="n"/>
      <c r="AO2391" s="47" t="n"/>
      <c r="AP2391" s="47" t="n"/>
      <c r="AQ2391" s="47" t="n"/>
      <c r="AR2391" s="47" t="n"/>
      <c r="AS2391" s="47" t="n"/>
      <c r="AT2391" s="47" t="n"/>
      <c r="AU2391" s="47" t="n"/>
      <c r="AV2391" s="47" t="n"/>
      <c r="AW2391" s="52" t="n"/>
    </row>
    <row r="2392">
      <c r="A2392" s="48" t="n"/>
      <c r="B2392" s="52" t="n"/>
      <c r="C2392" s="47">
        <f>IF(B2392="","",IFERROR(INDEX('隊員マスタ'!$B$5:$B$204,MATCH(B2392&amp;"",'隊員マスタ'!$F$5:$F$204,0)),IF(AK2392="","番号なし",AK2392)))</f>
        <v/>
      </c>
      <c r="D2392" s="47" t="n"/>
      <c r="E2392" s="47" t="n"/>
      <c r="F2392" s="47" t="n"/>
      <c r="G2392" s="47" t="n"/>
      <c r="H2392" s="47" t="n"/>
      <c r="I2392" s="47" t="n"/>
      <c r="J2392" s="47" t="n"/>
      <c r="K2392" s="47" t="n"/>
      <c r="L2392" s="47" t="n"/>
      <c r="M2392" s="47" t="n"/>
      <c r="N2392" s="47" t="n"/>
      <c r="O2392" s="47" t="n"/>
      <c r="P2392" s="47" t="n"/>
      <c r="Q2392" s="47" t="n"/>
      <c r="R2392" s="47" t="n"/>
      <c r="S2392" s="47" t="n"/>
      <c r="T2392" s="47" t="n"/>
      <c r="U2392" s="53" t="n"/>
      <c r="V2392" s="53" t="n"/>
      <c r="W2392" s="47" t="n"/>
      <c r="X2392" s="47" t="n"/>
      <c r="Y2392" s="47" t="n"/>
      <c r="Z2392" s="47" t="n"/>
      <c r="AA2392" s="47" t="n"/>
      <c r="AB2392" s="47" t="n"/>
      <c r="AC2392" s="47" t="n"/>
      <c r="AD2392" s="47" t="n"/>
      <c r="AE2392" s="47" t="n"/>
      <c r="AF2392" s="20">
        <f>IF(A2392="","",YEAR(EDATE(A2392,-3)))</f>
        <v/>
      </c>
      <c r="AG2392" s="20">
        <f>IF(OR(B2392="",'経歴簿'!$C$4=""),"",IF(B2392&amp;""='経歴簿'!$C$4&amp;"",MAX($AG$4:AG2391)+1,""))</f>
        <v/>
      </c>
      <c r="AH2392" s="20">
        <f>IF(A2392="",0,IF(AND(OR('CSV抽出'!$C$4="",A2392&gt;='CSV抽出'!$C$4),OR('CSV抽出'!$C$5="",A2392&lt;='CSV抽出'!$C$5),OR('CSV抽出'!$C$6="すべて",'CSV抽出'!$C$6="",D2392='CSV抽出'!$C$6),OR('CSV抽出'!$C$7="",B2392&amp;""='CSV抽出'!$C$7&amp;"")),1,0))</f>
        <v/>
      </c>
      <c r="AI2392" s="20">
        <f>IF(AH2392=1,SUM($AH$5:AH2392),"")</f>
        <v/>
      </c>
      <c r="AJ2392" s="20">
        <f>IF(OR(S2392="",'報告書'!$C$4=""),"",IF(S2392&amp;""='報告書'!$C$4&amp;"",COUNTIF($S$5:S2392,'報告書'!$C$4),""))</f>
        <v/>
      </c>
      <c r="AK2392" s="20" t="n"/>
      <c r="AL2392" s="47" t="n"/>
      <c r="AM2392" s="47" t="n"/>
      <c r="AN2392" s="53" t="n"/>
      <c r="AO2392" s="47" t="n"/>
      <c r="AP2392" s="47" t="n"/>
      <c r="AQ2392" s="47" t="n"/>
      <c r="AR2392" s="47" t="n"/>
      <c r="AS2392" s="47" t="n"/>
      <c r="AT2392" s="47" t="n"/>
      <c r="AU2392" s="47" t="n"/>
      <c r="AV2392" s="47" t="n"/>
      <c r="AW2392" s="52" t="n"/>
    </row>
    <row r="2393">
      <c r="A2393" s="48" t="n"/>
      <c r="B2393" s="52" t="n"/>
      <c r="C2393" s="47">
        <f>IF(B2393="","",IFERROR(INDEX('隊員マスタ'!$B$5:$B$204,MATCH(B2393&amp;"",'隊員マスタ'!$F$5:$F$204,0)),IF(AK2393="","番号なし",AK2393)))</f>
        <v/>
      </c>
      <c r="D2393" s="47" t="n"/>
      <c r="E2393" s="47" t="n"/>
      <c r="F2393" s="47" t="n"/>
      <c r="G2393" s="47" t="n"/>
      <c r="H2393" s="47" t="n"/>
      <c r="I2393" s="47" t="n"/>
      <c r="J2393" s="47" t="n"/>
      <c r="K2393" s="47" t="n"/>
      <c r="L2393" s="47" t="n"/>
      <c r="M2393" s="47" t="n"/>
      <c r="N2393" s="47" t="n"/>
      <c r="O2393" s="47" t="n"/>
      <c r="P2393" s="47" t="n"/>
      <c r="Q2393" s="47" t="n"/>
      <c r="R2393" s="47" t="n"/>
      <c r="S2393" s="47" t="n"/>
      <c r="T2393" s="47" t="n"/>
      <c r="U2393" s="53" t="n"/>
      <c r="V2393" s="53" t="n"/>
      <c r="W2393" s="47" t="n"/>
      <c r="X2393" s="47" t="n"/>
      <c r="Y2393" s="47" t="n"/>
      <c r="Z2393" s="47" t="n"/>
      <c r="AA2393" s="47" t="n"/>
      <c r="AB2393" s="47" t="n"/>
      <c r="AC2393" s="47" t="n"/>
      <c r="AD2393" s="47" t="n"/>
      <c r="AE2393" s="47" t="n"/>
      <c r="AF2393" s="20">
        <f>IF(A2393="","",YEAR(EDATE(A2393,-3)))</f>
        <v/>
      </c>
      <c r="AG2393" s="20">
        <f>IF(OR(B2393="",'経歴簿'!$C$4=""),"",IF(B2393&amp;""='経歴簿'!$C$4&amp;"",MAX($AG$4:AG2392)+1,""))</f>
        <v/>
      </c>
      <c r="AH2393" s="20">
        <f>IF(A2393="",0,IF(AND(OR('CSV抽出'!$C$4="",A2393&gt;='CSV抽出'!$C$4),OR('CSV抽出'!$C$5="",A2393&lt;='CSV抽出'!$C$5),OR('CSV抽出'!$C$6="すべて",'CSV抽出'!$C$6="",D2393='CSV抽出'!$C$6),OR('CSV抽出'!$C$7="",B2393&amp;""='CSV抽出'!$C$7&amp;"")),1,0))</f>
        <v/>
      </c>
      <c r="AI2393" s="20">
        <f>IF(AH2393=1,SUM($AH$5:AH2393),"")</f>
        <v/>
      </c>
      <c r="AJ2393" s="20">
        <f>IF(OR(S2393="",'報告書'!$C$4=""),"",IF(S2393&amp;""='報告書'!$C$4&amp;"",COUNTIF($S$5:S2393,'報告書'!$C$4),""))</f>
        <v/>
      </c>
      <c r="AK2393" s="20" t="n"/>
      <c r="AL2393" s="47" t="n"/>
      <c r="AM2393" s="47" t="n"/>
      <c r="AN2393" s="53" t="n"/>
      <c r="AO2393" s="47" t="n"/>
      <c r="AP2393" s="47" t="n"/>
      <c r="AQ2393" s="47" t="n"/>
      <c r="AR2393" s="47" t="n"/>
      <c r="AS2393" s="47" t="n"/>
      <c r="AT2393" s="47" t="n"/>
      <c r="AU2393" s="47" t="n"/>
      <c r="AV2393" s="47" t="n"/>
      <c r="AW2393" s="52" t="n"/>
    </row>
    <row r="2394">
      <c r="A2394" s="48" t="n"/>
      <c r="B2394" s="52" t="n"/>
      <c r="C2394" s="47">
        <f>IF(B2394="","",IFERROR(INDEX('隊員マスタ'!$B$5:$B$204,MATCH(B2394&amp;"",'隊員マスタ'!$F$5:$F$204,0)),IF(AK2394="","番号なし",AK2394)))</f>
        <v/>
      </c>
      <c r="D2394" s="47" t="n"/>
      <c r="E2394" s="47" t="n"/>
      <c r="F2394" s="47" t="n"/>
      <c r="G2394" s="47" t="n"/>
      <c r="H2394" s="47" t="n"/>
      <c r="I2394" s="47" t="n"/>
      <c r="J2394" s="47" t="n"/>
      <c r="K2394" s="47" t="n"/>
      <c r="L2394" s="47" t="n"/>
      <c r="M2394" s="47" t="n"/>
      <c r="N2394" s="47" t="n"/>
      <c r="O2394" s="47" t="n"/>
      <c r="P2394" s="47" t="n"/>
      <c r="Q2394" s="47" t="n"/>
      <c r="R2394" s="47" t="n"/>
      <c r="S2394" s="47" t="n"/>
      <c r="T2394" s="47" t="n"/>
      <c r="U2394" s="53" t="n"/>
      <c r="V2394" s="53" t="n"/>
      <c r="W2394" s="47" t="n"/>
      <c r="X2394" s="47" t="n"/>
      <c r="Y2394" s="47" t="n"/>
      <c r="Z2394" s="47" t="n"/>
      <c r="AA2394" s="47" t="n"/>
      <c r="AB2394" s="47" t="n"/>
      <c r="AC2394" s="47" t="n"/>
      <c r="AD2394" s="47" t="n"/>
      <c r="AE2394" s="47" t="n"/>
      <c r="AF2394" s="20">
        <f>IF(A2394="","",YEAR(EDATE(A2394,-3)))</f>
        <v/>
      </c>
      <c r="AG2394" s="20">
        <f>IF(OR(B2394="",'経歴簿'!$C$4=""),"",IF(B2394&amp;""='経歴簿'!$C$4&amp;"",MAX($AG$4:AG2393)+1,""))</f>
        <v/>
      </c>
      <c r="AH2394" s="20">
        <f>IF(A2394="",0,IF(AND(OR('CSV抽出'!$C$4="",A2394&gt;='CSV抽出'!$C$4),OR('CSV抽出'!$C$5="",A2394&lt;='CSV抽出'!$C$5),OR('CSV抽出'!$C$6="すべて",'CSV抽出'!$C$6="",D2394='CSV抽出'!$C$6),OR('CSV抽出'!$C$7="",B2394&amp;""='CSV抽出'!$C$7&amp;"")),1,0))</f>
        <v/>
      </c>
      <c r="AI2394" s="20">
        <f>IF(AH2394=1,SUM($AH$5:AH2394),"")</f>
        <v/>
      </c>
      <c r="AJ2394" s="20">
        <f>IF(OR(S2394="",'報告書'!$C$4=""),"",IF(S2394&amp;""='報告書'!$C$4&amp;"",COUNTIF($S$5:S2394,'報告書'!$C$4),""))</f>
        <v/>
      </c>
      <c r="AK2394" s="20" t="n"/>
      <c r="AL2394" s="47" t="n"/>
      <c r="AM2394" s="47" t="n"/>
      <c r="AN2394" s="53" t="n"/>
      <c r="AO2394" s="47" t="n"/>
      <c r="AP2394" s="47" t="n"/>
      <c r="AQ2394" s="47" t="n"/>
      <c r="AR2394" s="47" t="n"/>
      <c r="AS2394" s="47" t="n"/>
      <c r="AT2394" s="47" t="n"/>
      <c r="AU2394" s="47" t="n"/>
      <c r="AV2394" s="47" t="n"/>
      <c r="AW2394" s="52" t="n"/>
    </row>
    <row r="2395">
      <c r="A2395" s="48" t="n"/>
      <c r="B2395" s="52" t="n"/>
      <c r="C2395" s="47">
        <f>IF(B2395="","",IFERROR(INDEX('隊員マスタ'!$B$5:$B$204,MATCH(B2395&amp;"",'隊員マスタ'!$F$5:$F$204,0)),IF(AK2395="","番号なし",AK2395)))</f>
        <v/>
      </c>
      <c r="D2395" s="47" t="n"/>
      <c r="E2395" s="47" t="n"/>
      <c r="F2395" s="47" t="n"/>
      <c r="G2395" s="47" t="n"/>
      <c r="H2395" s="47" t="n"/>
      <c r="I2395" s="47" t="n"/>
      <c r="J2395" s="47" t="n"/>
      <c r="K2395" s="47" t="n"/>
      <c r="L2395" s="47" t="n"/>
      <c r="M2395" s="47" t="n"/>
      <c r="N2395" s="47" t="n"/>
      <c r="O2395" s="47" t="n"/>
      <c r="P2395" s="47" t="n"/>
      <c r="Q2395" s="47" t="n"/>
      <c r="R2395" s="47" t="n"/>
      <c r="S2395" s="47" t="n"/>
      <c r="T2395" s="47" t="n"/>
      <c r="U2395" s="53" t="n"/>
      <c r="V2395" s="53" t="n"/>
      <c r="W2395" s="47" t="n"/>
      <c r="X2395" s="47" t="n"/>
      <c r="Y2395" s="47" t="n"/>
      <c r="Z2395" s="47" t="n"/>
      <c r="AA2395" s="47" t="n"/>
      <c r="AB2395" s="47" t="n"/>
      <c r="AC2395" s="47" t="n"/>
      <c r="AD2395" s="47" t="n"/>
      <c r="AE2395" s="47" t="n"/>
      <c r="AF2395" s="20">
        <f>IF(A2395="","",YEAR(EDATE(A2395,-3)))</f>
        <v/>
      </c>
      <c r="AG2395" s="20">
        <f>IF(OR(B2395="",'経歴簿'!$C$4=""),"",IF(B2395&amp;""='経歴簿'!$C$4&amp;"",MAX($AG$4:AG2394)+1,""))</f>
        <v/>
      </c>
      <c r="AH2395" s="20">
        <f>IF(A2395="",0,IF(AND(OR('CSV抽出'!$C$4="",A2395&gt;='CSV抽出'!$C$4),OR('CSV抽出'!$C$5="",A2395&lt;='CSV抽出'!$C$5),OR('CSV抽出'!$C$6="すべて",'CSV抽出'!$C$6="",D2395='CSV抽出'!$C$6),OR('CSV抽出'!$C$7="",B2395&amp;""='CSV抽出'!$C$7&amp;"")),1,0))</f>
        <v/>
      </c>
      <c r="AI2395" s="20">
        <f>IF(AH2395=1,SUM($AH$5:AH2395),"")</f>
        <v/>
      </c>
      <c r="AJ2395" s="20">
        <f>IF(OR(S2395="",'報告書'!$C$4=""),"",IF(S2395&amp;""='報告書'!$C$4&amp;"",COUNTIF($S$5:S2395,'報告書'!$C$4),""))</f>
        <v/>
      </c>
      <c r="AK2395" s="20" t="n"/>
      <c r="AL2395" s="47" t="n"/>
      <c r="AM2395" s="47" t="n"/>
      <c r="AN2395" s="53" t="n"/>
      <c r="AO2395" s="47" t="n"/>
      <c r="AP2395" s="47" t="n"/>
      <c r="AQ2395" s="47" t="n"/>
      <c r="AR2395" s="47" t="n"/>
      <c r="AS2395" s="47" t="n"/>
      <c r="AT2395" s="47" t="n"/>
      <c r="AU2395" s="47" t="n"/>
      <c r="AV2395" s="47" t="n"/>
      <c r="AW2395" s="52" t="n"/>
    </row>
    <row r="2396">
      <c r="A2396" s="48" t="n"/>
      <c r="B2396" s="52" t="n"/>
      <c r="C2396" s="47">
        <f>IF(B2396="","",IFERROR(INDEX('隊員マスタ'!$B$5:$B$204,MATCH(B2396&amp;"",'隊員マスタ'!$F$5:$F$204,0)),IF(AK2396="","番号なし",AK2396)))</f>
        <v/>
      </c>
      <c r="D2396" s="47" t="n"/>
      <c r="E2396" s="47" t="n"/>
      <c r="F2396" s="47" t="n"/>
      <c r="G2396" s="47" t="n"/>
      <c r="H2396" s="47" t="n"/>
      <c r="I2396" s="47" t="n"/>
      <c r="J2396" s="47" t="n"/>
      <c r="K2396" s="47" t="n"/>
      <c r="L2396" s="47" t="n"/>
      <c r="M2396" s="47" t="n"/>
      <c r="N2396" s="47" t="n"/>
      <c r="O2396" s="47" t="n"/>
      <c r="P2396" s="47" t="n"/>
      <c r="Q2396" s="47" t="n"/>
      <c r="R2396" s="47" t="n"/>
      <c r="S2396" s="47" t="n"/>
      <c r="T2396" s="47" t="n"/>
      <c r="U2396" s="53" t="n"/>
      <c r="V2396" s="53" t="n"/>
      <c r="W2396" s="47" t="n"/>
      <c r="X2396" s="47" t="n"/>
      <c r="Y2396" s="47" t="n"/>
      <c r="Z2396" s="47" t="n"/>
      <c r="AA2396" s="47" t="n"/>
      <c r="AB2396" s="47" t="n"/>
      <c r="AC2396" s="47" t="n"/>
      <c r="AD2396" s="47" t="n"/>
      <c r="AE2396" s="47" t="n"/>
      <c r="AF2396" s="20">
        <f>IF(A2396="","",YEAR(EDATE(A2396,-3)))</f>
        <v/>
      </c>
      <c r="AG2396" s="20">
        <f>IF(OR(B2396="",'経歴簿'!$C$4=""),"",IF(B2396&amp;""='経歴簿'!$C$4&amp;"",MAX($AG$4:AG2395)+1,""))</f>
        <v/>
      </c>
      <c r="AH2396" s="20">
        <f>IF(A2396="",0,IF(AND(OR('CSV抽出'!$C$4="",A2396&gt;='CSV抽出'!$C$4),OR('CSV抽出'!$C$5="",A2396&lt;='CSV抽出'!$C$5),OR('CSV抽出'!$C$6="すべて",'CSV抽出'!$C$6="",D2396='CSV抽出'!$C$6),OR('CSV抽出'!$C$7="",B2396&amp;""='CSV抽出'!$C$7&amp;"")),1,0))</f>
        <v/>
      </c>
      <c r="AI2396" s="20">
        <f>IF(AH2396=1,SUM($AH$5:AH2396),"")</f>
        <v/>
      </c>
      <c r="AJ2396" s="20">
        <f>IF(OR(S2396="",'報告書'!$C$4=""),"",IF(S2396&amp;""='報告書'!$C$4&amp;"",COUNTIF($S$5:S2396,'報告書'!$C$4),""))</f>
        <v/>
      </c>
      <c r="AK2396" s="20" t="n"/>
      <c r="AL2396" s="47" t="n"/>
      <c r="AM2396" s="47" t="n"/>
      <c r="AN2396" s="53" t="n"/>
      <c r="AO2396" s="47" t="n"/>
      <c r="AP2396" s="47" t="n"/>
      <c r="AQ2396" s="47" t="n"/>
      <c r="AR2396" s="47" t="n"/>
      <c r="AS2396" s="47" t="n"/>
      <c r="AT2396" s="47" t="n"/>
      <c r="AU2396" s="47" t="n"/>
      <c r="AV2396" s="47" t="n"/>
      <c r="AW2396" s="52" t="n"/>
    </row>
    <row r="2397">
      <c r="A2397" s="48" t="n"/>
      <c r="B2397" s="52" t="n"/>
      <c r="C2397" s="47">
        <f>IF(B2397="","",IFERROR(INDEX('隊員マスタ'!$B$5:$B$204,MATCH(B2397&amp;"",'隊員マスタ'!$F$5:$F$204,0)),IF(AK2397="","番号なし",AK2397)))</f>
        <v/>
      </c>
      <c r="D2397" s="47" t="n"/>
      <c r="E2397" s="47" t="n"/>
      <c r="F2397" s="47" t="n"/>
      <c r="G2397" s="47" t="n"/>
      <c r="H2397" s="47" t="n"/>
      <c r="I2397" s="47" t="n"/>
      <c r="J2397" s="47" t="n"/>
      <c r="K2397" s="47" t="n"/>
      <c r="L2397" s="47" t="n"/>
      <c r="M2397" s="47" t="n"/>
      <c r="N2397" s="47" t="n"/>
      <c r="O2397" s="47" t="n"/>
      <c r="P2397" s="47" t="n"/>
      <c r="Q2397" s="47" t="n"/>
      <c r="R2397" s="47" t="n"/>
      <c r="S2397" s="47" t="n"/>
      <c r="T2397" s="47" t="n"/>
      <c r="U2397" s="53" t="n"/>
      <c r="V2397" s="53" t="n"/>
      <c r="W2397" s="47" t="n"/>
      <c r="X2397" s="47" t="n"/>
      <c r="Y2397" s="47" t="n"/>
      <c r="Z2397" s="47" t="n"/>
      <c r="AA2397" s="47" t="n"/>
      <c r="AB2397" s="47" t="n"/>
      <c r="AC2397" s="47" t="n"/>
      <c r="AD2397" s="47" t="n"/>
      <c r="AE2397" s="47" t="n"/>
      <c r="AF2397" s="20">
        <f>IF(A2397="","",YEAR(EDATE(A2397,-3)))</f>
        <v/>
      </c>
      <c r="AG2397" s="20">
        <f>IF(OR(B2397="",'経歴簿'!$C$4=""),"",IF(B2397&amp;""='経歴簿'!$C$4&amp;"",MAX($AG$4:AG2396)+1,""))</f>
        <v/>
      </c>
      <c r="AH2397" s="20">
        <f>IF(A2397="",0,IF(AND(OR('CSV抽出'!$C$4="",A2397&gt;='CSV抽出'!$C$4),OR('CSV抽出'!$C$5="",A2397&lt;='CSV抽出'!$C$5),OR('CSV抽出'!$C$6="すべて",'CSV抽出'!$C$6="",D2397='CSV抽出'!$C$6),OR('CSV抽出'!$C$7="",B2397&amp;""='CSV抽出'!$C$7&amp;"")),1,0))</f>
        <v/>
      </c>
      <c r="AI2397" s="20">
        <f>IF(AH2397=1,SUM($AH$5:AH2397),"")</f>
        <v/>
      </c>
      <c r="AJ2397" s="20">
        <f>IF(OR(S2397="",'報告書'!$C$4=""),"",IF(S2397&amp;""='報告書'!$C$4&amp;"",COUNTIF($S$5:S2397,'報告書'!$C$4),""))</f>
        <v/>
      </c>
      <c r="AK2397" s="20" t="n"/>
      <c r="AL2397" s="47" t="n"/>
      <c r="AM2397" s="47" t="n"/>
      <c r="AN2397" s="53" t="n"/>
      <c r="AO2397" s="47" t="n"/>
      <c r="AP2397" s="47" t="n"/>
      <c r="AQ2397" s="47" t="n"/>
      <c r="AR2397" s="47" t="n"/>
      <c r="AS2397" s="47" t="n"/>
      <c r="AT2397" s="47" t="n"/>
      <c r="AU2397" s="47" t="n"/>
      <c r="AV2397" s="47" t="n"/>
      <c r="AW2397" s="52" t="n"/>
    </row>
    <row r="2398">
      <c r="A2398" s="48" t="n"/>
      <c r="B2398" s="52" t="n"/>
      <c r="C2398" s="47">
        <f>IF(B2398="","",IFERROR(INDEX('隊員マスタ'!$B$5:$B$204,MATCH(B2398&amp;"",'隊員マスタ'!$F$5:$F$204,0)),IF(AK2398="","番号なし",AK2398)))</f>
        <v/>
      </c>
      <c r="D2398" s="47" t="n"/>
      <c r="E2398" s="47" t="n"/>
      <c r="F2398" s="47" t="n"/>
      <c r="G2398" s="47" t="n"/>
      <c r="H2398" s="47" t="n"/>
      <c r="I2398" s="47" t="n"/>
      <c r="J2398" s="47" t="n"/>
      <c r="K2398" s="47" t="n"/>
      <c r="L2398" s="47" t="n"/>
      <c r="M2398" s="47" t="n"/>
      <c r="N2398" s="47" t="n"/>
      <c r="O2398" s="47" t="n"/>
      <c r="P2398" s="47" t="n"/>
      <c r="Q2398" s="47" t="n"/>
      <c r="R2398" s="47" t="n"/>
      <c r="S2398" s="47" t="n"/>
      <c r="T2398" s="47" t="n"/>
      <c r="U2398" s="53" t="n"/>
      <c r="V2398" s="53" t="n"/>
      <c r="W2398" s="47" t="n"/>
      <c r="X2398" s="47" t="n"/>
      <c r="Y2398" s="47" t="n"/>
      <c r="Z2398" s="47" t="n"/>
      <c r="AA2398" s="47" t="n"/>
      <c r="AB2398" s="47" t="n"/>
      <c r="AC2398" s="47" t="n"/>
      <c r="AD2398" s="47" t="n"/>
      <c r="AE2398" s="47" t="n"/>
      <c r="AF2398" s="20">
        <f>IF(A2398="","",YEAR(EDATE(A2398,-3)))</f>
        <v/>
      </c>
      <c r="AG2398" s="20">
        <f>IF(OR(B2398="",'経歴簿'!$C$4=""),"",IF(B2398&amp;""='経歴簿'!$C$4&amp;"",MAX($AG$4:AG2397)+1,""))</f>
        <v/>
      </c>
      <c r="AH2398" s="20">
        <f>IF(A2398="",0,IF(AND(OR('CSV抽出'!$C$4="",A2398&gt;='CSV抽出'!$C$4),OR('CSV抽出'!$C$5="",A2398&lt;='CSV抽出'!$C$5),OR('CSV抽出'!$C$6="すべて",'CSV抽出'!$C$6="",D2398='CSV抽出'!$C$6),OR('CSV抽出'!$C$7="",B2398&amp;""='CSV抽出'!$C$7&amp;"")),1,0))</f>
        <v/>
      </c>
      <c r="AI2398" s="20">
        <f>IF(AH2398=1,SUM($AH$5:AH2398),"")</f>
        <v/>
      </c>
      <c r="AJ2398" s="20">
        <f>IF(OR(S2398="",'報告書'!$C$4=""),"",IF(S2398&amp;""='報告書'!$C$4&amp;"",COUNTIF($S$5:S2398,'報告書'!$C$4),""))</f>
        <v/>
      </c>
      <c r="AK2398" s="20" t="n"/>
      <c r="AL2398" s="47" t="n"/>
      <c r="AM2398" s="47" t="n"/>
      <c r="AN2398" s="53" t="n"/>
      <c r="AO2398" s="47" t="n"/>
      <c r="AP2398" s="47" t="n"/>
      <c r="AQ2398" s="47" t="n"/>
      <c r="AR2398" s="47" t="n"/>
      <c r="AS2398" s="47" t="n"/>
      <c r="AT2398" s="47" t="n"/>
      <c r="AU2398" s="47" t="n"/>
      <c r="AV2398" s="47" t="n"/>
      <c r="AW2398" s="52" t="n"/>
    </row>
    <row r="2399">
      <c r="A2399" s="48" t="n"/>
      <c r="B2399" s="52" t="n"/>
      <c r="C2399" s="47">
        <f>IF(B2399="","",IFERROR(INDEX('隊員マスタ'!$B$5:$B$204,MATCH(B2399&amp;"",'隊員マスタ'!$F$5:$F$204,0)),IF(AK2399="","番号なし",AK2399)))</f>
        <v/>
      </c>
      <c r="D2399" s="47" t="n"/>
      <c r="E2399" s="47" t="n"/>
      <c r="F2399" s="47" t="n"/>
      <c r="G2399" s="47" t="n"/>
      <c r="H2399" s="47" t="n"/>
      <c r="I2399" s="47" t="n"/>
      <c r="J2399" s="47" t="n"/>
      <c r="K2399" s="47" t="n"/>
      <c r="L2399" s="47" t="n"/>
      <c r="M2399" s="47" t="n"/>
      <c r="N2399" s="47" t="n"/>
      <c r="O2399" s="47" t="n"/>
      <c r="P2399" s="47" t="n"/>
      <c r="Q2399" s="47" t="n"/>
      <c r="R2399" s="47" t="n"/>
      <c r="S2399" s="47" t="n"/>
      <c r="T2399" s="47" t="n"/>
      <c r="U2399" s="53" t="n"/>
      <c r="V2399" s="53" t="n"/>
      <c r="W2399" s="47" t="n"/>
      <c r="X2399" s="47" t="n"/>
      <c r="Y2399" s="47" t="n"/>
      <c r="Z2399" s="47" t="n"/>
      <c r="AA2399" s="47" t="n"/>
      <c r="AB2399" s="47" t="n"/>
      <c r="AC2399" s="47" t="n"/>
      <c r="AD2399" s="47" t="n"/>
      <c r="AE2399" s="47" t="n"/>
      <c r="AF2399" s="20">
        <f>IF(A2399="","",YEAR(EDATE(A2399,-3)))</f>
        <v/>
      </c>
      <c r="AG2399" s="20">
        <f>IF(OR(B2399="",'経歴簿'!$C$4=""),"",IF(B2399&amp;""='経歴簿'!$C$4&amp;"",MAX($AG$4:AG2398)+1,""))</f>
        <v/>
      </c>
      <c r="AH2399" s="20">
        <f>IF(A2399="",0,IF(AND(OR('CSV抽出'!$C$4="",A2399&gt;='CSV抽出'!$C$4),OR('CSV抽出'!$C$5="",A2399&lt;='CSV抽出'!$C$5),OR('CSV抽出'!$C$6="すべて",'CSV抽出'!$C$6="",D2399='CSV抽出'!$C$6),OR('CSV抽出'!$C$7="",B2399&amp;""='CSV抽出'!$C$7&amp;"")),1,0))</f>
        <v/>
      </c>
      <c r="AI2399" s="20">
        <f>IF(AH2399=1,SUM($AH$5:AH2399),"")</f>
        <v/>
      </c>
      <c r="AJ2399" s="20">
        <f>IF(OR(S2399="",'報告書'!$C$4=""),"",IF(S2399&amp;""='報告書'!$C$4&amp;"",COUNTIF($S$5:S2399,'報告書'!$C$4),""))</f>
        <v/>
      </c>
      <c r="AK2399" s="20" t="n"/>
      <c r="AL2399" s="47" t="n"/>
      <c r="AM2399" s="47" t="n"/>
      <c r="AN2399" s="53" t="n"/>
      <c r="AO2399" s="47" t="n"/>
      <c r="AP2399" s="47" t="n"/>
      <c r="AQ2399" s="47" t="n"/>
      <c r="AR2399" s="47" t="n"/>
      <c r="AS2399" s="47" t="n"/>
      <c r="AT2399" s="47" t="n"/>
      <c r="AU2399" s="47" t="n"/>
      <c r="AV2399" s="47" t="n"/>
      <c r="AW2399" s="52" t="n"/>
    </row>
    <row r="2400">
      <c r="A2400" s="48" t="n"/>
      <c r="B2400" s="52" t="n"/>
      <c r="C2400" s="47">
        <f>IF(B2400="","",IFERROR(INDEX('隊員マスタ'!$B$5:$B$204,MATCH(B2400&amp;"",'隊員マスタ'!$F$5:$F$204,0)),IF(AK2400="","番号なし",AK2400)))</f>
        <v/>
      </c>
      <c r="D2400" s="47" t="n"/>
      <c r="E2400" s="47" t="n"/>
      <c r="F2400" s="47" t="n"/>
      <c r="G2400" s="47" t="n"/>
      <c r="H2400" s="47" t="n"/>
      <c r="I2400" s="47" t="n"/>
      <c r="J2400" s="47" t="n"/>
      <c r="K2400" s="47" t="n"/>
      <c r="L2400" s="47" t="n"/>
      <c r="M2400" s="47" t="n"/>
      <c r="N2400" s="47" t="n"/>
      <c r="O2400" s="47" t="n"/>
      <c r="P2400" s="47" t="n"/>
      <c r="Q2400" s="47" t="n"/>
      <c r="R2400" s="47" t="n"/>
      <c r="S2400" s="47" t="n"/>
      <c r="T2400" s="47" t="n"/>
      <c r="U2400" s="53" t="n"/>
      <c r="V2400" s="53" t="n"/>
      <c r="W2400" s="47" t="n"/>
      <c r="X2400" s="47" t="n"/>
      <c r="Y2400" s="47" t="n"/>
      <c r="Z2400" s="47" t="n"/>
      <c r="AA2400" s="47" t="n"/>
      <c r="AB2400" s="47" t="n"/>
      <c r="AC2400" s="47" t="n"/>
      <c r="AD2400" s="47" t="n"/>
      <c r="AE2400" s="47" t="n"/>
      <c r="AF2400" s="20">
        <f>IF(A2400="","",YEAR(EDATE(A2400,-3)))</f>
        <v/>
      </c>
      <c r="AG2400" s="20">
        <f>IF(OR(B2400="",'経歴簿'!$C$4=""),"",IF(B2400&amp;""='経歴簿'!$C$4&amp;"",MAX($AG$4:AG2399)+1,""))</f>
        <v/>
      </c>
      <c r="AH2400" s="20">
        <f>IF(A2400="",0,IF(AND(OR('CSV抽出'!$C$4="",A2400&gt;='CSV抽出'!$C$4),OR('CSV抽出'!$C$5="",A2400&lt;='CSV抽出'!$C$5),OR('CSV抽出'!$C$6="すべて",'CSV抽出'!$C$6="",D2400='CSV抽出'!$C$6),OR('CSV抽出'!$C$7="",B2400&amp;""='CSV抽出'!$C$7&amp;"")),1,0))</f>
        <v/>
      </c>
      <c r="AI2400" s="20">
        <f>IF(AH2400=1,SUM($AH$5:AH2400),"")</f>
        <v/>
      </c>
      <c r="AJ2400" s="20">
        <f>IF(OR(S2400="",'報告書'!$C$4=""),"",IF(S2400&amp;""='報告書'!$C$4&amp;"",COUNTIF($S$5:S2400,'報告書'!$C$4),""))</f>
        <v/>
      </c>
      <c r="AK2400" s="20" t="n"/>
      <c r="AL2400" s="47" t="n"/>
      <c r="AM2400" s="47" t="n"/>
      <c r="AN2400" s="53" t="n"/>
      <c r="AO2400" s="47" t="n"/>
      <c r="AP2400" s="47" t="n"/>
      <c r="AQ2400" s="47" t="n"/>
      <c r="AR2400" s="47" t="n"/>
      <c r="AS2400" s="47" t="n"/>
      <c r="AT2400" s="47" t="n"/>
      <c r="AU2400" s="47" t="n"/>
      <c r="AV2400" s="47" t="n"/>
      <c r="AW2400" s="52" t="n"/>
    </row>
    <row r="2401">
      <c r="A2401" s="48" t="n"/>
      <c r="B2401" s="52" t="n"/>
      <c r="C2401" s="47">
        <f>IF(B2401="","",IFERROR(INDEX('隊員マスタ'!$B$5:$B$204,MATCH(B2401&amp;"",'隊員マスタ'!$F$5:$F$204,0)),IF(AK2401="","番号なし",AK2401)))</f>
        <v/>
      </c>
      <c r="D2401" s="47" t="n"/>
      <c r="E2401" s="47" t="n"/>
      <c r="F2401" s="47" t="n"/>
      <c r="G2401" s="47" t="n"/>
      <c r="H2401" s="47" t="n"/>
      <c r="I2401" s="47" t="n"/>
      <c r="J2401" s="47" t="n"/>
      <c r="K2401" s="47" t="n"/>
      <c r="L2401" s="47" t="n"/>
      <c r="M2401" s="47" t="n"/>
      <c r="N2401" s="47" t="n"/>
      <c r="O2401" s="47" t="n"/>
      <c r="P2401" s="47" t="n"/>
      <c r="Q2401" s="47" t="n"/>
      <c r="R2401" s="47" t="n"/>
      <c r="S2401" s="47" t="n"/>
      <c r="T2401" s="47" t="n"/>
      <c r="U2401" s="53" t="n"/>
      <c r="V2401" s="53" t="n"/>
      <c r="W2401" s="47" t="n"/>
      <c r="X2401" s="47" t="n"/>
      <c r="Y2401" s="47" t="n"/>
      <c r="Z2401" s="47" t="n"/>
      <c r="AA2401" s="47" t="n"/>
      <c r="AB2401" s="47" t="n"/>
      <c r="AC2401" s="47" t="n"/>
      <c r="AD2401" s="47" t="n"/>
      <c r="AE2401" s="47" t="n"/>
      <c r="AF2401" s="20">
        <f>IF(A2401="","",YEAR(EDATE(A2401,-3)))</f>
        <v/>
      </c>
      <c r="AG2401" s="20">
        <f>IF(OR(B2401="",'経歴簿'!$C$4=""),"",IF(B2401&amp;""='経歴簿'!$C$4&amp;"",MAX($AG$4:AG2400)+1,""))</f>
        <v/>
      </c>
      <c r="AH2401" s="20">
        <f>IF(A2401="",0,IF(AND(OR('CSV抽出'!$C$4="",A2401&gt;='CSV抽出'!$C$4),OR('CSV抽出'!$C$5="",A2401&lt;='CSV抽出'!$C$5),OR('CSV抽出'!$C$6="すべて",'CSV抽出'!$C$6="",D2401='CSV抽出'!$C$6),OR('CSV抽出'!$C$7="",B2401&amp;""='CSV抽出'!$C$7&amp;"")),1,0))</f>
        <v/>
      </c>
      <c r="AI2401" s="20">
        <f>IF(AH2401=1,SUM($AH$5:AH2401),"")</f>
        <v/>
      </c>
      <c r="AJ2401" s="20">
        <f>IF(OR(S2401="",'報告書'!$C$4=""),"",IF(S2401&amp;""='報告書'!$C$4&amp;"",COUNTIF($S$5:S2401,'報告書'!$C$4),""))</f>
        <v/>
      </c>
      <c r="AK2401" s="20" t="n"/>
      <c r="AL2401" s="47" t="n"/>
      <c r="AM2401" s="47" t="n"/>
      <c r="AN2401" s="53" t="n"/>
      <c r="AO2401" s="47" t="n"/>
      <c r="AP2401" s="47" t="n"/>
      <c r="AQ2401" s="47" t="n"/>
      <c r="AR2401" s="47" t="n"/>
      <c r="AS2401" s="47" t="n"/>
      <c r="AT2401" s="47" t="n"/>
      <c r="AU2401" s="47" t="n"/>
      <c r="AV2401" s="47" t="n"/>
      <c r="AW2401" s="52" t="n"/>
    </row>
    <row r="2402">
      <c r="A2402" s="48" t="n"/>
      <c r="B2402" s="52" t="n"/>
      <c r="C2402" s="47">
        <f>IF(B2402="","",IFERROR(INDEX('隊員マスタ'!$B$5:$B$204,MATCH(B2402&amp;"",'隊員マスタ'!$F$5:$F$204,0)),IF(AK2402="","番号なし",AK2402)))</f>
        <v/>
      </c>
      <c r="D2402" s="47" t="n"/>
      <c r="E2402" s="47" t="n"/>
      <c r="F2402" s="47" t="n"/>
      <c r="G2402" s="47" t="n"/>
      <c r="H2402" s="47" t="n"/>
      <c r="I2402" s="47" t="n"/>
      <c r="J2402" s="47" t="n"/>
      <c r="K2402" s="47" t="n"/>
      <c r="L2402" s="47" t="n"/>
      <c r="M2402" s="47" t="n"/>
      <c r="N2402" s="47" t="n"/>
      <c r="O2402" s="47" t="n"/>
      <c r="P2402" s="47" t="n"/>
      <c r="Q2402" s="47" t="n"/>
      <c r="R2402" s="47" t="n"/>
      <c r="S2402" s="47" t="n"/>
      <c r="T2402" s="47" t="n"/>
      <c r="U2402" s="53" t="n"/>
      <c r="V2402" s="53" t="n"/>
      <c r="W2402" s="47" t="n"/>
      <c r="X2402" s="47" t="n"/>
      <c r="Y2402" s="47" t="n"/>
      <c r="Z2402" s="47" t="n"/>
      <c r="AA2402" s="47" t="n"/>
      <c r="AB2402" s="47" t="n"/>
      <c r="AC2402" s="47" t="n"/>
      <c r="AD2402" s="47" t="n"/>
      <c r="AE2402" s="47" t="n"/>
      <c r="AF2402" s="20">
        <f>IF(A2402="","",YEAR(EDATE(A2402,-3)))</f>
        <v/>
      </c>
      <c r="AG2402" s="20">
        <f>IF(OR(B2402="",'経歴簿'!$C$4=""),"",IF(B2402&amp;""='経歴簿'!$C$4&amp;"",MAX($AG$4:AG2401)+1,""))</f>
        <v/>
      </c>
      <c r="AH2402" s="20">
        <f>IF(A2402="",0,IF(AND(OR('CSV抽出'!$C$4="",A2402&gt;='CSV抽出'!$C$4),OR('CSV抽出'!$C$5="",A2402&lt;='CSV抽出'!$C$5),OR('CSV抽出'!$C$6="すべて",'CSV抽出'!$C$6="",D2402='CSV抽出'!$C$6),OR('CSV抽出'!$C$7="",B2402&amp;""='CSV抽出'!$C$7&amp;"")),1,0))</f>
        <v/>
      </c>
      <c r="AI2402" s="20">
        <f>IF(AH2402=1,SUM($AH$5:AH2402),"")</f>
        <v/>
      </c>
      <c r="AJ2402" s="20">
        <f>IF(OR(S2402="",'報告書'!$C$4=""),"",IF(S2402&amp;""='報告書'!$C$4&amp;"",COUNTIF($S$5:S2402,'報告書'!$C$4),""))</f>
        <v/>
      </c>
      <c r="AK2402" s="20" t="n"/>
      <c r="AL2402" s="47" t="n"/>
      <c r="AM2402" s="47" t="n"/>
      <c r="AN2402" s="53" t="n"/>
      <c r="AO2402" s="47" t="n"/>
      <c r="AP2402" s="47" t="n"/>
      <c r="AQ2402" s="47" t="n"/>
      <c r="AR2402" s="47" t="n"/>
      <c r="AS2402" s="47" t="n"/>
      <c r="AT2402" s="47" t="n"/>
      <c r="AU2402" s="47" t="n"/>
      <c r="AV2402" s="47" t="n"/>
      <c r="AW2402" s="52" t="n"/>
    </row>
    <row r="2403">
      <c r="A2403" s="48" t="n"/>
      <c r="B2403" s="52" t="n"/>
      <c r="C2403" s="47">
        <f>IF(B2403="","",IFERROR(INDEX('隊員マスタ'!$B$5:$B$204,MATCH(B2403&amp;"",'隊員マスタ'!$F$5:$F$204,0)),IF(AK2403="","番号なし",AK2403)))</f>
        <v/>
      </c>
      <c r="D2403" s="47" t="n"/>
      <c r="E2403" s="47" t="n"/>
      <c r="F2403" s="47" t="n"/>
      <c r="G2403" s="47" t="n"/>
      <c r="H2403" s="47" t="n"/>
      <c r="I2403" s="47" t="n"/>
      <c r="J2403" s="47" t="n"/>
      <c r="K2403" s="47" t="n"/>
      <c r="L2403" s="47" t="n"/>
      <c r="M2403" s="47" t="n"/>
      <c r="N2403" s="47" t="n"/>
      <c r="O2403" s="47" t="n"/>
      <c r="P2403" s="47" t="n"/>
      <c r="Q2403" s="47" t="n"/>
      <c r="R2403" s="47" t="n"/>
      <c r="S2403" s="47" t="n"/>
      <c r="T2403" s="47" t="n"/>
      <c r="U2403" s="53" t="n"/>
      <c r="V2403" s="53" t="n"/>
      <c r="W2403" s="47" t="n"/>
      <c r="X2403" s="47" t="n"/>
      <c r="Y2403" s="47" t="n"/>
      <c r="Z2403" s="47" t="n"/>
      <c r="AA2403" s="47" t="n"/>
      <c r="AB2403" s="47" t="n"/>
      <c r="AC2403" s="47" t="n"/>
      <c r="AD2403" s="47" t="n"/>
      <c r="AE2403" s="47" t="n"/>
      <c r="AF2403" s="20">
        <f>IF(A2403="","",YEAR(EDATE(A2403,-3)))</f>
        <v/>
      </c>
      <c r="AG2403" s="20">
        <f>IF(OR(B2403="",'経歴簿'!$C$4=""),"",IF(B2403&amp;""='経歴簿'!$C$4&amp;"",MAX($AG$4:AG2402)+1,""))</f>
        <v/>
      </c>
      <c r="AH2403" s="20">
        <f>IF(A2403="",0,IF(AND(OR('CSV抽出'!$C$4="",A2403&gt;='CSV抽出'!$C$4),OR('CSV抽出'!$C$5="",A2403&lt;='CSV抽出'!$C$5),OR('CSV抽出'!$C$6="すべて",'CSV抽出'!$C$6="",D2403='CSV抽出'!$C$6),OR('CSV抽出'!$C$7="",B2403&amp;""='CSV抽出'!$C$7&amp;"")),1,0))</f>
        <v/>
      </c>
      <c r="AI2403" s="20">
        <f>IF(AH2403=1,SUM($AH$5:AH2403),"")</f>
        <v/>
      </c>
      <c r="AJ2403" s="20">
        <f>IF(OR(S2403="",'報告書'!$C$4=""),"",IF(S2403&amp;""='報告書'!$C$4&amp;"",COUNTIF($S$5:S2403,'報告書'!$C$4),""))</f>
        <v/>
      </c>
      <c r="AK2403" s="20" t="n"/>
      <c r="AL2403" s="47" t="n"/>
      <c r="AM2403" s="47" t="n"/>
      <c r="AN2403" s="53" t="n"/>
      <c r="AO2403" s="47" t="n"/>
      <c r="AP2403" s="47" t="n"/>
      <c r="AQ2403" s="47" t="n"/>
      <c r="AR2403" s="47" t="n"/>
      <c r="AS2403" s="47" t="n"/>
      <c r="AT2403" s="47" t="n"/>
      <c r="AU2403" s="47" t="n"/>
      <c r="AV2403" s="47" t="n"/>
      <c r="AW2403" s="52" t="n"/>
    </row>
    <row r="2404">
      <c r="A2404" s="48" t="n"/>
      <c r="B2404" s="52" t="n"/>
      <c r="C2404" s="47">
        <f>IF(B2404="","",IFERROR(INDEX('隊員マスタ'!$B$5:$B$204,MATCH(B2404&amp;"",'隊員マスタ'!$F$5:$F$204,0)),IF(AK2404="","番号なし",AK2404)))</f>
        <v/>
      </c>
      <c r="D2404" s="47" t="n"/>
      <c r="E2404" s="47" t="n"/>
      <c r="F2404" s="47" t="n"/>
      <c r="G2404" s="47" t="n"/>
      <c r="H2404" s="47" t="n"/>
      <c r="I2404" s="47" t="n"/>
      <c r="J2404" s="47" t="n"/>
      <c r="K2404" s="47" t="n"/>
      <c r="L2404" s="47" t="n"/>
      <c r="M2404" s="47" t="n"/>
      <c r="N2404" s="47" t="n"/>
      <c r="O2404" s="47" t="n"/>
      <c r="P2404" s="47" t="n"/>
      <c r="Q2404" s="47" t="n"/>
      <c r="R2404" s="47" t="n"/>
      <c r="S2404" s="47" t="n"/>
      <c r="T2404" s="47" t="n"/>
      <c r="U2404" s="53" t="n"/>
      <c r="V2404" s="53" t="n"/>
      <c r="W2404" s="47" t="n"/>
      <c r="X2404" s="47" t="n"/>
      <c r="Y2404" s="47" t="n"/>
      <c r="Z2404" s="47" t="n"/>
      <c r="AA2404" s="47" t="n"/>
      <c r="AB2404" s="47" t="n"/>
      <c r="AC2404" s="47" t="n"/>
      <c r="AD2404" s="47" t="n"/>
      <c r="AE2404" s="47" t="n"/>
      <c r="AF2404" s="20">
        <f>IF(A2404="","",YEAR(EDATE(A2404,-3)))</f>
        <v/>
      </c>
      <c r="AG2404" s="20">
        <f>IF(OR(B2404="",'経歴簿'!$C$4=""),"",IF(B2404&amp;""='経歴簿'!$C$4&amp;"",MAX($AG$4:AG2403)+1,""))</f>
        <v/>
      </c>
      <c r="AH2404" s="20">
        <f>IF(A2404="",0,IF(AND(OR('CSV抽出'!$C$4="",A2404&gt;='CSV抽出'!$C$4),OR('CSV抽出'!$C$5="",A2404&lt;='CSV抽出'!$C$5),OR('CSV抽出'!$C$6="すべて",'CSV抽出'!$C$6="",D2404='CSV抽出'!$C$6),OR('CSV抽出'!$C$7="",B2404&amp;""='CSV抽出'!$C$7&amp;"")),1,0))</f>
        <v/>
      </c>
      <c r="AI2404" s="20">
        <f>IF(AH2404=1,SUM($AH$5:AH2404),"")</f>
        <v/>
      </c>
      <c r="AJ2404" s="20">
        <f>IF(OR(S2404="",'報告書'!$C$4=""),"",IF(S2404&amp;""='報告書'!$C$4&amp;"",COUNTIF($S$5:S2404,'報告書'!$C$4),""))</f>
        <v/>
      </c>
      <c r="AK2404" s="20" t="n"/>
      <c r="AL2404" s="47" t="n"/>
      <c r="AM2404" s="47" t="n"/>
      <c r="AN2404" s="53" t="n"/>
      <c r="AO2404" s="47" t="n"/>
      <c r="AP2404" s="47" t="n"/>
      <c r="AQ2404" s="47" t="n"/>
      <c r="AR2404" s="47" t="n"/>
      <c r="AS2404" s="47" t="n"/>
      <c r="AT2404" s="47" t="n"/>
      <c r="AU2404" s="47" t="n"/>
      <c r="AV2404" s="47" t="n"/>
      <c r="AW2404" s="52" t="n"/>
    </row>
    <row r="2405">
      <c r="A2405" s="48" t="n"/>
      <c r="B2405" s="52" t="n"/>
      <c r="C2405" s="47">
        <f>IF(B2405="","",IFERROR(INDEX('隊員マスタ'!$B$5:$B$204,MATCH(B2405&amp;"",'隊員マスタ'!$F$5:$F$204,0)),IF(AK2405="","番号なし",AK2405)))</f>
        <v/>
      </c>
      <c r="D2405" s="47" t="n"/>
      <c r="E2405" s="47" t="n"/>
      <c r="F2405" s="47" t="n"/>
      <c r="G2405" s="47" t="n"/>
      <c r="H2405" s="47" t="n"/>
      <c r="I2405" s="47" t="n"/>
      <c r="J2405" s="47" t="n"/>
      <c r="K2405" s="47" t="n"/>
      <c r="L2405" s="47" t="n"/>
      <c r="M2405" s="47" t="n"/>
      <c r="N2405" s="47" t="n"/>
      <c r="O2405" s="47" t="n"/>
      <c r="P2405" s="47" t="n"/>
      <c r="Q2405" s="47" t="n"/>
      <c r="R2405" s="47" t="n"/>
      <c r="S2405" s="47" t="n"/>
      <c r="T2405" s="47" t="n"/>
      <c r="U2405" s="53" t="n"/>
      <c r="V2405" s="53" t="n"/>
      <c r="W2405" s="47" t="n"/>
      <c r="X2405" s="47" t="n"/>
      <c r="Y2405" s="47" t="n"/>
      <c r="Z2405" s="47" t="n"/>
      <c r="AA2405" s="47" t="n"/>
      <c r="AB2405" s="47" t="n"/>
      <c r="AC2405" s="47" t="n"/>
      <c r="AD2405" s="47" t="n"/>
      <c r="AE2405" s="47" t="n"/>
      <c r="AF2405" s="20">
        <f>IF(A2405="","",YEAR(EDATE(A2405,-3)))</f>
        <v/>
      </c>
      <c r="AG2405" s="20">
        <f>IF(OR(B2405="",'経歴簿'!$C$4=""),"",IF(B2405&amp;""='経歴簿'!$C$4&amp;"",MAX($AG$4:AG2404)+1,""))</f>
        <v/>
      </c>
      <c r="AH2405" s="20">
        <f>IF(A2405="",0,IF(AND(OR('CSV抽出'!$C$4="",A2405&gt;='CSV抽出'!$C$4),OR('CSV抽出'!$C$5="",A2405&lt;='CSV抽出'!$C$5),OR('CSV抽出'!$C$6="すべて",'CSV抽出'!$C$6="",D2405='CSV抽出'!$C$6),OR('CSV抽出'!$C$7="",B2405&amp;""='CSV抽出'!$C$7&amp;"")),1,0))</f>
        <v/>
      </c>
      <c r="AI2405" s="20">
        <f>IF(AH2405=1,SUM($AH$5:AH2405),"")</f>
        <v/>
      </c>
      <c r="AJ2405" s="20">
        <f>IF(OR(S2405="",'報告書'!$C$4=""),"",IF(S2405&amp;""='報告書'!$C$4&amp;"",COUNTIF($S$5:S2405,'報告書'!$C$4),""))</f>
        <v/>
      </c>
      <c r="AK2405" s="20" t="n"/>
      <c r="AL2405" s="47" t="n"/>
      <c r="AM2405" s="47" t="n"/>
      <c r="AN2405" s="53" t="n"/>
      <c r="AO2405" s="47" t="n"/>
      <c r="AP2405" s="47" t="n"/>
      <c r="AQ2405" s="47" t="n"/>
      <c r="AR2405" s="47" t="n"/>
      <c r="AS2405" s="47" t="n"/>
      <c r="AT2405" s="47" t="n"/>
      <c r="AU2405" s="47" t="n"/>
      <c r="AV2405" s="47" t="n"/>
      <c r="AW2405" s="52" t="n"/>
    </row>
    <row r="2406">
      <c r="A2406" s="48" t="n"/>
      <c r="B2406" s="52" t="n"/>
      <c r="C2406" s="47">
        <f>IF(B2406="","",IFERROR(INDEX('隊員マスタ'!$B$5:$B$204,MATCH(B2406&amp;"",'隊員マスタ'!$F$5:$F$204,0)),IF(AK2406="","番号なし",AK2406)))</f>
        <v/>
      </c>
      <c r="D2406" s="47" t="n"/>
      <c r="E2406" s="47" t="n"/>
      <c r="F2406" s="47" t="n"/>
      <c r="G2406" s="47" t="n"/>
      <c r="H2406" s="47" t="n"/>
      <c r="I2406" s="47" t="n"/>
      <c r="J2406" s="47" t="n"/>
      <c r="K2406" s="47" t="n"/>
      <c r="L2406" s="47" t="n"/>
      <c r="M2406" s="47" t="n"/>
      <c r="N2406" s="47" t="n"/>
      <c r="O2406" s="47" t="n"/>
      <c r="P2406" s="47" t="n"/>
      <c r="Q2406" s="47" t="n"/>
      <c r="R2406" s="47" t="n"/>
      <c r="S2406" s="47" t="n"/>
      <c r="T2406" s="47" t="n"/>
      <c r="U2406" s="53" t="n"/>
      <c r="V2406" s="53" t="n"/>
      <c r="W2406" s="47" t="n"/>
      <c r="X2406" s="47" t="n"/>
      <c r="Y2406" s="47" t="n"/>
      <c r="Z2406" s="47" t="n"/>
      <c r="AA2406" s="47" t="n"/>
      <c r="AB2406" s="47" t="n"/>
      <c r="AC2406" s="47" t="n"/>
      <c r="AD2406" s="47" t="n"/>
      <c r="AE2406" s="47" t="n"/>
      <c r="AF2406" s="20">
        <f>IF(A2406="","",YEAR(EDATE(A2406,-3)))</f>
        <v/>
      </c>
      <c r="AG2406" s="20">
        <f>IF(OR(B2406="",'経歴簿'!$C$4=""),"",IF(B2406&amp;""='経歴簿'!$C$4&amp;"",MAX($AG$4:AG2405)+1,""))</f>
        <v/>
      </c>
      <c r="AH2406" s="20">
        <f>IF(A2406="",0,IF(AND(OR('CSV抽出'!$C$4="",A2406&gt;='CSV抽出'!$C$4),OR('CSV抽出'!$C$5="",A2406&lt;='CSV抽出'!$C$5),OR('CSV抽出'!$C$6="すべて",'CSV抽出'!$C$6="",D2406='CSV抽出'!$C$6),OR('CSV抽出'!$C$7="",B2406&amp;""='CSV抽出'!$C$7&amp;"")),1,0))</f>
        <v/>
      </c>
      <c r="AI2406" s="20">
        <f>IF(AH2406=1,SUM($AH$5:AH2406),"")</f>
        <v/>
      </c>
      <c r="AJ2406" s="20">
        <f>IF(OR(S2406="",'報告書'!$C$4=""),"",IF(S2406&amp;""='報告書'!$C$4&amp;"",COUNTIF($S$5:S2406,'報告書'!$C$4),""))</f>
        <v/>
      </c>
      <c r="AK2406" s="20" t="n"/>
      <c r="AL2406" s="47" t="n"/>
      <c r="AM2406" s="47" t="n"/>
      <c r="AN2406" s="53" t="n"/>
      <c r="AO2406" s="47" t="n"/>
      <c r="AP2406" s="47" t="n"/>
      <c r="AQ2406" s="47" t="n"/>
      <c r="AR2406" s="47" t="n"/>
      <c r="AS2406" s="47" t="n"/>
      <c r="AT2406" s="47" t="n"/>
      <c r="AU2406" s="47" t="n"/>
      <c r="AV2406" s="47" t="n"/>
      <c r="AW2406" s="52" t="n"/>
    </row>
    <row r="2407">
      <c r="A2407" s="48" t="n"/>
      <c r="B2407" s="52" t="n"/>
      <c r="C2407" s="47">
        <f>IF(B2407="","",IFERROR(INDEX('隊員マスタ'!$B$5:$B$204,MATCH(B2407&amp;"",'隊員マスタ'!$F$5:$F$204,0)),IF(AK2407="","番号なし",AK2407)))</f>
        <v/>
      </c>
      <c r="D2407" s="47" t="n"/>
      <c r="E2407" s="47" t="n"/>
      <c r="F2407" s="47" t="n"/>
      <c r="G2407" s="47" t="n"/>
      <c r="H2407" s="47" t="n"/>
      <c r="I2407" s="47" t="n"/>
      <c r="J2407" s="47" t="n"/>
      <c r="K2407" s="47" t="n"/>
      <c r="L2407" s="47" t="n"/>
      <c r="M2407" s="47" t="n"/>
      <c r="N2407" s="47" t="n"/>
      <c r="O2407" s="47" t="n"/>
      <c r="P2407" s="47" t="n"/>
      <c r="Q2407" s="47" t="n"/>
      <c r="R2407" s="47" t="n"/>
      <c r="S2407" s="47" t="n"/>
      <c r="T2407" s="47" t="n"/>
      <c r="U2407" s="53" t="n"/>
      <c r="V2407" s="53" t="n"/>
      <c r="W2407" s="47" t="n"/>
      <c r="X2407" s="47" t="n"/>
      <c r="Y2407" s="47" t="n"/>
      <c r="Z2407" s="47" t="n"/>
      <c r="AA2407" s="47" t="n"/>
      <c r="AB2407" s="47" t="n"/>
      <c r="AC2407" s="47" t="n"/>
      <c r="AD2407" s="47" t="n"/>
      <c r="AE2407" s="47" t="n"/>
      <c r="AF2407" s="20">
        <f>IF(A2407="","",YEAR(EDATE(A2407,-3)))</f>
        <v/>
      </c>
      <c r="AG2407" s="20">
        <f>IF(OR(B2407="",'経歴簿'!$C$4=""),"",IF(B2407&amp;""='経歴簿'!$C$4&amp;"",MAX($AG$4:AG2406)+1,""))</f>
        <v/>
      </c>
      <c r="AH2407" s="20">
        <f>IF(A2407="",0,IF(AND(OR('CSV抽出'!$C$4="",A2407&gt;='CSV抽出'!$C$4),OR('CSV抽出'!$C$5="",A2407&lt;='CSV抽出'!$C$5),OR('CSV抽出'!$C$6="すべて",'CSV抽出'!$C$6="",D2407='CSV抽出'!$C$6),OR('CSV抽出'!$C$7="",B2407&amp;""='CSV抽出'!$C$7&amp;"")),1,0))</f>
        <v/>
      </c>
      <c r="AI2407" s="20">
        <f>IF(AH2407=1,SUM($AH$5:AH2407),"")</f>
        <v/>
      </c>
      <c r="AJ2407" s="20">
        <f>IF(OR(S2407="",'報告書'!$C$4=""),"",IF(S2407&amp;""='報告書'!$C$4&amp;"",COUNTIF($S$5:S2407,'報告書'!$C$4),""))</f>
        <v/>
      </c>
      <c r="AK2407" s="20" t="n"/>
      <c r="AL2407" s="47" t="n"/>
      <c r="AM2407" s="47" t="n"/>
      <c r="AN2407" s="53" t="n"/>
      <c r="AO2407" s="47" t="n"/>
      <c r="AP2407" s="47" t="n"/>
      <c r="AQ2407" s="47" t="n"/>
      <c r="AR2407" s="47" t="n"/>
      <c r="AS2407" s="47" t="n"/>
      <c r="AT2407" s="47" t="n"/>
      <c r="AU2407" s="47" t="n"/>
      <c r="AV2407" s="47" t="n"/>
      <c r="AW2407" s="52" t="n"/>
    </row>
    <row r="2408">
      <c r="A2408" s="48" t="n"/>
      <c r="B2408" s="52" t="n"/>
      <c r="C2408" s="47">
        <f>IF(B2408="","",IFERROR(INDEX('隊員マスタ'!$B$5:$B$204,MATCH(B2408&amp;"",'隊員マスタ'!$F$5:$F$204,0)),IF(AK2408="","番号なし",AK2408)))</f>
        <v/>
      </c>
      <c r="D2408" s="47" t="n"/>
      <c r="E2408" s="47" t="n"/>
      <c r="F2408" s="47" t="n"/>
      <c r="G2408" s="47" t="n"/>
      <c r="H2408" s="47" t="n"/>
      <c r="I2408" s="47" t="n"/>
      <c r="J2408" s="47" t="n"/>
      <c r="K2408" s="47" t="n"/>
      <c r="L2408" s="47" t="n"/>
      <c r="M2408" s="47" t="n"/>
      <c r="N2408" s="47" t="n"/>
      <c r="O2408" s="47" t="n"/>
      <c r="P2408" s="47" t="n"/>
      <c r="Q2408" s="47" t="n"/>
      <c r="R2408" s="47" t="n"/>
      <c r="S2408" s="47" t="n"/>
      <c r="T2408" s="47" t="n"/>
      <c r="U2408" s="53" t="n"/>
      <c r="V2408" s="53" t="n"/>
      <c r="W2408" s="47" t="n"/>
      <c r="X2408" s="47" t="n"/>
      <c r="Y2408" s="47" t="n"/>
      <c r="Z2408" s="47" t="n"/>
      <c r="AA2408" s="47" t="n"/>
      <c r="AB2408" s="47" t="n"/>
      <c r="AC2408" s="47" t="n"/>
      <c r="AD2408" s="47" t="n"/>
      <c r="AE2408" s="47" t="n"/>
      <c r="AF2408" s="20">
        <f>IF(A2408="","",YEAR(EDATE(A2408,-3)))</f>
        <v/>
      </c>
      <c r="AG2408" s="20">
        <f>IF(OR(B2408="",'経歴簿'!$C$4=""),"",IF(B2408&amp;""='経歴簿'!$C$4&amp;"",MAX($AG$4:AG2407)+1,""))</f>
        <v/>
      </c>
      <c r="AH2408" s="20">
        <f>IF(A2408="",0,IF(AND(OR('CSV抽出'!$C$4="",A2408&gt;='CSV抽出'!$C$4),OR('CSV抽出'!$C$5="",A2408&lt;='CSV抽出'!$C$5),OR('CSV抽出'!$C$6="すべて",'CSV抽出'!$C$6="",D2408='CSV抽出'!$C$6),OR('CSV抽出'!$C$7="",B2408&amp;""='CSV抽出'!$C$7&amp;"")),1,0))</f>
        <v/>
      </c>
      <c r="AI2408" s="20">
        <f>IF(AH2408=1,SUM($AH$5:AH2408),"")</f>
        <v/>
      </c>
      <c r="AJ2408" s="20">
        <f>IF(OR(S2408="",'報告書'!$C$4=""),"",IF(S2408&amp;""='報告書'!$C$4&amp;"",COUNTIF($S$5:S2408,'報告書'!$C$4),""))</f>
        <v/>
      </c>
      <c r="AK2408" s="20" t="n"/>
      <c r="AL2408" s="47" t="n"/>
      <c r="AM2408" s="47" t="n"/>
      <c r="AN2408" s="53" t="n"/>
      <c r="AO2408" s="47" t="n"/>
      <c r="AP2408" s="47" t="n"/>
      <c r="AQ2408" s="47" t="n"/>
      <c r="AR2408" s="47" t="n"/>
      <c r="AS2408" s="47" t="n"/>
      <c r="AT2408" s="47" t="n"/>
      <c r="AU2408" s="47" t="n"/>
      <c r="AV2408" s="47" t="n"/>
      <c r="AW2408" s="52" t="n"/>
    </row>
    <row r="2409">
      <c r="A2409" s="48" t="n"/>
      <c r="B2409" s="52" t="n"/>
      <c r="C2409" s="47">
        <f>IF(B2409="","",IFERROR(INDEX('隊員マスタ'!$B$5:$B$204,MATCH(B2409&amp;"",'隊員マスタ'!$F$5:$F$204,0)),IF(AK2409="","番号なし",AK2409)))</f>
        <v/>
      </c>
      <c r="D2409" s="47" t="n"/>
      <c r="E2409" s="47" t="n"/>
      <c r="F2409" s="47" t="n"/>
      <c r="G2409" s="47" t="n"/>
      <c r="H2409" s="47" t="n"/>
      <c r="I2409" s="47" t="n"/>
      <c r="J2409" s="47" t="n"/>
      <c r="K2409" s="47" t="n"/>
      <c r="L2409" s="47" t="n"/>
      <c r="M2409" s="47" t="n"/>
      <c r="N2409" s="47" t="n"/>
      <c r="O2409" s="47" t="n"/>
      <c r="P2409" s="47" t="n"/>
      <c r="Q2409" s="47" t="n"/>
      <c r="R2409" s="47" t="n"/>
      <c r="S2409" s="47" t="n"/>
      <c r="T2409" s="47" t="n"/>
      <c r="U2409" s="53" t="n"/>
      <c r="V2409" s="53" t="n"/>
      <c r="W2409" s="47" t="n"/>
      <c r="X2409" s="47" t="n"/>
      <c r="Y2409" s="47" t="n"/>
      <c r="Z2409" s="47" t="n"/>
      <c r="AA2409" s="47" t="n"/>
      <c r="AB2409" s="47" t="n"/>
      <c r="AC2409" s="47" t="n"/>
      <c r="AD2409" s="47" t="n"/>
      <c r="AE2409" s="47" t="n"/>
      <c r="AF2409" s="20">
        <f>IF(A2409="","",YEAR(EDATE(A2409,-3)))</f>
        <v/>
      </c>
      <c r="AG2409" s="20">
        <f>IF(OR(B2409="",'経歴簿'!$C$4=""),"",IF(B2409&amp;""='経歴簿'!$C$4&amp;"",MAX($AG$4:AG2408)+1,""))</f>
        <v/>
      </c>
      <c r="AH2409" s="20">
        <f>IF(A2409="",0,IF(AND(OR('CSV抽出'!$C$4="",A2409&gt;='CSV抽出'!$C$4),OR('CSV抽出'!$C$5="",A2409&lt;='CSV抽出'!$C$5),OR('CSV抽出'!$C$6="すべて",'CSV抽出'!$C$6="",D2409='CSV抽出'!$C$6),OR('CSV抽出'!$C$7="",B2409&amp;""='CSV抽出'!$C$7&amp;"")),1,0))</f>
        <v/>
      </c>
      <c r="AI2409" s="20">
        <f>IF(AH2409=1,SUM($AH$5:AH2409),"")</f>
        <v/>
      </c>
      <c r="AJ2409" s="20">
        <f>IF(OR(S2409="",'報告書'!$C$4=""),"",IF(S2409&amp;""='報告書'!$C$4&amp;"",COUNTIF($S$5:S2409,'報告書'!$C$4),""))</f>
        <v/>
      </c>
      <c r="AK2409" s="20" t="n"/>
      <c r="AL2409" s="47" t="n"/>
      <c r="AM2409" s="47" t="n"/>
      <c r="AN2409" s="53" t="n"/>
      <c r="AO2409" s="47" t="n"/>
      <c r="AP2409" s="47" t="n"/>
      <c r="AQ2409" s="47" t="n"/>
      <c r="AR2409" s="47" t="n"/>
      <c r="AS2409" s="47" t="n"/>
      <c r="AT2409" s="47" t="n"/>
      <c r="AU2409" s="47" t="n"/>
      <c r="AV2409" s="47" t="n"/>
      <c r="AW2409" s="52" t="n"/>
    </row>
    <row r="2410">
      <c r="A2410" s="48" t="n"/>
      <c r="B2410" s="52" t="n"/>
      <c r="C2410" s="47">
        <f>IF(B2410="","",IFERROR(INDEX('隊員マスタ'!$B$5:$B$204,MATCH(B2410&amp;"",'隊員マスタ'!$F$5:$F$204,0)),IF(AK2410="","番号なし",AK2410)))</f>
        <v/>
      </c>
      <c r="D2410" s="47" t="n"/>
      <c r="E2410" s="47" t="n"/>
      <c r="F2410" s="47" t="n"/>
      <c r="G2410" s="47" t="n"/>
      <c r="H2410" s="47" t="n"/>
      <c r="I2410" s="47" t="n"/>
      <c r="J2410" s="47" t="n"/>
      <c r="K2410" s="47" t="n"/>
      <c r="L2410" s="47" t="n"/>
      <c r="M2410" s="47" t="n"/>
      <c r="N2410" s="47" t="n"/>
      <c r="O2410" s="47" t="n"/>
      <c r="P2410" s="47" t="n"/>
      <c r="Q2410" s="47" t="n"/>
      <c r="R2410" s="47" t="n"/>
      <c r="S2410" s="47" t="n"/>
      <c r="T2410" s="47" t="n"/>
      <c r="U2410" s="53" t="n"/>
      <c r="V2410" s="53" t="n"/>
      <c r="W2410" s="47" t="n"/>
      <c r="X2410" s="47" t="n"/>
      <c r="Y2410" s="47" t="n"/>
      <c r="Z2410" s="47" t="n"/>
      <c r="AA2410" s="47" t="n"/>
      <c r="AB2410" s="47" t="n"/>
      <c r="AC2410" s="47" t="n"/>
      <c r="AD2410" s="47" t="n"/>
      <c r="AE2410" s="47" t="n"/>
      <c r="AF2410" s="20">
        <f>IF(A2410="","",YEAR(EDATE(A2410,-3)))</f>
        <v/>
      </c>
      <c r="AG2410" s="20">
        <f>IF(OR(B2410="",'経歴簿'!$C$4=""),"",IF(B2410&amp;""='経歴簿'!$C$4&amp;"",MAX($AG$4:AG2409)+1,""))</f>
        <v/>
      </c>
      <c r="AH2410" s="20">
        <f>IF(A2410="",0,IF(AND(OR('CSV抽出'!$C$4="",A2410&gt;='CSV抽出'!$C$4),OR('CSV抽出'!$C$5="",A2410&lt;='CSV抽出'!$C$5),OR('CSV抽出'!$C$6="すべて",'CSV抽出'!$C$6="",D2410='CSV抽出'!$C$6),OR('CSV抽出'!$C$7="",B2410&amp;""='CSV抽出'!$C$7&amp;"")),1,0))</f>
        <v/>
      </c>
      <c r="AI2410" s="20">
        <f>IF(AH2410=1,SUM($AH$5:AH2410),"")</f>
        <v/>
      </c>
      <c r="AJ2410" s="20">
        <f>IF(OR(S2410="",'報告書'!$C$4=""),"",IF(S2410&amp;""='報告書'!$C$4&amp;"",COUNTIF($S$5:S2410,'報告書'!$C$4),""))</f>
        <v/>
      </c>
      <c r="AK2410" s="20" t="n"/>
      <c r="AL2410" s="47" t="n"/>
      <c r="AM2410" s="47" t="n"/>
      <c r="AN2410" s="53" t="n"/>
      <c r="AO2410" s="47" t="n"/>
      <c r="AP2410" s="47" t="n"/>
      <c r="AQ2410" s="47" t="n"/>
      <c r="AR2410" s="47" t="n"/>
      <c r="AS2410" s="47" t="n"/>
      <c r="AT2410" s="47" t="n"/>
      <c r="AU2410" s="47" t="n"/>
      <c r="AV2410" s="47" t="n"/>
      <c r="AW2410" s="52" t="n"/>
    </row>
    <row r="2411">
      <c r="A2411" s="48" t="n"/>
      <c r="B2411" s="52" t="n"/>
      <c r="C2411" s="47">
        <f>IF(B2411="","",IFERROR(INDEX('隊員マスタ'!$B$5:$B$204,MATCH(B2411&amp;"",'隊員マスタ'!$F$5:$F$204,0)),IF(AK2411="","番号なし",AK2411)))</f>
        <v/>
      </c>
      <c r="D2411" s="47" t="n"/>
      <c r="E2411" s="47" t="n"/>
      <c r="F2411" s="47" t="n"/>
      <c r="G2411" s="47" t="n"/>
      <c r="H2411" s="47" t="n"/>
      <c r="I2411" s="47" t="n"/>
      <c r="J2411" s="47" t="n"/>
      <c r="K2411" s="47" t="n"/>
      <c r="L2411" s="47" t="n"/>
      <c r="M2411" s="47" t="n"/>
      <c r="N2411" s="47" t="n"/>
      <c r="O2411" s="47" t="n"/>
      <c r="P2411" s="47" t="n"/>
      <c r="Q2411" s="47" t="n"/>
      <c r="R2411" s="47" t="n"/>
      <c r="S2411" s="47" t="n"/>
      <c r="T2411" s="47" t="n"/>
      <c r="U2411" s="53" t="n"/>
      <c r="V2411" s="53" t="n"/>
      <c r="W2411" s="47" t="n"/>
      <c r="X2411" s="47" t="n"/>
      <c r="Y2411" s="47" t="n"/>
      <c r="Z2411" s="47" t="n"/>
      <c r="AA2411" s="47" t="n"/>
      <c r="AB2411" s="47" t="n"/>
      <c r="AC2411" s="47" t="n"/>
      <c r="AD2411" s="47" t="n"/>
      <c r="AE2411" s="47" t="n"/>
      <c r="AF2411" s="20">
        <f>IF(A2411="","",YEAR(EDATE(A2411,-3)))</f>
        <v/>
      </c>
      <c r="AG2411" s="20">
        <f>IF(OR(B2411="",'経歴簿'!$C$4=""),"",IF(B2411&amp;""='経歴簿'!$C$4&amp;"",MAX($AG$4:AG2410)+1,""))</f>
        <v/>
      </c>
      <c r="AH2411" s="20">
        <f>IF(A2411="",0,IF(AND(OR('CSV抽出'!$C$4="",A2411&gt;='CSV抽出'!$C$4),OR('CSV抽出'!$C$5="",A2411&lt;='CSV抽出'!$C$5),OR('CSV抽出'!$C$6="すべて",'CSV抽出'!$C$6="",D2411='CSV抽出'!$C$6),OR('CSV抽出'!$C$7="",B2411&amp;""='CSV抽出'!$C$7&amp;"")),1,0))</f>
        <v/>
      </c>
      <c r="AI2411" s="20">
        <f>IF(AH2411=1,SUM($AH$5:AH2411),"")</f>
        <v/>
      </c>
      <c r="AJ2411" s="20">
        <f>IF(OR(S2411="",'報告書'!$C$4=""),"",IF(S2411&amp;""='報告書'!$C$4&amp;"",COUNTIF($S$5:S2411,'報告書'!$C$4),""))</f>
        <v/>
      </c>
      <c r="AK2411" s="20" t="n"/>
      <c r="AL2411" s="47" t="n"/>
      <c r="AM2411" s="47" t="n"/>
      <c r="AN2411" s="53" t="n"/>
      <c r="AO2411" s="47" t="n"/>
      <c r="AP2411" s="47" t="n"/>
      <c r="AQ2411" s="47" t="n"/>
      <c r="AR2411" s="47" t="n"/>
      <c r="AS2411" s="47" t="n"/>
      <c r="AT2411" s="47" t="n"/>
      <c r="AU2411" s="47" t="n"/>
      <c r="AV2411" s="47" t="n"/>
      <c r="AW2411" s="52" t="n"/>
    </row>
    <row r="2412">
      <c r="A2412" s="48" t="n"/>
      <c r="B2412" s="52" t="n"/>
      <c r="C2412" s="47">
        <f>IF(B2412="","",IFERROR(INDEX('隊員マスタ'!$B$5:$B$204,MATCH(B2412&amp;"",'隊員マスタ'!$F$5:$F$204,0)),IF(AK2412="","番号なし",AK2412)))</f>
        <v/>
      </c>
      <c r="D2412" s="47" t="n"/>
      <c r="E2412" s="47" t="n"/>
      <c r="F2412" s="47" t="n"/>
      <c r="G2412" s="47" t="n"/>
      <c r="H2412" s="47" t="n"/>
      <c r="I2412" s="47" t="n"/>
      <c r="J2412" s="47" t="n"/>
      <c r="K2412" s="47" t="n"/>
      <c r="L2412" s="47" t="n"/>
      <c r="M2412" s="47" t="n"/>
      <c r="N2412" s="47" t="n"/>
      <c r="O2412" s="47" t="n"/>
      <c r="P2412" s="47" t="n"/>
      <c r="Q2412" s="47" t="n"/>
      <c r="R2412" s="47" t="n"/>
      <c r="S2412" s="47" t="n"/>
      <c r="T2412" s="47" t="n"/>
      <c r="U2412" s="53" t="n"/>
      <c r="V2412" s="53" t="n"/>
      <c r="W2412" s="47" t="n"/>
      <c r="X2412" s="47" t="n"/>
      <c r="Y2412" s="47" t="n"/>
      <c r="Z2412" s="47" t="n"/>
      <c r="AA2412" s="47" t="n"/>
      <c r="AB2412" s="47" t="n"/>
      <c r="AC2412" s="47" t="n"/>
      <c r="AD2412" s="47" t="n"/>
      <c r="AE2412" s="47" t="n"/>
      <c r="AF2412" s="20">
        <f>IF(A2412="","",YEAR(EDATE(A2412,-3)))</f>
        <v/>
      </c>
      <c r="AG2412" s="20">
        <f>IF(OR(B2412="",'経歴簿'!$C$4=""),"",IF(B2412&amp;""='経歴簿'!$C$4&amp;"",MAX($AG$4:AG2411)+1,""))</f>
        <v/>
      </c>
      <c r="AH2412" s="20">
        <f>IF(A2412="",0,IF(AND(OR('CSV抽出'!$C$4="",A2412&gt;='CSV抽出'!$C$4),OR('CSV抽出'!$C$5="",A2412&lt;='CSV抽出'!$C$5),OR('CSV抽出'!$C$6="すべて",'CSV抽出'!$C$6="",D2412='CSV抽出'!$C$6),OR('CSV抽出'!$C$7="",B2412&amp;""='CSV抽出'!$C$7&amp;"")),1,0))</f>
        <v/>
      </c>
      <c r="AI2412" s="20">
        <f>IF(AH2412=1,SUM($AH$5:AH2412),"")</f>
        <v/>
      </c>
      <c r="AJ2412" s="20">
        <f>IF(OR(S2412="",'報告書'!$C$4=""),"",IF(S2412&amp;""='報告書'!$C$4&amp;"",COUNTIF($S$5:S2412,'報告書'!$C$4),""))</f>
        <v/>
      </c>
      <c r="AK2412" s="20" t="n"/>
      <c r="AL2412" s="47" t="n"/>
      <c r="AM2412" s="47" t="n"/>
      <c r="AN2412" s="53" t="n"/>
      <c r="AO2412" s="47" t="n"/>
      <c r="AP2412" s="47" t="n"/>
      <c r="AQ2412" s="47" t="n"/>
      <c r="AR2412" s="47" t="n"/>
      <c r="AS2412" s="47" t="n"/>
      <c r="AT2412" s="47" t="n"/>
      <c r="AU2412" s="47" t="n"/>
      <c r="AV2412" s="47" t="n"/>
      <c r="AW2412" s="52" t="n"/>
    </row>
    <row r="2413">
      <c r="A2413" s="48" t="n"/>
      <c r="B2413" s="52" t="n"/>
      <c r="C2413" s="47">
        <f>IF(B2413="","",IFERROR(INDEX('隊員マスタ'!$B$5:$B$204,MATCH(B2413&amp;"",'隊員マスタ'!$F$5:$F$204,0)),IF(AK2413="","番号なし",AK2413)))</f>
        <v/>
      </c>
      <c r="D2413" s="47" t="n"/>
      <c r="E2413" s="47" t="n"/>
      <c r="F2413" s="47" t="n"/>
      <c r="G2413" s="47" t="n"/>
      <c r="H2413" s="47" t="n"/>
      <c r="I2413" s="47" t="n"/>
      <c r="J2413" s="47" t="n"/>
      <c r="K2413" s="47" t="n"/>
      <c r="L2413" s="47" t="n"/>
      <c r="M2413" s="47" t="n"/>
      <c r="N2413" s="47" t="n"/>
      <c r="O2413" s="47" t="n"/>
      <c r="P2413" s="47" t="n"/>
      <c r="Q2413" s="47" t="n"/>
      <c r="R2413" s="47" t="n"/>
      <c r="S2413" s="47" t="n"/>
      <c r="T2413" s="47" t="n"/>
      <c r="U2413" s="53" t="n"/>
      <c r="V2413" s="53" t="n"/>
      <c r="W2413" s="47" t="n"/>
      <c r="X2413" s="47" t="n"/>
      <c r="Y2413" s="47" t="n"/>
      <c r="Z2413" s="47" t="n"/>
      <c r="AA2413" s="47" t="n"/>
      <c r="AB2413" s="47" t="n"/>
      <c r="AC2413" s="47" t="n"/>
      <c r="AD2413" s="47" t="n"/>
      <c r="AE2413" s="47" t="n"/>
      <c r="AF2413" s="20">
        <f>IF(A2413="","",YEAR(EDATE(A2413,-3)))</f>
        <v/>
      </c>
      <c r="AG2413" s="20">
        <f>IF(OR(B2413="",'経歴簿'!$C$4=""),"",IF(B2413&amp;""='経歴簿'!$C$4&amp;"",MAX($AG$4:AG2412)+1,""))</f>
        <v/>
      </c>
      <c r="AH2413" s="20">
        <f>IF(A2413="",0,IF(AND(OR('CSV抽出'!$C$4="",A2413&gt;='CSV抽出'!$C$4),OR('CSV抽出'!$C$5="",A2413&lt;='CSV抽出'!$C$5),OR('CSV抽出'!$C$6="すべて",'CSV抽出'!$C$6="",D2413='CSV抽出'!$C$6),OR('CSV抽出'!$C$7="",B2413&amp;""='CSV抽出'!$C$7&amp;"")),1,0))</f>
        <v/>
      </c>
      <c r="AI2413" s="20">
        <f>IF(AH2413=1,SUM($AH$5:AH2413),"")</f>
        <v/>
      </c>
      <c r="AJ2413" s="20">
        <f>IF(OR(S2413="",'報告書'!$C$4=""),"",IF(S2413&amp;""='報告書'!$C$4&amp;"",COUNTIF($S$5:S2413,'報告書'!$C$4),""))</f>
        <v/>
      </c>
      <c r="AK2413" s="20" t="n"/>
      <c r="AL2413" s="47" t="n"/>
      <c r="AM2413" s="47" t="n"/>
      <c r="AN2413" s="53" t="n"/>
      <c r="AO2413" s="47" t="n"/>
      <c r="AP2413" s="47" t="n"/>
      <c r="AQ2413" s="47" t="n"/>
      <c r="AR2413" s="47" t="n"/>
      <c r="AS2413" s="47" t="n"/>
      <c r="AT2413" s="47" t="n"/>
      <c r="AU2413" s="47" t="n"/>
      <c r="AV2413" s="47" t="n"/>
      <c r="AW2413" s="52" t="n"/>
    </row>
    <row r="2414">
      <c r="A2414" s="48" t="n"/>
      <c r="B2414" s="52" t="n"/>
      <c r="C2414" s="47">
        <f>IF(B2414="","",IFERROR(INDEX('隊員マスタ'!$B$5:$B$204,MATCH(B2414&amp;"",'隊員マスタ'!$F$5:$F$204,0)),IF(AK2414="","番号なし",AK2414)))</f>
        <v/>
      </c>
      <c r="D2414" s="47" t="n"/>
      <c r="E2414" s="47" t="n"/>
      <c r="F2414" s="47" t="n"/>
      <c r="G2414" s="47" t="n"/>
      <c r="H2414" s="47" t="n"/>
      <c r="I2414" s="47" t="n"/>
      <c r="J2414" s="47" t="n"/>
      <c r="K2414" s="47" t="n"/>
      <c r="L2414" s="47" t="n"/>
      <c r="M2414" s="47" t="n"/>
      <c r="N2414" s="47" t="n"/>
      <c r="O2414" s="47" t="n"/>
      <c r="P2414" s="47" t="n"/>
      <c r="Q2414" s="47" t="n"/>
      <c r="R2414" s="47" t="n"/>
      <c r="S2414" s="47" t="n"/>
      <c r="T2414" s="47" t="n"/>
      <c r="U2414" s="53" t="n"/>
      <c r="V2414" s="53" t="n"/>
      <c r="W2414" s="47" t="n"/>
      <c r="X2414" s="47" t="n"/>
      <c r="Y2414" s="47" t="n"/>
      <c r="Z2414" s="47" t="n"/>
      <c r="AA2414" s="47" t="n"/>
      <c r="AB2414" s="47" t="n"/>
      <c r="AC2414" s="47" t="n"/>
      <c r="AD2414" s="47" t="n"/>
      <c r="AE2414" s="47" t="n"/>
      <c r="AF2414" s="20">
        <f>IF(A2414="","",YEAR(EDATE(A2414,-3)))</f>
        <v/>
      </c>
      <c r="AG2414" s="20">
        <f>IF(OR(B2414="",'経歴簿'!$C$4=""),"",IF(B2414&amp;""='経歴簿'!$C$4&amp;"",MAX($AG$4:AG2413)+1,""))</f>
        <v/>
      </c>
      <c r="AH2414" s="20">
        <f>IF(A2414="",0,IF(AND(OR('CSV抽出'!$C$4="",A2414&gt;='CSV抽出'!$C$4),OR('CSV抽出'!$C$5="",A2414&lt;='CSV抽出'!$C$5),OR('CSV抽出'!$C$6="すべて",'CSV抽出'!$C$6="",D2414='CSV抽出'!$C$6),OR('CSV抽出'!$C$7="",B2414&amp;""='CSV抽出'!$C$7&amp;"")),1,0))</f>
        <v/>
      </c>
      <c r="AI2414" s="20">
        <f>IF(AH2414=1,SUM($AH$5:AH2414),"")</f>
        <v/>
      </c>
      <c r="AJ2414" s="20">
        <f>IF(OR(S2414="",'報告書'!$C$4=""),"",IF(S2414&amp;""='報告書'!$C$4&amp;"",COUNTIF($S$5:S2414,'報告書'!$C$4),""))</f>
        <v/>
      </c>
      <c r="AK2414" s="20" t="n"/>
      <c r="AL2414" s="47" t="n"/>
      <c r="AM2414" s="47" t="n"/>
      <c r="AN2414" s="53" t="n"/>
      <c r="AO2414" s="47" t="n"/>
      <c r="AP2414" s="47" t="n"/>
      <c r="AQ2414" s="47" t="n"/>
      <c r="AR2414" s="47" t="n"/>
      <c r="AS2414" s="47" t="n"/>
      <c r="AT2414" s="47" t="n"/>
      <c r="AU2414" s="47" t="n"/>
      <c r="AV2414" s="47" t="n"/>
      <c r="AW2414" s="52" t="n"/>
    </row>
    <row r="2415">
      <c r="A2415" s="48" t="n"/>
      <c r="B2415" s="52" t="n"/>
      <c r="C2415" s="47">
        <f>IF(B2415="","",IFERROR(INDEX('隊員マスタ'!$B$5:$B$204,MATCH(B2415&amp;"",'隊員マスタ'!$F$5:$F$204,0)),IF(AK2415="","番号なし",AK2415)))</f>
        <v/>
      </c>
      <c r="D2415" s="47" t="n"/>
      <c r="E2415" s="47" t="n"/>
      <c r="F2415" s="47" t="n"/>
      <c r="G2415" s="47" t="n"/>
      <c r="H2415" s="47" t="n"/>
      <c r="I2415" s="47" t="n"/>
      <c r="J2415" s="47" t="n"/>
      <c r="K2415" s="47" t="n"/>
      <c r="L2415" s="47" t="n"/>
      <c r="M2415" s="47" t="n"/>
      <c r="N2415" s="47" t="n"/>
      <c r="O2415" s="47" t="n"/>
      <c r="P2415" s="47" t="n"/>
      <c r="Q2415" s="47" t="n"/>
      <c r="R2415" s="47" t="n"/>
      <c r="S2415" s="47" t="n"/>
      <c r="T2415" s="47" t="n"/>
      <c r="U2415" s="53" t="n"/>
      <c r="V2415" s="53" t="n"/>
      <c r="W2415" s="47" t="n"/>
      <c r="X2415" s="47" t="n"/>
      <c r="Y2415" s="47" t="n"/>
      <c r="Z2415" s="47" t="n"/>
      <c r="AA2415" s="47" t="n"/>
      <c r="AB2415" s="47" t="n"/>
      <c r="AC2415" s="47" t="n"/>
      <c r="AD2415" s="47" t="n"/>
      <c r="AE2415" s="47" t="n"/>
      <c r="AF2415" s="20">
        <f>IF(A2415="","",YEAR(EDATE(A2415,-3)))</f>
        <v/>
      </c>
      <c r="AG2415" s="20">
        <f>IF(OR(B2415="",'経歴簿'!$C$4=""),"",IF(B2415&amp;""='経歴簿'!$C$4&amp;"",MAX($AG$4:AG2414)+1,""))</f>
        <v/>
      </c>
      <c r="AH2415" s="20">
        <f>IF(A2415="",0,IF(AND(OR('CSV抽出'!$C$4="",A2415&gt;='CSV抽出'!$C$4),OR('CSV抽出'!$C$5="",A2415&lt;='CSV抽出'!$C$5),OR('CSV抽出'!$C$6="すべて",'CSV抽出'!$C$6="",D2415='CSV抽出'!$C$6),OR('CSV抽出'!$C$7="",B2415&amp;""='CSV抽出'!$C$7&amp;"")),1,0))</f>
        <v/>
      </c>
      <c r="AI2415" s="20">
        <f>IF(AH2415=1,SUM($AH$5:AH2415),"")</f>
        <v/>
      </c>
      <c r="AJ2415" s="20">
        <f>IF(OR(S2415="",'報告書'!$C$4=""),"",IF(S2415&amp;""='報告書'!$C$4&amp;"",COUNTIF($S$5:S2415,'報告書'!$C$4),""))</f>
        <v/>
      </c>
      <c r="AK2415" s="20" t="n"/>
      <c r="AL2415" s="47" t="n"/>
      <c r="AM2415" s="47" t="n"/>
      <c r="AN2415" s="53" t="n"/>
      <c r="AO2415" s="47" t="n"/>
      <c r="AP2415" s="47" t="n"/>
      <c r="AQ2415" s="47" t="n"/>
      <c r="AR2415" s="47" t="n"/>
      <c r="AS2415" s="47" t="n"/>
      <c r="AT2415" s="47" t="n"/>
      <c r="AU2415" s="47" t="n"/>
      <c r="AV2415" s="47" t="n"/>
      <c r="AW2415" s="52" t="n"/>
    </row>
    <row r="2416">
      <c r="A2416" s="48" t="n"/>
      <c r="B2416" s="52" t="n"/>
      <c r="C2416" s="47">
        <f>IF(B2416="","",IFERROR(INDEX('隊員マスタ'!$B$5:$B$204,MATCH(B2416&amp;"",'隊員マスタ'!$F$5:$F$204,0)),IF(AK2416="","番号なし",AK2416)))</f>
        <v/>
      </c>
      <c r="D2416" s="47" t="n"/>
      <c r="E2416" s="47" t="n"/>
      <c r="F2416" s="47" t="n"/>
      <c r="G2416" s="47" t="n"/>
      <c r="H2416" s="47" t="n"/>
      <c r="I2416" s="47" t="n"/>
      <c r="J2416" s="47" t="n"/>
      <c r="K2416" s="47" t="n"/>
      <c r="L2416" s="47" t="n"/>
      <c r="M2416" s="47" t="n"/>
      <c r="N2416" s="47" t="n"/>
      <c r="O2416" s="47" t="n"/>
      <c r="P2416" s="47" t="n"/>
      <c r="Q2416" s="47" t="n"/>
      <c r="R2416" s="47" t="n"/>
      <c r="S2416" s="47" t="n"/>
      <c r="T2416" s="47" t="n"/>
      <c r="U2416" s="53" t="n"/>
      <c r="V2416" s="53" t="n"/>
      <c r="W2416" s="47" t="n"/>
      <c r="X2416" s="47" t="n"/>
      <c r="Y2416" s="47" t="n"/>
      <c r="Z2416" s="47" t="n"/>
      <c r="AA2416" s="47" t="n"/>
      <c r="AB2416" s="47" t="n"/>
      <c r="AC2416" s="47" t="n"/>
      <c r="AD2416" s="47" t="n"/>
      <c r="AE2416" s="47" t="n"/>
      <c r="AF2416" s="20">
        <f>IF(A2416="","",YEAR(EDATE(A2416,-3)))</f>
        <v/>
      </c>
      <c r="AG2416" s="20">
        <f>IF(OR(B2416="",'経歴簿'!$C$4=""),"",IF(B2416&amp;""='経歴簿'!$C$4&amp;"",MAX($AG$4:AG2415)+1,""))</f>
        <v/>
      </c>
      <c r="AH2416" s="20">
        <f>IF(A2416="",0,IF(AND(OR('CSV抽出'!$C$4="",A2416&gt;='CSV抽出'!$C$4),OR('CSV抽出'!$C$5="",A2416&lt;='CSV抽出'!$C$5),OR('CSV抽出'!$C$6="すべて",'CSV抽出'!$C$6="",D2416='CSV抽出'!$C$6),OR('CSV抽出'!$C$7="",B2416&amp;""='CSV抽出'!$C$7&amp;"")),1,0))</f>
        <v/>
      </c>
      <c r="AI2416" s="20">
        <f>IF(AH2416=1,SUM($AH$5:AH2416),"")</f>
        <v/>
      </c>
      <c r="AJ2416" s="20">
        <f>IF(OR(S2416="",'報告書'!$C$4=""),"",IF(S2416&amp;""='報告書'!$C$4&amp;"",COUNTIF($S$5:S2416,'報告書'!$C$4),""))</f>
        <v/>
      </c>
      <c r="AK2416" s="20" t="n"/>
      <c r="AL2416" s="47" t="n"/>
      <c r="AM2416" s="47" t="n"/>
      <c r="AN2416" s="53" t="n"/>
      <c r="AO2416" s="47" t="n"/>
      <c r="AP2416" s="47" t="n"/>
      <c r="AQ2416" s="47" t="n"/>
      <c r="AR2416" s="47" t="n"/>
      <c r="AS2416" s="47" t="n"/>
      <c r="AT2416" s="47" t="n"/>
      <c r="AU2416" s="47" t="n"/>
      <c r="AV2416" s="47" t="n"/>
      <c r="AW2416" s="52" t="n"/>
    </row>
    <row r="2417">
      <c r="A2417" s="48" t="n"/>
      <c r="B2417" s="52" t="n"/>
      <c r="C2417" s="47">
        <f>IF(B2417="","",IFERROR(INDEX('隊員マスタ'!$B$5:$B$204,MATCH(B2417&amp;"",'隊員マスタ'!$F$5:$F$204,0)),IF(AK2417="","番号なし",AK2417)))</f>
        <v/>
      </c>
      <c r="D2417" s="47" t="n"/>
      <c r="E2417" s="47" t="n"/>
      <c r="F2417" s="47" t="n"/>
      <c r="G2417" s="47" t="n"/>
      <c r="H2417" s="47" t="n"/>
      <c r="I2417" s="47" t="n"/>
      <c r="J2417" s="47" t="n"/>
      <c r="K2417" s="47" t="n"/>
      <c r="L2417" s="47" t="n"/>
      <c r="M2417" s="47" t="n"/>
      <c r="N2417" s="47" t="n"/>
      <c r="O2417" s="47" t="n"/>
      <c r="P2417" s="47" t="n"/>
      <c r="Q2417" s="47" t="n"/>
      <c r="R2417" s="47" t="n"/>
      <c r="S2417" s="47" t="n"/>
      <c r="T2417" s="47" t="n"/>
      <c r="U2417" s="53" t="n"/>
      <c r="V2417" s="53" t="n"/>
      <c r="W2417" s="47" t="n"/>
      <c r="X2417" s="47" t="n"/>
      <c r="Y2417" s="47" t="n"/>
      <c r="Z2417" s="47" t="n"/>
      <c r="AA2417" s="47" t="n"/>
      <c r="AB2417" s="47" t="n"/>
      <c r="AC2417" s="47" t="n"/>
      <c r="AD2417" s="47" t="n"/>
      <c r="AE2417" s="47" t="n"/>
      <c r="AF2417" s="20">
        <f>IF(A2417="","",YEAR(EDATE(A2417,-3)))</f>
        <v/>
      </c>
      <c r="AG2417" s="20">
        <f>IF(OR(B2417="",'経歴簿'!$C$4=""),"",IF(B2417&amp;""='経歴簿'!$C$4&amp;"",MAX($AG$4:AG2416)+1,""))</f>
        <v/>
      </c>
      <c r="AH2417" s="20">
        <f>IF(A2417="",0,IF(AND(OR('CSV抽出'!$C$4="",A2417&gt;='CSV抽出'!$C$4),OR('CSV抽出'!$C$5="",A2417&lt;='CSV抽出'!$C$5),OR('CSV抽出'!$C$6="すべて",'CSV抽出'!$C$6="",D2417='CSV抽出'!$C$6),OR('CSV抽出'!$C$7="",B2417&amp;""='CSV抽出'!$C$7&amp;"")),1,0))</f>
        <v/>
      </c>
      <c r="AI2417" s="20">
        <f>IF(AH2417=1,SUM($AH$5:AH2417),"")</f>
        <v/>
      </c>
      <c r="AJ2417" s="20">
        <f>IF(OR(S2417="",'報告書'!$C$4=""),"",IF(S2417&amp;""='報告書'!$C$4&amp;"",COUNTIF($S$5:S2417,'報告書'!$C$4),""))</f>
        <v/>
      </c>
      <c r="AK2417" s="20" t="n"/>
      <c r="AL2417" s="47" t="n"/>
      <c r="AM2417" s="47" t="n"/>
      <c r="AN2417" s="53" t="n"/>
      <c r="AO2417" s="47" t="n"/>
      <c r="AP2417" s="47" t="n"/>
      <c r="AQ2417" s="47" t="n"/>
      <c r="AR2417" s="47" t="n"/>
      <c r="AS2417" s="47" t="n"/>
      <c r="AT2417" s="47" t="n"/>
      <c r="AU2417" s="47" t="n"/>
      <c r="AV2417" s="47" t="n"/>
      <c r="AW2417" s="52" t="n"/>
    </row>
    <row r="2418">
      <c r="A2418" s="48" t="n"/>
      <c r="B2418" s="52" t="n"/>
      <c r="C2418" s="47">
        <f>IF(B2418="","",IFERROR(INDEX('隊員マスタ'!$B$5:$B$204,MATCH(B2418&amp;"",'隊員マスタ'!$F$5:$F$204,0)),IF(AK2418="","番号なし",AK2418)))</f>
        <v/>
      </c>
      <c r="D2418" s="47" t="n"/>
      <c r="E2418" s="47" t="n"/>
      <c r="F2418" s="47" t="n"/>
      <c r="G2418" s="47" t="n"/>
      <c r="H2418" s="47" t="n"/>
      <c r="I2418" s="47" t="n"/>
      <c r="J2418" s="47" t="n"/>
      <c r="K2418" s="47" t="n"/>
      <c r="L2418" s="47" t="n"/>
      <c r="M2418" s="47" t="n"/>
      <c r="N2418" s="47" t="n"/>
      <c r="O2418" s="47" t="n"/>
      <c r="P2418" s="47" t="n"/>
      <c r="Q2418" s="47" t="n"/>
      <c r="R2418" s="47" t="n"/>
      <c r="S2418" s="47" t="n"/>
      <c r="T2418" s="47" t="n"/>
      <c r="U2418" s="53" t="n"/>
      <c r="V2418" s="53" t="n"/>
      <c r="W2418" s="47" t="n"/>
      <c r="X2418" s="47" t="n"/>
      <c r="Y2418" s="47" t="n"/>
      <c r="Z2418" s="47" t="n"/>
      <c r="AA2418" s="47" t="n"/>
      <c r="AB2418" s="47" t="n"/>
      <c r="AC2418" s="47" t="n"/>
      <c r="AD2418" s="47" t="n"/>
      <c r="AE2418" s="47" t="n"/>
      <c r="AF2418" s="20">
        <f>IF(A2418="","",YEAR(EDATE(A2418,-3)))</f>
        <v/>
      </c>
      <c r="AG2418" s="20">
        <f>IF(OR(B2418="",'経歴簿'!$C$4=""),"",IF(B2418&amp;""='経歴簿'!$C$4&amp;"",MAX($AG$4:AG2417)+1,""))</f>
        <v/>
      </c>
      <c r="AH2418" s="20">
        <f>IF(A2418="",0,IF(AND(OR('CSV抽出'!$C$4="",A2418&gt;='CSV抽出'!$C$4),OR('CSV抽出'!$C$5="",A2418&lt;='CSV抽出'!$C$5),OR('CSV抽出'!$C$6="すべて",'CSV抽出'!$C$6="",D2418='CSV抽出'!$C$6),OR('CSV抽出'!$C$7="",B2418&amp;""='CSV抽出'!$C$7&amp;"")),1,0))</f>
        <v/>
      </c>
      <c r="AI2418" s="20">
        <f>IF(AH2418=1,SUM($AH$5:AH2418),"")</f>
        <v/>
      </c>
      <c r="AJ2418" s="20">
        <f>IF(OR(S2418="",'報告書'!$C$4=""),"",IF(S2418&amp;""='報告書'!$C$4&amp;"",COUNTIF($S$5:S2418,'報告書'!$C$4),""))</f>
        <v/>
      </c>
      <c r="AK2418" s="20" t="n"/>
      <c r="AL2418" s="47" t="n"/>
      <c r="AM2418" s="47" t="n"/>
      <c r="AN2418" s="53" t="n"/>
      <c r="AO2418" s="47" t="n"/>
      <c r="AP2418" s="47" t="n"/>
      <c r="AQ2418" s="47" t="n"/>
      <c r="AR2418" s="47" t="n"/>
      <c r="AS2418" s="47" t="n"/>
      <c r="AT2418" s="47" t="n"/>
      <c r="AU2418" s="47" t="n"/>
      <c r="AV2418" s="47" t="n"/>
      <c r="AW2418" s="52" t="n"/>
    </row>
    <row r="2419">
      <c r="A2419" s="48" t="n"/>
      <c r="B2419" s="52" t="n"/>
      <c r="C2419" s="47">
        <f>IF(B2419="","",IFERROR(INDEX('隊員マスタ'!$B$5:$B$204,MATCH(B2419&amp;"",'隊員マスタ'!$F$5:$F$204,0)),IF(AK2419="","番号なし",AK2419)))</f>
        <v/>
      </c>
      <c r="D2419" s="47" t="n"/>
      <c r="E2419" s="47" t="n"/>
      <c r="F2419" s="47" t="n"/>
      <c r="G2419" s="47" t="n"/>
      <c r="H2419" s="47" t="n"/>
      <c r="I2419" s="47" t="n"/>
      <c r="J2419" s="47" t="n"/>
      <c r="K2419" s="47" t="n"/>
      <c r="L2419" s="47" t="n"/>
      <c r="M2419" s="47" t="n"/>
      <c r="N2419" s="47" t="n"/>
      <c r="O2419" s="47" t="n"/>
      <c r="P2419" s="47" t="n"/>
      <c r="Q2419" s="47" t="n"/>
      <c r="R2419" s="47" t="n"/>
      <c r="S2419" s="47" t="n"/>
      <c r="T2419" s="47" t="n"/>
      <c r="U2419" s="53" t="n"/>
      <c r="V2419" s="53" t="n"/>
      <c r="W2419" s="47" t="n"/>
      <c r="X2419" s="47" t="n"/>
      <c r="Y2419" s="47" t="n"/>
      <c r="Z2419" s="47" t="n"/>
      <c r="AA2419" s="47" t="n"/>
      <c r="AB2419" s="47" t="n"/>
      <c r="AC2419" s="47" t="n"/>
      <c r="AD2419" s="47" t="n"/>
      <c r="AE2419" s="47" t="n"/>
      <c r="AF2419" s="20">
        <f>IF(A2419="","",YEAR(EDATE(A2419,-3)))</f>
        <v/>
      </c>
      <c r="AG2419" s="20">
        <f>IF(OR(B2419="",'経歴簿'!$C$4=""),"",IF(B2419&amp;""='経歴簿'!$C$4&amp;"",MAX($AG$4:AG2418)+1,""))</f>
        <v/>
      </c>
      <c r="AH2419" s="20">
        <f>IF(A2419="",0,IF(AND(OR('CSV抽出'!$C$4="",A2419&gt;='CSV抽出'!$C$4),OR('CSV抽出'!$C$5="",A2419&lt;='CSV抽出'!$C$5),OR('CSV抽出'!$C$6="すべて",'CSV抽出'!$C$6="",D2419='CSV抽出'!$C$6),OR('CSV抽出'!$C$7="",B2419&amp;""='CSV抽出'!$C$7&amp;"")),1,0))</f>
        <v/>
      </c>
      <c r="AI2419" s="20">
        <f>IF(AH2419=1,SUM($AH$5:AH2419),"")</f>
        <v/>
      </c>
      <c r="AJ2419" s="20">
        <f>IF(OR(S2419="",'報告書'!$C$4=""),"",IF(S2419&amp;""='報告書'!$C$4&amp;"",COUNTIF($S$5:S2419,'報告書'!$C$4),""))</f>
        <v/>
      </c>
      <c r="AK2419" s="20" t="n"/>
      <c r="AL2419" s="47" t="n"/>
      <c r="AM2419" s="47" t="n"/>
      <c r="AN2419" s="53" t="n"/>
      <c r="AO2419" s="47" t="n"/>
      <c r="AP2419" s="47" t="n"/>
      <c r="AQ2419" s="47" t="n"/>
      <c r="AR2419" s="47" t="n"/>
      <c r="AS2419" s="47" t="n"/>
      <c r="AT2419" s="47" t="n"/>
      <c r="AU2419" s="47" t="n"/>
      <c r="AV2419" s="47" t="n"/>
      <c r="AW2419" s="52" t="n"/>
    </row>
    <row r="2420">
      <c r="A2420" s="48" t="n"/>
      <c r="B2420" s="52" t="n"/>
      <c r="C2420" s="47">
        <f>IF(B2420="","",IFERROR(INDEX('隊員マスタ'!$B$5:$B$204,MATCH(B2420&amp;"",'隊員マスタ'!$F$5:$F$204,0)),IF(AK2420="","番号なし",AK2420)))</f>
        <v/>
      </c>
      <c r="D2420" s="47" t="n"/>
      <c r="E2420" s="47" t="n"/>
      <c r="F2420" s="47" t="n"/>
      <c r="G2420" s="47" t="n"/>
      <c r="H2420" s="47" t="n"/>
      <c r="I2420" s="47" t="n"/>
      <c r="J2420" s="47" t="n"/>
      <c r="K2420" s="47" t="n"/>
      <c r="L2420" s="47" t="n"/>
      <c r="M2420" s="47" t="n"/>
      <c r="N2420" s="47" t="n"/>
      <c r="O2420" s="47" t="n"/>
      <c r="P2420" s="47" t="n"/>
      <c r="Q2420" s="47" t="n"/>
      <c r="R2420" s="47" t="n"/>
      <c r="S2420" s="47" t="n"/>
      <c r="T2420" s="47" t="n"/>
      <c r="U2420" s="53" t="n"/>
      <c r="V2420" s="53" t="n"/>
      <c r="W2420" s="47" t="n"/>
      <c r="X2420" s="47" t="n"/>
      <c r="Y2420" s="47" t="n"/>
      <c r="Z2420" s="47" t="n"/>
      <c r="AA2420" s="47" t="n"/>
      <c r="AB2420" s="47" t="n"/>
      <c r="AC2420" s="47" t="n"/>
      <c r="AD2420" s="47" t="n"/>
      <c r="AE2420" s="47" t="n"/>
      <c r="AF2420" s="20">
        <f>IF(A2420="","",YEAR(EDATE(A2420,-3)))</f>
        <v/>
      </c>
      <c r="AG2420" s="20">
        <f>IF(OR(B2420="",'経歴簿'!$C$4=""),"",IF(B2420&amp;""='経歴簿'!$C$4&amp;"",MAX($AG$4:AG2419)+1,""))</f>
        <v/>
      </c>
      <c r="AH2420" s="20">
        <f>IF(A2420="",0,IF(AND(OR('CSV抽出'!$C$4="",A2420&gt;='CSV抽出'!$C$4),OR('CSV抽出'!$C$5="",A2420&lt;='CSV抽出'!$C$5),OR('CSV抽出'!$C$6="すべて",'CSV抽出'!$C$6="",D2420='CSV抽出'!$C$6),OR('CSV抽出'!$C$7="",B2420&amp;""='CSV抽出'!$C$7&amp;"")),1,0))</f>
        <v/>
      </c>
      <c r="AI2420" s="20">
        <f>IF(AH2420=1,SUM($AH$5:AH2420),"")</f>
        <v/>
      </c>
      <c r="AJ2420" s="20">
        <f>IF(OR(S2420="",'報告書'!$C$4=""),"",IF(S2420&amp;""='報告書'!$C$4&amp;"",COUNTIF($S$5:S2420,'報告書'!$C$4),""))</f>
        <v/>
      </c>
      <c r="AK2420" s="20" t="n"/>
      <c r="AL2420" s="47" t="n"/>
      <c r="AM2420" s="47" t="n"/>
      <c r="AN2420" s="53" t="n"/>
      <c r="AO2420" s="47" t="n"/>
      <c r="AP2420" s="47" t="n"/>
      <c r="AQ2420" s="47" t="n"/>
      <c r="AR2420" s="47" t="n"/>
      <c r="AS2420" s="47" t="n"/>
      <c r="AT2420" s="47" t="n"/>
      <c r="AU2420" s="47" t="n"/>
      <c r="AV2420" s="47" t="n"/>
      <c r="AW2420" s="52" t="n"/>
    </row>
    <row r="2421">
      <c r="A2421" s="48" t="n"/>
      <c r="B2421" s="52" t="n"/>
      <c r="C2421" s="47">
        <f>IF(B2421="","",IFERROR(INDEX('隊員マスタ'!$B$5:$B$204,MATCH(B2421&amp;"",'隊員マスタ'!$F$5:$F$204,0)),IF(AK2421="","番号なし",AK2421)))</f>
        <v/>
      </c>
      <c r="D2421" s="47" t="n"/>
      <c r="E2421" s="47" t="n"/>
      <c r="F2421" s="47" t="n"/>
      <c r="G2421" s="47" t="n"/>
      <c r="H2421" s="47" t="n"/>
      <c r="I2421" s="47" t="n"/>
      <c r="J2421" s="47" t="n"/>
      <c r="K2421" s="47" t="n"/>
      <c r="L2421" s="47" t="n"/>
      <c r="M2421" s="47" t="n"/>
      <c r="N2421" s="47" t="n"/>
      <c r="O2421" s="47" t="n"/>
      <c r="P2421" s="47" t="n"/>
      <c r="Q2421" s="47" t="n"/>
      <c r="R2421" s="47" t="n"/>
      <c r="S2421" s="47" t="n"/>
      <c r="T2421" s="47" t="n"/>
      <c r="U2421" s="53" t="n"/>
      <c r="V2421" s="53" t="n"/>
      <c r="W2421" s="47" t="n"/>
      <c r="X2421" s="47" t="n"/>
      <c r="Y2421" s="47" t="n"/>
      <c r="Z2421" s="47" t="n"/>
      <c r="AA2421" s="47" t="n"/>
      <c r="AB2421" s="47" t="n"/>
      <c r="AC2421" s="47" t="n"/>
      <c r="AD2421" s="47" t="n"/>
      <c r="AE2421" s="47" t="n"/>
      <c r="AF2421" s="20">
        <f>IF(A2421="","",YEAR(EDATE(A2421,-3)))</f>
        <v/>
      </c>
      <c r="AG2421" s="20">
        <f>IF(OR(B2421="",'経歴簿'!$C$4=""),"",IF(B2421&amp;""='経歴簿'!$C$4&amp;"",MAX($AG$4:AG2420)+1,""))</f>
        <v/>
      </c>
      <c r="AH2421" s="20">
        <f>IF(A2421="",0,IF(AND(OR('CSV抽出'!$C$4="",A2421&gt;='CSV抽出'!$C$4),OR('CSV抽出'!$C$5="",A2421&lt;='CSV抽出'!$C$5),OR('CSV抽出'!$C$6="すべて",'CSV抽出'!$C$6="",D2421='CSV抽出'!$C$6),OR('CSV抽出'!$C$7="",B2421&amp;""='CSV抽出'!$C$7&amp;"")),1,0))</f>
        <v/>
      </c>
      <c r="AI2421" s="20">
        <f>IF(AH2421=1,SUM($AH$5:AH2421),"")</f>
        <v/>
      </c>
      <c r="AJ2421" s="20">
        <f>IF(OR(S2421="",'報告書'!$C$4=""),"",IF(S2421&amp;""='報告書'!$C$4&amp;"",COUNTIF($S$5:S2421,'報告書'!$C$4),""))</f>
        <v/>
      </c>
      <c r="AK2421" s="20" t="n"/>
      <c r="AL2421" s="47" t="n"/>
      <c r="AM2421" s="47" t="n"/>
      <c r="AN2421" s="53" t="n"/>
      <c r="AO2421" s="47" t="n"/>
      <c r="AP2421" s="47" t="n"/>
      <c r="AQ2421" s="47" t="n"/>
      <c r="AR2421" s="47" t="n"/>
      <c r="AS2421" s="47" t="n"/>
      <c r="AT2421" s="47" t="n"/>
      <c r="AU2421" s="47" t="n"/>
      <c r="AV2421" s="47" t="n"/>
      <c r="AW2421" s="52" t="n"/>
    </row>
    <row r="2422">
      <c r="A2422" s="48" t="n"/>
      <c r="B2422" s="52" t="n"/>
      <c r="C2422" s="47">
        <f>IF(B2422="","",IFERROR(INDEX('隊員マスタ'!$B$5:$B$204,MATCH(B2422&amp;"",'隊員マスタ'!$F$5:$F$204,0)),IF(AK2422="","番号なし",AK2422)))</f>
        <v/>
      </c>
      <c r="D2422" s="47" t="n"/>
      <c r="E2422" s="47" t="n"/>
      <c r="F2422" s="47" t="n"/>
      <c r="G2422" s="47" t="n"/>
      <c r="H2422" s="47" t="n"/>
      <c r="I2422" s="47" t="n"/>
      <c r="J2422" s="47" t="n"/>
      <c r="K2422" s="47" t="n"/>
      <c r="L2422" s="47" t="n"/>
      <c r="M2422" s="47" t="n"/>
      <c r="N2422" s="47" t="n"/>
      <c r="O2422" s="47" t="n"/>
      <c r="P2422" s="47" t="n"/>
      <c r="Q2422" s="47" t="n"/>
      <c r="R2422" s="47" t="n"/>
      <c r="S2422" s="47" t="n"/>
      <c r="T2422" s="47" t="n"/>
      <c r="U2422" s="53" t="n"/>
      <c r="V2422" s="53" t="n"/>
      <c r="W2422" s="47" t="n"/>
      <c r="X2422" s="47" t="n"/>
      <c r="Y2422" s="47" t="n"/>
      <c r="Z2422" s="47" t="n"/>
      <c r="AA2422" s="47" t="n"/>
      <c r="AB2422" s="47" t="n"/>
      <c r="AC2422" s="47" t="n"/>
      <c r="AD2422" s="47" t="n"/>
      <c r="AE2422" s="47" t="n"/>
      <c r="AF2422" s="20">
        <f>IF(A2422="","",YEAR(EDATE(A2422,-3)))</f>
        <v/>
      </c>
      <c r="AG2422" s="20">
        <f>IF(OR(B2422="",'経歴簿'!$C$4=""),"",IF(B2422&amp;""='経歴簿'!$C$4&amp;"",MAX($AG$4:AG2421)+1,""))</f>
        <v/>
      </c>
      <c r="AH2422" s="20">
        <f>IF(A2422="",0,IF(AND(OR('CSV抽出'!$C$4="",A2422&gt;='CSV抽出'!$C$4),OR('CSV抽出'!$C$5="",A2422&lt;='CSV抽出'!$C$5),OR('CSV抽出'!$C$6="すべて",'CSV抽出'!$C$6="",D2422='CSV抽出'!$C$6),OR('CSV抽出'!$C$7="",B2422&amp;""='CSV抽出'!$C$7&amp;"")),1,0))</f>
        <v/>
      </c>
      <c r="AI2422" s="20">
        <f>IF(AH2422=1,SUM($AH$5:AH2422),"")</f>
        <v/>
      </c>
      <c r="AJ2422" s="20">
        <f>IF(OR(S2422="",'報告書'!$C$4=""),"",IF(S2422&amp;""='報告書'!$C$4&amp;"",COUNTIF($S$5:S2422,'報告書'!$C$4),""))</f>
        <v/>
      </c>
      <c r="AK2422" s="20" t="n"/>
      <c r="AL2422" s="47" t="n"/>
      <c r="AM2422" s="47" t="n"/>
      <c r="AN2422" s="53" t="n"/>
      <c r="AO2422" s="47" t="n"/>
      <c r="AP2422" s="47" t="n"/>
      <c r="AQ2422" s="47" t="n"/>
      <c r="AR2422" s="47" t="n"/>
      <c r="AS2422" s="47" t="n"/>
      <c r="AT2422" s="47" t="n"/>
      <c r="AU2422" s="47" t="n"/>
      <c r="AV2422" s="47" t="n"/>
      <c r="AW2422" s="52" t="n"/>
    </row>
    <row r="2423">
      <c r="A2423" s="48" t="n"/>
      <c r="B2423" s="52" t="n"/>
      <c r="C2423" s="47">
        <f>IF(B2423="","",IFERROR(INDEX('隊員マスタ'!$B$5:$B$204,MATCH(B2423&amp;"",'隊員マスタ'!$F$5:$F$204,0)),IF(AK2423="","番号なし",AK2423)))</f>
        <v/>
      </c>
      <c r="D2423" s="47" t="n"/>
      <c r="E2423" s="47" t="n"/>
      <c r="F2423" s="47" t="n"/>
      <c r="G2423" s="47" t="n"/>
      <c r="H2423" s="47" t="n"/>
      <c r="I2423" s="47" t="n"/>
      <c r="J2423" s="47" t="n"/>
      <c r="K2423" s="47" t="n"/>
      <c r="L2423" s="47" t="n"/>
      <c r="M2423" s="47" t="n"/>
      <c r="N2423" s="47" t="n"/>
      <c r="O2423" s="47" t="n"/>
      <c r="P2423" s="47" t="n"/>
      <c r="Q2423" s="47" t="n"/>
      <c r="R2423" s="47" t="n"/>
      <c r="S2423" s="47" t="n"/>
      <c r="T2423" s="47" t="n"/>
      <c r="U2423" s="53" t="n"/>
      <c r="V2423" s="53" t="n"/>
      <c r="W2423" s="47" t="n"/>
      <c r="X2423" s="47" t="n"/>
      <c r="Y2423" s="47" t="n"/>
      <c r="Z2423" s="47" t="n"/>
      <c r="AA2423" s="47" t="n"/>
      <c r="AB2423" s="47" t="n"/>
      <c r="AC2423" s="47" t="n"/>
      <c r="AD2423" s="47" t="n"/>
      <c r="AE2423" s="47" t="n"/>
      <c r="AF2423" s="20">
        <f>IF(A2423="","",YEAR(EDATE(A2423,-3)))</f>
        <v/>
      </c>
      <c r="AG2423" s="20">
        <f>IF(OR(B2423="",'経歴簿'!$C$4=""),"",IF(B2423&amp;""='経歴簿'!$C$4&amp;"",MAX($AG$4:AG2422)+1,""))</f>
        <v/>
      </c>
      <c r="AH2423" s="20">
        <f>IF(A2423="",0,IF(AND(OR('CSV抽出'!$C$4="",A2423&gt;='CSV抽出'!$C$4),OR('CSV抽出'!$C$5="",A2423&lt;='CSV抽出'!$C$5),OR('CSV抽出'!$C$6="すべて",'CSV抽出'!$C$6="",D2423='CSV抽出'!$C$6),OR('CSV抽出'!$C$7="",B2423&amp;""='CSV抽出'!$C$7&amp;"")),1,0))</f>
        <v/>
      </c>
      <c r="AI2423" s="20">
        <f>IF(AH2423=1,SUM($AH$5:AH2423),"")</f>
        <v/>
      </c>
      <c r="AJ2423" s="20">
        <f>IF(OR(S2423="",'報告書'!$C$4=""),"",IF(S2423&amp;""='報告書'!$C$4&amp;"",COUNTIF($S$5:S2423,'報告書'!$C$4),""))</f>
        <v/>
      </c>
      <c r="AK2423" s="20" t="n"/>
      <c r="AL2423" s="47" t="n"/>
      <c r="AM2423" s="47" t="n"/>
      <c r="AN2423" s="53" t="n"/>
      <c r="AO2423" s="47" t="n"/>
      <c r="AP2423" s="47" t="n"/>
      <c r="AQ2423" s="47" t="n"/>
      <c r="AR2423" s="47" t="n"/>
      <c r="AS2423" s="47" t="n"/>
      <c r="AT2423" s="47" t="n"/>
      <c r="AU2423" s="47" t="n"/>
      <c r="AV2423" s="47" t="n"/>
      <c r="AW2423" s="52" t="n"/>
    </row>
    <row r="2424">
      <c r="A2424" s="48" t="n"/>
      <c r="B2424" s="52" t="n"/>
      <c r="C2424" s="47">
        <f>IF(B2424="","",IFERROR(INDEX('隊員マスタ'!$B$5:$B$204,MATCH(B2424&amp;"",'隊員マスタ'!$F$5:$F$204,0)),IF(AK2424="","番号なし",AK2424)))</f>
        <v/>
      </c>
      <c r="D2424" s="47" t="n"/>
      <c r="E2424" s="47" t="n"/>
      <c r="F2424" s="47" t="n"/>
      <c r="G2424" s="47" t="n"/>
      <c r="H2424" s="47" t="n"/>
      <c r="I2424" s="47" t="n"/>
      <c r="J2424" s="47" t="n"/>
      <c r="K2424" s="47" t="n"/>
      <c r="L2424" s="47" t="n"/>
      <c r="M2424" s="47" t="n"/>
      <c r="N2424" s="47" t="n"/>
      <c r="O2424" s="47" t="n"/>
      <c r="P2424" s="47" t="n"/>
      <c r="Q2424" s="47" t="n"/>
      <c r="R2424" s="47" t="n"/>
      <c r="S2424" s="47" t="n"/>
      <c r="T2424" s="47" t="n"/>
      <c r="U2424" s="53" t="n"/>
      <c r="V2424" s="53" t="n"/>
      <c r="W2424" s="47" t="n"/>
      <c r="X2424" s="47" t="n"/>
      <c r="Y2424" s="47" t="n"/>
      <c r="Z2424" s="47" t="n"/>
      <c r="AA2424" s="47" t="n"/>
      <c r="AB2424" s="47" t="n"/>
      <c r="AC2424" s="47" t="n"/>
      <c r="AD2424" s="47" t="n"/>
      <c r="AE2424" s="47" t="n"/>
      <c r="AF2424" s="20">
        <f>IF(A2424="","",YEAR(EDATE(A2424,-3)))</f>
        <v/>
      </c>
      <c r="AG2424" s="20">
        <f>IF(OR(B2424="",'経歴簿'!$C$4=""),"",IF(B2424&amp;""='経歴簿'!$C$4&amp;"",MAX($AG$4:AG2423)+1,""))</f>
        <v/>
      </c>
      <c r="AH2424" s="20">
        <f>IF(A2424="",0,IF(AND(OR('CSV抽出'!$C$4="",A2424&gt;='CSV抽出'!$C$4),OR('CSV抽出'!$C$5="",A2424&lt;='CSV抽出'!$C$5),OR('CSV抽出'!$C$6="すべて",'CSV抽出'!$C$6="",D2424='CSV抽出'!$C$6),OR('CSV抽出'!$C$7="",B2424&amp;""='CSV抽出'!$C$7&amp;"")),1,0))</f>
        <v/>
      </c>
      <c r="AI2424" s="20">
        <f>IF(AH2424=1,SUM($AH$5:AH2424),"")</f>
        <v/>
      </c>
      <c r="AJ2424" s="20">
        <f>IF(OR(S2424="",'報告書'!$C$4=""),"",IF(S2424&amp;""='報告書'!$C$4&amp;"",COUNTIF($S$5:S2424,'報告書'!$C$4),""))</f>
        <v/>
      </c>
      <c r="AK2424" s="20" t="n"/>
      <c r="AL2424" s="47" t="n"/>
      <c r="AM2424" s="47" t="n"/>
      <c r="AN2424" s="53" t="n"/>
      <c r="AO2424" s="47" t="n"/>
      <c r="AP2424" s="47" t="n"/>
      <c r="AQ2424" s="47" t="n"/>
      <c r="AR2424" s="47" t="n"/>
      <c r="AS2424" s="47" t="n"/>
      <c r="AT2424" s="47" t="n"/>
      <c r="AU2424" s="47" t="n"/>
      <c r="AV2424" s="47" t="n"/>
      <c r="AW2424" s="52" t="n"/>
    </row>
    <row r="2425">
      <c r="A2425" s="48" t="n"/>
      <c r="B2425" s="52" t="n"/>
      <c r="C2425" s="47">
        <f>IF(B2425="","",IFERROR(INDEX('隊員マスタ'!$B$5:$B$204,MATCH(B2425&amp;"",'隊員マスタ'!$F$5:$F$204,0)),IF(AK2425="","番号なし",AK2425)))</f>
        <v/>
      </c>
      <c r="D2425" s="47" t="n"/>
      <c r="E2425" s="47" t="n"/>
      <c r="F2425" s="47" t="n"/>
      <c r="G2425" s="47" t="n"/>
      <c r="H2425" s="47" t="n"/>
      <c r="I2425" s="47" t="n"/>
      <c r="J2425" s="47" t="n"/>
      <c r="K2425" s="47" t="n"/>
      <c r="L2425" s="47" t="n"/>
      <c r="M2425" s="47" t="n"/>
      <c r="N2425" s="47" t="n"/>
      <c r="O2425" s="47" t="n"/>
      <c r="P2425" s="47" t="n"/>
      <c r="Q2425" s="47" t="n"/>
      <c r="R2425" s="47" t="n"/>
      <c r="S2425" s="47" t="n"/>
      <c r="T2425" s="47" t="n"/>
      <c r="U2425" s="53" t="n"/>
      <c r="V2425" s="53" t="n"/>
      <c r="W2425" s="47" t="n"/>
      <c r="X2425" s="47" t="n"/>
      <c r="Y2425" s="47" t="n"/>
      <c r="Z2425" s="47" t="n"/>
      <c r="AA2425" s="47" t="n"/>
      <c r="AB2425" s="47" t="n"/>
      <c r="AC2425" s="47" t="n"/>
      <c r="AD2425" s="47" t="n"/>
      <c r="AE2425" s="47" t="n"/>
      <c r="AF2425" s="20">
        <f>IF(A2425="","",YEAR(EDATE(A2425,-3)))</f>
        <v/>
      </c>
      <c r="AG2425" s="20">
        <f>IF(OR(B2425="",'経歴簿'!$C$4=""),"",IF(B2425&amp;""='経歴簿'!$C$4&amp;"",MAX($AG$4:AG2424)+1,""))</f>
        <v/>
      </c>
      <c r="AH2425" s="20">
        <f>IF(A2425="",0,IF(AND(OR('CSV抽出'!$C$4="",A2425&gt;='CSV抽出'!$C$4),OR('CSV抽出'!$C$5="",A2425&lt;='CSV抽出'!$C$5),OR('CSV抽出'!$C$6="すべて",'CSV抽出'!$C$6="",D2425='CSV抽出'!$C$6),OR('CSV抽出'!$C$7="",B2425&amp;""='CSV抽出'!$C$7&amp;"")),1,0))</f>
        <v/>
      </c>
      <c r="AI2425" s="20">
        <f>IF(AH2425=1,SUM($AH$5:AH2425),"")</f>
        <v/>
      </c>
      <c r="AJ2425" s="20">
        <f>IF(OR(S2425="",'報告書'!$C$4=""),"",IF(S2425&amp;""='報告書'!$C$4&amp;"",COUNTIF($S$5:S2425,'報告書'!$C$4),""))</f>
        <v/>
      </c>
      <c r="AK2425" s="20" t="n"/>
      <c r="AL2425" s="47" t="n"/>
      <c r="AM2425" s="47" t="n"/>
      <c r="AN2425" s="53" t="n"/>
      <c r="AO2425" s="47" t="n"/>
      <c r="AP2425" s="47" t="n"/>
      <c r="AQ2425" s="47" t="n"/>
      <c r="AR2425" s="47" t="n"/>
      <c r="AS2425" s="47" t="n"/>
      <c r="AT2425" s="47" t="n"/>
      <c r="AU2425" s="47" t="n"/>
      <c r="AV2425" s="47" t="n"/>
      <c r="AW2425" s="52" t="n"/>
    </row>
    <row r="2426">
      <c r="A2426" s="48" t="n"/>
      <c r="B2426" s="52" t="n"/>
      <c r="C2426" s="47">
        <f>IF(B2426="","",IFERROR(INDEX('隊員マスタ'!$B$5:$B$204,MATCH(B2426&amp;"",'隊員マスタ'!$F$5:$F$204,0)),IF(AK2426="","番号なし",AK2426)))</f>
        <v/>
      </c>
      <c r="D2426" s="47" t="n"/>
      <c r="E2426" s="47" t="n"/>
      <c r="F2426" s="47" t="n"/>
      <c r="G2426" s="47" t="n"/>
      <c r="H2426" s="47" t="n"/>
      <c r="I2426" s="47" t="n"/>
      <c r="J2426" s="47" t="n"/>
      <c r="K2426" s="47" t="n"/>
      <c r="L2426" s="47" t="n"/>
      <c r="M2426" s="47" t="n"/>
      <c r="N2426" s="47" t="n"/>
      <c r="O2426" s="47" t="n"/>
      <c r="P2426" s="47" t="n"/>
      <c r="Q2426" s="47" t="n"/>
      <c r="R2426" s="47" t="n"/>
      <c r="S2426" s="47" t="n"/>
      <c r="T2426" s="47" t="n"/>
      <c r="U2426" s="53" t="n"/>
      <c r="V2426" s="53" t="n"/>
      <c r="W2426" s="47" t="n"/>
      <c r="X2426" s="47" t="n"/>
      <c r="Y2426" s="47" t="n"/>
      <c r="Z2426" s="47" t="n"/>
      <c r="AA2426" s="47" t="n"/>
      <c r="AB2426" s="47" t="n"/>
      <c r="AC2426" s="47" t="n"/>
      <c r="AD2426" s="47" t="n"/>
      <c r="AE2426" s="47" t="n"/>
      <c r="AF2426" s="20">
        <f>IF(A2426="","",YEAR(EDATE(A2426,-3)))</f>
        <v/>
      </c>
      <c r="AG2426" s="20">
        <f>IF(OR(B2426="",'経歴簿'!$C$4=""),"",IF(B2426&amp;""='経歴簿'!$C$4&amp;"",MAX($AG$4:AG2425)+1,""))</f>
        <v/>
      </c>
      <c r="AH2426" s="20">
        <f>IF(A2426="",0,IF(AND(OR('CSV抽出'!$C$4="",A2426&gt;='CSV抽出'!$C$4),OR('CSV抽出'!$C$5="",A2426&lt;='CSV抽出'!$C$5),OR('CSV抽出'!$C$6="すべて",'CSV抽出'!$C$6="",D2426='CSV抽出'!$C$6),OR('CSV抽出'!$C$7="",B2426&amp;""='CSV抽出'!$C$7&amp;"")),1,0))</f>
        <v/>
      </c>
      <c r="AI2426" s="20">
        <f>IF(AH2426=1,SUM($AH$5:AH2426),"")</f>
        <v/>
      </c>
      <c r="AJ2426" s="20">
        <f>IF(OR(S2426="",'報告書'!$C$4=""),"",IF(S2426&amp;""='報告書'!$C$4&amp;"",COUNTIF($S$5:S2426,'報告書'!$C$4),""))</f>
        <v/>
      </c>
      <c r="AK2426" s="20" t="n"/>
      <c r="AL2426" s="47" t="n"/>
      <c r="AM2426" s="47" t="n"/>
      <c r="AN2426" s="53" t="n"/>
      <c r="AO2426" s="47" t="n"/>
      <c r="AP2426" s="47" t="n"/>
      <c r="AQ2426" s="47" t="n"/>
      <c r="AR2426" s="47" t="n"/>
      <c r="AS2426" s="47" t="n"/>
      <c r="AT2426" s="47" t="n"/>
      <c r="AU2426" s="47" t="n"/>
      <c r="AV2426" s="47" t="n"/>
      <c r="AW2426" s="52" t="n"/>
    </row>
    <row r="2427">
      <c r="A2427" s="48" t="n"/>
      <c r="B2427" s="52" t="n"/>
      <c r="C2427" s="47">
        <f>IF(B2427="","",IFERROR(INDEX('隊員マスタ'!$B$5:$B$204,MATCH(B2427&amp;"",'隊員マスタ'!$F$5:$F$204,0)),IF(AK2427="","番号なし",AK2427)))</f>
        <v/>
      </c>
      <c r="D2427" s="47" t="n"/>
      <c r="E2427" s="47" t="n"/>
      <c r="F2427" s="47" t="n"/>
      <c r="G2427" s="47" t="n"/>
      <c r="H2427" s="47" t="n"/>
      <c r="I2427" s="47" t="n"/>
      <c r="J2427" s="47" t="n"/>
      <c r="K2427" s="47" t="n"/>
      <c r="L2427" s="47" t="n"/>
      <c r="M2427" s="47" t="n"/>
      <c r="N2427" s="47" t="n"/>
      <c r="O2427" s="47" t="n"/>
      <c r="P2427" s="47" t="n"/>
      <c r="Q2427" s="47" t="n"/>
      <c r="R2427" s="47" t="n"/>
      <c r="S2427" s="47" t="n"/>
      <c r="T2427" s="47" t="n"/>
      <c r="U2427" s="53" t="n"/>
      <c r="V2427" s="53" t="n"/>
      <c r="W2427" s="47" t="n"/>
      <c r="X2427" s="47" t="n"/>
      <c r="Y2427" s="47" t="n"/>
      <c r="Z2427" s="47" t="n"/>
      <c r="AA2427" s="47" t="n"/>
      <c r="AB2427" s="47" t="n"/>
      <c r="AC2427" s="47" t="n"/>
      <c r="AD2427" s="47" t="n"/>
      <c r="AE2427" s="47" t="n"/>
      <c r="AF2427" s="20">
        <f>IF(A2427="","",YEAR(EDATE(A2427,-3)))</f>
        <v/>
      </c>
      <c r="AG2427" s="20">
        <f>IF(OR(B2427="",'経歴簿'!$C$4=""),"",IF(B2427&amp;""='経歴簿'!$C$4&amp;"",MAX($AG$4:AG2426)+1,""))</f>
        <v/>
      </c>
      <c r="AH2427" s="20">
        <f>IF(A2427="",0,IF(AND(OR('CSV抽出'!$C$4="",A2427&gt;='CSV抽出'!$C$4),OR('CSV抽出'!$C$5="",A2427&lt;='CSV抽出'!$C$5),OR('CSV抽出'!$C$6="すべて",'CSV抽出'!$C$6="",D2427='CSV抽出'!$C$6),OR('CSV抽出'!$C$7="",B2427&amp;""='CSV抽出'!$C$7&amp;"")),1,0))</f>
        <v/>
      </c>
      <c r="AI2427" s="20">
        <f>IF(AH2427=1,SUM($AH$5:AH2427),"")</f>
        <v/>
      </c>
      <c r="AJ2427" s="20">
        <f>IF(OR(S2427="",'報告書'!$C$4=""),"",IF(S2427&amp;""='報告書'!$C$4&amp;"",COUNTIF($S$5:S2427,'報告書'!$C$4),""))</f>
        <v/>
      </c>
      <c r="AK2427" s="20" t="n"/>
      <c r="AL2427" s="47" t="n"/>
      <c r="AM2427" s="47" t="n"/>
      <c r="AN2427" s="53" t="n"/>
      <c r="AO2427" s="47" t="n"/>
      <c r="AP2427" s="47" t="n"/>
      <c r="AQ2427" s="47" t="n"/>
      <c r="AR2427" s="47" t="n"/>
      <c r="AS2427" s="47" t="n"/>
      <c r="AT2427" s="47" t="n"/>
      <c r="AU2427" s="47" t="n"/>
      <c r="AV2427" s="47" t="n"/>
      <c r="AW2427" s="52" t="n"/>
    </row>
    <row r="2428">
      <c r="A2428" s="48" t="n"/>
      <c r="B2428" s="52" t="n"/>
      <c r="C2428" s="47">
        <f>IF(B2428="","",IFERROR(INDEX('隊員マスタ'!$B$5:$B$204,MATCH(B2428&amp;"",'隊員マスタ'!$F$5:$F$204,0)),IF(AK2428="","番号なし",AK2428)))</f>
        <v/>
      </c>
      <c r="D2428" s="47" t="n"/>
      <c r="E2428" s="47" t="n"/>
      <c r="F2428" s="47" t="n"/>
      <c r="G2428" s="47" t="n"/>
      <c r="H2428" s="47" t="n"/>
      <c r="I2428" s="47" t="n"/>
      <c r="J2428" s="47" t="n"/>
      <c r="K2428" s="47" t="n"/>
      <c r="L2428" s="47" t="n"/>
      <c r="M2428" s="47" t="n"/>
      <c r="N2428" s="47" t="n"/>
      <c r="O2428" s="47" t="n"/>
      <c r="P2428" s="47" t="n"/>
      <c r="Q2428" s="47" t="n"/>
      <c r="R2428" s="47" t="n"/>
      <c r="S2428" s="47" t="n"/>
      <c r="T2428" s="47" t="n"/>
      <c r="U2428" s="53" t="n"/>
      <c r="V2428" s="53" t="n"/>
      <c r="W2428" s="47" t="n"/>
      <c r="X2428" s="47" t="n"/>
      <c r="Y2428" s="47" t="n"/>
      <c r="Z2428" s="47" t="n"/>
      <c r="AA2428" s="47" t="n"/>
      <c r="AB2428" s="47" t="n"/>
      <c r="AC2428" s="47" t="n"/>
      <c r="AD2428" s="47" t="n"/>
      <c r="AE2428" s="47" t="n"/>
      <c r="AF2428" s="20">
        <f>IF(A2428="","",YEAR(EDATE(A2428,-3)))</f>
        <v/>
      </c>
      <c r="AG2428" s="20">
        <f>IF(OR(B2428="",'経歴簿'!$C$4=""),"",IF(B2428&amp;""='経歴簿'!$C$4&amp;"",MAX($AG$4:AG2427)+1,""))</f>
        <v/>
      </c>
      <c r="AH2428" s="20">
        <f>IF(A2428="",0,IF(AND(OR('CSV抽出'!$C$4="",A2428&gt;='CSV抽出'!$C$4),OR('CSV抽出'!$C$5="",A2428&lt;='CSV抽出'!$C$5),OR('CSV抽出'!$C$6="すべて",'CSV抽出'!$C$6="",D2428='CSV抽出'!$C$6),OR('CSV抽出'!$C$7="",B2428&amp;""='CSV抽出'!$C$7&amp;"")),1,0))</f>
        <v/>
      </c>
      <c r="AI2428" s="20">
        <f>IF(AH2428=1,SUM($AH$5:AH2428),"")</f>
        <v/>
      </c>
      <c r="AJ2428" s="20">
        <f>IF(OR(S2428="",'報告書'!$C$4=""),"",IF(S2428&amp;""='報告書'!$C$4&amp;"",COUNTIF($S$5:S2428,'報告書'!$C$4),""))</f>
        <v/>
      </c>
      <c r="AK2428" s="20" t="n"/>
      <c r="AL2428" s="47" t="n"/>
      <c r="AM2428" s="47" t="n"/>
      <c r="AN2428" s="53" t="n"/>
      <c r="AO2428" s="47" t="n"/>
      <c r="AP2428" s="47" t="n"/>
      <c r="AQ2428" s="47" t="n"/>
      <c r="AR2428" s="47" t="n"/>
      <c r="AS2428" s="47" t="n"/>
      <c r="AT2428" s="47" t="n"/>
      <c r="AU2428" s="47" t="n"/>
      <c r="AV2428" s="47" t="n"/>
      <c r="AW2428" s="52" t="n"/>
    </row>
    <row r="2429">
      <c r="A2429" s="48" t="n"/>
      <c r="B2429" s="52" t="n"/>
      <c r="C2429" s="47">
        <f>IF(B2429="","",IFERROR(INDEX('隊員マスタ'!$B$5:$B$204,MATCH(B2429&amp;"",'隊員マスタ'!$F$5:$F$204,0)),IF(AK2429="","番号なし",AK2429)))</f>
        <v/>
      </c>
      <c r="D2429" s="47" t="n"/>
      <c r="E2429" s="47" t="n"/>
      <c r="F2429" s="47" t="n"/>
      <c r="G2429" s="47" t="n"/>
      <c r="H2429" s="47" t="n"/>
      <c r="I2429" s="47" t="n"/>
      <c r="J2429" s="47" t="n"/>
      <c r="K2429" s="47" t="n"/>
      <c r="L2429" s="47" t="n"/>
      <c r="M2429" s="47" t="n"/>
      <c r="N2429" s="47" t="n"/>
      <c r="O2429" s="47" t="n"/>
      <c r="P2429" s="47" t="n"/>
      <c r="Q2429" s="47" t="n"/>
      <c r="R2429" s="47" t="n"/>
      <c r="S2429" s="47" t="n"/>
      <c r="T2429" s="47" t="n"/>
      <c r="U2429" s="53" t="n"/>
      <c r="V2429" s="53" t="n"/>
      <c r="W2429" s="47" t="n"/>
      <c r="X2429" s="47" t="n"/>
      <c r="Y2429" s="47" t="n"/>
      <c r="Z2429" s="47" t="n"/>
      <c r="AA2429" s="47" t="n"/>
      <c r="AB2429" s="47" t="n"/>
      <c r="AC2429" s="47" t="n"/>
      <c r="AD2429" s="47" t="n"/>
      <c r="AE2429" s="47" t="n"/>
      <c r="AF2429" s="20">
        <f>IF(A2429="","",YEAR(EDATE(A2429,-3)))</f>
        <v/>
      </c>
      <c r="AG2429" s="20">
        <f>IF(OR(B2429="",'経歴簿'!$C$4=""),"",IF(B2429&amp;""='経歴簿'!$C$4&amp;"",MAX($AG$4:AG2428)+1,""))</f>
        <v/>
      </c>
      <c r="AH2429" s="20">
        <f>IF(A2429="",0,IF(AND(OR('CSV抽出'!$C$4="",A2429&gt;='CSV抽出'!$C$4),OR('CSV抽出'!$C$5="",A2429&lt;='CSV抽出'!$C$5),OR('CSV抽出'!$C$6="すべて",'CSV抽出'!$C$6="",D2429='CSV抽出'!$C$6),OR('CSV抽出'!$C$7="",B2429&amp;""='CSV抽出'!$C$7&amp;"")),1,0))</f>
        <v/>
      </c>
      <c r="AI2429" s="20">
        <f>IF(AH2429=1,SUM($AH$5:AH2429),"")</f>
        <v/>
      </c>
      <c r="AJ2429" s="20">
        <f>IF(OR(S2429="",'報告書'!$C$4=""),"",IF(S2429&amp;""='報告書'!$C$4&amp;"",COUNTIF($S$5:S2429,'報告書'!$C$4),""))</f>
        <v/>
      </c>
      <c r="AK2429" s="20" t="n"/>
      <c r="AL2429" s="47" t="n"/>
      <c r="AM2429" s="47" t="n"/>
      <c r="AN2429" s="53" t="n"/>
      <c r="AO2429" s="47" t="n"/>
      <c r="AP2429" s="47" t="n"/>
      <c r="AQ2429" s="47" t="n"/>
      <c r="AR2429" s="47" t="n"/>
      <c r="AS2429" s="47" t="n"/>
      <c r="AT2429" s="47" t="n"/>
      <c r="AU2429" s="47" t="n"/>
      <c r="AV2429" s="47" t="n"/>
      <c r="AW2429" s="52" t="n"/>
    </row>
    <row r="2430">
      <c r="A2430" s="48" t="n"/>
      <c r="B2430" s="52" t="n"/>
      <c r="C2430" s="47">
        <f>IF(B2430="","",IFERROR(INDEX('隊員マスタ'!$B$5:$B$204,MATCH(B2430&amp;"",'隊員マスタ'!$F$5:$F$204,0)),IF(AK2430="","番号なし",AK2430)))</f>
        <v/>
      </c>
      <c r="D2430" s="47" t="n"/>
      <c r="E2430" s="47" t="n"/>
      <c r="F2430" s="47" t="n"/>
      <c r="G2430" s="47" t="n"/>
      <c r="H2430" s="47" t="n"/>
      <c r="I2430" s="47" t="n"/>
      <c r="J2430" s="47" t="n"/>
      <c r="K2430" s="47" t="n"/>
      <c r="L2430" s="47" t="n"/>
      <c r="M2430" s="47" t="n"/>
      <c r="N2430" s="47" t="n"/>
      <c r="O2430" s="47" t="n"/>
      <c r="P2430" s="47" t="n"/>
      <c r="Q2430" s="47" t="n"/>
      <c r="R2430" s="47" t="n"/>
      <c r="S2430" s="47" t="n"/>
      <c r="T2430" s="47" t="n"/>
      <c r="U2430" s="53" t="n"/>
      <c r="V2430" s="53" t="n"/>
      <c r="W2430" s="47" t="n"/>
      <c r="X2430" s="47" t="n"/>
      <c r="Y2430" s="47" t="n"/>
      <c r="Z2430" s="47" t="n"/>
      <c r="AA2430" s="47" t="n"/>
      <c r="AB2430" s="47" t="n"/>
      <c r="AC2430" s="47" t="n"/>
      <c r="AD2430" s="47" t="n"/>
      <c r="AE2430" s="47" t="n"/>
      <c r="AF2430" s="20">
        <f>IF(A2430="","",YEAR(EDATE(A2430,-3)))</f>
        <v/>
      </c>
      <c r="AG2430" s="20">
        <f>IF(OR(B2430="",'経歴簿'!$C$4=""),"",IF(B2430&amp;""='経歴簿'!$C$4&amp;"",MAX($AG$4:AG2429)+1,""))</f>
        <v/>
      </c>
      <c r="AH2430" s="20">
        <f>IF(A2430="",0,IF(AND(OR('CSV抽出'!$C$4="",A2430&gt;='CSV抽出'!$C$4),OR('CSV抽出'!$C$5="",A2430&lt;='CSV抽出'!$C$5),OR('CSV抽出'!$C$6="すべて",'CSV抽出'!$C$6="",D2430='CSV抽出'!$C$6),OR('CSV抽出'!$C$7="",B2430&amp;""='CSV抽出'!$C$7&amp;"")),1,0))</f>
        <v/>
      </c>
      <c r="AI2430" s="20">
        <f>IF(AH2430=1,SUM($AH$5:AH2430),"")</f>
        <v/>
      </c>
      <c r="AJ2430" s="20">
        <f>IF(OR(S2430="",'報告書'!$C$4=""),"",IF(S2430&amp;""='報告書'!$C$4&amp;"",COUNTIF($S$5:S2430,'報告書'!$C$4),""))</f>
        <v/>
      </c>
      <c r="AK2430" s="20" t="n"/>
      <c r="AL2430" s="47" t="n"/>
      <c r="AM2430" s="47" t="n"/>
      <c r="AN2430" s="53" t="n"/>
      <c r="AO2430" s="47" t="n"/>
      <c r="AP2430" s="47" t="n"/>
      <c r="AQ2430" s="47" t="n"/>
      <c r="AR2430" s="47" t="n"/>
      <c r="AS2430" s="47" t="n"/>
      <c r="AT2430" s="47" t="n"/>
      <c r="AU2430" s="47" t="n"/>
      <c r="AV2430" s="47" t="n"/>
      <c r="AW2430" s="52" t="n"/>
    </row>
    <row r="2431">
      <c r="A2431" s="48" t="n"/>
      <c r="B2431" s="52" t="n"/>
      <c r="C2431" s="47">
        <f>IF(B2431="","",IFERROR(INDEX('隊員マスタ'!$B$5:$B$204,MATCH(B2431&amp;"",'隊員マスタ'!$F$5:$F$204,0)),IF(AK2431="","番号なし",AK2431)))</f>
        <v/>
      </c>
      <c r="D2431" s="47" t="n"/>
      <c r="E2431" s="47" t="n"/>
      <c r="F2431" s="47" t="n"/>
      <c r="G2431" s="47" t="n"/>
      <c r="H2431" s="47" t="n"/>
      <c r="I2431" s="47" t="n"/>
      <c r="J2431" s="47" t="n"/>
      <c r="K2431" s="47" t="n"/>
      <c r="L2431" s="47" t="n"/>
      <c r="M2431" s="47" t="n"/>
      <c r="N2431" s="47" t="n"/>
      <c r="O2431" s="47" t="n"/>
      <c r="P2431" s="47" t="n"/>
      <c r="Q2431" s="47" t="n"/>
      <c r="R2431" s="47" t="n"/>
      <c r="S2431" s="47" t="n"/>
      <c r="T2431" s="47" t="n"/>
      <c r="U2431" s="53" t="n"/>
      <c r="V2431" s="53" t="n"/>
      <c r="W2431" s="47" t="n"/>
      <c r="X2431" s="47" t="n"/>
      <c r="Y2431" s="47" t="n"/>
      <c r="Z2431" s="47" t="n"/>
      <c r="AA2431" s="47" t="n"/>
      <c r="AB2431" s="47" t="n"/>
      <c r="AC2431" s="47" t="n"/>
      <c r="AD2431" s="47" t="n"/>
      <c r="AE2431" s="47" t="n"/>
      <c r="AF2431" s="20">
        <f>IF(A2431="","",YEAR(EDATE(A2431,-3)))</f>
        <v/>
      </c>
      <c r="AG2431" s="20">
        <f>IF(OR(B2431="",'経歴簿'!$C$4=""),"",IF(B2431&amp;""='経歴簿'!$C$4&amp;"",MAX($AG$4:AG2430)+1,""))</f>
        <v/>
      </c>
      <c r="AH2431" s="20">
        <f>IF(A2431="",0,IF(AND(OR('CSV抽出'!$C$4="",A2431&gt;='CSV抽出'!$C$4),OR('CSV抽出'!$C$5="",A2431&lt;='CSV抽出'!$C$5),OR('CSV抽出'!$C$6="すべて",'CSV抽出'!$C$6="",D2431='CSV抽出'!$C$6),OR('CSV抽出'!$C$7="",B2431&amp;""='CSV抽出'!$C$7&amp;"")),1,0))</f>
        <v/>
      </c>
      <c r="AI2431" s="20">
        <f>IF(AH2431=1,SUM($AH$5:AH2431),"")</f>
        <v/>
      </c>
      <c r="AJ2431" s="20">
        <f>IF(OR(S2431="",'報告書'!$C$4=""),"",IF(S2431&amp;""='報告書'!$C$4&amp;"",COUNTIF($S$5:S2431,'報告書'!$C$4),""))</f>
        <v/>
      </c>
      <c r="AK2431" s="20" t="n"/>
      <c r="AL2431" s="47" t="n"/>
      <c r="AM2431" s="47" t="n"/>
      <c r="AN2431" s="53" t="n"/>
      <c r="AO2431" s="47" t="n"/>
      <c r="AP2431" s="47" t="n"/>
      <c r="AQ2431" s="47" t="n"/>
      <c r="AR2431" s="47" t="n"/>
      <c r="AS2431" s="47" t="n"/>
      <c r="AT2431" s="47" t="n"/>
      <c r="AU2431" s="47" t="n"/>
      <c r="AV2431" s="47" t="n"/>
      <c r="AW2431" s="52" t="n"/>
    </row>
    <row r="2432">
      <c r="A2432" s="48" t="n"/>
      <c r="B2432" s="52" t="n"/>
      <c r="C2432" s="47">
        <f>IF(B2432="","",IFERROR(INDEX('隊員マスタ'!$B$5:$B$204,MATCH(B2432&amp;"",'隊員マスタ'!$F$5:$F$204,0)),IF(AK2432="","番号なし",AK2432)))</f>
        <v/>
      </c>
      <c r="D2432" s="47" t="n"/>
      <c r="E2432" s="47" t="n"/>
      <c r="F2432" s="47" t="n"/>
      <c r="G2432" s="47" t="n"/>
      <c r="H2432" s="47" t="n"/>
      <c r="I2432" s="47" t="n"/>
      <c r="J2432" s="47" t="n"/>
      <c r="K2432" s="47" t="n"/>
      <c r="L2432" s="47" t="n"/>
      <c r="M2432" s="47" t="n"/>
      <c r="N2432" s="47" t="n"/>
      <c r="O2432" s="47" t="n"/>
      <c r="P2432" s="47" t="n"/>
      <c r="Q2432" s="47" t="n"/>
      <c r="R2432" s="47" t="n"/>
      <c r="S2432" s="47" t="n"/>
      <c r="T2432" s="47" t="n"/>
      <c r="U2432" s="53" t="n"/>
      <c r="V2432" s="53" t="n"/>
      <c r="W2432" s="47" t="n"/>
      <c r="X2432" s="47" t="n"/>
      <c r="Y2432" s="47" t="n"/>
      <c r="Z2432" s="47" t="n"/>
      <c r="AA2432" s="47" t="n"/>
      <c r="AB2432" s="47" t="n"/>
      <c r="AC2432" s="47" t="n"/>
      <c r="AD2432" s="47" t="n"/>
      <c r="AE2432" s="47" t="n"/>
      <c r="AF2432" s="20">
        <f>IF(A2432="","",YEAR(EDATE(A2432,-3)))</f>
        <v/>
      </c>
      <c r="AG2432" s="20">
        <f>IF(OR(B2432="",'経歴簿'!$C$4=""),"",IF(B2432&amp;""='経歴簿'!$C$4&amp;"",MAX($AG$4:AG2431)+1,""))</f>
        <v/>
      </c>
      <c r="AH2432" s="20">
        <f>IF(A2432="",0,IF(AND(OR('CSV抽出'!$C$4="",A2432&gt;='CSV抽出'!$C$4),OR('CSV抽出'!$C$5="",A2432&lt;='CSV抽出'!$C$5),OR('CSV抽出'!$C$6="すべて",'CSV抽出'!$C$6="",D2432='CSV抽出'!$C$6),OR('CSV抽出'!$C$7="",B2432&amp;""='CSV抽出'!$C$7&amp;"")),1,0))</f>
        <v/>
      </c>
      <c r="AI2432" s="20">
        <f>IF(AH2432=1,SUM($AH$5:AH2432),"")</f>
        <v/>
      </c>
      <c r="AJ2432" s="20">
        <f>IF(OR(S2432="",'報告書'!$C$4=""),"",IF(S2432&amp;""='報告書'!$C$4&amp;"",COUNTIF($S$5:S2432,'報告書'!$C$4),""))</f>
        <v/>
      </c>
      <c r="AK2432" s="20" t="n"/>
      <c r="AL2432" s="47" t="n"/>
      <c r="AM2432" s="47" t="n"/>
      <c r="AN2432" s="53" t="n"/>
      <c r="AO2432" s="47" t="n"/>
      <c r="AP2432" s="47" t="n"/>
      <c r="AQ2432" s="47" t="n"/>
      <c r="AR2432" s="47" t="n"/>
      <c r="AS2432" s="47" t="n"/>
      <c r="AT2432" s="47" t="n"/>
      <c r="AU2432" s="47" t="n"/>
      <c r="AV2432" s="47" t="n"/>
      <c r="AW2432" s="52" t="n"/>
    </row>
    <row r="2433">
      <c r="A2433" s="48" t="n"/>
      <c r="B2433" s="52" t="n"/>
      <c r="C2433" s="47">
        <f>IF(B2433="","",IFERROR(INDEX('隊員マスタ'!$B$5:$B$204,MATCH(B2433&amp;"",'隊員マスタ'!$F$5:$F$204,0)),IF(AK2433="","番号なし",AK2433)))</f>
        <v/>
      </c>
      <c r="D2433" s="47" t="n"/>
      <c r="E2433" s="47" t="n"/>
      <c r="F2433" s="47" t="n"/>
      <c r="G2433" s="47" t="n"/>
      <c r="H2433" s="47" t="n"/>
      <c r="I2433" s="47" t="n"/>
      <c r="J2433" s="47" t="n"/>
      <c r="K2433" s="47" t="n"/>
      <c r="L2433" s="47" t="n"/>
      <c r="M2433" s="47" t="n"/>
      <c r="N2433" s="47" t="n"/>
      <c r="O2433" s="47" t="n"/>
      <c r="P2433" s="47" t="n"/>
      <c r="Q2433" s="47" t="n"/>
      <c r="R2433" s="47" t="n"/>
      <c r="S2433" s="47" t="n"/>
      <c r="T2433" s="47" t="n"/>
      <c r="U2433" s="53" t="n"/>
      <c r="V2433" s="53" t="n"/>
      <c r="W2433" s="47" t="n"/>
      <c r="X2433" s="47" t="n"/>
      <c r="Y2433" s="47" t="n"/>
      <c r="Z2433" s="47" t="n"/>
      <c r="AA2433" s="47" t="n"/>
      <c r="AB2433" s="47" t="n"/>
      <c r="AC2433" s="47" t="n"/>
      <c r="AD2433" s="47" t="n"/>
      <c r="AE2433" s="47" t="n"/>
      <c r="AF2433" s="20">
        <f>IF(A2433="","",YEAR(EDATE(A2433,-3)))</f>
        <v/>
      </c>
      <c r="AG2433" s="20">
        <f>IF(OR(B2433="",'経歴簿'!$C$4=""),"",IF(B2433&amp;""='経歴簿'!$C$4&amp;"",MAX($AG$4:AG2432)+1,""))</f>
        <v/>
      </c>
      <c r="AH2433" s="20">
        <f>IF(A2433="",0,IF(AND(OR('CSV抽出'!$C$4="",A2433&gt;='CSV抽出'!$C$4),OR('CSV抽出'!$C$5="",A2433&lt;='CSV抽出'!$C$5),OR('CSV抽出'!$C$6="すべて",'CSV抽出'!$C$6="",D2433='CSV抽出'!$C$6),OR('CSV抽出'!$C$7="",B2433&amp;""='CSV抽出'!$C$7&amp;"")),1,0))</f>
        <v/>
      </c>
      <c r="AI2433" s="20">
        <f>IF(AH2433=1,SUM($AH$5:AH2433),"")</f>
        <v/>
      </c>
      <c r="AJ2433" s="20">
        <f>IF(OR(S2433="",'報告書'!$C$4=""),"",IF(S2433&amp;""='報告書'!$C$4&amp;"",COUNTIF($S$5:S2433,'報告書'!$C$4),""))</f>
        <v/>
      </c>
      <c r="AK2433" s="20" t="n"/>
      <c r="AL2433" s="47" t="n"/>
      <c r="AM2433" s="47" t="n"/>
      <c r="AN2433" s="53" t="n"/>
      <c r="AO2433" s="47" t="n"/>
      <c r="AP2433" s="47" t="n"/>
      <c r="AQ2433" s="47" t="n"/>
      <c r="AR2433" s="47" t="n"/>
      <c r="AS2433" s="47" t="n"/>
      <c r="AT2433" s="47" t="n"/>
      <c r="AU2433" s="47" t="n"/>
      <c r="AV2433" s="47" t="n"/>
      <c r="AW2433" s="52" t="n"/>
    </row>
    <row r="2434">
      <c r="A2434" s="48" t="n"/>
      <c r="B2434" s="52" t="n"/>
      <c r="C2434" s="47">
        <f>IF(B2434="","",IFERROR(INDEX('隊員マスタ'!$B$5:$B$204,MATCH(B2434&amp;"",'隊員マスタ'!$F$5:$F$204,0)),IF(AK2434="","番号なし",AK2434)))</f>
        <v/>
      </c>
      <c r="D2434" s="47" t="n"/>
      <c r="E2434" s="47" t="n"/>
      <c r="F2434" s="47" t="n"/>
      <c r="G2434" s="47" t="n"/>
      <c r="H2434" s="47" t="n"/>
      <c r="I2434" s="47" t="n"/>
      <c r="J2434" s="47" t="n"/>
      <c r="K2434" s="47" t="n"/>
      <c r="L2434" s="47" t="n"/>
      <c r="M2434" s="47" t="n"/>
      <c r="N2434" s="47" t="n"/>
      <c r="O2434" s="47" t="n"/>
      <c r="P2434" s="47" t="n"/>
      <c r="Q2434" s="47" t="n"/>
      <c r="R2434" s="47" t="n"/>
      <c r="S2434" s="47" t="n"/>
      <c r="T2434" s="47" t="n"/>
      <c r="U2434" s="53" t="n"/>
      <c r="V2434" s="53" t="n"/>
      <c r="W2434" s="47" t="n"/>
      <c r="X2434" s="47" t="n"/>
      <c r="Y2434" s="47" t="n"/>
      <c r="Z2434" s="47" t="n"/>
      <c r="AA2434" s="47" t="n"/>
      <c r="AB2434" s="47" t="n"/>
      <c r="AC2434" s="47" t="n"/>
      <c r="AD2434" s="47" t="n"/>
      <c r="AE2434" s="47" t="n"/>
      <c r="AF2434" s="20">
        <f>IF(A2434="","",YEAR(EDATE(A2434,-3)))</f>
        <v/>
      </c>
      <c r="AG2434" s="20">
        <f>IF(OR(B2434="",'経歴簿'!$C$4=""),"",IF(B2434&amp;""='経歴簿'!$C$4&amp;"",MAX($AG$4:AG2433)+1,""))</f>
        <v/>
      </c>
      <c r="AH2434" s="20">
        <f>IF(A2434="",0,IF(AND(OR('CSV抽出'!$C$4="",A2434&gt;='CSV抽出'!$C$4),OR('CSV抽出'!$C$5="",A2434&lt;='CSV抽出'!$C$5),OR('CSV抽出'!$C$6="すべて",'CSV抽出'!$C$6="",D2434='CSV抽出'!$C$6),OR('CSV抽出'!$C$7="",B2434&amp;""='CSV抽出'!$C$7&amp;"")),1,0))</f>
        <v/>
      </c>
      <c r="AI2434" s="20">
        <f>IF(AH2434=1,SUM($AH$5:AH2434),"")</f>
        <v/>
      </c>
      <c r="AJ2434" s="20">
        <f>IF(OR(S2434="",'報告書'!$C$4=""),"",IF(S2434&amp;""='報告書'!$C$4&amp;"",COUNTIF($S$5:S2434,'報告書'!$C$4),""))</f>
        <v/>
      </c>
      <c r="AK2434" s="20" t="n"/>
      <c r="AL2434" s="47" t="n"/>
      <c r="AM2434" s="47" t="n"/>
      <c r="AN2434" s="53" t="n"/>
      <c r="AO2434" s="47" t="n"/>
      <c r="AP2434" s="47" t="n"/>
      <c r="AQ2434" s="47" t="n"/>
      <c r="AR2434" s="47" t="n"/>
      <c r="AS2434" s="47" t="n"/>
      <c r="AT2434" s="47" t="n"/>
      <c r="AU2434" s="47" t="n"/>
      <c r="AV2434" s="47" t="n"/>
      <c r="AW2434" s="52" t="n"/>
    </row>
    <row r="2435">
      <c r="A2435" s="48" t="n"/>
      <c r="B2435" s="52" t="n"/>
      <c r="C2435" s="47">
        <f>IF(B2435="","",IFERROR(INDEX('隊員マスタ'!$B$5:$B$204,MATCH(B2435&amp;"",'隊員マスタ'!$F$5:$F$204,0)),IF(AK2435="","番号なし",AK2435)))</f>
        <v/>
      </c>
      <c r="D2435" s="47" t="n"/>
      <c r="E2435" s="47" t="n"/>
      <c r="F2435" s="47" t="n"/>
      <c r="G2435" s="47" t="n"/>
      <c r="H2435" s="47" t="n"/>
      <c r="I2435" s="47" t="n"/>
      <c r="J2435" s="47" t="n"/>
      <c r="K2435" s="47" t="n"/>
      <c r="L2435" s="47" t="n"/>
      <c r="M2435" s="47" t="n"/>
      <c r="N2435" s="47" t="n"/>
      <c r="O2435" s="47" t="n"/>
      <c r="P2435" s="47" t="n"/>
      <c r="Q2435" s="47" t="n"/>
      <c r="R2435" s="47" t="n"/>
      <c r="S2435" s="47" t="n"/>
      <c r="T2435" s="47" t="n"/>
      <c r="U2435" s="53" t="n"/>
      <c r="V2435" s="53" t="n"/>
      <c r="W2435" s="47" t="n"/>
      <c r="X2435" s="47" t="n"/>
      <c r="Y2435" s="47" t="n"/>
      <c r="Z2435" s="47" t="n"/>
      <c r="AA2435" s="47" t="n"/>
      <c r="AB2435" s="47" t="n"/>
      <c r="AC2435" s="47" t="n"/>
      <c r="AD2435" s="47" t="n"/>
      <c r="AE2435" s="47" t="n"/>
      <c r="AF2435" s="20">
        <f>IF(A2435="","",YEAR(EDATE(A2435,-3)))</f>
        <v/>
      </c>
      <c r="AG2435" s="20">
        <f>IF(OR(B2435="",'経歴簿'!$C$4=""),"",IF(B2435&amp;""='経歴簿'!$C$4&amp;"",MAX($AG$4:AG2434)+1,""))</f>
        <v/>
      </c>
      <c r="AH2435" s="20">
        <f>IF(A2435="",0,IF(AND(OR('CSV抽出'!$C$4="",A2435&gt;='CSV抽出'!$C$4),OR('CSV抽出'!$C$5="",A2435&lt;='CSV抽出'!$C$5),OR('CSV抽出'!$C$6="すべて",'CSV抽出'!$C$6="",D2435='CSV抽出'!$C$6),OR('CSV抽出'!$C$7="",B2435&amp;""='CSV抽出'!$C$7&amp;"")),1,0))</f>
        <v/>
      </c>
      <c r="AI2435" s="20">
        <f>IF(AH2435=1,SUM($AH$5:AH2435),"")</f>
        <v/>
      </c>
      <c r="AJ2435" s="20">
        <f>IF(OR(S2435="",'報告書'!$C$4=""),"",IF(S2435&amp;""='報告書'!$C$4&amp;"",COUNTIF($S$5:S2435,'報告書'!$C$4),""))</f>
        <v/>
      </c>
      <c r="AK2435" s="20" t="n"/>
      <c r="AL2435" s="47" t="n"/>
      <c r="AM2435" s="47" t="n"/>
      <c r="AN2435" s="53" t="n"/>
      <c r="AO2435" s="47" t="n"/>
      <c r="AP2435" s="47" t="n"/>
      <c r="AQ2435" s="47" t="n"/>
      <c r="AR2435" s="47" t="n"/>
      <c r="AS2435" s="47" t="n"/>
      <c r="AT2435" s="47" t="n"/>
      <c r="AU2435" s="47" t="n"/>
      <c r="AV2435" s="47" t="n"/>
      <c r="AW2435" s="52" t="n"/>
    </row>
    <row r="2436">
      <c r="A2436" s="48" t="n"/>
      <c r="B2436" s="52" t="n"/>
      <c r="C2436" s="47">
        <f>IF(B2436="","",IFERROR(INDEX('隊員マスタ'!$B$5:$B$204,MATCH(B2436&amp;"",'隊員マスタ'!$F$5:$F$204,0)),IF(AK2436="","番号なし",AK2436)))</f>
        <v/>
      </c>
      <c r="D2436" s="47" t="n"/>
      <c r="E2436" s="47" t="n"/>
      <c r="F2436" s="47" t="n"/>
      <c r="G2436" s="47" t="n"/>
      <c r="H2436" s="47" t="n"/>
      <c r="I2436" s="47" t="n"/>
      <c r="J2436" s="47" t="n"/>
      <c r="K2436" s="47" t="n"/>
      <c r="L2436" s="47" t="n"/>
      <c r="M2436" s="47" t="n"/>
      <c r="N2436" s="47" t="n"/>
      <c r="O2436" s="47" t="n"/>
      <c r="P2436" s="47" t="n"/>
      <c r="Q2436" s="47" t="n"/>
      <c r="R2436" s="47" t="n"/>
      <c r="S2436" s="47" t="n"/>
      <c r="T2436" s="47" t="n"/>
      <c r="U2436" s="53" t="n"/>
      <c r="V2436" s="53" t="n"/>
      <c r="W2436" s="47" t="n"/>
      <c r="X2436" s="47" t="n"/>
      <c r="Y2436" s="47" t="n"/>
      <c r="Z2436" s="47" t="n"/>
      <c r="AA2436" s="47" t="n"/>
      <c r="AB2436" s="47" t="n"/>
      <c r="AC2436" s="47" t="n"/>
      <c r="AD2436" s="47" t="n"/>
      <c r="AE2436" s="47" t="n"/>
      <c r="AF2436" s="20">
        <f>IF(A2436="","",YEAR(EDATE(A2436,-3)))</f>
        <v/>
      </c>
      <c r="AG2436" s="20">
        <f>IF(OR(B2436="",'経歴簿'!$C$4=""),"",IF(B2436&amp;""='経歴簿'!$C$4&amp;"",MAX($AG$4:AG2435)+1,""))</f>
        <v/>
      </c>
      <c r="AH2436" s="20">
        <f>IF(A2436="",0,IF(AND(OR('CSV抽出'!$C$4="",A2436&gt;='CSV抽出'!$C$4),OR('CSV抽出'!$C$5="",A2436&lt;='CSV抽出'!$C$5),OR('CSV抽出'!$C$6="すべて",'CSV抽出'!$C$6="",D2436='CSV抽出'!$C$6),OR('CSV抽出'!$C$7="",B2436&amp;""='CSV抽出'!$C$7&amp;"")),1,0))</f>
        <v/>
      </c>
      <c r="AI2436" s="20">
        <f>IF(AH2436=1,SUM($AH$5:AH2436),"")</f>
        <v/>
      </c>
      <c r="AJ2436" s="20">
        <f>IF(OR(S2436="",'報告書'!$C$4=""),"",IF(S2436&amp;""='報告書'!$C$4&amp;"",COUNTIF($S$5:S2436,'報告書'!$C$4),""))</f>
        <v/>
      </c>
      <c r="AK2436" s="20" t="n"/>
      <c r="AL2436" s="47" t="n"/>
      <c r="AM2436" s="47" t="n"/>
      <c r="AN2436" s="53" t="n"/>
      <c r="AO2436" s="47" t="n"/>
      <c r="AP2436" s="47" t="n"/>
      <c r="AQ2436" s="47" t="n"/>
      <c r="AR2436" s="47" t="n"/>
      <c r="AS2436" s="47" t="n"/>
      <c r="AT2436" s="47" t="n"/>
      <c r="AU2436" s="47" t="n"/>
      <c r="AV2436" s="47" t="n"/>
      <c r="AW2436" s="52" t="n"/>
    </row>
    <row r="2437">
      <c r="A2437" s="48" t="n"/>
      <c r="B2437" s="52" t="n"/>
      <c r="C2437" s="47">
        <f>IF(B2437="","",IFERROR(INDEX('隊員マスタ'!$B$5:$B$204,MATCH(B2437&amp;"",'隊員マスタ'!$F$5:$F$204,0)),IF(AK2437="","番号なし",AK2437)))</f>
        <v/>
      </c>
      <c r="D2437" s="47" t="n"/>
      <c r="E2437" s="47" t="n"/>
      <c r="F2437" s="47" t="n"/>
      <c r="G2437" s="47" t="n"/>
      <c r="H2437" s="47" t="n"/>
      <c r="I2437" s="47" t="n"/>
      <c r="J2437" s="47" t="n"/>
      <c r="K2437" s="47" t="n"/>
      <c r="L2437" s="47" t="n"/>
      <c r="M2437" s="47" t="n"/>
      <c r="N2437" s="47" t="n"/>
      <c r="O2437" s="47" t="n"/>
      <c r="P2437" s="47" t="n"/>
      <c r="Q2437" s="47" t="n"/>
      <c r="R2437" s="47" t="n"/>
      <c r="S2437" s="47" t="n"/>
      <c r="T2437" s="47" t="n"/>
      <c r="U2437" s="53" t="n"/>
      <c r="V2437" s="53" t="n"/>
      <c r="W2437" s="47" t="n"/>
      <c r="X2437" s="47" t="n"/>
      <c r="Y2437" s="47" t="n"/>
      <c r="Z2437" s="47" t="n"/>
      <c r="AA2437" s="47" t="n"/>
      <c r="AB2437" s="47" t="n"/>
      <c r="AC2437" s="47" t="n"/>
      <c r="AD2437" s="47" t="n"/>
      <c r="AE2437" s="47" t="n"/>
      <c r="AF2437" s="20">
        <f>IF(A2437="","",YEAR(EDATE(A2437,-3)))</f>
        <v/>
      </c>
      <c r="AG2437" s="20">
        <f>IF(OR(B2437="",'経歴簿'!$C$4=""),"",IF(B2437&amp;""='経歴簿'!$C$4&amp;"",MAX($AG$4:AG2436)+1,""))</f>
        <v/>
      </c>
      <c r="AH2437" s="20">
        <f>IF(A2437="",0,IF(AND(OR('CSV抽出'!$C$4="",A2437&gt;='CSV抽出'!$C$4),OR('CSV抽出'!$C$5="",A2437&lt;='CSV抽出'!$C$5),OR('CSV抽出'!$C$6="すべて",'CSV抽出'!$C$6="",D2437='CSV抽出'!$C$6),OR('CSV抽出'!$C$7="",B2437&amp;""='CSV抽出'!$C$7&amp;"")),1,0))</f>
        <v/>
      </c>
      <c r="AI2437" s="20">
        <f>IF(AH2437=1,SUM($AH$5:AH2437),"")</f>
        <v/>
      </c>
      <c r="AJ2437" s="20">
        <f>IF(OR(S2437="",'報告書'!$C$4=""),"",IF(S2437&amp;""='報告書'!$C$4&amp;"",COUNTIF($S$5:S2437,'報告書'!$C$4),""))</f>
        <v/>
      </c>
      <c r="AK2437" s="20" t="n"/>
      <c r="AL2437" s="47" t="n"/>
      <c r="AM2437" s="47" t="n"/>
      <c r="AN2437" s="53" t="n"/>
      <c r="AO2437" s="47" t="n"/>
      <c r="AP2437" s="47" t="n"/>
      <c r="AQ2437" s="47" t="n"/>
      <c r="AR2437" s="47" t="n"/>
      <c r="AS2437" s="47" t="n"/>
      <c r="AT2437" s="47" t="n"/>
      <c r="AU2437" s="47" t="n"/>
      <c r="AV2437" s="47" t="n"/>
      <c r="AW2437" s="52" t="n"/>
    </row>
    <row r="2438">
      <c r="A2438" s="48" t="n"/>
      <c r="B2438" s="52" t="n"/>
      <c r="C2438" s="47">
        <f>IF(B2438="","",IFERROR(INDEX('隊員マスタ'!$B$5:$B$204,MATCH(B2438&amp;"",'隊員マスタ'!$F$5:$F$204,0)),IF(AK2438="","番号なし",AK2438)))</f>
        <v/>
      </c>
      <c r="D2438" s="47" t="n"/>
      <c r="E2438" s="47" t="n"/>
      <c r="F2438" s="47" t="n"/>
      <c r="G2438" s="47" t="n"/>
      <c r="H2438" s="47" t="n"/>
      <c r="I2438" s="47" t="n"/>
      <c r="J2438" s="47" t="n"/>
      <c r="K2438" s="47" t="n"/>
      <c r="L2438" s="47" t="n"/>
      <c r="M2438" s="47" t="n"/>
      <c r="N2438" s="47" t="n"/>
      <c r="O2438" s="47" t="n"/>
      <c r="P2438" s="47" t="n"/>
      <c r="Q2438" s="47" t="n"/>
      <c r="R2438" s="47" t="n"/>
      <c r="S2438" s="47" t="n"/>
      <c r="T2438" s="47" t="n"/>
      <c r="U2438" s="53" t="n"/>
      <c r="V2438" s="53" t="n"/>
      <c r="W2438" s="47" t="n"/>
      <c r="X2438" s="47" t="n"/>
      <c r="Y2438" s="47" t="n"/>
      <c r="Z2438" s="47" t="n"/>
      <c r="AA2438" s="47" t="n"/>
      <c r="AB2438" s="47" t="n"/>
      <c r="AC2438" s="47" t="n"/>
      <c r="AD2438" s="47" t="n"/>
      <c r="AE2438" s="47" t="n"/>
      <c r="AF2438" s="20">
        <f>IF(A2438="","",YEAR(EDATE(A2438,-3)))</f>
        <v/>
      </c>
      <c r="AG2438" s="20">
        <f>IF(OR(B2438="",'経歴簿'!$C$4=""),"",IF(B2438&amp;""='経歴簿'!$C$4&amp;"",MAX($AG$4:AG2437)+1,""))</f>
        <v/>
      </c>
      <c r="AH2438" s="20">
        <f>IF(A2438="",0,IF(AND(OR('CSV抽出'!$C$4="",A2438&gt;='CSV抽出'!$C$4),OR('CSV抽出'!$C$5="",A2438&lt;='CSV抽出'!$C$5),OR('CSV抽出'!$C$6="すべて",'CSV抽出'!$C$6="",D2438='CSV抽出'!$C$6),OR('CSV抽出'!$C$7="",B2438&amp;""='CSV抽出'!$C$7&amp;"")),1,0))</f>
        <v/>
      </c>
      <c r="AI2438" s="20">
        <f>IF(AH2438=1,SUM($AH$5:AH2438),"")</f>
        <v/>
      </c>
      <c r="AJ2438" s="20">
        <f>IF(OR(S2438="",'報告書'!$C$4=""),"",IF(S2438&amp;""='報告書'!$C$4&amp;"",COUNTIF($S$5:S2438,'報告書'!$C$4),""))</f>
        <v/>
      </c>
      <c r="AK2438" s="20" t="n"/>
      <c r="AL2438" s="47" t="n"/>
      <c r="AM2438" s="47" t="n"/>
      <c r="AN2438" s="53" t="n"/>
      <c r="AO2438" s="47" t="n"/>
      <c r="AP2438" s="47" t="n"/>
      <c r="AQ2438" s="47" t="n"/>
      <c r="AR2438" s="47" t="n"/>
      <c r="AS2438" s="47" t="n"/>
      <c r="AT2438" s="47" t="n"/>
      <c r="AU2438" s="47" t="n"/>
      <c r="AV2438" s="47" t="n"/>
      <c r="AW2438" s="52" t="n"/>
    </row>
    <row r="2439">
      <c r="A2439" s="48" t="n"/>
      <c r="B2439" s="52" t="n"/>
      <c r="C2439" s="47">
        <f>IF(B2439="","",IFERROR(INDEX('隊員マスタ'!$B$5:$B$204,MATCH(B2439&amp;"",'隊員マスタ'!$F$5:$F$204,0)),IF(AK2439="","番号なし",AK2439)))</f>
        <v/>
      </c>
      <c r="D2439" s="47" t="n"/>
      <c r="E2439" s="47" t="n"/>
      <c r="F2439" s="47" t="n"/>
      <c r="G2439" s="47" t="n"/>
      <c r="H2439" s="47" t="n"/>
      <c r="I2439" s="47" t="n"/>
      <c r="J2439" s="47" t="n"/>
      <c r="K2439" s="47" t="n"/>
      <c r="L2439" s="47" t="n"/>
      <c r="M2439" s="47" t="n"/>
      <c r="N2439" s="47" t="n"/>
      <c r="O2439" s="47" t="n"/>
      <c r="P2439" s="47" t="n"/>
      <c r="Q2439" s="47" t="n"/>
      <c r="R2439" s="47" t="n"/>
      <c r="S2439" s="47" t="n"/>
      <c r="T2439" s="47" t="n"/>
      <c r="U2439" s="53" t="n"/>
      <c r="V2439" s="53" t="n"/>
      <c r="W2439" s="47" t="n"/>
      <c r="X2439" s="47" t="n"/>
      <c r="Y2439" s="47" t="n"/>
      <c r="Z2439" s="47" t="n"/>
      <c r="AA2439" s="47" t="n"/>
      <c r="AB2439" s="47" t="n"/>
      <c r="AC2439" s="47" t="n"/>
      <c r="AD2439" s="47" t="n"/>
      <c r="AE2439" s="47" t="n"/>
      <c r="AF2439" s="20">
        <f>IF(A2439="","",YEAR(EDATE(A2439,-3)))</f>
        <v/>
      </c>
      <c r="AG2439" s="20">
        <f>IF(OR(B2439="",'経歴簿'!$C$4=""),"",IF(B2439&amp;""='経歴簿'!$C$4&amp;"",MAX($AG$4:AG2438)+1,""))</f>
        <v/>
      </c>
      <c r="AH2439" s="20">
        <f>IF(A2439="",0,IF(AND(OR('CSV抽出'!$C$4="",A2439&gt;='CSV抽出'!$C$4),OR('CSV抽出'!$C$5="",A2439&lt;='CSV抽出'!$C$5),OR('CSV抽出'!$C$6="すべて",'CSV抽出'!$C$6="",D2439='CSV抽出'!$C$6),OR('CSV抽出'!$C$7="",B2439&amp;""='CSV抽出'!$C$7&amp;"")),1,0))</f>
        <v/>
      </c>
      <c r="AI2439" s="20">
        <f>IF(AH2439=1,SUM($AH$5:AH2439),"")</f>
        <v/>
      </c>
      <c r="AJ2439" s="20">
        <f>IF(OR(S2439="",'報告書'!$C$4=""),"",IF(S2439&amp;""='報告書'!$C$4&amp;"",COUNTIF($S$5:S2439,'報告書'!$C$4),""))</f>
        <v/>
      </c>
      <c r="AK2439" s="20" t="n"/>
      <c r="AL2439" s="47" t="n"/>
      <c r="AM2439" s="47" t="n"/>
      <c r="AN2439" s="53" t="n"/>
      <c r="AO2439" s="47" t="n"/>
      <c r="AP2439" s="47" t="n"/>
      <c r="AQ2439" s="47" t="n"/>
      <c r="AR2439" s="47" t="n"/>
      <c r="AS2439" s="47" t="n"/>
      <c r="AT2439" s="47" t="n"/>
      <c r="AU2439" s="47" t="n"/>
      <c r="AV2439" s="47" t="n"/>
      <c r="AW2439" s="52" t="n"/>
    </row>
    <row r="2440">
      <c r="A2440" s="48" t="n"/>
      <c r="B2440" s="52" t="n"/>
      <c r="C2440" s="47">
        <f>IF(B2440="","",IFERROR(INDEX('隊員マスタ'!$B$5:$B$204,MATCH(B2440&amp;"",'隊員マスタ'!$F$5:$F$204,0)),IF(AK2440="","番号なし",AK2440)))</f>
        <v/>
      </c>
      <c r="D2440" s="47" t="n"/>
      <c r="E2440" s="47" t="n"/>
      <c r="F2440" s="47" t="n"/>
      <c r="G2440" s="47" t="n"/>
      <c r="H2440" s="47" t="n"/>
      <c r="I2440" s="47" t="n"/>
      <c r="J2440" s="47" t="n"/>
      <c r="K2440" s="47" t="n"/>
      <c r="L2440" s="47" t="n"/>
      <c r="M2440" s="47" t="n"/>
      <c r="N2440" s="47" t="n"/>
      <c r="O2440" s="47" t="n"/>
      <c r="P2440" s="47" t="n"/>
      <c r="Q2440" s="47" t="n"/>
      <c r="R2440" s="47" t="n"/>
      <c r="S2440" s="47" t="n"/>
      <c r="T2440" s="47" t="n"/>
      <c r="U2440" s="53" t="n"/>
      <c r="V2440" s="53" t="n"/>
      <c r="W2440" s="47" t="n"/>
      <c r="X2440" s="47" t="n"/>
      <c r="Y2440" s="47" t="n"/>
      <c r="Z2440" s="47" t="n"/>
      <c r="AA2440" s="47" t="n"/>
      <c r="AB2440" s="47" t="n"/>
      <c r="AC2440" s="47" t="n"/>
      <c r="AD2440" s="47" t="n"/>
      <c r="AE2440" s="47" t="n"/>
      <c r="AF2440" s="20">
        <f>IF(A2440="","",YEAR(EDATE(A2440,-3)))</f>
        <v/>
      </c>
      <c r="AG2440" s="20">
        <f>IF(OR(B2440="",'経歴簿'!$C$4=""),"",IF(B2440&amp;""='経歴簿'!$C$4&amp;"",MAX($AG$4:AG2439)+1,""))</f>
        <v/>
      </c>
      <c r="AH2440" s="20">
        <f>IF(A2440="",0,IF(AND(OR('CSV抽出'!$C$4="",A2440&gt;='CSV抽出'!$C$4),OR('CSV抽出'!$C$5="",A2440&lt;='CSV抽出'!$C$5),OR('CSV抽出'!$C$6="すべて",'CSV抽出'!$C$6="",D2440='CSV抽出'!$C$6),OR('CSV抽出'!$C$7="",B2440&amp;""='CSV抽出'!$C$7&amp;"")),1,0))</f>
        <v/>
      </c>
      <c r="AI2440" s="20">
        <f>IF(AH2440=1,SUM($AH$5:AH2440),"")</f>
        <v/>
      </c>
      <c r="AJ2440" s="20">
        <f>IF(OR(S2440="",'報告書'!$C$4=""),"",IF(S2440&amp;""='報告書'!$C$4&amp;"",COUNTIF($S$5:S2440,'報告書'!$C$4),""))</f>
        <v/>
      </c>
      <c r="AK2440" s="20" t="n"/>
      <c r="AL2440" s="47" t="n"/>
      <c r="AM2440" s="47" t="n"/>
      <c r="AN2440" s="53" t="n"/>
      <c r="AO2440" s="47" t="n"/>
      <c r="AP2440" s="47" t="n"/>
      <c r="AQ2440" s="47" t="n"/>
      <c r="AR2440" s="47" t="n"/>
      <c r="AS2440" s="47" t="n"/>
      <c r="AT2440" s="47" t="n"/>
      <c r="AU2440" s="47" t="n"/>
      <c r="AV2440" s="47" t="n"/>
      <c r="AW2440" s="52" t="n"/>
    </row>
    <row r="2441">
      <c r="A2441" s="48" t="n"/>
      <c r="B2441" s="52" t="n"/>
      <c r="C2441" s="47">
        <f>IF(B2441="","",IFERROR(INDEX('隊員マスタ'!$B$5:$B$204,MATCH(B2441&amp;"",'隊員マスタ'!$F$5:$F$204,0)),IF(AK2441="","番号なし",AK2441)))</f>
        <v/>
      </c>
      <c r="D2441" s="47" t="n"/>
      <c r="E2441" s="47" t="n"/>
      <c r="F2441" s="47" t="n"/>
      <c r="G2441" s="47" t="n"/>
      <c r="H2441" s="47" t="n"/>
      <c r="I2441" s="47" t="n"/>
      <c r="J2441" s="47" t="n"/>
      <c r="K2441" s="47" t="n"/>
      <c r="L2441" s="47" t="n"/>
      <c r="M2441" s="47" t="n"/>
      <c r="N2441" s="47" t="n"/>
      <c r="O2441" s="47" t="n"/>
      <c r="P2441" s="47" t="n"/>
      <c r="Q2441" s="47" t="n"/>
      <c r="R2441" s="47" t="n"/>
      <c r="S2441" s="47" t="n"/>
      <c r="T2441" s="47" t="n"/>
      <c r="U2441" s="53" t="n"/>
      <c r="V2441" s="53" t="n"/>
      <c r="W2441" s="47" t="n"/>
      <c r="X2441" s="47" t="n"/>
      <c r="Y2441" s="47" t="n"/>
      <c r="Z2441" s="47" t="n"/>
      <c r="AA2441" s="47" t="n"/>
      <c r="AB2441" s="47" t="n"/>
      <c r="AC2441" s="47" t="n"/>
      <c r="AD2441" s="47" t="n"/>
      <c r="AE2441" s="47" t="n"/>
      <c r="AF2441" s="20">
        <f>IF(A2441="","",YEAR(EDATE(A2441,-3)))</f>
        <v/>
      </c>
      <c r="AG2441" s="20">
        <f>IF(OR(B2441="",'経歴簿'!$C$4=""),"",IF(B2441&amp;""='経歴簿'!$C$4&amp;"",MAX($AG$4:AG2440)+1,""))</f>
        <v/>
      </c>
      <c r="AH2441" s="20">
        <f>IF(A2441="",0,IF(AND(OR('CSV抽出'!$C$4="",A2441&gt;='CSV抽出'!$C$4),OR('CSV抽出'!$C$5="",A2441&lt;='CSV抽出'!$C$5),OR('CSV抽出'!$C$6="すべて",'CSV抽出'!$C$6="",D2441='CSV抽出'!$C$6),OR('CSV抽出'!$C$7="",B2441&amp;""='CSV抽出'!$C$7&amp;"")),1,0))</f>
        <v/>
      </c>
      <c r="AI2441" s="20">
        <f>IF(AH2441=1,SUM($AH$5:AH2441),"")</f>
        <v/>
      </c>
      <c r="AJ2441" s="20">
        <f>IF(OR(S2441="",'報告書'!$C$4=""),"",IF(S2441&amp;""='報告書'!$C$4&amp;"",COUNTIF($S$5:S2441,'報告書'!$C$4),""))</f>
        <v/>
      </c>
      <c r="AK2441" s="20" t="n"/>
      <c r="AL2441" s="47" t="n"/>
      <c r="AM2441" s="47" t="n"/>
      <c r="AN2441" s="53" t="n"/>
      <c r="AO2441" s="47" t="n"/>
      <c r="AP2441" s="47" t="n"/>
      <c r="AQ2441" s="47" t="n"/>
      <c r="AR2441" s="47" t="n"/>
      <c r="AS2441" s="47" t="n"/>
      <c r="AT2441" s="47" t="n"/>
      <c r="AU2441" s="47" t="n"/>
      <c r="AV2441" s="47" t="n"/>
      <c r="AW2441" s="52" t="n"/>
    </row>
    <row r="2442">
      <c r="A2442" s="48" t="n"/>
      <c r="B2442" s="52" t="n"/>
      <c r="C2442" s="47">
        <f>IF(B2442="","",IFERROR(INDEX('隊員マスタ'!$B$5:$B$204,MATCH(B2442&amp;"",'隊員マスタ'!$F$5:$F$204,0)),IF(AK2442="","番号なし",AK2442)))</f>
        <v/>
      </c>
      <c r="D2442" s="47" t="n"/>
      <c r="E2442" s="47" t="n"/>
      <c r="F2442" s="47" t="n"/>
      <c r="G2442" s="47" t="n"/>
      <c r="H2442" s="47" t="n"/>
      <c r="I2442" s="47" t="n"/>
      <c r="J2442" s="47" t="n"/>
      <c r="K2442" s="47" t="n"/>
      <c r="L2442" s="47" t="n"/>
      <c r="M2442" s="47" t="n"/>
      <c r="N2442" s="47" t="n"/>
      <c r="O2442" s="47" t="n"/>
      <c r="P2442" s="47" t="n"/>
      <c r="Q2442" s="47" t="n"/>
      <c r="R2442" s="47" t="n"/>
      <c r="S2442" s="47" t="n"/>
      <c r="T2442" s="47" t="n"/>
      <c r="U2442" s="53" t="n"/>
      <c r="V2442" s="53" t="n"/>
      <c r="W2442" s="47" t="n"/>
      <c r="X2442" s="47" t="n"/>
      <c r="Y2442" s="47" t="n"/>
      <c r="Z2442" s="47" t="n"/>
      <c r="AA2442" s="47" t="n"/>
      <c r="AB2442" s="47" t="n"/>
      <c r="AC2442" s="47" t="n"/>
      <c r="AD2442" s="47" t="n"/>
      <c r="AE2442" s="47" t="n"/>
      <c r="AF2442" s="20">
        <f>IF(A2442="","",YEAR(EDATE(A2442,-3)))</f>
        <v/>
      </c>
      <c r="AG2442" s="20">
        <f>IF(OR(B2442="",'経歴簿'!$C$4=""),"",IF(B2442&amp;""='経歴簿'!$C$4&amp;"",MAX($AG$4:AG2441)+1,""))</f>
        <v/>
      </c>
      <c r="AH2442" s="20">
        <f>IF(A2442="",0,IF(AND(OR('CSV抽出'!$C$4="",A2442&gt;='CSV抽出'!$C$4),OR('CSV抽出'!$C$5="",A2442&lt;='CSV抽出'!$C$5),OR('CSV抽出'!$C$6="すべて",'CSV抽出'!$C$6="",D2442='CSV抽出'!$C$6),OR('CSV抽出'!$C$7="",B2442&amp;""='CSV抽出'!$C$7&amp;"")),1,0))</f>
        <v/>
      </c>
      <c r="AI2442" s="20">
        <f>IF(AH2442=1,SUM($AH$5:AH2442),"")</f>
        <v/>
      </c>
      <c r="AJ2442" s="20">
        <f>IF(OR(S2442="",'報告書'!$C$4=""),"",IF(S2442&amp;""='報告書'!$C$4&amp;"",COUNTIF($S$5:S2442,'報告書'!$C$4),""))</f>
        <v/>
      </c>
      <c r="AK2442" s="20" t="n"/>
      <c r="AL2442" s="47" t="n"/>
      <c r="AM2442" s="47" t="n"/>
      <c r="AN2442" s="53" t="n"/>
      <c r="AO2442" s="47" t="n"/>
      <c r="AP2442" s="47" t="n"/>
      <c r="AQ2442" s="47" t="n"/>
      <c r="AR2442" s="47" t="n"/>
      <c r="AS2442" s="47" t="n"/>
      <c r="AT2442" s="47" t="n"/>
      <c r="AU2442" s="47" t="n"/>
      <c r="AV2442" s="47" t="n"/>
      <c r="AW2442" s="52" t="n"/>
    </row>
    <row r="2443">
      <c r="A2443" s="48" t="n"/>
      <c r="B2443" s="52" t="n"/>
      <c r="C2443" s="47">
        <f>IF(B2443="","",IFERROR(INDEX('隊員マスタ'!$B$5:$B$204,MATCH(B2443&amp;"",'隊員マスタ'!$F$5:$F$204,0)),IF(AK2443="","番号なし",AK2443)))</f>
        <v/>
      </c>
      <c r="D2443" s="47" t="n"/>
      <c r="E2443" s="47" t="n"/>
      <c r="F2443" s="47" t="n"/>
      <c r="G2443" s="47" t="n"/>
      <c r="H2443" s="47" t="n"/>
      <c r="I2443" s="47" t="n"/>
      <c r="J2443" s="47" t="n"/>
      <c r="K2443" s="47" t="n"/>
      <c r="L2443" s="47" t="n"/>
      <c r="M2443" s="47" t="n"/>
      <c r="N2443" s="47" t="n"/>
      <c r="O2443" s="47" t="n"/>
      <c r="P2443" s="47" t="n"/>
      <c r="Q2443" s="47" t="n"/>
      <c r="R2443" s="47" t="n"/>
      <c r="S2443" s="47" t="n"/>
      <c r="T2443" s="47" t="n"/>
      <c r="U2443" s="53" t="n"/>
      <c r="V2443" s="53" t="n"/>
      <c r="W2443" s="47" t="n"/>
      <c r="X2443" s="47" t="n"/>
      <c r="Y2443" s="47" t="n"/>
      <c r="Z2443" s="47" t="n"/>
      <c r="AA2443" s="47" t="n"/>
      <c r="AB2443" s="47" t="n"/>
      <c r="AC2443" s="47" t="n"/>
      <c r="AD2443" s="47" t="n"/>
      <c r="AE2443" s="47" t="n"/>
      <c r="AF2443" s="20">
        <f>IF(A2443="","",YEAR(EDATE(A2443,-3)))</f>
        <v/>
      </c>
      <c r="AG2443" s="20">
        <f>IF(OR(B2443="",'経歴簿'!$C$4=""),"",IF(B2443&amp;""='経歴簿'!$C$4&amp;"",MAX($AG$4:AG2442)+1,""))</f>
        <v/>
      </c>
      <c r="AH2443" s="20">
        <f>IF(A2443="",0,IF(AND(OR('CSV抽出'!$C$4="",A2443&gt;='CSV抽出'!$C$4),OR('CSV抽出'!$C$5="",A2443&lt;='CSV抽出'!$C$5),OR('CSV抽出'!$C$6="すべて",'CSV抽出'!$C$6="",D2443='CSV抽出'!$C$6),OR('CSV抽出'!$C$7="",B2443&amp;""='CSV抽出'!$C$7&amp;"")),1,0))</f>
        <v/>
      </c>
      <c r="AI2443" s="20">
        <f>IF(AH2443=1,SUM($AH$5:AH2443),"")</f>
        <v/>
      </c>
      <c r="AJ2443" s="20">
        <f>IF(OR(S2443="",'報告書'!$C$4=""),"",IF(S2443&amp;""='報告書'!$C$4&amp;"",COUNTIF($S$5:S2443,'報告書'!$C$4),""))</f>
        <v/>
      </c>
      <c r="AK2443" s="20" t="n"/>
      <c r="AL2443" s="47" t="n"/>
      <c r="AM2443" s="47" t="n"/>
      <c r="AN2443" s="53" t="n"/>
      <c r="AO2443" s="47" t="n"/>
      <c r="AP2443" s="47" t="n"/>
      <c r="AQ2443" s="47" t="n"/>
      <c r="AR2443" s="47" t="n"/>
      <c r="AS2443" s="47" t="n"/>
      <c r="AT2443" s="47" t="n"/>
      <c r="AU2443" s="47" t="n"/>
      <c r="AV2443" s="47" t="n"/>
      <c r="AW2443" s="52" t="n"/>
    </row>
    <row r="2444">
      <c r="A2444" s="48" t="n"/>
      <c r="B2444" s="52" t="n"/>
      <c r="C2444" s="47">
        <f>IF(B2444="","",IFERROR(INDEX('隊員マスタ'!$B$5:$B$204,MATCH(B2444&amp;"",'隊員マスタ'!$F$5:$F$204,0)),IF(AK2444="","番号なし",AK2444)))</f>
        <v/>
      </c>
      <c r="D2444" s="47" t="n"/>
      <c r="E2444" s="47" t="n"/>
      <c r="F2444" s="47" t="n"/>
      <c r="G2444" s="47" t="n"/>
      <c r="H2444" s="47" t="n"/>
      <c r="I2444" s="47" t="n"/>
      <c r="J2444" s="47" t="n"/>
      <c r="K2444" s="47" t="n"/>
      <c r="L2444" s="47" t="n"/>
      <c r="M2444" s="47" t="n"/>
      <c r="N2444" s="47" t="n"/>
      <c r="O2444" s="47" t="n"/>
      <c r="P2444" s="47" t="n"/>
      <c r="Q2444" s="47" t="n"/>
      <c r="R2444" s="47" t="n"/>
      <c r="S2444" s="47" t="n"/>
      <c r="T2444" s="47" t="n"/>
      <c r="U2444" s="53" t="n"/>
      <c r="V2444" s="53" t="n"/>
      <c r="W2444" s="47" t="n"/>
      <c r="X2444" s="47" t="n"/>
      <c r="Y2444" s="47" t="n"/>
      <c r="Z2444" s="47" t="n"/>
      <c r="AA2444" s="47" t="n"/>
      <c r="AB2444" s="47" t="n"/>
      <c r="AC2444" s="47" t="n"/>
      <c r="AD2444" s="47" t="n"/>
      <c r="AE2444" s="47" t="n"/>
      <c r="AF2444" s="20">
        <f>IF(A2444="","",YEAR(EDATE(A2444,-3)))</f>
        <v/>
      </c>
      <c r="AG2444" s="20">
        <f>IF(OR(B2444="",'経歴簿'!$C$4=""),"",IF(B2444&amp;""='経歴簿'!$C$4&amp;"",MAX($AG$4:AG2443)+1,""))</f>
        <v/>
      </c>
      <c r="AH2444" s="20">
        <f>IF(A2444="",0,IF(AND(OR('CSV抽出'!$C$4="",A2444&gt;='CSV抽出'!$C$4),OR('CSV抽出'!$C$5="",A2444&lt;='CSV抽出'!$C$5),OR('CSV抽出'!$C$6="すべて",'CSV抽出'!$C$6="",D2444='CSV抽出'!$C$6),OR('CSV抽出'!$C$7="",B2444&amp;""='CSV抽出'!$C$7&amp;"")),1,0))</f>
        <v/>
      </c>
      <c r="AI2444" s="20">
        <f>IF(AH2444=1,SUM($AH$5:AH2444),"")</f>
        <v/>
      </c>
      <c r="AJ2444" s="20">
        <f>IF(OR(S2444="",'報告書'!$C$4=""),"",IF(S2444&amp;""='報告書'!$C$4&amp;"",COUNTIF($S$5:S2444,'報告書'!$C$4),""))</f>
        <v/>
      </c>
      <c r="AK2444" s="20" t="n"/>
      <c r="AL2444" s="47" t="n"/>
      <c r="AM2444" s="47" t="n"/>
      <c r="AN2444" s="53" t="n"/>
      <c r="AO2444" s="47" t="n"/>
      <c r="AP2444" s="47" t="n"/>
      <c r="AQ2444" s="47" t="n"/>
      <c r="AR2444" s="47" t="n"/>
      <c r="AS2444" s="47" t="n"/>
      <c r="AT2444" s="47" t="n"/>
      <c r="AU2444" s="47" t="n"/>
      <c r="AV2444" s="47" t="n"/>
      <c r="AW2444" s="52" t="n"/>
    </row>
    <row r="2445">
      <c r="A2445" s="48" t="n"/>
      <c r="B2445" s="52" t="n"/>
      <c r="C2445" s="47">
        <f>IF(B2445="","",IFERROR(INDEX('隊員マスタ'!$B$5:$B$204,MATCH(B2445&amp;"",'隊員マスタ'!$F$5:$F$204,0)),IF(AK2445="","番号なし",AK2445)))</f>
        <v/>
      </c>
      <c r="D2445" s="47" t="n"/>
      <c r="E2445" s="47" t="n"/>
      <c r="F2445" s="47" t="n"/>
      <c r="G2445" s="47" t="n"/>
      <c r="H2445" s="47" t="n"/>
      <c r="I2445" s="47" t="n"/>
      <c r="J2445" s="47" t="n"/>
      <c r="K2445" s="47" t="n"/>
      <c r="L2445" s="47" t="n"/>
      <c r="M2445" s="47" t="n"/>
      <c r="N2445" s="47" t="n"/>
      <c r="O2445" s="47" t="n"/>
      <c r="P2445" s="47" t="n"/>
      <c r="Q2445" s="47" t="n"/>
      <c r="R2445" s="47" t="n"/>
      <c r="S2445" s="47" t="n"/>
      <c r="T2445" s="47" t="n"/>
      <c r="U2445" s="53" t="n"/>
      <c r="V2445" s="53" t="n"/>
      <c r="W2445" s="47" t="n"/>
      <c r="X2445" s="47" t="n"/>
      <c r="Y2445" s="47" t="n"/>
      <c r="Z2445" s="47" t="n"/>
      <c r="AA2445" s="47" t="n"/>
      <c r="AB2445" s="47" t="n"/>
      <c r="AC2445" s="47" t="n"/>
      <c r="AD2445" s="47" t="n"/>
      <c r="AE2445" s="47" t="n"/>
      <c r="AF2445" s="20">
        <f>IF(A2445="","",YEAR(EDATE(A2445,-3)))</f>
        <v/>
      </c>
      <c r="AG2445" s="20">
        <f>IF(OR(B2445="",'経歴簿'!$C$4=""),"",IF(B2445&amp;""='経歴簿'!$C$4&amp;"",MAX($AG$4:AG2444)+1,""))</f>
        <v/>
      </c>
      <c r="AH2445" s="20">
        <f>IF(A2445="",0,IF(AND(OR('CSV抽出'!$C$4="",A2445&gt;='CSV抽出'!$C$4),OR('CSV抽出'!$C$5="",A2445&lt;='CSV抽出'!$C$5),OR('CSV抽出'!$C$6="すべて",'CSV抽出'!$C$6="",D2445='CSV抽出'!$C$6),OR('CSV抽出'!$C$7="",B2445&amp;""='CSV抽出'!$C$7&amp;"")),1,0))</f>
        <v/>
      </c>
      <c r="AI2445" s="20">
        <f>IF(AH2445=1,SUM($AH$5:AH2445),"")</f>
        <v/>
      </c>
      <c r="AJ2445" s="20">
        <f>IF(OR(S2445="",'報告書'!$C$4=""),"",IF(S2445&amp;""='報告書'!$C$4&amp;"",COUNTIF($S$5:S2445,'報告書'!$C$4),""))</f>
        <v/>
      </c>
      <c r="AK2445" s="20" t="n"/>
      <c r="AL2445" s="47" t="n"/>
      <c r="AM2445" s="47" t="n"/>
      <c r="AN2445" s="53" t="n"/>
      <c r="AO2445" s="47" t="n"/>
      <c r="AP2445" s="47" t="n"/>
      <c r="AQ2445" s="47" t="n"/>
      <c r="AR2445" s="47" t="n"/>
      <c r="AS2445" s="47" t="n"/>
      <c r="AT2445" s="47" t="n"/>
      <c r="AU2445" s="47" t="n"/>
      <c r="AV2445" s="47" t="n"/>
      <c r="AW2445" s="52" t="n"/>
    </row>
    <row r="2446">
      <c r="A2446" s="48" t="n"/>
      <c r="B2446" s="52" t="n"/>
      <c r="C2446" s="47">
        <f>IF(B2446="","",IFERROR(INDEX('隊員マスタ'!$B$5:$B$204,MATCH(B2446&amp;"",'隊員マスタ'!$F$5:$F$204,0)),IF(AK2446="","番号なし",AK2446)))</f>
        <v/>
      </c>
      <c r="D2446" s="47" t="n"/>
      <c r="E2446" s="47" t="n"/>
      <c r="F2446" s="47" t="n"/>
      <c r="G2446" s="47" t="n"/>
      <c r="H2446" s="47" t="n"/>
      <c r="I2446" s="47" t="n"/>
      <c r="J2446" s="47" t="n"/>
      <c r="K2446" s="47" t="n"/>
      <c r="L2446" s="47" t="n"/>
      <c r="M2446" s="47" t="n"/>
      <c r="N2446" s="47" t="n"/>
      <c r="O2446" s="47" t="n"/>
      <c r="P2446" s="47" t="n"/>
      <c r="Q2446" s="47" t="n"/>
      <c r="R2446" s="47" t="n"/>
      <c r="S2446" s="47" t="n"/>
      <c r="T2446" s="47" t="n"/>
      <c r="U2446" s="53" t="n"/>
      <c r="V2446" s="53" t="n"/>
      <c r="W2446" s="47" t="n"/>
      <c r="X2446" s="47" t="n"/>
      <c r="Y2446" s="47" t="n"/>
      <c r="Z2446" s="47" t="n"/>
      <c r="AA2446" s="47" t="n"/>
      <c r="AB2446" s="47" t="n"/>
      <c r="AC2446" s="47" t="n"/>
      <c r="AD2446" s="47" t="n"/>
      <c r="AE2446" s="47" t="n"/>
      <c r="AF2446" s="20">
        <f>IF(A2446="","",YEAR(EDATE(A2446,-3)))</f>
        <v/>
      </c>
      <c r="AG2446" s="20">
        <f>IF(OR(B2446="",'経歴簿'!$C$4=""),"",IF(B2446&amp;""='経歴簿'!$C$4&amp;"",MAX($AG$4:AG2445)+1,""))</f>
        <v/>
      </c>
      <c r="AH2446" s="20">
        <f>IF(A2446="",0,IF(AND(OR('CSV抽出'!$C$4="",A2446&gt;='CSV抽出'!$C$4),OR('CSV抽出'!$C$5="",A2446&lt;='CSV抽出'!$C$5),OR('CSV抽出'!$C$6="すべて",'CSV抽出'!$C$6="",D2446='CSV抽出'!$C$6),OR('CSV抽出'!$C$7="",B2446&amp;""='CSV抽出'!$C$7&amp;"")),1,0))</f>
        <v/>
      </c>
      <c r="AI2446" s="20">
        <f>IF(AH2446=1,SUM($AH$5:AH2446),"")</f>
        <v/>
      </c>
      <c r="AJ2446" s="20">
        <f>IF(OR(S2446="",'報告書'!$C$4=""),"",IF(S2446&amp;""='報告書'!$C$4&amp;"",COUNTIF($S$5:S2446,'報告書'!$C$4),""))</f>
        <v/>
      </c>
      <c r="AK2446" s="20" t="n"/>
      <c r="AL2446" s="47" t="n"/>
      <c r="AM2446" s="47" t="n"/>
      <c r="AN2446" s="53" t="n"/>
      <c r="AO2446" s="47" t="n"/>
      <c r="AP2446" s="47" t="n"/>
      <c r="AQ2446" s="47" t="n"/>
      <c r="AR2446" s="47" t="n"/>
      <c r="AS2446" s="47" t="n"/>
      <c r="AT2446" s="47" t="n"/>
      <c r="AU2446" s="47" t="n"/>
      <c r="AV2446" s="47" t="n"/>
      <c r="AW2446" s="52" t="n"/>
    </row>
    <row r="2447">
      <c r="A2447" s="48" t="n"/>
      <c r="B2447" s="52" t="n"/>
      <c r="C2447" s="47">
        <f>IF(B2447="","",IFERROR(INDEX('隊員マスタ'!$B$5:$B$204,MATCH(B2447&amp;"",'隊員マスタ'!$F$5:$F$204,0)),IF(AK2447="","番号なし",AK2447)))</f>
        <v/>
      </c>
      <c r="D2447" s="47" t="n"/>
      <c r="E2447" s="47" t="n"/>
      <c r="F2447" s="47" t="n"/>
      <c r="G2447" s="47" t="n"/>
      <c r="H2447" s="47" t="n"/>
      <c r="I2447" s="47" t="n"/>
      <c r="J2447" s="47" t="n"/>
      <c r="K2447" s="47" t="n"/>
      <c r="L2447" s="47" t="n"/>
      <c r="M2447" s="47" t="n"/>
      <c r="N2447" s="47" t="n"/>
      <c r="O2447" s="47" t="n"/>
      <c r="P2447" s="47" t="n"/>
      <c r="Q2447" s="47" t="n"/>
      <c r="R2447" s="47" t="n"/>
      <c r="S2447" s="47" t="n"/>
      <c r="T2447" s="47" t="n"/>
      <c r="U2447" s="53" t="n"/>
      <c r="V2447" s="53" t="n"/>
      <c r="W2447" s="47" t="n"/>
      <c r="X2447" s="47" t="n"/>
      <c r="Y2447" s="47" t="n"/>
      <c r="Z2447" s="47" t="n"/>
      <c r="AA2447" s="47" t="n"/>
      <c r="AB2447" s="47" t="n"/>
      <c r="AC2447" s="47" t="n"/>
      <c r="AD2447" s="47" t="n"/>
      <c r="AE2447" s="47" t="n"/>
      <c r="AF2447" s="20">
        <f>IF(A2447="","",YEAR(EDATE(A2447,-3)))</f>
        <v/>
      </c>
      <c r="AG2447" s="20">
        <f>IF(OR(B2447="",'経歴簿'!$C$4=""),"",IF(B2447&amp;""='経歴簿'!$C$4&amp;"",MAX($AG$4:AG2446)+1,""))</f>
        <v/>
      </c>
      <c r="AH2447" s="20">
        <f>IF(A2447="",0,IF(AND(OR('CSV抽出'!$C$4="",A2447&gt;='CSV抽出'!$C$4),OR('CSV抽出'!$C$5="",A2447&lt;='CSV抽出'!$C$5),OR('CSV抽出'!$C$6="すべて",'CSV抽出'!$C$6="",D2447='CSV抽出'!$C$6),OR('CSV抽出'!$C$7="",B2447&amp;""='CSV抽出'!$C$7&amp;"")),1,0))</f>
        <v/>
      </c>
      <c r="AI2447" s="20">
        <f>IF(AH2447=1,SUM($AH$5:AH2447),"")</f>
        <v/>
      </c>
      <c r="AJ2447" s="20">
        <f>IF(OR(S2447="",'報告書'!$C$4=""),"",IF(S2447&amp;""='報告書'!$C$4&amp;"",COUNTIF($S$5:S2447,'報告書'!$C$4),""))</f>
        <v/>
      </c>
      <c r="AK2447" s="20" t="n"/>
      <c r="AL2447" s="47" t="n"/>
      <c r="AM2447" s="47" t="n"/>
      <c r="AN2447" s="53" t="n"/>
      <c r="AO2447" s="47" t="n"/>
      <c r="AP2447" s="47" t="n"/>
      <c r="AQ2447" s="47" t="n"/>
      <c r="AR2447" s="47" t="n"/>
      <c r="AS2447" s="47" t="n"/>
      <c r="AT2447" s="47" t="n"/>
      <c r="AU2447" s="47" t="n"/>
      <c r="AV2447" s="47" t="n"/>
      <c r="AW2447" s="52" t="n"/>
    </row>
    <row r="2448">
      <c r="A2448" s="48" t="n"/>
      <c r="B2448" s="52" t="n"/>
      <c r="C2448" s="47">
        <f>IF(B2448="","",IFERROR(INDEX('隊員マスタ'!$B$5:$B$204,MATCH(B2448&amp;"",'隊員マスタ'!$F$5:$F$204,0)),IF(AK2448="","番号なし",AK2448)))</f>
        <v/>
      </c>
      <c r="D2448" s="47" t="n"/>
      <c r="E2448" s="47" t="n"/>
      <c r="F2448" s="47" t="n"/>
      <c r="G2448" s="47" t="n"/>
      <c r="H2448" s="47" t="n"/>
      <c r="I2448" s="47" t="n"/>
      <c r="J2448" s="47" t="n"/>
      <c r="K2448" s="47" t="n"/>
      <c r="L2448" s="47" t="n"/>
      <c r="M2448" s="47" t="n"/>
      <c r="N2448" s="47" t="n"/>
      <c r="O2448" s="47" t="n"/>
      <c r="P2448" s="47" t="n"/>
      <c r="Q2448" s="47" t="n"/>
      <c r="R2448" s="47" t="n"/>
      <c r="S2448" s="47" t="n"/>
      <c r="T2448" s="47" t="n"/>
      <c r="U2448" s="53" t="n"/>
      <c r="V2448" s="53" t="n"/>
      <c r="W2448" s="47" t="n"/>
      <c r="X2448" s="47" t="n"/>
      <c r="Y2448" s="47" t="n"/>
      <c r="Z2448" s="47" t="n"/>
      <c r="AA2448" s="47" t="n"/>
      <c r="AB2448" s="47" t="n"/>
      <c r="AC2448" s="47" t="n"/>
      <c r="AD2448" s="47" t="n"/>
      <c r="AE2448" s="47" t="n"/>
      <c r="AF2448" s="20">
        <f>IF(A2448="","",YEAR(EDATE(A2448,-3)))</f>
        <v/>
      </c>
      <c r="AG2448" s="20">
        <f>IF(OR(B2448="",'経歴簿'!$C$4=""),"",IF(B2448&amp;""='経歴簿'!$C$4&amp;"",MAX($AG$4:AG2447)+1,""))</f>
        <v/>
      </c>
      <c r="AH2448" s="20">
        <f>IF(A2448="",0,IF(AND(OR('CSV抽出'!$C$4="",A2448&gt;='CSV抽出'!$C$4),OR('CSV抽出'!$C$5="",A2448&lt;='CSV抽出'!$C$5),OR('CSV抽出'!$C$6="すべて",'CSV抽出'!$C$6="",D2448='CSV抽出'!$C$6),OR('CSV抽出'!$C$7="",B2448&amp;""='CSV抽出'!$C$7&amp;"")),1,0))</f>
        <v/>
      </c>
      <c r="AI2448" s="20">
        <f>IF(AH2448=1,SUM($AH$5:AH2448),"")</f>
        <v/>
      </c>
      <c r="AJ2448" s="20">
        <f>IF(OR(S2448="",'報告書'!$C$4=""),"",IF(S2448&amp;""='報告書'!$C$4&amp;"",COUNTIF($S$5:S2448,'報告書'!$C$4),""))</f>
        <v/>
      </c>
      <c r="AK2448" s="20" t="n"/>
      <c r="AL2448" s="47" t="n"/>
      <c r="AM2448" s="47" t="n"/>
      <c r="AN2448" s="53" t="n"/>
      <c r="AO2448" s="47" t="n"/>
      <c r="AP2448" s="47" t="n"/>
      <c r="AQ2448" s="47" t="n"/>
      <c r="AR2448" s="47" t="n"/>
      <c r="AS2448" s="47" t="n"/>
      <c r="AT2448" s="47" t="n"/>
      <c r="AU2448" s="47" t="n"/>
      <c r="AV2448" s="47" t="n"/>
      <c r="AW2448" s="52" t="n"/>
    </row>
    <row r="2449">
      <c r="A2449" s="48" t="n"/>
      <c r="B2449" s="52" t="n"/>
      <c r="C2449" s="47">
        <f>IF(B2449="","",IFERROR(INDEX('隊員マスタ'!$B$5:$B$204,MATCH(B2449&amp;"",'隊員マスタ'!$F$5:$F$204,0)),IF(AK2449="","番号なし",AK2449)))</f>
        <v/>
      </c>
      <c r="D2449" s="47" t="n"/>
      <c r="E2449" s="47" t="n"/>
      <c r="F2449" s="47" t="n"/>
      <c r="G2449" s="47" t="n"/>
      <c r="H2449" s="47" t="n"/>
      <c r="I2449" s="47" t="n"/>
      <c r="J2449" s="47" t="n"/>
      <c r="K2449" s="47" t="n"/>
      <c r="L2449" s="47" t="n"/>
      <c r="M2449" s="47" t="n"/>
      <c r="N2449" s="47" t="n"/>
      <c r="O2449" s="47" t="n"/>
      <c r="P2449" s="47" t="n"/>
      <c r="Q2449" s="47" t="n"/>
      <c r="R2449" s="47" t="n"/>
      <c r="S2449" s="47" t="n"/>
      <c r="T2449" s="47" t="n"/>
      <c r="U2449" s="53" t="n"/>
      <c r="V2449" s="53" t="n"/>
      <c r="W2449" s="47" t="n"/>
      <c r="X2449" s="47" t="n"/>
      <c r="Y2449" s="47" t="n"/>
      <c r="Z2449" s="47" t="n"/>
      <c r="AA2449" s="47" t="n"/>
      <c r="AB2449" s="47" t="n"/>
      <c r="AC2449" s="47" t="n"/>
      <c r="AD2449" s="47" t="n"/>
      <c r="AE2449" s="47" t="n"/>
      <c r="AF2449" s="20">
        <f>IF(A2449="","",YEAR(EDATE(A2449,-3)))</f>
        <v/>
      </c>
      <c r="AG2449" s="20">
        <f>IF(OR(B2449="",'経歴簿'!$C$4=""),"",IF(B2449&amp;""='経歴簿'!$C$4&amp;"",MAX($AG$4:AG2448)+1,""))</f>
        <v/>
      </c>
      <c r="AH2449" s="20">
        <f>IF(A2449="",0,IF(AND(OR('CSV抽出'!$C$4="",A2449&gt;='CSV抽出'!$C$4),OR('CSV抽出'!$C$5="",A2449&lt;='CSV抽出'!$C$5),OR('CSV抽出'!$C$6="すべて",'CSV抽出'!$C$6="",D2449='CSV抽出'!$C$6),OR('CSV抽出'!$C$7="",B2449&amp;""='CSV抽出'!$C$7&amp;"")),1,0))</f>
        <v/>
      </c>
      <c r="AI2449" s="20">
        <f>IF(AH2449=1,SUM($AH$5:AH2449),"")</f>
        <v/>
      </c>
      <c r="AJ2449" s="20">
        <f>IF(OR(S2449="",'報告書'!$C$4=""),"",IF(S2449&amp;""='報告書'!$C$4&amp;"",COUNTIF($S$5:S2449,'報告書'!$C$4),""))</f>
        <v/>
      </c>
      <c r="AK2449" s="20" t="n"/>
      <c r="AL2449" s="47" t="n"/>
      <c r="AM2449" s="47" t="n"/>
      <c r="AN2449" s="53" t="n"/>
      <c r="AO2449" s="47" t="n"/>
      <c r="AP2449" s="47" t="n"/>
      <c r="AQ2449" s="47" t="n"/>
      <c r="AR2449" s="47" t="n"/>
      <c r="AS2449" s="47" t="n"/>
      <c r="AT2449" s="47" t="n"/>
      <c r="AU2449" s="47" t="n"/>
      <c r="AV2449" s="47" t="n"/>
      <c r="AW2449" s="52" t="n"/>
    </row>
    <row r="2450">
      <c r="A2450" s="48" t="n"/>
      <c r="B2450" s="52" t="n"/>
      <c r="C2450" s="47">
        <f>IF(B2450="","",IFERROR(INDEX('隊員マスタ'!$B$5:$B$204,MATCH(B2450&amp;"",'隊員マスタ'!$F$5:$F$204,0)),IF(AK2450="","番号なし",AK2450)))</f>
        <v/>
      </c>
      <c r="D2450" s="47" t="n"/>
      <c r="E2450" s="47" t="n"/>
      <c r="F2450" s="47" t="n"/>
      <c r="G2450" s="47" t="n"/>
      <c r="H2450" s="47" t="n"/>
      <c r="I2450" s="47" t="n"/>
      <c r="J2450" s="47" t="n"/>
      <c r="K2450" s="47" t="n"/>
      <c r="L2450" s="47" t="n"/>
      <c r="M2450" s="47" t="n"/>
      <c r="N2450" s="47" t="n"/>
      <c r="O2450" s="47" t="n"/>
      <c r="P2450" s="47" t="n"/>
      <c r="Q2450" s="47" t="n"/>
      <c r="R2450" s="47" t="n"/>
      <c r="S2450" s="47" t="n"/>
      <c r="T2450" s="47" t="n"/>
      <c r="U2450" s="53" t="n"/>
      <c r="V2450" s="53" t="n"/>
      <c r="W2450" s="47" t="n"/>
      <c r="X2450" s="47" t="n"/>
      <c r="Y2450" s="47" t="n"/>
      <c r="Z2450" s="47" t="n"/>
      <c r="AA2450" s="47" t="n"/>
      <c r="AB2450" s="47" t="n"/>
      <c r="AC2450" s="47" t="n"/>
      <c r="AD2450" s="47" t="n"/>
      <c r="AE2450" s="47" t="n"/>
      <c r="AF2450" s="20">
        <f>IF(A2450="","",YEAR(EDATE(A2450,-3)))</f>
        <v/>
      </c>
      <c r="AG2450" s="20">
        <f>IF(OR(B2450="",'経歴簿'!$C$4=""),"",IF(B2450&amp;""='経歴簿'!$C$4&amp;"",MAX($AG$4:AG2449)+1,""))</f>
        <v/>
      </c>
      <c r="AH2450" s="20">
        <f>IF(A2450="",0,IF(AND(OR('CSV抽出'!$C$4="",A2450&gt;='CSV抽出'!$C$4),OR('CSV抽出'!$C$5="",A2450&lt;='CSV抽出'!$C$5),OR('CSV抽出'!$C$6="すべて",'CSV抽出'!$C$6="",D2450='CSV抽出'!$C$6),OR('CSV抽出'!$C$7="",B2450&amp;""='CSV抽出'!$C$7&amp;"")),1,0))</f>
        <v/>
      </c>
      <c r="AI2450" s="20">
        <f>IF(AH2450=1,SUM($AH$5:AH2450),"")</f>
        <v/>
      </c>
      <c r="AJ2450" s="20">
        <f>IF(OR(S2450="",'報告書'!$C$4=""),"",IF(S2450&amp;""='報告書'!$C$4&amp;"",COUNTIF($S$5:S2450,'報告書'!$C$4),""))</f>
        <v/>
      </c>
      <c r="AK2450" s="20" t="n"/>
      <c r="AL2450" s="47" t="n"/>
      <c r="AM2450" s="47" t="n"/>
      <c r="AN2450" s="53" t="n"/>
      <c r="AO2450" s="47" t="n"/>
      <c r="AP2450" s="47" t="n"/>
      <c r="AQ2450" s="47" t="n"/>
      <c r="AR2450" s="47" t="n"/>
      <c r="AS2450" s="47" t="n"/>
      <c r="AT2450" s="47" t="n"/>
      <c r="AU2450" s="47" t="n"/>
      <c r="AV2450" s="47" t="n"/>
      <c r="AW2450" s="52" t="n"/>
    </row>
    <row r="2451">
      <c r="A2451" s="48" t="n"/>
      <c r="B2451" s="52" t="n"/>
      <c r="C2451" s="47">
        <f>IF(B2451="","",IFERROR(INDEX('隊員マスタ'!$B$5:$B$204,MATCH(B2451&amp;"",'隊員マスタ'!$F$5:$F$204,0)),IF(AK2451="","番号なし",AK2451)))</f>
        <v/>
      </c>
      <c r="D2451" s="47" t="n"/>
      <c r="E2451" s="47" t="n"/>
      <c r="F2451" s="47" t="n"/>
      <c r="G2451" s="47" t="n"/>
      <c r="H2451" s="47" t="n"/>
      <c r="I2451" s="47" t="n"/>
      <c r="J2451" s="47" t="n"/>
      <c r="K2451" s="47" t="n"/>
      <c r="L2451" s="47" t="n"/>
      <c r="M2451" s="47" t="n"/>
      <c r="N2451" s="47" t="n"/>
      <c r="O2451" s="47" t="n"/>
      <c r="P2451" s="47" t="n"/>
      <c r="Q2451" s="47" t="n"/>
      <c r="R2451" s="47" t="n"/>
      <c r="S2451" s="47" t="n"/>
      <c r="T2451" s="47" t="n"/>
      <c r="U2451" s="53" t="n"/>
      <c r="V2451" s="53" t="n"/>
      <c r="W2451" s="47" t="n"/>
      <c r="X2451" s="47" t="n"/>
      <c r="Y2451" s="47" t="n"/>
      <c r="Z2451" s="47" t="n"/>
      <c r="AA2451" s="47" t="n"/>
      <c r="AB2451" s="47" t="n"/>
      <c r="AC2451" s="47" t="n"/>
      <c r="AD2451" s="47" t="n"/>
      <c r="AE2451" s="47" t="n"/>
      <c r="AF2451" s="20">
        <f>IF(A2451="","",YEAR(EDATE(A2451,-3)))</f>
        <v/>
      </c>
      <c r="AG2451" s="20">
        <f>IF(OR(B2451="",'経歴簿'!$C$4=""),"",IF(B2451&amp;""='経歴簿'!$C$4&amp;"",MAX($AG$4:AG2450)+1,""))</f>
        <v/>
      </c>
      <c r="AH2451" s="20">
        <f>IF(A2451="",0,IF(AND(OR('CSV抽出'!$C$4="",A2451&gt;='CSV抽出'!$C$4),OR('CSV抽出'!$C$5="",A2451&lt;='CSV抽出'!$C$5),OR('CSV抽出'!$C$6="すべて",'CSV抽出'!$C$6="",D2451='CSV抽出'!$C$6),OR('CSV抽出'!$C$7="",B2451&amp;""='CSV抽出'!$C$7&amp;"")),1,0))</f>
        <v/>
      </c>
      <c r="AI2451" s="20">
        <f>IF(AH2451=1,SUM($AH$5:AH2451),"")</f>
        <v/>
      </c>
      <c r="AJ2451" s="20">
        <f>IF(OR(S2451="",'報告書'!$C$4=""),"",IF(S2451&amp;""='報告書'!$C$4&amp;"",COUNTIF($S$5:S2451,'報告書'!$C$4),""))</f>
        <v/>
      </c>
      <c r="AK2451" s="20" t="n"/>
      <c r="AL2451" s="47" t="n"/>
      <c r="AM2451" s="47" t="n"/>
      <c r="AN2451" s="53" t="n"/>
      <c r="AO2451" s="47" t="n"/>
      <c r="AP2451" s="47" t="n"/>
      <c r="AQ2451" s="47" t="n"/>
      <c r="AR2451" s="47" t="n"/>
      <c r="AS2451" s="47" t="n"/>
      <c r="AT2451" s="47" t="n"/>
      <c r="AU2451" s="47" t="n"/>
      <c r="AV2451" s="47" t="n"/>
      <c r="AW2451" s="52" t="n"/>
    </row>
    <row r="2452">
      <c r="A2452" s="48" t="n"/>
      <c r="B2452" s="52" t="n"/>
      <c r="C2452" s="47">
        <f>IF(B2452="","",IFERROR(INDEX('隊員マスタ'!$B$5:$B$204,MATCH(B2452&amp;"",'隊員マスタ'!$F$5:$F$204,0)),IF(AK2452="","番号なし",AK2452)))</f>
        <v/>
      </c>
      <c r="D2452" s="47" t="n"/>
      <c r="E2452" s="47" t="n"/>
      <c r="F2452" s="47" t="n"/>
      <c r="G2452" s="47" t="n"/>
      <c r="H2452" s="47" t="n"/>
      <c r="I2452" s="47" t="n"/>
      <c r="J2452" s="47" t="n"/>
      <c r="K2452" s="47" t="n"/>
      <c r="L2452" s="47" t="n"/>
      <c r="M2452" s="47" t="n"/>
      <c r="N2452" s="47" t="n"/>
      <c r="O2452" s="47" t="n"/>
      <c r="P2452" s="47" t="n"/>
      <c r="Q2452" s="47" t="n"/>
      <c r="R2452" s="47" t="n"/>
      <c r="S2452" s="47" t="n"/>
      <c r="T2452" s="47" t="n"/>
      <c r="U2452" s="53" t="n"/>
      <c r="V2452" s="53" t="n"/>
      <c r="W2452" s="47" t="n"/>
      <c r="X2452" s="47" t="n"/>
      <c r="Y2452" s="47" t="n"/>
      <c r="Z2452" s="47" t="n"/>
      <c r="AA2452" s="47" t="n"/>
      <c r="AB2452" s="47" t="n"/>
      <c r="AC2452" s="47" t="n"/>
      <c r="AD2452" s="47" t="n"/>
      <c r="AE2452" s="47" t="n"/>
      <c r="AF2452" s="20">
        <f>IF(A2452="","",YEAR(EDATE(A2452,-3)))</f>
        <v/>
      </c>
      <c r="AG2452" s="20">
        <f>IF(OR(B2452="",'経歴簿'!$C$4=""),"",IF(B2452&amp;""='経歴簿'!$C$4&amp;"",MAX($AG$4:AG2451)+1,""))</f>
        <v/>
      </c>
      <c r="AH2452" s="20">
        <f>IF(A2452="",0,IF(AND(OR('CSV抽出'!$C$4="",A2452&gt;='CSV抽出'!$C$4),OR('CSV抽出'!$C$5="",A2452&lt;='CSV抽出'!$C$5),OR('CSV抽出'!$C$6="すべて",'CSV抽出'!$C$6="",D2452='CSV抽出'!$C$6),OR('CSV抽出'!$C$7="",B2452&amp;""='CSV抽出'!$C$7&amp;"")),1,0))</f>
        <v/>
      </c>
      <c r="AI2452" s="20">
        <f>IF(AH2452=1,SUM($AH$5:AH2452),"")</f>
        <v/>
      </c>
      <c r="AJ2452" s="20">
        <f>IF(OR(S2452="",'報告書'!$C$4=""),"",IF(S2452&amp;""='報告書'!$C$4&amp;"",COUNTIF($S$5:S2452,'報告書'!$C$4),""))</f>
        <v/>
      </c>
      <c r="AK2452" s="20" t="n"/>
      <c r="AL2452" s="47" t="n"/>
      <c r="AM2452" s="47" t="n"/>
      <c r="AN2452" s="53" t="n"/>
      <c r="AO2452" s="47" t="n"/>
      <c r="AP2452" s="47" t="n"/>
      <c r="AQ2452" s="47" t="n"/>
      <c r="AR2452" s="47" t="n"/>
      <c r="AS2452" s="47" t="n"/>
      <c r="AT2452" s="47" t="n"/>
      <c r="AU2452" s="47" t="n"/>
      <c r="AV2452" s="47" t="n"/>
      <c r="AW2452" s="52" t="n"/>
    </row>
    <row r="2453">
      <c r="A2453" s="48" t="n"/>
      <c r="B2453" s="52" t="n"/>
      <c r="C2453" s="47">
        <f>IF(B2453="","",IFERROR(INDEX('隊員マスタ'!$B$5:$B$204,MATCH(B2453&amp;"",'隊員マスタ'!$F$5:$F$204,0)),IF(AK2453="","番号なし",AK2453)))</f>
        <v/>
      </c>
      <c r="D2453" s="47" t="n"/>
      <c r="E2453" s="47" t="n"/>
      <c r="F2453" s="47" t="n"/>
      <c r="G2453" s="47" t="n"/>
      <c r="H2453" s="47" t="n"/>
      <c r="I2453" s="47" t="n"/>
      <c r="J2453" s="47" t="n"/>
      <c r="K2453" s="47" t="n"/>
      <c r="L2453" s="47" t="n"/>
      <c r="M2453" s="47" t="n"/>
      <c r="N2453" s="47" t="n"/>
      <c r="O2453" s="47" t="n"/>
      <c r="P2453" s="47" t="n"/>
      <c r="Q2453" s="47" t="n"/>
      <c r="R2453" s="47" t="n"/>
      <c r="S2453" s="47" t="n"/>
      <c r="T2453" s="47" t="n"/>
      <c r="U2453" s="53" t="n"/>
      <c r="V2453" s="53" t="n"/>
      <c r="W2453" s="47" t="n"/>
      <c r="X2453" s="47" t="n"/>
      <c r="Y2453" s="47" t="n"/>
      <c r="Z2453" s="47" t="n"/>
      <c r="AA2453" s="47" t="n"/>
      <c r="AB2453" s="47" t="n"/>
      <c r="AC2453" s="47" t="n"/>
      <c r="AD2453" s="47" t="n"/>
      <c r="AE2453" s="47" t="n"/>
      <c r="AF2453" s="20">
        <f>IF(A2453="","",YEAR(EDATE(A2453,-3)))</f>
        <v/>
      </c>
      <c r="AG2453" s="20">
        <f>IF(OR(B2453="",'経歴簿'!$C$4=""),"",IF(B2453&amp;""='経歴簿'!$C$4&amp;"",MAX($AG$4:AG2452)+1,""))</f>
        <v/>
      </c>
      <c r="AH2453" s="20">
        <f>IF(A2453="",0,IF(AND(OR('CSV抽出'!$C$4="",A2453&gt;='CSV抽出'!$C$4),OR('CSV抽出'!$C$5="",A2453&lt;='CSV抽出'!$C$5),OR('CSV抽出'!$C$6="すべて",'CSV抽出'!$C$6="",D2453='CSV抽出'!$C$6),OR('CSV抽出'!$C$7="",B2453&amp;""='CSV抽出'!$C$7&amp;"")),1,0))</f>
        <v/>
      </c>
      <c r="AI2453" s="20">
        <f>IF(AH2453=1,SUM($AH$5:AH2453),"")</f>
        <v/>
      </c>
      <c r="AJ2453" s="20">
        <f>IF(OR(S2453="",'報告書'!$C$4=""),"",IF(S2453&amp;""='報告書'!$C$4&amp;"",COUNTIF($S$5:S2453,'報告書'!$C$4),""))</f>
        <v/>
      </c>
      <c r="AK2453" s="20" t="n"/>
      <c r="AL2453" s="47" t="n"/>
      <c r="AM2453" s="47" t="n"/>
      <c r="AN2453" s="53" t="n"/>
      <c r="AO2453" s="47" t="n"/>
      <c r="AP2453" s="47" t="n"/>
      <c r="AQ2453" s="47" t="n"/>
      <c r="AR2453" s="47" t="n"/>
      <c r="AS2453" s="47" t="n"/>
      <c r="AT2453" s="47" t="n"/>
      <c r="AU2453" s="47" t="n"/>
      <c r="AV2453" s="47" t="n"/>
      <c r="AW2453" s="52" t="n"/>
    </row>
    <row r="2454">
      <c r="A2454" s="48" t="n"/>
      <c r="B2454" s="52" t="n"/>
      <c r="C2454" s="47">
        <f>IF(B2454="","",IFERROR(INDEX('隊員マスタ'!$B$5:$B$204,MATCH(B2454&amp;"",'隊員マスタ'!$F$5:$F$204,0)),IF(AK2454="","番号なし",AK2454)))</f>
        <v/>
      </c>
      <c r="D2454" s="47" t="n"/>
      <c r="E2454" s="47" t="n"/>
      <c r="F2454" s="47" t="n"/>
      <c r="G2454" s="47" t="n"/>
      <c r="H2454" s="47" t="n"/>
      <c r="I2454" s="47" t="n"/>
      <c r="J2454" s="47" t="n"/>
      <c r="K2454" s="47" t="n"/>
      <c r="L2454" s="47" t="n"/>
      <c r="M2454" s="47" t="n"/>
      <c r="N2454" s="47" t="n"/>
      <c r="O2454" s="47" t="n"/>
      <c r="P2454" s="47" t="n"/>
      <c r="Q2454" s="47" t="n"/>
      <c r="R2454" s="47" t="n"/>
      <c r="S2454" s="47" t="n"/>
      <c r="T2454" s="47" t="n"/>
      <c r="U2454" s="53" t="n"/>
      <c r="V2454" s="53" t="n"/>
      <c r="W2454" s="47" t="n"/>
      <c r="X2454" s="47" t="n"/>
      <c r="Y2454" s="47" t="n"/>
      <c r="Z2454" s="47" t="n"/>
      <c r="AA2454" s="47" t="n"/>
      <c r="AB2454" s="47" t="n"/>
      <c r="AC2454" s="47" t="n"/>
      <c r="AD2454" s="47" t="n"/>
      <c r="AE2454" s="47" t="n"/>
      <c r="AF2454" s="20">
        <f>IF(A2454="","",YEAR(EDATE(A2454,-3)))</f>
        <v/>
      </c>
      <c r="AG2454" s="20">
        <f>IF(OR(B2454="",'経歴簿'!$C$4=""),"",IF(B2454&amp;""='経歴簿'!$C$4&amp;"",MAX($AG$4:AG2453)+1,""))</f>
        <v/>
      </c>
      <c r="AH2454" s="20">
        <f>IF(A2454="",0,IF(AND(OR('CSV抽出'!$C$4="",A2454&gt;='CSV抽出'!$C$4),OR('CSV抽出'!$C$5="",A2454&lt;='CSV抽出'!$C$5),OR('CSV抽出'!$C$6="すべて",'CSV抽出'!$C$6="",D2454='CSV抽出'!$C$6),OR('CSV抽出'!$C$7="",B2454&amp;""='CSV抽出'!$C$7&amp;"")),1,0))</f>
        <v/>
      </c>
      <c r="AI2454" s="20">
        <f>IF(AH2454=1,SUM($AH$5:AH2454),"")</f>
        <v/>
      </c>
      <c r="AJ2454" s="20">
        <f>IF(OR(S2454="",'報告書'!$C$4=""),"",IF(S2454&amp;""='報告書'!$C$4&amp;"",COUNTIF($S$5:S2454,'報告書'!$C$4),""))</f>
        <v/>
      </c>
      <c r="AK2454" s="20" t="n"/>
      <c r="AL2454" s="47" t="n"/>
      <c r="AM2454" s="47" t="n"/>
      <c r="AN2454" s="53" t="n"/>
      <c r="AO2454" s="47" t="n"/>
      <c r="AP2454" s="47" t="n"/>
      <c r="AQ2454" s="47" t="n"/>
      <c r="AR2454" s="47" t="n"/>
      <c r="AS2454" s="47" t="n"/>
      <c r="AT2454" s="47" t="n"/>
      <c r="AU2454" s="47" t="n"/>
      <c r="AV2454" s="47" t="n"/>
      <c r="AW2454" s="52" t="n"/>
    </row>
    <row r="2455">
      <c r="A2455" s="48" t="n"/>
      <c r="B2455" s="52" t="n"/>
      <c r="C2455" s="47">
        <f>IF(B2455="","",IFERROR(INDEX('隊員マスタ'!$B$5:$B$204,MATCH(B2455&amp;"",'隊員マスタ'!$F$5:$F$204,0)),IF(AK2455="","番号なし",AK2455)))</f>
        <v/>
      </c>
      <c r="D2455" s="47" t="n"/>
      <c r="E2455" s="47" t="n"/>
      <c r="F2455" s="47" t="n"/>
      <c r="G2455" s="47" t="n"/>
      <c r="H2455" s="47" t="n"/>
      <c r="I2455" s="47" t="n"/>
      <c r="J2455" s="47" t="n"/>
      <c r="K2455" s="47" t="n"/>
      <c r="L2455" s="47" t="n"/>
      <c r="M2455" s="47" t="n"/>
      <c r="N2455" s="47" t="n"/>
      <c r="O2455" s="47" t="n"/>
      <c r="P2455" s="47" t="n"/>
      <c r="Q2455" s="47" t="n"/>
      <c r="R2455" s="47" t="n"/>
      <c r="S2455" s="47" t="n"/>
      <c r="T2455" s="47" t="n"/>
      <c r="U2455" s="53" t="n"/>
      <c r="V2455" s="53" t="n"/>
      <c r="W2455" s="47" t="n"/>
      <c r="X2455" s="47" t="n"/>
      <c r="Y2455" s="47" t="n"/>
      <c r="Z2455" s="47" t="n"/>
      <c r="AA2455" s="47" t="n"/>
      <c r="AB2455" s="47" t="n"/>
      <c r="AC2455" s="47" t="n"/>
      <c r="AD2455" s="47" t="n"/>
      <c r="AE2455" s="47" t="n"/>
      <c r="AF2455" s="20">
        <f>IF(A2455="","",YEAR(EDATE(A2455,-3)))</f>
        <v/>
      </c>
      <c r="AG2455" s="20">
        <f>IF(OR(B2455="",'経歴簿'!$C$4=""),"",IF(B2455&amp;""='経歴簿'!$C$4&amp;"",MAX($AG$4:AG2454)+1,""))</f>
        <v/>
      </c>
      <c r="AH2455" s="20">
        <f>IF(A2455="",0,IF(AND(OR('CSV抽出'!$C$4="",A2455&gt;='CSV抽出'!$C$4),OR('CSV抽出'!$C$5="",A2455&lt;='CSV抽出'!$C$5),OR('CSV抽出'!$C$6="すべて",'CSV抽出'!$C$6="",D2455='CSV抽出'!$C$6),OR('CSV抽出'!$C$7="",B2455&amp;""='CSV抽出'!$C$7&amp;"")),1,0))</f>
        <v/>
      </c>
      <c r="AI2455" s="20">
        <f>IF(AH2455=1,SUM($AH$5:AH2455),"")</f>
        <v/>
      </c>
      <c r="AJ2455" s="20">
        <f>IF(OR(S2455="",'報告書'!$C$4=""),"",IF(S2455&amp;""='報告書'!$C$4&amp;"",COUNTIF($S$5:S2455,'報告書'!$C$4),""))</f>
        <v/>
      </c>
      <c r="AK2455" s="20" t="n"/>
      <c r="AL2455" s="47" t="n"/>
      <c r="AM2455" s="47" t="n"/>
      <c r="AN2455" s="53" t="n"/>
      <c r="AO2455" s="47" t="n"/>
      <c r="AP2455" s="47" t="n"/>
      <c r="AQ2455" s="47" t="n"/>
      <c r="AR2455" s="47" t="n"/>
      <c r="AS2455" s="47" t="n"/>
      <c r="AT2455" s="47" t="n"/>
      <c r="AU2455" s="47" t="n"/>
      <c r="AV2455" s="47" t="n"/>
      <c r="AW2455" s="52" t="n"/>
    </row>
    <row r="2456">
      <c r="A2456" s="48" t="n"/>
      <c r="B2456" s="52" t="n"/>
      <c r="C2456" s="47">
        <f>IF(B2456="","",IFERROR(INDEX('隊員マスタ'!$B$5:$B$204,MATCH(B2456&amp;"",'隊員マスタ'!$F$5:$F$204,0)),IF(AK2456="","番号なし",AK2456)))</f>
        <v/>
      </c>
      <c r="D2456" s="47" t="n"/>
      <c r="E2456" s="47" t="n"/>
      <c r="F2456" s="47" t="n"/>
      <c r="G2456" s="47" t="n"/>
      <c r="H2456" s="47" t="n"/>
      <c r="I2456" s="47" t="n"/>
      <c r="J2456" s="47" t="n"/>
      <c r="K2456" s="47" t="n"/>
      <c r="L2456" s="47" t="n"/>
      <c r="M2456" s="47" t="n"/>
      <c r="N2456" s="47" t="n"/>
      <c r="O2456" s="47" t="n"/>
      <c r="P2456" s="47" t="n"/>
      <c r="Q2456" s="47" t="n"/>
      <c r="R2456" s="47" t="n"/>
      <c r="S2456" s="47" t="n"/>
      <c r="T2456" s="47" t="n"/>
      <c r="U2456" s="53" t="n"/>
      <c r="V2456" s="53" t="n"/>
      <c r="W2456" s="47" t="n"/>
      <c r="X2456" s="47" t="n"/>
      <c r="Y2456" s="47" t="n"/>
      <c r="Z2456" s="47" t="n"/>
      <c r="AA2456" s="47" t="n"/>
      <c r="AB2456" s="47" t="n"/>
      <c r="AC2456" s="47" t="n"/>
      <c r="AD2456" s="47" t="n"/>
      <c r="AE2456" s="47" t="n"/>
      <c r="AF2456" s="20">
        <f>IF(A2456="","",YEAR(EDATE(A2456,-3)))</f>
        <v/>
      </c>
      <c r="AG2456" s="20">
        <f>IF(OR(B2456="",'経歴簿'!$C$4=""),"",IF(B2456&amp;""='経歴簿'!$C$4&amp;"",MAX($AG$4:AG2455)+1,""))</f>
        <v/>
      </c>
      <c r="AH2456" s="20">
        <f>IF(A2456="",0,IF(AND(OR('CSV抽出'!$C$4="",A2456&gt;='CSV抽出'!$C$4),OR('CSV抽出'!$C$5="",A2456&lt;='CSV抽出'!$C$5),OR('CSV抽出'!$C$6="すべて",'CSV抽出'!$C$6="",D2456='CSV抽出'!$C$6),OR('CSV抽出'!$C$7="",B2456&amp;""='CSV抽出'!$C$7&amp;"")),1,0))</f>
        <v/>
      </c>
      <c r="AI2456" s="20">
        <f>IF(AH2456=1,SUM($AH$5:AH2456),"")</f>
        <v/>
      </c>
      <c r="AJ2456" s="20">
        <f>IF(OR(S2456="",'報告書'!$C$4=""),"",IF(S2456&amp;""='報告書'!$C$4&amp;"",COUNTIF($S$5:S2456,'報告書'!$C$4),""))</f>
        <v/>
      </c>
      <c r="AK2456" s="20" t="n"/>
      <c r="AL2456" s="47" t="n"/>
      <c r="AM2456" s="47" t="n"/>
      <c r="AN2456" s="53" t="n"/>
      <c r="AO2456" s="47" t="n"/>
      <c r="AP2456" s="47" t="n"/>
      <c r="AQ2456" s="47" t="n"/>
      <c r="AR2456" s="47" t="n"/>
      <c r="AS2456" s="47" t="n"/>
      <c r="AT2456" s="47" t="n"/>
      <c r="AU2456" s="47" t="n"/>
      <c r="AV2456" s="47" t="n"/>
      <c r="AW2456" s="52" t="n"/>
    </row>
    <row r="2457">
      <c r="A2457" s="48" t="n"/>
      <c r="B2457" s="52" t="n"/>
      <c r="C2457" s="47">
        <f>IF(B2457="","",IFERROR(INDEX('隊員マスタ'!$B$5:$B$204,MATCH(B2457&amp;"",'隊員マスタ'!$F$5:$F$204,0)),IF(AK2457="","番号なし",AK2457)))</f>
        <v/>
      </c>
      <c r="D2457" s="47" t="n"/>
      <c r="E2457" s="47" t="n"/>
      <c r="F2457" s="47" t="n"/>
      <c r="G2457" s="47" t="n"/>
      <c r="H2457" s="47" t="n"/>
      <c r="I2457" s="47" t="n"/>
      <c r="J2457" s="47" t="n"/>
      <c r="K2457" s="47" t="n"/>
      <c r="L2457" s="47" t="n"/>
      <c r="M2457" s="47" t="n"/>
      <c r="N2457" s="47" t="n"/>
      <c r="O2457" s="47" t="n"/>
      <c r="P2457" s="47" t="n"/>
      <c r="Q2457" s="47" t="n"/>
      <c r="R2457" s="47" t="n"/>
      <c r="S2457" s="47" t="n"/>
      <c r="T2457" s="47" t="n"/>
      <c r="U2457" s="53" t="n"/>
      <c r="V2457" s="53" t="n"/>
      <c r="W2457" s="47" t="n"/>
      <c r="X2457" s="47" t="n"/>
      <c r="Y2457" s="47" t="n"/>
      <c r="Z2457" s="47" t="n"/>
      <c r="AA2457" s="47" t="n"/>
      <c r="AB2457" s="47" t="n"/>
      <c r="AC2457" s="47" t="n"/>
      <c r="AD2457" s="47" t="n"/>
      <c r="AE2457" s="47" t="n"/>
      <c r="AF2457" s="20">
        <f>IF(A2457="","",YEAR(EDATE(A2457,-3)))</f>
        <v/>
      </c>
      <c r="AG2457" s="20">
        <f>IF(OR(B2457="",'経歴簿'!$C$4=""),"",IF(B2457&amp;""='経歴簿'!$C$4&amp;"",MAX($AG$4:AG2456)+1,""))</f>
        <v/>
      </c>
      <c r="AH2457" s="20">
        <f>IF(A2457="",0,IF(AND(OR('CSV抽出'!$C$4="",A2457&gt;='CSV抽出'!$C$4),OR('CSV抽出'!$C$5="",A2457&lt;='CSV抽出'!$C$5),OR('CSV抽出'!$C$6="すべて",'CSV抽出'!$C$6="",D2457='CSV抽出'!$C$6),OR('CSV抽出'!$C$7="",B2457&amp;""='CSV抽出'!$C$7&amp;"")),1,0))</f>
        <v/>
      </c>
      <c r="AI2457" s="20">
        <f>IF(AH2457=1,SUM($AH$5:AH2457),"")</f>
        <v/>
      </c>
      <c r="AJ2457" s="20">
        <f>IF(OR(S2457="",'報告書'!$C$4=""),"",IF(S2457&amp;""='報告書'!$C$4&amp;"",COUNTIF($S$5:S2457,'報告書'!$C$4),""))</f>
        <v/>
      </c>
      <c r="AK2457" s="20" t="n"/>
      <c r="AL2457" s="47" t="n"/>
      <c r="AM2457" s="47" t="n"/>
      <c r="AN2457" s="53" t="n"/>
      <c r="AO2457" s="47" t="n"/>
      <c r="AP2457" s="47" t="n"/>
      <c r="AQ2457" s="47" t="n"/>
      <c r="AR2457" s="47" t="n"/>
      <c r="AS2457" s="47" t="n"/>
      <c r="AT2457" s="47" t="n"/>
      <c r="AU2457" s="47" t="n"/>
      <c r="AV2457" s="47" t="n"/>
      <c r="AW2457" s="52" t="n"/>
    </row>
    <row r="2458">
      <c r="A2458" s="48" t="n"/>
      <c r="B2458" s="52" t="n"/>
      <c r="C2458" s="47">
        <f>IF(B2458="","",IFERROR(INDEX('隊員マスタ'!$B$5:$B$204,MATCH(B2458&amp;"",'隊員マスタ'!$F$5:$F$204,0)),IF(AK2458="","番号なし",AK2458)))</f>
        <v/>
      </c>
      <c r="D2458" s="47" t="n"/>
      <c r="E2458" s="47" t="n"/>
      <c r="F2458" s="47" t="n"/>
      <c r="G2458" s="47" t="n"/>
      <c r="H2458" s="47" t="n"/>
      <c r="I2458" s="47" t="n"/>
      <c r="J2458" s="47" t="n"/>
      <c r="K2458" s="47" t="n"/>
      <c r="L2458" s="47" t="n"/>
      <c r="M2458" s="47" t="n"/>
      <c r="N2458" s="47" t="n"/>
      <c r="O2458" s="47" t="n"/>
      <c r="P2458" s="47" t="n"/>
      <c r="Q2458" s="47" t="n"/>
      <c r="R2458" s="47" t="n"/>
      <c r="S2458" s="47" t="n"/>
      <c r="T2458" s="47" t="n"/>
      <c r="U2458" s="53" t="n"/>
      <c r="V2458" s="53" t="n"/>
      <c r="W2458" s="47" t="n"/>
      <c r="X2458" s="47" t="n"/>
      <c r="Y2458" s="47" t="n"/>
      <c r="Z2458" s="47" t="n"/>
      <c r="AA2458" s="47" t="n"/>
      <c r="AB2458" s="47" t="n"/>
      <c r="AC2458" s="47" t="n"/>
      <c r="AD2458" s="47" t="n"/>
      <c r="AE2458" s="47" t="n"/>
      <c r="AF2458" s="20">
        <f>IF(A2458="","",YEAR(EDATE(A2458,-3)))</f>
        <v/>
      </c>
      <c r="AG2458" s="20">
        <f>IF(OR(B2458="",'経歴簿'!$C$4=""),"",IF(B2458&amp;""='経歴簿'!$C$4&amp;"",MAX($AG$4:AG2457)+1,""))</f>
        <v/>
      </c>
      <c r="AH2458" s="20">
        <f>IF(A2458="",0,IF(AND(OR('CSV抽出'!$C$4="",A2458&gt;='CSV抽出'!$C$4),OR('CSV抽出'!$C$5="",A2458&lt;='CSV抽出'!$C$5),OR('CSV抽出'!$C$6="すべて",'CSV抽出'!$C$6="",D2458='CSV抽出'!$C$6),OR('CSV抽出'!$C$7="",B2458&amp;""='CSV抽出'!$C$7&amp;"")),1,0))</f>
        <v/>
      </c>
      <c r="AI2458" s="20">
        <f>IF(AH2458=1,SUM($AH$5:AH2458),"")</f>
        <v/>
      </c>
      <c r="AJ2458" s="20">
        <f>IF(OR(S2458="",'報告書'!$C$4=""),"",IF(S2458&amp;""='報告書'!$C$4&amp;"",COUNTIF($S$5:S2458,'報告書'!$C$4),""))</f>
        <v/>
      </c>
      <c r="AK2458" s="20" t="n"/>
      <c r="AL2458" s="47" t="n"/>
      <c r="AM2458" s="47" t="n"/>
      <c r="AN2458" s="53" t="n"/>
      <c r="AO2458" s="47" t="n"/>
      <c r="AP2458" s="47" t="n"/>
      <c r="AQ2458" s="47" t="n"/>
      <c r="AR2458" s="47" t="n"/>
      <c r="AS2458" s="47" t="n"/>
      <c r="AT2458" s="47" t="n"/>
      <c r="AU2458" s="47" t="n"/>
      <c r="AV2458" s="47" t="n"/>
      <c r="AW2458" s="52" t="n"/>
    </row>
    <row r="2459">
      <c r="A2459" s="48" t="n"/>
      <c r="B2459" s="52" t="n"/>
      <c r="C2459" s="47">
        <f>IF(B2459="","",IFERROR(INDEX('隊員マスタ'!$B$5:$B$204,MATCH(B2459&amp;"",'隊員マスタ'!$F$5:$F$204,0)),IF(AK2459="","番号なし",AK2459)))</f>
        <v/>
      </c>
      <c r="D2459" s="47" t="n"/>
      <c r="E2459" s="47" t="n"/>
      <c r="F2459" s="47" t="n"/>
      <c r="G2459" s="47" t="n"/>
      <c r="H2459" s="47" t="n"/>
      <c r="I2459" s="47" t="n"/>
      <c r="J2459" s="47" t="n"/>
      <c r="K2459" s="47" t="n"/>
      <c r="L2459" s="47" t="n"/>
      <c r="M2459" s="47" t="n"/>
      <c r="N2459" s="47" t="n"/>
      <c r="O2459" s="47" t="n"/>
      <c r="P2459" s="47" t="n"/>
      <c r="Q2459" s="47" t="n"/>
      <c r="R2459" s="47" t="n"/>
      <c r="S2459" s="47" t="n"/>
      <c r="T2459" s="47" t="n"/>
      <c r="U2459" s="53" t="n"/>
      <c r="V2459" s="53" t="n"/>
      <c r="W2459" s="47" t="n"/>
      <c r="X2459" s="47" t="n"/>
      <c r="Y2459" s="47" t="n"/>
      <c r="Z2459" s="47" t="n"/>
      <c r="AA2459" s="47" t="n"/>
      <c r="AB2459" s="47" t="n"/>
      <c r="AC2459" s="47" t="n"/>
      <c r="AD2459" s="47" t="n"/>
      <c r="AE2459" s="47" t="n"/>
      <c r="AF2459" s="20">
        <f>IF(A2459="","",YEAR(EDATE(A2459,-3)))</f>
        <v/>
      </c>
      <c r="AG2459" s="20">
        <f>IF(OR(B2459="",'経歴簿'!$C$4=""),"",IF(B2459&amp;""='経歴簿'!$C$4&amp;"",MAX($AG$4:AG2458)+1,""))</f>
        <v/>
      </c>
      <c r="AH2459" s="20">
        <f>IF(A2459="",0,IF(AND(OR('CSV抽出'!$C$4="",A2459&gt;='CSV抽出'!$C$4),OR('CSV抽出'!$C$5="",A2459&lt;='CSV抽出'!$C$5),OR('CSV抽出'!$C$6="すべて",'CSV抽出'!$C$6="",D2459='CSV抽出'!$C$6),OR('CSV抽出'!$C$7="",B2459&amp;""='CSV抽出'!$C$7&amp;"")),1,0))</f>
        <v/>
      </c>
      <c r="AI2459" s="20">
        <f>IF(AH2459=1,SUM($AH$5:AH2459),"")</f>
        <v/>
      </c>
      <c r="AJ2459" s="20">
        <f>IF(OR(S2459="",'報告書'!$C$4=""),"",IF(S2459&amp;""='報告書'!$C$4&amp;"",COUNTIF($S$5:S2459,'報告書'!$C$4),""))</f>
        <v/>
      </c>
      <c r="AK2459" s="20" t="n"/>
      <c r="AL2459" s="47" t="n"/>
      <c r="AM2459" s="47" t="n"/>
      <c r="AN2459" s="53" t="n"/>
      <c r="AO2459" s="47" t="n"/>
      <c r="AP2459" s="47" t="n"/>
      <c r="AQ2459" s="47" t="n"/>
      <c r="AR2459" s="47" t="n"/>
      <c r="AS2459" s="47" t="n"/>
      <c r="AT2459" s="47" t="n"/>
      <c r="AU2459" s="47" t="n"/>
      <c r="AV2459" s="47" t="n"/>
      <c r="AW2459" s="52" t="n"/>
    </row>
    <row r="2460">
      <c r="A2460" s="48" t="n"/>
      <c r="B2460" s="52" t="n"/>
      <c r="C2460" s="47">
        <f>IF(B2460="","",IFERROR(INDEX('隊員マスタ'!$B$5:$B$204,MATCH(B2460&amp;"",'隊員マスタ'!$F$5:$F$204,0)),IF(AK2460="","番号なし",AK2460)))</f>
        <v/>
      </c>
      <c r="D2460" s="47" t="n"/>
      <c r="E2460" s="47" t="n"/>
      <c r="F2460" s="47" t="n"/>
      <c r="G2460" s="47" t="n"/>
      <c r="H2460" s="47" t="n"/>
      <c r="I2460" s="47" t="n"/>
      <c r="J2460" s="47" t="n"/>
      <c r="K2460" s="47" t="n"/>
      <c r="L2460" s="47" t="n"/>
      <c r="M2460" s="47" t="n"/>
      <c r="N2460" s="47" t="n"/>
      <c r="O2460" s="47" t="n"/>
      <c r="P2460" s="47" t="n"/>
      <c r="Q2460" s="47" t="n"/>
      <c r="R2460" s="47" t="n"/>
      <c r="S2460" s="47" t="n"/>
      <c r="T2460" s="47" t="n"/>
      <c r="U2460" s="53" t="n"/>
      <c r="V2460" s="53" t="n"/>
      <c r="W2460" s="47" t="n"/>
      <c r="X2460" s="47" t="n"/>
      <c r="Y2460" s="47" t="n"/>
      <c r="Z2460" s="47" t="n"/>
      <c r="AA2460" s="47" t="n"/>
      <c r="AB2460" s="47" t="n"/>
      <c r="AC2460" s="47" t="n"/>
      <c r="AD2460" s="47" t="n"/>
      <c r="AE2460" s="47" t="n"/>
      <c r="AF2460" s="20">
        <f>IF(A2460="","",YEAR(EDATE(A2460,-3)))</f>
        <v/>
      </c>
      <c r="AG2460" s="20">
        <f>IF(OR(B2460="",'経歴簿'!$C$4=""),"",IF(B2460&amp;""='経歴簿'!$C$4&amp;"",MAX($AG$4:AG2459)+1,""))</f>
        <v/>
      </c>
      <c r="AH2460" s="20">
        <f>IF(A2460="",0,IF(AND(OR('CSV抽出'!$C$4="",A2460&gt;='CSV抽出'!$C$4),OR('CSV抽出'!$C$5="",A2460&lt;='CSV抽出'!$C$5),OR('CSV抽出'!$C$6="すべて",'CSV抽出'!$C$6="",D2460='CSV抽出'!$C$6),OR('CSV抽出'!$C$7="",B2460&amp;""='CSV抽出'!$C$7&amp;"")),1,0))</f>
        <v/>
      </c>
      <c r="AI2460" s="20">
        <f>IF(AH2460=1,SUM($AH$5:AH2460),"")</f>
        <v/>
      </c>
      <c r="AJ2460" s="20">
        <f>IF(OR(S2460="",'報告書'!$C$4=""),"",IF(S2460&amp;""='報告書'!$C$4&amp;"",COUNTIF($S$5:S2460,'報告書'!$C$4),""))</f>
        <v/>
      </c>
      <c r="AK2460" s="20" t="n"/>
      <c r="AL2460" s="47" t="n"/>
      <c r="AM2460" s="47" t="n"/>
      <c r="AN2460" s="53" t="n"/>
      <c r="AO2460" s="47" t="n"/>
      <c r="AP2460" s="47" t="n"/>
      <c r="AQ2460" s="47" t="n"/>
      <c r="AR2460" s="47" t="n"/>
      <c r="AS2460" s="47" t="n"/>
      <c r="AT2460" s="47" t="n"/>
      <c r="AU2460" s="47" t="n"/>
      <c r="AV2460" s="47" t="n"/>
      <c r="AW2460" s="52" t="n"/>
    </row>
    <row r="2461">
      <c r="A2461" s="48" t="n"/>
      <c r="B2461" s="52" t="n"/>
      <c r="C2461" s="47">
        <f>IF(B2461="","",IFERROR(INDEX('隊員マスタ'!$B$5:$B$204,MATCH(B2461&amp;"",'隊員マスタ'!$F$5:$F$204,0)),IF(AK2461="","番号なし",AK2461)))</f>
        <v/>
      </c>
      <c r="D2461" s="47" t="n"/>
      <c r="E2461" s="47" t="n"/>
      <c r="F2461" s="47" t="n"/>
      <c r="G2461" s="47" t="n"/>
      <c r="H2461" s="47" t="n"/>
      <c r="I2461" s="47" t="n"/>
      <c r="J2461" s="47" t="n"/>
      <c r="K2461" s="47" t="n"/>
      <c r="L2461" s="47" t="n"/>
      <c r="M2461" s="47" t="n"/>
      <c r="N2461" s="47" t="n"/>
      <c r="O2461" s="47" t="n"/>
      <c r="P2461" s="47" t="n"/>
      <c r="Q2461" s="47" t="n"/>
      <c r="R2461" s="47" t="n"/>
      <c r="S2461" s="47" t="n"/>
      <c r="T2461" s="47" t="n"/>
      <c r="U2461" s="53" t="n"/>
      <c r="V2461" s="53" t="n"/>
      <c r="W2461" s="47" t="n"/>
      <c r="X2461" s="47" t="n"/>
      <c r="Y2461" s="47" t="n"/>
      <c r="Z2461" s="47" t="n"/>
      <c r="AA2461" s="47" t="n"/>
      <c r="AB2461" s="47" t="n"/>
      <c r="AC2461" s="47" t="n"/>
      <c r="AD2461" s="47" t="n"/>
      <c r="AE2461" s="47" t="n"/>
      <c r="AF2461" s="20">
        <f>IF(A2461="","",YEAR(EDATE(A2461,-3)))</f>
        <v/>
      </c>
      <c r="AG2461" s="20">
        <f>IF(OR(B2461="",'経歴簿'!$C$4=""),"",IF(B2461&amp;""='経歴簿'!$C$4&amp;"",MAX($AG$4:AG2460)+1,""))</f>
        <v/>
      </c>
      <c r="AH2461" s="20">
        <f>IF(A2461="",0,IF(AND(OR('CSV抽出'!$C$4="",A2461&gt;='CSV抽出'!$C$4),OR('CSV抽出'!$C$5="",A2461&lt;='CSV抽出'!$C$5),OR('CSV抽出'!$C$6="すべて",'CSV抽出'!$C$6="",D2461='CSV抽出'!$C$6),OR('CSV抽出'!$C$7="",B2461&amp;""='CSV抽出'!$C$7&amp;"")),1,0))</f>
        <v/>
      </c>
      <c r="AI2461" s="20">
        <f>IF(AH2461=1,SUM($AH$5:AH2461),"")</f>
        <v/>
      </c>
      <c r="AJ2461" s="20">
        <f>IF(OR(S2461="",'報告書'!$C$4=""),"",IF(S2461&amp;""='報告書'!$C$4&amp;"",COUNTIF($S$5:S2461,'報告書'!$C$4),""))</f>
        <v/>
      </c>
      <c r="AK2461" s="20" t="n"/>
      <c r="AL2461" s="47" t="n"/>
      <c r="AM2461" s="47" t="n"/>
      <c r="AN2461" s="53" t="n"/>
      <c r="AO2461" s="47" t="n"/>
      <c r="AP2461" s="47" t="n"/>
      <c r="AQ2461" s="47" t="n"/>
      <c r="AR2461" s="47" t="n"/>
      <c r="AS2461" s="47" t="n"/>
      <c r="AT2461" s="47" t="n"/>
      <c r="AU2461" s="47" t="n"/>
      <c r="AV2461" s="47" t="n"/>
      <c r="AW2461" s="52" t="n"/>
    </row>
    <row r="2462">
      <c r="A2462" s="48" t="n"/>
      <c r="B2462" s="52" t="n"/>
      <c r="C2462" s="47">
        <f>IF(B2462="","",IFERROR(INDEX('隊員マスタ'!$B$5:$B$204,MATCH(B2462&amp;"",'隊員マスタ'!$F$5:$F$204,0)),IF(AK2462="","番号なし",AK2462)))</f>
        <v/>
      </c>
      <c r="D2462" s="47" t="n"/>
      <c r="E2462" s="47" t="n"/>
      <c r="F2462" s="47" t="n"/>
      <c r="G2462" s="47" t="n"/>
      <c r="H2462" s="47" t="n"/>
      <c r="I2462" s="47" t="n"/>
      <c r="J2462" s="47" t="n"/>
      <c r="K2462" s="47" t="n"/>
      <c r="L2462" s="47" t="n"/>
      <c r="M2462" s="47" t="n"/>
      <c r="N2462" s="47" t="n"/>
      <c r="O2462" s="47" t="n"/>
      <c r="P2462" s="47" t="n"/>
      <c r="Q2462" s="47" t="n"/>
      <c r="R2462" s="47" t="n"/>
      <c r="S2462" s="47" t="n"/>
      <c r="T2462" s="47" t="n"/>
      <c r="U2462" s="53" t="n"/>
      <c r="V2462" s="53" t="n"/>
      <c r="W2462" s="47" t="n"/>
      <c r="X2462" s="47" t="n"/>
      <c r="Y2462" s="47" t="n"/>
      <c r="Z2462" s="47" t="n"/>
      <c r="AA2462" s="47" t="n"/>
      <c r="AB2462" s="47" t="n"/>
      <c r="AC2462" s="47" t="n"/>
      <c r="AD2462" s="47" t="n"/>
      <c r="AE2462" s="47" t="n"/>
      <c r="AF2462" s="20">
        <f>IF(A2462="","",YEAR(EDATE(A2462,-3)))</f>
        <v/>
      </c>
      <c r="AG2462" s="20">
        <f>IF(OR(B2462="",'経歴簿'!$C$4=""),"",IF(B2462&amp;""='経歴簿'!$C$4&amp;"",MAX($AG$4:AG2461)+1,""))</f>
        <v/>
      </c>
      <c r="AH2462" s="20">
        <f>IF(A2462="",0,IF(AND(OR('CSV抽出'!$C$4="",A2462&gt;='CSV抽出'!$C$4),OR('CSV抽出'!$C$5="",A2462&lt;='CSV抽出'!$C$5),OR('CSV抽出'!$C$6="すべて",'CSV抽出'!$C$6="",D2462='CSV抽出'!$C$6),OR('CSV抽出'!$C$7="",B2462&amp;""='CSV抽出'!$C$7&amp;"")),1,0))</f>
        <v/>
      </c>
      <c r="AI2462" s="20">
        <f>IF(AH2462=1,SUM($AH$5:AH2462),"")</f>
        <v/>
      </c>
      <c r="AJ2462" s="20">
        <f>IF(OR(S2462="",'報告書'!$C$4=""),"",IF(S2462&amp;""='報告書'!$C$4&amp;"",COUNTIF($S$5:S2462,'報告書'!$C$4),""))</f>
        <v/>
      </c>
      <c r="AK2462" s="20" t="n"/>
      <c r="AL2462" s="47" t="n"/>
      <c r="AM2462" s="47" t="n"/>
      <c r="AN2462" s="53" t="n"/>
      <c r="AO2462" s="47" t="n"/>
      <c r="AP2462" s="47" t="n"/>
      <c r="AQ2462" s="47" t="n"/>
      <c r="AR2462" s="47" t="n"/>
      <c r="AS2462" s="47" t="n"/>
      <c r="AT2462" s="47" t="n"/>
      <c r="AU2462" s="47" t="n"/>
      <c r="AV2462" s="47" t="n"/>
      <c r="AW2462" s="52" t="n"/>
    </row>
    <row r="2463">
      <c r="A2463" s="48" t="n"/>
      <c r="B2463" s="52" t="n"/>
      <c r="C2463" s="47">
        <f>IF(B2463="","",IFERROR(INDEX('隊員マスタ'!$B$5:$B$204,MATCH(B2463&amp;"",'隊員マスタ'!$F$5:$F$204,0)),IF(AK2463="","番号なし",AK2463)))</f>
        <v/>
      </c>
      <c r="D2463" s="47" t="n"/>
      <c r="E2463" s="47" t="n"/>
      <c r="F2463" s="47" t="n"/>
      <c r="G2463" s="47" t="n"/>
      <c r="H2463" s="47" t="n"/>
      <c r="I2463" s="47" t="n"/>
      <c r="J2463" s="47" t="n"/>
      <c r="K2463" s="47" t="n"/>
      <c r="L2463" s="47" t="n"/>
      <c r="M2463" s="47" t="n"/>
      <c r="N2463" s="47" t="n"/>
      <c r="O2463" s="47" t="n"/>
      <c r="P2463" s="47" t="n"/>
      <c r="Q2463" s="47" t="n"/>
      <c r="R2463" s="47" t="n"/>
      <c r="S2463" s="47" t="n"/>
      <c r="T2463" s="47" t="n"/>
      <c r="U2463" s="53" t="n"/>
      <c r="V2463" s="53" t="n"/>
      <c r="W2463" s="47" t="n"/>
      <c r="X2463" s="47" t="n"/>
      <c r="Y2463" s="47" t="n"/>
      <c r="Z2463" s="47" t="n"/>
      <c r="AA2463" s="47" t="n"/>
      <c r="AB2463" s="47" t="n"/>
      <c r="AC2463" s="47" t="n"/>
      <c r="AD2463" s="47" t="n"/>
      <c r="AE2463" s="47" t="n"/>
      <c r="AF2463" s="20">
        <f>IF(A2463="","",YEAR(EDATE(A2463,-3)))</f>
        <v/>
      </c>
      <c r="AG2463" s="20">
        <f>IF(OR(B2463="",'経歴簿'!$C$4=""),"",IF(B2463&amp;""='経歴簿'!$C$4&amp;"",MAX($AG$4:AG2462)+1,""))</f>
        <v/>
      </c>
      <c r="AH2463" s="20">
        <f>IF(A2463="",0,IF(AND(OR('CSV抽出'!$C$4="",A2463&gt;='CSV抽出'!$C$4),OR('CSV抽出'!$C$5="",A2463&lt;='CSV抽出'!$C$5),OR('CSV抽出'!$C$6="すべて",'CSV抽出'!$C$6="",D2463='CSV抽出'!$C$6),OR('CSV抽出'!$C$7="",B2463&amp;""='CSV抽出'!$C$7&amp;"")),1,0))</f>
        <v/>
      </c>
      <c r="AI2463" s="20">
        <f>IF(AH2463=1,SUM($AH$5:AH2463),"")</f>
        <v/>
      </c>
      <c r="AJ2463" s="20">
        <f>IF(OR(S2463="",'報告書'!$C$4=""),"",IF(S2463&amp;""='報告書'!$C$4&amp;"",COUNTIF($S$5:S2463,'報告書'!$C$4),""))</f>
        <v/>
      </c>
      <c r="AK2463" s="20" t="n"/>
      <c r="AL2463" s="47" t="n"/>
      <c r="AM2463" s="47" t="n"/>
      <c r="AN2463" s="53" t="n"/>
      <c r="AO2463" s="47" t="n"/>
      <c r="AP2463" s="47" t="n"/>
      <c r="AQ2463" s="47" t="n"/>
      <c r="AR2463" s="47" t="n"/>
      <c r="AS2463" s="47" t="n"/>
      <c r="AT2463" s="47" t="n"/>
      <c r="AU2463" s="47" t="n"/>
      <c r="AV2463" s="47" t="n"/>
      <c r="AW2463" s="52" t="n"/>
    </row>
    <row r="2464">
      <c r="A2464" s="48" t="n"/>
      <c r="B2464" s="52" t="n"/>
      <c r="C2464" s="47">
        <f>IF(B2464="","",IFERROR(INDEX('隊員マスタ'!$B$5:$B$204,MATCH(B2464&amp;"",'隊員マスタ'!$F$5:$F$204,0)),IF(AK2464="","番号なし",AK2464)))</f>
        <v/>
      </c>
      <c r="D2464" s="47" t="n"/>
      <c r="E2464" s="47" t="n"/>
      <c r="F2464" s="47" t="n"/>
      <c r="G2464" s="47" t="n"/>
      <c r="H2464" s="47" t="n"/>
      <c r="I2464" s="47" t="n"/>
      <c r="J2464" s="47" t="n"/>
      <c r="K2464" s="47" t="n"/>
      <c r="L2464" s="47" t="n"/>
      <c r="M2464" s="47" t="n"/>
      <c r="N2464" s="47" t="n"/>
      <c r="O2464" s="47" t="n"/>
      <c r="P2464" s="47" t="n"/>
      <c r="Q2464" s="47" t="n"/>
      <c r="R2464" s="47" t="n"/>
      <c r="S2464" s="47" t="n"/>
      <c r="T2464" s="47" t="n"/>
      <c r="U2464" s="53" t="n"/>
      <c r="V2464" s="53" t="n"/>
      <c r="W2464" s="47" t="n"/>
      <c r="X2464" s="47" t="n"/>
      <c r="Y2464" s="47" t="n"/>
      <c r="Z2464" s="47" t="n"/>
      <c r="AA2464" s="47" t="n"/>
      <c r="AB2464" s="47" t="n"/>
      <c r="AC2464" s="47" t="n"/>
      <c r="AD2464" s="47" t="n"/>
      <c r="AE2464" s="47" t="n"/>
      <c r="AF2464" s="20">
        <f>IF(A2464="","",YEAR(EDATE(A2464,-3)))</f>
        <v/>
      </c>
      <c r="AG2464" s="20">
        <f>IF(OR(B2464="",'経歴簿'!$C$4=""),"",IF(B2464&amp;""='経歴簿'!$C$4&amp;"",MAX($AG$4:AG2463)+1,""))</f>
        <v/>
      </c>
      <c r="AH2464" s="20">
        <f>IF(A2464="",0,IF(AND(OR('CSV抽出'!$C$4="",A2464&gt;='CSV抽出'!$C$4),OR('CSV抽出'!$C$5="",A2464&lt;='CSV抽出'!$C$5),OR('CSV抽出'!$C$6="すべて",'CSV抽出'!$C$6="",D2464='CSV抽出'!$C$6),OR('CSV抽出'!$C$7="",B2464&amp;""='CSV抽出'!$C$7&amp;"")),1,0))</f>
        <v/>
      </c>
      <c r="AI2464" s="20">
        <f>IF(AH2464=1,SUM($AH$5:AH2464),"")</f>
        <v/>
      </c>
      <c r="AJ2464" s="20">
        <f>IF(OR(S2464="",'報告書'!$C$4=""),"",IF(S2464&amp;""='報告書'!$C$4&amp;"",COUNTIF($S$5:S2464,'報告書'!$C$4),""))</f>
        <v/>
      </c>
      <c r="AK2464" s="20" t="n"/>
      <c r="AL2464" s="47" t="n"/>
      <c r="AM2464" s="47" t="n"/>
      <c r="AN2464" s="53" t="n"/>
      <c r="AO2464" s="47" t="n"/>
      <c r="AP2464" s="47" t="n"/>
      <c r="AQ2464" s="47" t="n"/>
      <c r="AR2464" s="47" t="n"/>
      <c r="AS2464" s="47" t="n"/>
      <c r="AT2464" s="47" t="n"/>
      <c r="AU2464" s="47" t="n"/>
      <c r="AV2464" s="47" t="n"/>
      <c r="AW2464" s="52" t="n"/>
    </row>
    <row r="2465">
      <c r="A2465" s="48" t="n"/>
      <c r="B2465" s="52" t="n"/>
      <c r="C2465" s="47">
        <f>IF(B2465="","",IFERROR(INDEX('隊員マスタ'!$B$5:$B$204,MATCH(B2465&amp;"",'隊員マスタ'!$F$5:$F$204,0)),IF(AK2465="","番号なし",AK2465)))</f>
        <v/>
      </c>
      <c r="D2465" s="47" t="n"/>
      <c r="E2465" s="47" t="n"/>
      <c r="F2465" s="47" t="n"/>
      <c r="G2465" s="47" t="n"/>
      <c r="H2465" s="47" t="n"/>
      <c r="I2465" s="47" t="n"/>
      <c r="J2465" s="47" t="n"/>
      <c r="K2465" s="47" t="n"/>
      <c r="L2465" s="47" t="n"/>
      <c r="M2465" s="47" t="n"/>
      <c r="N2465" s="47" t="n"/>
      <c r="O2465" s="47" t="n"/>
      <c r="P2465" s="47" t="n"/>
      <c r="Q2465" s="47" t="n"/>
      <c r="R2465" s="47" t="n"/>
      <c r="S2465" s="47" t="n"/>
      <c r="T2465" s="47" t="n"/>
      <c r="U2465" s="53" t="n"/>
      <c r="V2465" s="53" t="n"/>
      <c r="W2465" s="47" t="n"/>
      <c r="X2465" s="47" t="n"/>
      <c r="Y2465" s="47" t="n"/>
      <c r="Z2465" s="47" t="n"/>
      <c r="AA2465" s="47" t="n"/>
      <c r="AB2465" s="47" t="n"/>
      <c r="AC2465" s="47" t="n"/>
      <c r="AD2465" s="47" t="n"/>
      <c r="AE2465" s="47" t="n"/>
      <c r="AF2465" s="20">
        <f>IF(A2465="","",YEAR(EDATE(A2465,-3)))</f>
        <v/>
      </c>
      <c r="AG2465" s="20">
        <f>IF(OR(B2465="",'経歴簿'!$C$4=""),"",IF(B2465&amp;""='経歴簿'!$C$4&amp;"",MAX($AG$4:AG2464)+1,""))</f>
        <v/>
      </c>
      <c r="AH2465" s="20">
        <f>IF(A2465="",0,IF(AND(OR('CSV抽出'!$C$4="",A2465&gt;='CSV抽出'!$C$4),OR('CSV抽出'!$C$5="",A2465&lt;='CSV抽出'!$C$5),OR('CSV抽出'!$C$6="すべて",'CSV抽出'!$C$6="",D2465='CSV抽出'!$C$6),OR('CSV抽出'!$C$7="",B2465&amp;""='CSV抽出'!$C$7&amp;"")),1,0))</f>
        <v/>
      </c>
      <c r="AI2465" s="20">
        <f>IF(AH2465=1,SUM($AH$5:AH2465),"")</f>
        <v/>
      </c>
      <c r="AJ2465" s="20">
        <f>IF(OR(S2465="",'報告書'!$C$4=""),"",IF(S2465&amp;""='報告書'!$C$4&amp;"",COUNTIF($S$5:S2465,'報告書'!$C$4),""))</f>
        <v/>
      </c>
      <c r="AK2465" s="20" t="n"/>
      <c r="AL2465" s="47" t="n"/>
      <c r="AM2465" s="47" t="n"/>
      <c r="AN2465" s="53" t="n"/>
      <c r="AO2465" s="47" t="n"/>
      <c r="AP2465" s="47" t="n"/>
      <c r="AQ2465" s="47" t="n"/>
      <c r="AR2465" s="47" t="n"/>
      <c r="AS2465" s="47" t="n"/>
      <c r="AT2465" s="47" t="n"/>
      <c r="AU2465" s="47" t="n"/>
      <c r="AV2465" s="47" t="n"/>
      <c r="AW2465" s="52" t="n"/>
    </row>
    <row r="2466">
      <c r="A2466" s="48" t="n"/>
      <c r="B2466" s="52" t="n"/>
      <c r="C2466" s="47">
        <f>IF(B2466="","",IFERROR(INDEX('隊員マスタ'!$B$5:$B$204,MATCH(B2466&amp;"",'隊員マスタ'!$F$5:$F$204,0)),IF(AK2466="","番号なし",AK2466)))</f>
        <v/>
      </c>
      <c r="D2466" s="47" t="n"/>
      <c r="E2466" s="47" t="n"/>
      <c r="F2466" s="47" t="n"/>
      <c r="G2466" s="47" t="n"/>
      <c r="H2466" s="47" t="n"/>
      <c r="I2466" s="47" t="n"/>
      <c r="J2466" s="47" t="n"/>
      <c r="K2466" s="47" t="n"/>
      <c r="L2466" s="47" t="n"/>
      <c r="M2466" s="47" t="n"/>
      <c r="N2466" s="47" t="n"/>
      <c r="O2466" s="47" t="n"/>
      <c r="P2466" s="47" t="n"/>
      <c r="Q2466" s="47" t="n"/>
      <c r="R2466" s="47" t="n"/>
      <c r="S2466" s="47" t="n"/>
      <c r="T2466" s="47" t="n"/>
      <c r="U2466" s="53" t="n"/>
      <c r="V2466" s="53" t="n"/>
      <c r="W2466" s="47" t="n"/>
      <c r="X2466" s="47" t="n"/>
      <c r="Y2466" s="47" t="n"/>
      <c r="Z2466" s="47" t="n"/>
      <c r="AA2466" s="47" t="n"/>
      <c r="AB2466" s="47" t="n"/>
      <c r="AC2466" s="47" t="n"/>
      <c r="AD2466" s="47" t="n"/>
      <c r="AE2466" s="47" t="n"/>
      <c r="AF2466" s="20">
        <f>IF(A2466="","",YEAR(EDATE(A2466,-3)))</f>
        <v/>
      </c>
      <c r="AG2466" s="20">
        <f>IF(OR(B2466="",'経歴簿'!$C$4=""),"",IF(B2466&amp;""='経歴簿'!$C$4&amp;"",MAX($AG$4:AG2465)+1,""))</f>
        <v/>
      </c>
      <c r="AH2466" s="20">
        <f>IF(A2466="",0,IF(AND(OR('CSV抽出'!$C$4="",A2466&gt;='CSV抽出'!$C$4),OR('CSV抽出'!$C$5="",A2466&lt;='CSV抽出'!$C$5),OR('CSV抽出'!$C$6="すべて",'CSV抽出'!$C$6="",D2466='CSV抽出'!$C$6),OR('CSV抽出'!$C$7="",B2466&amp;""='CSV抽出'!$C$7&amp;"")),1,0))</f>
        <v/>
      </c>
      <c r="AI2466" s="20">
        <f>IF(AH2466=1,SUM($AH$5:AH2466),"")</f>
        <v/>
      </c>
      <c r="AJ2466" s="20">
        <f>IF(OR(S2466="",'報告書'!$C$4=""),"",IF(S2466&amp;""='報告書'!$C$4&amp;"",COUNTIF($S$5:S2466,'報告書'!$C$4),""))</f>
        <v/>
      </c>
      <c r="AK2466" s="20" t="n"/>
      <c r="AL2466" s="47" t="n"/>
      <c r="AM2466" s="47" t="n"/>
      <c r="AN2466" s="53" t="n"/>
      <c r="AO2466" s="47" t="n"/>
      <c r="AP2466" s="47" t="n"/>
      <c r="AQ2466" s="47" t="n"/>
      <c r="AR2466" s="47" t="n"/>
      <c r="AS2466" s="47" t="n"/>
      <c r="AT2466" s="47" t="n"/>
      <c r="AU2466" s="47" t="n"/>
      <c r="AV2466" s="47" t="n"/>
      <c r="AW2466" s="52" t="n"/>
    </row>
    <row r="2467">
      <c r="A2467" s="48" t="n"/>
      <c r="B2467" s="52" t="n"/>
      <c r="C2467" s="47">
        <f>IF(B2467="","",IFERROR(INDEX('隊員マスタ'!$B$5:$B$204,MATCH(B2467&amp;"",'隊員マスタ'!$F$5:$F$204,0)),IF(AK2467="","番号なし",AK2467)))</f>
        <v/>
      </c>
      <c r="D2467" s="47" t="n"/>
      <c r="E2467" s="47" t="n"/>
      <c r="F2467" s="47" t="n"/>
      <c r="G2467" s="47" t="n"/>
      <c r="H2467" s="47" t="n"/>
      <c r="I2467" s="47" t="n"/>
      <c r="J2467" s="47" t="n"/>
      <c r="K2467" s="47" t="n"/>
      <c r="L2467" s="47" t="n"/>
      <c r="M2467" s="47" t="n"/>
      <c r="N2467" s="47" t="n"/>
      <c r="O2467" s="47" t="n"/>
      <c r="P2467" s="47" t="n"/>
      <c r="Q2467" s="47" t="n"/>
      <c r="R2467" s="47" t="n"/>
      <c r="S2467" s="47" t="n"/>
      <c r="T2467" s="47" t="n"/>
      <c r="U2467" s="53" t="n"/>
      <c r="V2467" s="53" t="n"/>
      <c r="W2467" s="47" t="n"/>
      <c r="X2467" s="47" t="n"/>
      <c r="Y2467" s="47" t="n"/>
      <c r="Z2467" s="47" t="n"/>
      <c r="AA2467" s="47" t="n"/>
      <c r="AB2467" s="47" t="n"/>
      <c r="AC2467" s="47" t="n"/>
      <c r="AD2467" s="47" t="n"/>
      <c r="AE2467" s="47" t="n"/>
      <c r="AF2467" s="20">
        <f>IF(A2467="","",YEAR(EDATE(A2467,-3)))</f>
        <v/>
      </c>
      <c r="AG2467" s="20">
        <f>IF(OR(B2467="",'経歴簿'!$C$4=""),"",IF(B2467&amp;""='経歴簿'!$C$4&amp;"",MAX($AG$4:AG2466)+1,""))</f>
        <v/>
      </c>
      <c r="AH2467" s="20">
        <f>IF(A2467="",0,IF(AND(OR('CSV抽出'!$C$4="",A2467&gt;='CSV抽出'!$C$4),OR('CSV抽出'!$C$5="",A2467&lt;='CSV抽出'!$C$5),OR('CSV抽出'!$C$6="すべて",'CSV抽出'!$C$6="",D2467='CSV抽出'!$C$6),OR('CSV抽出'!$C$7="",B2467&amp;""='CSV抽出'!$C$7&amp;"")),1,0))</f>
        <v/>
      </c>
      <c r="AI2467" s="20">
        <f>IF(AH2467=1,SUM($AH$5:AH2467),"")</f>
        <v/>
      </c>
      <c r="AJ2467" s="20">
        <f>IF(OR(S2467="",'報告書'!$C$4=""),"",IF(S2467&amp;""='報告書'!$C$4&amp;"",COUNTIF($S$5:S2467,'報告書'!$C$4),""))</f>
        <v/>
      </c>
      <c r="AK2467" s="20" t="n"/>
      <c r="AL2467" s="47" t="n"/>
      <c r="AM2467" s="47" t="n"/>
      <c r="AN2467" s="53" t="n"/>
      <c r="AO2467" s="47" t="n"/>
      <c r="AP2467" s="47" t="n"/>
      <c r="AQ2467" s="47" t="n"/>
      <c r="AR2467" s="47" t="n"/>
      <c r="AS2467" s="47" t="n"/>
      <c r="AT2467" s="47" t="n"/>
      <c r="AU2467" s="47" t="n"/>
      <c r="AV2467" s="47" t="n"/>
      <c r="AW2467" s="52" t="n"/>
    </row>
    <row r="2468">
      <c r="A2468" s="48" t="n"/>
      <c r="B2468" s="52" t="n"/>
      <c r="C2468" s="47">
        <f>IF(B2468="","",IFERROR(INDEX('隊員マスタ'!$B$5:$B$204,MATCH(B2468&amp;"",'隊員マスタ'!$F$5:$F$204,0)),IF(AK2468="","番号なし",AK2468)))</f>
        <v/>
      </c>
      <c r="D2468" s="47" t="n"/>
      <c r="E2468" s="47" t="n"/>
      <c r="F2468" s="47" t="n"/>
      <c r="G2468" s="47" t="n"/>
      <c r="H2468" s="47" t="n"/>
      <c r="I2468" s="47" t="n"/>
      <c r="J2468" s="47" t="n"/>
      <c r="K2468" s="47" t="n"/>
      <c r="L2468" s="47" t="n"/>
      <c r="M2468" s="47" t="n"/>
      <c r="N2468" s="47" t="n"/>
      <c r="O2468" s="47" t="n"/>
      <c r="P2468" s="47" t="n"/>
      <c r="Q2468" s="47" t="n"/>
      <c r="R2468" s="47" t="n"/>
      <c r="S2468" s="47" t="n"/>
      <c r="T2468" s="47" t="n"/>
      <c r="U2468" s="53" t="n"/>
      <c r="V2468" s="53" t="n"/>
      <c r="W2468" s="47" t="n"/>
      <c r="X2468" s="47" t="n"/>
      <c r="Y2468" s="47" t="n"/>
      <c r="Z2468" s="47" t="n"/>
      <c r="AA2468" s="47" t="n"/>
      <c r="AB2468" s="47" t="n"/>
      <c r="AC2468" s="47" t="n"/>
      <c r="AD2468" s="47" t="n"/>
      <c r="AE2468" s="47" t="n"/>
      <c r="AF2468" s="20">
        <f>IF(A2468="","",YEAR(EDATE(A2468,-3)))</f>
        <v/>
      </c>
      <c r="AG2468" s="20">
        <f>IF(OR(B2468="",'経歴簿'!$C$4=""),"",IF(B2468&amp;""='経歴簿'!$C$4&amp;"",MAX($AG$4:AG2467)+1,""))</f>
        <v/>
      </c>
      <c r="AH2468" s="20">
        <f>IF(A2468="",0,IF(AND(OR('CSV抽出'!$C$4="",A2468&gt;='CSV抽出'!$C$4),OR('CSV抽出'!$C$5="",A2468&lt;='CSV抽出'!$C$5),OR('CSV抽出'!$C$6="すべて",'CSV抽出'!$C$6="",D2468='CSV抽出'!$C$6),OR('CSV抽出'!$C$7="",B2468&amp;""='CSV抽出'!$C$7&amp;"")),1,0))</f>
        <v/>
      </c>
      <c r="AI2468" s="20">
        <f>IF(AH2468=1,SUM($AH$5:AH2468),"")</f>
        <v/>
      </c>
      <c r="AJ2468" s="20">
        <f>IF(OR(S2468="",'報告書'!$C$4=""),"",IF(S2468&amp;""='報告書'!$C$4&amp;"",COUNTIF($S$5:S2468,'報告書'!$C$4),""))</f>
        <v/>
      </c>
      <c r="AK2468" s="20" t="n"/>
      <c r="AL2468" s="47" t="n"/>
      <c r="AM2468" s="47" t="n"/>
      <c r="AN2468" s="53" t="n"/>
      <c r="AO2468" s="47" t="n"/>
      <c r="AP2468" s="47" t="n"/>
      <c r="AQ2468" s="47" t="n"/>
      <c r="AR2468" s="47" t="n"/>
      <c r="AS2468" s="47" t="n"/>
      <c r="AT2468" s="47" t="n"/>
      <c r="AU2468" s="47" t="n"/>
      <c r="AV2468" s="47" t="n"/>
      <c r="AW2468" s="52" t="n"/>
    </row>
    <row r="2469">
      <c r="A2469" s="48" t="n"/>
      <c r="B2469" s="52" t="n"/>
      <c r="C2469" s="47">
        <f>IF(B2469="","",IFERROR(INDEX('隊員マスタ'!$B$5:$B$204,MATCH(B2469&amp;"",'隊員マスタ'!$F$5:$F$204,0)),IF(AK2469="","番号なし",AK2469)))</f>
        <v/>
      </c>
      <c r="D2469" s="47" t="n"/>
      <c r="E2469" s="47" t="n"/>
      <c r="F2469" s="47" t="n"/>
      <c r="G2469" s="47" t="n"/>
      <c r="H2469" s="47" t="n"/>
      <c r="I2469" s="47" t="n"/>
      <c r="J2469" s="47" t="n"/>
      <c r="K2469" s="47" t="n"/>
      <c r="L2469" s="47" t="n"/>
      <c r="M2469" s="47" t="n"/>
      <c r="N2469" s="47" t="n"/>
      <c r="O2469" s="47" t="n"/>
      <c r="P2469" s="47" t="n"/>
      <c r="Q2469" s="47" t="n"/>
      <c r="R2469" s="47" t="n"/>
      <c r="S2469" s="47" t="n"/>
      <c r="T2469" s="47" t="n"/>
      <c r="U2469" s="53" t="n"/>
      <c r="V2469" s="53" t="n"/>
      <c r="W2469" s="47" t="n"/>
      <c r="X2469" s="47" t="n"/>
      <c r="Y2469" s="47" t="n"/>
      <c r="Z2469" s="47" t="n"/>
      <c r="AA2469" s="47" t="n"/>
      <c r="AB2469" s="47" t="n"/>
      <c r="AC2469" s="47" t="n"/>
      <c r="AD2469" s="47" t="n"/>
      <c r="AE2469" s="47" t="n"/>
      <c r="AF2469" s="20">
        <f>IF(A2469="","",YEAR(EDATE(A2469,-3)))</f>
        <v/>
      </c>
      <c r="AG2469" s="20">
        <f>IF(OR(B2469="",'経歴簿'!$C$4=""),"",IF(B2469&amp;""='経歴簿'!$C$4&amp;"",MAX($AG$4:AG2468)+1,""))</f>
        <v/>
      </c>
      <c r="AH2469" s="20">
        <f>IF(A2469="",0,IF(AND(OR('CSV抽出'!$C$4="",A2469&gt;='CSV抽出'!$C$4),OR('CSV抽出'!$C$5="",A2469&lt;='CSV抽出'!$C$5),OR('CSV抽出'!$C$6="すべて",'CSV抽出'!$C$6="",D2469='CSV抽出'!$C$6),OR('CSV抽出'!$C$7="",B2469&amp;""='CSV抽出'!$C$7&amp;"")),1,0))</f>
        <v/>
      </c>
      <c r="AI2469" s="20">
        <f>IF(AH2469=1,SUM($AH$5:AH2469),"")</f>
        <v/>
      </c>
      <c r="AJ2469" s="20">
        <f>IF(OR(S2469="",'報告書'!$C$4=""),"",IF(S2469&amp;""='報告書'!$C$4&amp;"",COUNTIF($S$5:S2469,'報告書'!$C$4),""))</f>
        <v/>
      </c>
      <c r="AK2469" s="20" t="n"/>
      <c r="AL2469" s="47" t="n"/>
      <c r="AM2469" s="47" t="n"/>
      <c r="AN2469" s="53" t="n"/>
      <c r="AO2469" s="47" t="n"/>
      <c r="AP2469" s="47" t="n"/>
      <c r="AQ2469" s="47" t="n"/>
      <c r="AR2469" s="47" t="n"/>
      <c r="AS2469" s="47" t="n"/>
      <c r="AT2469" s="47" t="n"/>
      <c r="AU2469" s="47" t="n"/>
      <c r="AV2469" s="47" t="n"/>
      <c r="AW2469" s="52" t="n"/>
    </row>
    <row r="2470">
      <c r="A2470" s="48" t="n"/>
      <c r="B2470" s="52" t="n"/>
      <c r="C2470" s="47">
        <f>IF(B2470="","",IFERROR(INDEX('隊員マスタ'!$B$5:$B$204,MATCH(B2470&amp;"",'隊員マスタ'!$F$5:$F$204,0)),IF(AK2470="","番号なし",AK2470)))</f>
        <v/>
      </c>
      <c r="D2470" s="47" t="n"/>
      <c r="E2470" s="47" t="n"/>
      <c r="F2470" s="47" t="n"/>
      <c r="G2470" s="47" t="n"/>
      <c r="H2470" s="47" t="n"/>
      <c r="I2470" s="47" t="n"/>
      <c r="J2470" s="47" t="n"/>
      <c r="K2470" s="47" t="n"/>
      <c r="L2470" s="47" t="n"/>
      <c r="M2470" s="47" t="n"/>
      <c r="N2470" s="47" t="n"/>
      <c r="O2470" s="47" t="n"/>
      <c r="P2470" s="47" t="n"/>
      <c r="Q2470" s="47" t="n"/>
      <c r="R2470" s="47" t="n"/>
      <c r="S2470" s="47" t="n"/>
      <c r="T2470" s="47" t="n"/>
      <c r="U2470" s="53" t="n"/>
      <c r="V2470" s="53" t="n"/>
      <c r="W2470" s="47" t="n"/>
      <c r="X2470" s="47" t="n"/>
      <c r="Y2470" s="47" t="n"/>
      <c r="Z2470" s="47" t="n"/>
      <c r="AA2470" s="47" t="n"/>
      <c r="AB2470" s="47" t="n"/>
      <c r="AC2470" s="47" t="n"/>
      <c r="AD2470" s="47" t="n"/>
      <c r="AE2470" s="47" t="n"/>
      <c r="AF2470" s="20">
        <f>IF(A2470="","",YEAR(EDATE(A2470,-3)))</f>
        <v/>
      </c>
      <c r="AG2470" s="20">
        <f>IF(OR(B2470="",'経歴簿'!$C$4=""),"",IF(B2470&amp;""='経歴簿'!$C$4&amp;"",MAX($AG$4:AG2469)+1,""))</f>
        <v/>
      </c>
      <c r="AH2470" s="20">
        <f>IF(A2470="",0,IF(AND(OR('CSV抽出'!$C$4="",A2470&gt;='CSV抽出'!$C$4),OR('CSV抽出'!$C$5="",A2470&lt;='CSV抽出'!$C$5),OR('CSV抽出'!$C$6="すべて",'CSV抽出'!$C$6="",D2470='CSV抽出'!$C$6),OR('CSV抽出'!$C$7="",B2470&amp;""='CSV抽出'!$C$7&amp;"")),1,0))</f>
        <v/>
      </c>
      <c r="AI2470" s="20">
        <f>IF(AH2470=1,SUM($AH$5:AH2470),"")</f>
        <v/>
      </c>
      <c r="AJ2470" s="20">
        <f>IF(OR(S2470="",'報告書'!$C$4=""),"",IF(S2470&amp;""='報告書'!$C$4&amp;"",COUNTIF($S$5:S2470,'報告書'!$C$4),""))</f>
        <v/>
      </c>
      <c r="AK2470" s="20" t="n"/>
      <c r="AL2470" s="47" t="n"/>
      <c r="AM2470" s="47" t="n"/>
      <c r="AN2470" s="53" t="n"/>
      <c r="AO2470" s="47" t="n"/>
      <c r="AP2470" s="47" t="n"/>
      <c r="AQ2470" s="47" t="n"/>
      <c r="AR2470" s="47" t="n"/>
      <c r="AS2470" s="47" t="n"/>
      <c r="AT2470" s="47" t="n"/>
      <c r="AU2470" s="47" t="n"/>
      <c r="AV2470" s="47" t="n"/>
      <c r="AW2470" s="52" t="n"/>
    </row>
    <row r="2471">
      <c r="A2471" s="48" t="n"/>
      <c r="B2471" s="52" t="n"/>
      <c r="C2471" s="47">
        <f>IF(B2471="","",IFERROR(INDEX('隊員マスタ'!$B$5:$B$204,MATCH(B2471&amp;"",'隊員マスタ'!$F$5:$F$204,0)),IF(AK2471="","番号なし",AK2471)))</f>
        <v/>
      </c>
      <c r="D2471" s="47" t="n"/>
      <c r="E2471" s="47" t="n"/>
      <c r="F2471" s="47" t="n"/>
      <c r="G2471" s="47" t="n"/>
      <c r="H2471" s="47" t="n"/>
      <c r="I2471" s="47" t="n"/>
      <c r="J2471" s="47" t="n"/>
      <c r="K2471" s="47" t="n"/>
      <c r="L2471" s="47" t="n"/>
      <c r="M2471" s="47" t="n"/>
      <c r="N2471" s="47" t="n"/>
      <c r="O2471" s="47" t="n"/>
      <c r="P2471" s="47" t="n"/>
      <c r="Q2471" s="47" t="n"/>
      <c r="R2471" s="47" t="n"/>
      <c r="S2471" s="47" t="n"/>
      <c r="T2471" s="47" t="n"/>
      <c r="U2471" s="53" t="n"/>
      <c r="V2471" s="53" t="n"/>
      <c r="W2471" s="47" t="n"/>
      <c r="X2471" s="47" t="n"/>
      <c r="Y2471" s="47" t="n"/>
      <c r="Z2471" s="47" t="n"/>
      <c r="AA2471" s="47" t="n"/>
      <c r="AB2471" s="47" t="n"/>
      <c r="AC2471" s="47" t="n"/>
      <c r="AD2471" s="47" t="n"/>
      <c r="AE2471" s="47" t="n"/>
      <c r="AF2471" s="20">
        <f>IF(A2471="","",YEAR(EDATE(A2471,-3)))</f>
        <v/>
      </c>
      <c r="AG2471" s="20">
        <f>IF(OR(B2471="",'経歴簿'!$C$4=""),"",IF(B2471&amp;""='経歴簿'!$C$4&amp;"",MAX($AG$4:AG2470)+1,""))</f>
        <v/>
      </c>
      <c r="AH2471" s="20">
        <f>IF(A2471="",0,IF(AND(OR('CSV抽出'!$C$4="",A2471&gt;='CSV抽出'!$C$4),OR('CSV抽出'!$C$5="",A2471&lt;='CSV抽出'!$C$5),OR('CSV抽出'!$C$6="すべて",'CSV抽出'!$C$6="",D2471='CSV抽出'!$C$6),OR('CSV抽出'!$C$7="",B2471&amp;""='CSV抽出'!$C$7&amp;"")),1,0))</f>
        <v/>
      </c>
      <c r="AI2471" s="20">
        <f>IF(AH2471=1,SUM($AH$5:AH2471),"")</f>
        <v/>
      </c>
      <c r="AJ2471" s="20">
        <f>IF(OR(S2471="",'報告書'!$C$4=""),"",IF(S2471&amp;""='報告書'!$C$4&amp;"",COUNTIF($S$5:S2471,'報告書'!$C$4),""))</f>
        <v/>
      </c>
      <c r="AK2471" s="20" t="n"/>
      <c r="AL2471" s="47" t="n"/>
      <c r="AM2471" s="47" t="n"/>
      <c r="AN2471" s="53" t="n"/>
      <c r="AO2471" s="47" t="n"/>
      <c r="AP2471" s="47" t="n"/>
      <c r="AQ2471" s="47" t="n"/>
      <c r="AR2471" s="47" t="n"/>
      <c r="AS2471" s="47" t="n"/>
      <c r="AT2471" s="47" t="n"/>
      <c r="AU2471" s="47" t="n"/>
      <c r="AV2471" s="47" t="n"/>
      <c r="AW2471" s="52" t="n"/>
    </row>
    <row r="2472">
      <c r="A2472" s="48" t="n"/>
      <c r="B2472" s="52" t="n"/>
      <c r="C2472" s="47">
        <f>IF(B2472="","",IFERROR(INDEX('隊員マスタ'!$B$5:$B$204,MATCH(B2472&amp;"",'隊員マスタ'!$F$5:$F$204,0)),IF(AK2472="","番号なし",AK2472)))</f>
        <v/>
      </c>
      <c r="D2472" s="47" t="n"/>
      <c r="E2472" s="47" t="n"/>
      <c r="F2472" s="47" t="n"/>
      <c r="G2472" s="47" t="n"/>
      <c r="H2472" s="47" t="n"/>
      <c r="I2472" s="47" t="n"/>
      <c r="J2472" s="47" t="n"/>
      <c r="K2472" s="47" t="n"/>
      <c r="L2472" s="47" t="n"/>
      <c r="M2472" s="47" t="n"/>
      <c r="N2472" s="47" t="n"/>
      <c r="O2472" s="47" t="n"/>
      <c r="P2472" s="47" t="n"/>
      <c r="Q2472" s="47" t="n"/>
      <c r="R2472" s="47" t="n"/>
      <c r="S2472" s="47" t="n"/>
      <c r="T2472" s="47" t="n"/>
      <c r="U2472" s="53" t="n"/>
      <c r="V2472" s="53" t="n"/>
      <c r="W2472" s="47" t="n"/>
      <c r="X2472" s="47" t="n"/>
      <c r="Y2472" s="47" t="n"/>
      <c r="Z2472" s="47" t="n"/>
      <c r="AA2472" s="47" t="n"/>
      <c r="AB2472" s="47" t="n"/>
      <c r="AC2472" s="47" t="n"/>
      <c r="AD2472" s="47" t="n"/>
      <c r="AE2472" s="47" t="n"/>
      <c r="AF2472" s="20">
        <f>IF(A2472="","",YEAR(EDATE(A2472,-3)))</f>
        <v/>
      </c>
      <c r="AG2472" s="20">
        <f>IF(OR(B2472="",'経歴簿'!$C$4=""),"",IF(B2472&amp;""='経歴簿'!$C$4&amp;"",MAX($AG$4:AG2471)+1,""))</f>
        <v/>
      </c>
      <c r="AH2472" s="20">
        <f>IF(A2472="",0,IF(AND(OR('CSV抽出'!$C$4="",A2472&gt;='CSV抽出'!$C$4),OR('CSV抽出'!$C$5="",A2472&lt;='CSV抽出'!$C$5),OR('CSV抽出'!$C$6="すべて",'CSV抽出'!$C$6="",D2472='CSV抽出'!$C$6),OR('CSV抽出'!$C$7="",B2472&amp;""='CSV抽出'!$C$7&amp;"")),1,0))</f>
        <v/>
      </c>
      <c r="AI2472" s="20">
        <f>IF(AH2472=1,SUM($AH$5:AH2472),"")</f>
        <v/>
      </c>
      <c r="AJ2472" s="20">
        <f>IF(OR(S2472="",'報告書'!$C$4=""),"",IF(S2472&amp;""='報告書'!$C$4&amp;"",COUNTIF($S$5:S2472,'報告書'!$C$4),""))</f>
        <v/>
      </c>
      <c r="AK2472" s="20" t="n"/>
      <c r="AL2472" s="47" t="n"/>
      <c r="AM2472" s="47" t="n"/>
      <c r="AN2472" s="53" t="n"/>
      <c r="AO2472" s="47" t="n"/>
      <c r="AP2472" s="47" t="n"/>
      <c r="AQ2472" s="47" t="n"/>
      <c r="AR2472" s="47" t="n"/>
      <c r="AS2472" s="47" t="n"/>
      <c r="AT2472" s="47" t="n"/>
      <c r="AU2472" s="47" t="n"/>
      <c r="AV2472" s="47" t="n"/>
      <c r="AW2472" s="52" t="n"/>
    </row>
    <row r="2473">
      <c r="A2473" s="48" t="n"/>
      <c r="B2473" s="52" t="n"/>
      <c r="C2473" s="47">
        <f>IF(B2473="","",IFERROR(INDEX('隊員マスタ'!$B$5:$B$204,MATCH(B2473&amp;"",'隊員マスタ'!$F$5:$F$204,0)),IF(AK2473="","番号なし",AK2473)))</f>
        <v/>
      </c>
      <c r="D2473" s="47" t="n"/>
      <c r="E2473" s="47" t="n"/>
      <c r="F2473" s="47" t="n"/>
      <c r="G2473" s="47" t="n"/>
      <c r="H2473" s="47" t="n"/>
      <c r="I2473" s="47" t="n"/>
      <c r="J2473" s="47" t="n"/>
      <c r="K2473" s="47" t="n"/>
      <c r="L2473" s="47" t="n"/>
      <c r="M2473" s="47" t="n"/>
      <c r="N2473" s="47" t="n"/>
      <c r="O2473" s="47" t="n"/>
      <c r="P2473" s="47" t="n"/>
      <c r="Q2473" s="47" t="n"/>
      <c r="R2473" s="47" t="n"/>
      <c r="S2473" s="47" t="n"/>
      <c r="T2473" s="47" t="n"/>
      <c r="U2473" s="53" t="n"/>
      <c r="V2473" s="53" t="n"/>
      <c r="W2473" s="47" t="n"/>
      <c r="X2473" s="47" t="n"/>
      <c r="Y2473" s="47" t="n"/>
      <c r="Z2473" s="47" t="n"/>
      <c r="AA2473" s="47" t="n"/>
      <c r="AB2473" s="47" t="n"/>
      <c r="AC2473" s="47" t="n"/>
      <c r="AD2473" s="47" t="n"/>
      <c r="AE2473" s="47" t="n"/>
      <c r="AF2473" s="20">
        <f>IF(A2473="","",YEAR(EDATE(A2473,-3)))</f>
        <v/>
      </c>
      <c r="AG2473" s="20">
        <f>IF(OR(B2473="",'経歴簿'!$C$4=""),"",IF(B2473&amp;""='経歴簿'!$C$4&amp;"",MAX($AG$4:AG2472)+1,""))</f>
        <v/>
      </c>
      <c r="AH2473" s="20">
        <f>IF(A2473="",0,IF(AND(OR('CSV抽出'!$C$4="",A2473&gt;='CSV抽出'!$C$4),OR('CSV抽出'!$C$5="",A2473&lt;='CSV抽出'!$C$5),OR('CSV抽出'!$C$6="すべて",'CSV抽出'!$C$6="",D2473='CSV抽出'!$C$6),OR('CSV抽出'!$C$7="",B2473&amp;""='CSV抽出'!$C$7&amp;"")),1,0))</f>
        <v/>
      </c>
      <c r="AI2473" s="20">
        <f>IF(AH2473=1,SUM($AH$5:AH2473),"")</f>
        <v/>
      </c>
      <c r="AJ2473" s="20">
        <f>IF(OR(S2473="",'報告書'!$C$4=""),"",IF(S2473&amp;""='報告書'!$C$4&amp;"",COUNTIF($S$5:S2473,'報告書'!$C$4),""))</f>
        <v/>
      </c>
      <c r="AK2473" s="20" t="n"/>
      <c r="AL2473" s="47" t="n"/>
      <c r="AM2473" s="47" t="n"/>
      <c r="AN2473" s="53" t="n"/>
      <c r="AO2473" s="47" t="n"/>
      <c r="AP2473" s="47" t="n"/>
      <c r="AQ2473" s="47" t="n"/>
      <c r="AR2473" s="47" t="n"/>
      <c r="AS2473" s="47" t="n"/>
      <c r="AT2473" s="47" t="n"/>
      <c r="AU2473" s="47" t="n"/>
      <c r="AV2473" s="47" t="n"/>
      <c r="AW2473" s="52" t="n"/>
    </row>
    <row r="2474">
      <c r="A2474" s="48" t="n"/>
      <c r="B2474" s="52" t="n"/>
      <c r="C2474" s="47">
        <f>IF(B2474="","",IFERROR(INDEX('隊員マスタ'!$B$5:$B$204,MATCH(B2474&amp;"",'隊員マスタ'!$F$5:$F$204,0)),IF(AK2474="","番号なし",AK2474)))</f>
        <v/>
      </c>
      <c r="D2474" s="47" t="n"/>
      <c r="E2474" s="47" t="n"/>
      <c r="F2474" s="47" t="n"/>
      <c r="G2474" s="47" t="n"/>
      <c r="H2474" s="47" t="n"/>
      <c r="I2474" s="47" t="n"/>
      <c r="J2474" s="47" t="n"/>
      <c r="K2474" s="47" t="n"/>
      <c r="L2474" s="47" t="n"/>
      <c r="M2474" s="47" t="n"/>
      <c r="N2474" s="47" t="n"/>
      <c r="O2474" s="47" t="n"/>
      <c r="P2474" s="47" t="n"/>
      <c r="Q2474" s="47" t="n"/>
      <c r="R2474" s="47" t="n"/>
      <c r="S2474" s="47" t="n"/>
      <c r="T2474" s="47" t="n"/>
      <c r="U2474" s="53" t="n"/>
      <c r="V2474" s="53" t="n"/>
      <c r="W2474" s="47" t="n"/>
      <c r="X2474" s="47" t="n"/>
      <c r="Y2474" s="47" t="n"/>
      <c r="Z2474" s="47" t="n"/>
      <c r="AA2474" s="47" t="n"/>
      <c r="AB2474" s="47" t="n"/>
      <c r="AC2474" s="47" t="n"/>
      <c r="AD2474" s="47" t="n"/>
      <c r="AE2474" s="47" t="n"/>
      <c r="AF2474" s="20">
        <f>IF(A2474="","",YEAR(EDATE(A2474,-3)))</f>
        <v/>
      </c>
      <c r="AG2474" s="20">
        <f>IF(OR(B2474="",'経歴簿'!$C$4=""),"",IF(B2474&amp;""='経歴簿'!$C$4&amp;"",MAX($AG$4:AG2473)+1,""))</f>
        <v/>
      </c>
      <c r="AH2474" s="20">
        <f>IF(A2474="",0,IF(AND(OR('CSV抽出'!$C$4="",A2474&gt;='CSV抽出'!$C$4),OR('CSV抽出'!$C$5="",A2474&lt;='CSV抽出'!$C$5),OR('CSV抽出'!$C$6="すべて",'CSV抽出'!$C$6="",D2474='CSV抽出'!$C$6),OR('CSV抽出'!$C$7="",B2474&amp;""='CSV抽出'!$C$7&amp;"")),1,0))</f>
        <v/>
      </c>
      <c r="AI2474" s="20">
        <f>IF(AH2474=1,SUM($AH$5:AH2474),"")</f>
        <v/>
      </c>
      <c r="AJ2474" s="20">
        <f>IF(OR(S2474="",'報告書'!$C$4=""),"",IF(S2474&amp;""='報告書'!$C$4&amp;"",COUNTIF($S$5:S2474,'報告書'!$C$4),""))</f>
        <v/>
      </c>
      <c r="AK2474" s="20" t="n"/>
      <c r="AL2474" s="47" t="n"/>
      <c r="AM2474" s="47" t="n"/>
      <c r="AN2474" s="53" t="n"/>
      <c r="AO2474" s="47" t="n"/>
      <c r="AP2474" s="47" t="n"/>
      <c r="AQ2474" s="47" t="n"/>
      <c r="AR2474" s="47" t="n"/>
      <c r="AS2474" s="47" t="n"/>
      <c r="AT2474" s="47" t="n"/>
      <c r="AU2474" s="47" t="n"/>
      <c r="AV2474" s="47" t="n"/>
      <c r="AW2474" s="52" t="n"/>
    </row>
    <row r="2475">
      <c r="A2475" s="48" t="n"/>
      <c r="B2475" s="52" t="n"/>
      <c r="C2475" s="47">
        <f>IF(B2475="","",IFERROR(INDEX('隊員マスタ'!$B$5:$B$204,MATCH(B2475&amp;"",'隊員マスタ'!$F$5:$F$204,0)),IF(AK2475="","番号なし",AK2475)))</f>
        <v/>
      </c>
      <c r="D2475" s="47" t="n"/>
      <c r="E2475" s="47" t="n"/>
      <c r="F2475" s="47" t="n"/>
      <c r="G2475" s="47" t="n"/>
      <c r="H2475" s="47" t="n"/>
      <c r="I2475" s="47" t="n"/>
      <c r="J2475" s="47" t="n"/>
      <c r="K2475" s="47" t="n"/>
      <c r="L2475" s="47" t="n"/>
      <c r="M2475" s="47" t="n"/>
      <c r="N2475" s="47" t="n"/>
      <c r="O2475" s="47" t="n"/>
      <c r="P2475" s="47" t="n"/>
      <c r="Q2475" s="47" t="n"/>
      <c r="R2475" s="47" t="n"/>
      <c r="S2475" s="47" t="n"/>
      <c r="T2475" s="47" t="n"/>
      <c r="U2475" s="53" t="n"/>
      <c r="V2475" s="53" t="n"/>
      <c r="W2475" s="47" t="n"/>
      <c r="X2475" s="47" t="n"/>
      <c r="Y2475" s="47" t="n"/>
      <c r="Z2475" s="47" t="n"/>
      <c r="AA2475" s="47" t="n"/>
      <c r="AB2475" s="47" t="n"/>
      <c r="AC2475" s="47" t="n"/>
      <c r="AD2475" s="47" t="n"/>
      <c r="AE2475" s="47" t="n"/>
      <c r="AF2475" s="20">
        <f>IF(A2475="","",YEAR(EDATE(A2475,-3)))</f>
        <v/>
      </c>
      <c r="AG2475" s="20">
        <f>IF(OR(B2475="",'経歴簿'!$C$4=""),"",IF(B2475&amp;""='経歴簿'!$C$4&amp;"",MAX($AG$4:AG2474)+1,""))</f>
        <v/>
      </c>
      <c r="AH2475" s="20">
        <f>IF(A2475="",0,IF(AND(OR('CSV抽出'!$C$4="",A2475&gt;='CSV抽出'!$C$4),OR('CSV抽出'!$C$5="",A2475&lt;='CSV抽出'!$C$5),OR('CSV抽出'!$C$6="すべて",'CSV抽出'!$C$6="",D2475='CSV抽出'!$C$6),OR('CSV抽出'!$C$7="",B2475&amp;""='CSV抽出'!$C$7&amp;"")),1,0))</f>
        <v/>
      </c>
      <c r="AI2475" s="20">
        <f>IF(AH2475=1,SUM($AH$5:AH2475),"")</f>
        <v/>
      </c>
      <c r="AJ2475" s="20">
        <f>IF(OR(S2475="",'報告書'!$C$4=""),"",IF(S2475&amp;""='報告書'!$C$4&amp;"",COUNTIF($S$5:S2475,'報告書'!$C$4),""))</f>
        <v/>
      </c>
      <c r="AK2475" s="20" t="n"/>
      <c r="AL2475" s="47" t="n"/>
      <c r="AM2475" s="47" t="n"/>
      <c r="AN2475" s="53" t="n"/>
      <c r="AO2475" s="47" t="n"/>
      <c r="AP2475" s="47" t="n"/>
      <c r="AQ2475" s="47" t="n"/>
      <c r="AR2475" s="47" t="n"/>
      <c r="AS2475" s="47" t="n"/>
      <c r="AT2475" s="47" t="n"/>
      <c r="AU2475" s="47" t="n"/>
      <c r="AV2475" s="47" t="n"/>
      <c r="AW2475" s="52" t="n"/>
    </row>
    <row r="2476">
      <c r="A2476" s="48" t="n"/>
      <c r="B2476" s="52" t="n"/>
      <c r="C2476" s="47">
        <f>IF(B2476="","",IFERROR(INDEX('隊員マスタ'!$B$5:$B$204,MATCH(B2476&amp;"",'隊員マスタ'!$F$5:$F$204,0)),IF(AK2476="","番号なし",AK2476)))</f>
        <v/>
      </c>
      <c r="D2476" s="47" t="n"/>
      <c r="E2476" s="47" t="n"/>
      <c r="F2476" s="47" t="n"/>
      <c r="G2476" s="47" t="n"/>
      <c r="H2476" s="47" t="n"/>
      <c r="I2476" s="47" t="n"/>
      <c r="J2476" s="47" t="n"/>
      <c r="K2476" s="47" t="n"/>
      <c r="L2476" s="47" t="n"/>
      <c r="M2476" s="47" t="n"/>
      <c r="N2476" s="47" t="n"/>
      <c r="O2476" s="47" t="n"/>
      <c r="P2476" s="47" t="n"/>
      <c r="Q2476" s="47" t="n"/>
      <c r="R2476" s="47" t="n"/>
      <c r="S2476" s="47" t="n"/>
      <c r="T2476" s="47" t="n"/>
      <c r="U2476" s="53" t="n"/>
      <c r="V2476" s="53" t="n"/>
      <c r="W2476" s="47" t="n"/>
      <c r="X2476" s="47" t="n"/>
      <c r="Y2476" s="47" t="n"/>
      <c r="Z2476" s="47" t="n"/>
      <c r="AA2476" s="47" t="n"/>
      <c r="AB2476" s="47" t="n"/>
      <c r="AC2476" s="47" t="n"/>
      <c r="AD2476" s="47" t="n"/>
      <c r="AE2476" s="47" t="n"/>
      <c r="AF2476" s="20">
        <f>IF(A2476="","",YEAR(EDATE(A2476,-3)))</f>
        <v/>
      </c>
      <c r="AG2476" s="20">
        <f>IF(OR(B2476="",'経歴簿'!$C$4=""),"",IF(B2476&amp;""='経歴簿'!$C$4&amp;"",MAX($AG$4:AG2475)+1,""))</f>
        <v/>
      </c>
      <c r="AH2476" s="20">
        <f>IF(A2476="",0,IF(AND(OR('CSV抽出'!$C$4="",A2476&gt;='CSV抽出'!$C$4),OR('CSV抽出'!$C$5="",A2476&lt;='CSV抽出'!$C$5),OR('CSV抽出'!$C$6="すべて",'CSV抽出'!$C$6="",D2476='CSV抽出'!$C$6),OR('CSV抽出'!$C$7="",B2476&amp;""='CSV抽出'!$C$7&amp;"")),1,0))</f>
        <v/>
      </c>
      <c r="AI2476" s="20">
        <f>IF(AH2476=1,SUM($AH$5:AH2476),"")</f>
        <v/>
      </c>
      <c r="AJ2476" s="20">
        <f>IF(OR(S2476="",'報告書'!$C$4=""),"",IF(S2476&amp;""='報告書'!$C$4&amp;"",COUNTIF($S$5:S2476,'報告書'!$C$4),""))</f>
        <v/>
      </c>
      <c r="AK2476" s="20" t="n"/>
      <c r="AL2476" s="47" t="n"/>
      <c r="AM2476" s="47" t="n"/>
      <c r="AN2476" s="53" t="n"/>
      <c r="AO2476" s="47" t="n"/>
      <c r="AP2476" s="47" t="n"/>
      <c r="AQ2476" s="47" t="n"/>
      <c r="AR2476" s="47" t="n"/>
      <c r="AS2476" s="47" t="n"/>
      <c r="AT2476" s="47" t="n"/>
      <c r="AU2476" s="47" t="n"/>
      <c r="AV2476" s="47" t="n"/>
      <c r="AW2476" s="52" t="n"/>
    </row>
    <row r="2477">
      <c r="A2477" s="48" t="n"/>
      <c r="B2477" s="52" t="n"/>
      <c r="C2477" s="47">
        <f>IF(B2477="","",IFERROR(INDEX('隊員マスタ'!$B$5:$B$204,MATCH(B2477&amp;"",'隊員マスタ'!$F$5:$F$204,0)),IF(AK2477="","番号なし",AK2477)))</f>
        <v/>
      </c>
      <c r="D2477" s="47" t="n"/>
      <c r="E2477" s="47" t="n"/>
      <c r="F2477" s="47" t="n"/>
      <c r="G2477" s="47" t="n"/>
      <c r="H2477" s="47" t="n"/>
      <c r="I2477" s="47" t="n"/>
      <c r="J2477" s="47" t="n"/>
      <c r="K2477" s="47" t="n"/>
      <c r="L2477" s="47" t="n"/>
      <c r="M2477" s="47" t="n"/>
      <c r="N2477" s="47" t="n"/>
      <c r="O2477" s="47" t="n"/>
      <c r="P2477" s="47" t="n"/>
      <c r="Q2477" s="47" t="n"/>
      <c r="R2477" s="47" t="n"/>
      <c r="S2477" s="47" t="n"/>
      <c r="T2477" s="47" t="n"/>
      <c r="U2477" s="53" t="n"/>
      <c r="V2477" s="53" t="n"/>
      <c r="W2477" s="47" t="n"/>
      <c r="X2477" s="47" t="n"/>
      <c r="Y2477" s="47" t="n"/>
      <c r="Z2477" s="47" t="n"/>
      <c r="AA2477" s="47" t="n"/>
      <c r="AB2477" s="47" t="n"/>
      <c r="AC2477" s="47" t="n"/>
      <c r="AD2477" s="47" t="n"/>
      <c r="AE2477" s="47" t="n"/>
      <c r="AF2477" s="20">
        <f>IF(A2477="","",YEAR(EDATE(A2477,-3)))</f>
        <v/>
      </c>
      <c r="AG2477" s="20">
        <f>IF(OR(B2477="",'経歴簿'!$C$4=""),"",IF(B2477&amp;""='経歴簿'!$C$4&amp;"",MAX($AG$4:AG2476)+1,""))</f>
        <v/>
      </c>
      <c r="AH2477" s="20">
        <f>IF(A2477="",0,IF(AND(OR('CSV抽出'!$C$4="",A2477&gt;='CSV抽出'!$C$4),OR('CSV抽出'!$C$5="",A2477&lt;='CSV抽出'!$C$5),OR('CSV抽出'!$C$6="すべて",'CSV抽出'!$C$6="",D2477='CSV抽出'!$C$6),OR('CSV抽出'!$C$7="",B2477&amp;""='CSV抽出'!$C$7&amp;"")),1,0))</f>
        <v/>
      </c>
      <c r="AI2477" s="20">
        <f>IF(AH2477=1,SUM($AH$5:AH2477),"")</f>
        <v/>
      </c>
      <c r="AJ2477" s="20">
        <f>IF(OR(S2477="",'報告書'!$C$4=""),"",IF(S2477&amp;""='報告書'!$C$4&amp;"",COUNTIF($S$5:S2477,'報告書'!$C$4),""))</f>
        <v/>
      </c>
      <c r="AK2477" s="20" t="n"/>
      <c r="AL2477" s="47" t="n"/>
      <c r="AM2477" s="47" t="n"/>
      <c r="AN2477" s="53" t="n"/>
      <c r="AO2477" s="47" t="n"/>
      <c r="AP2477" s="47" t="n"/>
      <c r="AQ2477" s="47" t="n"/>
      <c r="AR2477" s="47" t="n"/>
      <c r="AS2477" s="47" t="n"/>
      <c r="AT2477" s="47" t="n"/>
      <c r="AU2477" s="47" t="n"/>
      <c r="AV2477" s="47" t="n"/>
      <c r="AW2477" s="52" t="n"/>
    </row>
    <row r="2478">
      <c r="A2478" s="48" t="n"/>
      <c r="B2478" s="52" t="n"/>
      <c r="C2478" s="47">
        <f>IF(B2478="","",IFERROR(INDEX('隊員マスタ'!$B$5:$B$204,MATCH(B2478&amp;"",'隊員マスタ'!$F$5:$F$204,0)),IF(AK2478="","番号なし",AK2478)))</f>
        <v/>
      </c>
      <c r="D2478" s="47" t="n"/>
      <c r="E2478" s="47" t="n"/>
      <c r="F2478" s="47" t="n"/>
      <c r="G2478" s="47" t="n"/>
      <c r="H2478" s="47" t="n"/>
      <c r="I2478" s="47" t="n"/>
      <c r="J2478" s="47" t="n"/>
      <c r="K2478" s="47" t="n"/>
      <c r="L2478" s="47" t="n"/>
      <c r="M2478" s="47" t="n"/>
      <c r="N2478" s="47" t="n"/>
      <c r="O2478" s="47" t="n"/>
      <c r="P2478" s="47" t="n"/>
      <c r="Q2478" s="47" t="n"/>
      <c r="R2478" s="47" t="n"/>
      <c r="S2478" s="47" t="n"/>
      <c r="T2478" s="47" t="n"/>
      <c r="U2478" s="53" t="n"/>
      <c r="V2478" s="53" t="n"/>
      <c r="W2478" s="47" t="n"/>
      <c r="X2478" s="47" t="n"/>
      <c r="Y2478" s="47" t="n"/>
      <c r="Z2478" s="47" t="n"/>
      <c r="AA2478" s="47" t="n"/>
      <c r="AB2478" s="47" t="n"/>
      <c r="AC2478" s="47" t="n"/>
      <c r="AD2478" s="47" t="n"/>
      <c r="AE2478" s="47" t="n"/>
      <c r="AF2478" s="20">
        <f>IF(A2478="","",YEAR(EDATE(A2478,-3)))</f>
        <v/>
      </c>
      <c r="AG2478" s="20">
        <f>IF(OR(B2478="",'経歴簿'!$C$4=""),"",IF(B2478&amp;""='経歴簿'!$C$4&amp;"",MAX($AG$4:AG2477)+1,""))</f>
        <v/>
      </c>
      <c r="AH2478" s="20">
        <f>IF(A2478="",0,IF(AND(OR('CSV抽出'!$C$4="",A2478&gt;='CSV抽出'!$C$4),OR('CSV抽出'!$C$5="",A2478&lt;='CSV抽出'!$C$5),OR('CSV抽出'!$C$6="すべて",'CSV抽出'!$C$6="",D2478='CSV抽出'!$C$6),OR('CSV抽出'!$C$7="",B2478&amp;""='CSV抽出'!$C$7&amp;"")),1,0))</f>
        <v/>
      </c>
      <c r="AI2478" s="20">
        <f>IF(AH2478=1,SUM($AH$5:AH2478),"")</f>
        <v/>
      </c>
      <c r="AJ2478" s="20">
        <f>IF(OR(S2478="",'報告書'!$C$4=""),"",IF(S2478&amp;""='報告書'!$C$4&amp;"",COUNTIF($S$5:S2478,'報告書'!$C$4),""))</f>
        <v/>
      </c>
      <c r="AK2478" s="20" t="n"/>
      <c r="AL2478" s="47" t="n"/>
      <c r="AM2478" s="47" t="n"/>
      <c r="AN2478" s="53" t="n"/>
      <c r="AO2478" s="47" t="n"/>
      <c r="AP2478" s="47" t="n"/>
      <c r="AQ2478" s="47" t="n"/>
      <c r="AR2478" s="47" t="n"/>
      <c r="AS2478" s="47" t="n"/>
      <c r="AT2478" s="47" t="n"/>
      <c r="AU2478" s="47" t="n"/>
      <c r="AV2478" s="47" t="n"/>
      <c r="AW2478" s="52" t="n"/>
    </row>
    <row r="2479">
      <c r="A2479" s="48" t="n"/>
      <c r="B2479" s="52" t="n"/>
      <c r="C2479" s="47">
        <f>IF(B2479="","",IFERROR(INDEX('隊員マスタ'!$B$5:$B$204,MATCH(B2479&amp;"",'隊員マスタ'!$F$5:$F$204,0)),IF(AK2479="","番号なし",AK2479)))</f>
        <v/>
      </c>
      <c r="D2479" s="47" t="n"/>
      <c r="E2479" s="47" t="n"/>
      <c r="F2479" s="47" t="n"/>
      <c r="G2479" s="47" t="n"/>
      <c r="H2479" s="47" t="n"/>
      <c r="I2479" s="47" t="n"/>
      <c r="J2479" s="47" t="n"/>
      <c r="K2479" s="47" t="n"/>
      <c r="L2479" s="47" t="n"/>
      <c r="M2479" s="47" t="n"/>
      <c r="N2479" s="47" t="n"/>
      <c r="O2479" s="47" t="n"/>
      <c r="P2479" s="47" t="n"/>
      <c r="Q2479" s="47" t="n"/>
      <c r="R2479" s="47" t="n"/>
      <c r="S2479" s="47" t="n"/>
      <c r="T2479" s="47" t="n"/>
      <c r="U2479" s="53" t="n"/>
      <c r="V2479" s="53" t="n"/>
      <c r="W2479" s="47" t="n"/>
      <c r="X2479" s="47" t="n"/>
      <c r="Y2479" s="47" t="n"/>
      <c r="Z2479" s="47" t="n"/>
      <c r="AA2479" s="47" t="n"/>
      <c r="AB2479" s="47" t="n"/>
      <c r="AC2479" s="47" t="n"/>
      <c r="AD2479" s="47" t="n"/>
      <c r="AE2479" s="47" t="n"/>
      <c r="AF2479" s="20">
        <f>IF(A2479="","",YEAR(EDATE(A2479,-3)))</f>
        <v/>
      </c>
      <c r="AG2479" s="20">
        <f>IF(OR(B2479="",'経歴簿'!$C$4=""),"",IF(B2479&amp;""='経歴簿'!$C$4&amp;"",MAX($AG$4:AG2478)+1,""))</f>
        <v/>
      </c>
      <c r="AH2479" s="20">
        <f>IF(A2479="",0,IF(AND(OR('CSV抽出'!$C$4="",A2479&gt;='CSV抽出'!$C$4),OR('CSV抽出'!$C$5="",A2479&lt;='CSV抽出'!$C$5),OR('CSV抽出'!$C$6="すべて",'CSV抽出'!$C$6="",D2479='CSV抽出'!$C$6),OR('CSV抽出'!$C$7="",B2479&amp;""='CSV抽出'!$C$7&amp;"")),1,0))</f>
        <v/>
      </c>
      <c r="AI2479" s="20">
        <f>IF(AH2479=1,SUM($AH$5:AH2479),"")</f>
        <v/>
      </c>
      <c r="AJ2479" s="20">
        <f>IF(OR(S2479="",'報告書'!$C$4=""),"",IF(S2479&amp;""='報告書'!$C$4&amp;"",COUNTIF($S$5:S2479,'報告書'!$C$4),""))</f>
        <v/>
      </c>
      <c r="AK2479" s="20" t="n"/>
      <c r="AL2479" s="47" t="n"/>
      <c r="AM2479" s="47" t="n"/>
      <c r="AN2479" s="53" t="n"/>
      <c r="AO2479" s="47" t="n"/>
      <c r="AP2479" s="47" t="n"/>
      <c r="AQ2479" s="47" t="n"/>
      <c r="AR2479" s="47" t="n"/>
      <c r="AS2479" s="47" t="n"/>
      <c r="AT2479" s="47" t="n"/>
      <c r="AU2479" s="47" t="n"/>
      <c r="AV2479" s="47" t="n"/>
      <c r="AW2479" s="52" t="n"/>
    </row>
    <row r="2480">
      <c r="A2480" s="48" t="n"/>
      <c r="B2480" s="52" t="n"/>
      <c r="C2480" s="47">
        <f>IF(B2480="","",IFERROR(INDEX('隊員マスタ'!$B$5:$B$204,MATCH(B2480&amp;"",'隊員マスタ'!$F$5:$F$204,0)),IF(AK2480="","番号なし",AK2480)))</f>
        <v/>
      </c>
      <c r="D2480" s="47" t="n"/>
      <c r="E2480" s="47" t="n"/>
      <c r="F2480" s="47" t="n"/>
      <c r="G2480" s="47" t="n"/>
      <c r="H2480" s="47" t="n"/>
      <c r="I2480" s="47" t="n"/>
      <c r="J2480" s="47" t="n"/>
      <c r="K2480" s="47" t="n"/>
      <c r="L2480" s="47" t="n"/>
      <c r="M2480" s="47" t="n"/>
      <c r="N2480" s="47" t="n"/>
      <c r="O2480" s="47" t="n"/>
      <c r="P2480" s="47" t="n"/>
      <c r="Q2480" s="47" t="n"/>
      <c r="R2480" s="47" t="n"/>
      <c r="S2480" s="47" t="n"/>
      <c r="T2480" s="47" t="n"/>
      <c r="U2480" s="53" t="n"/>
      <c r="V2480" s="53" t="n"/>
      <c r="W2480" s="47" t="n"/>
      <c r="X2480" s="47" t="n"/>
      <c r="Y2480" s="47" t="n"/>
      <c r="Z2480" s="47" t="n"/>
      <c r="AA2480" s="47" t="n"/>
      <c r="AB2480" s="47" t="n"/>
      <c r="AC2480" s="47" t="n"/>
      <c r="AD2480" s="47" t="n"/>
      <c r="AE2480" s="47" t="n"/>
      <c r="AF2480" s="20">
        <f>IF(A2480="","",YEAR(EDATE(A2480,-3)))</f>
        <v/>
      </c>
      <c r="AG2480" s="20">
        <f>IF(OR(B2480="",'経歴簿'!$C$4=""),"",IF(B2480&amp;""='経歴簿'!$C$4&amp;"",MAX($AG$4:AG2479)+1,""))</f>
        <v/>
      </c>
      <c r="AH2480" s="20">
        <f>IF(A2480="",0,IF(AND(OR('CSV抽出'!$C$4="",A2480&gt;='CSV抽出'!$C$4),OR('CSV抽出'!$C$5="",A2480&lt;='CSV抽出'!$C$5),OR('CSV抽出'!$C$6="すべて",'CSV抽出'!$C$6="",D2480='CSV抽出'!$C$6),OR('CSV抽出'!$C$7="",B2480&amp;""='CSV抽出'!$C$7&amp;"")),1,0))</f>
        <v/>
      </c>
      <c r="AI2480" s="20">
        <f>IF(AH2480=1,SUM($AH$5:AH2480),"")</f>
        <v/>
      </c>
      <c r="AJ2480" s="20">
        <f>IF(OR(S2480="",'報告書'!$C$4=""),"",IF(S2480&amp;""='報告書'!$C$4&amp;"",COUNTIF($S$5:S2480,'報告書'!$C$4),""))</f>
        <v/>
      </c>
      <c r="AK2480" s="20" t="n"/>
      <c r="AL2480" s="47" t="n"/>
      <c r="AM2480" s="47" t="n"/>
      <c r="AN2480" s="53" t="n"/>
      <c r="AO2480" s="47" t="n"/>
      <c r="AP2480" s="47" t="n"/>
      <c r="AQ2480" s="47" t="n"/>
      <c r="AR2480" s="47" t="n"/>
      <c r="AS2480" s="47" t="n"/>
      <c r="AT2480" s="47" t="n"/>
      <c r="AU2480" s="47" t="n"/>
      <c r="AV2480" s="47" t="n"/>
      <c r="AW2480" s="52" t="n"/>
    </row>
    <row r="2481">
      <c r="A2481" s="48" t="n"/>
      <c r="B2481" s="52" t="n"/>
      <c r="C2481" s="47">
        <f>IF(B2481="","",IFERROR(INDEX('隊員マスタ'!$B$5:$B$204,MATCH(B2481&amp;"",'隊員マスタ'!$F$5:$F$204,0)),IF(AK2481="","番号なし",AK2481)))</f>
        <v/>
      </c>
      <c r="D2481" s="47" t="n"/>
      <c r="E2481" s="47" t="n"/>
      <c r="F2481" s="47" t="n"/>
      <c r="G2481" s="47" t="n"/>
      <c r="H2481" s="47" t="n"/>
      <c r="I2481" s="47" t="n"/>
      <c r="J2481" s="47" t="n"/>
      <c r="K2481" s="47" t="n"/>
      <c r="L2481" s="47" t="n"/>
      <c r="M2481" s="47" t="n"/>
      <c r="N2481" s="47" t="n"/>
      <c r="O2481" s="47" t="n"/>
      <c r="P2481" s="47" t="n"/>
      <c r="Q2481" s="47" t="n"/>
      <c r="R2481" s="47" t="n"/>
      <c r="S2481" s="47" t="n"/>
      <c r="T2481" s="47" t="n"/>
      <c r="U2481" s="53" t="n"/>
      <c r="V2481" s="53" t="n"/>
      <c r="W2481" s="47" t="n"/>
      <c r="X2481" s="47" t="n"/>
      <c r="Y2481" s="47" t="n"/>
      <c r="Z2481" s="47" t="n"/>
      <c r="AA2481" s="47" t="n"/>
      <c r="AB2481" s="47" t="n"/>
      <c r="AC2481" s="47" t="n"/>
      <c r="AD2481" s="47" t="n"/>
      <c r="AE2481" s="47" t="n"/>
      <c r="AF2481" s="20">
        <f>IF(A2481="","",YEAR(EDATE(A2481,-3)))</f>
        <v/>
      </c>
      <c r="AG2481" s="20">
        <f>IF(OR(B2481="",'経歴簿'!$C$4=""),"",IF(B2481&amp;""='経歴簿'!$C$4&amp;"",MAX($AG$4:AG2480)+1,""))</f>
        <v/>
      </c>
      <c r="AH2481" s="20">
        <f>IF(A2481="",0,IF(AND(OR('CSV抽出'!$C$4="",A2481&gt;='CSV抽出'!$C$4),OR('CSV抽出'!$C$5="",A2481&lt;='CSV抽出'!$C$5),OR('CSV抽出'!$C$6="すべて",'CSV抽出'!$C$6="",D2481='CSV抽出'!$C$6),OR('CSV抽出'!$C$7="",B2481&amp;""='CSV抽出'!$C$7&amp;"")),1,0))</f>
        <v/>
      </c>
      <c r="AI2481" s="20">
        <f>IF(AH2481=1,SUM($AH$5:AH2481),"")</f>
        <v/>
      </c>
      <c r="AJ2481" s="20">
        <f>IF(OR(S2481="",'報告書'!$C$4=""),"",IF(S2481&amp;""='報告書'!$C$4&amp;"",COUNTIF($S$5:S2481,'報告書'!$C$4),""))</f>
        <v/>
      </c>
      <c r="AK2481" s="20" t="n"/>
      <c r="AL2481" s="47" t="n"/>
      <c r="AM2481" s="47" t="n"/>
      <c r="AN2481" s="53" t="n"/>
      <c r="AO2481" s="47" t="n"/>
      <c r="AP2481" s="47" t="n"/>
      <c r="AQ2481" s="47" t="n"/>
      <c r="AR2481" s="47" t="n"/>
      <c r="AS2481" s="47" t="n"/>
      <c r="AT2481" s="47" t="n"/>
      <c r="AU2481" s="47" t="n"/>
      <c r="AV2481" s="47" t="n"/>
      <c r="AW2481" s="52" t="n"/>
    </row>
    <row r="2482">
      <c r="A2482" s="48" t="n"/>
      <c r="B2482" s="52" t="n"/>
      <c r="C2482" s="47">
        <f>IF(B2482="","",IFERROR(INDEX('隊員マスタ'!$B$5:$B$204,MATCH(B2482&amp;"",'隊員マスタ'!$F$5:$F$204,0)),IF(AK2482="","番号なし",AK2482)))</f>
        <v/>
      </c>
      <c r="D2482" s="47" t="n"/>
      <c r="E2482" s="47" t="n"/>
      <c r="F2482" s="47" t="n"/>
      <c r="G2482" s="47" t="n"/>
      <c r="H2482" s="47" t="n"/>
      <c r="I2482" s="47" t="n"/>
      <c r="J2482" s="47" t="n"/>
      <c r="K2482" s="47" t="n"/>
      <c r="L2482" s="47" t="n"/>
      <c r="M2482" s="47" t="n"/>
      <c r="N2482" s="47" t="n"/>
      <c r="O2482" s="47" t="n"/>
      <c r="P2482" s="47" t="n"/>
      <c r="Q2482" s="47" t="n"/>
      <c r="R2482" s="47" t="n"/>
      <c r="S2482" s="47" t="n"/>
      <c r="T2482" s="47" t="n"/>
      <c r="U2482" s="53" t="n"/>
      <c r="V2482" s="53" t="n"/>
      <c r="W2482" s="47" t="n"/>
      <c r="X2482" s="47" t="n"/>
      <c r="Y2482" s="47" t="n"/>
      <c r="Z2482" s="47" t="n"/>
      <c r="AA2482" s="47" t="n"/>
      <c r="AB2482" s="47" t="n"/>
      <c r="AC2482" s="47" t="n"/>
      <c r="AD2482" s="47" t="n"/>
      <c r="AE2482" s="47" t="n"/>
      <c r="AF2482" s="20">
        <f>IF(A2482="","",YEAR(EDATE(A2482,-3)))</f>
        <v/>
      </c>
      <c r="AG2482" s="20">
        <f>IF(OR(B2482="",'経歴簿'!$C$4=""),"",IF(B2482&amp;""='経歴簿'!$C$4&amp;"",MAX($AG$4:AG2481)+1,""))</f>
        <v/>
      </c>
      <c r="AH2482" s="20">
        <f>IF(A2482="",0,IF(AND(OR('CSV抽出'!$C$4="",A2482&gt;='CSV抽出'!$C$4),OR('CSV抽出'!$C$5="",A2482&lt;='CSV抽出'!$C$5),OR('CSV抽出'!$C$6="すべて",'CSV抽出'!$C$6="",D2482='CSV抽出'!$C$6),OR('CSV抽出'!$C$7="",B2482&amp;""='CSV抽出'!$C$7&amp;"")),1,0))</f>
        <v/>
      </c>
      <c r="AI2482" s="20">
        <f>IF(AH2482=1,SUM($AH$5:AH2482),"")</f>
        <v/>
      </c>
      <c r="AJ2482" s="20">
        <f>IF(OR(S2482="",'報告書'!$C$4=""),"",IF(S2482&amp;""='報告書'!$C$4&amp;"",COUNTIF($S$5:S2482,'報告書'!$C$4),""))</f>
        <v/>
      </c>
      <c r="AK2482" s="20" t="n"/>
      <c r="AL2482" s="47" t="n"/>
      <c r="AM2482" s="47" t="n"/>
      <c r="AN2482" s="53" t="n"/>
      <c r="AO2482" s="47" t="n"/>
      <c r="AP2482" s="47" t="n"/>
      <c r="AQ2482" s="47" t="n"/>
      <c r="AR2482" s="47" t="n"/>
      <c r="AS2482" s="47" t="n"/>
      <c r="AT2482" s="47" t="n"/>
      <c r="AU2482" s="47" t="n"/>
      <c r="AV2482" s="47" t="n"/>
      <c r="AW2482" s="52" t="n"/>
    </row>
    <row r="2483">
      <c r="A2483" s="48" t="n"/>
      <c r="B2483" s="52" t="n"/>
      <c r="C2483" s="47">
        <f>IF(B2483="","",IFERROR(INDEX('隊員マスタ'!$B$5:$B$204,MATCH(B2483&amp;"",'隊員マスタ'!$F$5:$F$204,0)),IF(AK2483="","番号なし",AK2483)))</f>
        <v/>
      </c>
      <c r="D2483" s="47" t="n"/>
      <c r="E2483" s="47" t="n"/>
      <c r="F2483" s="47" t="n"/>
      <c r="G2483" s="47" t="n"/>
      <c r="H2483" s="47" t="n"/>
      <c r="I2483" s="47" t="n"/>
      <c r="J2483" s="47" t="n"/>
      <c r="K2483" s="47" t="n"/>
      <c r="L2483" s="47" t="n"/>
      <c r="M2483" s="47" t="n"/>
      <c r="N2483" s="47" t="n"/>
      <c r="O2483" s="47" t="n"/>
      <c r="P2483" s="47" t="n"/>
      <c r="Q2483" s="47" t="n"/>
      <c r="R2483" s="47" t="n"/>
      <c r="S2483" s="47" t="n"/>
      <c r="T2483" s="47" t="n"/>
      <c r="U2483" s="53" t="n"/>
      <c r="V2483" s="53" t="n"/>
      <c r="W2483" s="47" t="n"/>
      <c r="X2483" s="47" t="n"/>
      <c r="Y2483" s="47" t="n"/>
      <c r="Z2483" s="47" t="n"/>
      <c r="AA2483" s="47" t="n"/>
      <c r="AB2483" s="47" t="n"/>
      <c r="AC2483" s="47" t="n"/>
      <c r="AD2483" s="47" t="n"/>
      <c r="AE2483" s="47" t="n"/>
      <c r="AF2483" s="20">
        <f>IF(A2483="","",YEAR(EDATE(A2483,-3)))</f>
        <v/>
      </c>
      <c r="AG2483" s="20">
        <f>IF(OR(B2483="",'経歴簿'!$C$4=""),"",IF(B2483&amp;""='経歴簿'!$C$4&amp;"",MAX($AG$4:AG2482)+1,""))</f>
        <v/>
      </c>
      <c r="AH2483" s="20">
        <f>IF(A2483="",0,IF(AND(OR('CSV抽出'!$C$4="",A2483&gt;='CSV抽出'!$C$4),OR('CSV抽出'!$C$5="",A2483&lt;='CSV抽出'!$C$5),OR('CSV抽出'!$C$6="すべて",'CSV抽出'!$C$6="",D2483='CSV抽出'!$C$6),OR('CSV抽出'!$C$7="",B2483&amp;""='CSV抽出'!$C$7&amp;"")),1,0))</f>
        <v/>
      </c>
      <c r="AI2483" s="20">
        <f>IF(AH2483=1,SUM($AH$5:AH2483),"")</f>
        <v/>
      </c>
      <c r="AJ2483" s="20">
        <f>IF(OR(S2483="",'報告書'!$C$4=""),"",IF(S2483&amp;""='報告書'!$C$4&amp;"",COUNTIF($S$5:S2483,'報告書'!$C$4),""))</f>
        <v/>
      </c>
      <c r="AK2483" s="20" t="n"/>
      <c r="AL2483" s="47" t="n"/>
      <c r="AM2483" s="47" t="n"/>
      <c r="AN2483" s="53" t="n"/>
      <c r="AO2483" s="47" t="n"/>
      <c r="AP2483" s="47" t="n"/>
      <c r="AQ2483" s="47" t="n"/>
      <c r="AR2483" s="47" t="n"/>
      <c r="AS2483" s="47" t="n"/>
      <c r="AT2483" s="47" t="n"/>
      <c r="AU2483" s="47" t="n"/>
      <c r="AV2483" s="47" t="n"/>
      <c r="AW2483" s="52" t="n"/>
    </row>
    <row r="2484">
      <c r="A2484" s="48" t="n"/>
      <c r="B2484" s="52" t="n"/>
      <c r="C2484" s="47">
        <f>IF(B2484="","",IFERROR(INDEX('隊員マスタ'!$B$5:$B$204,MATCH(B2484&amp;"",'隊員マスタ'!$F$5:$F$204,0)),IF(AK2484="","番号なし",AK2484)))</f>
        <v/>
      </c>
      <c r="D2484" s="47" t="n"/>
      <c r="E2484" s="47" t="n"/>
      <c r="F2484" s="47" t="n"/>
      <c r="G2484" s="47" t="n"/>
      <c r="H2484" s="47" t="n"/>
      <c r="I2484" s="47" t="n"/>
      <c r="J2484" s="47" t="n"/>
      <c r="K2484" s="47" t="n"/>
      <c r="L2484" s="47" t="n"/>
      <c r="M2484" s="47" t="n"/>
      <c r="N2484" s="47" t="n"/>
      <c r="O2484" s="47" t="n"/>
      <c r="P2484" s="47" t="n"/>
      <c r="Q2484" s="47" t="n"/>
      <c r="R2484" s="47" t="n"/>
      <c r="S2484" s="47" t="n"/>
      <c r="T2484" s="47" t="n"/>
      <c r="U2484" s="53" t="n"/>
      <c r="V2484" s="53" t="n"/>
      <c r="W2484" s="47" t="n"/>
      <c r="X2484" s="47" t="n"/>
      <c r="Y2484" s="47" t="n"/>
      <c r="Z2484" s="47" t="n"/>
      <c r="AA2484" s="47" t="n"/>
      <c r="AB2484" s="47" t="n"/>
      <c r="AC2484" s="47" t="n"/>
      <c r="AD2484" s="47" t="n"/>
      <c r="AE2484" s="47" t="n"/>
      <c r="AF2484" s="20">
        <f>IF(A2484="","",YEAR(EDATE(A2484,-3)))</f>
        <v/>
      </c>
      <c r="AG2484" s="20">
        <f>IF(OR(B2484="",'経歴簿'!$C$4=""),"",IF(B2484&amp;""='経歴簿'!$C$4&amp;"",MAX($AG$4:AG2483)+1,""))</f>
        <v/>
      </c>
      <c r="AH2484" s="20">
        <f>IF(A2484="",0,IF(AND(OR('CSV抽出'!$C$4="",A2484&gt;='CSV抽出'!$C$4),OR('CSV抽出'!$C$5="",A2484&lt;='CSV抽出'!$C$5),OR('CSV抽出'!$C$6="すべて",'CSV抽出'!$C$6="",D2484='CSV抽出'!$C$6),OR('CSV抽出'!$C$7="",B2484&amp;""='CSV抽出'!$C$7&amp;"")),1,0))</f>
        <v/>
      </c>
      <c r="AI2484" s="20">
        <f>IF(AH2484=1,SUM($AH$5:AH2484),"")</f>
        <v/>
      </c>
      <c r="AJ2484" s="20">
        <f>IF(OR(S2484="",'報告書'!$C$4=""),"",IF(S2484&amp;""='報告書'!$C$4&amp;"",COUNTIF($S$5:S2484,'報告書'!$C$4),""))</f>
        <v/>
      </c>
      <c r="AK2484" s="20" t="n"/>
      <c r="AL2484" s="47" t="n"/>
      <c r="AM2484" s="47" t="n"/>
      <c r="AN2484" s="53" t="n"/>
      <c r="AO2484" s="47" t="n"/>
      <c r="AP2484" s="47" t="n"/>
      <c r="AQ2484" s="47" t="n"/>
      <c r="AR2484" s="47" t="n"/>
      <c r="AS2484" s="47" t="n"/>
      <c r="AT2484" s="47" t="n"/>
      <c r="AU2484" s="47" t="n"/>
      <c r="AV2484" s="47" t="n"/>
      <c r="AW2484" s="52" t="n"/>
    </row>
    <row r="2485">
      <c r="A2485" s="48" t="n"/>
      <c r="B2485" s="52" t="n"/>
      <c r="C2485" s="47">
        <f>IF(B2485="","",IFERROR(INDEX('隊員マスタ'!$B$5:$B$204,MATCH(B2485&amp;"",'隊員マスタ'!$F$5:$F$204,0)),IF(AK2485="","番号なし",AK2485)))</f>
        <v/>
      </c>
      <c r="D2485" s="47" t="n"/>
      <c r="E2485" s="47" t="n"/>
      <c r="F2485" s="47" t="n"/>
      <c r="G2485" s="47" t="n"/>
      <c r="H2485" s="47" t="n"/>
      <c r="I2485" s="47" t="n"/>
      <c r="J2485" s="47" t="n"/>
      <c r="K2485" s="47" t="n"/>
      <c r="L2485" s="47" t="n"/>
      <c r="M2485" s="47" t="n"/>
      <c r="N2485" s="47" t="n"/>
      <c r="O2485" s="47" t="n"/>
      <c r="P2485" s="47" t="n"/>
      <c r="Q2485" s="47" t="n"/>
      <c r="R2485" s="47" t="n"/>
      <c r="S2485" s="47" t="n"/>
      <c r="T2485" s="47" t="n"/>
      <c r="U2485" s="53" t="n"/>
      <c r="V2485" s="53" t="n"/>
      <c r="W2485" s="47" t="n"/>
      <c r="X2485" s="47" t="n"/>
      <c r="Y2485" s="47" t="n"/>
      <c r="Z2485" s="47" t="n"/>
      <c r="AA2485" s="47" t="n"/>
      <c r="AB2485" s="47" t="n"/>
      <c r="AC2485" s="47" t="n"/>
      <c r="AD2485" s="47" t="n"/>
      <c r="AE2485" s="47" t="n"/>
      <c r="AF2485" s="20">
        <f>IF(A2485="","",YEAR(EDATE(A2485,-3)))</f>
        <v/>
      </c>
      <c r="AG2485" s="20">
        <f>IF(OR(B2485="",'経歴簿'!$C$4=""),"",IF(B2485&amp;""='経歴簿'!$C$4&amp;"",MAX($AG$4:AG2484)+1,""))</f>
        <v/>
      </c>
      <c r="AH2485" s="20">
        <f>IF(A2485="",0,IF(AND(OR('CSV抽出'!$C$4="",A2485&gt;='CSV抽出'!$C$4),OR('CSV抽出'!$C$5="",A2485&lt;='CSV抽出'!$C$5),OR('CSV抽出'!$C$6="すべて",'CSV抽出'!$C$6="",D2485='CSV抽出'!$C$6),OR('CSV抽出'!$C$7="",B2485&amp;""='CSV抽出'!$C$7&amp;"")),1,0))</f>
        <v/>
      </c>
      <c r="AI2485" s="20">
        <f>IF(AH2485=1,SUM($AH$5:AH2485),"")</f>
        <v/>
      </c>
      <c r="AJ2485" s="20">
        <f>IF(OR(S2485="",'報告書'!$C$4=""),"",IF(S2485&amp;""='報告書'!$C$4&amp;"",COUNTIF($S$5:S2485,'報告書'!$C$4),""))</f>
        <v/>
      </c>
      <c r="AK2485" s="20" t="n"/>
      <c r="AL2485" s="47" t="n"/>
      <c r="AM2485" s="47" t="n"/>
      <c r="AN2485" s="53" t="n"/>
      <c r="AO2485" s="47" t="n"/>
      <c r="AP2485" s="47" t="n"/>
      <c r="AQ2485" s="47" t="n"/>
      <c r="AR2485" s="47" t="n"/>
      <c r="AS2485" s="47" t="n"/>
      <c r="AT2485" s="47" t="n"/>
      <c r="AU2485" s="47" t="n"/>
      <c r="AV2485" s="47" t="n"/>
      <c r="AW2485" s="52" t="n"/>
    </row>
    <row r="2486">
      <c r="A2486" s="48" t="n"/>
      <c r="B2486" s="52" t="n"/>
      <c r="C2486" s="47">
        <f>IF(B2486="","",IFERROR(INDEX('隊員マスタ'!$B$5:$B$204,MATCH(B2486&amp;"",'隊員マスタ'!$F$5:$F$204,0)),IF(AK2486="","番号なし",AK2486)))</f>
        <v/>
      </c>
      <c r="D2486" s="47" t="n"/>
      <c r="E2486" s="47" t="n"/>
      <c r="F2486" s="47" t="n"/>
      <c r="G2486" s="47" t="n"/>
      <c r="H2486" s="47" t="n"/>
      <c r="I2486" s="47" t="n"/>
      <c r="J2486" s="47" t="n"/>
      <c r="K2486" s="47" t="n"/>
      <c r="L2486" s="47" t="n"/>
      <c r="M2486" s="47" t="n"/>
      <c r="N2486" s="47" t="n"/>
      <c r="O2486" s="47" t="n"/>
      <c r="P2486" s="47" t="n"/>
      <c r="Q2486" s="47" t="n"/>
      <c r="R2486" s="47" t="n"/>
      <c r="S2486" s="47" t="n"/>
      <c r="T2486" s="47" t="n"/>
      <c r="U2486" s="53" t="n"/>
      <c r="V2486" s="53" t="n"/>
      <c r="W2486" s="47" t="n"/>
      <c r="X2486" s="47" t="n"/>
      <c r="Y2486" s="47" t="n"/>
      <c r="Z2486" s="47" t="n"/>
      <c r="AA2486" s="47" t="n"/>
      <c r="AB2486" s="47" t="n"/>
      <c r="AC2486" s="47" t="n"/>
      <c r="AD2486" s="47" t="n"/>
      <c r="AE2486" s="47" t="n"/>
      <c r="AF2486" s="20">
        <f>IF(A2486="","",YEAR(EDATE(A2486,-3)))</f>
        <v/>
      </c>
      <c r="AG2486" s="20">
        <f>IF(OR(B2486="",'経歴簿'!$C$4=""),"",IF(B2486&amp;""='経歴簿'!$C$4&amp;"",MAX($AG$4:AG2485)+1,""))</f>
        <v/>
      </c>
      <c r="AH2486" s="20">
        <f>IF(A2486="",0,IF(AND(OR('CSV抽出'!$C$4="",A2486&gt;='CSV抽出'!$C$4),OR('CSV抽出'!$C$5="",A2486&lt;='CSV抽出'!$C$5),OR('CSV抽出'!$C$6="すべて",'CSV抽出'!$C$6="",D2486='CSV抽出'!$C$6),OR('CSV抽出'!$C$7="",B2486&amp;""='CSV抽出'!$C$7&amp;"")),1,0))</f>
        <v/>
      </c>
      <c r="AI2486" s="20">
        <f>IF(AH2486=1,SUM($AH$5:AH2486),"")</f>
        <v/>
      </c>
      <c r="AJ2486" s="20">
        <f>IF(OR(S2486="",'報告書'!$C$4=""),"",IF(S2486&amp;""='報告書'!$C$4&amp;"",COUNTIF($S$5:S2486,'報告書'!$C$4),""))</f>
        <v/>
      </c>
      <c r="AK2486" s="20" t="n"/>
      <c r="AL2486" s="47" t="n"/>
      <c r="AM2486" s="47" t="n"/>
      <c r="AN2486" s="53" t="n"/>
      <c r="AO2486" s="47" t="n"/>
      <c r="AP2486" s="47" t="n"/>
      <c r="AQ2486" s="47" t="n"/>
      <c r="AR2486" s="47" t="n"/>
      <c r="AS2486" s="47" t="n"/>
      <c r="AT2486" s="47" t="n"/>
      <c r="AU2486" s="47" t="n"/>
      <c r="AV2486" s="47" t="n"/>
      <c r="AW2486" s="52" t="n"/>
    </row>
    <row r="2487">
      <c r="A2487" s="48" t="n"/>
      <c r="B2487" s="52" t="n"/>
      <c r="C2487" s="47">
        <f>IF(B2487="","",IFERROR(INDEX('隊員マスタ'!$B$5:$B$204,MATCH(B2487&amp;"",'隊員マスタ'!$F$5:$F$204,0)),IF(AK2487="","番号なし",AK2487)))</f>
        <v/>
      </c>
      <c r="D2487" s="47" t="n"/>
      <c r="E2487" s="47" t="n"/>
      <c r="F2487" s="47" t="n"/>
      <c r="G2487" s="47" t="n"/>
      <c r="H2487" s="47" t="n"/>
      <c r="I2487" s="47" t="n"/>
      <c r="J2487" s="47" t="n"/>
      <c r="K2487" s="47" t="n"/>
      <c r="L2487" s="47" t="n"/>
      <c r="M2487" s="47" t="n"/>
      <c r="N2487" s="47" t="n"/>
      <c r="O2487" s="47" t="n"/>
      <c r="P2487" s="47" t="n"/>
      <c r="Q2487" s="47" t="n"/>
      <c r="R2487" s="47" t="n"/>
      <c r="S2487" s="47" t="n"/>
      <c r="T2487" s="47" t="n"/>
      <c r="U2487" s="53" t="n"/>
      <c r="V2487" s="53" t="n"/>
      <c r="W2487" s="47" t="n"/>
      <c r="X2487" s="47" t="n"/>
      <c r="Y2487" s="47" t="n"/>
      <c r="Z2487" s="47" t="n"/>
      <c r="AA2487" s="47" t="n"/>
      <c r="AB2487" s="47" t="n"/>
      <c r="AC2487" s="47" t="n"/>
      <c r="AD2487" s="47" t="n"/>
      <c r="AE2487" s="47" t="n"/>
      <c r="AF2487" s="20">
        <f>IF(A2487="","",YEAR(EDATE(A2487,-3)))</f>
        <v/>
      </c>
      <c r="AG2487" s="20">
        <f>IF(OR(B2487="",'経歴簿'!$C$4=""),"",IF(B2487&amp;""='経歴簿'!$C$4&amp;"",MAX($AG$4:AG2486)+1,""))</f>
        <v/>
      </c>
      <c r="AH2487" s="20">
        <f>IF(A2487="",0,IF(AND(OR('CSV抽出'!$C$4="",A2487&gt;='CSV抽出'!$C$4),OR('CSV抽出'!$C$5="",A2487&lt;='CSV抽出'!$C$5),OR('CSV抽出'!$C$6="すべて",'CSV抽出'!$C$6="",D2487='CSV抽出'!$C$6),OR('CSV抽出'!$C$7="",B2487&amp;""='CSV抽出'!$C$7&amp;"")),1,0))</f>
        <v/>
      </c>
      <c r="AI2487" s="20">
        <f>IF(AH2487=1,SUM($AH$5:AH2487),"")</f>
        <v/>
      </c>
      <c r="AJ2487" s="20">
        <f>IF(OR(S2487="",'報告書'!$C$4=""),"",IF(S2487&amp;""='報告書'!$C$4&amp;"",COUNTIF($S$5:S2487,'報告書'!$C$4),""))</f>
        <v/>
      </c>
      <c r="AK2487" s="20" t="n"/>
      <c r="AL2487" s="47" t="n"/>
      <c r="AM2487" s="47" t="n"/>
      <c r="AN2487" s="53" t="n"/>
      <c r="AO2487" s="47" t="n"/>
      <c r="AP2487" s="47" t="n"/>
      <c r="AQ2487" s="47" t="n"/>
      <c r="AR2487" s="47" t="n"/>
      <c r="AS2487" s="47" t="n"/>
      <c r="AT2487" s="47" t="n"/>
      <c r="AU2487" s="47" t="n"/>
      <c r="AV2487" s="47" t="n"/>
      <c r="AW2487" s="52" t="n"/>
    </row>
    <row r="2488">
      <c r="A2488" s="48" t="n"/>
      <c r="B2488" s="52" t="n"/>
      <c r="C2488" s="47">
        <f>IF(B2488="","",IFERROR(INDEX('隊員マスタ'!$B$5:$B$204,MATCH(B2488&amp;"",'隊員マスタ'!$F$5:$F$204,0)),IF(AK2488="","番号なし",AK2488)))</f>
        <v/>
      </c>
      <c r="D2488" s="47" t="n"/>
      <c r="E2488" s="47" t="n"/>
      <c r="F2488" s="47" t="n"/>
      <c r="G2488" s="47" t="n"/>
      <c r="H2488" s="47" t="n"/>
      <c r="I2488" s="47" t="n"/>
      <c r="J2488" s="47" t="n"/>
      <c r="K2488" s="47" t="n"/>
      <c r="L2488" s="47" t="n"/>
      <c r="M2488" s="47" t="n"/>
      <c r="N2488" s="47" t="n"/>
      <c r="O2488" s="47" t="n"/>
      <c r="P2488" s="47" t="n"/>
      <c r="Q2488" s="47" t="n"/>
      <c r="R2488" s="47" t="n"/>
      <c r="S2488" s="47" t="n"/>
      <c r="T2488" s="47" t="n"/>
      <c r="U2488" s="53" t="n"/>
      <c r="V2488" s="53" t="n"/>
      <c r="W2488" s="47" t="n"/>
      <c r="X2488" s="47" t="n"/>
      <c r="Y2488" s="47" t="n"/>
      <c r="Z2488" s="47" t="n"/>
      <c r="AA2488" s="47" t="n"/>
      <c r="AB2488" s="47" t="n"/>
      <c r="AC2488" s="47" t="n"/>
      <c r="AD2488" s="47" t="n"/>
      <c r="AE2488" s="47" t="n"/>
      <c r="AF2488" s="20">
        <f>IF(A2488="","",YEAR(EDATE(A2488,-3)))</f>
        <v/>
      </c>
      <c r="AG2488" s="20">
        <f>IF(OR(B2488="",'経歴簿'!$C$4=""),"",IF(B2488&amp;""='経歴簿'!$C$4&amp;"",MAX($AG$4:AG2487)+1,""))</f>
        <v/>
      </c>
      <c r="AH2488" s="20">
        <f>IF(A2488="",0,IF(AND(OR('CSV抽出'!$C$4="",A2488&gt;='CSV抽出'!$C$4),OR('CSV抽出'!$C$5="",A2488&lt;='CSV抽出'!$C$5),OR('CSV抽出'!$C$6="すべて",'CSV抽出'!$C$6="",D2488='CSV抽出'!$C$6),OR('CSV抽出'!$C$7="",B2488&amp;""='CSV抽出'!$C$7&amp;"")),1,0))</f>
        <v/>
      </c>
      <c r="AI2488" s="20">
        <f>IF(AH2488=1,SUM($AH$5:AH2488),"")</f>
        <v/>
      </c>
      <c r="AJ2488" s="20">
        <f>IF(OR(S2488="",'報告書'!$C$4=""),"",IF(S2488&amp;""='報告書'!$C$4&amp;"",COUNTIF($S$5:S2488,'報告書'!$C$4),""))</f>
        <v/>
      </c>
      <c r="AK2488" s="20" t="n"/>
      <c r="AL2488" s="47" t="n"/>
      <c r="AM2488" s="47" t="n"/>
      <c r="AN2488" s="53" t="n"/>
      <c r="AO2488" s="47" t="n"/>
      <c r="AP2488" s="47" t="n"/>
      <c r="AQ2488" s="47" t="n"/>
      <c r="AR2488" s="47" t="n"/>
      <c r="AS2488" s="47" t="n"/>
      <c r="AT2488" s="47" t="n"/>
      <c r="AU2488" s="47" t="n"/>
      <c r="AV2488" s="47" t="n"/>
      <c r="AW2488" s="52" t="n"/>
    </row>
    <row r="2489">
      <c r="A2489" s="48" t="n"/>
      <c r="B2489" s="52" t="n"/>
      <c r="C2489" s="47">
        <f>IF(B2489="","",IFERROR(INDEX('隊員マスタ'!$B$5:$B$204,MATCH(B2489&amp;"",'隊員マスタ'!$F$5:$F$204,0)),IF(AK2489="","番号なし",AK2489)))</f>
        <v/>
      </c>
      <c r="D2489" s="47" t="n"/>
      <c r="E2489" s="47" t="n"/>
      <c r="F2489" s="47" t="n"/>
      <c r="G2489" s="47" t="n"/>
      <c r="H2489" s="47" t="n"/>
      <c r="I2489" s="47" t="n"/>
      <c r="J2489" s="47" t="n"/>
      <c r="K2489" s="47" t="n"/>
      <c r="L2489" s="47" t="n"/>
      <c r="M2489" s="47" t="n"/>
      <c r="N2489" s="47" t="n"/>
      <c r="O2489" s="47" t="n"/>
      <c r="P2489" s="47" t="n"/>
      <c r="Q2489" s="47" t="n"/>
      <c r="R2489" s="47" t="n"/>
      <c r="S2489" s="47" t="n"/>
      <c r="T2489" s="47" t="n"/>
      <c r="U2489" s="53" t="n"/>
      <c r="V2489" s="53" t="n"/>
      <c r="W2489" s="47" t="n"/>
      <c r="X2489" s="47" t="n"/>
      <c r="Y2489" s="47" t="n"/>
      <c r="Z2489" s="47" t="n"/>
      <c r="AA2489" s="47" t="n"/>
      <c r="AB2489" s="47" t="n"/>
      <c r="AC2489" s="47" t="n"/>
      <c r="AD2489" s="47" t="n"/>
      <c r="AE2489" s="47" t="n"/>
      <c r="AF2489" s="20">
        <f>IF(A2489="","",YEAR(EDATE(A2489,-3)))</f>
        <v/>
      </c>
      <c r="AG2489" s="20">
        <f>IF(OR(B2489="",'経歴簿'!$C$4=""),"",IF(B2489&amp;""='経歴簿'!$C$4&amp;"",MAX($AG$4:AG2488)+1,""))</f>
        <v/>
      </c>
      <c r="AH2489" s="20">
        <f>IF(A2489="",0,IF(AND(OR('CSV抽出'!$C$4="",A2489&gt;='CSV抽出'!$C$4),OR('CSV抽出'!$C$5="",A2489&lt;='CSV抽出'!$C$5),OR('CSV抽出'!$C$6="すべて",'CSV抽出'!$C$6="",D2489='CSV抽出'!$C$6),OR('CSV抽出'!$C$7="",B2489&amp;""='CSV抽出'!$C$7&amp;"")),1,0))</f>
        <v/>
      </c>
      <c r="AI2489" s="20">
        <f>IF(AH2489=1,SUM($AH$5:AH2489),"")</f>
        <v/>
      </c>
      <c r="AJ2489" s="20">
        <f>IF(OR(S2489="",'報告書'!$C$4=""),"",IF(S2489&amp;""='報告書'!$C$4&amp;"",COUNTIF($S$5:S2489,'報告書'!$C$4),""))</f>
        <v/>
      </c>
      <c r="AK2489" s="20" t="n"/>
      <c r="AL2489" s="47" t="n"/>
      <c r="AM2489" s="47" t="n"/>
      <c r="AN2489" s="53" t="n"/>
      <c r="AO2489" s="47" t="n"/>
      <c r="AP2489" s="47" t="n"/>
      <c r="AQ2489" s="47" t="n"/>
      <c r="AR2489" s="47" t="n"/>
      <c r="AS2489" s="47" t="n"/>
      <c r="AT2489" s="47" t="n"/>
      <c r="AU2489" s="47" t="n"/>
      <c r="AV2489" s="47" t="n"/>
      <c r="AW2489" s="52" t="n"/>
    </row>
    <row r="2490">
      <c r="A2490" s="48" t="n"/>
      <c r="B2490" s="52" t="n"/>
      <c r="C2490" s="47">
        <f>IF(B2490="","",IFERROR(INDEX('隊員マスタ'!$B$5:$B$204,MATCH(B2490&amp;"",'隊員マスタ'!$F$5:$F$204,0)),IF(AK2490="","番号なし",AK2490)))</f>
        <v/>
      </c>
      <c r="D2490" s="47" t="n"/>
      <c r="E2490" s="47" t="n"/>
      <c r="F2490" s="47" t="n"/>
      <c r="G2490" s="47" t="n"/>
      <c r="H2490" s="47" t="n"/>
      <c r="I2490" s="47" t="n"/>
      <c r="J2490" s="47" t="n"/>
      <c r="K2490" s="47" t="n"/>
      <c r="L2490" s="47" t="n"/>
      <c r="M2490" s="47" t="n"/>
      <c r="N2490" s="47" t="n"/>
      <c r="O2490" s="47" t="n"/>
      <c r="P2490" s="47" t="n"/>
      <c r="Q2490" s="47" t="n"/>
      <c r="R2490" s="47" t="n"/>
      <c r="S2490" s="47" t="n"/>
      <c r="T2490" s="47" t="n"/>
      <c r="U2490" s="53" t="n"/>
      <c r="V2490" s="53" t="n"/>
      <c r="W2490" s="47" t="n"/>
      <c r="X2490" s="47" t="n"/>
      <c r="Y2490" s="47" t="n"/>
      <c r="Z2490" s="47" t="n"/>
      <c r="AA2490" s="47" t="n"/>
      <c r="AB2490" s="47" t="n"/>
      <c r="AC2490" s="47" t="n"/>
      <c r="AD2490" s="47" t="n"/>
      <c r="AE2490" s="47" t="n"/>
      <c r="AF2490" s="20">
        <f>IF(A2490="","",YEAR(EDATE(A2490,-3)))</f>
        <v/>
      </c>
      <c r="AG2490" s="20">
        <f>IF(OR(B2490="",'経歴簿'!$C$4=""),"",IF(B2490&amp;""='経歴簿'!$C$4&amp;"",MAX($AG$4:AG2489)+1,""))</f>
        <v/>
      </c>
      <c r="AH2490" s="20">
        <f>IF(A2490="",0,IF(AND(OR('CSV抽出'!$C$4="",A2490&gt;='CSV抽出'!$C$4),OR('CSV抽出'!$C$5="",A2490&lt;='CSV抽出'!$C$5),OR('CSV抽出'!$C$6="すべて",'CSV抽出'!$C$6="",D2490='CSV抽出'!$C$6),OR('CSV抽出'!$C$7="",B2490&amp;""='CSV抽出'!$C$7&amp;"")),1,0))</f>
        <v/>
      </c>
      <c r="AI2490" s="20">
        <f>IF(AH2490=1,SUM($AH$5:AH2490),"")</f>
        <v/>
      </c>
      <c r="AJ2490" s="20">
        <f>IF(OR(S2490="",'報告書'!$C$4=""),"",IF(S2490&amp;""='報告書'!$C$4&amp;"",COUNTIF($S$5:S2490,'報告書'!$C$4),""))</f>
        <v/>
      </c>
      <c r="AK2490" s="20" t="n"/>
      <c r="AL2490" s="47" t="n"/>
      <c r="AM2490" s="47" t="n"/>
      <c r="AN2490" s="53" t="n"/>
      <c r="AO2490" s="47" t="n"/>
      <c r="AP2490" s="47" t="n"/>
      <c r="AQ2490" s="47" t="n"/>
      <c r="AR2490" s="47" t="n"/>
      <c r="AS2490" s="47" t="n"/>
      <c r="AT2490" s="47" t="n"/>
      <c r="AU2490" s="47" t="n"/>
      <c r="AV2490" s="47" t="n"/>
      <c r="AW2490" s="52" t="n"/>
    </row>
    <row r="2491">
      <c r="A2491" s="48" t="n"/>
      <c r="B2491" s="52" t="n"/>
      <c r="C2491" s="47">
        <f>IF(B2491="","",IFERROR(INDEX('隊員マスタ'!$B$5:$B$204,MATCH(B2491&amp;"",'隊員マスタ'!$F$5:$F$204,0)),IF(AK2491="","番号なし",AK2491)))</f>
        <v/>
      </c>
      <c r="D2491" s="47" t="n"/>
      <c r="E2491" s="47" t="n"/>
      <c r="F2491" s="47" t="n"/>
      <c r="G2491" s="47" t="n"/>
      <c r="H2491" s="47" t="n"/>
      <c r="I2491" s="47" t="n"/>
      <c r="J2491" s="47" t="n"/>
      <c r="K2491" s="47" t="n"/>
      <c r="L2491" s="47" t="n"/>
      <c r="M2491" s="47" t="n"/>
      <c r="N2491" s="47" t="n"/>
      <c r="O2491" s="47" t="n"/>
      <c r="P2491" s="47" t="n"/>
      <c r="Q2491" s="47" t="n"/>
      <c r="R2491" s="47" t="n"/>
      <c r="S2491" s="47" t="n"/>
      <c r="T2491" s="47" t="n"/>
      <c r="U2491" s="53" t="n"/>
      <c r="V2491" s="53" t="n"/>
      <c r="W2491" s="47" t="n"/>
      <c r="X2491" s="47" t="n"/>
      <c r="Y2491" s="47" t="n"/>
      <c r="Z2491" s="47" t="n"/>
      <c r="AA2491" s="47" t="n"/>
      <c r="AB2491" s="47" t="n"/>
      <c r="AC2491" s="47" t="n"/>
      <c r="AD2491" s="47" t="n"/>
      <c r="AE2491" s="47" t="n"/>
      <c r="AF2491" s="20">
        <f>IF(A2491="","",YEAR(EDATE(A2491,-3)))</f>
        <v/>
      </c>
      <c r="AG2491" s="20">
        <f>IF(OR(B2491="",'経歴簿'!$C$4=""),"",IF(B2491&amp;""='経歴簿'!$C$4&amp;"",MAX($AG$4:AG2490)+1,""))</f>
        <v/>
      </c>
      <c r="AH2491" s="20">
        <f>IF(A2491="",0,IF(AND(OR('CSV抽出'!$C$4="",A2491&gt;='CSV抽出'!$C$4),OR('CSV抽出'!$C$5="",A2491&lt;='CSV抽出'!$C$5),OR('CSV抽出'!$C$6="すべて",'CSV抽出'!$C$6="",D2491='CSV抽出'!$C$6),OR('CSV抽出'!$C$7="",B2491&amp;""='CSV抽出'!$C$7&amp;"")),1,0))</f>
        <v/>
      </c>
      <c r="AI2491" s="20">
        <f>IF(AH2491=1,SUM($AH$5:AH2491),"")</f>
        <v/>
      </c>
      <c r="AJ2491" s="20">
        <f>IF(OR(S2491="",'報告書'!$C$4=""),"",IF(S2491&amp;""='報告書'!$C$4&amp;"",COUNTIF($S$5:S2491,'報告書'!$C$4),""))</f>
        <v/>
      </c>
      <c r="AK2491" s="20" t="n"/>
      <c r="AL2491" s="47" t="n"/>
      <c r="AM2491" s="47" t="n"/>
      <c r="AN2491" s="53" t="n"/>
      <c r="AO2491" s="47" t="n"/>
      <c r="AP2491" s="47" t="n"/>
      <c r="AQ2491" s="47" t="n"/>
      <c r="AR2491" s="47" t="n"/>
      <c r="AS2491" s="47" t="n"/>
      <c r="AT2491" s="47" t="n"/>
      <c r="AU2491" s="47" t="n"/>
      <c r="AV2491" s="47" t="n"/>
      <c r="AW2491" s="52" t="n"/>
    </row>
    <row r="2492">
      <c r="A2492" s="48" t="n"/>
      <c r="B2492" s="52" t="n"/>
      <c r="C2492" s="47">
        <f>IF(B2492="","",IFERROR(INDEX('隊員マスタ'!$B$5:$B$204,MATCH(B2492&amp;"",'隊員マスタ'!$F$5:$F$204,0)),IF(AK2492="","番号なし",AK2492)))</f>
        <v/>
      </c>
      <c r="D2492" s="47" t="n"/>
      <c r="E2492" s="47" t="n"/>
      <c r="F2492" s="47" t="n"/>
      <c r="G2492" s="47" t="n"/>
      <c r="H2492" s="47" t="n"/>
      <c r="I2492" s="47" t="n"/>
      <c r="J2492" s="47" t="n"/>
      <c r="K2492" s="47" t="n"/>
      <c r="L2492" s="47" t="n"/>
      <c r="M2492" s="47" t="n"/>
      <c r="N2492" s="47" t="n"/>
      <c r="O2492" s="47" t="n"/>
      <c r="P2492" s="47" t="n"/>
      <c r="Q2492" s="47" t="n"/>
      <c r="R2492" s="47" t="n"/>
      <c r="S2492" s="47" t="n"/>
      <c r="T2492" s="47" t="n"/>
      <c r="U2492" s="53" t="n"/>
      <c r="V2492" s="53" t="n"/>
      <c r="W2492" s="47" t="n"/>
      <c r="X2492" s="47" t="n"/>
      <c r="Y2492" s="47" t="n"/>
      <c r="Z2492" s="47" t="n"/>
      <c r="AA2492" s="47" t="n"/>
      <c r="AB2492" s="47" t="n"/>
      <c r="AC2492" s="47" t="n"/>
      <c r="AD2492" s="47" t="n"/>
      <c r="AE2492" s="47" t="n"/>
      <c r="AF2492" s="20">
        <f>IF(A2492="","",YEAR(EDATE(A2492,-3)))</f>
        <v/>
      </c>
      <c r="AG2492" s="20">
        <f>IF(OR(B2492="",'経歴簿'!$C$4=""),"",IF(B2492&amp;""='経歴簿'!$C$4&amp;"",MAX($AG$4:AG2491)+1,""))</f>
        <v/>
      </c>
      <c r="AH2492" s="20">
        <f>IF(A2492="",0,IF(AND(OR('CSV抽出'!$C$4="",A2492&gt;='CSV抽出'!$C$4),OR('CSV抽出'!$C$5="",A2492&lt;='CSV抽出'!$C$5),OR('CSV抽出'!$C$6="すべて",'CSV抽出'!$C$6="",D2492='CSV抽出'!$C$6),OR('CSV抽出'!$C$7="",B2492&amp;""='CSV抽出'!$C$7&amp;"")),1,0))</f>
        <v/>
      </c>
      <c r="AI2492" s="20">
        <f>IF(AH2492=1,SUM($AH$5:AH2492),"")</f>
        <v/>
      </c>
      <c r="AJ2492" s="20">
        <f>IF(OR(S2492="",'報告書'!$C$4=""),"",IF(S2492&amp;""='報告書'!$C$4&amp;"",COUNTIF($S$5:S2492,'報告書'!$C$4),""))</f>
        <v/>
      </c>
      <c r="AK2492" s="20" t="n"/>
      <c r="AL2492" s="47" t="n"/>
      <c r="AM2492" s="47" t="n"/>
      <c r="AN2492" s="53" t="n"/>
      <c r="AO2492" s="47" t="n"/>
      <c r="AP2492" s="47" t="n"/>
      <c r="AQ2492" s="47" t="n"/>
      <c r="AR2492" s="47" t="n"/>
      <c r="AS2492" s="47" t="n"/>
      <c r="AT2492" s="47" t="n"/>
      <c r="AU2492" s="47" t="n"/>
      <c r="AV2492" s="47" t="n"/>
      <c r="AW2492" s="52" t="n"/>
    </row>
    <row r="2493">
      <c r="A2493" s="48" t="n"/>
      <c r="B2493" s="52" t="n"/>
      <c r="C2493" s="47">
        <f>IF(B2493="","",IFERROR(INDEX('隊員マスタ'!$B$5:$B$204,MATCH(B2493&amp;"",'隊員マスタ'!$F$5:$F$204,0)),IF(AK2493="","番号なし",AK2493)))</f>
        <v/>
      </c>
      <c r="D2493" s="47" t="n"/>
      <c r="E2493" s="47" t="n"/>
      <c r="F2493" s="47" t="n"/>
      <c r="G2493" s="47" t="n"/>
      <c r="H2493" s="47" t="n"/>
      <c r="I2493" s="47" t="n"/>
      <c r="J2493" s="47" t="n"/>
      <c r="K2493" s="47" t="n"/>
      <c r="L2493" s="47" t="n"/>
      <c r="M2493" s="47" t="n"/>
      <c r="N2493" s="47" t="n"/>
      <c r="O2493" s="47" t="n"/>
      <c r="P2493" s="47" t="n"/>
      <c r="Q2493" s="47" t="n"/>
      <c r="R2493" s="47" t="n"/>
      <c r="S2493" s="47" t="n"/>
      <c r="T2493" s="47" t="n"/>
      <c r="U2493" s="53" t="n"/>
      <c r="V2493" s="53" t="n"/>
      <c r="W2493" s="47" t="n"/>
      <c r="X2493" s="47" t="n"/>
      <c r="Y2493" s="47" t="n"/>
      <c r="Z2493" s="47" t="n"/>
      <c r="AA2493" s="47" t="n"/>
      <c r="AB2493" s="47" t="n"/>
      <c r="AC2493" s="47" t="n"/>
      <c r="AD2493" s="47" t="n"/>
      <c r="AE2493" s="47" t="n"/>
      <c r="AF2493" s="20">
        <f>IF(A2493="","",YEAR(EDATE(A2493,-3)))</f>
        <v/>
      </c>
      <c r="AG2493" s="20">
        <f>IF(OR(B2493="",'経歴簿'!$C$4=""),"",IF(B2493&amp;""='経歴簿'!$C$4&amp;"",MAX($AG$4:AG2492)+1,""))</f>
        <v/>
      </c>
      <c r="AH2493" s="20">
        <f>IF(A2493="",0,IF(AND(OR('CSV抽出'!$C$4="",A2493&gt;='CSV抽出'!$C$4),OR('CSV抽出'!$C$5="",A2493&lt;='CSV抽出'!$C$5),OR('CSV抽出'!$C$6="すべて",'CSV抽出'!$C$6="",D2493='CSV抽出'!$C$6),OR('CSV抽出'!$C$7="",B2493&amp;""='CSV抽出'!$C$7&amp;"")),1,0))</f>
        <v/>
      </c>
      <c r="AI2493" s="20">
        <f>IF(AH2493=1,SUM($AH$5:AH2493),"")</f>
        <v/>
      </c>
      <c r="AJ2493" s="20">
        <f>IF(OR(S2493="",'報告書'!$C$4=""),"",IF(S2493&amp;""='報告書'!$C$4&amp;"",COUNTIF($S$5:S2493,'報告書'!$C$4),""))</f>
        <v/>
      </c>
      <c r="AK2493" s="20" t="n"/>
      <c r="AL2493" s="47" t="n"/>
      <c r="AM2493" s="47" t="n"/>
      <c r="AN2493" s="53" t="n"/>
      <c r="AO2493" s="47" t="n"/>
      <c r="AP2493" s="47" t="n"/>
      <c r="AQ2493" s="47" t="n"/>
      <c r="AR2493" s="47" t="n"/>
      <c r="AS2493" s="47" t="n"/>
      <c r="AT2493" s="47" t="n"/>
      <c r="AU2493" s="47" t="n"/>
      <c r="AV2493" s="47" t="n"/>
      <c r="AW2493" s="52" t="n"/>
    </row>
    <row r="2494">
      <c r="A2494" s="48" t="n"/>
      <c r="B2494" s="52" t="n"/>
      <c r="C2494" s="47">
        <f>IF(B2494="","",IFERROR(INDEX('隊員マスタ'!$B$5:$B$204,MATCH(B2494&amp;"",'隊員マスタ'!$F$5:$F$204,0)),IF(AK2494="","番号なし",AK2494)))</f>
        <v/>
      </c>
      <c r="D2494" s="47" t="n"/>
      <c r="E2494" s="47" t="n"/>
      <c r="F2494" s="47" t="n"/>
      <c r="G2494" s="47" t="n"/>
      <c r="H2494" s="47" t="n"/>
      <c r="I2494" s="47" t="n"/>
      <c r="J2494" s="47" t="n"/>
      <c r="K2494" s="47" t="n"/>
      <c r="L2494" s="47" t="n"/>
      <c r="M2494" s="47" t="n"/>
      <c r="N2494" s="47" t="n"/>
      <c r="O2494" s="47" t="n"/>
      <c r="P2494" s="47" t="n"/>
      <c r="Q2494" s="47" t="n"/>
      <c r="R2494" s="47" t="n"/>
      <c r="S2494" s="47" t="n"/>
      <c r="T2494" s="47" t="n"/>
      <c r="U2494" s="53" t="n"/>
      <c r="V2494" s="53" t="n"/>
      <c r="W2494" s="47" t="n"/>
      <c r="X2494" s="47" t="n"/>
      <c r="Y2494" s="47" t="n"/>
      <c r="Z2494" s="47" t="n"/>
      <c r="AA2494" s="47" t="n"/>
      <c r="AB2494" s="47" t="n"/>
      <c r="AC2494" s="47" t="n"/>
      <c r="AD2494" s="47" t="n"/>
      <c r="AE2494" s="47" t="n"/>
      <c r="AF2494" s="20">
        <f>IF(A2494="","",YEAR(EDATE(A2494,-3)))</f>
        <v/>
      </c>
      <c r="AG2494" s="20">
        <f>IF(OR(B2494="",'経歴簿'!$C$4=""),"",IF(B2494&amp;""='経歴簿'!$C$4&amp;"",MAX($AG$4:AG2493)+1,""))</f>
        <v/>
      </c>
      <c r="AH2494" s="20">
        <f>IF(A2494="",0,IF(AND(OR('CSV抽出'!$C$4="",A2494&gt;='CSV抽出'!$C$4),OR('CSV抽出'!$C$5="",A2494&lt;='CSV抽出'!$C$5),OR('CSV抽出'!$C$6="すべて",'CSV抽出'!$C$6="",D2494='CSV抽出'!$C$6),OR('CSV抽出'!$C$7="",B2494&amp;""='CSV抽出'!$C$7&amp;"")),1,0))</f>
        <v/>
      </c>
      <c r="AI2494" s="20">
        <f>IF(AH2494=1,SUM($AH$5:AH2494),"")</f>
        <v/>
      </c>
      <c r="AJ2494" s="20">
        <f>IF(OR(S2494="",'報告書'!$C$4=""),"",IF(S2494&amp;""='報告書'!$C$4&amp;"",COUNTIF($S$5:S2494,'報告書'!$C$4),""))</f>
        <v/>
      </c>
      <c r="AK2494" s="20" t="n"/>
      <c r="AL2494" s="47" t="n"/>
      <c r="AM2494" s="47" t="n"/>
      <c r="AN2494" s="53" t="n"/>
      <c r="AO2494" s="47" t="n"/>
      <c r="AP2494" s="47" t="n"/>
      <c r="AQ2494" s="47" t="n"/>
      <c r="AR2494" s="47" t="n"/>
      <c r="AS2494" s="47" t="n"/>
      <c r="AT2494" s="47" t="n"/>
      <c r="AU2494" s="47" t="n"/>
      <c r="AV2494" s="47" t="n"/>
      <c r="AW2494" s="52" t="n"/>
    </row>
    <row r="2495">
      <c r="A2495" s="48" t="n"/>
      <c r="B2495" s="52" t="n"/>
      <c r="C2495" s="47">
        <f>IF(B2495="","",IFERROR(INDEX('隊員マスタ'!$B$5:$B$204,MATCH(B2495&amp;"",'隊員マスタ'!$F$5:$F$204,0)),IF(AK2495="","番号なし",AK2495)))</f>
        <v/>
      </c>
      <c r="D2495" s="47" t="n"/>
      <c r="E2495" s="47" t="n"/>
      <c r="F2495" s="47" t="n"/>
      <c r="G2495" s="47" t="n"/>
      <c r="H2495" s="47" t="n"/>
      <c r="I2495" s="47" t="n"/>
      <c r="J2495" s="47" t="n"/>
      <c r="K2495" s="47" t="n"/>
      <c r="L2495" s="47" t="n"/>
      <c r="M2495" s="47" t="n"/>
      <c r="N2495" s="47" t="n"/>
      <c r="O2495" s="47" t="n"/>
      <c r="P2495" s="47" t="n"/>
      <c r="Q2495" s="47" t="n"/>
      <c r="R2495" s="47" t="n"/>
      <c r="S2495" s="47" t="n"/>
      <c r="T2495" s="47" t="n"/>
      <c r="U2495" s="53" t="n"/>
      <c r="V2495" s="53" t="n"/>
      <c r="W2495" s="47" t="n"/>
      <c r="X2495" s="47" t="n"/>
      <c r="Y2495" s="47" t="n"/>
      <c r="Z2495" s="47" t="n"/>
      <c r="AA2495" s="47" t="n"/>
      <c r="AB2495" s="47" t="n"/>
      <c r="AC2495" s="47" t="n"/>
      <c r="AD2495" s="47" t="n"/>
      <c r="AE2495" s="47" t="n"/>
      <c r="AF2495" s="20">
        <f>IF(A2495="","",YEAR(EDATE(A2495,-3)))</f>
        <v/>
      </c>
      <c r="AG2495" s="20">
        <f>IF(OR(B2495="",'経歴簿'!$C$4=""),"",IF(B2495&amp;""='経歴簿'!$C$4&amp;"",MAX($AG$4:AG2494)+1,""))</f>
        <v/>
      </c>
      <c r="AH2495" s="20">
        <f>IF(A2495="",0,IF(AND(OR('CSV抽出'!$C$4="",A2495&gt;='CSV抽出'!$C$4),OR('CSV抽出'!$C$5="",A2495&lt;='CSV抽出'!$C$5),OR('CSV抽出'!$C$6="すべて",'CSV抽出'!$C$6="",D2495='CSV抽出'!$C$6),OR('CSV抽出'!$C$7="",B2495&amp;""='CSV抽出'!$C$7&amp;"")),1,0))</f>
        <v/>
      </c>
      <c r="AI2495" s="20">
        <f>IF(AH2495=1,SUM($AH$5:AH2495),"")</f>
        <v/>
      </c>
      <c r="AJ2495" s="20">
        <f>IF(OR(S2495="",'報告書'!$C$4=""),"",IF(S2495&amp;""='報告書'!$C$4&amp;"",COUNTIF($S$5:S2495,'報告書'!$C$4),""))</f>
        <v/>
      </c>
      <c r="AK2495" s="20" t="n"/>
      <c r="AL2495" s="47" t="n"/>
      <c r="AM2495" s="47" t="n"/>
      <c r="AN2495" s="53" t="n"/>
      <c r="AO2495" s="47" t="n"/>
      <c r="AP2495" s="47" t="n"/>
      <c r="AQ2495" s="47" t="n"/>
      <c r="AR2495" s="47" t="n"/>
      <c r="AS2495" s="47" t="n"/>
      <c r="AT2495" s="47" t="n"/>
      <c r="AU2495" s="47" t="n"/>
      <c r="AV2495" s="47" t="n"/>
      <c r="AW2495" s="52" t="n"/>
    </row>
    <row r="2496">
      <c r="A2496" s="48" t="n"/>
      <c r="B2496" s="52" t="n"/>
      <c r="C2496" s="47">
        <f>IF(B2496="","",IFERROR(INDEX('隊員マスタ'!$B$5:$B$204,MATCH(B2496&amp;"",'隊員マスタ'!$F$5:$F$204,0)),IF(AK2496="","番号なし",AK2496)))</f>
        <v/>
      </c>
      <c r="D2496" s="47" t="n"/>
      <c r="E2496" s="47" t="n"/>
      <c r="F2496" s="47" t="n"/>
      <c r="G2496" s="47" t="n"/>
      <c r="H2496" s="47" t="n"/>
      <c r="I2496" s="47" t="n"/>
      <c r="J2496" s="47" t="n"/>
      <c r="K2496" s="47" t="n"/>
      <c r="L2496" s="47" t="n"/>
      <c r="M2496" s="47" t="n"/>
      <c r="N2496" s="47" t="n"/>
      <c r="O2496" s="47" t="n"/>
      <c r="P2496" s="47" t="n"/>
      <c r="Q2496" s="47" t="n"/>
      <c r="R2496" s="47" t="n"/>
      <c r="S2496" s="47" t="n"/>
      <c r="T2496" s="47" t="n"/>
      <c r="U2496" s="53" t="n"/>
      <c r="V2496" s="53" t="n"/>
      <c r="W2496" s="47" t="n"/>
      <c r="X2496" s="47" t="n"/>
      <c r="Y2496" s="47" t="n"/>
      <c r="Z2496" s="47" t="n"/>
      <c r="AA2496" s="47" t="n"/>
      <c r="AB2496" s="47" t="n"/>
      <c r="AC2496" s="47" t="n"/>
      <c r="AD2496" s="47" t="n"/>
      <c r="AE2496" s="47" t="n"/>
      <c r="AF2496" s="20">
        <f>IF(A2496="","",YEAR(EDATE(A2496,-3)))</f>
        <v/>
      </c>
      <c r="AG2496" s="20">
        <f>IF(OR(B2496="",'経歴簿'!$C$4=""),"",IF(B2496&amp;""='経歴簿'!$C$4&amp;"",MAX($AG$4:AG2495)+1,""))</f>
        <v/>
      </c>
      <c r="AH2496" s="20">
        <f>IF(A2496="",0,IF(AND(OR('CSV抽出'!$C$4="",A2496&gt;='CSV抽出'!$C$4),OR('CSV抽出'!$C$5="",A2496&lt;='CSV抽出'!$C$5),OR('CSV抽出'!$C$6="すべて",'CSV抽出'!$C$6="",D2496='CSV抽出'!$C$6),OR('CSV抽出'!$C$7="",B2496&amp;""='CSV抽出'!$C$7&amp;"")),1,0))</f>
        <v/>
      </c>
      <c r="AI2496" s="20">
        <f>IF(AH2496=1,SUM($AH$5:AH2496),"")</f>
        <v/>
      </c>
      <c r="AJ2496" s="20">
        <f>IF(OR(S2496="",'報告書'!$C$4=""),"",IF(S2496&amp;""='報告書'!$C$4&amp;"",COUNTIF($S$5:S2496,'報告書'!$C$4),""))</f>
        <v/>
      </c>
      <c r="AK2496" s="20" t="n"/>
      <c r="AL2496" s="47" t="n"/>
      <c r="AM2496" s="47" t="n"/>
      <c r="AN2496" s="53" t="n"/>
      <c r="AO2496" s="47" t="n"/>
      <c r="AP2496" s="47" t="n"/>
      <c r="AQ2496" s="47" t="n"/>
      <c r="AR2496" s="47" t="n"/>
      <c r="AS2496" s="47" t="n"/>
      <c r="AT2496" s="47" t="n"/>
      <c r="AU2496" s="47" t="n"/>
      <c r="AV2496" s="47" t="n"/>
      <c r="AW2496" s="52" t="n"/>
    </row>
    <row r="2497">
      <c r="A2497" s="48" t="n"/>
      <c r="B2497" s="52" t="n"/>
      <c r="C2497" s="47">
        <f>IF(B2497="","",IFERROR(INDEX('隊員マスタ'!$B$5:$B$204,MATCH(B2497&amp;"",'隊員マスタ'!$F$5:$F$204,0)),IF(AK2497="","番号なし",AK2497)))</f>
        <v/>
      </c>
      <c r="D2497" s="47" t="n"/>
      <c r="E2497" s="47" t="n"/>
      <c r="F2497" s="47" t="n"/>
      <c r="G2497" s="47" t="n"/>
      <c r="H2497" s="47" t="n"/>
      <c r="I2497" s="47" t="n"/>
      <c r="J2497" s="47" t="n"/>
      <c r="K2497" s="47" t="n"/>
      <c r="L2497" s="47" t="n"/>
      <c r="M2497" s="47" t="n"/>
      <c r="N2497" s="47" t="n"/>
      <c r="O2497" s="47" t="n"/>
      <c r="P2497" s="47" t="n"/>
      <c r="Q2497" s="47" t="n"/>
      <c r="R2497" s="47" t="n"/>
      <c r="S2497" s="47" t="n"/>
      <c r="T2497" s="47" t="n"/>
      <c r="U2497" s="53" t="n"/>
      <c r="V2497" s="53" t="n"/>
      <c r="W2497" s="47" t="n"/>
      <c r="X2497" s="47" t="n"/>
      <c r="Y2497" s="47" t="n"/>
      <c r="Z2497" s="47" t="n"/>
      <c r="AA2497" s="47" t="n"/>
      <c r="AB2497" s="47" t="n"/>
      <c r="AC2497" s="47" t="n"/>
      <c r="AD2497" s="47" t="n"/>
      <c r="AE2497" s="47" t="n"/>
      <c r="AF2497" s="20">
        <f>IF(A2497="","",YEAR(EDATE(A2497,-3)))</f>
        <v/>
      </c>
      <c r="AG2497" s="20">
        <f>IF(OR(B2497="",'経歴簿'!$C$4=""),"",IF(B2497&amp;""='経歴簿'!$C$4&amp;"",MAX($AG$4:AG2496)+1,""))</f>
        <v/>
      </c>
      <c r="AH2497" s="20">
        <f>IF(A2497="",0,IF(AND(OR('CSV抽出'!$C$4="",A2497&gt;='CSV抽出'!$C$4),OR('CSV抽出'!$C$5="",A2497&lt;='CSV抽出'!$C$5),OR('CSV抽出'!$C$6="すべて",'CSV抽出'!$C$6="",D2497='CSV抽出'!$C$6),OR('CSV抽出'!$C$7="",B2497&amp;""='CSV抽出'!$C$7&amp;"")),1,0))</f>
        <v/>
      </c>
      <c r="AI2497" s="20">
        <f>IF(AH2497=1,SUM($AH$5:AH2497),"")</f>
        <v/>
      </c>
      <c r="AJ2497" s="20">
        <f>IF(OR(S2497="",'報告書'!$C$4=""),"",IF(S2497&amp;""='報告書'!$C$4&amp;"",COUNTIF($S$5:S2497,'報告書'!$C$4),""))</f>
        <v/>
      </c>
      <c r="AK2497" s="20" t="n"/>
      <c r="AL2497" s="47" t="n"/>
      <c r="AM2497" s="47" t="n"/>
      <c r="AN2497" s="53" t="n"/>
      <c r="AO2497" s="47" t="n"/>
      <c r="AP2497" s="47" t="n"/>
      <c r="AQ2497" s="47" t="n"/>
      <c r="AR2497" s="47" t="n"/>
      <c r="AS2497" s="47" t="n"/>
      <c r="AT2497" s="47" t="n"/>
      <c r="AU2497" s="47" t="n"/>
      <c r="AV2497" s="47" t="n"/>
      <c r="AW2497" s="52" t="n"/>
    </row>
    <row r="2498">
      <c r="A2498" s="48" t="n"/>
      <c r="B2498" s="52" t="n"/>
      <c r="C2498" s="47">
        <f>IF(B2498="","",IFERROR(INDEX('隊員マスタ'!$B$5:$B$204,MATCH(B2498&amp;"",'隊員マスタ'!$F$5:$F$204,0)),IF(AK2498="","番号なし",AK2498)))</f>
        <v/>
      </c>
      <c r="D2498" s="47" t="n"/>
      <c r="E2498" s="47" t="n"/>
      <c r="F2498" s="47" t="n"/>
      <c r="G2498" s="47" t="n"/>
      <c r="H2498" s="47" t="n"/>
      <c r="I2498" s="47" t="n"/>
      <c r="J2498" s="47" t="n"/>
      <c r="K2498" s="47" t="n"/>
      <c r="L2498" s="47" t="n"/>
      <c r="M2498" s="47" t="n"/>
      <c r="N2498" s="47" t="n"/>
      <c r="O2498" s="47" t="n"/>
      <c r="P2498" s="47" t="n"/>
      <c r="Q2498" s="47" t="n"/>
      <c r="R2498" s="47" t="n"/>
      <c r="S2498" s="47" t="n"/>
      <c r="T2498" s="47" t="n"/>
      <c r="U2498" s="53" t="n"/>
      <c r="V2498" s="53" t="n"/>
      <c r="W2498" s="47" t="n"/>
      <c r="X2498" s="47" t="n"/>
      <c r="Y2498" s="47" t="n"/>
      <c r="Z2498" s="47" t="n"/>
      <c r="AA2498" s="47" t="n"/>
      <c r="AB2498" s="47" t="n"/>
      <c r="AC2498" s="47" t="n"/>
      <c r="AD2498" s="47" t="n"/>
      <c r="AE2498" s="47" t="n"/>
      <c r="AF2498" s="20">
        <f>IF(A2498="","",YEAR(EDATE(A2498,-3)))</f>
        <v/>
      </c>
      <c r="AG2498" s="20">
        <f>IF(OR(B2498="",'経歴簿'!$C$4=""),"",IF(B2498&amp;""='経歴簿'!$C$4&amp;"",MAX($AG$4:AG2497)+1,""))</f>
        <v/>
      </c>
      <c r="AH2498" s="20">
        <f>IF(A2498="",0,IF(AND(OR('CSV抽出'!$C$4="",A2498&gt;='CSV抽出'!$C$4),OR('CSV抽出'!$C$5="",A2498&lt;='CSV抽出'!$C$5),OR('CSV抽出'!$C$6="すべて",'CSV抽出'!$C$6="",D2498='CSV抽出'!$C$6),OR('CSV抽出'!$C$7="",B2498&amp;""='CSV抽出'!$C$7&amp;"")),1,0))</f>
        <v/>
      </c>
      <c r="AI2498" s="20">
        <f>IF(AH2498=1,SUM($AH$5:AH2498),"")</f>
        <v/>
      </c>
      <c r="AJ2498" s="20">
        <f>IF(OR(S2498="",'報告書'!$C$4=""),"",IF(S2498&amp;""='報告書'!$C$4&amp;"",COUNTIF($S$5:S2498,'報告書'!$C$4),""))</f>
        <v/>
      </c>
      <c r="AK2498" s="20" t="n"/>
      <c r="AL2498" s="47" t="n"/>
      <c r="AM2498" s="47" t="n"/>
      <c r="AN2498" s="53" t="n"/>
      <c r="AO2498" s="47" t="n"/>
      <c r="AP2498" s="47" t="n"/>
      <c r="AQ2498" s="47" t="n"/>
      <c r="AR2498" s="47" t="n"/>
      <c r="AS2498" s="47" t="n"/>
      <c r="AT2498" s="47" t="n"/>
      <c r="AU2498" s="47" t="n"/>
      <c r="AV2498" s="47" t="n"/>
      <c r="AW2498" s="52" t="n"/>
    </row>
    <row r="2499">
      <c r="A2499" s="48" t="n"/>
      <c r="B2499" s="52" t="n"/>
      <c r="C2499" s="47">
        <f>IF(B2499="","",IFERROR(INDEX('隊員マスタ'!$B$5:$B$204,MATCH(B2499&amp;"",'隊員マスタ'!$F$5:$F$204,0)),IF(AK2499="","番号なし",AK2499)))</f>
        <v/>
      </c>
      <c r="D2499" s="47" t="n"/>
      <c r="E2499" s="47" t="n"/>
      <c r="F2499" s="47" t="n"/>
      <c r="G2499" s="47" t="n"/>
      <c r="H2499" s="47" t="n"/>
      <c r="I2499" s="47" t="n"/>
      <c r="J2499" s="47" t="n"/>
      <c r="K2499" s="47" t="n"/>
      <c r="L2499" s="47" t="n"/>
      <c r="M2499" s="47" t="n"/>
      <c r="N2499" s="47" t="n"/>
      <c r="O2499" s="47" t="n"/>
      <c r="P2499" s="47" t="n"/>
      <c r="Q2499" s="47" t="n"/>
      <c r="R2499" s="47" t="n"/>
      <c r="S2499" s="47" t="n"/>
      <c r="T2499" s="47" t="n"/>
      <c r="U2499" s="53" t="n"/>
      <c r="V2499" s="53" t="n"/>
      <c r="W2499" s="47" t="n"/>
      <c r="X2499" s="47" t="n"/>
      <c r="Y2499" s="47" t="n"/>
      <c r="Z2499" s="47" t="n"/>
      <c r="AA2499" s="47" t="n"/>
      <c r="AB2499" s="47" t="n"/>
      <c r="AC2499" s="47" t="n"/>
      <c r="AD2499" s="47" t="n"/>
      <c r="AE2499" s="47" t="n"/>
      <c r="AF2499" s="20">
        <f>IF(A2499="","",YEAR(EDATE(A2499,-3)))</f>
        <v/>
      </c>
      <c r="AG2499" s="20">
        <f>IF(OR(B2499="",'経歴簿'!$C$4=""),"",IF(B2499&amp;""='経歴簿'!$C$4&amp;"",MAX($AG$4:AG2498)+1,""))</f>
        <v/>
      </c>
      <c r="AH2499" s="20">
        <f>IF(A2499="",0,IF(AND(OR('CSV抽出'!$C$4="",A2499&gt;='CSV抽出'!$C$4),OR('CSV抽出'!$C$5="",A2499&lt;='CSV抽出'!$C$5),OR('CSV抽出'!$C$6="すべて",'CSV抽出'!$C$6="",D2499='CSV抽出'!$C$6),OR('CSV抽出'!$C$7="",B2499&amp;""='CSV抽出'!$C$7&amp;"")),1,0))</f>
        <v/>
      </c>
      <c r="AI2499" s="20">
        <f>IF(AH2499=1,SUM($AH$5:AH2499),"")</f>
        <v/>
      </c>
      <c r="AJ2499" s="20">
        <f>IF(OR(S2499="",'報告書'!$C$4=""),"",IF(S2499&amp;""='報告書'!$C$4&amp;"",COUNTIF($S$5:S2499,'報告書'!$C$4),""))</f>
        <v/>
      </c>
      <c r="AK2499" s="20" t="n"/>
      <c r="AL2499" s="47" t="n"/>
      <c r="AM2499" s="47" t="n"/>
      <c r="AN2499" s="53" t="n"/>
      <c r="AO2499" s="47" t="n"/>
      <c r="AP2499" s="47" t="n"/>
      <c r="AQ2499" s="47" t="n"/>
      <c r="AR2499" s="47" t="n"/>
      <c r="AS2499" s="47" t="n"/>
      <c r="AT2499" s="47" t="n"/>
      <c r="AU2499" s="47" t="n"/>
      <c r="AV2499" s="47" t="n"/>
      <c r="AW2499" s="52" t="n"/>
    </row>
    <row r="2500">
      <c r="A2500" s="48" t="n"/>
      <c r="B2500" s="52" t="n"/>
      <c r="C2500" s="47">
        <f>IF(B2500="","",IFERROR(INDEX('隊員マスタ'!$B$5:$B$204,MATCH(B2500&amp;"",'隊員マスタ'!$F$5:$F$204,0)),IF(AK2500="","番号なし",AK2500)))</f>
        <v/>
      </c>
      <c r="D2500" s="47" t="n"/>
      <c r="E2500" s="47" t="n"/>
      <c r="F2500" s="47" t="n"/>
      <c r="G2500" s="47" t="n"/>
      <c r="H2500" s="47" t="n"/>
      <c r="I2500" s="47" t="n"/>
      <c r="J2500" s="47" t="n"/>
      <c r="K2500" s="47" t="n"/>
      <c r="L2500" s="47" t="n"/>
      <c r="M2500" s="47" t="n"/>
      <c r="N2500" s="47" t="n"/>
      <c r="O2500" s="47" t="n"/>
      <c r="P2500" s="47" t="n"/>
      <c r="Q2500" s="47" t="n"/>
      <c r="R2500" s="47" t="n"/>
      <c r="S2500" s="47" t="n"/>
      <c r="T2500" s="47" t="n"/>
      <c r="U2500" s="53" t="n"/>
      <c r="V2500" s="53" t="n"/>
      <c r="W2500" s="47" t="n"/>
      <c r="X2500" s="47" t="n"/>
      <c r="Y2500" s="47" t="n"/>
      <c r="Z2500" s="47" t="n"/>
      <c r="AA2500" s="47" t="n"/>
      <c r="AB2500" s="47" t="n"/>
      <c r="AC2500" s="47" t="n"/>
      <c r="AD2500" s="47" t="n"/>
      <c r="AE2500" s="47" t="n"/>
      <c r="AF2500" s="20">
        <f>IF(A2500="","",YEAR(EDATE(A2500,-3)))</f>
        <v/>
      </c>
      <c r="AG2500" s="20">
        <f>IF(OR(B2500="",'経歴簿'!$C$4=""),"",IF(B2500&amp;""='経歴簿'!$C$4&amp;"",MAX($AG$4:AG2499)+1,""))</f>
        <v/>
      </c>
      <c r="AH2500" s="20">
        <f>IF(A2500="",0,IF(AND(OR('CSV抽出'!$C$4="",A2500&gt;='CSV抽出'!$C$4),OR('CSV抽出'!$C$5="",A2500&lt;='CSV抽出'!$C$5),OR('CSV抽出'!$C$6="すべて",'CSV抽出'!$C$6="",D2500='CSV抽出'!$C$6),OR('CSV抽出'!$C$7="",B2500&amp;""='CSV抽出'!$C$7&amp;"")),1,0))</f>
        <v/>
      </c>
      <c r="AI2500" s="20">
        <f>IF(AH2500=1,SUM($AH$5:AH2500),"")</f>
        <v/>
      </c>
      <c r="AJ2500" s="20">
        <f>IF(OR(S2500="",'報告書'!$C$4=""),"",IF(S2500&amp;""='報告書'!$C$4&amp;"",COUNTIF($S$5:S2500,'報告書'!$C$4),""))</f>
        <v/>
      </c>
      <c r="AK2500" s="20" t="n"/>
      <c r="AL2500" s="47" t="n"/>
      <c r="AM2500" s="47" t="n"/>
      <c r="AN2500" s="53" t="n"/>
      <c r="AO2500" s="47" t="n"/>
      <c r="AP2500" s="47" t="n"/>
      <c r="AQ2500" s="47" t="n"/>
      <c r="AR2500" s="47" t="n"/>
      <c r="AS2500" s="47" t="n"/>
      <c r="AT2500" s="47" t="n"/>
      <c r="AU2500" s="47" t="n"/>
      <c r="AV2500" s="47" t="n"/>
      <c r="AW2500" s="52" t="n"/>
    </row>
    <row r="2501">
      <c r="A2501" s="48" t="n"/>
      <c r="B2501" s="52" t="n"/>
      <c r="C2501" s="47">
        <f>IF(B2501="","",IFERROR(INDEX('隊員マスタ'!$B$5:$B$204,MATCH(B2501&amp;"",'隊員マスタ'!$F$5:$F$204,0)),IF(AK2501="","番号なし",AK2501)))</f>
        <v/>
      </c>
      <c r="D2501" s="47" t="n"/>
      <c r="E2501" s="47" t="n"/>
      <c r="F2501" s="47" t="n"/>
      <c r="G2501" s="47" t="n"/>
      <c r="H2501" s="47" t="n"/>
      <c r="I2501" s="47" t="n"/>
      <c r="J2501" s="47" t="n"/>
      <c r="K2501" s="47" t="n"/>
      <c r="L2501" s="47" t="n"/>
      <c r="M2501" s="47" t="n"/>
      <c r="N2501" s="47" t="n"/>
      <c r="O2501" s="47" t="n"/>
      <c r="P2501" s="47" t="n"/>
      <c r="Q2501" s="47" t="n"/>
      <c r="R2501" s="47" t="n"/>
      <c r="S2501" s="47" t="n"/>
      <c r="T2501" s="47" t="n"/>
      <c r="U2501" s="53" t="n"/>
      <c r="V2501" s="53" t="n"/>
      <c r="W2501" s="47" t="n"/>
      <c r="X2501" s="47" t="n"/>
      <c r="Y2501" s="47" t="n"/>
      <c r="Z2501" s="47" t="n"/>
      <c r="AA2501" s="47" t="n"/>
      <c r="AB2501" s="47" t="n"/>
      <c r="AC2501" s="47" t="n"/>
      <c r="AD2501" s="47" t="n"/>
      <c r="AE2501" s="47" t="n"/>
      <c r="AF2501" s="20">
        <f>IF(A2501="","",YEAR(EDATE(A2501,-3)))</f>
        <v/>
      </c>
      <c r="AG2501" s="20">
        <f>IF(OR(B2501="",'経歴簿'!$C$4=""),"",IF(B2501&amp;""='経歴簿'!$C$4&amp;"",MAX($AG$4:AG2500)+1,""))</f>
        <v/>
      </c>
      <c r="AH2501" s="20">
        <f>IF(A2501="",0,IF(AND(OR('CSV抽出'!$C$4="",A2501&gt;='CSV抽出'!$C$4),OR('CSV抽出'!$C$5="",A2501&lt;='CSV抽出'!$C$5),OR('CSV抽出'!$C$6="すべて",'CSV抽出'!$C$6="",D2501='CSV抽出'!$C$6),OR('CSV抽出'!$C$7="",B2501&amp;""='CSV抽出'!$C$7&amp;"")),1,0))</f>
        <v/>
      </c>
      <c r="AI2501" s="20">
        <f>IF(AH2501=1,SUM($AH$5:AH2501),"")</f>
        <v/>
      </c>
      <c r="AJ2501" s="20">
        <f>IF(OR(S2501="",'報告書'!$C$4=""),"",IF(S2501&amp;""='報告書'!$C$4&amp;"",COUNTIF($S$5:S2501,'報告書'!$C$4),""))</f>
        <v/>
      </c>
      <c r="AK2501" s="20" t="n"/>
      <c r="AL2501" s="47" t="n"/>
      <c r="AM2501" s="47" t="n"/>
      <c r="AN2501" s="53" t="n"/>
      <c r="AO2501" s="47" t="n"/>
      <c r="AP2501" s="47" t="n"/>
      <c r="AQ2501" s="47" t="n"/>
      <c r="AR2501" s="47" t="n"/>
      <c r="AS2501" s="47" t="n"/>
      <c r="AT2501" s="47" t="n"/>
      <c r="AU2501" s="47" t="n"/>
      <c r="AV2501" s="47" t="n"/>
      <c r="AW2501" s="52" t="n"/>
    </row>
    <row r="2502">
      <c r="A2502" s="48" t="n"/>
      <c r="B2502" s="52" t="n"/>
      <c r="C2502" s="47">
        <f>IF(B2502="","",IFERROR(INDEX('隊員マスタ'!$B$5:$B$204,MATCH(B2502&amp;"",'隊員マスタ'!$F$5:$F$204,0)),IF(AK2502="","番号なし",AK2502)))</f>
        <v/>
      </c>
      <c r="D2502" s="47" t="n"/>
      <c r="E2502" s="47" t="n"/>
      <c r="F2502" s="47" t="n"/>
      <c r="G2502" s="47" t="n"/>
      <c r="H2502" s="47" t="n"/>
      <c r="I2502" s="47" t="n"/>
      <c r="J2502" s="47" t="n"/>
      <c r="K2502" s="47" t="n"/>
      <c r="L2502" s="47" t="n"/>
      <c r="M2502" s="47" t="n"/>
      <c r="N2502" s="47" t="n"/>
      <c r="O2502" s="47" t="n"/>
      <c r="P2502" s="47" t="n"/>
      <c r="Q2502" s="47" t="n"/>
      <c r="R2502" s="47" t="n"/>
      <c r="S2502" s="47" t="n"/>
      <c r="T2502" s="47" t="n"/>
      <c r="U2502" s="53" t="n"/>
      <c r="V2502" s="53" t="n"/>
      <c r="W2502" s="47" t="n"/>
      <c r="X2502" s="47" t="n"/>
      <c r="Y2502" s="47" t="n"/>
      <c r="Z2502" s="47" t="n"/>
      <c r="AA2502" s="47" t="n"/>
      <c r="AB2502" s="47" t="n"/>
      <c r="AC2502" s="47" t="n"/>
      <c r="AD2502" s="47" t="n"/>
      <c r="AE2502" s="47" t="n"/>
      <c r="AF2502" s="20">
        <f>IF(A2502="","",YEAR(EDATE(A2502,-3)))</f>
        <v/>
      </c>
      <c r="AG2502" s="20">
        <f>IF(OR(B2502="",'経歴簿'!$C$4=""),"",IF(B2502&amp;""='経歴簿'!$C$4&amp;"",MAX($AG$4:AG2501)+1,""))</f>
        <v/>
      </c>
      <c r="AH2502" s="20">
        <f>IF(A2502="",0,IF(AND(OR('CSV抽出'!$C$4="",A2502&gt;='CSV抽出'!$C$4),OR('CSV抽出'!$C$5="",A2502&lt;='CSV抽出'!$C$5),OR('CSV抽出'!$C$6="すべて",'CSV抽出'!$C$6="",D2502='CSV抽出'!$C$6),OR('CSV抽出'!$C$7="",B2502&amp;""='CSV抽出'!$C$7&amp;"")),1,0))</f>
        <v/>
      </c>
      <c r="AI2502" s="20">
        <f>IF(AH2502=1,SUM($AH$5:AH2502),"")</f>
        <v/>
      </c>
      <c r="AJ2502" s="20">
        <f>IF(OR(S2502="",'報告書'!$C$4=""),"",IF(S2502&amp;""='報告書'!$C$4&amp;"",COUNTIF($S$5:S2502,'報告書'!$C$4),""))</f>
        <v/>
      </c>
      <c r="AK2502" s="20" t="n"/>
      <c r="AL2502" s="47" t="n"/>
      <c r="AM2502" s="47" t="n"/>
      <c r="AN2502" s="53" t="n"/>
      <c r="AO2502" s="47" t="n"/>
      <c r="AP2502" s="47" t="n"/>
      <c r="AQ2502" s="47" t="n"/>
      <c r="AR2502" s="47" t="n"/>
      <c r="AS2502" s="47" t="n"/>
      <c r="AT2502" s="47" t="n"/>
      <c r="AU2502" s="47" t="n"/>
      <c r="AV2502" s="47" t="n"/>
      <c r="AW2502" s="52" t="n"/>
    </row>
    <row r="2503">
      <c r="A2503" s="48" t="n"/>
      <c r="B2503" s="52" t="n"/>
      <c r="C2503" s="47">
        <f>IF(B2503="","",IFERROR(INDEX('隊員マスタ'!$B$5:$B$204,MATCH(B2503&amp;"",'隊員マスタ'!$F$5:$F$204,0)),IF(AK2503="","番号なし",AK2503)))</f>
        <v/>
      </c>
      <c r="D2503" s="47" t="n"/>
      <c r="E2503" s="47" t="n"/>
      <c r="F2503" s="47" t="n"/>
      <c r="G2503" s="47" t="n"/>
      <c r="H2503" s="47" t="n"/>
      <c r="I2503" s="47" t="n"/>
      <c r="J2503" s="47" t="n"/>
      <c r="K2503" s="47" t="n"/>
      <c r="L2503" s="47" t="n"/>
      <c r="M2503" s="47" t="n"/>
      <c r="N2503" s="47" t="n"/>
      <c r="O2503" s="47" t="n"/>
      <c r="P2503" s="47" t="n"/>
      <c r="Q2503" s="47" t="n"/>
      <c r="R2503" s="47" t="n"/>
      <c r="S2503" s="47" t="n"/>
      <c r="T2503" s="47" t="n"/>
      <c r="U2503" s="53" t="n"/>
      <c r="V2503" s="53" t="n"/>
      <c r="W2503" s="47" t="n"/>
      <c r="X2503" s="47" t="n"/>
      <c r="Y2503" s="47" t="n"/>
      <c r="Z2503" s="47" t="n"/>
      <c r="AA2503" s="47" t="n"/>
      <c r="AB2503" s="47" t="n"/>
      <c r="AC2503" s="47" t="n"/>
      <c r="AD2503" s="47" t="n"/>
      <c r="AE2503" s="47" t="n"/>
      <c r="AF2503" s="20">
        <f>IF(A2503="","",YEAR(EDATE(A2503,-3)))</f>
        <v/>
      </c>
      <c r="AG2503" s="20">
        <f>IF(OR(B2503="",'経歴簿'!$C$4=""),"",IF(B2503&amp;""='経歴簿'!$C$4&amp;"",MAX($AG$4:AG2502)+1,""))</f>
        <v/>
      </c>
      <c r="AH2503" s="20">
        <f>IF(A2503="",0,IF(AND(OR('CSV抽出'!$C$4="",A2503&gt;='CSV抽出'!$C$4),OR('CSV抽出'!$C$5="",A2503&lt;='CSV抽出'!$C$5),OR('CSV抽出'!$C$6="すべて",'CSV抽出'!$C$6="",D2503='CSV抽出'!$C$6),OR('CSV抽出'!$C$7="",B2503&amp;""='CSV抽出'!$C$7&amp;"")),1,0))</f>
        <v/>
      </c>
      <c r="AI2503" s="20">
        <f>IF(AH2503=1,SUM($AH$5:AH2503),"")</f>
        <v/>
      </c>
      <c r="AJ2503" s="20">
        <f>IF(OR(S2503="",'報告書'!$C$4=""),"",IF(S2503&amp;""='報告書'!$C$4&amp;"",COUNTIF($S$5:S2503,'報告書'!$C$4),""))</f>
        <v/>
      </c>
      <c r="AK2503" s="20" t="n"/>
      <c r="AL2503" s="47" t="n"/>
      <c r="AM2503" s="47" t="n"/>
      <c r="AN2503" s="53" t="n"/>
      <c r="AO2503" s="47" t="n"/>
      <c r="AP2503" s="47" t="n"/>
      <c r="AQ2503" s="47" t="n"/>
      <c r="AR2503" s="47" t="n"/>
      <c r="AS2503" s="47" t="n"/>
      <c r="AT2503" s="47" t="n"/>
      <c r="AU2503" s="47" t="n"/>
      <c r="AV2503" s="47" t="n"/>
      <c r="AW2503" s="52" t="n"/>
    </row>
    <row r="2504">
      <c r="A2504" s="48" t="n"/>
      <c r="B2504" s="52" t="n"/>
      <c r="C2504" s="47">
        <f>IF(B2504="","",IFERROR(INDEX('隊員マスタ'!$B$5:$B$204,MATCH(B2504&amp;"",'隊員マスタ'!$F$5:$F$204,0)),IF(AK2504="","番号なし",AK2504)))</f>
        <v/>
      </c>
      <c r="D2504" s="47" t="n"/>
      <c r="E2504" s="47" t="n"/>
      <c r="F2504" s="47" t="n"/>
      <c r="G2504" s="47" t="n"/>
      <c r="H2504" s="47" t="n"/>
      <c r="I2504" s="47" t="n"/>
      <c r="J2504" s="47" t="n"/>
      <c r="K2504" s="47" t="n"/>
      <c r="L2504" s="47" t="n"/>
      <c r="M2504" s="47" t="n"/>
      <c r="N2504" s="47" t="n"/>
      <c r="O2504" s="47" t="n"/>
      <c r="P2504" s="47" t="n"/>
      <c r="Q2504" s="47" t="n"/>
      <c r="R2504" s="47" t="n"/>
      <c r="S2504" s="47" t="n"/>
      <c r="T2504" s="47" t="n"/>
      <c r="U2504" s="53" t="n"/>
      <c r="V2504" s="53" t="n"/>
      <c r="W2504" s="47" t="n"/>
      <c r="X2504" s="47" t="n"/>
      <c r="Y2504" s="47" t="n"/>
      <c r="Z2504" s="47" t="n"/>
      <c r="AA2504" s="47" t="n"/>
      <c r="AB2504" s="47" t="n"/>
      <c r="AC2504" s="47" t="n"/>
      <c r="AD2504" s="47" t="n"/>
      <c r="AE2504" s="47" t="n"/>
      <c r="AF2504" s="20">
        <f>IF(A2504="","",YEAR(EDATE(A2504,-3)))</f>
        <v/>
      </c>
      <c r="AG2504" s="20">
        <f>IF(OR(B2504="",'経歴簿'!$C$4=""),"",IF(B2504&amp;""='経歴簿'!$C$4&amp;"",MAX($AG$4:AG2503)+1,""))</f>
        <v/>
      </c>
      <c r="AH2504" s="20">
        <f>IF(A2504="",0,IF(AND(OR('CSV抽出'!$C$4="",A2504&gt;='CSV抽出'!$C$4),OR('CSV抽出'!$C$5="",A2504&lt;='CSV抽出'!$C$5),OR('CSV抽出'!$C$6="すべて",'CSV抽出'!$C$6="",D2504='CSV抽出'!$C$6),OR('CSV抽出'!$C$7="",B2504&amp;""='CSV抽出'!$C$7&amp;"")),1,0))</f>
        <v/>
      </c>
      <c r="AI2504" s="20">
        <f>IF(AH2504=1,SUM($AH$5:AH2504),"")</f>
        <v/>
      </c>
      <c r="AJ2504" s="20">
        <f>IF(OR(S2504="",'報告書'!$C$4=""),"",IF(S2504&amp;""='報告書'!$C$4&amp;"",COUNTIF($S$5:S2504,'報告書'!$C$4),""))</f>
        <v/>
      </c>
      <c r="AK2504" s="20" t="n"/>
      <c r="AL2504" s="47" t="n"/>
      <c r="AM2504" s="47" t="n"/>
      <c r="AN2504" s="53" t="n"/>
      <c r="AO2504" s="47" t="n"/>
      <c r="AP2504" s="47" t="n"/>
      <c r="AQ2504" s="47" t="n"/>
      <c r="AR2504" s="47" t="n"/>
      <c r="AS2504" s="47" t="n"/>
      <c r="AT2504" s="47" t="n"/>
      <c r="AU2504" s="47" t="n"/>
      <c r="AV2504" s="47" t="n"/>
      <c r="AW2504" s="52" t="n"/>
    </row>
    <row r="2505">
      <c r="A2505" s="48" t="n"/>
      <c r="B2505" s="52" t="n"/>
      <c r="C2505" s="47">
        <f>IF(B2505="","",IFERROR(INDEX('隊員マスタ'!$B$5:$B$204,MATCH(B2505&amp;"",'隊員マスタ'!$F$5:$F$204,0)),IF(AK2505="","番号なし",AK2505)))</f>
        <v/>
      </c>
      <c r="D2505" s="47" t="n"/>
      <c r="E2505" s="47" t="n"/>
      <c r="F2505" s="47" t="n"/>
      <c r="G2505" s="47" t="n"/>
      <c r="H2505" s="47" t="n"/>
      <c r="I2505" s="47" t="n"/>
      <c r="J2505" s="47" t="n"/>
      <c r="K2505" s="47" t="n"/>
      <c r="L2505" s="47" t="n"/>
      <c r="M2505" s="47" t="n"/>
      <c r="N2505" s="47" t="n"/>
      <c r="O2505" s="47" t="n"/>
      <c r="P2505" s="47" t="n"/>
      <c r="Q2505" s="47" t="n"/>
      <c r="R2505" s="47" t="n"/>
      <c r="S2505" s="47" t="n"/>
      <c r="T2505" s="47" t="n"/>
      <c r="U2505" s="53" t="n"/>
      <c r="V2505" s="53" t="n"/>
      <c r="W2505" s="47" t="n"/>
      <c r="X2505" s="47" t="n"/>
      <c r="Y2505" s="47" t="n"/>
      <c r="Z2505" s="47" t="n"/>
      <c r="AA2505" s="47" t="n"/>
      <c r="AB2505" s="47" t="n"/>
      <c r="AC2505" s="47" t="n"/>
      <c r="AD2505" s="47" t="n"/>
      <c r="AE2505" s="47" t="n"/>
      <c r="AF2505" s="20">
        <f>IF(A2505="","",YEAR(EDATE(A2505,-3)))</f>
        <v/>
      </c>
      <c r="AG2505" s="20">
        <f>IF(OR(B2505="",'経歴簿'!$C$4=""),"",IF(B2505&amp;""='経歴簿'!$C$4&amp;"",MAX($AG$4:AG2504)+1,""))</f>
        <v/>
      </c>
      <c r="AH2505" s="20">
        <f>IF(A2505="",0,IF(AND(OR('CSV抽出'!$C$4="",A2505&gt;='CSV抽出'!$C$4),OR('CSV抽出'!$C$5="",A2505&lt;='CSV抽出'!$C$5),OR('CSV抽出'!$C$6="すべて",'CSV抽出'!$C$6="",D2505='CSV抽出'!$C$6),OR('CSV抽出'!$C$7="",B2505&amp;""='CSV抽出'!$C$7&amp;"")),1,0))</f>
        <v/>
      </c>
      <c r="AI2505" s="20">
        <f>IF(AH2505=1,SUM($AH$5:AH2505),"")</f>
        <v/>
      </c>
      <c r="AJ2505" s="20">
        <f>IF(OR(S2505="",'報告書'!$C$4=""),"",IF(S2505&amp;""='報告書'!$C$4&amp;"",COUNTIF($S$5:S2505,'報告書'!$C$4),""))</f>
        <v/>
      </c>
      <c r="AK2505" s="20" t="n"/>
      <c r="AL2505" s="47" t="n"/>
      <c r="AM2505" s="47" t="n"/>
      <c r="AN2505" s="53" t="n"/>
      <c r="AO2505" s="47" t="n"/>
      <c r="AP2505" s="47" t="n"/>
      <c r="AQ2505" s="47" t="n"/>
      <c r="AR2505" s="47" t="n"/>
      <c r="AS2505" s="47" t="n"/>
      <c r="AT2505" s="47" t="n"/>
      <c r="AU2505" s="47" t="n"/>
      <c r="AV2505" s="47" t="n"/>
      <c r="AW2505" s="52" t="n"/>
    </row>
    <row r="2506">
      <c r="A2506" s="48" t="n"/>
      <c r="B2506" s="52" t="n"/>
      <c r="C2506" s="47">
        <f>IF(B2506="","",IFERROR(INDEX('隊員マスタ'!$B$5:$B$204,MATCH(B2506&amp;"",'隊員マスタ'!$F$5:$F$204,0)),IF(AK2506="","番号なし",AK2506)))</f>
        <v/>
      </c>
      <c r="D2506" s="47" t="n"/>
      <c r="E2506" s="47" t="n"/>
      <c r="F2506" s="47" t="n"/>
      <c r="G2506" s="47" t="n"/>
      <c r="H2506" s="47" t="n"/>
      <c r="I2506" s="47" t="n"/>
      <c r="J2506" s="47" t="n"/>
      <c r="K2506" s="47" t="n"/>
      <c r="L2506" s="47" t="n"/>
      <c r="M2506" s="47" t="n"/>
      <c r="N2506" s="47" t="n"/>
      <c r="O2506" s="47" t="n"/>
      <c r="P2506" s="47" t="n"/>
      <c r="Q2506" s="47" t="n"/>
      <c r="R2506" s="47" t="n"/>
      <c r="S2506" s="47" t="n"/>
      <c r="T2506" s="47" t="n"/>
      <c r="U2506" s="53" t="n"/>
      <c r="V2506" s="53" t="n"/>
      <c r="W2506" s="47" t="n"/>
      <c r="X2506" s="47" t="n"/>
      <c r="Y2506" s="47" t="n"/>
      <c r="Z2506" s="47" t="n"/>
      <c r="AA2506" s="47" t="n"/>
      <c r="AB2506" s="47" t="n"/>
      <c r="AC2506" s="47" t="n"/>
      <c r="AD2506" s="47" t="n"/>
      <c r="AE2506" s="47" t="n"/>
      <c r="AF2506" s="20">
        <f>IF(A2506="","",YEAR(EDATE(A2506,-3)))</f>
        <v/>
      </c>
      <c r="AG2506" s="20">
        <f>IF(OR(B2506="",'経歴簿'!$C$4=""),"",IF(B2506&amp;""='経歴簿'!$C$4&amp;"",MAX($AG$4:AG2505)+1,""))</f>
        <v/>
      </c>
      <c r="AH2506" s="20">
        <f>IF(A2506="",0,IF(AND(OR('CSV抽出'!$C$4="",A2506&gt;='CSV抽出'!$C$4),OR('CSV抽出'!$C$5="",A2506&lt;='CSV抽出'!$C$5),OR('CSV抽出'!$C$6="すべて",'CSV抽出'!$C$6="",D2506='CSV抽出'!$C$6),OR('CSV抽出'!$C$7="",B2506&amp;""='CSV抽出'!$C$7&amp;"")),1,0))</f>
        <v/>
      </c>
      <c r="AI2506" s="20">
        <f>IF(AH2506=1,SUM($AH$5:AH2506),"")</f>
        <v/>
      </c>
      <c r="AJ2506" s="20">
        <f>IF(OR(S2506="",'報告書'!$C$4=""),"",IF(S2506&amp;""='報告書'!$C$4&amp;"",COUNTIF($S$5:S2506,'報告書'!$C$4),""))</f>
        <v/>
      </c>
      <c r="AK2506" s="20" t="n"/>
      <c r="AL2506" s="47" t="n"/>
      <c r="AM2506" s="47" t="n"/>
      <c r="AN2506" s="53" t="n"/>
      <c r="AO2506" s="47" t="n"/>
      <c r="AP2506" s="47" t="n"/>
      <c r="AQ2506" s="47" t="n"/>
      <c r="AR2506" s="47" t="n"/>
      <c r="AS2506" s="47" t="n"/>
      <c r="AT2506" s="47" t="n"/>
      <c r="AU2506" s="47" t="n"/>
      <c r="AV2506" s="47" t="n"/>
      <c r="AW2506" s="52" t="n"/>
    </row>
    <row r="2507">
      <c r="A2507" s="48" t="n"/>
      <c r="B2507" s="52" t="n"/>
      <c r="C2507" s="47">
        <f>IF(B2507="","",IFERROR(INDEX('隊員マスタ'!$B$5:$B$204,MATCH(B2507&amp;"",'隊員マスタ'!$F$5:$F$204,0)),IF(AK2507="","番号なし",AK2507)))</f>
        <v/>
      </c>
      <c r="D2507" s="47" t="n"/>
      <c r="E2507" s="47" t="n"/>
      <c r="F2507" s="47" t="n"/>
      <c r="G2507" s="47" t="n"/>
      <c r="H2507" s="47" t="n"/>
      <c r="I2507" s="47" t="n"/>
      <c r="J2507" s="47" t="n"/>
      <c r="K2507" s="47" t="n"/>
      <c r="L2507" s="47" t="n"/>
      <c r="M2507" s="47" t="n"/>
      <c r="N2507" s="47" t="n"/>
      <c r="O2507" s="47" t="n"/>
      <c r="P2507" s="47" t="n"/>
      <c r="Q2507" s="47" t="n"/>
      <c r="R2507" s="47" t="n"/>
      <c r="S2507" s="47" t="n"/>
      <c r="T2507" s="47" t="n"/>
      <c r="U2507" s="53" t="n"/>
      <c r="V2507" s="53" t="n"/>
      <c r="W2507" s="47" t="n"/>
      <c r="X2507" s="47" t="n"/>
      <c r="Y2507" s="47" t="n"/>
      <c r="Z2507" s="47" t="n"/>
      <c r="AA2507" s="47" t="n"/>
      <c r="AB2507" s="47" t="n"/>
      <c r="AC2507" s="47" t="n"/>
      <c r="AD2507" s="47" t="n"/>
      <c r="AE2507" s="47" t="n"/>
      <c r="AF2507" s="20">
        <f>IF(A2507="","",YEAR(EDATE(A2507,-3)))</f>
        <v/>
      </c>
      <c r="AG2507" s="20">
        <f>IF(OR(B2507="",'経歴簿'!$C$4=""),"",IF(B2507&amp;""='経歴簿'!$C$4&amp;"",MAX($AG$4:AG2506)+1,""))</f>
        <v/>
      </c>
      <c r="AH2507" s="20">
        <f>IF(A2507="",0,IF(AND(OR('CSV抽出'!$C$4="",A2507&gt;='CSV抽出'!$C$4),OR('CSV抽出'!$C$5="",A2507&lt;='CSV抽出'!$C$5),OR('CSV抽出'!$C$6="すべて",'CSV抽出'!$C$6="",D2507='CSV抽出'!$C$6),OR('CSV抽出'!$C$7="",B2507&amp;""='CSV抽出'!$C$7&amp;"")),1,0))</f>
        <v/>
      </c>
      <c r="AI2507" s="20">
        <f>IF(AH2507=1,SUM($AH$5:AH2507),"")</f>
        <v/>
      </c>
      <c r="AJ2507" s="20">
        <f>IF(OR(S2507="",'報告書'!$C$4=""),"",IF(S2507&amp;""='報告書'!$C$4&amp;"",COUNTIF($S$5:S2507,'報告書'!$C$4),""))</f>
        <v/>
      </c>
      <c r="AK2507" s="20" t="n"/>
      <c r="AL2507" s="47" t="n"/>
      <c r="AM2507" s="47" t="n"/>
      <c r="AN2507" s="53" t="n"/>
      <c r="AO2507" s="47" t="n"/>
      <c r="AP2507" s="47" t="n"/>
      <c r="AQ2507" s="47" t="n"/>
      <c r="AR2507" s="47" t="n"/>
      <c r="AS2507" s="47" t="n"/>
      <c r="AT2507" s="47" t="n"/>
      <c r="AU2507" s="47" t="n"/>
      <c r="AV2507" s="47" t="n"/>
      <c r="AW2507" s="52" t="n"/>
    </row>
    <row r="2508">
      <c r="A2508" s="48" t="n"/>
      <c r="B2508" s="52" t="n"/>
      <c r="C2508" s="47">
        <f>IF(B2508="","",IFERROR(INDEX('隊員マスタ'!$B$5:$B$204,MATCH(B2508&amp;"",'隊員マスタ'!$F$5:$F$204,0)),IF(AK2508="","番号なし",AK2508)))</f>
        <v/>
      </c>
      <c r="D2508" s="47" t="n"/>
      <c r="E2508" s="47" t="n"/>
      <c r="F2508" s="47" t="n"/>
      <c r="G2508" s="47" t="n"/>
      <c r="H2508" s="47" t="n"/>
      <c r="I2508" s="47" t="n"/>
      <c r="J2508" s="47" t="n"/>
      <c r="K2508" s="47" t="n"/>
      <c r="L2508" s="47" t="n"/>
      <c r="M2508" s="47" t="n"/>
      <c r="N2508" s="47" t="n"/>
      <c r="O2508" s="47" t="n"/>
      <c r="P2508" s="47" t="n"/>
      <c r="Q2508" s="47" t="n"/>
      <c r="R2508" s="47" t="n"/>
      <c r="S2508" s="47" t="n"/>
      <c r="T2508" s="47" t="n"/>
      <c r="U2508" s="53" t="n"/>
      <c r="V2508" s="53" t="n"/>
      <c r="W2508" s="47" t="n"/>
      <c r="X2508" s="47" t="n"/>
      <c r="Y2508" s="47" t="n"/>
      <c r="Z2508" s="47" t="n"/>
      <c r="AA2508" s="47" t="n"/>
      <c r="AB2508" s="47" t="n"/>
      <c r="AC2508" s="47" t="n"/>
      <c r="AD2508" s="47" t="n"/>
      <c r="AE2508" s="47" t="n"/>
      <c r="AF2508" s="20">
        <f>IF(A2508="","",YEAR(EDATE(A2508,-3)))</f>
        <v/>
      </c>
      <c r="AG2508" s="20">
        <f>IF(OR(B2508="",'経歴簿'!$C$4=""),"",IF(B2508&amp;""='経歴簿'!$C$4&amp;"",MAX($AG$4:AG2507)+1,""))</f>
        <v/>
      </c>
      <c r="AH2508" s="20">
        <f>IF(A2508="",0,IF(AND(OR('CSV抽出'!$C$4="",A2508&gt;='CSV抽出'!$C$4),OR('CSV抽出'!$C$5="",A2508&lt;='CSV抽出'!$C$5),OR('CSV抽出'!$C$6="すべて",'CSV抽出'!$C$6="",D2508='CSV抽出'!$C$6),OR('CSV抽出'!$C$7="",B2508&amp;""='CSV抽出'!$C$7&amp;"")),1,0))</f>
        <v/>
      </c>
      <c r="AI2508" s="20">
        <f>IF(AH2508=1,SUM($AH$5:AH2508),"")</f>
        <v/>
      </c>
      <c r="AJ2508" s="20">
        <f>IF(OR(S2508="",'報告書'!$C$4=""),"",IF(S2508&amp;""='報告書'!$C$4&amp;"",COUNTIF($S$5:S2508,'報告書'!$C$4),""))</f>
        <v/>
      </c>
      <c r="AK2508" s="20" t="n"/>
      <c r="AL2508" s="47" t="n"/>
      <c r="AM2508" s="47" t="n"/>
      <c r="AN2508" s="53" t="n"/>
      <c r="AO2508" s="47" t="n"/>
      <c r="AP2508" s="47" t="n"/>
      <c r="AQ2508" s="47" t="n"/>
      <c r="AR2508" s="47" t="n"/>
      <c r="AS2508" s="47" t="n"/>
      <c r="AT2508" s="47" t="n"/>
      <c r="AU2508" s="47" t="n"/>
      <c r="AV2508" s="47" t="n"/>
      <c r="AW2508" s="52" t="n"/>
    </row>
    <row r="2509">
      <c r="A2509" s="48" t="n"/>
      <c r="B2509" s="52" t="n"/>
      <c r="C2509" s="47">
        <f>IF(B2509="","",IFERROR(INDEX('隊員マスタ'!$B$5:$B$204,MATCH(B2509&amp;"",'隊員マスタ'!$F$5:$F$204,0)),IF(AK2509="","番号なし",AK2509)))</f>
        <v/>
      </c>
      <c r="D2509" s="47" t="n"/>
      <c r="E2509" s="47" t="n"/>
      <c r="F2509" s="47" t="n"/>
      <c r="G2509" s="47" t="n"/>
      <c r="H2509" s="47" t="n"/>
      <c r="I2509" s="47" t="n"/>
      <c r="J2509" s="47" t="n"/>
      <c r="K2509" s="47" t="n"/>
      <c r="L2509" s="47" t="n"/>
      <c r="M2509" s="47" t="n"/>
      <c r="N2509" s="47" t="n"/>
      <c r="O2509" s="47" t="n"/>
      <c r="P2509" s="47" t="n"/>
      <c r="Q2509" s="47" t="n"/>
      <c r="R2509" s="47" t="n"/>
      <c r="S2509" s="47" t="n"/>
      <c r="T2509" s="47" t="n"/>
      <c r="U2509" s="53" t="n"/>
      <c r="V2509" s="53" t="n"/>
      <c r="W2509" s="47" t="n"/>
      <c r="X2509" s="47" t="n"/>
      <c r="Y2509" s="47" t="n"/>
      <c r="Z2509" s="47" t="n"/>
      <c r="AA2509" s="47" t="n"/>
      <c r="AB2509" s="47" t="n"/>
      <c r="AC2509" s="47" t="n"/>
      <c r="AD2509" s="47" t="n"/>
      <c r="AE2509" s="47" t="n"/>
      <c r="AF2509" s="20">
        <f>IF(A2509="","",YEAR(EDATE(A2509,-3)))</f>
        <v/>
      </c>
      <c r="AG2509" s="20">
        <f>IF(OR(B2509="",'経歴簿'!$C$4=""),"",IF(B2509&amp;""='経歴簿'!$C$4&amp;"",MAX($AG$4:AG2508)+1,""))</f>
        <v/>
      </c>
      <c r="AH2509" s="20">
        <f>IF(A2509="",0,IF(AND(OR('CSV抽出'!$C$4="",A2509&gt;='CSV抽出'!$C$4),OR('CSV抽出'!$C$5="",A2509&lt;='CSV抽出'!$C$5),OR('CSV抽出'!$C$6="すべて",'CSV抽出'!$C$6="",D2509='CSV抽出'!$C$6),OR('CSV抽出'!$C$7="",B2509&amp;""='CSV抽出'!$C$7&amp;"")),1,0))</f>
        <v/>
      </c>
      <c r="AI2509" s="20">
        <f>IF(AH2509=1,SUM($AH$5:AH2509),"")</f>
        <v/>
      </c>
      <c r="AJ2509" s="20">
        <f>IF(OR(S2509="",'報告書'!$C$4=""),"",IF(S2509&amp;""='報告書'!$C$4&amp;"",COUNTIF($S$5:S2509,'報告書'!$C$4),""))</f>
        <v/>
      </c>
      <c r="AK2509" s="20" t="n"/>
      <c r="AL2509" s="47" t="n"/>
      <c r="AM2509" s="47" t="n"/>
      <c r="AN2509" s="53" t="n"/>
      <c r="AO2509" s="47" t="n"/>
      <c r="AP2509" s="47" t="n"/>
      <c r="AQ2509" s="47" t="n"/>
      <c r="AR2509" s="47" t="n"/>
      <c r="AS2509" s="47" t="n"/>
      <c r="AT2509" s="47" t="n"/>
      <c r="AU2509" s="47" t="n"/>
      <c r="AV2509" s="47" t="n"/>
      <c r="AW2509" s="52" t="n"/>
    </row>
    <row r="2510">
      <c r="A2510" s="48" t="n"/>
      <c r="B2510" s="52" t="n"/>
      <c r="C2510" s="47">
        <f>IF(B2510="","",IFERROR(INDEX('隊員マスタ'!$B$5:$B$204,MATCH(B2510&amp;"",'隊員マスタ'!$F$5:$F$204,0)),IF(AK2510="","番号なし",AK2510)))</f>
        <v/>
      </c>
      <c r="D2510" s="47" t="n"/>
      <c r="E2510" s="47" t="n"/>
      <c r="F2510" s="47" t="n"/>
      <c r="G2510" s="47" t="n"/>
      <c r="H2510" s="47" t="n"/>
      <c r="I2510" s="47" t="n"/>
      <c r="J2510" s="47" t="n"/>
      <c r="K2510" s="47" t="n"/>
      <c r="L2510" s="47" t="n"/>
      <c r="M2510" s="47" t="n"/>
      <c r="N2510" s="47" t="n"/>
      <c r="O2510" s="47" t="n"/>
      <c r="P2510" s="47" t="n"/>
      <c r="Q2510" s="47" t="n"/>
      <c r="R2510" s="47" t="n"/>
      <c r="S2510" s="47" t="n"/>
      <c r="T2510" s="47" t="n"/>
      <c r="U2510" s="53" t="n"/>
      <c r="V2510" s="53" t="n"/>
      <c r="W2510" s="47" t="n"/>
      <c r="X2510" s="47" t="n"/>
      <c r="Y2510" s="47" t="n"/>
      <c r="Z2510" s="47" t="n"/>
      <c r="AA2510" s="47" t="n"/>
      <c r="AB2510" s="47" t="n"/>
      <c r="AC2510" s="47" t="n"/>
      <c r="AD2510" s="47" t="n"/>
      <c r="AE2510" s="47" t="n"/>
      <c r="AF2510" s="20">
        <f>IF(A2510="","",YEAR(EDATE(A2510,-3)))</f>
        <v/>
      </c>
      <c r="AG2510" s="20">
        <f>IF(OR(B2510="",'経歴簿'!$C$4=""),"",IF(B2510&amp;""='経歴簿'!$C$4&amp;"",MAX($AG$4:AG2509)+1,""))</f>
        <v/>
      </c>
      <c r="AH2510" s="20">
        <f>IF(A2510="",0,IF(AND(OR('CSV抽出'!$C$4="",A2510&gt;='CSV抽出'!$C$4),OR('CSV抽出'!$C$5="",A2510&lt;='CSV抽出'!$C$5),OR('CSV抽出'!$C$6="すべて",'CSV抽出'!$C$6="",D2510='CSV抽出'!$C$6),OR('CSV抽出'!$C$7="",B2510&amp;""='CSV抽出'!$C$7&amp;"")),1,0))</f>
        <v/>
      </c>
      <c r="AI2510" s="20">
        <f>IF(AH2510=1,SUM($AH$5:AH2510),"")</f>
        <v/>
      </c>
      <c r="AJ2510" s="20">
        <f>IF(OR(S2510="",'報告書'!$C$4=""),"",IF(S2510&amp;""='報告書'!$C$4&amp;"",COUNTIF($S$5:S2510,'報告書'!$C$4),""))</f>
        <v/>
      </c>
      <c r="AK2510" s="20" t="n"/>
      <c r="AL2510" s="47" t="n"/>
      <c r="AM2510" s="47" t="n"/>
      <c r="AN2510" s="53" t="n"/>
      <c r="AO2510" s="47" t="n"/>
      <c r="AP2510" s="47" t="n"/>
      <c r="AQ2510" s="47" t="n"/>
      <c r="AR2510" s="47" t="n"/>
      <c r="AS2510" s="47" t="n"/>
      <c r="AT2510" s="47" t="n"/>
      <c r="AU2510" s="47" t="n"/>
      <c r="AV2510" s="47" t="n"/>
      <c r="AW2510" s="52" t="n"/>
    </row>
    <row r="2511">
      <c r="A2511" s="48" t="n"/>
      <c r="B2511" s="52" t="n"/>
      <c r="C2511" s="47">
        <f>IF(B2511="","",IFERROR(INDEX('隊員マスタ'!$B$5:$B$204,MATCH(B2511&amp;"",'隊員マスタ'!$F$5:$F$204,0)),IF(AK2511="","番号なし",AK2511)))</f>
        <v/>
      </c>
      <c r="D2511" s="47" t="n"/>
      <c r="E2511" s="47" t="n"/>
      <c r="F2511" s="47" t="n"/>
      <c r="G2511" s="47" t="n"/>
      <c r="H2511" s="47" t="n"/>
      <c r="I2511" s="47" t="n"/>
      <c r="J2511" s="47" t="n"/>
      <c r="K2511" s="47" t="n"/>
      <c r="L2511" s="47" t="n"/>
      <c r="M2511" s="47" t="n"/>
      <c r="N2511" s="47" t="n"/>
      <c r="O2511" s="47" t="n"/>
      <c r="P2511" s="47" t="n"/>
      <c r="Q2511" s="47" t="n"/>
      <c r="R2511" s="47" t="n"/>
      <c r="S2511" s="47" t="n"/>
      <c r="T2511" s="47" t="n"/>
      <c r="U2511" s="53" t="n"/>
      <c r="V2511" s="53" t="n"/>
      <c r="W2511" s="47" t="n"/>
      <c r="X2511" s="47" t="n"/>
      <c r="Y2511" s="47" t="n"/>
      <c r="Z2511" s="47" t="n"/>
      <c r="AA2511" s="47" t="n"/>
      <c r="AB2511" s="47" t="n"/>
      <c r="AC2511" s="47" t="n"/>
      <c r="AD2511" s="47" t="n"/>
      <c r="AE2511" s="47" t="n"/>
      <c r="AF2511" s="20">
        <f>IF(A2511="","",YEAR(EDATE(A2511,-3)))</f>
        <v/>
      </c>
      <c r="AG2511" s="20">
        <f>IF(OR(B2511="",'経歴簿'!$C$4=""),"",IF(B2511&amp;""='経歴簿'!$C$4&amp;"",MAX($AG$4:AG2510)+1,""))</f>
        <v/>
      </c>
      <c r="AH2511" s="20">
        <f>IF(A2511="",0,IF(AND(OR('CSV抽出'!$C$4="",A2511&gt;='CSV抽出'!$C$4),OR('CSV抽出'!$C$5="",A2511&lt;='CSV抽出'!$C$5),OR('CSV抽出'!$C$6="すべて",'CSV抽出'!$C$6="",D2511='CSV抽出'!$C$6),OR('CSV抽出'!$C$7="",B2511&amp;""='CSV抽出'!$C$7&amp;"")),1,0))</f>
        <v/>
      </c>
      <c r="AI2511" s="20">
        <f>IF(AH2511=1,SUM($AH$5:AH2511),"")</f>
        <v/>
      </c>
      <c r="AJ2511" s="20">
        <f>IF(OR(S2511="",'報告書'!$C$4=""),"",IF(S2511&amp;""='報告書'!$C$4&amp;"",COUNTIF($S$5:S2511,'報告書'!$C$4),""))</f>
        <v/>
      </c>
      <c r="AK2511" s="20" t="n"/>
      <c r="AL2511" s="47" t="n"/>
      <c r="AM2511" s="47" t="n"/>
      <c r="AN2511" s="53" t="n"/>
      <c r="AO2511" s="47" t="n"/>
      <c r="AP2511" s="47" t="n"/>
      <c r="AQ2511" s="47" t="n"/>
      <c r="AR2511" s="47" t="n"/>
      <c r="AS2511" s="47" t="n"/>
      <c r="AT2511" s="47" t="n"/>
      <c r="AU2511" s="47" t="n"/>
      <c r="AV2511" s="47" t="n"/>
      <c r="AW2511" s="52" t="n"/>
    </row>
    <row r="2512">
      <c r="A2512" s="48" t="n"/>
      <c r="B2512" s="52" t="n"/>
      <c r="C2512" s="47">
        <f>IF(B2512="","",IFERROR(INDEX('隊員マスタ'!$B$5:$B$204,MATCH(B2512&amp;"",'隊員マスタ'!$F$5:$F$204,0)),IF(AK2512="","番号なし",AK2512)))</f>
        <v/>
      </c>
      <c r="D2512" s="47" t="n"/>
      <c r="E2512" s="47" t="n"/>
      <c r="F2512" s="47" t="n"/>
      <c r="G2512" s="47" t="n"/>
      <c r="H2512" s="47" t="n"/>
      <c r="I2512" s="47" t="n"/>
      <c r="J2512" s="47" t="n"/>
      <c r="K2512" s="47" t="n"/>
      <c r="L2512" s="47" t="n"/>
      <c r="M2512" s="47" t="n"/>
      <c r="N2512" s="47" t="n"/>
      <c r="O2512" s="47" t="n"/>
      <c r="P2512" s="47" t="n"/>
      <c r="Q2512" s="47" t="n"/>
      <c r="R2512" s="47" t="n"/>
      <c r="S2512" s="47" t="n"/>
      <c r="T2512" s="47" t="n"/>
      <c r="U2512" s="53" t="n"/>
      <c r="V2512" s="53" t="n"/>
      <c r="W2512" s="47" t="n"/>
      <c r="X2512" s="47" t="n"/>
      <c r="Y2512" s="47" t="n"/>
      <c r="Z2512" s="47" t="n"/>
      <c r="AA2512" s="47" t="n"/>
      <c r="AB2512" s="47" t="n"/>
      <c r="AC2512" s="47" t="n"/>
      <c r="AD2512" s="47" t="n"/>
      <c r="AE2512" s="47" t="n"/>
      <c r="AF2512" s="20">
        <f>IF(A2512="","",YEAR(EDATE(A2512,-3)))</f>
        <v/>
      </c>
      <c r="AG2512" s="20">
        <f>IF(OR(B2512="",'経歴簿'!$C$4=""),"",IF(B2512&amp;""='経歴簿'!$C$4&amp;"",MAX($AG$4:AG2511)+1,""))</f>
        <v/>
      </c>
      <c r="AH2512" s="20">
        <f>IF(A2512="",0,IF(AND(OR('CSV抽出'!$C$4="",A2512&gt;='CSV抽出'!$C$4),OR('CSV抽出'!$C$5="",A2512&lt;='CSV抽出'!$C$5),OR('CSV抽出'!$C$6="すべて",'CSV抽出'!$C$6="",D2512='CSV抽出'!$C$6),OR('CSV抽出'!$C$7="",B2512&amp;""='CSV抽出'!$C$7&amp;"")),1,0))</f>
        <v/>
      </c>
      <c r="AI2512" s="20">
        <f>IF(AH2512=1,SUM($AH$5:AH2512),"")</f>
        <v/>
      </c>
      <c r="AJ2512" s="20">
        <f>IF(OR(S2512="",'報告書'!$C$4=""),"",IF(S2512&amp;""='報告書'!$C$4&amp;"",COUNTIF($S$5:S2512,'報告書'!$C$4),""))</f>
        <v/>
      </c>
      <c r="AK2512" s="20" t="n"/>
      <c r="AL2512" s="47" t="n"/>
      <c r="AM2512" s="47" t="n"/>
      <c r="AN2512" s="53" t="n"/>
      <c r="AO2512" s="47" t="n"/>
      <c r="AP2512" s="47" t="n"/>
      <c r="AQ2512" s="47" t="n"/>
      <c r="AR2512" s="47" t="n"/>
      <c r="AS2512" s="47" t="n"/>
      <c r="AT2512" s="47" t="n"/>
      <c r="AU2512" s="47" t="n"/>
      <c r="AV2512" s="47" t="n"/>
      <c r="AW2512" s="52" t="n"/>
    </row>
    <row r="2513">
      <c r="A2513" s="48" t="n"/>
      <c r="B2513" s="52" t="n"/>
      <c r="C2513" s="47">
        <f>IF(B2513="","",IFERROR(INDEX('隊員マスタ'!$B$5:$B$204,MATCH(B2513&amp;"",'隊員マスタ'!$F$5:$F$204,0)),IF(AK2513="","番号なし",AK2513)))</f>
        <v/>
      </c>
      <c r="D2513" s="47" t="n"/>
      <c r="E2513" s="47" t="n"/>
      <c r="F2513" s="47" t="n"/>
      <c r="G2513" s="47" t="n"/>
      <c r="H2513" s="47" t="n"/>
      <c r="I2513" s="47" t="n"/>
      <c r="J2513" s="47" t="n"/>
      <c r="K2513" s="47" t="n"/>
      <c r="L2513" s="47" t="n"/>
      <c r="M2513" s="47" t="n"/>
      <c r="N2513" s="47" t="n"/>
      <c r="O2513" s="47" t="n"/>
      <c r="P2513" s="47" t="n"/>
      <c r="Q2513" s="47" t="n"/>
      <c r="R2513" s="47" t="n"/>
      <c r="S2513" s="47" t="n"/>
      <c r="T2513" s="47" t="n"/>
      <c r="U2513" s="53" t="n"/>
      <c r="V2513" s="53" t="n"/>
      <c r="W2513" s="47" t="n"/>
      <c r="X2513" s="47" t="n"/>
      <c r="Y2513" s="47" t="n"/>
      <c r="Z2513" s="47" t="n"/>
      <c r="AA2513" s="47" t="n"/>
      <c r="AB2513" s="47" t="n"/>
      <c r="AC2513" s="47" t="n"/>
      <c r="AD2513" s="47" t="n"/>
      <c r="AE2513" s="47" t="n"/>
      <c r="AF2513" s="20">
        <f>IF(A2513="","",YEAR(EDATE(A2513,-3)))</f>
        <v/>
      </c>
      <c r="AG2513" s="20">
        <f>IF(OR(B2513="",'経歴簿'!$C$4=""),"",IF(B2513&amp;""='経歴簿'!$C$4&amp;"",MAX($AG$4:AG2512)+1,""))</f>
        <v/>
      </c>
      <c r="AH2513" s="20">
        <f>IF(A2513="",0,IF(AND(OR('CSV抽出'!$C$4="",A2513&gt;='CSV抽出'!$C$4),OR('CSV抽出'!$C$5="",A2513&lt;='CSV抽出'!$C$5),OR('CSV抽出'!$C$6="すべて",'CSV抽出'!$C$6="",D2513='CSV抽出'!$C$6),OR('CSV抽出'!$C$7="",B2513&amp;""='CSV抽出'!$C$7&amp;"")),1,0))</f>
        <v/>
      </c>
      <c r="AI2513" s="20">
        <f>IF(AH2513=1,SUM($AH$5:AH2513),"")</f>
        <v/>
      </c>
      <c r="AJ2513" s="20">
        <f>IF(OR(S2513="",'報告書'!$C$4=""),"",IF(S2513&amp;""='報告書'!$C$4&amp;"",COUNTIF($S$5:S2513,'報告書'!$C$4),""))</f>
        <v/>
      </c>
      <c r="AK2513" s="20" t="n"/>
      <c r="AL2513" s="47" t="n"/>
      <c r="AM2513" s="47" t="n"/>
      <c r="AN2513" s="53" t="n"/>
      <c r="AO2513" s="47" t="n"/>
      <c r="AP2513" s="47" t="n"/>
      <c r="AQ2513" s="47" t="n"/>
      <c r="AR2513" s="47" t="n"/>
      <c r="AS2513" s="47" t="n"/>
      <c r="AT2513" s="47" t="n"/>
      <c r="AU2513" s="47" t="n"/>
      <c r="AV2513" s="47" t="n"/>
      <c r="AW2513" s="52" t="n"/>
    </row>
    <row r="2514">
      <c r="A2514" s="48" t="n"/>
      <c r="B2514" s="52" t="n"/>
      <c r="C2514" s="47">
        <f>IF(B2514="","",IFERROR(INDEX('隊員マスタ'!$B$5:$B$204,MATCH(B2514&amp;"",'隊員マスタ'!$F$5:$F$204,0)),IF(AK2514="","番号なし",AK2514)))</f>
        <v/>
      </c>
      <c r="D2514" s="47" t="n"/>
      <c r="E2514" s="47" t="n"/>
      <c r="F2514" s="47" t="n"/>
      <c r="G2514" s="47" t="n"/>
      <c r="H2514" s="47" t="n"/>
      <c r="I2514" s="47" t="n"/>
      <c r="J2514" s="47" t="n"/>
      <c r="K2514" s="47" t="n"/>
      <c r="L2514" s="47" t="n"/>
      <c r="M2514" s="47" t="n"/>
      <c r="N2514" s="47" t="n"/>
      <c r="O2514" s="47" t="n"/>
      <c r="P2514" s="47" t="n"/>
      <c r="Q2514" s="47" t="n"/>
      <c r="R2514" s="47" t="n"/>
      <c r="S2514" s="47" t="n"/>
      <c r="T2514" s="47" t="n"/>
      <c r="U2514" s="53" t="n"/>
      <c r="V2514" s="53" t="n"/>
      <c r="W2514" s="47" t="n"/>
      <c r="X2514" s="47" t="n"/>
      <c r="Y2514" s="47" t="n"/>
      <c r="Z2514" s="47" t="n"/>
      <c r="AA2514" s="47" t="n"/>
      <c r="AB2514" s="47" t="n"/>
      <c r="AC2514" s="47" t="n"/>
      <c r="AD2514" s="47" t="n"/>
      <c r="AE2514" s="47" t="n"/>
      <c r="AF2514" s="20">
        <f>IF(A2514="","",YEAR(EDATE(A2514,-3)))</f>
        <v/>
      </c>
      <c r="AG2514" s="20">
        <f>IF(OR(B2514="",'経歴簿'!$C$4=""),"",IF(B2514&amp;""='経歴簿'!$C$4&amp;"",MAX($AG$4:AG2513)+1,""))</f>
        <v/>
      </c>
      <c r="AH2514" s="20">
        <f>IF(A2514="",0,IF(AND(OR('CSV抽出'!$C$4="",A2514&gt;='CSV抽出'!$C$4),OR('CSV抽出'!$C$5="",A2514&lt;='CSV抽出'!$C$5),OR('CSV抽出'!$C$6="すべて",'CSV抽出'!$C$6="",D2514='CSV抽出'!$C$6),OR('CSV抽出'!$C$7="",B2514&amp;""='CSV抽出'!$C$7&amp;"")),1,0))</f>
        <v/>
      </c>
      <c r="AI2514" s="20">
        <f>IF(AH2514=1,SUM($AH$5:AH2514),"")</f>
        <v/>
      </c>
      <c r="AJ2514" s="20">
        <f>IF(OR(S2514="",'報告書'!$C$4=""),"",IF(S2514&amp;""='報告書'!$C$4&amp;"",COUNTIF($S$5:S2514,'報告書'!$C$4),""))</f>
        <v/>
      </c>
      <c r="AK2514" s="20" t="n"/>
      <c r="AL2514" s="47" t="n"/>
      <c r="AM2514" s="47" t="n"/>
      <c r="AN2514" s="53" t="n"/>
      <c r="AO2514" s="47" t="n"/>
      <c r="AP2514" s="47" t="n"/>
      <c r="AQ2514" s="47" t="n"/>
      <c r="AR2514" s="47" t="n"/>
      <c r="AS2514" s="47" t="n"/>
      <c r="AT2514" s="47" t="n"/>
      <c r="AU2514" s="47" t="n"/>
      <c r="AV2514" s="47" t="n"/>
      <c r="AW2514" s="52" t="n"/>
    </row>
    <row r="2515">
      <c r="A2515" s="48" t="n"/>
      <c r="B2515" s="52" t="n"/>
      <c r="C2515" s="47">
        <f>IF(B2515="","",IFERROR(INDEX('隊員マスタ'!$B$5:$B$204,MATCH(B2515&amp;"",'隊員マスタ'!$F$5:$F$204,0)),IF(AK2515="","番号なし",AK2515)))</f>
        <v/>
      </c>
      <c r="D2515" s="47" t="n"/>
      <c r="E2515" s="47" t="n"/>
      <c r="F2515" s="47" t="n"/>
      <c r="G2515" s="47" t="n"/>
      <c r="H2515" s="47" t="n"/>
      <c r="I2515" s="47" t="n"/>
      <c r="J2515" s="47" t="n"/>
      <c r="K2515" s="47" t="n"/>
      <c r="L2515" s="47" t="n"/>
      <c r="M2515" s="47" t="n"/>
      <c r="N2515" s="47" t="n"/>
      <c r="O2515" s="47" t="n"/>
      <c r="P2515" s="47" t="n"/>
      <c r="Q2515" s="47" t="n"/>
      <c r="R2515" s="47" t="n"/>
      <c r="S2515" s="47" t="n"/>
      <c r="T2515" s="47" t="n"/>
      <c r="U2515" s="53" t="n"/>
      <c r="V2515" s="53" t="n"/>
      <c r="W2515" s="47" t="n"/>
      <c r="X2515" s="47" t="n"/>
      <c r="Y2515" s="47" t="n"/>
      <c r="Z2515" s="47" t="n"/>
      <c r="AA2515" s="47" t="n"/>
      <c r="AB2515" s="47" t="n"/>
      <c r="AC2515" s="47" t="n"/>
      <c r="AD2515" s="47" t="n"/>
      <c r="AE2515" s="47" t="n"/>
      <c r="AF2515" s="20">
        <f>IF(A2515="","",YEAR(EDATE(A2515,-3)))</f>
        <v/>
      </c>
      <c r="AG2515" s="20">
        <f>IF(OR(B2515="",'経歴簿'!$C$4=""),"",IF(B2515&amp;""='経歴簿'!$C$4&amp;"",MAX($AG$4:AG2514)+1,""))</f>
        <v/>
      </c>
      <c r="AH2515" s="20">
        <f>IF(A2515="",0,IF(AND(OR('CSV抽出'!$C$4="",A2515&gt;='CSV抽出'!$C$4),OR('CSV抽出'!$C$5="",A2515&lt;='CSV抽出'!$C$5),OR('CSV抽出'!$C$6="すべて",'CSV抽出'!$C$6="",D2515='CSV抽出'!$C$6),OR('CSV抽出'!$C$7="",B2515&amp;""='CSV抽出'!$C$7&amp;"")),1,0))</f>
        <v/>
      </c>
      <c r="AI2515" s="20">
        <f>IF(AH2515=1,SUM($AH$5:AH2515),"")</f>
        <v/>
      </c>
      <c r="AJ2515" s="20">
        <f>IF(OR(S2515="",'報告書'!$C$4=""),"",IF(S2515&amp;""='報告書'!$C$4&amp;"",COUNTIF($S$5:S2515,'報告書'!$C$4),""))</f>
        <v/>
      </c>
      <c r="AK2515" s="20" t="n"/>
      <c r="AL2515" s="47" t="n"/>
      <c r="AM2515" s="47" t="n"/>
      <c r="AN2515" s="53" t="n"/>
      <c r="AO2515" s="47" t="n"/>
      <c r="AP2515" s="47" t="n"/>
      <c r="AQ2515" s="47" t="n"/>
      <c r="AR2515" s="47" t="n"/>
      <c r="AS2515" s="47" t="n"/>
      <c r="AT2515" s="47" t="n"/>
      <c r="AU2515" s="47" t="n"/>
      <c r="AV2515" s="47" t="n"/>
      <c r="AW2515" s="52" t="n"/>
    </row>
    <row r="2516">
      <c r="A2516" s="48" t="n"/>
      <c r="B2516" s="52" t="n"/>
      <c r="C2516" s="47">
        <f>IF(B2516="","",IFERROR(INDEX('隊員マスタ'!$B$5:$B$204,MATCH(B2516&amp;"",'隊員マスタ'!$F$5:$F$204,0)),IF(AK2516="","番号なし",AK2516)))</f>
        <v/>
      </c>
      <c r="D2516" s="47" t="n"/>
      <c r="E2516" s="47" t="n"/>
      <c r="F2516" s="47" t="n"/>
      <c r="G2516" s="47" t="n"/>
      <c r="H2516" s="47" t="n"/>
      <c r="I2516" s="47" t="n"/>
      <c r="J2516" s="47" t="n"/>
      <c r="K2516" s="47" t="n"/>
      <c r="L2516" s="47" t="n"/>
      <c r="M2516" s="47" t="n"/>
      <c r="N2516" s="47" t="n"/>
      <c r="O2516" s="47" t="n"/>
      <c r="P2516" s="47" t="n"/>
      <c r="Q2516" s="47" t="n"/>
      <c r="R2516" s="47" t="n"/>
      <c r="S2516" s="47" t="n"/>
      <c r="T2516" s="47" t="n"/>
      <c r="U2516" s="53" t="n"/>
      <c r="V2516" s="53" t="n"/>
      <c r="W2516" s="47" t="n"/>
      <c r="X2516" s="47" t="n"/>
      <c r="Y2516" s="47" t="n"/>
      <c r="Z2516" s="47" t="n"/>
      <c r="AA2516" s="47" t="n"/>
      <c r="AB2516" s="47" t="n"/>
      <c r="AC2516" s="47" t="n"/>
      <c r="AD2516" s="47" t="n"/>
      <c r="AE2516" s="47" t="n"/>
      <c r="AF2516" s="20">
        <f>IF(A2516="","",YEAR(EDATE(A2516,-3)))</f>
        <v/>
      </c>
      <c r="AG2516" s="20">
        <f>IF(OR(B2516="",'経歴簿'!$C$4=""),"",IF(B2516&amp;""='経歴簿'!$C$4&amp;"",MAX($AG$4:AG2515)+1,""))</f>
        <v/>
      </c>
      <c r="AH2516" s="20">
        <f>IF(A2516="",0,IF(AND(OR('CSV抽出'!$C$4="",A2516&gt;='CSV抽出'!$C$4),OR('CSV抽出'!$C$5="",A2516&lt;='CSV抽出'!$C$5),OR('CSV抽出'!$C$6="すべて",'CSV抽出'!$C$6="",D2516='CSV抽出'!$C$6),OR('CSV抽出'!$C$7="",B2516&amp;""='CSV抽出'!$C$7&amp;"")),1,0))</f>
        <v/>
      </c>
      <c r="AI2516" s="20">
        <f>IF(AH2516=1,SUM($AH$5:AH2516),"")</f>
        <v/>
      </c>
      <c r="AJ2516" s="20">
        <f>IF(OR(S2516="",'報告書'!$C$4=""),"",IF(S2516&amp;""='報告書'!$C$4&amp;"",COUNTIF($S$5:S2516,'報告書'!$C$4),""))</f>
        <v/>
      </c>
      <c r="AK2516" s="20" t="n"/>
      <c r="AL2516" s="47" t="n"/>
      <c r="AM2516" s="47" t="n"/>
      <c r="AN2516" s="53" t="n"/>
      <c r="AO2516" s="47" t="n"/>
      <c r="AP2516" s="47" t="n"/>
      <c r="AQ2516" s="47" t="n"/>
      <c r="AR2516" s="47" t="n"/>
      <c r="AS2516" s="47" t="n"/>
      <c r="AT2516" s="47" t="n"/>
      <c r="AU2516" s="47" t="n"/>
      <c r="AV2516" s="47" t="n"/>
      <c r="AW2516" s="52" t="n"/>
    </row>
    <row r="2517">
      <c r="A2517" s="48" t="n"/>
      <c r="B2517" s="52" t="n"/>
      <c r="C2517" s="47">
        <f>IF(B2517="","",IFERROR(INDEX('隊員マスタ'!$B$5:$B$204,MATCH(B2517&amp;"",'隊員マスタ'!$F$5:$F$204,0)),IF(AK2517="","番号なし",AK2517)))</f>
        <v/>
      </c>
      <c r="D2517" s="47" t="n"/>
      <c r="E2517" s="47" t="n"/>
      <c r="F2517" s="47" t="n"/>
      <c r="G2517" s="47" t="n"/>
      <c r="H2517" s="47" t="n"/>
      <c r="I2517" s="47" t="n"/>
      <c r="J2517" s="47" t="n"/>
      <c r="K2517" s="47" t="n"/>
      <c r="L2517" s="47" t="n"/>
      <c r="M2517" s="47" t="n"/>
      <c r="N2517" s="47" t="n"/>
      <c r="O2517" s="47" t="n"/>
      <c r="P2517" s="47" t="n"/>
      <c r="Q2517" s="47" t="n"/>
      <c r="R2517" s="47" t="n"/>
      <c r="S2517" s="47" t="n"/>
      <c r="T2517" s="47" t="n"/>
      <c r="U2517" s="53" t="n"/>
      <c r="V2517" s="53" t="n"/>
      <c r="W2517" s="47" t="n"/>
      <c r="X2517" s="47" t="n"/>
      <c r="Y2517" s="47" t="n"/>
      <c r="Z2517" s="47" t="n"/>
      <c r="AA2517" s="47" t="n"/>
      <c r="AB2517" s="47" t="n"/>
      <c r="AC2517" s="47" t="n"/>
      <c r="AD2517" s="47" t="n"/>
      <c r="AE2517" s="47" t="n"/>
      <c r="AF2517" s="20">
        <f>IF(A2517="","",YEAR(EDATE(A2517,-3)))</f>
        <v/>
      </c>
      <c r="AG2517" s="20">
        <f>IF(OR(B2517="",'経歴簿'!$C$4=""),"",IF(B2517&amp;""='経歴簿'!$C$4&amp;"",MAX($AG$4:AG2516)+1,""))</f>
        <v/>
      </c>
      <c r="AH2517" s="20">
        <f>IF(A2517="",0,IF(AND(OR('CSV抽出'!$C$4="",A2517&gt;='CSV抽出'!$C$4),OR('CSV抽出'!$C$5="",A2517&lt;='CSV抽出'!$C$5),OR('CSV抽出'!$C$6="すべて",'CSV抽出'!$C$6="",D2517='CSV抽出'!$C$6),OR('CSV抽出'!$C$7="",B2517&amp;""='CSV抽出'!$C$7&amp;"")),1,0))</f>
        <v/>
      </c>
      <c r="AI2517" s="20">
        <f>IF(AH2517=1,SUM($AH$5:AH2517),"")</f>
        <v/>
      </c>
      <c r="AJ2517" s="20">
        <f>IF(OR(S2517="",'報告書'!$C$4=""),"",IF(S2517&amp;""='報告書'!$C$4&amp;"",COUNTIF($S$5:S2517,'報告書'!$C$4),""))</f>
        <v/>
      </c>
      <c r="AK2517" s="20" t="n"/>
      <c r="AL2517" s="47" t="n"/>
      <c r="AM2517" s="47" t="n"/>
      <c r="AN2517" s="53" t="n"/>
      <c r="AO2517" s="47" t="n"/>
      <c r="AP2517" s="47" t="n"/>
      <c r="AQ2517" s="47" t="n"/>
      <c r="AR2517" s="47" t="n"/>
      <c r="AS2517" s="47" t="n"/>
      <c r="AT2517" s="47" t="n"/>
      <c r="AU2517" s="47" t="n"/>
      <c r="AV2517" s="47" t="n"/>
      <c r="AW2517" s="52" t="n"/>
    </row>
    <row r="2518">
      <c r="A2518" s="48" t="n"/>
      <c r="B2518" s="52" t="n"/>
      <c r="C2518" s="47">
        <f>IF(B2518="","",IFERROR(INDEX('隊員マスタ'!$B$5:$B$204,MATCH(B2518&amp;"",'隊員マスタ'!$F$5:$F$204,0)),IF(AK2518="","番号なし",AK2518)))</f>
        <v/>
      </c>
      <c r="D2518" s="47" t="n"/>
      <c r="E2518" s="47" t="n"/>
      <c r="F2518" s="47" t="n"/>
      <c r="G2518" s="47" t="n"/>
      <c r="H2518" s="47" t="n"/>
      <c r="I2518" s="47" t="n"/>
      <c r="J2518" s="47" t="n"/>
      <c r="K2518" s="47" t="n"/>
      <c r="L2518" s="47" t="n"/>
      <c r="M2518" s="47" t="n"/>
      <c r="N2518" s="47" t="n"/>
      <c r="O2518" s="47" t="n"/>
      <c r="P2518" s="47" t="n"/>
      <c r="Q2518" s="47" t="n"/>
      <c r="R2518" s="47" t="n"/>
      <c r="S2518" s="47" t="n"/>
      <c r="T2518" s="47" t="n"/>
      <c r="U2518" s="53" t="n"/>
      <c r="V2518" s="53" t="n"/>
      <c r="W2518" s="47" t="n"/>
      <c r="X2518" s="47" t="n"/>
      <c r="Y2518" s="47" t="n"/>
      <c r="Z2518" s="47" t="n"/>
      <c r="AA2518" s="47" t="n"/>
      <c r="AB2518" s="47" t="n"/>
      <c r="AC2518" s="47" t="n"/>
      <c r="AD2518" s="47" t="n"/>
      <c r="AE2518" s="47" t="n"/>
      <c r="AF2518" s="20">
        <f>IF(A2518="","",YEAR(EDATE(A2518,-3)))</f>
        <v/>
      </c>
      <c r="AG2518" s="20">
        <f>IF(OR(B2518="",'経歴簿'!$C$4=""),"",IF(B2518&amp;""='経歴簿'!$C$4&amp;"",MAX($AG$4:AG2517)+1,""))</f>
        <v/>
      </c>
      <c r="AH2518" s="20">
        <f>IF(A2518="",0,IF(AND(OR('CSV抽出'!$C$4="",A2518&gt;='CSV抽出'!$C$4),OR('CSV抽出'!$C$5="",A2518&lt;='CSV抽出'!$C$5),OR('CSV抽出'!$C$6="すべて",'CSV抽出'!$C$6="",D2518='CSV抽出'!$C$6),OR('CSV抽出'!$C$7="",B2518&amp;""='CSV抽出'!$C$7&amp;"")),1,0))</f>
        <v/>
      </c>
      <c r="AI2518" s="20">
        <f>IF(AH2518=1,SUM($AH$5:AH2518),"")</f>
        <v/>
      </c>
      <c r="AJ2518" s="20">
        <f>IF(OR(S2518="",'報告書'!$C$4=""),"",IF(S2518&amp;""='報告書'!$C$4&amp;"",COUNTIF($S$5:S2518,'報告書'!$C$4),""))</f>
        <v/>
      </c>
      <c r="AK2518" s="20" t="n"/>
      <c r="AL2518" s="47" t="n"/>
      <c r="AM2518" s="47" t="n"/>
      <c r="AN2518" s="53" t="n"/>
      <c r="AO2518" s="47" t="n"/>
      <c r="AP2518" s="47" t="n"/>
      <c r="AQ2518" s="47" t="n"/>
      <c r="AR2518" s="47" t="n"/>
      <c r="AS2518" s="47" t="n"/>
      <c r="AT2518" s="47" t="n"/>
      <c r="AU2518" s="47" t="n"/>
      <c r="AV2518" s="47" t="n"/>
      <c r="AW2518" s="52" t="n"/>
    </row>
    <row r="2519">
      <c r="A2519" s="48" t="n"/>
      <c r="B2519" s="52" t="n"/>
      <c r="C2519" s="47">
        <f>IF(B2519="","",IFERROR(INDEX('隊員マスタ'!$B$5:$B$204,MATCH(B2519&amp;"",'隊員マスタ'!$F$5:$F$204,0)),IF(AK2519="","番号なし",AK2519)))</f>
        <v/>
      </c>
      <c r="D2519" s="47" t="n"/>
      <c r="E2519" s="47" t="n"/>
      <c r="F2519" s="47" t="n"/>
      <c r="G2519" s="47" t="n"/>
      <c r="H2519" s="47" t="n"/>
      <c r="I2519" s="47" t="n"/>
      <c r="J2519" s="47" t="n"/>
      <c r="K2519" s="47" t="n"/>
      <c r="L2519" s="47" t="n"/>
      <c r="M2519" s="47" t="n"/>
      <c r="N2519" s="47" t="n"/>
      <c r="O2519" s="47" t="n"/>
      <c r="P2519" s="47" t="n"/>
      <c r="Q2519" s="47" t="n"/>
      <c r="R2519" s="47" t="n"/>
      <c r="S2519" s="47" t="n"/>
      <c r="T2519" s="47" t="n"/>
      <c r="U2519" s="53" t="n"/>
      <c r="V2519" s="53" t="n"/>
      <c r="W2519" s="47" t="n"/>
      <c r="X2519" s="47" t="n"/>
      <c r="Y2519" s="47" t="n"/>
      <c r="Z2519" s="47" t="n"/>
      <c r="AA2519" s="47" t="n"/>
      <c r="AB2519" s="47" t="n"/>
      <c r="AC2519" s="47" t="n"/>
      <c r="AD2519" s="47" t="n"/>
      <c r="AE2519" s="47" t="n"/>
      <c r="AF2519" s="20">
        <f>IF(A2519="","",YEAR(EDATE(A2519,-3)))</f>
        <v/>
      </c>
      <c r="AG2519" s="20">
        <f>IF(OR(B2519="",'経歴簿'!$C$4=""),"",IF(B2519&amp;""='経歴簿'!$C$4&amp;"",MAX($AG$4:AG2518)+1,""))</f>
        <v/>
      </c>
      <c r="AH2519" s="20">
        <f>IF(A2519="",0,IF(AND(OR('CSV抽出'!$C$4="",A2519&gt;='CSV抽出'!$C$4),OR('CSV抽出'!$C$5="",A2519&lt;='CSV抽出'!$C$5),OR('CSV抽出'!$C$6="すべて",'CSV抽出'!$C$6="",D2519='CSV抽出'!$C$6),OR('CSV抽出'!$C$7="",B2519&amp;""='CSV抽出'!$C$7&amp;"")),1,0))</f>
        <v/>
      </c>
      <c r="AI2519" s="20">
        <f>IF(AH2519=1,SUM($AH$5:AH2519),"")</f>
        <v/>
      </c>
      <c r="AJ2519" s="20">
        <f>IF(OR(S2519="",'報告書'!$C$4=""),"",IF(S2519&amp;""='報告書'!$C$4&amp;"",COUNTIF($S$5:S2519,'報告書'!$C$4),""))</f>
        <v/>
      </c>
      <c r="AK2519" s="20" t="n"/>
      <c r="AL2519" s="47" t="n"/>
      <c r="AM2519" s="47" t="n"/>
      <c r="AN2519" s="53" t="n"/>
      <c r="AO2519" s="47" t="n"/>
      <c r="AP2519" s="47" t="n"/>
      <c r="AQ2519" s="47" t="n"/>
      <c r="AR2519" s="47" t="n"/>
      <c r="AS2519" s="47" t="n"/>
      <c r="AT2519" s="47" t="n"/>
      <c r="AU2519" s="47" t="n"/>
      <c r="AV2519" s="47" t="n"/>
      <c r="AW2519" s="52" t="n"/>
    </row>
    <row r="2520">
      <c r="A2520" s="48" t="n"/>
      <c r="B2520" s="52" t="n"/>
      <c r="C2520" s="47">
        <f>IF(B2520="","",IFERROR(INDEX('隊員マスタ'!$B$5:$B$204,MATCH(B2520&amp;"",'隊員マスタ'!$F$5:$F$204,0)),IF(AK2520="","番号なし",AK2520)))</f>
        <v/>
      </c>
      <c r="D2520" s="47" t="n"/>
      <c r="E2520" s="47" t="n"/>
      <c r="F2520" s="47" t="n"/>
      <c r="G2520" s="47" t="n"/>
      <c r="H2520" s="47" t="n"/>
      <c r="I2520" s="47" t="n"/>
      <c r="J2520" s="47" t="n"/>
      <c r="K2520" s="47" t="n"/>
      <c r="L2520" s="47" t="n"/>
      <c r="M2520" s="47" t="n"/>
      <c r="N2520" s="47" t="n"/>
      <c r="O2520" s="47" t="n"/>
      <c r="P2520" s="47" t="n"/>
      <c r="Q2520" s="47" t="n"/>
      <c r="R2520" s="47" t="n"/>
      <c r="S2520" s="47" t="n"/>
      <c r="T2520" s="47" t="n"/>
      <c r="U2520" s="53" t="n"/>
      <c r="V2520" s="53" t="n"/>
      <c r="W2520" s="47" t="n"/>
      <c r="X2520" s="47" t="n"/>
      <c r="Y2520" s="47" t="n"/>
      <c r="Z2520" s="47" t="n"/>
      <c r="AA2520" s="47" t="n"/>
      <c r="AB2520" s="47" t="n"/>
      <c r="AC2520" s="47" t="n"/>
      <c r="AD2520" s="47" t="n"/>
      <c r="AE2520" s="47" t="n"/>
      <c r="AF2520" s="20">
        <f>IF(A2520="","",YEAR(EDATE(A2520,-3)))</f>
        <v/>
      </c>
      <c r="AG2520" s="20">
        <f>IF(OR(B2520="",'経歴簿'!$C$4=""),"",IF(B2520&amp;""='経歴簿'!$C$4&amp;"",MAX($AG$4:AG2519)+1,""))</f>
        <v/>
      </c>
      <c r="AH2520" s="20">
        <f>IF(A2520="",0,IF(AND(OR('CSV抽出'!$C$4="",A2520&gt;='CSV抽出'!$C$4),OR('CSV抽出'!$C$5="",A2520&lt;='CSV抽出'!$C$5),OR('CSV抽出'!$C$6="すべて",'CSV抽出'!$C$6="",D2520='CSV抽出'!$C$6),OR('CSV抽出'!$C$7="",B2520&amp;""='CSV抽出'!$C$7&amp;"")),1,0))</f>
        <v/>
      </c>
      <c r="AI2520" s="20">
        <f>IF(AH2520=1,SUM($AH$5:AH2520),"")</f>
        <v/>
      </c>
      <c r="AJ2520" s="20">
        <f>IF(OR(S2520="",'報告書'!$C$4=""),"",IF(S2520&amp;""='報告書'!$C$4&amp;"",COUNTIF($S$5:S2520,'報告書'!$C$4),""))</f>
        <v/>
      </c>
      <c r="AK2520" s="20" t="n"/>
      <c r="AL2520" s="47" t="n"/>
      <c r="AM2520" s="47" t="n"/>
      <c r="AN2520" s="53" t="n"/>
      <c r="AO2520" s="47" t="n"/>
      <c r="AP2520" s="47" t="n"/>
      <c r="AQ2520" s="47" t="n"/>
      <c r="AR2520" s="47" t="n"/>
      <c r="AS2520" s="47" t="n"/>
      <c r="AT2520" s="47" t="n"/>
      <c r="AU2520" s="47" t="n"/>
      <c r="AV2520" s="47" t="n"/>
      <c r="AW2520" s="52" t="n"/>
    </row>
    <row r="2521">
      <c r="A2521" s="48" t="n"/>
      <c r="B2521" s="52" t="n"/>
      <c r="C2521" s="47">
        <f>IF(B2521="","",IFERROR(INDEX('隊員マスタ'!$B$5:$B$204,MATCH(B2521&amp;"",'隊員マスタ'!$F$5:$F$204,0)),IF(AK2521="","番号なし",AK2521)))</f>
        <v/>
      </c>
      <c r="D2521" s="47" t="n"/>
      <c r="E2521" s="47" t="n"/>
      <c r="F2521" s="47" t="n"/>
      <c r="G2521" s="47" t="n"/>
      <c r="H2521" s="47" t="n"/>
      <c r="I2521" s="47" t="n"/>
      <c r="J2521" s="47" t="n"/>
      <c r="K2521" s="47" t="n"/>
      <c r="L2521" s="47" t="n"/>
      <c r="M2521" s="47" t="n"/>
      <c r="N2521" s="47" t="n"/>
      <c r="O2521" s="47" t="n"/>
      <c r="P2521" s="47" t="n"/>
      <c r="Q2521" s="47" t="n"/>
      <c r="R2521" s="47" t="n"/>
      <c r="S2521" s="47" t="n"/>
      <c r="T2521" s="47" t="n"/>
      <c r="U2521" s="53" t="n"/>
      <c r="V2521" s="53" t="n"/>
      <c r="W2521" s="47" t="n"/>
      <c r="X2521" s="47" t="n"/>
      <c r="Y2521" s="47" t="n"/>
      <c r="Z2521" s="47" t="n"/>
      <c r="AA2521" s="47" t="n"/>
      <c r="AB2521" s="47" t="n"/>
      <c r="AC2521" s="47" t="n"/>
      <c r="AD2521" s="47" t="n"/>
      <c r="AE2521" s="47" t="n"/>
      <c r="AF2521" s="20">
        <f>IF(A2521="","",YEAR(EDATE(A2521,-3)))</f>
        <v/>
      </c>
      <c r="AG2521" s="20">
        <f>IF(OR(B2521="",'経歴簿'!$C$4=""),"",IF(B2521&amp;""='経歴簿'!$C$4&amp;"",MAX($AG$4:AG2520)+1,""))</f>
        <v/>
      </c>
      <c r="AH2521" s="20">
        <f>IF(A2521="",0,IF(AND(OR('CSV抽出'!$C$4="",A2521&gt;='CSV抽出'!$C$4),OR('CSV抽出'!$C$5="",A2521&lt;='CSV抽出'!$C$5),OR('CSV抽出'!$C$6="すべて",'CSV抽出'!$C$6="",D2521='CSV抽出'!$C$6),OR('CSV抽出'!$C$7="",B2521&amp;""='CSV抽出'!$C$7&amp;"")),1,0))</f>
        <v/>
      </c>
      <c r="AI2521" s="20">
        <f>IF(AH2521=1,SUM($AH$5:AH2521),"")</f>
        <v/>
      </c>
      <c r="AJ2521" s="20">
        <f>IF(OR(S2521="",'報告書'!$C$4=""),"",IF(S2521&amp;""='報告書'!$C$4&amp;"",COUNTIF($S$5:S2521,'報告書'!$C$4),""))</f>
        <v/>
      </c>
      <c r="AK2521" s="20" t="n"/>
      <c r="AL2521" s="47" t="n"/>
      <c r="AM2521" s="47" t="n"/>
      <c r="AN2521" s="53" t="n"/>
      <c r="AO2521" s="47" t="n"/>
      <c r="AP2521" s="47" t="n"/>
      <c r="AQ2521" s="47" t="n"/>
      <c r="AR2521" s="47" t="n"/>
      <c r="AS2521" s="47" t="n"/>
      <c r="AT2521" s="47" t="n"/>
      <c r="AU2521" s="47" t="n"/>
      <c r="AV2521" s="47" t="n"/>
      <c r="AW2521" s="52" t="n"/>
    </row>
    <row r="2522">
      <c r="A2522" s="48" t="n"/>
      <c r="B2522" s="52" t="n"/>
      <c r="C2522" s="47">
        <f>IF(B2522="","",IFERROR(INDEX('隊員マスタ'!$B$5:$B$204,MATCH(B2522&amp;"",'隊員マスタ'!$F$5:$F$204,0)),IF(AK2522="","番号なし",AK2522)))</f>
        <v/>
      </c>
      <c r="D2522" s="47" t="n"/>
      <c r="E2522" s="47" t="n"/>
      <c r="F2522" s="47" t="n"/>
      <c r="G2522" s="47" t="n"/>
      <c r="H2522" s="47" t="n"/>
      <c r="I2522" s="47" t="n"/>
      <c r="J2522" s="47" t="n"/>
      <c r="K2522" s="47" t="n"/>
      <c r="L2522" s="47" t="n"/>
      <c r="M2522" s="47" t="n"/>
      <c r="N2522" s="47" t="n"/>
      <c r="O2522" s="47" t="n"/>
      <c r="P2522" s="47" t="n"/>
      <c r="Q2522" s="47" t="n"/>
      <c r="R2522" s="47" t="n"/>
      <c r="S2522" s="47" t="n"/>
      <c r="T2522" s="47" t="n"/>
      <c r="U2522" s="53" t="n"/>
      <c r="V2522" s="53" t="n"/>
      <c r="W2522" s="47" t="n"/>
      <c r="X2522" s="47" t="n"/>
      <c r="Y2522" s="47" t="n"/>
      <c r="Z2522" s="47" t="n"/>
      <c r="AA2522" s="47" t="n"/>
      <c r="AB2522" s="47" t="n"/>
      <c r="AC2522" s="47" t="n"/>
      <c r="AD2522" s="47" t="n"/>
      <c r="AE2522" s="47" t="n"/>
      <c r="AF2522" s="20">
        <f>IF(A2522="","",YEAR(EDATE(A2522,-3)))</f>
        <v/>
      </c>
      <c r="AG2522" s="20">
        <f>IF(OR(B2522="",'経歴簿'!$C$4=""),"",IF(B2522&amp;""='経歴簿'!$C$4&amp;"",MAX($AG$4:AG2521)+1,""))</f>
        <v/>
      </c>
      <c r="AH2522" s="20">
        <f>IF(A2522="",0,IF(AND(OR('CSV抽出'!$C$4="",A2522&gt;='CSV抽出'!$C$4),OR('CSV抽出'!$C$5="",A2522&lt;='CSV抽出'!$C$5),OR('CSV抽出'!$C$6="すべて",'CSV抽出'!$C$6="",D2522='CSV抽出'!$C$6),OR('CSV抽出'!$C$7="",B2522&amp;""='CSV抽出'!$C$7&amp;"")),1,0))</f>
        <v/>
      </c>
      <c r="AI2522" s="20">
        <f>IF(AH2522=1,SUM($AH$5:AH2522),"")</f>
        <v/>
      </c>
      <c r="AJ2522" s="20">
        <f>IF(OR(S2522="",'報告書'!$C$4=""),"",IF(S2522&amp;""='報告書'!$C$4&amp;"",COUNTIF($S$5:S2522,'報告書'!$C$4),""))</f>
        <v/>
      </c>
      <c r="AK2522" s="20" t="n"/>
      <c r="AL2522" s="47" t="n"/>
      <c r="AM2522" s="47" t="n"/>
      <c r="AN2522" s="53" t="n"/>
      <c r="AO2522" s="47" t="n"/>
      <c r="AP2522" s="47" t="n"/>
      <c r="AQ2522" s="47" t="n"/>
      <c r="AR2522" s="47" t="n"/>
      <c r="AS2522" s="47" t="n"/>
      <c r="AT2522" s="47" t="n"/>
      <c r="AU2522" s="47" t="n"/>
      <c r="AV2522" s="47" t="n"/>
      <c r="AW2522" s="52" t="n"/>
    </row>
    <row r="2523">
      <c r="A2523" s="48" t="n"/>
      <c r="B2523" s="52" t="n"/>
      <c r="C2523" s="47">
        <f>IF(B2523="","",IFERROR(INDEX('隊員マスタ'!$B$5:$B$204,MATCH(B2523&amp;"",'隊員マスタ'!$F$5:$F$204,0)),IF(AK2523="","番号なし",AK2523)))</f>
        <v/>
      </c>
      <c r="D2523" s="47" t="n"/>
      <c r="E2523" s="47" t="n"/>
      <c r="F2523" s="47" t="n"/>
      <c r="G2523" s="47" t="n"/>
      <c r="H2523" s="47" t="n"/>
      <c r="I2523" s="47" t="n"/>
      <c r="J2523" s="47" t="n"/>
      <c r="K2523" s="47" t="n"/>
      <c r="L2523" s="47" t="n"/>
      <c r="M2523" s="47" t="n"/>
      <c r="N2523" s="47" t="n"/>
      <c r="O2523" s="47" t="n"/>
      <c r="P2523" s="47" t="n"/>
      <c r="Q2523" s="47" t="n"/>
      <c r="R2523" s="47" t="n"/>
      <c r="S2523" s="47" t="n"/>
      <c r="T2523" s="47" t="n"/>
      <c r="U2523" s="53" t="n"/>
      <c r="V2523" s="53" t="n"/>
      <c r="W2523" s="47" t="n"/>
      <c r="X2523" s="47" t="n"/>
      <c r="Y2523" s="47" t="n"/>
      <c r="Z2523" s="47" t="n"/>
      <c r="AA2523" s="47" t="n"/>
      <c r="AB2523" s="47" t="n"/>
      <c r="AC2523" s="47" t="n"/>
      <c r="AD2523" s="47" t="n"/>
      <c r="AE2523" s="47" t="n"/>
      <c r="AF2523" s="20">
        <f>IF(A2523="","",YEAR(EDATE(A2523,-3)))</f>
        <v/>
      </c>
      <c r="AG2523" s="20">
        <f>IF(OR(B2523="",'経歴簿'!$C$4=""),"",IF(B2523&amp;""='経歴簿'!$C$4&amp;"",MAX($AG$4:AG2522)+1,""))</f>
        <v/>
      </c>
      <c r="AH2523" s="20">
        <f>IF(A2523="",0,IF(AND(OR('CSV抽出'!$C$4="",A2523&gt;='CSV抽出'!$C$4),OR('CSV抽出'!$C$5="",A2523&lt;='CSV抽出'!$C$5),OR('CSV抽出'!$C$6="すべて",'CSV抽出'!$C$6="",D2523='CSV抽出'!$C$6),OR('CSV抽出'!$C$7="",B2523&amp;""='CSV抽出'!$C$7&amp;"")),1,0))</f>
        <v/>
      </c>
      <c r="AI2523" s="20">
        <f>IF(AH2523=1,SUM($AH$5:AH2523),"")</f>
        <v/>
      </c>
      <c r="AJ2523" s="20">
        <f>IF(OR(S2523="",'報告書'!$C$4=""),"",IF(S2523&amp;""='報告書'!$C$4&amp;"",COUNTIF($S$5:S2523,'報告書'!$C$4),""))</f>
        <v/>
      </c>
      <c r="AK2523" s="20" t="n"/>
      <c r="AL2523" s="47" t="n"/>
      <c r="AM2523" s="47" t="n"/>
      <c r="AN2523" s="53" t="n"/>
      <c r="AO2523" s="47" t="n"/>
      <c r="AP2523" s="47" t="n"/>
      <c r="AQ2523" s="47" t="n"/>
      <c r="AR2523" s="47" t="n"/>
      <c r="AS2523" s="47" t="n"/>
      <c r="AT2523" s="47" t="n"/>
      <c r="AU2523" s="47" t="n"/>
      <c r="AV2523" s="47" t="n"/>
      <c r="AW2523" s="52" t="n"/>
    </row>
    <row r="2524">
      <c r="A2524" s="48" t="n"/>
      <c r="B2524" s="52" t="n"/>
      <c r="C2524" s="47">
        <f>IF(B2524="","",IFERROR(INDEX('隊員マスタ'!$B$5:$B$204,MATCH(B2524&amp;"",'隊員マスタ'!$F$5:$F$204,0)),IF(AK2524="","番号なし",AK2524)))</f>
        <v/>
      </c>
      <c r="D2524" s="47" t="n"/>
      <c r="E2524" s="47" t="n"/>
      <c r="F2524" s="47" t="n"/>
      <c r="G2524" s="47" t="n"/>
      <c r="H2524" s="47" t="n"/>
      <c r="I2524" s="47" t="n"/>
      <c r="J2524" s="47" t="n"/>
      <c r="K2524" s="47" t="n"/>
      <c r="L2524" s="47" t="n"/>
      <c r="M2524" s="47" t="n"/>
      <c r="N2524" s="47" t="n"/>
      <c r="O2524" s="47" t="n"/>
      <c r="P2524" s="47" t="n"/>
      <c r="Q2524" s="47" t="n"/>
      <c r="R2524" s="47" t="n"/>
      <c r="S2524" s="47" t="n"/>
      <c r="T2524" s="47" t="n"/>
      <c r="U2524" s="53" t="n"/>
      <c r="V2524" s="53" t="n"/>
      <c r="W2524" s="47" t="n"/>
      <c r="X2524" s="47" t="n"/>
      <c r="Y2524" s="47" t="n"/>
      <c r="Z2524" s="47" t="n"/>
      <c r="AA2524" s="47" t="n"/>
      <c r="AB2524" s="47" t="n"/>
      <c r="AC2524" s="47" t="n"/>
      <c r="AD2524" s="47" t="n"/>
      <c r="AE2524" s="47" t="n"/>
      <c r="AF2524" s="20">
        <f>IF(A2524="","",YEAR(EDATE(A2524,-3)))</f>
        <v/>
      </c>
      <c r="AG2524" s="20">
        <f>IF(OR(B2524="",'経歴簿'!$C$4=""),"",IF(B2524&amp;""='経歴簿'!$C$4&amp;"",MAX($AG$4:AG2523)+1,""))</f>
        <v/>
      </c>
      <c r="AH2524" s="20">
        <f>IF(A2524="",0,IF(AND(OR('CSV抽出'!$C$4="",A2524&gt;='CSV抽出'!$C$4),OR('CSV抽出'!$C$5="",A2524&lt;='CSV抽出'!$C$5),OR('CSV抽出'!$C$6="すべて",'CSV抽出'!$C$6="",D2524='CSV抽出'!$C$6),OR('CSV抽出'!$C$7="",B2524&amp;""='CSV抽出'!$C$7&amp;"")),1,0))</f>
        <v/>
      </c>
      <c r="AI2524" s="20">
        <f>IF(AH2524=1,SUM($AH$5:AH2524),"")</f>
        <v/>
      </c>
      <c r="AJ2524" s="20">
        <f>IF(OR(S2524="",'報告書'!$C$4=""),"",IF(S2524&amp;""='報告書'!$C$4&amp;"",COUNTIF($S$5:S2524,'報告書'!$C$4),""))</f>
        <v/>
      </c>
      <c r="AK2524" s="20" t="n"/>
      <c r="AL2524" s="47" t="n"/>
      <c r="AM2524" s="47" t="n"/>
      <c r="AN2524" s="53" t="n"/>
      <c r="AO2524" s="47" t="n"/>
      <c r="AP2524" s="47" t="n"/>
      <c r="AQ2524" s="47" t="n"/>
      <c r="AR2524" s="47" t="n"/>
      <c r="AS2524" s="47" t="n"/>
      <c r="AT2524" s="47" t="n"/>
      <c r="AU2524" s="47" t="n"/>
      <c r="AV2524" s="47" t="n"/>
      <c r="AW2524" s="52" t="n"/>
    </row>
    <row r="2525">
      <c r="A2525" s="48" t="n"/>
      <c r="B2525" s="52" t="n"/>
      <c r="C2525" s="47">
        <f>IF(B2525="","",IFERROR(INDEX('隊員マスタ'!$B$5:$B$204,MATCH(B2525&amp;"",'隊員マスタ'!$F$5:$F$204,0)),IF(AK2525="","番号なし",AK2525)))</f>
        <v/>
      </c>
      <c r="D2525" s="47" t="n"/>
      <c r="E2525" s="47" t="n"/>
      <c r="F2525" s="47" t="n"/>
      <c r="G2525" s="47" t="n"/>
      <c r="H2525" s="47" t="n"/>
      <c r="I2525" s="47" t="n"/>
      <c r="J2525" s="47" t="n"/>
      <c r="K2525" s="47" t="n"/>
      <c r="L2525" s="47" t="n"/>
      <c r="M2525" s="47" t="n"/>
      <c r="N2525" s="47" t="n"/>
      <c r="O2525" s="47" t="n"/>
      <c r="P2525" s="47" t="n"/>
      <c r="Q2525" s="47" t="n"/>
      <c r="R2525" s="47" t="n"/>
      <c r="S2525" s="47" t="n"/>
      <c r="T2525" s="47" t="n"/>
      <c r="U2525" s="53" t="n"/>
      <c r="V2525" s="53" t="n"/>
      <c r="W2525" s="47" t="n"/>
      <c r="X2525" s="47" t="n"/>
      <c r="Y2525" s="47" t="n"/>
      <c r="Z2525" s="47" t="n"/>
      <c r="AA2525" s="47" t="n"/>
      <c r="AB2525" s="47" t="n"/>
      <c r="AC2525" s="47" t="n"/>
      <c r="AD2525" s="47" t="n"/>
      <c r="AE2525" s="47" t="n"/>
      <c r="AF2525" s="20">
        <f>IF(A2525="","",YEAR(EDATE(A2525,-3)))</f>
        <v/>
      </c>
      <c r="AG2525" s="20">
        <f>IF(OR(B2525="",'経歴簿'!$C$4=""),"",IF(B2525&amp;""='経歴簿'!$C$4&amp;"",MAX($AG$4:AG2524)+1,""))</f>
        <v/>
      </c>
      <c r="AH2525" s="20">
        <f>IF(A2525="",0,IF(AND(OR('CSV抽出'!$C$4="",A2525&gt;='CSV抽出'!$C$4),OR('CSV抽出'!$C$5="",A2525&lt;='CSV抽出'!$C$5),OR('CSV抽出'!$C$6="すべて",'CSV抽出'!$C$6="",D2525='CSV抽出'!$C$6),OR('CSV抽出'!$C$7="",B2525&amp;""='CSV抽出'!$C$7&amp;"")),1,0))</f>
        <v/>
      </c>
      <c r="AI2525" s="20">
        <f>IF(AH2525=1,SUM($AH$5:AH2525),"")</f>
        <v/>
      </c>
      <c r="AJ2525" s="20">
        <f>IF(OR(S2525="",'報告書'!$C$4=""),"",IF(S2525&amp;""='報告書'!$C$4&amp;"",COUNTIF($S$5:S2525,'報告書'!$C$4),""))</f>
        <v/>
      </c>
      <c r="AK2525" s="20" t="n"/>
      <c r="AL2525" s="47" t="n"/>
      <c r="AM2525" s="47" t="n"/>
      <c r="AN2525" s="53" t="n"/>
      <c r="AO2525" s="47" t="n"/>
      <c r="AP2525" s="47" t="n"/>
      <c r="AQ2525" s="47" t="n"/>
      <c r="AR2525" s="47" t="n"/>
      <c r="AS2525" s="47" t="n"/>
      <c r="AT2525" s="47" t="n"/>
      <c r="AU2525" s="47" t="n"/>
      <c r="AV2525" s="47" t="n"/>
      <c r="AW2525" s="52" t="n"/>
    </row>
    <row r="2526">
      <c r="A2526" s="48" t="n"/>
      <c r="B2526" s="52" t="n"/>
      <c r="C2526" s="47">
        <f>IF(B2526="","",IFERROR(INDEX('隊員マスタ'!$B$5:$B$204,MATCH(B2526&amp;"",'隊員マスタ'!$F$5:$F$204,0)),IF(AK2526="","番号なし",AK2526)))</f>
        <v/>
      </c>
      <c r="D2526" s="47" t="n"/>
      <c r="E2526" s="47" t="n"/>
      <c r="F2526" s="47" t="n"/>
      <c r="G2526" s="47" t="n"/>
      <c r="H2526" s="47" t="n"/>
      <c r="I2526" s="47" t="n"/>
      <c r="J2526" s="47" t="n"/>
      <c r="K2526" s="47" t="n"/>
      <c r="L2526" s="47" t="n"/>
      <c r="M2526" s="47" t="n"/>
      <c r="N2526" s="47" t="n"/>
      <c r="O2526" s="47" t="n"/>
      <c r="P2526" s="47" t="n"/>
      <c r="Q2526" s="47" t="n"/>
      <c r="R2526" s="47" t="n"/>
      <c r="S2526" s="47" t="n"/>
      <c r="T2526" s="47" t="n"/>
      <c r="U2526" s="53" t="n"/>
      <c r="V2526" s="53" t="n"/>
      <c r="W2526" s="47" t="n"/>
      <c r="X2526" s="47" t="n"/>
      <c r="Y2526" s="47" t="n"/>
      <c r="Z2526" s="47" t="n"/>
      <c r="AA2526" s="47" t="n"/>
      <c r="AB2526" s="47" t="n"/>
      <c r="AC2526" s="47" t="n"/>
      <c r="AD2526" s="47" t="n"/>
      <c r="AE2526" s="47" t="n"/>
      <c r="AF2526" s="20">
        <f>IF(A2526="","",YEAR(EDATE(A2526,-3)))</f>
        <v/>
      </c>
      <c r="AG2526" s="20">
        <f>IF(OR(B2526="",'経歴簿'!$C$4=""),"",IF(B2526&amp;""='経歴簿'!$C$4&amp;"",MAX($AG$4:AG2525)+1,""))</f>
        <v/>
      </c>
      <c r="AH2526" s="20">
        <f>IF(A2526="",0,IF(AND(OR('CSV抽出'!$C$4="",A2526&gt;='CSV抽出'!$C$4),OR('CSV抽出'!$C$5="",A2526&lt;='CSV抽出'!$C$5),OR('CSV抽出'!$C$6="すべて",'CSV抽出'!$C$6="",D2526='CSV抽出'!$C$6),OR('CSV抽出'!$C$7="",B2526&amp;""='CSV抽出'!$C$7&amp;"")),1,0))</f>
        <v/>
      </c>
      <c r="AI2526" s="20">
        <f>IF(AH2526=1,SUM($AH$5:AH2526),"")</f>
        <v/>
      </c>
      <c r="AJ2526" s="20">
        <f>IF(OR(S2526="",'報告書'!$C$4=""),"",IF(S2526&amp;""='報告書'!$C$4&amp;"",COUNTIF($S$5:S2526,'報告書'!$C$4),""))</f>
        <v/>
      </c>
      <c r="AK2526" s="20" t="n"/>
      <c r="AL2526" s="47" t="n"/>
      <c r="AM2526" s="47" t="n"/>
      <c r="AN2526" s="53" t="n"/>
      <c r="AO2526" s="47" t="n"/>
      <c r="AP2526" s="47" t="n"/>
      <c r="AQ2526" s="47" t="n"/>
      <c r="AR2526" s="47" t="n"/>
      <c r="AS2526" s="47" t="n"/>
      <c r="AT2526" s="47" t="n"/>
      <c r="AU2526" s="47" t="n"/>
      <c r="AV2526" s="47" t="n"/>
      <c r="AW2526" s="52" t="n"/>
    </row>
    <row r="2527">
      <c r="A2527" s="48" t="n"/>
      <c r="B2527" s="52" t="n"/>
      <c r="C2527" s="47">
        <f>IF(B2527="","",IFERROR(INDEX('隊員マスタ'!$B$5:$B$204,MATCH(B2527&amp;"",'隊員マスタ'!$F$5:$F$204,0)),IF(AK2527="","番号なし",AK2527)))</f>
        <v/>
      </c>
      <c r="D2527" s="47" t="n"/>
      <c r="E2527" s="47" t="n"/>
      <c r="F2527" s="47" t="n"/>
      <c r="G2527" s="47" t="n"/>
      <c r="H2527" s="47" t="n"/>
      <c r="I2527" s="47" t="n"/>
      <c r="J2527" s="47" t="n"/>
      <c r="K2527" s="47" t="n"/>
      <c r="L2527" s="47" t="n"/>
      <c r="M2527" s="47" t="n"/>
      <c r="N2527" s="47" t="n"/>
      <c r="O2527" s="47" t="n"/>
      <c r="P2527" s="47" t="n"/>
      <c r="Q2527" s="47" t="n"/>
      <c r="R2527" s="47" t="n"/>
      <c r="S2527" s="47" t="n"/>
      <c r="T2527" s="47" t="n"/>
      <c r="U2527" s="53" t="n"/>
      <c r="V2527" s="53" t="n"/>
      <c r="W2527" s="47" t="n"/>
      <c r="X2527" s="47" t="n"/>
      <c r="Y2527" s="47" t="n"/>
      <c r="Z2527" s="47" t="n"/>
      <c r="AA2527" s="47" t="n"/>
      <c r="AB2527" s="47" t="n"/>
      <c r="AC2527" s="47" t="n"/>
      <c r="AD2527" s="47" t="n"/>
      <c r="AE2527" s="47" t="n"/>
      <c r="AF2527" s="20">
        <f>IF(A2527="","",YEAR(EDATE(A2527,-3)))</f>
        <v/>
      </c>
      <c r="AG2527" s="20">
        <f>IF(OR(B2527="",'経歴簿'!$C$4=""),"",IF(B2527&amp;""='経歴簿'!$C$4&amp;"",MAX($AG$4:AG2526)+1,""))</f>
        <v/>
      </c>
      <c r="AH2527" s="20">
        <f>IF(A2527="",0,IF(AND(OR('CSV抽出'!$C$4="",A2527&gt;='CSV抽出'!$C$4),OR('CSV抽出'!$C$5="",A2527&lt;='CSV抽出'!$C$5),OR('CSV抽出'!$C$6="すべて",'CSV抽出'!$C$6="",D2527='CSV抽出'!$C$6),OR('CSV抽出'!$C$7="",B2527&amp;""='CSV抽出'!$C$7&amp;"")),1,0))</f>
        <v/>
      </c>
      <c r="AI2527" s="20">
        <f>IF(AH2527=1,SUM($AH$5:AH2527),"")</f>
        <v/>
      </c>
      <c r="AJ2527" s="20">
        <f>IF(OR(S2527="",'報告書'!$C$4=""),"",IF(S2527&amp;""='報告書'!$C$4&amp;"",COUNTIF($S$5:S2527,'報告書'!$C$4),""))</f>
        <v/>
      </c>
      <c r="AK2527" s="20" t="n"/>
      <c r="AL2527" s="47" t="n"/>
      <c r="AM2527" s="47" t="n"/>
      <c r="AN2527" s="53" t="n"/>
      <c r="AO2527" s="47" t="n"/>
      <c r="AP2527" s="47" t="n"/>
      <c r="AQ2527" s="47" t="n"/>
      <c r="AR2527" s="47" t="n"/>
      <c r="AS2527" s="47" t="n"/>
      <c r="AT2527" s="47" t="n"/>
      <c r="AU2527" s="47" t="n"/>
      <c r="AV2527" s="47" t="n"/>
      <c r="AW2527" s="52" t="n"/>
    </row>
    <row r="2528">
      <c r="A2528" s="48" t="n"/>
      <c r="B2528" s="52" t="n"/>
      <c r="C2528" s="47">
        <f>IF(B2528="","",IFERROR(INDEX('隊員マスタ'!$B$5:$B$204,MATCH(B2528&amp;"",'隊員マスタ'!$F$5:$F$204,0)),IF(AK2528="","番号なし",AK2528)))</f>
        <v/>
      </c>
      <c r="D2528" s="47" t="n"/>
      <c r="E2528" s="47" t="n"/>
      <c r="F2528" s="47" t="n"/>
      <c r="G2528" s="47" t="n"/>
      <c r="H2528" s="47" t="n"/>
      <c r="I2528" s="47" t="n"/>
      <c r="J2528" s="47" t="n"/>
      <c r="K2528" s="47" t="n"/>
      <c r="L2528" s="47" t="n"/>
      <c r="M2528" s="47" t="n"/>
      <c r="N2528" s="47" t="n"/>
      <c r="O2528" s="47" t="n"/>
      <c r="P2528" s="47" t="n"/>
      <c r="Q2528" s="47" t="n"/>
      <c r="R2528" s="47" t="n"/>
      <c r="S2528" s="47" t="n"/>
      <c r="T2528" s="47" t="n"/>
      <c r="U2528" s="53" t="n"/>
      <c r="V2528" s="53" t="n"/>
      <c r="W2528" s="47" t="n"/>
      <c r="X2528" s="47" t="n"/>
      <c r="Y2528" s="47" t="n"/>
      <c r="Z2528" s="47" t="n"/>
      <c r="AA2528" s="47" t="n"/>
      <c r="AB2528" s="47" t="n"/>
      <c r="AC2528" s="47" t="n"/>
      <c r="AD2528" s="47" t="n"/>
      <c r="AE2528" s="47" t="n"/>
      <c r="AF2528" s="20">
        <f>IF(A2528="","",YEAR(EDATE(A2528,-3)))</f>
        <v/>
      </c>
      <c r="AG2528" s="20">
        <f>IF(OR(B2528="",'経歴簿'!$C$4=""),"",IF(B2528&amp;""='経歴簿'!$C$4&amp;"",MAX($AG$4:AG2527)+1,""))</f>
        <v/>
      </c>
      <c r="AH2528" s="20">
        <f>IF(A2528="",0,IF(AND(OR('CSV抽出'!$C$4="",A2528&gt;='CSV抽出'!$C$4),OR('CSV抽出'!$C$5="",A2528&lt;='CSV抽出'!$C$5),OR('CSV抽出'!$C$6="すべて",'CSV抽出'!$C$6="",D2528='CSV抽出'!$C$6),OR('CSV抽出'!$C$7="",B2528&amp;""='CSV抽出'!$C$7&amp;"")),1,0))</f>
        <v/>
      </c>
      <c r="AI2528" s="20">
        <f>IF(AH2528=1,SUM($AH$5:AH2528),"")</f>
        <v/>
      </c>
      <c r="AJ2528" s="20">
        <f>IF(OR(S2528="",'報告書'!$C$4=""),"",IF(S2528&amp;""='報告書'!$C$4&amp;"",COUNTIF($S$5:S2528,'報告書'!$C$4),""))</f>
        <v/>
      </c>
      <c r="AK2528" s="20" t="n"/>
      <c r="AL2528" s="47" t="n"/>
      <c r="AM2528" s="47" t="n"/>
      <c r="AN2528" s="53" t="n"/>
      <c r="AO2528" s="47" t="n"/>
      <c r="AP2528" s="47" t="n"/>
      <c r="AQ2528" s="47" t="n"/>
      <c r="AR2528" s="47" t="n"/>
      <c r="AS2528" s="47" t="n"/>
      <c r="AT2528" s="47" t="n"/>
      <c r="AU2528" s="47" t="n"/>
      <c r="AV2528" s="47" t="n"/>
      <c r="AW2528" s="52" t="n"/>
    </row>
    <row r="2529">
      <c r="A2529" s="48" t="n"/>
      <c r="B2529" s="52" t="n"/>
      <c r="C2529" s="47">
        <f>IF(B2529="","",IFERROR(INDEX('隊員マスタ'!$B$5:$B$204,MATCH(B2529&amp;"",'隊員マスタ'!$F$5:$F$204,0)),IF(AK2529="","番号なし",AK2529)))</f>
        <v/>
      </c>
      <c r="D2529" s="47" t="n"/>
      <c r="E2529" s="47" t="n"/>
      <c r="F2529" s="47" t="n"/>
      <c r="G2529" s="47" t="n"/>
      <c r="H2529" s="47" t="n"/>
      <c r="I2529" s="47" t="n"/>
      <c r="J2529" s="47" t="n"/>
      <c r="K2529" s="47" t="n"/>
      <c r="L2529" s="47" t="n"/>
      <c r="M2529" s="47" t="n"/>
      <c r="N2529" s="47" t="n"/>
      <c r="O2529" s="47" t="n"/>
      <c r="P2529" s="47" t="n"/>
      <c r="Q2529" s="47" t="n"/>
      <c r="R2529" s="47" t="n"/>
      <c r="S2529" s="47" t="n"/>
      <c r="T2529" s="47" t="n"/>
      <c r="U2529" s="53" t="n"/>
      <c r="V2529" s="53" t="n"/>
      <c r="W2529" s="47" t="n"/>
      <c r="X2529" s="47" t="n"/>
      <c r="Y2529" s="47" t="n"/>
      <c r="Z2529" s="47" t="n"/>
      <c r="AA2529" s="47" t="n"/>
      <c r="AB2529" s="47" t="n"/>
      <c r="AC2529" s="47" t="n"/>
      <c r="AD2529" s="47" t="n"/>
      <c r="AE2529" s="47" t="n"/>
      <c r="AF2529" s="20">
        <f>IF(A2529="","",YEAR(EDATE(A2529,-3)))</f>
        <v/>
      </c>
      <c r="AG2529" s="20">
        <f>IF(OR(B2529="",'経歴簿'!$C$4=""),"",IF(B2529&amp;""='経歴簿'!$C$4&amp;"",MAX($AG$4:AG2528)+1,""))</f>
        <v/>
      </c>
      <c r="AH2529" s="20">
        <f>IF(A2529="",0,IF(AND(OR('CSV抽出'!$C$4="",A2529&gt;='CSV抽出'!$C$4),OR('CSV抽出'!$C$5="",A2529&lt;='CSV抽出'!$C$5),OR('CSV抽出'!$C$6="すべて",'CSV抽出'!$C$6="",D2529='CSV抽出'!$C$6),OR('CSV抽出'!$C$7="",B2529&amp;""='CSV抽出'!$C$7&amp;"")),1,0))</f>
        <v/>
      </c>
      <c r="AI2529" s="20">
        <f>IF(AH2529=1,SUM($AH$5:AH2529),"")</f>
        <v/>
      </c>
      <c r="AJ2529" s="20">
        <f>IF(OR(S2529="",'報告書'!$C$4=""),"",IF(S2529&amp;""='報告書'!$C$4&amp;"",COUNTIF($S$5:S2529,'報告書'!$C$4),""))</f>
        <v/>
      </c>
      <c r="AK2529" s="20" t="n"/>
      <c r="AL2529" s="47" t="n"/>
      <c r="AM2529" s="47" t="n"/>
      <c r="AN2529" s="53" t="n"/>
      <c r="AO2529" s="47" t="n"/>
      <c r="AP2529" s="47" t="n"/>
      <c r="AQ2529" s="47" t="n"/>
      <c r="AR2529" s="47" t="n"/>
      <c r="AS2529" s="47" t="n"/>
      <c r="AT2529" s="47" t="n"/>
      <c r="AU2529" s="47" t="n"/>
      <c r="AV2529" s="47" t="n"/>
      <c r="AW2529" s="52" t="n"/>
    </row>
    <row r="2530">
      <c r="A2530" s="48" t="n"/>
      <c r="B2530" s="52" t="n"/>
      <c r="C2530" s="47">
        <f>IF(B2530="","",IFERROR(INDEX('隊員マスタ'!$B$5:$B$204,MATCH(B2530&amp;"",'隊員マスタ'!$F$5:$F$204,0)),IF(AK2530="","番号なし",AK2530)))</f>
        <v/>
      </c>
      <c r="D2530" s="47" t="n"/>
      <c r="E2530" s="47" t="n"/>
      <c r="F2530" s="47" t="n"/>
      <c r="G2530" s="47" t="n"/>
      <c r="H2530" s="47" t="n"/>
      <c r="I2530" s="47" t="n"/>
      <c r="J2530" s="47" t="n"/>
      <c r="K2530" s="47" t="n"/>
      <c r="L2530" s="47" t="n"/>
      <c r="M2530" s="47" t="n"/>
      <c r="N2530" s="47" t="n"/>
      <c r="O2530" s="47" t="n"/>
      <c r="P2530" s="47" t="n"/>
      <c r="Q2530" s="47" t="n"/>
      <c r="R2530" s="47" t="n"/>
      <c r="S2530" s="47" t="n"/>
      <c r="T2530" s="47" t="n"/>
      <c r="U2530" s="53" t="n"/>
      <c r="V2530" s="53" t="n"/>
      <c r="W2530" s="47" t="n"/>
      <c r="X2530" s="47" t="n"/>
      <c r="Y2530" s="47" t="n"/>
      <c r="Z2530" s="47" t="n"/>
      <c r="AA2530" s="47" t="n"/>
      <c r="AB2530" s="47" t="n"/>
      <c r="AC2530" s="47" t="n"/>
      <c r="AD2530" s="47" t="n"/>
      <c r="AE2530" s="47" t="n"/>
      <c r="AF2530" s="20">
        <f>IF(A2530="","",YEAR(EDATE(A2530,-3)))</f>
        <v/>
      </c>
      <c r="AG2530" s="20">
        <f>IF(OR(B2530="",'経歴簿'!$C$4=""),"",IF(B2530&amp;""='経歴簿'!$C$4&amp;"",MAX($AG$4:AG2529)+1,""))</f>
        <v/>
      </c>
      <c r="AH2530" s="20">
        <f>IF(A2530="",0,IF(AND(OR('CSV抽出'!$C$4="",A2530&gt;='CSV抽出'!$C$4),OR('CSV抽出'!$C$5="",A2530&lt;='CSV抽出'!$C$5),OR('CSV抽出'!$C$6="すべて",'CSV抽出'!$C$6="",D2530='CSV抽出'!$C$6),OR('CSV抽出'!$C$7="",B2530&amp;""='CSV抽出'!$C$7&amp;"")),1,0))</f>
        <v/>
      </c>
      <c r="AI2530" s="20">
        <f>IF(AH2530=1,SUM($AH$5:AH2530),"")</f>
        <v/>
      </c>
      <c r="AJ2530" s="20">
        <f>IF(OR(S2530="",'報告書'!$C$4=""),"",IF(S2530&amp;""='報告書'!$C$4&amp;"",COUNTIF($S$5:S2530,'報告書'!$C$4),""))</f>
        <v/>
      </c>
      <c r="AK2530" s="20" t="n"/>
      <c r="AL2530" s="47" t="n"/>
      <c r="AM2530" s="47" t="n"/>
      <c r="AN2530" s="53" t="n"/>
      <c r="AO2530" s="47" t="n"/>
      <c r="AP2530" s="47" t="n"/>
      <c r="AQ2530" s="47" t="n"/>
      <c r="AR2530" s="47" t="n"/>
      <c r="AS2530" s="47" t="n"/>
      <c r="AT2530" s="47" t="n"/>
      <c r="AU2530" s="47" t="n"/>
      <c r="AV2530" s="47" t="n"/>
      <c r="AW2530" s="52" t="n"/>
    </row>
    <row r="2531">
      <c r="A2531" s="48" t="n"/>
      <c r="B2531" s="52" t="n"/>
      <c r="C2531" s="47">
        <f>IF(B2531="","",IFERROR(INDEX('隊員マスタ'!$B$5:$B$204,MATCH(B2531&amp;"",'隊員マスタ'!$F$5:$F$204,0)),IF(AK2531="","番号なし",AK2531)))</f>
        <v/>
      </c>
      <c r="D2531" s="47" t="n"/>
      <c r="E2531" s="47" t="n"/>
      <c r="F2531" s="47" t="n"/>
      <c r="G2531" s="47" t="n"/>
      <c r="H2531" s="47" t="n"/>
      <c r="I2531" s="47" t="n"/>
      <c r="J2531" s="47" t="n"/>
      <c r="K2531" s="47" t="n"/>
      <c r="L2531" s="47" t="n"/>
      <c r="M2531" s="47" t="n"/>
      <c r="N2531" s="47" t="n"/>
      <c r="O2531" s="47" t="n"/>
      <c r="P2531" s="47" t="n"/>
      <c r="Q2531" s="47" t="n"/>
      <c r="R2531" s="47" t="n"/>
      <c r="S2531" s="47" t="n"/>
      <c r="T2531" s="47" t="n"/>
      <c r="U2531" s="53" t="n"/>
      <c r="V2531" s="53" t="n"/>
      <c r="W2531" s="47" t="n"/>
      <c r="X2531" s="47" t="n"/>
      <c r="Y2531" s="47" t="n"/>
      <c r="Z2531" s="47" t="n"/>
      <c r="AA2531" s="47" t="n"/>
      <c r="AB2531" s="47" t="n"/>
      <c r="AC2531" s="47" t="n"/>
      <c r="AD2531" s="47" t="n"/>
      <c r="AE2531" s="47" t="n"/>
      <c r="AF2531" s="20">
        <f>IF(A2531="","",YEAR(EDATE(A2531,-3)))</f>
        <v/>
      </c>
      <c r="AG2531" s="20">
        <f>IF(OR(B2531="",'経歴簿'!$C$4=""),"",IF(B2531&amp;""='経歴簿'!$C$4&amp;"",MAX($AG$4:AG2530)+1,""))</f>
        <v/>
      </c>
      <c r="AH2531" s="20">
        <f>IF(A2531="",0,IF(AND(OR('CSV抽出'!$C$4="",A2531&gt;='CSV抽出'!$C$4),OR('CSV抽出'!$C$5="",A2531&lt;='CSV抽出'!$C$5),OR('CSV抽出'!$C$6="すべて",'CSV抽出'!$C$6="",D2531='CSV抽出'!$C$6),OR('CSV抽出'!$C$7="",B2531&amp;""='CSV抽出'!$C$7&amp;"")),1,0))</f>
        <v/>
      </c>
      <c r="AI2531" s="20">
        <f>IF(AH2531=1,SUM($AH$5:AH2531),"")</f>
        <v/>
      </c>
      <c r="AJ2531" s="20">
        <f>IF(OR(S2531="",'報告書'!$C$4=""),"",IF(S2531&amp;""='報告書'!$C$4&amp;"",COUNTIF($S$5:S2531,'報告書'!$C$4),""))</f>
        <v/>
      </c>
      <c r="AK2531" s="20" t="n"/>
      <c r="AL2531" s="47" t="n"/>
      <c r="AM2531" s="47" t="n"/>
      <c r="AN2531" s="53" t="n"/>
      <c r="AO2531" s="47" t="n"/>
      <c r="AP2531" s="47" t="n"/>
      <c r="AQ2531" s="47" t="n"/>
      <c r="AR2531" s="47" t="n"/>
      <c r="AS2531" s="47" t="n"/>
      <c r="AT2531" s="47" t="n"/>
      <c r="AU2531" s="47" t="n"/>
      <c r="AV2531" s="47" t="n"/>
      <c r="AW2531" s="52" t="n"/>
    </row>
    <row r="2532">
      <c r="A2532" s="48" t="n"/>
      <c r="B2532" s="52" t="n"/>
      <c r="C2532" s="47">
        <f>IF(B2532="","",IFERROR(INDEX('隊員マスタ'!$B$5:$B$204,MATCH(B2532&amp;"",'隊員マスタ'!$F$5:$F$204,0)),IF(AK2532="","番号なし",AK2532)))</f>
        <v/>
      </c>
      <c r="D2532" s="47" t="n"/>
      <c r="E2532" s="47" t="n"/>
      <c r="F2532" s="47" t="n"/>
      <c r="G2532" s="47" t="n"/>
      <c r="H2532" s="47" t="n"/>
      <c r="I2532" s="47" t="n"/>
      <c r="J2532" s="47" t="n"/>
      <c r="K2532" s="47" t="n"/>
      <c r="L2532" s="47" t="n"/>
      <c r="M2532" s="47" t="n"/>
      <c r="N2532" s="47" t="n"/>
      <c r="O2532" s="47" t="n"/>
      <c r="P2532" s="47" t="n"/>
      <c r="Q2532" s="47" t="n"/>
      <c r="R2532" s="47" t="n"/>
      <c r="S2532" s="47" t="n"/>
      <c r="T2532" s="47" t="n"/>
      <c r="U2532" s="53" t="n"/>
      <c r="V2532" s="53" t="n"/>
      <c r="W2532" s="47" t="n"/>
      <c r="X2532" s="47" t="n"/>
      <c r="Y2532" s="47" t="n"/>
      <c r="Z2532" s="47" t="n"/>
      <c r="AA2532" s="47" t="n"/>
      <c r="AB2532" s="47" t="n"/>
      <c r="AC2532" s="47" t="n"/>
      <c r="AD2532" s="47" t="n"/>
      <c r="AE2532" s="47" t="n"/>
      <c r="AF2532" s="20">
        <f>IF(A2532="","",YEAR(EDATE(A2532,-3)))</f>
        <v/>
      </c>
      <c r="AG2532" s="20">
        <f>IF(OR(B2532="",'経歴簿'!$C$4=""),"",IF(B2532&amp;""='経歴簿'!$C$4&amp;"",MAX($AG$4:AG2531)+1,""))</f>
        <v/>
      </c>
      <c r="AH2532" s="20">
        <f>IF(A2532="",0,IF(AND(OR('CSV抽出'!$C$4="",A2532&gt;='CSV抽出'!$C$4),OR('CSV抽出'!$C$5="",A2532&lt;='CSV抽出'!$C$5),OR('CSV抽出'!$C$6="すべて",'CSV抽出'!$C$6="",D2532='CSV抽出'!$C$6),OR('CSV抽出'!$C$7="",B2532&amp;""='CSV抽出'!$C$7&amp;"")),1,0))</f>
        <v/>
      </c>
      <c r="AI2532" s="20">
        <f>IF(AH2532=1,SUM($AH$5:AH2532),"")</f>
        <v/>
      </c>
      <c r="AJ2532" s="20">
        <f>IF(OR(S2532="",'報告書'!$C$4=""),"",IF(S2532&amp;""='報告書'!$C$4&amp;"",COUNTIF($S$5:S2532,'報告書'!$C$4),""))</f>
        <v/>
      </c>
      <c r="AK2532" s="20" t="n"/>
      <c r="AL2532" s="47" t="n"/>
      <c r="AM2532" s="47" t="n"/>
      <c r="AN2532" s="53" t="n"/>
      <c r="AO2532" s="47" t="n"/>
      <c r="AP2532" s="47" t="n"/>
      <c r="AQ2532" s="47" t="n"/>
      <c r="AR2532" s="47" t="n"/>
      <c r="AS2532" s="47" t="n"/>
      <c r="AT2532" s="47" t="n"/>
      <c r="AU2532" s="47" t="n"/>
      <c r="AV2532" s="47" t="n"/>
      <c r="AW2532" s="52" t="n"/>
    </row>
    <row r="2533">
      <c r="A2533" s="48" t="n"/>
      <c r="B2533" s="52" t="n"/>
      <c r="C2533" s="47">
        <f>IF(B2533="","",IFERROR(INDEX('隊員マスタ'!$B$5:$B$204,MATCH(B2533&amp;"",'隊員マスタ'!$F$5:$F$204,0)),IF(AK2533="","番号なし",AK2533)))</f>
        <v/>
      </c>
      <c r="D2533" s="47" t="n"/>
      <c r="E2533" s="47" t="n"/>
      <c r="F2533" s="47" t="n"/>
      <c r="G2533" s="47" t="n"/>
      <c r="H2533" s="47" t="n"/>
      <c r="I2533" s="47" t="n"/>
      <c r="J2533" s="47" t="n"/>
      <c r="K2533" s="47" t="n"/>
      <c r="L2533" s="47" t="n"/>
      <c r="M2533" s="47" t="n"/>
      <c r="N2533" s="47" t="n"/>
      <c r="O2533" s="47" t="n"/>
      <c r="P2533" s="47" t="n"/>
      <c r="Q2533" s="47" t="n"/>
      <c r="R2533" s="47" t="n"/>
      <c r="S2533" s="47" t="n"/>
      <c r="T2533" s="47" t="n"/>
      <c r="U2533" s="53" t="n"/>
      <c r="V2533" s="53" t="n"/>
      <c r="W2533" s="47" t="n"/>
      <c r="X2533" s="47" t="n"/>
      <c r="Y2533" s="47" t="n"/>
      <c r="Z2533" s="47" t="n"/>
      <c r="AA2533" s="47" t="n"/>
      <c r="AB2533" s="47" t="n"/>
      <c r="AC2533" s="47" t="n"/>
      <c r="AD2533" s="47" t="n"/>
      <c r="AE2533" s="47" t="n"/>
      <c r="AF2533" s="20">
        <f>IF(A2533="","",YEAR(EDATE(A2533,-3)))</f>
        <v/>
      </c>
      <c r="AG2533" s="20">
        <f>IF(OR(B2533="",'経歴簿'!$C$4=""),"",IF(B2533&amp;""='経歴簿'!$C$4&amp;"",MAX($AG$4:AG2532)+1,""))</f>
        <v/>
      </c>
      <c r="AH2533" s="20">
        <f>IF(A2533="",0,IF(AND(OR('CSV抽出'!$C$4="",A2533&gt;='CSV抽出'!$C$4),OR('CSV抽出'!$C$5="",A2533&lt;='CSV抽出'!$C$5),OR('CSV抽出'!$C$6="すべて",'CSV抽出'!$C$6="",D2533='CSV抽出'!$C$6),OR('CSV抽出'!$C$7="",B2533&amp;""='CSV抽出'!$C$7&amp;"")),1,0))</f>
        <v/>
      </c>
      <c r="AI2533" s="20">
        <f>IF(AH2533=1,SUM($AH$5:AH2533),"")</f>
        <v/>
      </c>
      <c r="AJ2533" s="20">
        <f>IF(OR(S2533="",'報告書'!$C$4=""),"",IF(S2533&amp;""='報告書'!$C$4&amp;"",COUNTIF($S$5:S2533,'報告書'!$C$4),""))</f>
        <v/>
      </c>
      <c r="AK2533" s="20" t="n"/>
      <c r="AL2533" s="47" t="n"/>
      <c r="AM2533" s="47" t="n"/>
      <c r="AN2533" s="53" t="n"/>
      <c r="AO2533" s="47" t="n"/>
      <c r="AP2533" s="47" t="n"/>
      <c r="AQ2533" s="47" t="n"/>
      <c r="AR2533" s="47" t="n"/>
      <c r="AS2533" s="47" t="n"/>
      <c r="AT2533" s="47" t="n"/>
      <c r="AU2533" s="47" t="n"/>
      <c r="AV2533" s="47" t="n"/>
      <c r="AW2533" s="52" t="n"/>
    </row>
    <row r="2534">
      <c r="A2534" s="48" t="n"/>
      <c r="B2534" s="52" t="n"/>
      <c r="C2534" s="47">
        <f>IF(B2534="","",IFERROR(INDEX('隊員マスタ'!$B$5:$B$204,MATCH(B2534&amp;"",'隊員マスタ'!$F$5:$F$204,0)),IF(AK2534="","番号なし",AK2534)))</f>
        <v/>
      </c>
      <c r="D2534" s="47" t="n"/>
      <c r="E2534" s="47" t="n"/>
      <c r="F2534" s="47" t="n"/>
      <c r="G2534" s="47" t="n"/>
      <c r="H2534" s="47" t="n"/>
      <c r="I2534" s="47" t="n"/>
      <c r="J2534" s="47" t="n"/>
      <c r="K2534" s="47" t="n"/>
      <c r="L2534" s="47" t="n"/>
      <c r="M2534" s="47" t="n"/>
      <c r="N2534" s="47" t="n"/>
      <c r="O2534" s="47" t="n"/>
      <c r="P2534" s="47" t="n"/>
      <c r="Q2534" s="47" t="n"/>
      <c r="R2534" s="47" t="n"/>
      <c r="S2534" s="47" t="n"/>
      <c r="T2534" s="47" t="n"/>
      <c r="U2534" s="53" t="n"/>
      <c r="V2534" s="53" t="n"/>
      <c r="W2534" s="47" t="n"/>
      <c r="X2534" s="47" t="n"/>
      <c r="Y2534" s="47" t="n"/>
      <c r="Z2534" s="47" t="n"/>
      <c r="AA2534" s="47" t="n"/>
      <c r="AB2534" s="47" t="n"/>
      <c r="AC2534" s="47" t="n"/>
      <c r="AD2534" s="47" t="n"/>
      <c r="AE2534" s="47" t="n"/>
      <c r="AF2534" s="20">
        <f>IF(A2534="","",YEAR(EDATE(A2534,-3)))</f>
        <v/>
      </c>
      <c r="AG2534" s="20">
        <f>IF(OR(B2534="",'経歴簿'!$C$4=""),"",IF(B2534&amp;""='経歴簿'!$C$4&amp;"",MAX($AG$4:AG2533)+1,""))</f>
        <v/>
      </c>
      <c r="AH2534" s="20">
        <f>IF(A2534="",0,IF(AND(OR('CSV抽出'!$C$4="",A2534&gt;='CSV抽出'!$C$4),OR('CSV抽出'!$C$5="",A2534&lt;='CSV抽出'!$C$5),OR('CSV抽出'!$C$6="すべて",'CSV抽出'!$C$6="",D2534='CSV抽出'!$C$6),OR('CSV抽出'!$C$7="",B2534&amp;""='CSV抽出'!$C$7&amp;"")),1,0))</f>
        <v/>
      </c>
      <c r="AI2534" s="20">
        <f>IF(AH2534=1,SUM($AH$5:AH2534),"")</f>
        <v/>
      </c>
      <c r="AJ2534" s="20">
        <f>IF(OR(S2534="",'報告書'!$C$4=""),"",IF(S2534&amp;""='報告書'!$C$4&amp;"",COUNTIF($S$5:S2534,'報告書'!$C$4),""))</f>
        <v/>
      </c>
      <c r="AK2534" s="20" t="n"/>
      <c r="AL2534" s="47" t="n"/>
      <c r="AM2534" s="47" t="n"/>
      <c r="AN2534" s="53" t="n"/>
      <c r="AO2534" s="47" t="n"/>
      <c r="AP2534" s="47" t="n"/>
      <c r="AQ2534" s="47" t="n"/>
      <c r="AR2534" s="47" t="n"/>
      <c r="AS2534" s="47" t="n"/>
      <c r="AT2534" s="47" t="n"/>
      <c r="AU2534" s="47" t="n"/>
      <c r="AV2534" s="47" t="n"/>
      <c r="AW2534" s="52" t="n"/>
    </row>
    <row r="2535">
      <c r="A2535" s="48" t="n"/>
      <c r="B2535" s="52" t="n"/>
      <c r="C2535" s="47">
        <f>IF(B2535="","",IFERROR(INDEX('隊員マスタ'!$B$5:$B$204,MATCH(B2535&amp;"",'隊員マスタ'!$F$5:$F$204,0)),IF(AK2535="","番号なし",AK2535)))</f>
        <v/>
      </c>
      <c r="D2535" s="47" t="n"/>
      <c r="E2535" s="47" t="n"/>
      <c r="F2535" s="47" t="n"/>
      <c r="G2535" s="47" t="n"/>
      <c r="H2535" s="47" t="n"/>
      <c r="I2535" s="47" t="n"/>
      <c r="J2535" s="47" t="n"/>
      <c r="K2535" s="47" t="n"/>
      <c r="L2535" s="47" t="n"/>
      <c r="M2535" s="47" t="n"/>
      <c r="N2535" s="47" t="n"/>
      <c r="O2535" s="47" t="n"/>
      <c r="P2535" s="47" t="n"/>
      <c r="Q2535" s="47" t="n"/>
      <c r="R2535" s="47" t="n"/>
      <c r="S2535" s="47" t="n"/>
      <c r="T2535" s="47" t="n"/>
      <c r="U2535" s="53" t="n"/>
      <c r="V2535" s="53" t="n"/>
      <c r="W2535" s="47" t="n"/>
      <c r="X2535" s="47" t="n"/>
      <c r="Y2535" s="47" t="n"/>
      <c r="Z2535" s="47" t="n"/>
      <c r="AA2535" s="47" t="n"/>
      <c r="AB2535" s="47" t="n"/>
      <c r="AC2535" s="47" t="n"/>
      <c r="AD2535" s="47" t="n"/>
      <c r="AE2535" s="47" t="n"/>
      <c r="AF2535" s="20">
        <f>IF(A2535="","",YEAR(EDATE(A2535,-3)))</f>
        <v/>
      </c>
      <c r="AG2535" s="20">
        <f>IF(OR(B2535="",'経歴簿'!$C$4=""),"",IF(B2535&amp;""='経歴簿'!$C$4&amp;"",MAX($AG$4:AG2534)+1,""))</f>
        <v/>
      </c>
      <c r="AH2535" s="20">
        <f>IF(A2535="",0,IF(AND(OR('CSV抽出'!$C$4="",A2535&gt;='CSV抽出'!$C$4),OR('CSV抽出'!$C$5="",A2535&lt;='CSV抽出'!$C$5),OR('CSV抽出'!$C$6="すべて",'CSV抽出'!$C$6="",D2535='CSV抽出'!$C$6),OR('CSV抽出'!$C$7="",B2535&amp;""='CSV抽出'!$C$7&amp;"")),1,0))</f>
        <v/>
      </c>
      <c r="AI2535" s="20">
        <f>IF(AH2535=1,SUM($AH$5:AH2535),"")</f>
        <v/>
      </c>
      <c r="AJ2535" s="20">
        <f>IF(OR(S2535="",'報告書'!$C$4=""),"",IF(S2535&amp;""='報告書'!$C$4&amp;"",COUNTIF($S$5:S2535,'報告書'!$C$4),""))</f>
        <v/>
      </c>
      <c r="AK2535" s="20" t="n"/>
      <c r="AL2535" s="47" t="n"/>
      <c r="AM2535" s="47" t="n"/>
      <c r="AN2535" s="53" t="n"/>
      <c r="AO2535" s="47" t="n"/>
      <c r="AP2535" s="47" t="n"/>
      <c r="AQ2535" s="47" t="n"/>
      <c r="AR2535" s="47" t="n"/>
      <c r="AS2535" s="47" t="n"/>
      <c r="AT2535" s="47" t="n"/>
      <c r="AU2535" s="47" t="n"/>
      <c r="AV2535" s="47" t="n"/>
      <c r="AW2535" s="52" t="n"/>
    </row>
    <row r="2536">
      <c r="A2536" s="48" t="n"/>
      <c r="B2536" s="52" t="n"/>
      <c r="C2536" s="47">
        <f>IF(B2536="","",IFERROR(INDEX('隊員マスタ'!$B$5:$B$204,MATCH(B2536&amp;"",'隊員マスタ'!$F$5:$F$204,0)),IF(AK2536="","番号なし",AK2536)))</f>
        <v/>
      </c>
      <c r="D2536" s="47" t="n"/>
      <c r="E2536" s="47" t="n"/>
      <c r="F2536" s="47" t="n"/>
      <c r="G2536" s="47" t="n"/>
      <c r="H2536" s="47" t="n"/>
      <c r="I2536" s="47" t="n"/>
      <c r="J2536" s="47" t="n"/>
      <c r="K2536" s="47" t="n"/>
      <c r="L2536" s="47" t="n"/>
      <c r="M2536" s="47" t="n"/>
      <c r="N2536" s="47" t="n"/>
      <c r="O2536" s="47" t="n"/>
      <c r="P2536" s="47" t="n"/>
      <c r="Q2536" s="47" t="n"/>
      <c r="R2536" s="47" t="n"/>
      <c r="S2536" s="47" t="n"/>
      <c r="T2536" s="47" t="n"/>
      <c r="U2536" s="53" t="n"/>
      <c r="V2536" s="53" t="n"/>
      <c r="W2536" s="47" t="n"/>
      <c r="X2536" s="47" t="n"/>
      <c r="Y2536" s="47" t="n"/>
      <c r="Z2536" s="47" t="n"/>
      <c r="AA2536" s="47" t="n"/>
      <c r="AB2536" s="47" t="n"/>
      <c r="AC2536" s="47" t="n"/>
      <c r="AD2536" s="47" t="n"/>
      <c r="AE2536" s="47" t="n"/>
      <c r="AF2536" s="20">
        <f>IF(A2536="","",YEAR(EDATE(A2536,-3)))</f>
        <v/>
      </c>
      <c r="AG2536" s="20">
        <f>IF(OR(B2536="",'経歴簿'!$C$4=""),"",IF(B2536&amp;""='経歴簿'!$C$4&amp;"",MAX($AG$4:AG2535)+1,""))</f>
        <v/>
      </c>
      <c r="AH2536" s="20">
        <f>IF(A2536="",0,IF(AND(OR('CSV抽出'!$C$4="",A2536&gt;='CSV抽出'!$C$4),OR('CSV抽出'!$C$5="",A2536&lt;='CSV抽出'!$C$5),OR('CSV抽出'!$C$6="すべて",'CSV抽出'!$C$6="",D2536='CSV抽出'!$C$6),OR('CSV抽出'!$C$7="",B2536&amp;""='CSV抽出'!$C$7&amp;"")),1,0))</f>
        <v/>
      </c>
      <c r="AI2536" s="20">
        <f>IF(AH2536=1,SUM($AH$5:AH2536),"")</f>
        <v/>
      </c>
      <c r="AJ2536" s="20">
        <f>IF(OR(S2536="",'報告書'!$C$4=""),"",IF(S2536&amp;""='報告書'!$C$4&amp;"",COUNTIF($S$5:S2536,'報告書'!$C$4),""))</f>
        <v/>
      </c>
      <c r="AK2536" s="20" t="n"/>
      <c r="AL2536" s="47" t="n"/>
      <c r="AM2536" s="47" t="n"/>
      <c r="AN2536" s="53" t="n"/>
      <c r="AO2536" s="47" t="n"/>
      <c r="AP2536" s="47" t="n"/>
      <c r="AQ2536" s="47" t="n"/>
      <c r="AR2536" s="47" t="n"/>
      <c r="AS2536" s="47" t="n"/>
      <c r="AT2536" s="47" t="n"/>
      <c r="AU2536" s="47" t="n"/>
      <c r="AV2536" s="47" t="n"/>
      <c r="AW2536" s="52" t="n"/>
    </row>
    <row r="2537">
      <c r="A2537" s="48" t="n"/>
      <c r="B2537" s="52" t="n"/>
      <c r="C2537" s="47">
        <f>IF(B2537="","",IFERROR(INDEX('隊員マスタ'!$B$5:$B$204,MATCH(B2537&amp;"",'隊員マスタ'!$F$5:$F$204,0)),IF(AK2537="","番号なし",AK2537)))</f>
        <v/>
      </c>
      <c r="D2537" s="47" t="n"/>
      <c r="E2537" s="47" t="n"/>
      <c r="F2537" s="47" t="n"/>
      <c r="G2537" s="47" t="n"/>
      <c r="H2537" s="47" t="n"/>
      <c r="I2537" s="47" t="n"/>
      <c r="J2537" s="47" t="n"/>
      <c r="K2537" s="47" t="n"/>
      <c r="L2537" s="47" t="n"/>
      <c r="M2537" s="47" t="n"/>
      <c r="N2537" s="47" t="n"/>
      <c r="O2537" s="47" t="n"/>
      <c r="P2537" s="47" t="n"/>
      <c r="Q2537" s="47" t="n"/>
      <c r="R2537" s="47" t="n"/>
      <c r="S2537" s="47" t="n"/>
      <c r="T2537" s="47" t="n"/>
      <c r="U2537" s="53" t="n"/>
      <c r="V2537" s="53" t="n"/>
      <c r="W2537" s="47" t="n"/>
      <c r="X2537" s="47" t="n"/>
      <c r="Y2537" s="47" t="n"/>
      <c r="Z2537" s="47" t="n"/>
      <c r="AA2537" s="47" t="n"/>
      <c r="AB2537" s="47" t="n"/>
      <c r="AC2537" s="47" t="n"/>
      <c r="AD2537" s="47" t="n"/>
      <c r="AE2537" s="47" t="n"/>
      <c r="AF2537" s="20">
        <f>IF(A2537="","",YEAR(EDATE(A2537,-3)))</f>
        <v/>
      </c>
      <c r="AG2537" s="20">
        <f>IF(OR(B2537="",'経歴簿'!$C$4=""),"",IF(B2537&amp;""='経歴簿'!$C$4&amp;"",MAX($AG$4:AG2536)+1,""))</f>
        <v/>
      </c>
      <c r="AH2537" s="20">
        <f>IF(A2537="",0,IF(AND(OR('CSV抽出'!$C$4="",A2537&gt;='CSV抽出'!$C$4),OR('CSV抽出'!$C$5="",A2537&lt;='CSV抽出'!$C$5),OR('CSV抽出'!$C$6="すべて",'CSV抽出'!$C$6="",D2537='CSV抽出'!$C$6),OR('CSV抽出'!$C$7="",B2537&amp;""='CSV抽出'!$C$7&amp;"")),1,0))</f>
        <v/>
      </c>
      <c r="AI2537" s="20">
        <f>IF(AH2537=1,SUM($AH$5:AH2537),"")</f>
        <v/>
      </c>
      <c r="AJ2537" s="20">
        <f>IF(OR(S2537="",'報告書'!$C$4=""),"",IF(S2537&amp;""='報告書'!$C$4&amp;"",COUNTIF($S$5:S2537,'報告書'!$C$4),""))</f>
        <v/>
      </c>
      <c r="AK2537" s="20" t="n"/>
      <c r="AL2537" s="47" t="n"/>
      <c r="AM2537" s="47" t="n"/>
      <c r="AN2537" s="53" t="n"/>
      <c r="AO2537" s="47" t="n"/>
      <c r="AP2537" s="47" t="n"/>
      <c r="AQ2537" s="47" t="n"/>
      <c r="AR2537" s="47" t="n"/>
      <c r="AS2537" s="47" t="n"/>
      <c r="AT2537" s="47" t="n"/>
      <c r="AU2537" s="47" t="n"/>
      <c r="AV2537" s="47" t="n"/>
      <c r="AW2537" s="52" t="n"/>
    </row>
    <row r="2538">
      <c r="A2538" s="48" t="n"/>
      <c r="B2538" s="52" t="n"/>
      <c r="C2538" s="47">
        <f>IF(B2538="","",IFERROR(INDEX('隊員マスタ'!$B$5:$B$204,MATCH(B2538&amp;"",'隊員マスタ'!$F$5:$F$204,0)),IF(AK2538="","番号なし",AK2538)))</f>
        <v/>
      </c>
      <c r="D2538" s="47" t="n"/>
      <c r="E2538" s="47" t="n"/>
      <c r="F2538" s="47" t="n"/>
      <c r="G2538" s="47" t="n"/>
      <c r="H2538" s="47" t="n"/>
      <c r="I2538" s="47" t="n"/>
      <c r="J2538" s="47" t="n"/>
      <c r="K2538" s="47" t="n"/>
      <c r="L2538" s="47" t="n"/>
      <c r="M2538" s="47" t="n"/>
      <c r="N2538" s="47" t="n"/>
      <c r="O2538" s="47" t="n"/>
      <c r="P2538" s="47" t="n"/>
      <c r="Q2538" s="47" t="n"/>
      <c r="R2538" s="47" t="n"/>
      <c r="S2538" s="47" t="n"/>
      <c r="T2538" s="47" t="n"/>
      <c r="U2538" s="53" t="n"/>
      <c r="V2538" s="53" t="n"/>
      <c r="W2538" s="47" t="n"/>
      <c r="X2538" s="47" t="n"/>
      <c r="Y2538" s="47" t="n"/>
      <c r="Z2538" s="47" t="n"/>
      <c r="AA2538" s="47" t="n"/>
      <c r="AB2538" s="47" t="n"/>
      <c r="AC2538" s="47" t="n"/>
      <c r="AD2538" s="47" t="n"/>
      <c r="AE2538" s="47" t="n"/>
      <c r="AF2538" s="20">
        <f>IF(A2538="","",YEAR(EDATE(A2538,-3)))</f>
        <v/>
      </c>
      <c r="AG2538" s="20">
        <f>IF(OR(B2538="",'経歴簿'!$C$4=""),"",IF(B2538&amp;""='経歴簿'!$C$4&amp;"",MAX($AG$4:AG2537)+1,""))</f>
        <v/>
      </c>
      <c r="AH2538" s="20">
        <f>IF(A2538="",0,IF(AND(OR('CSV抽出'!$C$4="",A2538&gt;='CSV抽出'!$C$4),OR('CSV抽出'!$C$5="",A2538&lt;='CSV抽出'!$C$5),OR('CSV抽出'!$C$6="すべて",'CSV抽出'!$C$6="",D2538='CSV抽出'!$C$6),OR('CSV抽出'!$C$7="",B2538&amp;""='CSV抽出'!$C$7&amp;"")),1,0))</f>
        <v/>
      </c>
      <c r="AI2538" s="20">
        <f>IF(AH2538=1,SUM($AH$5:AH2538),"")</f>
        <v/>
      </c>
      <c r="AJ2538" s="20">
        <f>IF(OR(S2538="",'報告書'!$C$4=""),"",IF(S2538&amp;""='報告書'!$C$4&amp;"",COUNTIF($S$5:S2538,'報告書'!$C$4),""))</f>
        <v/>
      </c>
      <c r="AK2538" s="20" t="n"/>
      <c r="AL2538" s="47" t="n"/>
      <c r="AM2538" s="47" t="n"/>
      <c r="AN2538" s="53" t="n"/>
      <c r="AO2538" s="47" t="n"/>
      <c r="AP2538" s="47" t="n"/>
      <c r="AQ2538" s="47" t="n"/>
      <c r="AR2538" s="47" t="n"/>
      <c r="AS2538" s="47" t="n"/>
      <c r="AT2538" s="47" t="n"/>
      <c r="AU2538" s="47" t="n"/>
      <c r="AV2538" s="47" t="n"/>
      <c r="AW2538" s="52" t="n"/>
    </row>
    <row r="2539">
      <c r="A2539" s="48" t="n"/>
      <c r="B2539" s="52" t="n"/>
      <c r="C2539" s="47">
        <f>IF(B2539="","",IFERROR(INDEX('隊員マスタ'!$B$5:$B$204,MATCH(B2539&amp;"",'隊員マスタ'!$F$5:$F$204,0)),IF(AK2539="","番号なし",AK2539)))</f>
        <v/>
      </c>
      <c r="D2539" s="47" t="n"/>
      <c r="E2539" s="47" t="n"/>
      <c r="F2539" s="47" t="n"/>
      <c r="G2539" s="47" t="n"/>
      <c r="H2539" s="47" t="n"/>
      <c r="I2539" s="47" t="n"/>
      <c r="J2539" s="47" t="n"/>
      <c r="K2539" s="47" t="n"/>
      <c r="L2539" s="47" t="n"/>
      <c r="M2539" s="47" t="n"/>
      <c r="N2539" s="47" t="n"/>
      <c r="O2539" s="47" t="n"/>
      <c r="P2539" s="47" t="n"/>
      <c r="Q2539" s="47" t="n"/>
      <c r="R2539" s="47" t="n"/>
      <c r="S2539" s="47" t="n"/>
      <c r="T2539" s="47" t="n"/>
      <c r="U2539" s="53" t="n"/>
      <c r="V2539" s="53" t="n"/>
      <c r="W2539" s="47" t="n"/>
      <c r="X2539" s="47" t="n"/>
      <c r="Y2539" s="47" t="n"/>
      <c r="Z2539" s="47" t="n"/>
      <c r="AA2539" s="47" t="n"/>
      <c r="AB2539" s="47" t="n"/>
      <c r="AC2539" s="47" t="n"/>
      <c r="AD2539" s="47" t="n"/>
      <c r="AE2539" s="47" t="n"/>
      <c r="AF2539" s="20">
        <f>IF(A2539="","",YEAR(EDATE(A2539,-3)))</f>
        <v/>
      </c>
      <c r="AG2539" s="20">
        <f>IF(OR(B2539="",'経歴簿'!$C$4=""),"",IF(B2539&amp;""='経歴簿'!$C$4&amp;"",MAX($AG$4:AG2538)+1,""))</f>
        <v/>
      </c>
      <c r="AH2539" s="20">
        <f>IF(A2539="",0,IF(AND(OR('CSV抽出'!$C$4="",A2539&gt;='CSV抽出'!$C$4),OR('CSV抽出'!$C$5="",A2539&lt;='CSV抽出'!$C$5),OR('CSV抽出'!$C$6="すべて",'CSV抽出'!$C$6="",D2539='CSV抽出'!$C$6),OR('CSV抽出'!$C$7="",B2539&amp;""='CSV抽出'!$C$7&amp;"")),1,0))</f>
        <v/>
      </c>
      <c r="AI2539" s="20">
        <f>IF(AH2539=1,SUM($AH$5:AH2539),"")</f>
        <v/>
      </c>
      <c r="AJ2539" s="20">
        <f>IF(OR(S2539="",'報告書'!$C$4=""),"",IF(S2539&amp;""='報告書'!$C$4&amp;"",COUNTIF($S$5:S2539,'報告書'!$C$4),""))</f>
        <v/>
      </c>
      <c r="AK2539" s="20" t="n"/>
      <c r="AL2539" s="47" t="n"/>
      <c r="AM2539" s="47" t="n"/>
      <c r="AN2539" s="53" t="n"/>
      <c r="AO2539" s="47" t="n"/>
      <c r="AP2539" s="47" t="n"/>
      <c r="AQ2539" s="47" t="n"/>
      <c r="AR2539" s="47" t="n"/>
      <c r="AS2539" s="47" t="n"/>
      <c r="AT2539" s="47" t="n"/>
      <c r="AU2539" s="47" t="n"/>
      <c r="AV2539" s="47" t="n"/>
      <c r="AW2539" s="52" t="n"/>
    </row>
    <row r="2540">
      <c r="A2540" s="48" t="n"/>
      <c r="B2540" s="52" t="n"/>
      <c r="C2540" s="47">
        <f>IF(B2540="","",IFERROR(INDEX('隊員マスタ'!$B$5:$B$204,MATCH(B2540&amp;"",'隊員マスタ'!$F$5:$F$204,0)),IF(AK2540="","番号なし",AK2540)))</f>
        <v/>
      </c>
      <c r="D2540" s="47" t="n"/>
      <c r="E2540" s="47" t="n"/>
      <c r="F2540" s="47" t="n"/>
      <c r="G2540" s="47" t="n"/>
      <c r="H2540" s="47" t="n"/>
      <c r="I2540" s="47" t="n"/>
      <c r="J2540" s="47" t="n"/>
      <c r="K2540" s="47" t="n"/>
      <c r="L2540" s="47" t="n"/>
      <c r="M2540" s="47" t="n"/>
      <c r="N2540" s="47" t="n"/>
      <c r="O2540" s="47" t="n"/>
      <c r="P2540" s="47" t="n"/>
      <c r="Q2540" s="47" t="n"/>
      <c r="R2540" s="47" t="n"/>
      <c r="S2540" s="47" t="n"/>
      <c r="T2540" s="47" t="n"/>
      <c r="U2540" s="53" t="n"/>
      <c r="V2540" s="53" t="n"/>
      <c r="W2540" s="47" t="n"/>
      <c r="X2540" s="47" t="n"/>
      <c r="Y2540" s="47" t="n"/>
      <c r="Z2540" s="47" t="n"/>
      <c r="AA2540" s="47" t="n"/>
      <c r="AB2540" s="47" t="n"/>
      <c r="AC2540" s="47" t="n"/>
      <c r="AD2540" s="47" t="n"/>
      <c r="AE2540" s="47" t="n"/>
      <c r="AF2540" s="20">
        <f>IF(A2540="","",YEAR(EDATE(A2540,-3)))</f>
        <v/>
      </c>
      <c r="AG2540" s="20">
        <f>IF(OR(B2540="",'経歴簿'!$C$4=""),"",IF(B2540&amp;""='経歴簿'!$C$4&amp;"",MAX($AG$4:AG2539)+1,""))</f>
        <v/>
      </c>
      <c r="AH2540" s="20">
        <f>IF(A2540="",0,IF(AND(OR('CSV抽出'!$C$4="",A2540&gt;='CSV抽出'!$C$4),OR('CSV抽出'!$C$5="",A2540&lt;='CSV抽出'!$C$5),OR('CSV抽出'!$C$6="すべて",'CSV抽出'!$C$6="",D2540='CSV抽出'!$C$6),OR('CSV抽出'!$C$7="",B2540&amp;""='CSV抽出'!$C$7&amp;"")),1,0))</f>
        <v/>
      </c>
      <c r="AI2540" s="20">
        <f>IF(AH2540=1,SUM($AH$5:AH2540),"")</f>
        <v/>
      </c>
      <c r="AJ2540" s="20">
        <f>IF(OR(S2540="",'報告書'!$C$4=""),"",IF(S2540&amp;""='報告書'!$C$4&amp;"",COUNTIF($S$5:S2540,'報告書'!$C$4),""))</f>
        <v/>
      </c>
      <c r="AK2540" s="20" t="n"/>
      <c r="AL2540" s="47" t="n"/>
      <c r="AM2540" s="47" t="n"/>
      <c r="AN2540" s="53" t="n"/>
      <c r="AO2540" s="47" t="n"/>
      <c r="AP2540" s="47" t="n"/>
      <c r="AQ2540" s="47" t="n"/>
      <c r="AR2540" s="47" t="n"/>
      <c r="AS2540" s="47" t="n"/>
      <c r="AT2540" s="47" t="n"/>
      <c r="AU2540" s="47" t="n"/>
      <c r="AV2540" s="47" t="n"/>
      <c r="AW2540" s="52" t="n"/>
    </row>
    <row r="2541">
      <c r="A2541" s="48" t="n"/>
      <c r="B2541" s="52" t="n"/>
      <c r="C2541" s="47">
        <f>IF(B2541="","",IFERROR(INDEX('隊員マスタ'!$B$5:$B$204,MATCH(B2541&amp;"",'隊員マスタ'!$F$5:$F$204,0)),IF(AK2541="","番号なし",AK2541)))</f>
        <v/>
      </c>
      <c r="D2541" s="47" t="n"/>
      <c r="E2541" s="47" t="n"/>
      <c r="F2541" s="47" t="n"/>
      <c r="G2541" s="47" t="n"/>
      <c r="H2541" s="47" t="n"/>
      <c r="I2541" s="47" t="n"/>
      <c r="J2541" s="47" t="n"/>
      <c r="K2541" s="47" t="n"/>
      <c r="L2541" s="47" t="n"/>
      <c r="M2541" s="47" t="n"/>
      <c r="N2541" s="47" t="n"/>
      <c r="O2541" s="47" t="n"/>
      <c r="P2541" s="47" t="n"/>
      <c r="Q2541" s="47" t="n"/>
      <c r="R2541" s="47" t="n"/>
      <c r="S2541" s="47" t="n"/>
      <c r="T2541" s="47" t="n"/>
      <c r="U2541" s="53" t="n"/>
      <c r="V2541" s="53" t="n"/>
      <c r="W2541" s="47" t="n"/>
      <c r="X2541" s="47" t="n"/>
      <c r="Y2541" s="47" t="n"/>
      <c r="Z2541" s="47" t="n"/>
      <c r="AA2541" s="47" t="n"/>
      <c r="AB2541" s="47" t="n"/>
      <c r="AC2541" s="47" t="n"/>
      <c r="AD2541" s="47" t="n"/>
      <c r="AE2541" s="47" t="n"/>
      <c r="AF2541" s="20">
        <f>IF(A2541="","",YEAR(EDATE(A2541,-3)))</f>
        <v/>
      </c>
      <c r="AG2541" s="20">
        <f>IF(OR(B2541="",'経歴簿'!$C$4=""),"",IF(B2541&amp;""='経歴簿'!$C$4&amp;"",MAX($AG$4:AG2540)+1,""))</f>
        <v/>
      </c>
      <c r="AH2541" s="20">
        <f>IF(A2541="",0,IF(AND(OR('CSV抽出'!$C$4="",A2541&gt;='CSV抽出'!$C$4),OR('CSV抽出'!$C$5="",A2541&lt;='CSV抽出'!$C$5),OR('CSV抽出'!$C$6="すべて",'CSV抽出'!$C$6="",D2541='CSV抽出'!$C$6),OR('CSV抽出'!$C$7="",B2541&amp;""='CSV抽出'!$C$7&amp;"")),1,0))</f>
        <v/>
      </c>
      <c r="AI2541" s="20">
        <f>IF(AH2541=1,SUM($AH$5:AH2541),"")</f>
        <v/>
      </c>
      <c r="AJ2541" s="20">
        <f>IF(OR(S2541="",'報告書'!$C$4=""),"",IF(S2541&amp;""='報告書'!$C$4&amp;"",COUNTIF($S$5:S2541,'報告書'!$C$4),""))</f>
        <v/>
      </c>
      <c r="AK2541" s="20" t="n"/>
      <c r="AL2541" s="47" t="n"/>
      <c r="AM2541" s="47" t="n"/>
      <c r="AN2541" s="53" t="n"/>
      <c r="AO2541" s="47" t="n"/>
      <c r="AP2541" s="47" t="n"/>
      <c r="AQ2541" s="47" t="n"/>
      <c r="AR2541" s="47" t="n"/>
      <c r="AS2541" s="47" t="n"/>
      <c r="AT2541" s="47" t="n"/>
      <c r="AU2541" s="47" t="n"/>
      <c r="AV2541" s="47" t="n"/>
      <c r="AW2541" s="52" t="n"/>
    </row>
    <row r="2542">
      <c r="A2542" s="48" t="n"/>
      <c r="B2542" s="52" t="n"/>
      <c r="C2542" s="47">
        <f>IF(B2542="","",IFERROR(INDEX('隊員マスタ'!$B$5:$B$204,MATCH(B2542&amp;"",'隊員マスタ'!$F$5:$F$204,0)),IF(AK2542="","番号なし",AK2542)))</f>
        <v/>
      </c>
      <c r="D2542" s="47" t="n"/>
      <c r="E2542" s="47" t="n"/>
      <c r="F2542" s="47" t="n"/>
      <c r="G2542" s="47" t="n"/>
      <c r="H2542" s="47" t="n"/>
      <c r="I2542" s="47" t="n"/>
      <c r="J2542" s="47" t="n"/>
      <c r="K2542" s="47" t="n"/>
      <c r="L2542" s="47" t="n"/>
      <c r="M2542" s="47" t="n"/>
      <c r="N2542" s="47" t="n"/>
      <c r="O2542" s="47" t="n"/>
      <c r="P2542" s="47" t="n"/>
      <c r="Q2542" s="47" t="n"/>
      <c r="R2542" s="47" t="n"/>
      <c r="S2542" s="47" t="n"/>
      <c r="T2542" s="47" t="n"/>
      <c r="U2542" s="53" t="n"/>
      <c r="V2542" s="53" t="n"/>
      <c r="W2542" s="47" t="n"/>
      <c r="X2542" s="47" t="n"/>
      <c r="Y2542" s="47" t="n"/>
      <c r="Z2542" s="47" t="n"/>
      <c r="AA2542" s="47" t="n"/>
      <c r="AB2542" s="47" t="n"/>
      <c r="AC2542" s="47" t="n"/>
      <c r="AD2542" s="47" t="n"/>
      <c r="AE2542" s="47" t="n"/>
      <c r="AF2542" s="20">
        <f>IF(A2542="","",YEAR(EDATE(A2542,-3)))</f>
        <v/>
      </c>
      <c r="AG2542" s="20">
        <f>IF(OR(B2542="",'経歴簿'!$C$4=""),"",IF(B2542&amp;""='経歴簿'!$C$4&amp;"",MAX($AG$4:AG2541)+1,""))</f>
        <v/>
      </c>
      <c r="AH2542" s="20">
        <f>IF(A2542="",0,IF(AND(OR('CSV抽出'!$C$4="",A2542&gt;='CSV抽出'!$C$4),OR('CSV抽出'!$C$5="",A2542&lt;='CSV抽出'!$C$5),OR('CSV抽出'!$C$6="すべて",'CSV抽出'!$C$6="",D2542='CSV抽出'!$C$6),OR('CSV抽出'!$C$7="",B2542&amp;""='CSV抽出'!$C$7&amp;"")),1,0))</f>
        <v/>
      </c>
      <c r="AI2542" s="20">
        <f>IF(AH2542=1,SUM($AH$5:AH2542),"")</f>
        <v/>
      </c>
      <c r="AJ2542" s="20">
        <f>IF(OR(S2542="",'報告書'!$C$4=""),"",IF(S2542&amp;""='報告書'!$C$4&amp;"",COUNTIF($S$5:S2542,'報告書'!$C$4),""))</f>
        <v/>
      </c>
      <c r="AK2542" s="20" t="n"/>
      <c r="AL2542" s="47" t="n"/>
      <c r="AM2542" s="47" t="n"/>
      <c r="AN2542" s="53" t="n"/>
      <c r="AO2542" s="47" t="n"/>
      <c r="AP2542" s="47" t="n"/>
      <c r="AQ2542" s="47" t="n"/>
      <c r="AR2542" s="47" t="n"/>
      <c r="AS2542" s="47" t="n"/>
      <c r="AT2542" s="47" t="n"/>
      <c r="AU2542" s="47" t="n"/>
      <c r="AV2542" s="47" t="n"/>
      <c r="AW2542" s="52" t="n"/>
    </row>
    <row r="2543">
      <c r="A2543" s="48" t="n"/>
      <c r="B2543" s="52" t="n"/>
      <c r="C2543" s="47">
        <f>IF(B2543="","",IFERROR(INDEX('隊員マスタ'!$B$5:$B$204,MATCH(B2543&amp;"",'隊員マスタ'!$F$5:$F$204,0)),IF(AK2543="","番号なし",AK2543)))</f>
        <v/>
      </c>
      <c r="D2543" s="47" t="n"/>
      <c r="E2543" s="47" t="n"/>
      <c r="F2543" s="47" t="n"/>
      <c r="G2543" s="47" t="n"/>
      <c r="H2543" s="47" t="n"/>
      <c r="I2543" s="47" t="n"/>
      <c r="J2543" s="47" t="n"/>
      <c r="K2543" s="47" t="n"/>
      <c r="L2543" s="47" t="n"/>
      <c r="M2543" s="47" t="n"/>
      <c r="N2543" s="47" t="n"/>
      <c r="O2543" s="47" t="n"/>
      <c r="P2543" s="47" t="n"/>
      <c r="Q2543" s="47" t="n"/>
      <c r="R2543" s="47" t="n"/>
      <c r="S2543" s="47" t="n"/>
      <c r="T2543" s="47" t="n"/>
      <c r="U2543" s="53" t="n"/>
      <c r="V2543" s="53" t="n"/>
      <c r="W2543" s="47" t="n"/>
      <c r="X2543" s="47" t="n"/>
      <c r="Y2543" s="47" t="n"/>
      <c r="Z2543" s="47" t="n"/>
      <c r="AA2543" s="47" t="n"/>
      <c r="AB2543" s="47" t="n"/>
      <c r="AC2543" s="47" t="n"/>
      <c r="AD2543" s="47" t="n"/>
      <c r="AE2543" s="47" t="n"/>
      <c r="AF2543" s="20">
        <f>IF(A2543="","",YEAR(EDATE(A2543,-3)))</f>
        <v/>
      </c>
      <c r="AG2543" s="20">
        <f>IF(OR(B2543="",'経歴簿'!$C$4=""),"",IF(B2543&amp;""='経歴簿'!$C$4&amp;"",MAX($AG$4:AG2542)+1,""))</f>
        <v/>
      </c>
      <c r="AH2543" s="20">
        <f>IF(A2543="",0,IF(AND(OR('CSV抽出'!$C$4="",A2543&gt;='CSV抽出'!$C$4),OR('CSV抽出'!$C$5="",A2543&lt;='CSV抽出'!$C$5),OR('CSV抽出'!$C$6="すべて",'CSV抽出'!$C$6="",D2543='CSV抽出'!$C$6),OR('CSV抽出'!$C$7="",B2543&amp;""='CSV抽出'!$C$7&amp;"")),1,0))</f>
        <v/>
      </c>
      <c r="AI2543" s="20">
        <f>IF(AH2543=1,SUM($AH$5:AH2543),"")</f>
        <v/>
      </c>
      <c r="AJ2543" s="20">
        <f>IF(OR(S2543="",'報告書'!$C$4=""),"",IF(S2543&amp;""='報告書'!$C$4&amp;"",COUNTIF($S$5:S2543,'報告書'!$C$4),""))</f>
        <v/>
      </c>
      <c r="AK2543" s="20" t="n"/>
      <c r="AL2543" s="47" t="n"/>
      <c r="AM2543" s="47" t="n"/>
      <c r="AN2543" s="53" t="n"/>
      <c r="AO2543" s="47" t="n"/>
      <c r="AP2543" s="47" t="n"/>
      <c r="AQ2543" s="47" t="n"/>
      <c r="AR2543" s="47" t="n"/>
      <c r="AS2543" s="47" t="n"/>
      <c r="AT2543" s="47" t="n"/>
      <c r="AU2543" s="47" t="n"/>
      <c r="AV2543" s="47" t="n"/>
      <c r="AW2543" s="52" t="n"/>
    </row>
    <row r="2544">
      <c r="A2544" s="48" t="n"/>
      <c r="B2544" s="52" t="n"/>
      <c r="C2544" s="47">
        <f>IF(B2544="","",IFERROR(INDEX('隊員マスタ'!$B$5:$B$204,MATCH(B2544&amp;"",'隊員マスタ'!$F$5:$F$204,0)),IF(AK2544="","番号なし",AK2544)))</f>
        <v/>
      </c>
      <c r="D2544" s="47" t="n"/>
      <c r="E2544" s="47" t="n"/>
      <c r="F2544" s="47" t="n"/>
      <c r="G2544" s="47" t="n"/>
      <c r="H2544" s="47" t="n"/>
      <c r="I2544" s="47" t="n"/>
      <c r="J2544" s="47" t="n"/>
      <c r="K2544" s="47" t="n"/>
      <c r="L2544" s="47" t="n"/>
      <c r="M2544" s="47" t="n"/>
      <c r="N2544" s="47" t="n"/>
      <c r="O2544" s="47" t="n"/>
      <c r="P2544" s="47" t="n"/>
      <c r="Q2544" s="47" t="n"/>
      <c r="R2544" s="47" t="n"/>
      <c r="S2544" s="47" t="n"/>
      <c r="T2544" s="47" t="n"/>
      <c r="U2544" s="53" t="n"/>
      <c r="V2544" s="53" t="n"/>
      <c r="W2544" s="47" t="n"/>
      <c r="X2544" s="47" t="n"/>
      <c r="Y2544" s="47" t="n"/>
      <c r="Z2544" s="47" t="n"/>
      <c r="AA2544" s="47" t="n"/>
      <c r="AB2544" s="47" t="n"/>
      <c r="AC2544" s="47" t="n"/>
      <c r="AD2544" s="47" t="n"/>
      <c r="AE2544" s="47" t="n"/>
      <c r="AF2544" s="20">
        <f>IF(A2544="","",YEAR(EDATE(A2544,-3)))</f>
        <v/>
      </c>
      <c r="AG2544" s="20">
        <f>IF(OR(B2544="",'経歴簿'!$C$4=""),"",IF(B2544&amp;""='経歴簿'!$C$4&amp;"",MAX($AG$4:AG2543)+1,""))</f>
        <v/>
      </c>
      <c r="AH2544" s="20">
        <f>IF(A2544="",0,IF(AND(OR('CSV抽出'!$C$4="",A2544&gt;='CSV抽出'!$C$4),OR('CSV抽出'!$C$5="",A2544&lt;='CSV抽出'!$C$5),OR('CSV抽出'!$C$6="すべて",'CSV抽出'!$C$6="",D2544='CSV抽出'!$C$6),OR('CSV抽出'!$C$7="",B2544&amp;""='CSV抽出'!$C$7&amp;"")),1,0))</f>
        <v/>
      </c>
      <c r="AI2544" s="20">
        <f>IF(AH2544=1,SUM($AH$5:AH2544),"")</f>
        <v/>
      </c>
      <c r="AJ2544" s="20">
        <f>IF(OR(S2544="",'報告書'!$C$4=""),"",IF(S2544&amp;""='報告書'!$C$4&amp;"",COUNTIF($S$5:S2544,'報告書'!$C$4),""))</f>
        <v/>
      </c>
      <c r="AK2544" s="20" t="n"/>
      <c r="AL2544" s="47" t="n"/>
      <c r="AM2544" s="47" t="n"/>
      <c r="AN2544" s="53" t="n"/>
      <c r="AO2544" s="47" t="n"/>
      <c r="AP2544" s="47" t="n"/>
      <c r="AQ2544" s="47" t="n"/>
      <c r="AR2544" s="47" t="n"/>
      <c r="AS2544" s="47" t="n"/>
      <c r="AT2544" s="47" t="n"/>
      <c r="AU2544" s="47" t="n"/>
      <c r="AV2544" s="47" t="n"/>
      <c r="AW2544" s="52" t="n"/>
    </row>
    <row r="2545">
      <c r="A2545" s="48" t="n"/>
      <c r="B2545" s="52" t="n"/>
      <c r="C2545" s="47">
        <f>IF(B2545="","",IFERROR(INDEX('隊員マスタ'!$B$5:$B$204,MATCH(B2545&amp;"",'隊員マスタ'!$F$5:$F$204,0)),IF(AK2545="","番号なし",AK2545)))</f>
        <v/>
      </c>
      <c r="D2545" s="47" t="n"/>
      <c r="E2545" s="47" t="n"/>
      <c r="F2545" s="47" t="n"/>
      <c r="G2545" s="47" t="n"/>
      <c r="H2545" s="47" t="n"/>
      <c r="I2545" s="47" t="n"/>
      <c r="J2545" s="47" t="n"/>
      <c r="K2545" s="47" t="n"/>
      <c r="L2545" s="47" t="n"/>
      <c r="M2545" s="47" t="n"/>
      <c r="N2545" s="47" t="n"/>
      <c r="O2545" s="47" t="n"/>
      <c r="P2545" s="47" t="n"/>
      <c r="Q2545" s="47" t="n"/>
      <c r="R2545" s="47" t="n"/>
      <c r="S2545" s="47" t="n"/>
      <c r="T2545" s="47" t="n"/>
      <c r="U2545" s="53" t="n"/>
      <c r="V2545" s="53" t="n"/>
      <c r="W2545" s="47" t="n"/>
      <c r="X2545" s="47" t="n"/>
      <c r="Y2545" s="47" t="n"/>
      <c r="Z2545" s="47" t="n"/>
      <c r="AA2545" s="47" t="n"/>
      <c r="AB2545" s="47" t="n"/>
      <c r="AC2545" s="47" t="n"/>
      <c r="AD2545" s="47" t="n"/>
      <c r="AE2545" s="47" t="n"/>
      <c r="AF2545" s="20">
        <f>IF(A2545="","",YEAR(EDATE(A2545,-3)))</f>
        <v/>
      </c>
      <c r="AG2545" s="20">
        <f>IF(OR(B2545="",'経歴簿'!$C$4=""),"",IF(B2545&amp;""='経歴簿'!$C$4&amp;"",MAX($AG$4:AG2544)+1,""))</f>
        <v/>
      </c>
      <c r="AH2545" s="20">
        <f>IF(A2545="",0,IF(AND(OR('CSV抽出'!$C$4="",A2545&gt;='CSV抽出'!$C$4),OR('CSV抽出'!$C$5="",A2545&lt;='CSV抽出'!$C$5),OR('CSV抽出'!$C$6="すべて",'CSV抽出'!$C$6="",D2545='CSV抽出'!$C$6),OR('CSV抽出'!$C$7="",B2545&amp;""='CSV抽出'!$C$7&amp;"")),1,0))</f>
        <v/>
      </c>
      <c r="AI2545" s="20">
        <f>IF(AH2545=1,SUM($AH$5:AH2545),"")</f>
        <v/>
      </c>
      <c r="AJ2545" s="20">
        <f>IF(OR(S2545="",'報告書'!$C$4=""),"",IF(S2545&amp;""='報告書'!$C$4&amp;"",COUNTIF($S$5:S2545,'報告書'!$C$4),""))</f>
        <v/>
      </c>
      <c r="AK2545" s="20" t="n"/>
      <c r="AL2545" s="47" t="n"/>
      <c r="AM2545" s="47" t="n"/>
      <c r="AN2545" s="53" t="n"/>
      <c r="AO2545" s="47" t="n"/>
      <c r="AP2545" s="47" t="n"/>
      <c r="AQ2545" s="47" t="n"/>
      <c r="AR2545" s="47" t="n"/>
      <c r="AS2545" s="47" t="n"/>
      <c r="AT2545" s="47" t="n"/>
      <c r="AU2545" s="47" t="n"/>
      <c r="AV2545" s="47" t="n"/>
      <c r="AW2545" s="52" t="n"/>
    </row>
    <row r="2546">
      <c r="A2546" s="48" t="n"/>
      <c r="B2546" s="52" t="n"/>
      <c r="C2546" s="47">
        <f>IF(B2546="","",IFERROR(INDEX('隊員マスタ'!$B$5:$B$204,MATCH(B2546&amp;"",'隊員マスタ'!$F$5:$F$204,0)),IF(AK2546="","番号なし",AK2546)))</f>
        <v/>
      </c>
      <c r="D2546" s="47" t="n"/>
      <c r="E2546" s="47" t="n"/>
      <c r="F2546" s="47" t="n"/>
      <c r="G2546" s="47" t="n"/>
      <c r="H2546" s="47" t="n"/>
      <c r="I2546" s="47" t="n"/>
      <c r="J2546" s="47" t="n"/>
      <c r="K2546" s="47" t="n"/>
      <c r="L2546" s="47" t="n"/>
      <c r="M2546" s="47" t="n"/>
      <c r="N2546" s="47" t="n"/>
      <c r="O2546" s="47" t="n"/>
      <c r="P2546" s="47" t="n"/>
      <c r="Q2546" s="47" t="n"/>
      <c r="R2546" s="47" t="n"/>
      <c r="S2546" s="47" t="n"/>
      <c r="T2546" s="47" t="n"/>
      <c r="U2546" s="53" t="n"/>
      <c r="V2546" s="53" t="n"/>
      <c r="W2546" s="47" t="n"/>
      <c r="X2546" s="47" t="n"/>
      <c r="Y2546" s="47" t="n"/>
      <c r="Z2546" s="47" t="n"/>
      <c r="AA2546" s="47" t="n"/>
      <c r="AB2546" s="47" t="n"/>
      <c r="AC2546" s="47" t="n"/>
      <c r="AD2546" s="47" t="n"/>
      <c r="AE2546" s="47" t="n"/>
      <c r="AF2546" s="20">
        <f>IF(A2546="","",YEAR(EDATE(A2546,-3)))</f>
        <v/>
      </c>
      <c r="AG2546" s="20">
        <f>IF(OR(B2546="",'経歴簿'!$C$4=""),"",IF(B2546&amp;""='経歴簿'!$C$4&amp;"",MAX($AG$4:AG2545)+1,""))</f>
        <v/>
      </c>
      <c r="AH2546" s="20">
        <f>IF(A2546="",0,IF(AND(OR('CSV抽出'!$C$4="",A2546&gt;='CSV抽出'!$C$4),OR('CSV抽出'!$C$5="",A2546&lt;='CSV抽出'!$C$5),OR('CSV抽出'!$C$6="すべて",'CSV抽出'!$C$6="",D2546='CSV抽出'!$C$6),OR('CSV抽出'!$C$7="",B2546&amp;""='CSV抽出'!$C$7&amp;"")),1,0))</f>
        <v/>
      </c>
      <c r="AI2546" s="20">
        <f>IF(AH2546=1,SUM($AH$5:AH2546),"")</f>
        <v/>
      </c>
      <c r="AJ2546" s="20">
        <f>IF(OR(S2546="",'報告書'!$C$4=""),"",IF(S2546&amp;""='報告書'!$C$4&amp;"",COUNTIF($S$5:S2546,'報告書'!$C$4),""))</f>
        <v/>
      </c>
      <c r="AK2546" s="20" t="n"/>
      <c r="AL2546" s="47" t="n"/>
      <c r="AM2546" s="47" t="n"/>
      <c r="AN2546" s="53" t="n"/>
      <c r="AO2546" s="47" t="n"/>
      <c r="AP2546" s="47" t="n"/>
      <c r="AQ2546" s="47" t="n"/>
      <c r="AR2546" s="47" t="n"/>
      <c r="AS2546" s="47" t="n"/>
      <c r="AT2546" s="47" t="n"/>
      <c r="AU2546" s="47" t="n"/>
      <c r="AV2546" s="47" t="n"/>
      <c r="AW2546" s="52" t="n"/>
    </row>
    <row r="2547">
      <c r="A2547" s="48" t="n"/>
      <c r="B2547" s="52" t="n"/>
      <c r="C2547" s="47">
        <f>IF(B2547="","",IFERROR(INDEX('隊員マスタ'!$B$5:$B$204,MATCH(B2547&amp;"",'隊員マスタ'!$F$5:$F$204,0)),IF(AK2547="","番号なし",AK2547)))</f>
        <v/>
      </c>
      <c r="D2547" s="47" t="n"/>
      <c r="E2547" s="47" t="n"/>
      <c r="F2547" s="47" t="n"/>
      <c r="G2547" s="47" t="n"/>
      <c r="H2547" s="47" t="n"/>
      <c r="I2547" s="47" t="n"/>
      <c r="J2547" s="47" t="n"/>
      <c r="K2547" s="47" t="n"/>
      <c r="L2547" s="47" t="n"/>
      <c r="M2547" s="47" t="n"/>
      <c r="N2547" s="47" t="n"/>
      <c r="O2547" s="47" t="n"/>
      <c r="P2547" s="47" t="n"/>
      <c r="Q2547" s="47" t="n"/>
      <c r="R2547" s="47" t="n"/>
      <c r="S2547" s="47" t="n"/>
      <c r="T2547" s="47" t="n"/>
      <c r="U2547" s="53" t="n"/>
      <c r="V2547" s="53" t="n"/>
      <c r="W2547" s="47" t="n"/>
      <c r="X2547" s="47" t="n"/>
      <c r="Y2547" s="47" t="n"/>
      <c r="Z2547" s="47" t="n"/>
      <c r="AA2547" s="47" t="n"/>
      <c r="AB2547" s="47" t="n"/>
      <c r="AC2547" s="47" t="n"/>
      <c r="AD2547" s="47" t="n"/>
      <c r="AE2547" s="47" t="n"/>
      <c r="AF2547" s="20">
        <f>IF(A2547="","",YEAR(EDATE(A2547,-3)))</f>
        <v/>
      </c>
      <c r="AG2547" s="20">
        <f>IF(OR(B2547="",'経歴簿'!$C$4=""),"",IF(B2547&amp;""='経歴簿'!$C$4&amp;"",MAX($AG$4:AG2546)+1,""))</f>
        <v/>
      </c>
      <c r="AH2547" s="20">
        <f>IF(A2547="",0,IF(AND(OR('CSV抽出'!$C$4="",A2547&gt;='CSV抽出'!$C$4),OR('CSV抽出'!$C$5="",A2547&lt;='CSV抽出'!$C$5),OR('CSV抽出'!$C$6="すべて",'CSV抽出'!$C$6="",D2547='CSV抽出'!$C$6),OR('CSV抽出'!$C$7="",B2547&amp;""='CSV抽出'!$C$7&amp;"")),1,0))</f>
        <v/>
      </c>
      <c r="AI2547" s="20">
        <f>IF(AH2547=1,SUM($AH$5:AH2547),"")</f>
        <v/>
      </c>
      <c r="AJ2547" s="20">
        <f>IF(OR(S2547="",'報告書'!$C$4=""),"",IF(S2547&amp;""='報告書'!$C$4&amp;"",COUNTIF($S$5:S2547,'報告書'!$C$4),""))</f>
        <v/>
      </c>
      <c r="AK2547" s="20" t="n"/>
      <c r="AL2547" s="47" t="n"/>
      <c r="AM2547" s="47" t="n"/>
      <c r="AN2547" s="53" t="n"/>
      <c r="AO2547" s="47" t="n"/>
      <c r="AP2547" s="47" t="n"/>
      <c r="AQ2547" s="47" t="n"/>
      <c r="AR2547" s="47" t="n"/>
      <c r="AS2547" s="47" t="n"/>
      <c r="AT2547" s="47" t="n"/>
      <c r="AU2547" s="47" t="n"/>
      <c r="AV2547" s="47" t="n"/>
      <c r="AW2547" s="52" t="n"/>
    </row>
    <row r="2548">
      <c r="A2548" s="48" t="n"/>
      <c r="B2548" s="52" t="n"/>
      <c r="C2548" s="47">
        <f>IF(B2548="","",IFERROR(INDEX('隊員マスタ'!$B$5:$B$204,MATCH(B2548&amp;"",'隊員マスタ'!$F$5:$F$204,0)),IF(AK2548="","番号なし",AK2548)))</f>
        <v/>
      </c>
      <c r="D2548" s="47" t="n"/>
      <c r="E2548" s="47" t="n"/>
      <c r="F2548" s="47" t="n"/>
      <c r="G2548" s="47" t="n"/>
      <c r="H2548" s="47" t="n"/>
      <c r="I2548" s="47" t="n"/>
      <c r="J2548" s="47" t="n"/>
      <c r="K2548" s="47" t="n"/>
      <c r="L2548" s="47" t="n"/>
      <c r="M2548" s="47" t="n"/>
      <c r="N2548" s="47" t="n"/>
      <c r="O2548" s="47" t="n"/>
      <c r="P2548" s="47" t="n"/>
      <c r="Q2548" s="47" t="n"/>
      <c r="R2548" s="47" t="n"/>
      <c r="S2548" s="47" t="n"/>
      <c r="T2548" s="47" t="n"/>
      <c r="U2548" s="53" t="n"/>
      <c r="V2548" s="53" t="n"/>
      <c r="W2548" s="47" t="n"/>
      <c r="X2548" s="47" t="n"/>
      <c r="Y2548" s="47" t="n"/>
      <c r="Z2548" s="47" t="n"/>
      <c r="AA2548" s="47" t="n"/>
      <c r="AB2548" s="47" t="n"/>
      <c r="AC2548" s="47" t="n"/>
      <c r="AD2548" s="47" t="n"/>
      <c r="AE2548" s="47" t="n"/>
      <c r="AF2548" s="20">
        <f>IF(A2548="","",YEAR(EDATE(A2548,-3)))</f>
        <v/>
      </c>
      <c r="AG2548" s="20">
        <f>IF(OR(B2548="",'経歴簿'!$C$4=""),"",IF(B2548&amp;""='経歴簿'!$C$4&amp;"",MAX($AG$4:AG2547)+1,""))</f>
        <v/>
      </c>
      <c r="AH2548" s="20">
        <f>IF(A2548="",0,IF(AND(OR('CSV抽出'!$C$4="",A2548&gt;='CSV抽出'!$C$4),OR('CSV抽出'!$C$5="",A2548&lt;='CSV抽出'!$C$5),OR('CSV抽出'!$C$6="すべて",'CSV抽出'!$C$6="",D2548='CSV抽出'!$C$6),OR('CSV抽出'!$C$7="",B2548&amp;""='CSV抽出'!$C$7&amp;"")),1,0))</f>
        <v/>
      </c>
      <c r="AI2548" s="20">
        <f>IF(AH2548=1,SUM($AH$5:AH2548),"")</f>
        <v/>
      </c>
      <c r="AJ2548" s="20">
        <f>IF(OR(S2548="",'報告書'!$C$4=""),"",IF(S2548&amp;""='報告書'!$C$4&amp;"",COUNTIF($S$5:S2548,'報告書'!$C$4),""))</f>
        <v/>
      </c>
      <c r="AK2548" s="20" t="n"/>
      <c r="AL2548" s="47" t="n"/>
      <c r="AM2548" s="47" t="n"/>
      <c r="AN2548" s="53" t="n"/>
      <c r="AO2548" s="47" t="n"/>
      <c r="AP2548" s="47" t="n"/>
      <c r="AQ2548" s="47" t="n"/>
      <c r="AR2548" s="47" t="n"/>
      <c r="AS2548" s="47" t="n"/>
      <c r="AT2548" s="47" t="n"/>
      <c r="AU2548" s="47" t="n"/>
      <c r="AV2548" s="47" t="n"/>
      <c r="AW2548" s="52" t="n"/>
    </row>
    <row r="2549">
      <c r="A2549" s="48" t="n"/>
      <c r="B2549" s="52" t="n"/>
      <c r="C2549" s="47">
        <f>IF(B2549="","",IFERROR(INDEX('隊員マスタ'!$B$5:$B$204,MATCH(B2549&amp;"",'隊員マスタ'!$F$5:$F$204,0)),IF(AK2549="","番号なし",AK2549)))</f>
        <v/>
      </c>
      <c r="D2549" s="47" t="n"/>
      <c r="E2549" s="47" t="n"/>
      <c r="F2549" s="47" t="n"/>
      <c r="G2549" s="47" t="n"/>
      <c r="H2549" s="47" t="n"/>
      <c r="I2549" s="47" t="n"/>
      <c r="J2549" s="47" t="n"/>
      <c r="K2549" s="47" t="n"/>
      <c r="L2549" s="47" t="n"/>
      <c r="M2549" s="47" t="n"/>
      <c r="N2549" s="47" t="n"/>
      <c r="O2549" s="47" t="n"/>
      <c r="P2549" s="47" t="n"/>
      <c r="Q2549" s="47" t="n"/>
      <c r="R2549" s="47" t="n"/>
      <c r="S2549" s="47" t="n"/>
      <c r="T2549" s="47" t="n"/>
      <c r="U2549" s="53" t="n"/>
      <c r="V2549" s="53" t="n"/>
      <c r="W2549" s="47" t="n"/>
      <c r="X2549" s="47" t="n"/>
      <c r="Y2549" s="47" t="n"/>
      <c r="Z2549" s="47" t="n"/>
      <c r="AA2549" s="47" t="n"/>
      <c r="AB2549" s="47" t="n"/>
      <c r="AC2549" s="47" t="n"/>
      <c r="AD2549" s="47" t="n"/>
      <c r="AE2549" s="47" t="n"/>
      <c r="AF2549" s="20">
        <f>IF(A2549="","",YEAR(EDATE(A2549,-3)))</f>
        <v/>
      </c>
      <c r="AG2549" s="20">
        <f>IF(OR(B2549="",'経歴簿'!$C$4=""),"",IF(B2549&amp;""='経歴簿'!$C$4&amp;"",MAX($AG$4:AG2548)+1,""))</f>
        <v/>
      </c>
      <c r="AH2549" s="20">
        <f>IF(A2549="",0,IF(AND(OR('CSV抽出'!$C$4="",A2549&gt;='CSV抽出'!$C$4),OR('CSV抽出'!$C$5="",A2549&lt;='CSV抽出'!$C$5),OR('CSV抽出'!$C$6="すべて",'CSV抽出'!$C$6="",D2549='CSV抽出'!$C$6),OR('CSV抽出'!$C$7="",B2549&amp;""='CSV抽出'!$C$7&amp;"")),1,0))</f>
        <v/>
      </c>
      <c r="AI2549" s="20">
        <f>IF(AH2549=1,SUM($AH$5:AH2549),"")</f>
        <v/>
      </c>
      <c r="AJ2549" s="20">
        <f>IF(OR(S2549="",'報告書'!$C$4=""),"",IF(S2549&amp;""='報告書'!$C$4&amp;"",COUNTIF($S$5:S2549,'報告書'!$C$4),""))</f>
        <v/>
      </c>
      <c r="AK2549" s="20" t="n"/>
      <c r="AL2549" s="47" t="n"/>
      <c r="AM2549" s="47" t="n"/>
      <c r="AN2549" s="53" t="n"/>
      <c r="AO2549" s="47" t="n"/>
      <c r="AP2549" s="47" t="n"/>
      <c r="AQ2549" s="47" t="n"/>
      <c r="AR2549" s="47" t="n"/>
      <c r="AS2549" s="47" t="n"/>
      <c r="AT2549" s="47" t="n"/>
      <c r="AU2549" s="47" t="n"/>
      <c r="AV2549" s="47" t="n"/>
      <c r="AW2549" s="52" t="n"/>
    </row>
    <row r="2550">
      <c r="A2550" s="48" t="n"/>
      <c r="B2550" s="52" t="n"/>
      <c r="C2550" s="47">
        <f>IF(B2550="","",IFERROR(INDEX('隊員マスタ'!$B$5:$B$204,MATCH(B2550&amp;"",'隊員マスタ'!$F$5:$F$204,0)),IF(AK2550="","番号なし",AK2550)))</f>
        <v/>
      </c>
      <c r="D2550" s="47" t="n"/>
      <c r="E2550" s="47" t="n"/>
      <c r="F2550" s="47" t="n"/>
      <c r="G2550" s="47" t="n"/>
      <c r="H2550" s="47" t="n"/>
      <c r="I2550" s="47" t="n"/>
      <c r="J2550" s="47" t="n"/>
      <c r="K2550" s="47" t="n"/>
      <c r="L2550" s="47" t="n"/>
      <c r="M2550" s="47" t="n"/>
      <c r="N2550" s="47" t="n"/>
      <c r="O2550" s="47" t="n"/>
      <c r="P2550" s="47" t="n"/>
      <c r="Q2550" s="47" t="n"/>
      <c r="R2550" s="47" t="n"/>
      <c r="S2550" s="47" t="n"/>
      <c r="T2550" s="47" t="n"/>
      <c r="U2550" s="53" t="n"/>
      <c r="V2550" s="53" t="n"/>
      <c r="W2550" s="47" t="n"/>
      <c r="X2550" s="47" t="n"/>
      <c r="Y2550" s="47" t="n"/>
      <c r="Z2550" s="47" t="n"/>
      <c r="AA2550" s="47" t="n"/>
      <c r="AB2550" s="47" t="n"/>
      <c r="AC2550" s="47" t="n"/>
      <c r="AD2550" s="47" t="n"/>
      <c r="AE2550" s="47" t="n"/>
      <c r="AF2550" s="20">
        <f>IF(A2550="","",YEAR(EDATE(A2550,-3)))</f>
        <v/>
      </c>
      <c r="AG2550" s="20">
        <f>IF(OR(B2550="",'経歴簿'!$C$4=""),"",IF(B2550&amp;""='経歴簿'!$C$4&amp;"",MAX($AG$4:AG2549)+1,""))</f>
        <v/>
      </c>
      <c r="AH2550" s="20">
        <f>IF(A2550="",0,IF(AND(OR('CSV抽出'!$C$4="",A2550&gt;='CSV抽出'!$C$4),OR('CSV抽出'!$C$5="",A2550&lt;='CSV抽出'!$C$5),OR('CSV抽出'!$C$6="すべて",'CSV抽出'!$C$6="",D2550='CSV抽出'!$C$6),OR('CSV抽出'!$C$7="",B2550&amp;""='CSV抽出'!$C$7&amp;"")),1,0))</f>
        <v/>
      </c>
      <c r="AI2550" s="20">
        <f>IF(AH2550=1,SUM($AH$5:AH2550),"")</f>
        <v/>
      </c>
      <c r="AJ2550" s="20">
        <f>IF(OR(S2550="",'報告書'!$C$4=""),"",IF(S2550&amp;""='報告書'!$C$4&amp;"",COUNTIF($S$5:S2550,'報告書'!$C$4),""))</f>
        <v/>
      </c>
      <c r="AK2550" s="20" t="n"/>
      <c r="AL2550" s="47" t="n"/>
      <c r="AM2550" s="47" t="n"/>
      <c r="AN2550" s="53" t="n"/>
      <c r="AO2550" s="47" t="n"/>
      <c r="AP2550" s="47" t="n"/>
      <c r="AQ2550" s="47" t="n"/>
      <c r="AR2550" s="47" t="n"/>
      <c r="AS2550" s="47" t="n"/>
      <c r="AT2550" s="47" t="n"/>
      <c r="AU2550" s="47" t="n"/>
      <c r="AV2550" s="47" t="n"/>
      <c r="AW2550" s="52" t="n"/>
    </row>
    <row r="2551">
      <c r="A2551" s="48" t="n"/>
      <c r="B2551" s="52" t="n"/>
      <c r="C2551" s="47">
        <f>IF(B2551="","",IFERROR(INDEX('隊員マスタ'!$B$5:$B$204,MATCH(B2551&amp;"",'隊員マスタ'!$F$5:$F$204,0)),IF(AK2551="","番号なし",AK2551)))</f>
        <v/>
      </c>
      <c r="D2551" s="47" t="n"/>
      <c r="E2551" s="47" t="n"/>
      <c r="F2551" s="47" t="n"/>
      <c r="G2551" s="47" t="n"/>
      <c r="H2551" s="47" t="n"/>
      <c r="I2551" s="47" t="n"/>
      <c r="J2551" s="47" t="n"/>
      <c r="K2551" s="47" t="n"/>
      <c r="L2551" s="47" t="n"/>
      <c r="M2551" s="47" t="n"/>
      <c r="N2551" s="47" t="n"/>
      <c r="O2551" s="47" t="n"/>
      <c r="P2551" s="47" t="n"/>
      <c r="Q2551" s="47" t="n"/>
      <c r="R2551" s="47" t="n"/>
      <c r="S2551" s="47" t="n"/>
      <c r="T2551" s="47" t="n"/>
      <c r="U2551" s="53" t="n"/>
      <c r="V2551" s="53" t="n"/>
      <c r="W2551" s="47" t="n"/>
      <c r="X2551" s="47" t="n"/>
      <c r="Y2551" s="47" t="n"/>
      <c r="Z2551" s="47" t="n"/>
      <c r="AA2551" s="47" t="n"/>
      <c r="AB2551" s="47" t="n"/>
      <c r="AC2551" s="47" t="n"/>
      <c r="AD2551" s="47" t="n"/>
      <c r="AE2551" s="47" t="n"/>
      <c r="AF2551" s="20">
        <f>IF(A2551="","",YEAR(EDATE(A2551,-3)))</f>
        <v/>
      </c>
      <c r="AG2551" s="20">
        <f>IF(OR(B2551="",'経歴簿'!$C$4=""),"",IF(B2551&amp;""='経歴簿'!$C$4&amp;"",MAX($AG$4:AG2550)+1,""))</f>
        <v/>
      </c>
      <c r="AH2551" s="20">
        <f>IF(A2551="",0,IF(AND(OR('CSV抽出'!$C$4="",A2551&gt;='CSV抽出'!$C$4),OR('CSV抽出'!$C$5="",A2551&lt;='CSV抽出'!$C$5),OR('CSV抽出'!$C$6="すべて",'CSV抽出'!$C$6="",D2551='CSV抽出'!$C$6),OR('CSV抽出'!$C$7="",B2551&amp;""='CSV抽出'!$C$7&amp;"")),1,0))</f>
        <v/>
      </c>
      <c r="AI2551" s="20">
        <f>IF(AH2551=1,SUM($AH$5:AH2551),"")</f>
        <v/>
      </c>
      <c r="AJ2551" s="20">
        <f>IF(OR(S2551="",'報告書'!$C$4=""),"",IF(S2551&amp;""='報告書'!$C$4&amp;"",COUNTIF($S$5:S2551,'報告書'!$C$4),""))</f>
        <v/>
      </c>
      <c r="AK2551" s="20" t="n"/>
      <c r="AL2551" s="47" t="n"/>
      <c r="AM2551" s="47" t="n"/>
      <c r="AN2551" s="53" t="n"/>
      <c r="AO2551" s="47" t="n"/>
      <c r="AP2551" s="47" t="n"/>
      <c r="AQ2551" s="47" t="n"/>
      <c r="AR2551" s="47" t="n"/>
      <c r="AS2551" s="47" t="n"/>
      <c r="AT2551" s="47" t="n"/>
      <c r="AU2551" s="47" t="n"/>
      <c r="AV2551" s="47" t="n"/>
      <c r="AW2551" s="52" t="n"/>
    </row>
    <row r="2552">
      <c r="A2552" s="48" t="n"/>
      <c r="B2552" s="52" t="n"/>
      <c r="C2552" s="47">
        <f>IF(B2552="","",IFERROR(INDEX('隊員マスタ'!$B$5:$B$204,MATCH(B2552&amp;"",'隊員マスタ'!$F$5:$F$204,0)),IF(AK2552="","番号なし",AK2552)))</f>
        <v/>
      </c>
      <c r="D2552" s="47" t="n"/>
      <c r="E2552" s="47" t="n"/>
      <c r="F2552" s="47" t="n"/>
      <c r="G2552" s="47" t="n"/>
      <c r="H2552" s="47" t="n"/>
      <c r="I2552" s="47" t="n"/>
      <c r="J2552" s="47" t="n"/>
      <c r="K2552" s="47" t="n"/>
      <c r="L2552" s="47" t="n"/>
      <c r="M2552" s="47" t="n"/>
      <c r="N2552" s="47" t="n"/>
      <c r="O2552" s="47" t="n"/>
      <c r="P2552" s="47" t="n"/>
      <c r="Q2552" s="47" t="n"/>
      <c r="R2552" s="47" t="n"/>
      <c r="S2552" s="47" t="n"/>
      <c r="T2552" s="47" t="n"/>
      <c r="U2552" s="53" t="n"/>
      <c r="V2552" s="53" t="n"/>
      <c r="W2552" s="47" t="n"/>
      <c r="X2552" s="47" t="n"/>
      <c r="Y2552" s="47" t="n"/>
      <c r="Z2552" s="47" t="n"/>
      <c r="AA2552" s="47" t="n"/>
      <c r="AB2552" s="47" t="n"/>
      <c r="AC2552" s="47" t="n"/>
      <c r="AD2552" s="47" t="n"/>
      <c r="AE2552" s="47" t="n"/>
      <c r="AF2552" s="20">
        <f>IF(A2552="","",YEAR(EDATE(A2552,-3)))</f>
        <v/>
      </c>
      <c r="AG2552" s="20">
        <f>IF(OR(B2552="",'経歴簿'!$C$4=""),"",IF(B2552&amp;""='経歴簿'!$C$4&amp;"",MAX($AG$4:AG2551)+1,""))</f>
        <v/>
      </c>
      <c r="AH2552" s="20">
        <f>IF(A2552="",0,IF(AND(OR('CSV抽出'!$C$4="",A2552&gt;='CSV抽出'!$C$4),OR('CSV抽出'!$C$5="",A2552&lt;='CSV抽出'!$C$5),OR('CSV抽出'!$C$6="すべて",'CSV抽出'!$C$6="",D2552='CSV抽出'!$C$6),OR('CSV抽出'!$C$7="",B2552&amp;""='CSV抽出'!$C$7&amp;"")),1,0))</f>
        <v/>
      </c>
      <c r="AI2552" s="20">
        <f>IF(AH2552=1,SUM($AH$5:AH2552),"")</f>
        <v/>
      </c>
      <c r="AJ2552" s="20">
        <f>IF(OR(S2552="",'報告書'!$C$4=""),"",IF(S2552&amp;""='報告書'!$C$4&amp;"",COUNTIF($S$5:S2552,'報告書'!$C$4),""))</f>
        <v/>
      </c>
      <c r="AK2552" s="20" t="n"/>
      <c r="AL2552" s="47" t="n"/>
      <c r="AM2552" s="47" t="n"/>
      <c r="AN2552" s="53" t="n"/>
      <c r="AO2552" s="47" t="n"/>
      <c r="AP2552" s="47" t="n"/>
      <c r="AQ2552" s="47" t="n"/>
      <c r="AR2552" s="47" t="n"/>
      <c r="AS2552" s="47" t="n"/>
      <c r="AT2552" s="47" t="n"/>
      <c r="AU2552" s="47" t="n"/>
      <c r="AV2552" s="47" t="n"/>
      <c r="AW2552" s="52" t="n"/>
    </row>
    <row r="2553">
      <c r="A2553" s="48" t="n"/>
      <c r="B2553" s="52" t="n"/>
      <c r="C2553" s="47">
        <f>IF(B2553="","",IFERROR(INDEX('隊員マスタ'!$B$5:$B$204,MATCH(B2553&amp;"",'隊員マスタ'!$F$5:$F$204,0)),IF(AK2553="","番号なし",AK2553)))</f>
        <v/>
      </c>
      <c r="D2553" s="47" t="n"/>
      <c r="E2553" s="47" t="n"/>
      <c r="F2553" s="47" t="n"/>
      <c r="G2553" s="47" t="n"/>
      <c r="H2553" s="47" t="n"/>
      <c r="I2553" s="47" t="n"/>
      <c r="J2553" s="47" t="n"/>
      <c r="K2553" s="47" t="n"/>
      <c r="L2553" s="47" t="n"/>
      <c r="M2553" s="47" t="n"/>
      <c r="N2553" s="47" t="n"/>
      <c r="O2553" s="47" t="n"/>
      <c r="P2553" s="47" t="n"/>
      <c r="Q2553" s="47" t="n"/>
      <c r="R2553" s="47" t="n"/>
      <c r="S2553" s="47" t="n"/>
      <c r="T2553" s="47" t="n"/>
      <c r="U2553" s="53" t="n"/>
      <c r="V2553" s="53" t="n"/>
      <c r="W2553" s="47" t="n"/>
      <c r="X2553" s="47" t="n"/>
      <c r="Y2553" s="47" t="n"/>
      <c r="Z2553" s="47" t="n"/>
      <c r="AA2553" s="47" t="n"/>
      <c r="AB2553" s="47" t="n"/>
      <c r="AC2553" s="47" t="n"/>
      <c r="AD2553" s="47" t="n"/>
      <c r="AE2553" s="47" t="n"/>
      <c r="AF2553" s="20">
        <f>IF(A2553="","",YEAR(EDATE(A2553,-3)))</f>
        <v/>
      </c>
      <c r="AG2553" s="20">
        <f>IF(OR(B2553="",'経歴簿'!$C$4=""),"",IF(B2553&amp;""='経歴簿'!$C$4&amp;"",MAX($AG$4:AG2552)+1,""))</f>
        <v/>
      </c>
      <c r="AH2553" s="20">
        <f>IF(A2553="",0,IF(AND(OR('CSV抽出'!$C$4="",A2553&gt;='CSV抽出'!$C$4),OR('CSV抽出'!$C$5="",A2553&lt;='CSV抽出'!$C$5),OR('CSV抽出'!$C$6="すべて",'CSV抽出'!$C$6="",D2553='CSV抽出'!$C$6),OR('CSV抽出'!$C$7="",B2553&amp;""='CSV抽出'!$C$7&amp;"")),1,0))</f>
        <v/>
      </c>
      <c r="AI2553" s="20">
        <f>IF(AH2553=1,SUM($AH$5:AH2553),"")</f>
        <v/>
      </c>
      <c r="AJ2553" s="20">
        <f>IF(OR(S2553="",'報告書'!$C$4=""),"",IF(S2553&amp;""='報告書'!$C$4&amp;"",COUNTIF($S$5:S2553,'報告書'!$C$4),""))</f>
        <v/>
      </c>
      <c r="AK2553" s="20" t="n"/>
      <c r="AL2553" s="47" t="n"/>
      <c r="AM2553" s="47" t="n"/>
      <c r="AN2553" s="53" t="n"/>
      <c r="AO2553" s="47" t="n"/>
      <c r="AP2553" s="47" t="n"/>
      <c r="AQ2553" s="47" t="n"/>
      <c r="AR2553" s="47" t="n"/>
      <c r="AS2553" s="47" t="n"/>
      <c r="AT2553" s="47" t="n"/>
      <c r="AU2553" s="47" t="n"/>
      <c r="AV2553" s="47" t="n"/>
      <c r="AW2553" s="52" t="n"/>
    </row>
    <row r="2554">
      <c r="A2554" s="48" t="n"/>
      <c r="B2554" s="52" t="n"/>
      <c r="C2554" s="47">
        <f>IF(B2554="","",IFERROR(INDEX('隊員マスタ'!$B$5:$B$204,MATCH(B2554&amp;"",'隊員マスタ'!$F$5:$F$204,0)),IF(AK2554="","番号なし",AK2554)))</f>
        <v/>
      </c>
      <c r="D2554" s="47" t="n"/>
      <c r="E2554" s="47" t="n"/>
      <c r="F2554" s="47" t="n"/>
      <c r="G2554" s="47" t="n"/>
      <c r="H2554" s="47" t="n"/>
      <c r="I2554" s="47" t="n"/>
      <c r="J2554" s="47" t="n"/>
      <c r="K2554" s="47" t="n"/>
      <c r="L2554" s="47" t="n"/>
      <c r="M2554" s="47" t="n"/>
      <c r="N2554" s="47" t="n"/>
      <c r="O2554" s="47" t="n"/>
      <c r="P2554" s="47" t="n"/>
      <c r="Q2554" s="47" t="n"/>
      <c r="R2554" s="47" t="n"/>
      <c r="S2554" s="47" t="n"/>
      <c r="T2554" s="47" t="n"/>
      <c r="U2554" s="53" t="n"/>
      <c r="V2554" s="53" t="n"/>
      <c r="W2554" s="47" t="n"/>
      <c r="X2554" s="47" t="n"/>
      <c r="Y2554" s="47" t="n"/>
      <c r="Z2554" s="47" t="n"/>
      <c r="AA2554" s="47" t="n"/>
      <c r="AB2554" s="47" t="n"/>
      <c r="AC2554" s="47" t="n"/>
      <c r="AD2554" s="47" t="n"/>
      <c r="AE2554" s="47" t="n"/>
      <c r="AF2554" s="20">
        <f>IF(A2554="","",YEAR(EDATE(A2554,-3)))</f>
        <v/>
      </c>
      <c r="AG2554" s="20">
        <f>IF(OR(B2554="",'経歴簿'!$C$4=""),"",IF(B2554&amp;""='経歴簿'!$C$4&amp;"",MAX($AG$4:AG2553)+1,""))</f>
        <v/>
      </c>
      <c r="AH2554" s="20">
        <f>IF(A2554="",0,IF(AND(OR('CSV抽出'!$C$4="",A2554&gt;='CSV抽出'!$C$4),OR('CSV抽出'!$C$5="",A2554&lt;='CSV抽出'!$C$5),OR('CSV抽出'!$C$6="すべて",'CSV抽出'!$C$6="",D2554='CSV抽出'!$C$6),OR('CSV抽出'!$C$7="",B2554&amp;""='CSV抽出'!$C$7&amp;"")),1,0))</f>
        <v/>
      </c>
      <c r="AI2554" s="20">
        <f>IF(AH2554=1,SUM($AH$5:AH2554),"")</f>
        <v/>
      </c>
      <c r="AJ2554" s="20">
        <f>IF(OR(S2554="",'報告書'!$C$4=""),"",IF(S2554&amp;""='報告書'!$C$4&amp;"",COUNTIF($S$5:S2554,'報告書'!$C$4),""))</f>
        <v/>
      </c>
      <c r="AK2554" s="20" t="n"/>
      <c r="AL2554" s="47" t="n"/>
      <c r="AM2554" s="47" t="n"/>
      <c r="AN2554" s="53" t="n"/>
      <c r="AO2554" s="47" t="n"/>
      <c r="AP2554" s="47" t="n"/>
      <c r="AQ2554" s="47" t="n"/>
      <c r="AR2554" s="47" t="n"/>
      <c r="AS2554" s="47" t="n"/>
      <c r="AT2554" s="47" t="n"/>
      <c r="AU2554" s="47" t="n"/>
      <c r="AV2554" s="47" t="n"/>
      <c r="AW2554" s="52" t="n"/>
    </row>
    <row r="2555">
      <c r="A2555" s="48" t="n"/>
      <c r="B2555" s="52" t="n"/>
      <c r="C2555" s="47">
        <f>IF(B2555="","",IFERROR(INDEX('隊員マスタ'!$B$5:$B$204,MATCH(B2555&amp;"",'隊員マスタ'!$F$5:$F$204,0)),IF(AK2555="","番号なし",AK2555)))</f>
        <v/>
      </c>
      <c r="D2555" s="47" t="n"/>
      <c r="E2555" s="47" t="n"/>
      <c r="F2555" s="47" t="n"/>
      <c r="G2555" s="47" t="n"/>
      <c r="H2555" s="47" t="n"/>
      <c r="I2555" s="47" t="n"/>
      <c r="J2555" s="47" t="n"/>
      <c r="K2555" s="47" t="n"/>
      <c r="L2555" s="47" t="n"/>
      <c r="M2555" s="47" t="n"/>
      <c r="N2555" s="47" t="n"/>
      <c r="O2555" s="47" t="n"/>
      <c r="P2555" s="47" t="n"/>
      <c r="Q2555" s="47" t="n"/>
      <c r="R2555" s="47" t="n"/>
      <c r="S2555" s="47" t="n"/>
      <c r="T2555" s="47" t="n"/>
      <c r="U2555" s="53" t="n"/>
      <c r="V2555" s="53" t="n"/>
      <c r="W2555" s="47" t="n"/>
      <c r="X2555" s="47" t="n"/>
      <c r="Y2555" s="47" t="n"/>
      <c r="Z2555" s="47" t="n"/>
      <c r="AA2555" s="47" t="n"/>
      <c r="AB2555" s="47" t="n"/>
      <c r="AC2555" s="47" t="n"/>
      <c r="AD2555" s="47" t="n"/>
      <c r="AE2555" s="47" t="n"/>
      <c r="AF2555" s="20">
        <f>IF(A2555="","",YEAR(EDATE(A2555,-3)))</f>
        <v/>
      </c>
      <c r="AG2555" s="20">
        <f>IF(OR(B2555="",'経歴簿'!$C$4=""),"",IF(B2555&amp;""='経歴簿'!$C$4&amp;"",MAX($AG$4:AG2554)+1,""))</f>
        <v/>
      </c>
      <c r="AH2555" s="20">
        <f>IF(A2555="",0,IF(AND(OR('CSV抽出'!$C$4="",A2555&gt;='CSV抽出'!$C$4),OR('CSV抽出'!$C$5="",A2555&lt;='CSV抽出'!$C$5),OR('CSV抽出'!$C$6="すべて",'CSV抽出'!$C$6="",D2555='CSV抽出'!$C$6),OR('CSV抽出'!$C$7="",B2555&amp;""='CSV抽出'!$C$7&amp;"")),1,0))</f>
        <v/>
      </c>
      <c r="AI2555" s="20">
        <f>IF(AH2555=1,SUM($AH$5:AH2555),"")</f>
        <v/>
      </c>
      <c r="AJ2555" s="20">
        <f>IF(OR(S2555="",'報告書'!$C$4=""),"",IF(S2555&amp;""='報告書'!$C$4&amp;"",COUNTIF($S$5:S2555,'報告書'!$C$4),""))</f>
        <v/>
      </c>
      <c r="AK2555" s="20" t="n"/>
      <c r="AL2555" s="47" t="n"/>
      <c r="AM2555" s="47" t="n"/>
      <c r="AN2555" s="53" t="n"/>
      <c r="AO2555" s="47" t="n"/>
      <c r="AP2555" s="47" t="n"/>
      <c r="AQ2555" s="47" t="n"/>
      <c r="AR2555" s="47" t="n"/>
      <c r="AS2555" s="47" t="n"/>
      <c r="AT2555" s="47" t="n"/>
      <c r="AU2555" s="47" t="n"/>
      <c r="AV2555" s="47" t="n"/>
      <c r="AW2555" s="52" t="n"/>
    </row>
    <row r="2556">
      <c r="A2556" s="48" t="n"/>
      <c r="B2556" s="52" t="n"/>
      <c r="C2556" s="47">
        <f>IF(B2556="","",IFERROR(INDEX('隊員マスタ'!$B$5:$B$204,MATCH(B2556&amp;"",'隊員マスタ'!$F$5:$F$204,0)),IF(AK2556="","番号なし",AK2556)))</f>
        <v/>
      </c>
      <c r="D2556" s="47" t="n"/>
      <c r="E2556" s="47" t="n"/>
      <c r="F2556" s="47" t="n"/>
      <c r="G2556" s="47" t="n"/>
      <c r="H2556" s="47" t="n"/>
      <c r="I2556" s="47" t="n"/>
      <c r="J2556" s="47" t="n"/>
      <c r="K2556" s="47" t="n"/>
      <c r="L2556" s="47" t="n"/>
      <c r="M2556" s="47" t="n"/>
      <c r="N2556" s="47" t="n"/>
      <c r="O2556" s="47" t="n"/>
      <c r="P2556" s="47" t="n"/>
      <c r="Q2556" s="47" t="n"/>
      <c r="R2556" s="47" t="n"/>
      <c r="S2556" s="47" t="n"/>
      <c r="T2556" s="47" t="n"/>
      <c r="U2556" s="53" t="n"/>
      <c r="V2556" s="53" t="n"/>
      <c r="W2556" s="47" t="n"/>
      <c r="X2556" s="47" t="n"/>
      <c r="Y2556" s="47" t="n"/>
      <c r="Z2556" s="47" t="n"/>
      <c r="AA2556" s="47" t="n"/>
      <c r="AB2556" s="47" t="n"/>
      <c r="AC2556" s="47" t="n"/>
      <c r="AD2556" s="47" t="n"/>
      <c r="AE2556" s="47" t="n"/>
      <c r="AF2556" s="20">
        <f>IF(A2556="","",YEAR(EDATE(A2556,-3)))</f>
        <v/>
      </c>
      <c r="AG2556" s="20">
        <f>IF(OR(B2556="",'経歴簿'!$C$4=""),"",IF(B2556&amp;""='経歴簿'!$C$4&amp;"",MAX($AG$4:AG2555)+1,""))</f>
        <v/>
      </c>
      <c r="AH2556" s="20">
        <f>IF(A2556="",0,IF(AND(OR('CSV抽出'!$C$4="",A2556&gt;='CSV抽出'!$C$4),OR('CSV抽出'!$C$5="",A2556&lt;='CSV抽出'!$C$5),OR('CSV抽出'!$C$6="すべて",'CSV抽出'!$C$6="",D2556='CSV抽出'!$C$6),OR('CSV抽出'!$C$7="",B2556&amp;""='CSV抽出'!$C$7&amp;"")),1,0))</f>
        <v/>
      </c>
      <c r="AI2556" s="20">
        <f>IF(AH2556=1,SUM($AH$5:AH2556),"")</f>
        <v/>
      </c>
      <c r="AJ2556" s="20">
        <f>IF(OR(S2556="",'報告書'!$C$4=""),"",IF(S2556&amp;""='報告書'!$C$4&amp;"",COUNTIF($S$5:S2556,'報告書'!$C$4),""))</f>
        <v/>
      </c>
      <c r="AK2556" s="20" t="n"/>
      <c r="AL2556" s="47" t="n"/>
      <c r="AM2556" s="47" t="n"/>
      <c r="AN2556" s="53" t="n"/>
      <c r="AO2556" s="47" t="n"/>
      <c r="AP2556" s="47" t="n"/>
      <c r="AQ2556" s="47" t="n"/>
      <c r="AR2556" s="47" t="n"/>
      <c r="AS2556" s="47" t="n"/>
      <c r="AT2556" s="47" t="n"/>
      <c r="AU2556" s="47" t="n"/>
      <c r="AV2556" s="47" t="n"/>
      <c r="AW2556" s="52" t="n"/>
    </row>
    <row r="2557">
      <c r="A2557" s="48" t="n"/>
      <c r="B2557" s="52" t="n"/>
      <c r="C2557" s="47">
        <f>IF(B2557="","",IFERROR(INDEX('隊員マスタ'!$B$5:$B$204,MATCH(B2557&amp;"",'隊員マスタ'!$F$5:$F$204,0)),IF(AK2557="","番号なし",AK2557)))</f>
        <v/>
      </c>
      <c r="D2557" s="47" t="n"/>
      <c r="E2557" s="47" t="n"/>
      <c r="F2557" s="47" t="n"/>
      <c r="G2557" s="47" t="n"/>
      <c r="H2557" s="47" t="n"/>
      <c r="I2557" s="47" t="n"/>
      <c r="J2557" s="47" t="n"/>
      <c r="K2557" s="47" t="n"/>
      <c r="L2557" s="47" t="n"/>
      <c r="M2557" s="47" t="n"/>
      <c r="N2557" s="47" t="n"/>
      <c r="O2557" s="47" t="n"/>
      <c r="P2557" s="47" t="n"/>
      <c r="Q2557" s="47" t="n"/>
      <c r="R2557" s="47" t="n"/>
      <c r="S2557" s="47" t="n"/>
      <c r="T2557" s="47" t="n"/>
      <c r="U2557" s="53" t="n"/>
      <c r="V2557" s="53" t="n"/>
      <c r="W2557" s="47" t="n"/>
      <c r="X2557" s="47" t="n"/>
      <c r="Y2557" s="47" t="n"/>
      <c r="Z2557" s="47" t="n"/>
      <c r="AA2557" s="47" t="n"/>
      <c r="AB2557" s="47" t="n"/>
      <c r="AC2557" s="47" t="n"/>
      <c r="AD2557" s="47" t="n"/>
      <c r="AE2557" s="47" t="n"/>
      <c r="AF2557" s="20">
        <f>IF(A2557="","",YEAR(EDATE(A2557,-3)))</f>
        <v/>
      </c>
      <c r="AG2557" s="20">
        <f>IF(OR(B2557="",'経歴簿'!$C$4=""),"",IF(B2557&amp;""='経歴簿'!$C$4&amp;"",MAX($AG$4:AG2556)+1,""))</f>
        <v/>
      </c>
      <c r="AH2557" s="20">
        <f>IF(A2557="",0,IF(AND(OR('CSV抽出'!$C$4="",A2557&gt;='CSV抽出'!$C$4),OR('CSV抽出'!$C$5="",A2557&lt;='CSV抽出'!$C$5),OR('CSV抽出'!$C$6="すべて",'CSV抽出'!$C$6="",D2557='CSV抽出'!$C$6),OR('CSV抽出'!$C$7="",B2557&amp;""='CSV抽出'!$C$7&amp;"")),1,0))</f>
        <v/>
      </c>
      <c r="AI2557" s="20">
        <f>IF(AH2557=1,SUM($AH$5:AH2557),"")</f>
        <v/>
      </c>
      <c r="AJ2557" s="20">
        <f>IF(OR(S2557="",'報告書'!$C$4=""),"",IF(S2557&amp;""='報告書'!$C$4&amp;"",COUNTIF($S$5:S2557,'報告書'!$C$4),""))</f>
        <v/>
      </c>
      <c r="AK2557" s="20" t="n"/>
      <c r="AL2557" s="47" t="n"/>
      <c r="AM2557" s="47" t="n"/>
      <c r="AN2557" s="53" t="n"/>
      <c r="AO2557" s="47" t="n"/>
      <c r="AP2557" s="47" t="n"/>
      <c r="AQ2557" s="47" t="n"/>
      <c r="AR2557" s="47" t="n"/>
      <c r="AS2557" s="47" t="n"/>
      <c r="AT2557" s="47" t="n"/>
      <c r="AU2557" s="47" t="n"/>
      <c r="AV2557" s="47" t="n"/>
      <c r="AW2557" s="52" t="n"/>
    </row>
    <row r="2558">
      <c r="A2558" s="48" t="n"/>
      <c r="B2558" s="52" t="n"/>
      <c r="C2558" s="47">
        <f>IF(B2558="","",IFERROR(INDEX('隊員マスタ'!$B$5:$B$204,MATCH(B2558&amp;"",'隊員マスタ'!$F$5:$F$204,0)),IF(AK2558="","番号なし",AK2558)))</f>
        <v/>
      </c>
      <c r="D2558" s="47" t="n"/>
      <c r="E2558" s="47" t="n"/>
      <c r="F2558" s="47" t="n"/>
      <c r="G2558" s="47" t="n"/>
      <c r="H2558" s="47" t="n"/>
      <c r="I2558" s="47" t="n"/>
      <c r="J2558" s="47" t="n"/>
      <c r="K2558" s="47" t="n"/>
      <c r="L2558" s="47" t="n"/>
      <c r="M2558" s="47" t="n"/>
      <c r="N2558" s="47" t="n"/>
      <c r="O2558" s="47" t="n"/>
      <c r="P2558" s="47" t="n"/>
      <c r="Q2558" s="47" t="n"/>
      <c r="R2558" s="47" t="n"/>
      <c r="S2558" s="47" t="n"/>
      <c r="T2558" s="47" t="n"/>
      <c r="U2558" s="53" t="n"/>
      <c r="V2558" s="53" t="n"/>
      <c r="W2558" s="47" t="n"/>
      <c r="X2558" s="47" t="n"/>
      <c r="Y2558" s="47" t="n"/>
      <c r="Z2558" s="47" t="n"/>
      <c r="AA2558" s="47" t="n"/>
      <c r="AB2558" s="47" t="n"/>
      <c r="AC2558" s="47" t="n"/>
      <c r="AD2558" s="47" t="n"/>
      <c r="AE2558" s="47" t="n"/>
      <c r="AF2558" s="20">
        <f>IF(A2558="","",YEAR(EDATE(A2558,-3)))</f>
        <v/>
      </c>
      <c r="AG2558" s="20">
        <f>IF(OR(B2558="",'経歴簿'!$C$4=""),"",IF(B2558&amp;""='経歴簿'!$C$4&amp;"",MAX($AG$4:AG2557)+1,""))</f>
        <v/>
      </c>
      <c r="AH2558" s="20">
        <f>IF(A2558="",0,IF(AND(OR('CSV抽出'!$C$4="",A2558&gt;='CSV抽出'!$C$4),OR('CSV抽出'!$C$5="",A2558&lt;='CSV抽出'!$C$5),OR('CSV抽出'!$C$6="すべて",'CSV抽出'!$C$6="",D2558='CSV抽出'!$C$6),OR('CSV抽出'!$C$7="",B2558&amp;""='CSV抽出'!$C$7&amp;"")),1,0))</f>
        <v/>
      </c>
      <c r="AI2558" s="20">
        <f>IF(AH2558=1,SUM($AH$5:AH2558),"")</f>
        <v/>
      </c>
      <c r="AJ2558" s="20">
        <f>IF(OR(S2558="",'報告書'!$C$4=""),"",IF(S2558&amp;""='報告書'!$C$4&amp;"",COUNTIF($S$5:S2558,'報告書'!$C$4),""))</f>
        <v/>
      </c>
      <c r="AK2558" s="20" t="n"/>
      <c r="AL2558" s="47" t="n"/>
      <c r="AM2558" s="47" t="n"/>
      <c r="AN2558" s="53" t="n"/>
      <c r="AO2558" s="47" t="n"/>
      <c r="AP2558" s="47" t="n"/>
      <c r="AQ2558" s="47" t="n"/>
      <c r="AR2558" s="47" t="n"/>
      <c r="AS2558" s="47" t="n"/>
      <c r="AT2558" s="47" t="n"/>
      <c r="AU2558" s="47" t="n"/>
      <c r="AV2558" s="47" t="n"/>
      <c r="AW2558" s="52" t="n"/>
    </row>
    <row r="2559">
      <c r="A2559" s="48" t="n"/>
      <c r="B2559" s="52" t="n"/>
      <c r="C2559" s="47">
        <f>IF(B2559="","",IFERROR(INDEX('隊員マスタ'!$B$5:$B$204,MATCH(B2559&amp;"",'隊員マスタ'!$F$5:$F$204,0)),IF(AK2559="","番号なし",AK2559)))</f>
        <v/>
      </c>
      <c r="D2559" s="47" t="n"/>
      <c r="E2559" s="47" t="n"/>
      <c r="F2559" s="47" t="n"/>
      <c r="G2559" s="47" t="n"/>
      <c r="H2559" s="47" t="n"/>
      <c r="I2559" s="47" t="n"/>
      <c r="J2559" s="47" t="n"/>
      <c r="K2559" s="47" t="n"/>
      <c r="L2559" s="47" t="n"/>
      <c r="M2559" s="47" t="n"/>
      <c r="N2559" s="47" t="n"/>
      <c r="O2559" s="47" t="n"/>
      <c r="P2559" s="47" t="n"/>
      <c r="Q2559" s="47" t="n"/>
      <c r="R2559" s="47" t="n"/>
      <c r="S2559" s="47" t="n"/>
      <c r="T2559" s="47" t="n"/>
      <c r="U2559" s="53" t="n"/>
      <c r="V2559" s="53" t="n"/>
      <c r="W2559" s="47" t="n"/>
      <c r="X2559" s="47" t="n"/>
      <c r="Y2559" s="47" t="n"/>
      <c r="Z2559" s="47" t="n"/>
      <c r="AA2559" s="47" t="n"/>
      <c r="AB2559" s="47" t="n"/>
      <c r="AC2559" s="47" t="n"/>
      <c r="AD2559" s="47" t="n"/>
      <c r="AE2559" s="47" t="n"/>
      <c r="AF2559" s="20">
        <f>IF(A2559="","",YEAR(EDATE(A2559,-3)))</f>
        <v/>
      </c>
      <c r="AG2559" s="20">
        <f>IF(OR(B2559="",'経歴簿'!$C$4=""),"",IF(B2559&amp;""='経歴簿'!$C$4&amp;"",MAX($AG$4:AG2558)+1,""))</f>
        <v/>
      </c>
      <c r="AH2559" s="20">
        <f>IF(A2559="",0,IF(AND(OR('CSV抽出'!$C$4="",A2559&gt;='CSV抽出'!$C$4),OR('CSV抽出'!$C$5="",A2559&lt;='CSV抽出'!$C$5),OR('CSV抽出'!$C$6="すべて",'CSV抽出'!$C$6="",D2559='CSV抽出'!$C$6),OR('CSV抽出'!$C$7="",B2559&amp;""='CSV抽出'!$C$7&amp;"")),1,0))</f>
        <v/>
      </c>
      <c r="AI2559" s="20">
        <f>IF(AH2559=1,SUM($AH$5:AH2559),"")</f>
        <v/>
      </c>
      <c r="AJ2559" s="20">
        <f>IF(OR(S2559="",'報告書'!$C$4=""),"",IF(S2559&amp;""='報告書'!$C$4&amp;"",COUNTIF($S$5:S2559,'報告書'!$C$4),""))</f>
        <v/>
      </c>
      <c r="AK2559" s="20" t="n"/>
      <c r="AL2559" s="47" t="n"/>
      <c r="AM2559" s="47" t="n"/>
      <c r="AN2559" s="53" t="n"/>
      <c r="AO2559" s="47" t="n"/>
      <c r="AP2559" s="47" t="n"/>
      <c r="AQ2559" s="47" t="n"/>
      <c r="AR2559" s="47" t="n"/>
      <c r="AS2559" s="47" t="n"/>
      <c r="AT2559" s="47" t="n"/>
      <c r="AU2559" s="47" t="n"/>
      <c r="AV2559" s="47" t="n"/>
      <c r="AW2559" s="52" t="n"/>
    </row>
    <row r="2560">
      <c r="A2560" s="48" t="n"/>
      <c r="B2560" s="52" t="n"/>
      <c r="C2560" s="47">
        <f>IF(B2560="","",IFERROR(INDEX('隊員マスタ'!$B$5:$B$204,MATCH(B2560&amp;"",'隊員マスタ'!$F$5:$F$204,0)),IF(AK2560="","番号なし",AK2560)))</f>
        <v/>
      </c>
      <c r="D2560" s="47" t="n"/>
      <c r="E2560" s="47" t="n"/>
      <c r="F2560" s="47" t="n"/>
      <c r="G2560" s="47" t="n"/>
      <c r="H2560" s="47" t="n"/>
      <c r="I2560" s="47" t="n"/>
      <c r="J2560" s="47" t="n"/>
      <c r="K2560" s="47" t="n"/>
      <c r="L2560" s="47" t="n"/>
      <c r="M2560" s="47" t="n"/>
      <c r="N2560" s="47" t="n"/>
      <c r="O2560" s="47" t="n"/>
      <c r="P2560" s="47" t="n"/>
      <c r="Q2560" s="47" t="n"/>
      <c r="R2560" s="47" t="n"/>
      <c r="S2560" s="47" t="n"/>
      <c r="T2560" s="47" t="n"/>
      <c r="U2560" s="53" t="n"/>
      <c r="V2560" s="53" t="n"/>
      <c r="W2560" s="47" t="n"/>
      <c r="X2560" s="47" t="n"/>
      <c r="Y2560" s="47" t="n"/>
      <c r="Z2560" s="47" t="n"/>
      <c r="AA2560" s="47" t="n"/>
      <c r="AB2560" s="47" t="n"/>
      <c r="AC2560" s="47" t="n"/>
      <c r="AD2560" s="47" t="n"/>
      <c r="AE2560" s="47" t="n"/>
      <c r="AF2560" s="20">
        <f>IF(A2560="","",YEAR(EDATE(A2560,-3)))</f>
        <v/>
      </c>
      <c r="AG2560" s="20">
        <f>IF(OR(B2560="",'経歴簿'!$C$4=""),"",IF(B2560&amp;""='経歴簿'!$C$4&amp;"",MAX($AG$4:AG2559)+1,""))</f>
        <v/>
      </c>
      <c r="AH2560" s="20">
        <f>IF(A2560="",0,IF(AND(OR('CSV抽出'!$C$4="",A2560&gt;='CSV抽出'!$C$4),OR('CSV抽出'!$C$5="",A2560&lt;='CSV抽出'!$C$5),OR('CSV抽出'!$C$6="すべて",'CSV抽出'!$C$6="",D2560='CSV抽出'!$C$6),OR('CSV抽出'!$C$7="",B2560&amp;""='CSV抽出'!$C$7&amp;"")),1,0))</f>
        <v/>
      </c>
      <c r="AI2560" s="20">
        <f>IF(AH2560=1,SUM($AH$5:AH2560),"")</f>
        <v/>
      </c>
      <c r="AJ2560" s="20">
        <f>IF(OR(S2560="",'報告書'!$C$4=""),"",IF(S2560&amp;""='報告書'!$C$4&amp;"",COUNTIF($S$5:S2560,'報告書'!$C$4),""))</f>
        <v/>
      </c>
      <c r="AK2560" s="20" t="n"/>
      <c r="AL2560" s="47" t="n"/>
      <c r="AM2560" s="47" t="n"/>
      <c r="AN2560" s="53" t="n"/>
      <c r="AO2560" s="47" t="n"/>
      <c r="AP2560" s="47" t="n"/>
      <c r="AQ2560" s="47" t="n"/>
      <c r="AR2560" s="47" t="n"/>
      <c r="AS2560" s="47" t="n"/>
      <c r="AT2560" s="47" t="n"/>
      <c r="AU2560" s="47" t="n"/>
      <c r="AV2560" s="47" t="n"/>
      <c r="AW2560" s="52" t="n"/>
    </row>
    <row r="2561">
      <c r="A2561" s="48" t="n"/>
      <c r="B2561" s="52" t="n"/>
      <c r="C2561" s="47">
        <f>IF(B2561="","",IFERROR(INDEX('隊員マスタ'!$B$5:$B$204,MATCH(B2561&amp;"",'隊員マスタ'!$F$5:$F$204,0)),IF(AK2561="","番号なし",AK2561)))</f>
        <v/>
      </c>
      <c r="D2561" s="47" t="n"/>
      <c r="E2561" s="47" t="n"/>
      <c r="F2561" s="47" t="n"/>
      <c r="G2561" s="47" t="n"/>
      <c r="H2561" s="47" t="n"/>
      <c r="I2561" s="47" t="n"/>
      <c r="J2561" s="47" t="n"/>
      <c r="K2561" s="47" t="n"/>
      <c r="L2561" s="47" t="n"/>
      <c r="M2561" s="47" t="n"/>
      <c r="N2561" s="47" t="n"/>
      <c r="O2561" s="47" t="n"/>
      <c r="P2561" s="47" t="n"/>
      <c r="Q2561" s="47" t="n"/>
      <c r="R2561" s="47" t="n"/>
      <c r="S2561" s="47" t="n"/>
      <c r="T2561" s="47" t="n"/>
      <c r="U2561" s="53" t="n"/>
      <c r="V2561" s="53" t="n"/>
      <c r="W2561" s="47" t="n"/>
      <c r="X2561" s="47" t="n"/>
      <c r="Y2561" s="47" t="n"/>
      <c r="Z2561" s="47" t="n"/>
      <c r="AA2561" s="47" t="n"/>
      <c r="AB2561" s="47" t="n"/>
      <c r="AC2561" s="47" t="n"/>
      <c r="AD2561" s="47" t="n"/>
      <c r="AE2561" s="47" t="n"/>
      <c r="AF2561" s="20">
        <f>IF(A2561="","",YEAR(EDATE(A2561,-3)))</f>
        <v/>
      </c>
      <c r="AG2561" s="20">
        <f>IF(OR(B2561="",'経歴簿'!$C$4=""),"",IF(B2561&amp;""='経歴簿'!$C$4&amp;"",MAX($AG$4:AG2560)+1,""))</f>
        <v/>
      </c>
      <c r="AH2561" s="20">
        <f>IF(A2561="",0,IF(AND(OR('CSV抽出'!$C$4="",A2561&gt;='CSV抽出'!$C$4),OR('CSV抽出'!$C$5="",A2561&lt;='CSV抽出'!$C$5),OR('CSV抽出'!$C$6="すべて",'CSV抽出'!$C$6="",D2561='CSV抽出'!$C$6),OR('CSV抽出'!$C$7="",B2561&amp;""='CSV抽出'!$C$7&amp;"")),1,0))</f>
        <v/>
      </c>
      <c r="AI2561" s="20">
        <f>IF(AH2561=1,SUM($AH$5:AH2561),"")</f>
        <v/>
      </c>
      <c r="AJ2561" s="20">
        <f>IF(OR(S2561="",'報告書'!$C$4=""),"",IF(S2561&amp;""='報告書'!$C$4&amp;"",COUNTIF($S$5:S2561,'報告書'!$C$4),""))</f>
        <v/>
      </c>
      <c r="AK2561" s="20" t="n"/>
      <c r="AL2561" s="47" t="n"/>
      <c r="AM2561" s="47" t="n"/>
      <c r="AN2561" s="53" t="n"/>
      <c r="AO2561" s="47" t="n"/>
      <c r="AP2561" s="47" t="n"/>
      <c r="AQ2561" s="47" t="n"/>
      <c r="AR2561" s="47" t="n"/>
      <c r="AS2561" s="47" t="n"/>
      <c r="AT2561" s="47" t="n"/>
      <c r="AU2561" s="47" t="n"/>
      <c r="AV2561" s="47" t="n"/>
      <c r="AW2561" s="52" t="n"/>
    </row>
    <row r="2562">
      <c r="A2562" s="48" t="n"/>
      <c r="B2562" s="52" t="n"/>
      <c r="C2562" s="47">
        <f>IF(B2562="","",IFERROR(INDEX('隊員マスタ'!$B$5:$B$204,MATCH(B2562&amp;"",'隊員マスタ'!$F$5:$F$204,0)),IF(AK2562="","番号なし",AK2562)))</f>
        <v/>
      </c>
      <c r="D2562" s="47" t="n"/>
      <c r="E2562" s="47" t="n"/>
      <c r="F2562" s="47" t="n"/>
      <c r="G2562" s="47" t="n"/>
      <c r="H2562" s="47" t="n"/>
      <c r="I2562" s="47" t="n"/>
      <c r="J2562" s="47" t="n"/>
      <c r="K2562" s="47" t="n"/>
      <c r="L2562" s="47" t="n"/>
      <c r="M2562" s="47" t="n"/>
      <c r="N2562" s="47" t="n"/>
      <c r="O2562" s="47" t="n"/>
      <c r="P2562" s="47" t="n"/>
      <c r="Q2562" s="47" t="n"/>
      <c r="R2562" s="47" t="n"/>
      <c r="S2562" s="47" t="n"/>
      <c r="T2562" s="47" t="n"/>
      <c r="U2562" s="53" t="n"/>
      <c r="V2562" s="53" t="n"/>
      <c r="W2562" s="47" t="n"/>
      <c r="X2562" s="47" t="n"/>
      <c r="Y2562" s="47" t="n"/>
      <c r="Z2562" s="47" t="n"/>
      <c r="AA2562" s="47" t="n"/>
      <c r="AB2562" s="47" t="n"/>
      <c r="AC2562" s="47" t="n"/>
      <c r="AD2562" s="47" t="n"/>
      <c r="AE2562" s="47" t="n"/>
      <c r="AF2562" s="20">
        <f>IF(A2562="","",YEAR(EDATE(A2562,-3)))</f>
        <v/>
      </c>
      <c r="AG2562" s="20">
        <f>IF(OR(B2562="",'経歴簿'!$C$4=""),"",IF(B2562&amp;""='経歴簿'!$C$4&amp;"",MAX($AG$4:AG2561)+1,""))</f>
        <v/>
      </c>
      <c r="AH2562" s="20">
        <f>IF(A2562="",0,IF(AND(OR('CSV抽出'!$C$4="",A2562&gt;='CSV抽出'!$C$4),OR('CSV抽出'!$C$5="",A2562&lt;='CSV抽出'!$C$5),OR('CSV抽出'!$C$6="すべて",'CSV抽出'!$C$6="",D2562='CSV抽出'!$C$6),OR('CSV抽出'!$C$7="",B2562&amp;""='CSV抽出'!$C$7&amp;"")),1,0))</f>
        <v/>
      </c>
      <c r="AI2562" s="20">
        <f>IF(AH2562=1,SUM($AH$5:AH2562),"")</f>
        <v/>
      </c>
      <c r="AJ2562" s="20">
        <f>IF(OR(S2562="",'報告書'!$C$4=""),"",IF(S2562&amp;""='報告書'!$C$4&amp;"",COUNTIF($S$5:S2562,'報告書'!$C$4),""))</f>
        <v/>
      </c>
      <c r="AK2562" s="20" t="n"/>
      <c r="AL2562" s="47" t="n"/>
      <c r="AM2562" s="47" t="n"/>
      <c r="AN2562" s="53" t="n"/>
      <c r="AO2562" s="47" t="n"/>
      <c r="AP2562" s="47" t="n"/>
      <c r="AQ2562" s="47" t="n"/>
      <c r="AR2562" s="47" t="n"/>
      <c r="AS2562" s="47" t="n"/>
      <c r="AT2562" s="47" t="n"/>
      <c r="AU2562" s="47" t="n"/>
      <c r="AV2562" s="47" t="n"/>
      <c r="AW2562" s="52" t="n"/>
    </row>
    <row r="2563">
      <c r="A2563" s="48" t="n"/>
      <c r="B2563" s="52" t="n"/>
      <c r="C2563" s="47">
        <f>IF(B2563="","",IFERROR(INDEX('隊員マスタ'!$B$5:$B$204,MATCH(B2563&amp;"",'隊員マスタ'!$F$5:$F$204,0)),IF(AK2563="","番号なし",AK2563)))</f>
        <v/>
      </c>
      <c r="D2563" s="47" t="n"/>
      <c r="E2563" s="47" t="n"/>
      <c r="F2563" s="47" t="n"/>
      <c r="G2563" s="47" t="n"/>
      <c r="H2563" s="47" t="n"/>
      <c r="I2563" s="47" t="n"/>
      <c r="J2563" s="47" t="n"/>
      <c r="K2563" s="47" t="n"/>
      <c r="L2563" s="47" t="n"/>
      <c r="M2563" s="47" t="n"/>
      <c r="N2563" s="47" t="n"/>
      <c r="O2563" s="47" t="n"/>
      <c r="P2563" s="47" t="n"/>
      <c r="Q2563" s="47" t="n"/>
      <c r="R2563" s="47" t="n"/>
      <c r="S2563" s="47" t="n"/>
      <c r="T2563" s="47" t="n"/>
      <c r="U2563" s="53" t="n"/>
      <c r="V2563" s="53" t="n"/>
      <c r="W2563" s="47" t="n"/>
      <c r="X2563" s="47" t="n"/>
      <c r="Y2563" s="47" t="n"/>
      <c r="Z2563" s="47" t="n"/>
      <c r="AA2563" s="47" t="n"/>
      <c r="AB2563" s="47" t="n"/>
      <c r="AC2563" s="47" t="n"/>
      <c r="AD2563" s="47" t="n"/>
      <c r="AE2563" s="47" t="n"/>
      <c r="AF2563" s="20">
        <f>IF(A2563="","",YEAR(EDATE(A2563,-3)))</f>
        <v/>
      </c>
      <c r="AG2563" s="20">
        <f>IF(OR(B2563="",'経歴簿'!$C$4=""),"",IF(B2563&amp;""='経歴簿'!$C$4&amp;"",MAX($AG$4:AG2562)+1,""))</f>
        <v/>
      </c>
      <c r="AH2563" s="20">
        <f>IF(A2563="",0,IF(AND(OR('CSV抽出'!$C$4="",A2563&gt;='CSV抽出'!$C$4),OR('CSV抽出'!$C$5="",A2563&lt;='CSV抽出'!$C$5),OR('CSV抽出'!$C$6="すべて",'CSV抽出'!$C$6="",D2563='CSV抽出'!$C$6),OR('CSV抽出'!$C$7="",B2563&amp;""='CSV抽出'!$C$7&amp;"")),1,0))</f>
        <v/>
      </c>
      <c r="AI2563" s="20">
        <f>IF(AH2563=1,SUM($AH$5:AH2563),"")</f>
        <v/>
      </c>
      <c r="AJ2563" s="20">
        <f>IF(OR(S2563="",'報告書'!$C$4=""),"",IF(S2563&amp;""='報告書'!$C$4&amp;"",COUNTIF($S$5:S2563,'報告書'!$C$4),""))</f>
        <v/>
      </c>
      <c r="AK2563" s="20" t="n"/>
      <c r="AL2563" s="47" t="n"/>
      <c r="AM2563" s="47" t="n"/>
      <c r="AN2563" s="53" t="n"/>
      <c r="AO2563" s="47" t="n"/>
      <c r="AP2563" s="47" t="n"/>
      <c r="AQ2563" s="47" t="n"/>
      <c r="AR2563" s="47" t="n"/>
      <c r="AS2563" s="47" t="n"/>
      <c r="AT2563" s="47" t="n"/>
      <c r="AU2563" s="47" t="n"/>
      <c r="AV2563" s="47" t="n"/>
      <c r="AW2563" s="52" t="n"/>
    </row>
    <row r="2564">
      <c r="A2564" s="48" t="n"/>
      <c r="B2564" s="52" t="n"/>
      <c r="C2564" s="47">
        <f>IF(B2564="","",IFERROR(INDEX('隊員マスタ'!$B$5:$B$204,MATCH(B2564&amp;"",'隊員マスタ'!$F$5:$F$204,0)),IF(AK2564="","番号なし",AK2564)))</f>
        <v/>
      </c>
      <c r="D2564" s="47" t="n"/>
      <c r="E2564" s="47" t="n"/>
      <c r="F2564" s="47" t="n"/>
      <c r="G2564" s="47" t="n"/>
      <c r="H2564" s="47" t="n"/>
      <c r="I2564" s="47" t="n"/>
      <c r="J2564" s="47" t="n"/>
      <c r="K2564" s="47" t="n"/>
      <c r="L2564" s="47" t="n"/>
      <c r="M2564" s="47" t="n"/>
      <c r="N2564" s="47" t="n"/>
      <c r="O2564" s="47" t="n"/>
      <c r="P2564" s="47" t="n"/>
      <c r="Q2564" s="47" t="n"/>
      <c r="R2564" s="47" t="n"/>
      <c r="S2564" s="47" t="n"/>
      <c r="T2564" s="47" t="n"/>
      <c r="U2564" s="53" t="n"/>
      <c r="V2564" s="53" t="n"/>
      <c r="W2564" s="47" t="n"/>
      <c r="X2564" s="47" t="n"/>
      <c r="Y2564" s="47" t="n"/>
      <c r="Z2564" s="47" t="n"/>
      <c r="AA2564" s="47" t="n"/>
      <c r="AB2564" s="47" t="n"/>
      <c r="AC2564" s="47" t="n"/>
      <c r="AD2564" s="47" t="n"/>
      <c r="AE2564" s="47" t="n"/>
      <c r="AF2564" s="20">
        <f>IF(A2564="","",YEAR(EDATE(A2564,-3)))</f>
        <v/>
      </c>
      <c r="AG2564" s="20">
        <f>IF(OR(B2564="",'経歴簿'!$C$4=""),"",IF(B2564&amp;""='経歴簿'!$C$4&amp;"",MAX($AG$4:AG2563)+1,""))</f>
        <v/>
      </c>
      <c r="AH2564" s="20">
        <f>IF(A2564="",0,IF(AND(OR('CSV抽出'!$C$4="",A2564&gt;='CSV抽出'!$C$4),OR('CSV抽出'!$C$5="",A2564&lt;='CSV抽出'!$C$5),OR('CSV抽出'!$C$6="すべて",'CSV抽出'!$C$6="",D2564='CSV抽出'!$C$6),OR('CSV抽出'!$C$7="",B2564&amp;""='CSV抽出'!$C$7&amp;"")),1,0))</f>
        <v/>
      </c>
      <c r="AI2564" s="20">
        <f>IF(AH2564=1,SUM($AH$5:AH2564),"")</f>
        <v/>
      </c>
      <c r="AJ2564" s="20">
        <f>IF(OR(S2564="",'報告書'!$C$4=""),"",IF(S2564&amp;""='報告書'!$C$4&amp;"",COUNTIF($S$5:S2564,'報告書'!$C$4),""))</f>
        <v/>
      </c>
      <c r="AK2564" s="20" t="n"/>
      <c r="AL2564" s="47" t="n"/>
      <c r="AM2564" s="47" t="n"/>
      <c r="AN2564" s="53" t="n"/>
      <c r="AO2564" s="47" t="n"/>
      <c r="AP2564" s="47" t="n"/>
      <c r="AQ2564" s="47" t="n"/>
      <c r="AR2564" s="47" t="n"/>
      <c r="AS2564" s="47" t="n"/>
      <c r="AT2564" s="47" t="n"/>
      <c r="AU2564" s="47" t="n"/>
      <c r="AV2564" s="47" t="n"/>
      <c r="AW2564" s="52" t="n"/>
    </row>
    <row r="2565">
      <c r="A2565" s="48" t="n"/>
      <c r="B2565" s="52" t="n"/>
      <c r="C2565" s="47">
        <f>IF(B2565="","",IFERROR(INDEX('隊員マスタ'!$B$5:$B$204,MATCH(B2565&amp;"",'隊員マスタ'!$F$5:$F$204,0)),IF(AK2565="","番号なし",AK2565)))</f>
        <v/>
      </c>
      <c r="D2565" s="47" t="n"/>
      <c r="E2565" s="47" t="n"/>
      <c r="F2565" s="47" t="n"/>
      <c r="G2565" s="47" t="n"/>
      <c r="H2565" s="47" t="n"/>
      <c r="I2565" s="47" t="n"/>
      <c r="J2565" s="47" t="n"/>
      <c r="K2565" s="47" t="n"/>
      <c r="L2565" s="47" t="n"/>
      <c r="M2565" s="47" t="n"/>
      <c r="N2565" s="47" t="n"/>
      <c r="O2565" s="47" t="n"/>
      <c r="P2565" s="47" t="n"/>
      <c r="Q2565" s="47" t="n"/>
      <c r="R2565" s="47" t="n"/>
      <c r="S2565" s="47" t="n"/>
      <c r="T2565" s="47" t="n"/>
      <c r="U2565" s="53" t="n"/>
      <c r="V2565" s="53" t="n"/>
      <c r="W2565" s="47" t="n"/>
      <c r="X2565" s="47" t="n"/>
      <c r="Y2565" s="47" t="n"/>
      <c r="Z2565" s="47" t="n"/>
      <c r="AA2565" s="47" t="n"/>
      <c r="AB2565" s="47" t="n"/>
      <c r="AC2565" s="47" t="n"/>
      <c r="AD2565" s="47" t="n"/>
      <c r="AE2565" s="47" t="n"/>
      <c r="AF2565" s="20">
        <f>IF(A2565="","",YEAR(EDATE(A2565,-3)))</f>
        <v/>
      </c>
      <c r="AG2565" s="20">
        <f>IF(OR(B2565="",'経歴簿'!$C$4=""),"",IF(B2565&amp;""='経歴簿'!$C$4&amp;"",MAX($AG$4:AG2564)+1,""))</f>
        <v/>
      </c>
      <c r="AH2565" s="20">
        <f>IF(A2565="",0,IF(AND(OR('CSV抽出'!$C$4="",A2565&gt;='CSV抽出'!$C$4),OR('CSV抽出'!$C$5="",A2565&lt;='CSV抽出'!$C$5),OR('CSV抽出'!$C$6="すべて",'CSV抽出'!$C$6="",D2565='CSV抽出'!$C$6),OR('CSV抽出'!$C$7="",B2565&amp;""='CSV抽出'!$C$7&amp;"")),1,0))</f>
        <v/>
      </c>
      <c r="AI2565" s="20">
        <f>IF(AH2565=1,SUM($AH$5:AH2565),"")</f>
        <v/>
      </c>
      <c r="AJ2565" s="20">
        <f>IF(OR(S2565="",'報告書'!$C$4=""),"",IF(S2565&amp;""='報告書'!$C$4&amp;"",COUNTIF($S$5:S2565,'報告書'!$C$4),""))</f>
        <v/>
      </c>
      <c r="AK2565" s="20" t="n"/>
      <c r="AL2565" s="47" t="n"/>
      <c r="AM2565" s="47" t="n"/>
      <c r="AN2565" s="53" t="n"/>
      <c r="AO2565" s="47" t="n"/>
      <c r="AP2565" s="47" t="n"/>
      <c r="AQ2565" s="47" t="n"/>
      <c r="AR2565" s="47" t="n"/>
      <c r="AS2565" s="47" t="n"/>
      <c r="AT2565" s="47" t="n"/>
      <c r="AU2565" s="47" t="n"/>
      <c r="AV2565" s="47" t="n"/>
      <c r="AW2565" s="52" t="n"/>
    </row>
    <row r="2566">
      <c r="A2566" s="48" t="n"/>
      <c r="B2566" s="52" t="n"/>
      <c r="C2566" s="47">
        <f>IF(B2566="","",IFERROR(INDEX('隊員マスタ'!$B$5:$B$204,MATCH(B2566&amp;"",'隊員マスタ'!$F$5:$F$204,0)),IF(AK2566="","番号なし",AK2566)))</f>
        <v/>
      </c>
      <c r="D2566" s="47" t="n"/>
      <c r="E2566" s="47" t="n"/>
      <c r="F2566" s="47" t="n"/>
      <c r="G2566" s="47" t="n"/>
      <c r="H2566" s="47" t="n"/>
      <c r="I2566" s="47" t="n"/>
      <c r="J2566" s="47" t="n"/>
      <c r="K2566" s="47" t="n"/>
      <c r="L2566" s="47" t="n"/>
      <c r="M2566" s="47" t="n"/>
      <c r="N2566" s="47" t="n"/>
      <c r="O2566" s="47" t="n"/>
      <c r="P2566" s="47" t="n"/>
      <c r="Q2566" s="47" t="n"/>
      <c r="R2566" s="47" t="n"/>
      <c r="S2566" s="47" t="n"/>
      <c r="T2566" s="47" t="n"/>
      <c r="U2566" s="53" t="n"/>
      <c r="V2566" s="53" t="n"/>
      <c r="W2566" s="47" t="n"/>
      <c r="X2566" s="47" t="n"/>
      <c r="Y2566" s="47" t="n"/>
      <c r="Z2566" s="47" t="n"/>
      <c r="AA2566" s="47" t="n"/>
      <c r="AB2566" s="47" t="n"/>
      <c r="AC2566" s="47" t="n"/>
      <c r="AD2566" s="47" t="n"/>
      <c r="AE2566" s="47" t="n"/>
      <c r="AF2566" s="20">
        <f>IF(A2566="","",YEAR(EDATE(A2566,-3)))</f>
        <v/>
      </c>
      <c r="AG2566" s="20">
        <f>IF(OR(B2566="",'経歴簿'!$C$4=""),"",IF(B2566&amp;""='経歴簿'!$C$4&amp;"",MAX($AG$4:AG2565)+1,""))</f>
        <v/>
      </c>
      <c r="AH2566" s="20">
        <f>IF(A2566="",0,IF(AND(OR('CSV抽出'!$C$4="",A2566&gt;='CSV抽出'!$C$4),OR('CSV抽出'!$C$5="",A2566&lt;='CSV抽出'!$C$5),OR('CSV抽出'!$C$6="すべて",'CSV抽出'!$C$6="",D2566='CSV抽出'!$C$6),OR('CSV抽出'!$C$7="",B2566&amp;""='CSV抽出'!$C$7&amp;"")),1,0))</f>
        <v/>
      </c>
      <c r="AI2566" s="20">
        <f>IF(AH2566=1,SUM($AH$5:AH2566),"")</f>
        <v/>
      </c>
      <c r="AJ2566" s="20">
        <f>IF(OR(S2566="",'報告書'!$C$4=""),"",IF(S2566&amp;""='報告書'!$C$4&amp;"",COUNTIF($S$5:S2566,'報告書'!$C$4),""))</f>
        <v/>
      </c>
      <c r="AK2566" s="20" t="n"/>
      <c r="AL2566" s="47" t="n"/>
      <c r="AM2566" s="47" t="n"/>
      <c r="AN2566" s="53" t="n"/>
      <c r="AO2566" s="47" t="n"/>
      <c r="AP2566" s="47" t="n"/>
      <c r="AQ2566" s="47" t="n"/>
      <c r="AR2566" s="47" t="n"/>
      <c r="AS2566" s="47" t="n"/>
      <c r="AT2566" s="47" t="n"/>
      <c r="AU2566" s="47" t="n"/>
      <c r="AV2566" s="47" t="n"/>
      <c r="AW2566" s="52" t="n"/>
    </row>
    <row r="2567">
      <c r="A2567" s="48" t="n"/>
      <c r="B2567" s="52" t="n"/>
      <c r="C2567" s="47">
        <f>IF(B2567="","",IFERROR(INDEX('隊員マスタ'!$B$5:$B$204,MATCH(B2567&amp;"",'隊員マスタ'!$F$5:$F$204,0)),IF(AK2567="","番号なし",AK2567)))</f>
        <v/>
      </c>
      <c r="D2567" s="47" t="n"/>
      <c r="E2567" s="47" t="n"/>
      <c r="F2567" s="47" t="n"/>
      <c r="G2567" s="47" t="n"/>
      <c r="H2567" s="47" t="n"/>
      <c r="I2567" s="47" t="n"/>
      <c r="J2567" s="47" t="n"/>
      <c r="K2567" s="47" t="n"/>
      <c r="L2567" s="47" t="n"/>
      <c r="M2567" s="47" t="n"/>
      <c r="N2567" s="47" t="n"/>
      <c r="O2567" s="47" t="n"/>
      <c r="P2567" s="47" t="n"/>
      <c r="Q2567" s="47" t="n"/>
      <c r="R2567" s="47" t="n"/>
      <c r="S2567" s="47" t="n"/>
      <c r="T2567" s="47" t="n"/>
      <c r="U2567" s="53" t="n"/>
      <c r="V2567" s="53" t="n"/>
      <c r="W2567" s="47" t="n"/>
      <c r="X2567" s="47" t="n"/>
      <c r="Y2567" s="47" t="n"/>
      <c r="Z2567" s="47" t="n"/>
      <c r="AA2567" s="47" t="n"/>
      <c r="AB2567" s="47" t="n"/>
      <c r="AC2567" s="47" t="n"/>
      <c r="AD2567" s="47" t="n"/>
      <c r="AE2567" s="47" t="n"/>
      <c r="AF2567" s="20">
        <f>IF(A2567="","",YEAR(EDATE(A2567,-3)))</f>
        <v/>
      </c>
      <c r="AG2567" s="20">
        <f>IF(OR(B2567="",'経歴簿'!$C$4=""),"",IF(B2567&amp;""='経歴簿'!$C$4&amp;"",MAX($AG$4:AG2566)+1,""))</f>
        <v/>
      </c>
      <c r="AH2567" s="20">
        <f>IF(A2567="",0,IF(AND(OR('CSV抽出'!$C$4="",A2567&gt;='CSV抽出'!$C$4),OR('CSV抽出'!$C$5="",A2567&lt;='CSV抽出'!$C$5),OR('CSV抽出'!$C$6="すべて",'CSV抽出'!$C$6="",D2567='CSV抽出'!$C$6),OR('CSV抽出'!$C$7="",B2567&amp;""='CSV抽出'!$C$7&amp;"")),1,0))</f>
        <v/>
      </c>
      <c r="AI2567" s="20">
        <f>IF(AH2567=1,SUM($AH$5:AH2567),"")</f>
        <v/>
      </c>
      <c r="AJ2567" s="20">
        <f>IF(OR(S2567="",'報告書'!$C$4=""),"",IF(S2567&amp;""='報告書'!$C$4&amp;"",COUNTIF($S$5:S2567,'報告書'!$C$4),""))</f>
        <v/>
      </c>
      <c r="AK2567" s="20" t="n"/>
      <c r="AL2567" s="47" t="n"/>
      <c r="AM2567" s="47" t="n"/>
      <c r="AN2567" s="53" t="n"/>
      <c r="AO2567" s="47" t="n"/>
      <c r="AP2567" s="47" t="n"/>
      <c r="AQ2567" s="47" t="n"/>
      <c r="AR2567" s="47" t="n"/>
      <c r="AS2567" s="47" t="n"/>
      <c r="AT2567" s="47" t="n"/>
      <c r="AU2567" s="47" t="n"/>
      <c r="AV2567" s="47" t="n"/>
      <c r="AW2567" s="52" t="n"/>
    </row>
    <row r="2568">
      <c r="A2568" s="48" t="n"/>
      <c r="B2568" s="52" t="n"/>
      <c r="C2568" s="47">
        <f>IF(B2568="","",IFERROR(INDEX('隊員マスタ'!$B$5:$B$204,MATCH(B2568&amp;"",'隊員マスタ'!$F$5:$F$204,0)),IF(AK2568="","番号なし",AK2568)))</f>
        <v/>
      </c>
      <c r="D2568" s="47" t="n"/>
      <c r="E2568" s="47" t="n"/>
      <c r="F2568" s="47" t="n"/>
      <c r="G2568" s="47" t="n"/>
      <c r="H2568" s="47" t="n"/>
      <c r="I2568" s="47" t="n"/>
      <c r="J2568" s="47" t="n"/>
      <c r="K2568" s="47" t="n"/>
      <c r="L2568" s="47" t="n"/>
      <c r="M2568" s="47" t="n"/>
      <c r="N2568" s="47" t="n"/>
      <c r="O2568" s="47" t="n"/>
      <c r="P2568" s="47" t="n"/>
      <c r="Q2568" s="47" t="n"/>
      <c r="R2568" s="47" t="n"/>
      <c r="S2568" s="47" t="n"/>
      <c r="T2568" s="47" t="n"/>
      <c r="U2568" s="53" t="n"/>
      <c r="V2568" s="53" t="n"/>
      <c r="W2568" s="47" t="n"/>
      <c r="X2568" s="47" t="n"/>
      <c r="Y2568" s="47" t="n"/>
      <c r="Z2568" s="47" t="n"/>
      <c r="AA2568" s="47" t="n"/>
      <c r="AB2568" s="47" t="n"/>
      <c r="AC2568" s="47" t="n"/>
      <c r="AD2568" s="47" t="n"/>
      <c r="AE2568" s="47" t="n"/>
      <c r="AF2568" s="20">
        <f>IF(A2568="","",YEAR(EDATE(A2568,-3)))</f>
        <v/>
      </c>
      <c r="AG2568" s="20">
        <f>IF(OR(B2568="",'経歴簿'!$C$4=""),"",IF(B2568&amp;""='経歴簿'!$C$4&amp;"",MAX($AG$4:AG2567)+1,""))</f>
        <v/>
      </c>
      <c r="AH2568" s="20">
        <f>IF(A2568="",0,IF(AND(OR('CSV抽出'!$C$4="",A2568&gt;='CSV抽出'!$C$4),OR('CSV抽出'!$C$5="",A2568&lt;='CSV抽出'!$C$5),OR('CSV抽出'!$C$6="すべて",'CSV抽出'!$C$6="",D2568='CSV抽出'!$C$6),OR('CSV抽出'!$C$7="",B2568&amp;""='CSV抽出'!$C$7&amp;"")),1,0))</f>
        <v/>
      </c>
      <c r="AI2568" s="20">
        <f>IF(AH2568=1,SUM($AH$5:AH2568),"")</f>
        <v/>
      </c>
      <c r="AJ2568" s="20">
        <f>IF(OR(S2568="",'報告書'!$C$4=""),"",IF(S2568&amp;""='報告書'!$C$4&amp;"",COUNTIF($S$5:S2568,'報告書'!$C$4),""))</f>
        <v/>
      </c>
      <c r="AK2568" s="20" t="n"/>
      <c r="AL2568" s="47" t="n"/>
      <c r="AM2568" s="47" t="n"/>
      <c r="AN2568" s="53" t="n"/>
      <c r="AO2568" s="47" t="n"/>
      <c r="AP2568" s="47" t="n"/>
      <c r="AQ2568" s="47" t="n"/>
      <c r="AR2568" s="47" t="n"/>
      <c r="AS2568" s="47" t="n"/>
      <c r="AT2568" s="47" t="n"/>
      <c r="AU2568" s="47" t="n"/>
      <c r="AV2568" s="47" t="n"/>
      <c r="AW2568" s="52" t="n"/>
    </row>
    <row r="2569">
      <c r="A2569" s="48" t="n"/>
      <c r="B2569" s="52" t="n"/>
      <c r="C2569" s="47">
        <f>IF(B2569="","",IFERROR(INDEX('隊員マスタ'!$B$5:$B$204,MATCH(B2569&amp;"",'隊員マスタ'!$F$5:$F$204,0)),IF(AK2569="","番号なし",AK2569)))</f>
        <v/>
      </c>
      <c r="D2569" s="47" t="n"/>
      <c r="E2569" s="47" t="n"/>
      <c r="F2569" s="47" t="n"/>
      <c r="G2569" s="47" t="n"/>
      <c r="H2569" s="47" t="n"/>
      <c r="I2569" s="47" t="n"/>
      <c r="J2569" s="47" t="n"/>
      <c r="K2569" s="47" t="n"/>
      <c r="L2569" s="47" t="n"/>
      <c r="M2569" s="47" t="n"/>
      <c r="N2569" s="47" t="n"/>
      <c r="O2569" s="47" t="n"/>
      <c r="P2569" s="47" t="n"/>
      <c r="Q2569" s="47" t="n"/>
      <c r="R2569" s="47" t="n"/>
      <c r="S2569" s="47" t="n"/>
      <c r="T2569" s="47" t="n"/>
      <c r="U2569" s="53" t="n"/>
      <c r="V2569" s="53" t="n"/>
      <c r="W2569" s="47" t="n"/>
      <c r="X2569" s="47" t="n"/>
      <c r="Y2569" s="47" t="n"/>
      <c r="Z2569" s="47" t="n"/>
      <c r="AA2569" s="47" t="n"/>
      <c r="AB2569" s="47" t="n"/>
      <c r="AC2569" s="47" t="n"/>
      <c r="AD2569" s="47" t="n"/>
      <c r="AE2569" s="47" t="n"/>
      <c r="AF2569" s="20">
        <f>IF(A2569="","",YEAR(EDATE(A2569,-3)))</f>
        <v/>
      </c>
      <c r="AG2569" s="20">
        <f>IF(OR(B2569="",'経歴簿'!$C$4=""),"",IF(B2569&amp;""='経歴簿'!$C$4&amp;"",MAX($AG$4:AG2568)+1,""))</f>
        <v/>
      </c>
      <c r="AH2569" s="20">
        <f>IF(A2569="",0,IF(AND(OR('CSV抽出'!$C$4="",A2569&gt;='CSV抽出'!$C$4),OR('CSV抽出'!$C$5="",A2569&lt;='CSV抽出'!$C$5),OR('CSV抽出'!$C$6="すべて",'CSV抽出'!$C$6="",D2569='CSV抽出'!$C$6),OR('CSV抽出'!$C$7="",B2569&amp;""='CSV抽出'!$C$7&amp;"")),1,0))</f>
        <v/>
      </c>
      <c r="AI2569" s="20">
        <f>IF(AH2569=1,SUM($AH$5:AH2569),"")</f>
        <v/>
      </c>
      <c r="AJ2569" s="20">
        <f>IF(OR(S2569="",'報告書'!$C$4=""),"",IF(S2569&amp;""='報告書'!$C$4&amp;"",COUNTIF($S$5:S2569,'報告書'!$C$4),""))</f>
        <v/>
      </c>
      <c r="AK2569" s="20" t="n"/>
      <c r="AL2569" s="47" t="n"/>
      <c r="AM2569" s="47" t="n"/>
      <c r="AN2569" s="53" t="n"/>
      <c r="AO2569" s="47" t="n"/>
      <c r="AP2569" s="47" t="n"/>
      <c r="AQ2569" s="47" t="n"/>
      <c r="AR2569" s="47" t="n"/>
      <c r="AS2569" s="47" t="n"/>
      <c r="AT2569" s="47" t="n"/>
      <c r="AU2569" s="47" t="n"/>
      <c r="AV2569" s="47" t="n"/>
      <c r="AW2569" s="52" t="n"/>
    </row>
    <row r="2570">
      <c r="A2570" s="48" t="n"/>
      <c r="B2570" s="52" t="n"/>
      <c r="C2570" s="47">
        <f>IF(B2570="","",IFERROR(INDEX('隊員マスタ'!$B$5:$B$204,MATCH(B2570&amp;"",'隊員マスタ'!$F$5:$F$204,0)),IF(AK2570="","番号なし",AK2570)))</f>
        <v/>
      </c>
      <c r="D2570" s="47" t="n"/>
      <c r="E2570" s="47" t="n"/>
      <c r="F2570" s="47" t="n"/>
      <c r="G2570" s="47" t="n"/>
      <c r="H2570" s="47" t="n"/>
      <c r="I2570" s="47" t="n"/>
      <c r="J2570" s="47" t="n"/>
      <c r="K2570" s="47" t="n"/>
      <c r="L2570" s="47" t="n"/>
      <c r="M2570" s="47" t="n"/>
      <c r="N2570" s="47" t="n"/>
      <c r="O2570" s="47" t="n"/>
      <c r="P2570" s="47" t="n"/>
      <c r="Q2570" s="47" t="n"/>
      <c r="R2570" s="47" t="n"/>
      <c r="S2570" s="47" t="n"/>
      <c r="T2570" s="47" t="n"/>
      <c r="U2570" s="53" t="n"/>
      <c r="V2570" s="53" t="n"/>
      <c r="W2570" s="47" t="n"/>
      <c r="X2570" s="47" t="n"/>
      <c r="Y2570" s="47" t="n"/>
      <c r="Z2570" s="47" t="n"/>
      <c r="AA2570" s="47" t="n"/>
      <c r="AB2570" s="47" t="n"/>
      <c r="AC2570" s="47" t="n"/>
      <c r="AD2570" s="47" t="n"/>
      <c r="AE2570" s="47" t="n"/>
      <c r="AF2570" s="20">
        <f>IF(A2570="","",YEAR(EDATE(A2570,-3)))</f>
        <v/>
      </c>
      <c r="AG2570" s="20">
        <f>IF(OR(B2570="",'経歴簿'!$C$4=""),"",IF(B2570&amp;""='経歴簿'!$C$4&amp;"",MAX($AG$4:AG2569)+1,""))</f>
        <v/>
      </c>
      <c r="AH2570" s="20">
        <f>IF(A2570="",0,IF(AND(OR('CSV抽出'!$C$4="",A2570&gt;='CSV抽出'!$C$4),OR('CSV抽出'!$C$5="",A2570&lt;='CSV抽出'!$C$5),OR('CSV抽出'!$C$6="すべて",'CSV抽出'!$C$6="",D2570='CSV抽出'!$C$6),OR('CSV抽出'!$C$7="",B2570&amp;""='CSV抽出'!$C$7&amp;"")),1,0))</f>
        <v/>
      </c>
      <c r="AI2570" s="20">
        <f>IF(AH2570=1,SUM($AH$5:AH2570),"")</f>
        <v/>
      </c>
      <c r="AJ2570" s="20">
        <f>IF(OR(S2570="",'報告書'!$C$4=""),"",IF(S2570&amp;""='報告書'!$C$4&amp;"",COUNTIF($S$5:S2570,'報告書'!$C$4),""))</f>
        <v/>
      </c>
      <c r="AK2570" s="20" t="n"/>
      <c r="AL2570" s="47" t="n"/>
      <c r="AM2570" s="47" t="n"/>
      <c r="AN2570" s="53" t="n"/>
      <c r="AO2570" s="47" t="n"/>
      <c r="AP2570" s="47" t="n"/>
      <c r="AQ2570" s="47" t="n"/>
      <c r="AR2570" s="47" t="n"/>
      <c r="AS2570" s="47" t="n"/>
      <c r="AT2570" s="47" t="n"/>
      <c r="AU2570" s="47" t="n"/>
      <c r="AV2570" s="47" t="n"/>
      <c r="AW2570" s="52" t="n"/>
    </row>
    <row r="2571">
      <c r="A2571" s="48" t="n"/>
      <c r="B2571" s="52" t="n"/>
      <c r="C2571" s="47">
        <f>IF(B2571="","",IFERROR(INDEX('隊員マスタ'!$B$5:$B$204,MATCH(B2571&amp;"",'隊員マスタ'!$F$5:$F$204,0)),IF(AK2571="","番号なし",AK2571)))</f>
        <v/>
      </c>
      <c r="D2571" s="47" t="n"/>
      <c r="E2571" s="47" t="n"/>
      <c r="F2571" s="47" t="n"/>
      <c r="G2571" s="47" t="n"/>
      <c r="H2571" s="47" t="n"/>
      <c r="I2571" s="47" t="n"/>
      <c r="J2571" s="47" t="n"/>
      <c r="K2571" s="47" t="n"/>
      <c r="L2571" s="47" t="n"/>
      <c r="M2571" s="47" t="n"/>
      <c r="N2571" s="47" t="n"/>
      <c r="O2571" s="47" t="n"/>
      <c r="P2571" s="47" t="n"/>
      <c r="Q2571" s="47" t="n"/>
      <c r="R2571" s="47" t="n"/>
      <c r="S2571" s="47" t="n"/>
      <c r="T2571" s="47" t="n"/>
      <c r="U2571" s="53" t="n"/>
      <c r="V2571" s="53" t="n"/>
      <c r="W2571" s="47" t="n"/>
      <c r="X2571" s="47" t="n"/>
      <c r="Y2571" s="47" t="n"/>
      <c r="Z2571" s="47" t="n"/>
      <c r="AA2571" s="47" t="n"/>
      <c r="AB2571" s="47" t="n"/>
      <c r="AC2571" s="47" t="n"/>
      <c r="AD2571" s="47" t="n"/>
      <c r="AE2571" s="47" t="n"/>
      <c r="AF2571" s="20">
        <f>IF(A2571="","",YEAR(EDATE(A2571,-3)))</f>
        <v/>
      </c>
      <c r="AG2571" s="20">
        <f>IF(OR(B2571="",'経歴簿'!$C$4=""),"",IF(B2571&amp;""='経歴簿'!$C$4&amp;"",MAX($AG$4:AG2570)+1,""))</f>
        <v/>
      </c>
      <c r="AH2571" s="20">
        <f>IF(A2571="",0,IF(AND(OR('CSV抽出'!$C$4="",A2571&gt;='CSV抽出'!$C$4),OR('CSV抽出'!$C$5="",A2571&lt;='CSV抽出'!$C$5),OR('CSV抽出'!$C$6="すべて",'CSV抽出'!$C$6="",D2571='CSV抽出'!$C$6),OR('CSV抽出'!$C$7="",B2571&amp;""='CSV抽出'!$C$7&amp;"")),1,0))</f>
        <v/>
      </c>
      <c r="AI2571" s="20">
        <f>IF(AH2571=1,SUM($AH$5:AH2571),"")</f>
        <v/>
      </c>
      <c r="AJ2571" s="20">
        <f>IF(OR(S2571="",'報告書'!$C$4=""),"",IF(S2571&amp;""='報告書'!$C$4&amp;"",COUNTIF($S$5:S2571,'報告書'!$C$4),""))</f>
        <v/>
      </c>
      <c r="AK2571" s="20" t="n"/>
      <c r="AL2571" s="47" t="n"/>
      <c r="AM2571" s="47" t="n"/>
      <c r="AN2571" s="53" t="n"/>
      <c r="AO2571" s="47" t="n"/>
      <c r="AP2571" s="47" t="n"/>
      <c r="AQ2571" s="47" t="n"/>
      <c r="AR2571" s="47" t="n"/>
      <c r="AS2571" s="47" t="n"/>
      <c r="AT2571" s="47" t="n"/>
      <c r="AU2571" s="47" t="n"/>
      <c r="AV2571" s="47" t="n"/>
      <c r="AW2571" s="52" t="n"/>
    </row>
    <row r="2572">
      <c r="A2572" s="48" t="n"/>
      <c r="B2572" s="52" t="n"/>
      <c r="C2572" s="47">
        <f>IF(B2572="","",IFERROR(INDEX('隊員マスタ'!$B$5:$B$204,MATCH(B2572&amp;"",'隊員マスタ'!$F$5:$F$204,0)),IF(AK2572="","番号なし",AK2572)))</f>
        <v/>
      </c>
      <c r="D2572" s="47" t="n"/>
      <c r="E2572" s="47" t="n"/>
      <c r="F2572" s="47" t="n"/>
      <c r="G2572" s="47" t="n"/>
      <c r="H2572" s="47" t="n"/>
      <c r="I2572" s="47" t="n"/>
      <c r="J2572" s="47" t="n"/>
      <c r="K2572" s="47" t="n"/>
      <c r="L2572" s="47" t="n"/>
      <c r="M2572" s="47" t="n"/>
      <c r="N2572" s="47" t="n"/>
      <c r="O2572" s="47" t="n"/>
      <c r="P2572" s="47" t="n"/>
      <c r="Q2572" s="47" t="n"/>
      <c r="R2572" s="47" t="n"/>
      <c r="S2572" s="47" t="n"/>
      <c r="T2572" s="47" t="n"/>
      <c r="U2572" s="53" t="n"/>
      <c r="V2572" s="53" t="n"/>
      <c r="W2572" s="47" t="n"/>
      <c r="X2572" s="47" t="n"/>
      <c r="Y2572" s="47" t="n"/>
      <c r="Z2572" s="47" t="n"/>
      <c r="AA2572" s="47" t="n"/>
      <c r="AB2572" s="47" t="n"/>
      <c r="AC2572" s="47" t="n"/>
      <c r="AD2572" s="47" t="n"/>
      <c r="AE2572" s="47" t="n"/>
      <c r="AF2572" s="20">
        <f>IF(A2572="","",YEAR(EDATE(A2572,-3)))</f>
        <v/>
      </c>
      <c r="AG2572" s="20">
        <f>IF(OR(B2572="",'経歴簿'!$C$4=""),"",IF(B2572&amp;""='経歴簿'!$C$4&amp;"",MAX($AG$4:AG2571)+1,""))</f>
        <v/>
      </c>
      <c r="AH2572" s="20">
        <f>IF(A2572="",0,IF(AND(OR('CSV抽出'!$C$4="",A2572&gt;='CSV抽出'!$C$4),OR('CSV抽出'!$C$5="",A2572&lt;='CSV抽出'!$C$5),OR('CSV抽出'!$C$6="すべて",'CSV抽出'!$C$6="",D2572='CSV抽出'!$C$6),OR('CSV抽出'!$C$7="",B2572&amp;""='CSV抽出'!$C$7&amp;"")),1,0))</f>
        <v/>
      </c>
      <c r="AI2572" s="20">
        <f>IF(AH2572=1,SUM($AH$5:AH2572),"")</f>
        <v/>
      </c>
      <c r="AJ2572" s="20">
        <f>IF(OR(S2572="",'報告書'!$C$4=""),"",IF(S2572&amp;""='報告書'!$C$4&amp;"",COUNTIF($S$5:S2572,'報告書'!$C$4),""))</f>
        <v/>
      </c>
      <c r="AK2572" s="20" t="n"/>
      <c r="AL2572" s="47" t="n"/>
      <c r="AM2572" s="47" t="n"/>
      <c r="AN2572" s="53" t="n"/>
      <c r="AO2572" s="47" t="n"/>
      <c r="AP2572" s="47" t="n"/>
      <c r="AQ2572" s="47" t="n"/>
      <c r="AR2572" s="47" t="n"/>
      <c r="AS2572" s="47" t="n"/>
      <c r="AT2572" s="47" t="n"/>
      <c r="AU2572" s="47" t="n"/>
      <c r="AV2572" s="47" t="n"/>
      <c r="AW2572" s="52" t="n"/>
    </row>
    <row r="2573">
      <c r="A2573" s="48" t="n"/>
      <c r="B2573" s="52" t="n"/>
      <c r="C2573" s="47">
        <f>IF(B2573="","",IFERROR(INDEX('隊員マスタ'!$B$5:$B$204,MATCH(B2573&amp;"",'隊員マスタ'!$F$5:$F$204,0)),IF(AK2573="","番号なし",AK2573)))</f>
        <v/>
      </c>
      <c r="D2573" s="47" t="n"/>
      <c r="E2573" s="47" t="n"/>
      <c r="F2573" s="47" t="n"/>
      <c r="G2573" s="47" t="n"/>
      <c r="H2573" s="47" t="n"/>
      <c r="I2573" s="47" t="n"/>
      <c r="J2573" s="47" t="n"/>
      <c r="K2573" s="47" t="n"/>
      <c r="L2573" s="47" t="n"/>
      <c r="M2573" s="47" t="n"/>
      <c r="N2573" s="47" t="n"/>
      <c r="O2573" s="47" t="n"/>
      <c r="P2573" s="47" t="n"/>
      <c r="Q2573" s="47" t="n"/>
      <c r="R2573" s="47" t="n"/>
      <c r="S2573" s="47" t="n"/>
      <c r="T2573" s="47" t="n"/>
      <c r="U2573" s="53" t="n"/>
      <c r="V2573" s="53" t="n"/>
      <c r="W2573" s="47" t="n"/>
      <c r="X2573" s="47" t="n"/>
      <c r="Y2573" s="47" t="n"/>
      <c r="Z2573" s="47" t="n"/>
      <c r="AA2573" s="47" t="n"/>
      <c r="AB2573" s="47" t="n"/>
      <c r="AC2573" s="47" t="n"/>
      <c r="AD2573" s="47" t="n"/>
      <c r="AE2573" s="47" t="n"/>
      <c r="AF2573" s="20">
        <f>IF(A2573="","",YEAR(EDATE(A2573,-3)))</f>
        <v/>
      </c>
      <c r="AG2573" s="20">
        <f>IF(OR(B2573="",'経歴簿'!$C$4=""),"",IF(B2573&amp;""='経歴簿'!$C$4&amp;"",MAX($AG$4:AG2572)+1,""))</f>
        <v/>
      </c>
      <c r="AH2573" s="20">
        <f>IF(A2573="",0,IF(AND(OR('CSV抽出'!$C$4="",A2573&gt;='CSV抽出'!$C$4),OR('CSV抽出'!$C$5="",A2573&lt;='CSV抽出'!$C$5),OR('CSV抽出'!$C$6="すべて",'CSV抽出'!$C$6="",D2573='CSV抽出'!$C$6),OR('CSV抽出'!$C$7="",B2573&amp;""='CSV抽出'!$C$7&amp;"")),1,0))</f>
        <v/>
      </c>
      <c r="AI2573" s="20">
        <f>IF(AH2573=1,SUM($AH$5:AH2573),"")</f>
        <v/>
      </c>
      <c r="AJ2573" s="20">
        <f>IF(OR(S2573="",'報告書'!$C$4=""),"",IF(S2573&amp;""='報告書'!$C$4&amp;"",COUNTIF($S$5:S2573,'報告書'!$C$4),""))</f>
        <v/>
      </c>
      <c r="AK2573" s="20" t="n"/>
      <c r="AL2573" s="47" t="n"/>
      <c r="AM2573" s="47" t="n"/>
      <c r="AN2573" s="53" t="n"/>
      <c r="AO2573" s="47" t="n"/>
      <c r="AP2573" s="47" t="n"/>
      <c r="AQ2573" s="47" t="n"/>
      <c r="AR2573" s="47" t="n"/>
      <c r="AS2573" s="47" t="n"/>
      <c r="AT2573" s="47" t="n"/>
      <c r="AU2573" s="47" t="n"/>
      <c r="AV2573" s="47" t="n"/>
      <c r="AW2573" s="52" t="n"/>
    </row>
    <row r="2574">
      <c r="A2574" s="48" t="n"/>
      <c r="B2574" s="52" t="n"/>
      <c r="C2574" s="47">
        <f>IF(B2574="","",IFERROR(INDEX('隊員マスタ'!$B$5:$B$204,MATCH(B2574&amp;"",'隊員マスタ'!$F$5:$F$204,0)),IF(AK2574="","番号なし",AK2574)))</f>
        <v/>
      </c>
      <c r="D2574" s="47" t="n"/>
      <c r="E2574" s="47" t="n"/>
      <c r="F2574" s="47" t="n"/>
      <c r="G2574" s="47" t="n"/>
      <c r="H2574" s="47" t="n"/>
      <c r="I2574" s="47" t="n"/>
      <c r="J2574" s="47" t="n"/>
      <c r="K2574" s="47" t="n"/>
      <c r="L2574" s="47" t="n"/>
      <c r="M2574" s="47" t="n"/>
      <c r="N2574" s="47" t="n"/>
      <c r="O2574" s="47" t="n"/>
      <c r="P2574" s="47" t="n"/>
      <c r="Q2574" s="47" t="n"/>
      <c r="R2574" s="47" t="n"/>
      <c r="S2574" s="47" t="n"/>
      <c r="T2574" s="47" t="n"/>
      <c r="U2574" s="53" t="n"/>
      <c r="V2574" s="53" t="n"/>
      <c r="W2574" s="47" t="n"/>
      <c r="X2574" s="47" t="n"/>
      <c r="Y2574" s="47" t="n"/>
      <c r="Z2574" s="47" t="n"/>
      <c r="AA2574" s="47" t="n"/>
      <c r="AB2574" s="47" t="n"/>
      <c r="AC2574" s="47" t="n"/>
      <c r="AD2574" s="47" t="n"/>
      <c r="AE2574" s="47" t="n"/>
      <c r="AF2574" s="20">
        <f>IF(A2574="","",YEAR(EDATE(A2574,-3)))</f>
        <v/>
      </c>
      <c r="AG2574" s="20">
        <f>IF(OR(B2574="",'経歴簿'!$C$4=""),"",IF(B2574&amp;""='経歴簿'!$C$4&amp;"",MAX($AG$4:AG2573)+1,""))</f>
        <v/>
      </c>
      <c r="AH2574" s="20">
        <f>IF(A2574="",0,IF(AND(OR('CSV抽出'!$C$4="",A2574&gt;='CSV抽出'!$C$4),OR('CSV抽出'!$C$5="",A2574&lt;='CSV抽出'!$C$5),OR('CSV抽出'!$C$6="すべて",'CSV抽出'!$C$6="",D2574='CSV抽出'!$C$6),OR('CSV抽出'!$C$7="",B2574&amp;""='CSV抽出'!$C$7&amp;"")),1,0))</f>
        <v/>
      </c>
      <c r="AI2574" s="20">
        <f>IF(AH2574=1,SUM($AH$5:AH2574),"")</f>
        <v/>
      </c>
      <c r="AJ2574" s="20">
        <f>IF(OR(S2574="",'報告書'!$C$4=""),"",IF(S2574&amp;""='報告書'!$C$4&amp;"",COUNTIF($S$5:S2574,'報告書'!$C$4),""))</f>
        <v/>
      </c>
      <c r="AK2574" s="20" t="n"/>
      <c r="AL2574" s="47" t="n"/>
      <c r="AM2574" s="47" t="n"/>
      <c r="AN2574" s="53" t="n"/>
      <c r="AO2574" s="47" t="n"/>
      <c r="AP2574" s="47" t="n"/>
      <c r="AQ2574" s="47" t="n"/>
      <c r="AR2574" s="47" t="n"/>
      <c r="AS2574" s="47" t="n"/>
      <c r="AT2574" s="47" t="n"/>
      <c r="AU2574" s="47" t="n"/>
      <c r="AV2574" s="47" t="n"/>
      <c r="AW2574" s="52" t="n"/>
    </row>
    <row r="2575">
      <c r="A2575" s="48" t="n"/>
      <c r="B2575" s="52" t="n"/>
      <c r="C2575" s="47">
        <f>IF(B2575="","",IFERROR(INDEX('隊員マスタ'!$B$5:$B$204,MATCH(B2575&amp;"",'隊員マスタ'!$F$5:$F$204,0)),IF(AK2575="","番号なし",AK2575)))</f>
        <v/>
      </c>
      <c r="D2575" s="47" t="n"/>
      <c r="E2575" s="47" t="n"/>
      <c r="F2575" s="47" t="n"/>
      <c r="G2575" s="47" t="n"/>
      <c r="H2575" s="47" t="n"/>
      <c r="I2575" s="47" t="n"/>
      <c r="J2575" s="47" t="n"/>
      <c r="K2575" s="47" t="n"/>
      <c r="L2575" s="47" t="n"/>
      <c r="M2575" s="47" t="n"/>
      <c r="N2575" s="47" t="n"/>
      <c r="O2575" s="47" t="n"/>
      <c r="P2575" s="47" t="n"/>
      <c r="Q2575" s="47" t="n"/>
      <c r="R2575" s="47" t="n"/>
      <c r="S2575" s="47" t="n"/>
      <c r="T2575" s="47" t="n"/>
      <c r="U2575" s="53" t="n"/>
      <c r="V2575" s="53" t="n"/>
      <c r="W2575" s="47" t="n"/>
      <c r="X2575" s="47" t="n"/>
      <c r="Y2575" s="47" t="n"/>
      <c r="Z2575" s="47" t="n"/>
      <c r="AA2575" s="47" t="n"/>
      <c r="AB2575" s="47" t="n"/>
      <c r="AC2575" s="47" t="n"/>
      <c r="AD2575" s="47" t="n"/>
      <c r="AE2575" s="47" t="n"/>
      <c r="AF2575" s="20">
        <f>IF(A2575="","",YEAR(EDATE(A2575,-3)))</f>
        <v/>
      </c>
      <c r="AG2575" s="20">
        <f>IF(OR(B2575="",'経歴簿'!$C$4=""),"",IF(B2575&amp;""='経歴簿'!$C$4&amp;"",MAX($AG$4:AG2574)+1,""))</f>
        <v/>
      </c>
      <c r="AH2575" s="20">
        <f>IF(A2575="",0,IF(AND(OR('CSV抽出'!$C$4="",A2575&gt;='CSV抽出'!$C$4),OR('CSV抽出'!$C$5="",A2575&lt;='CSV抽出'!$C$5),OR('CSV抽出'!$C$6="すべて",'CSV抽出'!$C$6="",D2575='CSV抽出'!$C$6),OR('CSV抽出'!$C$7="",B2575&amp;""='CSV抽出'!$C$7&amp;"")),1,0))</f>
        <v/>
      </c>
      <c r="AI2575" s="20">
        <f>IF(AH2575=1,SUM($AH$5:AH2575),"")</f>
        <v/>
      </c>
      <c r="AJ2575" s="20">
        <f>IF(OR(S2575="",'報告書'!$C$4=""),"",IF(S2575&amp;""='報告書'!$C$4&amp;"",COUNTIF($S$5:S2575,'報告書'!$C$4),""))</f>
        <v/>
      </c>
      <c r="AK2575" s="20" t="n"/>
      <c r="AL2575" s="47" t="n"/>
      <c r="AM2575" s="47" t="n"/>
      <c r="AN2575" s="53" t="n"/>
      <c r="AO2575" s="47" t="n"/>
      <c r="AP2575" s="47" t="n"/>
      <c r="AQ2575" s="47" t="n"/>
      <c r="AR2575" s="47" t="n"/>
      <c r="AS2575" s="47" t="n"/>
      <c r="AT2575" s="47" t="n"/>
      <c r="AU2575" s="47" t="n"/>
      <c r="AV2575" s="47" t="n"/>
      <c r="AW2575" s="52" t="n"/>
    </row>
    <row r="2576">
      <c r="A2576" s="48" t="n"/>
      <c r="B2576" s="52" t="n"/>
      <c r="C2576" s="47">
        <f>IF(B2576="","",IFERROR(INDEX('隊員マスタ'!$B$5:$B$204,MATCH(B2576&amp;"",'隊員マスタ'!$F$5:$F$204,0)),IF(AK2576="","番号なし",AK2576)))</f>
        <v/>
      </c>
      <c r="D2576" s="47" t="n"/>
      <c r="E2576" s="47" t="n"/>
      <c r="F2576" s="47" t="n"/>
      <c r="G2576" s="47" t="n"/>
      <c r="H2576" s="47" t="n"/>
      <c r="I2576" s="47" t="n"/>
      <c r="J2576" s="47" t="n"/>
      <c r="K2576" s="47" t="n"/>
      <c r="L2576" s="47" t="n"/>
      <c r="M2576" s="47" t="n"/>
      <c r="N2576" s="47" t="n"/>
      <c r="O2576" s="47" t="n"/>
      <c r="P2576" s="47" t="n"/>
      <c r="Q2576" s="47" t="n"/>
      <c r="R2576" s="47" t="n"/>
      <c r="S2576" s="47" t="n"/>
      <c r="T2576" s="47" t="n"/>
      <c r="U2576" s="53" t="n"/>
      <c r="V2576" s="53" t="n"/>
      <c r="W2576" s="47" t="n"/>
      <c r="X2576" s="47" t="n"/>
      <c r="Y2576" s="47" t="n"/>
      <c r="Z2576" s="47" t="n"/>
      <c r="AA2576" s="47" t="n"/>
      <c r="AB2576" s="47" t="n"/>
      <c r="AC2576" s="47" t="n"/>
      <c r="AD2576" s="47" t="n"/>
      <c r="AE2576" s="47" t="n"/>
      <c r="AF2576" s="20">
        <f>IF(A2576="","",YEAR(EDATE(A2576,-3)))</f>
        <v/>
      </c>
      <c r="AG2576" s="20">
        <f>IF(OR(B2576="",'経歴簿'!$C$4=""),"",IF(B2576&amp;""='経歴簿'!$C$4&amp;"",MAX($AG$4:AG2575)+1,""))</f>
        <v/>
      </c>
      <c r="AH2576" s="20">
        <f>IF(A2576="",0,IF(AND(OR('CSV抽出'!$C$4="",A2576&gt;='CSV抽出'!$C$4),OR('CSV抽出'!$C$5="",A2576&lt;='CSV抽出'!$C$5),OR('CSV抽出'!$C$6="すべて",'CSV抽出'!$C$6="",D2576='CSV抽出'!$C$6),OR('CSV抽出'!$C$7="",B2576&amp;""='CSV抽出'!$C$7&amp;"")),1,0))</f>
        <v/>
      </c>
      <c r="AI2576" s="20">
        <f>IF(AH2576=1,SUM($AH$5:AH2576),"")</f>
        <v/>
      </c>
      <c r="AJ2576" s="20">
        <f>IF(OR(S2576="",'報告書'!$C$4=""),"",IF(S2576&amp;""='報告書'!$C$4&amp;"",COUNTIF($S$5:S2576,'報告書'!$C$4),""))</f>
        <v/>
      </c>
      <c r="AK2576" s="20" t="n"/>
      <c r="AL2576" s="47" t="n"/>
      <c r="AM2576" s="47" t="n"/>
      <c r="AN2576" s="53" t="n"/>
      <c r="AO2576" s="47" t="n"/>
      <c r="AP2576" s="47" t="n"/>
      <c r="AQ2576" s="47" t="n"/>
      <c r="AR2576" s="47" t="n"/>
      <c r="AS2576" s="47" t="n"/>
      <c r="AT2576" s="47" t="n"/>
      <c r="AU2576" s="47" t="n"/>
      <c r="AV2576" s="47" t="n"/>
      <c r="AW2576" s="52" t="n"/>
    </row>
    <row r="2577">
      <c r="A2577" s="48" t="n"/>
      <c r="B2577" s="52" t="n"/>
      <c r="C2577" s="47">
        <f>IF(B2577="","",IFERROR(INDEX('隊員マスタ'!$B$5:$B$204,MATCH(B2577&amp;"",'隊員マスタ'!$F$5:$F$204,0)),IF(AK2577="","番号なし",AK2577)))</f>
        <v/>
      </c>
      <c r="D2577" s="47" t="n"/>
      <c r="E2577" s="47" t="n"/>
      <c r="F2577" s="47" t="n"/>
      <c r="G2577" s="47" t="n"/>
      <c r="H2577" s="47" t="n"/>
      <c r="I2577" s="47" t="n"/>
      <c r="J2577" s="47" t="n"/>
      <c r="K2577" s="47" t="n"/>
      <c r="L2577" s="47" t="n"/>
      <c r="M2577" s="47" t="n"/>
      <c r="N2577" s="47" t="n"/>
      <c r="O2577" s="47" t="n"/>
      <c r="P2577" s="47" t="n"/>
      <c r="Q2577" s="47" t="n"/>
      <c r="R2577" s="47" t="n"/>
      <c r="S2577" s="47" t="n"/>
      <c r="T2577" s="47" t="n"/>
      <c r="U2577" s="53" t="n"/>
      <c r="V2577" s="53" t="n"/>
      <c r="W2577" s="47" t="n"/>
      <c r="X2577" s="47" t="n"/>
      <c r="Y2577" s="47" t="n"/>
      <c r="Z2577" s="47" t="n"/>
      <c r="AA2577" s="47" t="n"/>
      <c r="AB2577" s="47" t="n"/>
      <c r="AC2577" s="47" t="n"/>
      <c r="AD2577" s="47" t="n"/>
      <c r="AE2577" s="47" t="n"/>
      <c r="AF2577" s="20">
        <f>IF(A2577="","",YEAR(EDATE(A2577,-3)))</f>
        <v/>
      </c>
      <c r="AG2577" s="20">
        <f>IF(OR(B2577="",'経歴簿'!$C$4=""),"",IF(B2577&amp;""='経歴簿'!$C$4&amp;"",MAX($AG$4:AG2576)+1,""))</f>
        <v/>
      </c>
      <c r="AH2577" s="20">
        <f>IF(A2577="",0,IF(AND(OR('CSV抽出'!$C$4="",A2577&gt;='CSV抽出'!$C$4),OR('CSV抽出'!$C$5="",A2577&lt;='CSV抽出'!$C$5),OR('CSV抽出'!$C$6="すべて",'CSV抽出'!$C$6="",D2577='CSV抽出'!$C$6),OR('CSV抽出'!$C$7="",B2577&amp;""='CSV抽出'!$C$7&amp;"")),1,0))</f>
        <v/>
      </c>
      <c r="AI2577" s="20">
        <f>IF(AH2577=1,SUM($AH$5:AH2577),"")</f>
        <v/>
      </c>
      <c r="AJ2577" s="20">
        <f>IF(OR(S2577="",'報告書'!$C$4=""),"",IF(S2577&amp;""='報告書'!$C$4&amp;"",COUNTIF($S$5:S2577,'報告書'!$C$4),""))</f>
        <v/>
      </c>
      <c r="AK2577" s="20" t="n"/>
      <c r="AL2577" s="47" t="n"/>
      <c r="AM2577" s="47" t="n"/>
      <c r="AN2577" s="53" t="n"/>
      <c r="AO2577" s="47" t="n"/>
      <c r="AP2577" s="47" t="n"/>
      <c r="AQ2577" s="47" t="n"/>
      <c r="AR2577" s="47" t="n"/>
      <c r="AS2577" s="47" t="n"/>
      <c r="AT2577" s="47" t="n"/>
      <c r="AU2577" s="47" t="n"/>
      <c r="AV2577" s="47" t="n"/>
      <c r="AW2577" s="52" t="n"/>
    </row>
    <row r="2578">
      <c r="A2578" s="48" t="n"/>
      <c r="B2578" s="52" t="n"/>
      <c r="C2578" s="47">
        <f>IF(B2578="","",IFERROR(INDEX('隊員マスタ'!$B$5:$B$204,MATCH(B2578&amp;"",'隊員マスタ'!$F$5:$F$204,0)),IF(AK2578="","番号なし",AK2578)))</f>
        <v/>
      </c>
      <c r="D2578" s="47" t="n"/>
      <c r="E2578" s="47" t="n"/>
      <c r="F2578" s="47" t="n"/>
      <c r="G2578" s="47" t="n"/>
      <c r="H2578" s="47" t="n"/>
      <c r="I2578" s="47" t="n"/>
      <c r="J2578" s="47" t="n"/>
      <c r="K2578" s="47" t="n"/>
      <c r="L2578" s="47" t="n"/>
      <c r="M2578" s="47" t="n"/>
      <c r="N2578" s="47" t="n"/>
      <c r="O2578" s="47" t="n"/>
      <c r="P2578" s="47" t="n"/>
      <c r="Q2578" s="47" t="n"/>
      <c r="R2578" s="47" t="n"/>
      <c r="S2578" s="47" t="n"/>
      <c r="T2578" s="47" t="n"/>
      <c r="U2578" s="53" t="n"/>
      <c r="V2578" s="53" t="n"/>
      <c r="W2578" s="47" t="n"/>
      <c r="X2578" s="47" t="n"/>
      <c r="Y2578" s="47" t="n"/>
      <c r="Z2578" s="47" t="n"/>
      <c r="AA2578" s="47" t="n"/>
      <c r="AB2578" s="47" t="n"/>
      <c r="AC2578" s="47" t="n"/>
      <c r="AD2578" s="47" t="n"/>
      <c r="AE2578" s="47" t="n"/>
      <c r="AF2578" s="20">
        <f>IF(A2578="","",YEAR(EDATE(A2578,-3)))</f>
        <v/>
      </c>
      <c r="AG2578" s="20">
        <f>IF(OR(B2578="",'経歴簿'!$C$4=""),"",IF(B2578&amp;""='経歴簿'!$C$4&amp;"",MAX($AG$4:AG2577)+1,""))</f>
        <v/>
      </c>
      <c r="AH2578" s="20">
        <f>IF(A2578="",0,IF(AND(OR('CSV抽出'!$C$4="",A2578&gt;='CSV抽出'!$C$4),OR('CSV抽出'!$C$5="",A2578&lt;='CSV抽出'!$C$5),OR('CSV抽出'!$C$6="すべて",'CSV抽出'!$C$6="",D2578='CSV抽出'!$C$6),OR('CSV抽出'!$C$7="",B2578&amp;""='CSV抽出'!$C$7&amp;"")),1,0))</f>
        <v/>
      </c>
      <c r="AI2578" s="20">
        <f>IF(AH2578=1,SUM($AH$5:AH2578),"")</f>
        <v/>
      </c>
      <c r="AJ2578" s="20">
        <f>IF(OR(S2578="",'報告書'!$C$4=""),"",IF(S2578&amp;""='報告書'!$C$4&amp;"",COUNTIF($S$5:S2578,'報告書'!$C$4),""))</f>
        <v/>
      </c>
      <c r="AK2578" s="20" t="n"/>
      <c r="AL2578" s="47" t="n"/>
      <c r="AM2578" s="47" t="n"/>
      <c r="AN2578" s="53" t="n"/>
      <c r="AO2578" s="47" t="n"/>
      <c r="AP2578" s="47" t="n"/>
      <c r="AQ2578" s="47" t="n"/>
      <c r="AR2578" s="47" t="n"/>
      <c r="AS2578" s="47" t="n"/>
      <c r="AT2578" s="47" t="n"/>
      <c r="AU2578" s="47" t="n"/>
      <c r="AV2578" s="47" t="n"/>
      <c r="AW2578" s="52" t="n"/>
    </row>
    <row r="2579">
      <c r="A2579" s="48" t="n"/>
      <c r="B2579" s="52" t="n"/>
      <c r="C2579" s="47">
        <f>IF(B2579="","",IFERROR(INDEX('隊員マスタ'!$B$5:$B$204,MATCH(B2579&amp;"",'隊員マスタ'!$F$5:$F$204,0)),IF(AK2579="","番号なし",AK2579)))</f>
        <v/>
      </c>
      <c r="D2579" s="47" t="n"/>
      <c r="E2579" s="47" t="n"/>
      <c r="F2579" s="47" t="n"/>
      <c r="G2579" s="47" t="n"/>
      <c r="H2579" s="47" t="n"/>
      <c r="I2579" s="47" t="n"/>
      <c r="J2579" s="47" t="n"/>
      <c r="K2579" s="47" t="n"/>
      <c r="L2579" s="47" t="n"/>
      <c r="M2579" s="47" t="n"/>
      <c r="N2579" s="47" t="n"/>
      <c r="O2579" s="47" t="n"/>
      <c r="P2579" s="47" t="n"/>
      <c r="Q2579" s="47" t="n"/>
      <c r="R2579" s="47" t="n"/>
      <c r="S2579" s="47" t="n"/>
      <c r="T2579" s="47" t="n"/>
      <c r="U2579" s="53" t="n"/>
      <c r="V2579" s="53" t="n"/>
      <c r="W2579" s="47" t="n"/>
      <c r="X2579" s="47" t="n"/>
      <c r="Y2579" s="47" t="n"/>
      <c r="Z2579" s="47" t="n"/>
      <c r="AA2579" s="47" t="n"/>
      <c r="AB2579" s="47" t="n"/>
      <c r="AC2579" s="47" t="n"/>
      <c r="AD2579" s="47" t="n"/>
      <c r="AE2579" s="47" t="n"/>
      <c r="AF2579" s="20">
        <f>IF(A2579="","",YEAR(EDATE(A2579,-3)))</f>
        <v/>
      </c>
      <c r="AG2579" s="20">
        <f>IF(OR(B2579="",'経歴簿'!$C$4=""),"",IF(B2579&amp;""='経歴簿'!$C$4&amp;"",MAX($AG$4:AG2578)+1,""))</f>
        <v/>
      </c>
      <c r="AH2579" s="20">
        <f>IF(A2579="",0,IF(AND(OR('CSV抽出'!$C$4="",A2579&gt;='CSV抽出'!$C$4),OR('CSV抽出'!$C$5="",A2579&lt;='CSV抽出'!$C$5),OR('CSV抽出'!$C$6="すべて",'CSV抽出'!$C$6="",D2579='CSV抽出'!$C$6),OR('CSV抽出'!$C$7="",B2579&amp;""='CSV抽出'!$C$7&amp;"")),1,0))</f>
        <v/>
      </c>
      <c r="AI2579" s="20">
        <f>IF(AH2579=1,SUM($AH$5:AH2579),"")</f>
        <v/>
      </c>
      <c r="AJ2579" s="20">
        <f>IF(OR(S2579="",'報告書'!$C$4=""),"",IF(S2579&amp;""='報告書'!$C$4&amp;"",COUNTIF($S$5:S2579,'報告書'!$C$4),""))</f>
        <v/>
      </c>
      <c r="AK2579" s="20" t="n"/>
      <c r="AL2579" s="47" t="n"/>
      <c r="AM2579" s="47" t="n"/>
      <c r="AN2579" s="53" t="n"/>
      <c r="AO2579" s="47" t="n"/>
      <c r="AP2579" s="47" t="n"/>
      <c r="AQ2579" s="47" t="n"/>
      <c r="AR2579" s="47" t="n"/>
      <c r="AS2579" s="47" t="n"/>
      <c r="AT2579" s="47" t="n"/>
      <c r="AU2579" s="47" t="n"/>
      <c r="AV2579" s="47" t="n"/>
      <c r="AW2579" s="52" t="n"/>
    </row>
    <row r="2580">
      <c r="A2580" s="48" t="n"/>
      <c r="B2580" s="52" t="n"/>
      <c r="C2580" s="47">
        <f>IF(B2580="","",IFERROR(INDEX('隊員マスタ'!$B$5:$B$204,MATCH(B2580&amp;"",'隊員マスタ'!$F$5:$F$204,0)),IF(AK2580="","番号なし",AK2580)))</f>
        <v/>
      </c>
      <c r="D2580" s="47" t="n"/>
      <c r="E2580" s="47" t="n"/>
      <c r="F2580" s="47" t="n"/>
      <c r="G2580" s="47" t="n"/>
      <c r="H2580" s="47" t="n"/>
      <c r="I2580" s="47" t="n"/>
      <c r="J2580" s="47" t="n"/>
      <c r="K2580" s="47" t="n"/>
      <c r="L2580" s="47" t="n"/>
      <c r="M2580" s="47" t="n"/>
      <c r="N2580" s="47" t="n"/>
      <c r="O2580" s="47" t="n"/>
      <c r="P2580" s="47" t="n"/>
      <c r="Q2580" s="47" t="n"/>
      <c r="R2580" s="47" t="n"/>
      <c r="S2580" s="47" t="n"/>
      <c r="T2580" s="47" t="n"/>
      <c r="U2580" s="53" t="n"/>
      <c r="V2580" s="53" t="n"/>
      <c r="W2580" s="47" t="n"/>
      <c r="X2580" s="47" t="n"/>
      <c r="Y2580" s="47" t="n"/>
      <c r="Z2580" s="47" t="n"/>
      <c r="AA2580" s="47" t="n"/>
      <c r="AB2580" s="47" t="n"/>
      <c r="AC2580" s="47" t="n"/>
      <c r="AD2580" s="47" t="n"/>
      <c r="AE2580" s="47" t="n"/>
      <c r="AF2580" s="20">
        <f>IF(A2580="","",YEAR(EDATE(A2580,-3)))</f>
        <v/>
      </c>
      <c r="AG2580" s="20">
        <f>IF(OR(B2580="",'経歴簿'!$C$4=""),"",IF(B2580&amp;""='経歴簿'!$C$4&amp;"",MAX($AG$4:AG2579)+1,""))</f>
        <v/>
      </c>
      <c r="AH2580" s="20">
        <f>IF(A2580="",0,IF(AND(OR('CSV抽出'!$C$4="",A2580&gt;='CSV抽出'!$C$4),OR('CSV抽出'!$C$5="",A2580&lt;='CSV抽出'!$C$5),OR('CSV抽出'!$C$6="すべて",'CSV抽出'!$C$6="",D2580='CSV抽出'!$C$6),OR('CSV抽出'!$C$7="",B2580&amp;""='CSV抽出'!$C$7&amp;"")),1,0))</f>
        <v/>
      </c>
      <c r="AI2580" s="20">
        <f>IF(AH2580=1,SUM($AH$5:AH2580),"")</f>
        <v/>
      </c>
      <c r="AJ2580" s="20">
        <f>IF(OR(S2580="",'報告書'!$C$4=""),"",IF(S2580&amp;""='報告書'!$C$4&amp;"",COUNTIF($S$5:S2580,'報告書'!$C$4),""))</f>
        <v/>
      </c>
      <c r="AK2580" s="20" t="n"/>
      <c r="AL2580" s="47" t="n"/>
      <c r="AM2580" s="47" t="n"/>
      <c r="AN2580" s="53" t="n"/>
      <c r="AO2580" s="47" t="n"/>
      <c r="AP2580" s="47" t="n"/>
      <c r="AQ2580" s="47" t="n"/>
      <c r="AR2580" s="47" t="n"/>
      <c r="AS2580" s="47" t="n"/>
      <c r="AT2580" s="47" t="n"/>
      <c r="AU2580" s="47" t="n"/>
      <c r="AV2580" s="47" t="n"/>
      <c r="AW2580" s="52" t="n"/>
    </row>
    <row r="2581">
      <c r="A2581" s="48" t="n"/>
      <c r="B2581" s="52" t="n"/>
      <c r="C2581" s="47">
        <f>IF(B2581="","",IFERROR(INDEX('隊員マスタ'!$B$5:$B$204,MATCH(B2581&amp;"",'隊員マスタ'!$F$5:$F$204,0)),IF(AK2581="","番号なし",AK2581)))</f>
        <v/>
      </c>
      <c r="D2581" s="47" t="n"/>
      <c r="E2581" s="47" t="n"/>
      <c r="F2581" s="47" t="n"/>
      <c r="G2581" s="47" t="n"/>
      <c r="H2581" s="47" t="n"/>
      <c r="I2581" s="47" t="n"/>
      <c r="J2581" s="47" t="n"/>
      <c r="K2581" s="47" t="n"/>
      <c r="L2581" s="47" t="n"/>
      <c r="M2581" s="47" t="n"/>
      <c r="N2581" s="47" t="n"/>
      <c r="O2581" s="47" t="n"/>
      <c r="P2581" s="47" t="n"/>
      <c r="Q2581" s="47" t="n"/>
      <c r="R2581" s="47" t="n"/>
      <c r="S2581" s="47" t="n"/>
      <c r="T2581" s="47" t="n"/>
      <c r="U2581" s="53" t="n"/>
      <c r="V2581" s="53" t="n"/>
      <c r="W2581" s="47" t="n"/>
      <c r="X2581" s="47" t="n"/>
      <c r="Y2581" s="47" t="n"/>
      <c r="Z2581" s="47" t="n"/>
      <c r="AA2581" s="47" t="n"/>
      <c r="AB2581" s="47" t="n"/>
      <c r="AC2581" s="47" t="n"/>
      <c r="AD2581" s="47" t="n"/>
      <c r="AE2581" s="47" t="n"/>
      <c r="AF2581" s="20">
        <f>IF(A2581="","",YEAR(EDATE(A2581,-3)))</f>
        <v/>
      </c>
      <c r="AG2581" s="20">
        <f>IF(OR(B2581="",'経歴簿'!$C$4=""),"",IF(B2581&amp;""='経歴簿'!$C$4&amp;"",MAX($AG$4:AG2580)+1,""))</f>
        <v/>
      </c>
      <c r="AH2581" s="20">
        <f>IF(A2581="",0,IF(AND(OR('CSV抽出'!$C$4="",A2581&gt;='CSV抽出'!$C$4),OR('CSV抽出'!$C$5="",A2581&lt;='CSV抽出'!$C$5),OR('CSV抽出'!$C$6="すべて",'CSV抽出'!$C$6="",D2581='CSV抽出'!$C$6),OR('CSV抽出'!$C$7="",B2581&amp;""='CSV抽出'!$C$7&amp;"")),1,0))</f>
        <v/>
      </c>
      <c r="AI2581" s="20">
        <f>IF(AH2581=1,SUM($AH$5:AH2581),"")</f>
        <v/>
      </c>
      <c r="AJ2581" s="20">
        <f>IF(OR(S2581="",'報告書'!$C$4=""),"",IF(S2581&amp;""='報告書'!$C$4&amp;"",COUNTIF($S$5:S2581,'報告書'!$C$4),""))</f>
        <v/>
      </c>
      <c r="AK2581" s="20" t="n"/>
      <c r="AL2581" s="47" t="n"/>
      <c r="AM2581" s="47" t="n"/>
      <c r="AN2581" s="53" t="n"/>
      <c r="AO2581" s="47" t="n"/>
      <c r="AP2581" s="47" t="n"/>
      <c r="AQ2581" s="47" t="n"/>
      <c r="AR2581" s="47" t="n"/>
      <c r="AS2581" s="47" t="n"/>
      <c r="AT2581" s="47" t="n"/>
      <c r="AU2581" s="47" t="n"/>
      <c r="AV2581" s="47" t="n"/>
      <c r="AW2581" s="52" t="n"/>
    </row>
    <row r="2582">
      <c r="A2582" s="48" t="n"/>
      <c r="B2582" s="52" t="n"/>
      <c r="C2582" s="47">
        <f>IF(B2582="","",IFERROR(INDEX('隊員マスタ'!$B$5:$B$204,MATCH(B2582&amp;"",'隊員マスタ'!$F$5:$F$204,0)),IF(AK2582="","番号なし",AK2582)))</f>
        <v/>
      </c>
      <c r="D2582" s="47" t="n"/>
      <c r="E2582" s="47" t="n"/>
      <c r="F2582" s="47" t="n"/>
      <c r="G2582" s="47" t="n"/>
      <c r="H2582" s="47" t="n"/>
      <c r="I2582" s="47" t="n"/>
      <c r="J2582" s="47" t="n"/>
      <c r="K2582" s="47" t="n"/>
      <c r="L2582" s="47" t="n"/>
      <c r="M2582" s="47" t="n"/>
      <c r="N2582" s="47" t="n"/>
      <c r="O2582" s="47" t="n"/>
      <c r="P2582" s="47" t="n"/>
      <c r="Q2582" s="47" t="n"/>
      <c r="R2582" s="47" t="n"/>
      <c r="S2582" s="47" t="n"/>
      <c r="T2582" s="47" t="n"/>
      <c r="U2582" s="53" t="n"/>
      <c r="V2582" s="53" t="n"/>
      <c r="W2582" s="47" t="n"/>
      <c r="X2582" s="47" t="n"/>
      <c r="Y2582" s="47" t="n"/>
      <c r="Z2582" s="47" t="n"/>
      <c r="AA2582" s="47" t="n"/>
      <c r="AB2582" s="47" t="n"/>
      <c r="AC2582" s="47" t="n"/>
      <c r="AD2582" s="47" t="n"/>
      <c r="AE2582" s="47" t="n"/>
      <c r="AF2582" s="20">
        <f>IF(A2582="","",YEAR(EDATE(A2582,-3)))</f>
        <v/>
      </c>
      <c r="AG2582" s="20">
        <f>IF(OR(B2582="",'経歴簿'!$C$4=""),"",IF(B2582&amp;""='経歴簿'!$C$4&amp;"",MAX($AG$4:AG2581)+1,""))</f>
        <v/>
      </c>
      <c r="AH2582" s="20">
        <f>IF(A2582="",0,IF(AND(OR('CSV抽出'!$C$4="",A2582&gt;='CSV抽出'!$C$4),OR('CSV抽出'!$C$5="",A2582&lt;='CSV抽出'!$C$5),OR('CSV抽出'!$C$6="すべて",'CSV抽出'!$C$6="",D2582='CSV抽出'!$C$6),OR('CSV抽出'!$C$7="",B2582&amp;""='CSV抽出'!$C$7&amp;"")),1,0))</f>
        <v/>
      </c>
      <c r="AI2582" s="20">
        <f>IF(AH2582=1,SUM($AH$5:AH2582),"")</f>
        <v/>
      </c>
      <c r="AJ2582" s="20">
        <f>IF(OR(S2582="",'報告書'!$C$4=""),"",IF(S2582&amp;""='報告書'!$C$4&amp;"",COUNTIF($S$5:S2582,'報告書'!$C$4),""))</f>
        <v/>
      </c>
      <c r="AK2582" s="20" t="n"/>
      <c r="AL2582" s="47" t="n"/>
      <c r="AM2582" s="47" t="n"/>
      <c r="AN2582" s="53" t="n"/>
      <c r="AO2582" s="47" t="n"/>
      <c r="AP2582" s="47" t="n"/>
      <c r="AQ2582" s="47" t="n"/>
      <c r="AR2582" s="47" t="n"/>
      <c r="AS2582" s="47" t="n"/>
      <c r="AT2582" s="47" t="n"/>
      <c r="AU2582" s="47" t="n"/>
      <c r="AV2582" s="47" t="n"/>
      <c r="AW2582" s="52" t="n"/>
    </row>
    <row r="2583">
      <c r="A2583" s="48" t="n"/>
      <c r="B2583" s="52" t="n"/>
      <c r="C2583" s="47">
        <f>IF(B2583="","",IFERROR(INDEX('隊員マスタ'!$B$5:$B$204,MATCH(B2583&amp;"",'隊員マスタ'!$F$5:$F$204,0)),IF(AK2583="","番号なし",AK2583)))</f>
        <v/>
      </c>
      <c r="D2583" s="47" t="n"/>
      <c r="E2583" s="47" t="n"/>
      <c r="F2583" s="47" t="n"/>
      <c r="G2583" s="47" t="n"/>
      <c r="H2583" s="47" t="n"/>
      <c r="I2583" s="47" t="n"/>
      <c r="J2583" s="47" t="n"/>
      <c r="K2583" s="47" t="n"/>
      <c r="L2583" s="47" t="n"/>
      <c r="M2583" s="47" t="n"/>
      <c r="N2583" s="47" t="n"/>
      <c r="O2583" s="47" t="n"/>
      <c r="P2583" s="47" t="n"/>
      <c r="Q2583" s="47" t="n"/>
      <c r="R2583" s="47" t="n"/>
      <c r="S2583" s="47" t="n"/>
      <c r="T2583" s="47" t="n"/>
      <c r="U2583" s="53" t="n"/>
      <c r="V2583" s="53" t="n"/>
      <c r="W2583" s="47" t="n"/>
      <c r="X2583" s="47" t="n"/>
      <c r="Y2583" s="47" t="n"/>
      <c r="Z2583" s="47" t="n"/>
      <c r="AA2583" s="47" t="n"/>
      <c r="AB2583" s="47" t="n"/>
      <c r="AC2583" s="47" t="n"/>
      <c r="AD2583" s="47" t="n"/>
      <c r="AE2583" s="47" t="n"/>
      <c r="AF2583" s="20">
        <f>IF(A2583="","",YEAR(EDATE(A2583,-3)))</f>
        <v/>
      </c>
      <c r="AG2583" s="20">
        <f>IF(OR(B2583="",'経歴簿'!$C$4=""),"",IF(B2583&amp;""='経歴簿'!$C$4&amp;"",MAX($AG$4:AG2582)+1,""))</f>
        <v/>
      </c>
      <c r="AH2583" s="20">
        <f>IF(A2583="",0,IF(AND(OR('CSV抽出'!$C$4="",A2583&gt;='CSV抽出'!$C$4),OR('CSV抽出'!$C$5="",A2583&lt;='CSV抽出'!$C$5),OR('CSV抽出'!$C$6="すべて",'CSV抽出'!$C$6="",D2583='CSV抽出'!$C$6),OR('CSV抽出'!$C$7="",B2583&amp;""='CSV抽出'!$C$7&amp;"")),1,0))</f>
        <v/>
      </c>
      <c r="AI2583" s="20">
        <f>IF(AH2583=1,SUM($AH$5:AH2583),"")</f>
        <v/>
      </c>
      <c r="AJ2583" s="20">
        <f>IF(OR(S2583="",'報告書'!$C$4=""),"",IF(S2583&amp;""='報告書'!$C$4&amp;"",COUNTIF($S$5:S2583,'報告書'!$C$4),""))</f>
        <v/>
      </c>
      <c r="AK2583" s="20" t="n"/>
      <c r="AL2583" s="47" t="n"/>
      <c r="AM2583" s="47" t="n"/>
      <c r="AN2583" s="53" t="n"/>
      <c r="AO2583" s="47" t="n"/>
      <c r="AP2583" s="47" t="n"/>
      <c r="AQ2583" s="47" t="n"/>
      <c r="AR2583" s="47" t="n"/>
      <c r="AS2583" s="47" t="n"/>
      <c r="AT2583" s="47" t="n"/>
      <c r="AU2583" s="47" t="n"/>
      <c r="AV2583" s="47" t="n"/>
      <c r="AW2583" s="52" t="n"/>
    </row>
    <row r="2584">
      <c r="A2584" s="48" t="n"/>
      <c r="B2584" s="52" t="n"/>
      <c r="C2584" s="47">
        <f>IF(B2584="","",IFERROR(INDEX('隊員マスタ'!$B$5:$B$204,MATCH(B2584&amp;"",'隊員マスタ'!$F$5:$F$204,0)),IF(AK2584="","番号なし",AK2584)))</f>
        <v/>
      </c>
      <c r="D2584" s="47" t="n"/>
      <c r="E2584" s="47" t="n"/>
      <c r="F2584" s="47" t="n"/>
      <c r="G2584" s="47" t="n"/>
      <c r="H2584" s="47" t="n"/>
      <c r="I2584" s="47" t="n"/>
      <c r="J2584" s="47" t="n"/>
      <c r="K2584" s="47" t="n"/>
      <c r="L2584" s="47" t="n"/>
      <c r="M2584" s="47" t="n"/>
      <c r="N2584" s="47" t="n"/>
      <c r="O2584" s="47" t="n"/>
      <c r="P2584" s="47" t="n"/>
      <c r="Q2584" s="47" t="n"/>
      <c r="R2584" s="47" t="n"/>
      <c r="S2584" s="47" t="n"/>
      <c r="T2584" s="47" t="n"/>
      <c r="U2584" s="53" t="n"/>
      <c r="V2584" s="53" t="n"/>
      <c r="W2584" s="47" t="n"/>
      <c r="X2584" s="47" t="n"/>
      <c r="Y2584" s="47" t="n"/>
      <c r="Z2584" s="47" t="n"/>
      <c r="AA2584" s="47" t="n"/>
      <c r="AB2584" s="47" t="n"/>
      <c r="AC2584" s="47" t="n"/>
      <c r="AD2584" s="47" t="n"/>
      <c r="AE2584" s="47" t="n"/>
      <c r="AF2584" s="20">
        <f>IF(A2584="","",YEAR(EDATE(A2584,-3)))</f>
        <v/>
      </c>
      <c r="AG2584" s="20">
        <f>IF(OR(B2584="",'経歴簿'!$C$4=""),"",IF(B2584&amp;""='経歴簿'!$C$4&amp;"",MAX($AG$4:AG2583)+1,""))</f>
        <v/>
      </c>
      <c r="AH2584" s="20">
        <f>IF(A2584="",0,IF(AND(OR('CSV抽出'!$C$4="",A2584&gt;='CSV抽出'!$C$4),OR('CSV抽出'!$C$5="",A2584&lt;='CSV抽出'!$C$5),OR('CSV抽出'!$C$6="すべて",'CSV抽出'!$C$6="",D2584='CSV抽出'!$C$6),OR('CSV抽出'!$C$7="",B2584&amp;""='CSV抽出'!$C$7&amp;"")),1,0))</f>
        <v/>
      </c>
      <c r="AI2584" s="20">
        <f>IF(AH2584=1,SUM($AH$5:AH2584),"")</f>
        <v/>
      </c>
      <c r="AJ2584" s="20">
        <f>IF(OR(S2584="",'報告書'!$C$4=""),"",IF(S2584&amp;""='報告書'!$C$4&amp;"",COUNTIF($S$5:S2584,'報告書'!$C$4),""))</f>
        <v/>
      </c>
      <c r="AK2584" s="20" t="n"/>
      <c r="AL2584" s="47" t="n"/>
      <c r="AM2584" s="47" t="n"/>
      <c r="AN2584" s="53" t="n"/>
      <c r="AO2584" s="47" t="n"/>
      <c r="AP2584" s="47" t="n"/>
      <c r="AQ2584" s="47" t="n"/>
      <c r="AR2584" s="47" t="n"/>
      <c r="AS2584" s="47" t="n"/>
      <c r="AT2584" s="47" t="n"/>
      <c r="AU2584" s="47" t="n"/>
      <c r="AV2584" s="47" t="n"/>
      <c r="AW2584" s="52" t="n"/>
    </row>
    <row r="2585">
      <c r="A2585" s="48" t="n"/>
      <c r="B2585" s="52" t="n"/>
      <c r="C2585" s="47">
        <f>IF(B2585="","",IFERROR(INDEX('隊員マスタ'!$B$5:$B$204,MATCH(B2585&amp;"",'隊員マスタ'!$F$5:$F$204,0)),IF(AK2585="","番号なし",AK2585)))</f>
        <v/>
      </c>
      <c r="D2585" s="47" t="n"/>
      <c r="E2585" s="47" t="n"/>
      <c r="F2585" s="47" t="n"/>
      <c r="G2585" s="47" t="n"/>
      <c r="H2585" s="47" t="n"/>
      <c r="I2585" s="47" t="n"/>
      <c r="J2585" s="47" t="n"/>
      <c r="K2585" s="47" t="n"/>
      <c r="L2585" s="47" t="n"/>
      <c r="M2585" s="47" t="n"/>
      <c r="N2585" s="47" t="n"/>
      <c r="O2585" s="47" t="n"/>
      <c r="P2585" s="47" t="n"/>
      <c r="Q2585" s="47" t="n"/>
      <c r="R2585" s="47" t="n"/>
      <c r="S2585" s="47" t="n"/>
      <c r="T2585" s="47" t="n"/>
      <c r="U2585" s="53" t="n"/>
      <c r="V2585" s="53" t="n"/>
      <c r="W2585" s="47" t="n"/>
      <c r="X2585" s="47" t="n"/>
      <c r="Y2585" s="47" t="n"/>
      <c r="Z2585" s="47" t="n"/>
      <c r="AA2585" s="47" t="n"/>
      <c r="AB2585" s="47" t="n"/>
      <c r="AC2585" s="47" t="n"/>
      <c r="AD2585" s="47" t="n"/>
      <c r="AE2585" s="47" t="n"/>
      <c r="AF2585" s="20">
        <f>IF(A2585="","",YEAR(EDATE(A2585,-3)))</f>
        <v/>
      </c>
      <c r="AG2585" s="20">
        <f>IF(OR(B2585="",'経歴簿'!$C$4=""),"",IF(B2585&amp;""='経歴簿'!$C$4&amp;"",MAX($AG$4:AG2584)+1,""))</f>
        <v/>
      </c>
      <c r="AH2585" s="20">
        <f>IF(A2585="",0,IF(AND(OR('CSV抽出'!$C$4="",A2585&gt;='CSV抽出'!$C$4),OR('CSV抽出'!$C$5="",A2585&lt;='CSV抽出'!$C$5),OR('CSV抽出'!$C$6="すべて",'CSV抽出'!$C$6="",D2585='CSV抽出'!$C$6),OR('CSV抽出'!$C$7="",B2585&amp;""='CSV抽出'!$C$7&amp;"")),1,0))</f>
        <v/>
      </c>
      <c r="AI2585" s="20">
        <f>IF(AH2585=1,SUM($AH$5:AH2585),"")</f>
        <v/>
      </c>
      <c r="AJ2585" s="20">
        <f>IF(OR(S2585="",'報告書'!$C$4=""),"",IF(S2585&amp;""='報告書'!$C$4&amp;"",COUNTIF($S$5:S2585,'報告書'!$C$4),""))</f>
        <v/>
      </c>
      <c r="AK2585" s="20" t="n"/>
      <c r="AL2585" s="47" t="n"/>
      <c r="AM2585" s="47" t="n"/>
      <c r="AN2585" s="53" t="n"/>
      <c r="AO2585" s="47" t="n"/>
      <c r="AP2585" s="47" t="n"/>
      <c r="AQ2585" s="47" t="n"/>
      <c r="AR2585" s="47" t="n"/>
      <c r="AS2585" s="47" t="n"/>
      <c r="AT2585" s="47" t="n"/>
      <c r="AU2585" s="47" t="n"/>
      <c r="AV2585" s="47" t="n"/>
      <c r="AW2585" s="52" t="n"/>
    </row>
    <row r="2586">
      <c r="A2586" s="48" t="n"/>
      <c r="B2586" s="52" t="n"/>
      <c r="C2586" s="47">
        <f>IF(B2586="","",IFERROR(INDEX('隊員マスタ'!$B$5:$B$204,MATCH(B2586&amp;"",'隊員マスタ'!$F$5:$F$204,0)),IF(AK2586="","番号なし",AK2586)))</f>
        <v/>
      </c>
      <c r="D2586" s="47" t="n"/>
      <c r="E2586" s="47" t="n"/>
      <c r="F2586" s="47" t="n"/>
      <c r="G2586" s="47" t="n"/>
      <c r="H2586" s="47" t="n"/>
      <c r="I2586" s="47" t="n"/>
      <c r="J2586" s="47" t="n"/>
      <c r="K2586" s="47" t="n"/>
      <c r="L2586" s="47" t="n"/>
      <c r="M2586" s="47" t="n"/>
      <c r="N2586" s="47" t="n"/>
      <c r="O2586" s="47" t="n"/>
      <c r="P2586" s="47" t="n"/>
      <c r="Q2586" s="47" t="n"/>
      <c r="R2586" s="47" t="n"/>
      <c r="S2586" s="47" t="n"/>
      <c r="T2586" s="47" t="n"/>
      <c r="U2586" s="53" t="n"/>
      <c r="V2586" s="53" t="n"/>
      <c r="W2586" s="47" t="n"/>
      <c r="X2586" s="47" t="n"/>
      <c r="Y2586" s="47" t="n"/>
      <c r="Z2586" s="47" t="n"/>
      <c r="AA2586" s="47" t="n"/>
      <c r="AB2586" s="47" t="n"/>
      <c r="AC2586" s="47" t="n"/>
      <c r="AD2586" s="47" t="n"/>
      <c r="AE2586" s="47" t="n"/>
      <c r="AF2586" s="20">
        <f>IF(A2586="","",YEAR(EDATE(A2586,-3)))</f>
        <v/>
      </c>
      <c r="AG2586" s="20">
        <f>IF(OR(B2586="",'経歴簿'!$C$4=""),"",IF(B2586&amp;""='経歴簿'!$C$4&amp;"",MAX($AG$4:AG2585)+1,""))</f>
        <v/>
      </c>
      <c r="AH2586" s="20">
        <f>IF(A2586="",0,IF(AND(OR('CSV抽出'!$C$4="",A2586&gt;='CSV抽出'!$C$4),OR('CSV抽出'!$C$5="",A2586&lt;='CSV抽出'!$C$5),OR('CSV抽出'!$C$6="すべて",'CSV抽出'!$C$6="",D2586='CSV抽出'!$C$6),OR('CSV抽出'!$C$7="",B2586&amp;""='CSV抽出'!$C$7&amp;"")),1,0))</f>
        <v/>
      </c>
      <c r="AI2586" s="20">
        <f>IF(AH2586=1,SUM($AH$5:AH2586),"")</f>
        <v/>
      </c>
      <c r="AJ2586" s="20">
        <f>IF(OR(S2586="",'報告書'!$C$4=""),"",IF(S2586&amp;""='報告書'!$C$4&amp;"",COUNTIF($S$5:S2586,'報告書'!$C$4),""))</f>
        <v/>
      </c>
      <c r="AK2586" s="20" t="n"/>
      <c r="AL2586" s="47" t="n"/>
      <c r="AM2586" s="47" t="n"/>
      <c r="AN2586" s="53" t="n"/>
      <c r="AO2586" s="47" t="n"/>
      <c r="AP2586" s="47" t="n"/>
      <c r="AQ2586" s="47" t="n"/>
      <c r="AR2586" s="47" t="n"/>
      <c r="AS2586" s="47" t="n"/>
      <c r="AT2586" s="47" t="n"/>
      <c r="AU2586" s="47" t="n"/>
      <c r="AV2586" s="47" t="n"/>
      <c r="AW2586" s="52" t="n"/>
    </row>
    <row r="2587">
      <c r="A2587" s="48" t="n"/>
      <c r="B2587" s="52" t="n"/>
      <c r="C2587" s="47">
        <f>IF(B2587="","",IFERROR(INDEX('隊員マスタ'!$B$5:$B$204,MATCH(B2587&amp;"",'隊員マスタ'!$F$5:$F$204,0)),IF(AK2587="","番号なし",AK2587)))</f>
        <v/>
      </c>
      <c r="D2587" s="47" t="n"/>
      <c r="E2587" s="47" t="n"/>
      <c r="F2587" s="47" t="n"/>
      <c r="G2587" s="47" t="n"/>
      <c r="H2587" s="47" t="n"/>
      <c r="I2587" s="47" t="n"/>
      <c r="J2587" s="47" t="n"/>
      <c r="K2587" s="47" t="n"/>
      <c r="L2587" s="47" t="n"/>
      <c r="M2587" s="47" t="n"/>
      <c r="N2587" s="47" t="n"/>
      <c r="O2587" s="47" t="n"/>
      <c r="P2587" s="47" t="n"/>
      <c r="Q2587" s="47" t="n"/>
      <c r="R2587" s="47" t="n"/>
      <c r="S2587" s="47" t="n"/>
      <c r="T2587" s="47" t="n"/>
      <c r="U2587" s="53" t="n"/>
      <c r="V2587" s="53" t="n"/>
      <c r="W2587" s="47" t="n"/>
      <c r="X2587" s="47" t="n"/>
      <c r="Y2587" s="47" t="n"/>
      <c r="Z2587" s="47" t="n"/>
      <c r="AA2587" s="47" t="n"/>
      <c r="AB2587" s="47" t="n"/>
      <c r="AC2587" s="47" t="n"/>
      <c r="AD2587" s="47" t="n"/>
      <c r="AE2587" s="47" t="n"/>
      <c r="AF2587" s="20">
        <f>IF(A2587="","",YEAR(EDATE(A2587,-3)))</f>
        <v/>
      </c>
      <c r="AG2587" s="20">
        <f>IF(OR(B2587="",'経歴簿'!$C$4=""),"",IF(B2587&amp;""='経歴簿'!$C$4&amp;"",MAX($AG$4:AG2586)+1,""))</f>
        <v/>
      </c>
      <c r="AH2587" s="20">
        <f>IF(A2587="",0,IF(AND(OR('CSV抽出'!$C$4="",A2587&gt;='CSV抽出'!$C$4),OR('CSV抽出'!$C$5="",A2587&lt;='CSV抽出'!$C$5),OR('CSV抽出'!$C$6="すべて",'CSV抽出'!$C$6="",D2587='CSV抽出'!$C$6),OR('CSV抽出'!$C$7="",B2587&amp;""='CSV抽出'!$C$7&amp;"")),1,0))</f>
        <v/>
      </c>
      <c r="AI2587" s="20">
        <f>IF(AH2587=1,SUM($AH$5:AH2587),"")</f>
        <v/>
      </c>
      <c r="AJ2587" s="20">
        <f>IF(OR(S2587="",'報告書'!$C$4=""),"",IF(S2587&amp;""='報告書'!$C$4&amp;"",COUNTIF($S$5:S2587,'報告書'!$C$4),""))</f>
        <v/>
      </c>
      <c r="AK2587" s="20" t="n"/>
      <c r="AL2587" s="47" t="n"/>
      <c r="AM2587" s="47" t="n"/>
      <c r="AN2587" s="53" t="n"/>
      <c r="AO2587" s="47" t="n"/>
      <c r="AP2587" s="47" t="n"/>
      <c r="AQ2587" s="47" t="n"/>
      <c r="AR2587" s="47" t="n"/>
      <c r="AS2587" s="47" t="n"/>
      <c r="AT2587" s="47" t="n"/>
      <c r="AU2587" s="47" t="n"/>
      <c r="AV2587" s="47" t="n"/>
      <c r="AW2587" s="52" t="n"/>
    </row>
    <row r="2588">
      <c r="A2588" s="48" t="n"/>
      <c r="B2588" s="52" t="n"/>
      <c r="C2588" s="47">
        <f>IF(B2588="","",IFERROR(INDEX('隊員マスタ'!$B$5:$B$204,MATCH(B2588&amp;"",'隊員マスタ'!$F$5:$F$204,0)),IF(AK2588="","番号なし",AK2588)))</f>
        <v/>
      </c>
      <c r="D2588" s="47" t="n"/>
      <c r="E2588" s="47" t="n"/>
      <c r="F2588" s="47" t="n"/>
      <c r="G2588" s="47" t="n"/>
      <c r="H2588" s="47" t="n"/>
      <c r="I2588" s="47" t="n"/>
      <c r="J2588" s="47" t="n"/>
      <c r="K2588" s="47" t="n"/>
      <c r="L2588" s="47" t="n"/>
      <c r="M2588" s="47" t="n"/>
      <c r="N2588" s="47" t="n"/>
      <c r="O2588" s="47" t="n"/>
      <c r="P2588" s="47" t="n"/>
      <c r="Q2588" s="47" t="n"/>
      <c r="R2588" s="47" t="n"/>
      <c r="S2588" s="47" t="n"/>
      <c r="T2588" s="47" t="n"/>
      <c r="U2588" s="53" t="n"/>
      <c r="V2588" s="53" t="n"/>
      <c r="W2588" s="47" t="n"/>
      <c r="X2588" s="47" t="n"/>
      <c r="Y2588" s="47" t="n"/>
      <c r="Z2588" s="47" t="n"/>
      <c r="AA2588" s="47" t="n"/>
      <c r="AB2588" s="47" t="n"/>
      <c r="AC2588" s="47" t="n"/>
      <c r="AD2588" s="47" t="n"/>
      <c r="AE2588" s="47" t="n"/>
      <c r="AF2588" s="20">
        <f>IF(A2588="","",YEAR(EDATE(A2588,-3)))</f>
        <v/>
      </c>
      <c r="AG2588" s="20">
        <f>IF(OR(B2588="",'経歴簿'!$C$4=""),"",IF(B2588&amp;""='経歴簿'!$C$4&amp;"",MAX($AG$4:AG2587)+1,""))</f>
        <v/>
      </c>
      <c r="AH2588" s="20">
        <f>IF(A2588="",0,IF(AND(OR('CSV抽出'!$C$4="",A2588&gt;='CSV抽出'!$C$4),OR('CSV抽出'!$C$5="",A2588&lt;='CSV抽出'!$C$5),OR('CSV抽出'!$C$6="すべて",'CSV抽出'!$C$6="",D2588='CSV抽出'!$C$6),OR('CSV抽出'!$C$7="",B2588&amp;""='CSV抽出'!$C$7&amp;"")),1,0))</f>
        <v/>
      </c>
      <c r="AI2588" s="20">
        <f>IF(AH2588=1,SUM($AH$5:AH2588),"")</f>
        <v/>
      </c>
      <c r="AJ2588" s="20">
        <f>IF(OR(S2588="",'報告書'!$C$4=""),"",IF(S2588&amp;""='報告書'!$C$4&amp;"",COUNTIF($S$5:S2588,'報告書'!$C$4),""))</f>
        <v/>
      </c>
      <c r="AK2588" s="20" t="n"/>
      <c r="AL2588" s="47" t="n"/>
      <c r="AM2588" s="47" t="n"/>
      <c r="AN2588" s="53" t="n"/>
      <c r="AO2588" s="47" t="n"/>
      <c r="AP2588" s="47" t="n"/>
      <c r="AQ2588" s="47" t="n"/>
      <c r="AR2588" s="47" t="n"/>
      <c r="AS2588" s="47" t="n"/>
      <c r="AT2588" s="47" t="n"/>
      <c r="AU2588" s="47" t="n"/>
      <c r="AV2588" s="47" t="n"/>
      <c r="AW2588" s="52" t="n"/>
    </row>
    <row r="2589">
      <c r="A2589" s="48" t="n"/>
      <c r="B2589" s="52" t="n"/>
      <c r="C2589" s="47">
        <f>IF(B2589="","",IFERROR(INDEX('隊員マスタ'!$B$5:$B$204,MATCH(B2589&amp;"",'隊員マスタ'!$F$5:$F$204,0)),IF(AK2589="","番号なし",AK2589)))</f>
        <v/>
      </c>
      <c r="D2589" s="47" t="n"/>
      <c r="E2589" s="47" t="n"/>
      <c r="F2589" s="47" t="n"/>
      <c r="G2589" s="47" t="n"/>
      <c r="H2589" s="47" t="n"/>
      <c r="I2589" s="47" t="n"/>
      <c r="J2589" s="47" t="n"/>
      <c r="K2589" s="47" t="n"/>
      <c r="L2589" s="47" t="n"/>
      <c r="M2589" s="47" t="n"/>
      <c r="N2589" s="47" t="n"/>
      <c r="O2589" s="47" t="n"/>
      <c r="P2589" s="47" t="n"/>
      <c r="Q2589" s="47" t="n"/>
      <c r="R2589" s="47" t="n"/>
      <c r="S2589" s="47" t="n"/>
      <c r="T2589" s="47" t="n"/>
      <c r="U2589" s="53" t="n"/>
      <c r="V2589" s="53" t="n"/>
      <c r="W2589" s="47" t="n"/>
      <c r="X2589" s="47" t="n"/>
      <c r="Y2589" s="47" t="n"/>
      <c r="Z2589" s="47" t="n"/>
      <c r="AA2589" s="47" t="n"/>
      <c r="AB2589" s="47" t="n"/>
      <c r="AC2589" s="47" t="n"/>
      <c r="AD2589" s="47" t="n"/>
      <c r="AE2589" s="47" t="n"/>
      <c r="AF2589" s="20">
        <f>IF(A2589="","",YEAR(EDATE(A2589,-3)))</f>
        <v/>
      </c>
      <c r="AG2589" s="20">
        <f>IF(OR(B2589="",'経歴簿'!$C$4=""),"",IF(B2589&amp;""='経歴簿'!$C$4&amp;"",MAX($AG$4:AG2588)+1,""))</f>
        <v/>
      </c>
      <c r="AH2589" s="20">
        <f>IF(A2589="",0,IF(AND(OR('CSV抽出'!$C$4="",A2589&gt;='CSV抽出'!$C$4),OR('CSV抽出'!$C$5="",A2589&lt;='CSV抽出'!$C$5),OR('CSV抽出'!$C$6="すべて",'CSV抽出'!$C$6="",D2589='CSV抽出'!$C$6),OR('CSV抽出'!$C$7="",B2589&amp;""='CSV抽出'!$C$7&amp;"")),1,0))</f>
        <v/>
      </c>
      <c r="AI2589" s="20">
        <f>IF(AH2589=1,SUM($AH$5:AH2589),"")</f>
        <v/>
      </c>
      <c r="AJ2589" s="20">
        <f>IF(OR(S2589="",'報告書'!$C$4=""),"",IF(S2589&amp;""='報告書'!$C$4&amp;"",COUNTIF($S$5:S2589,'報告書'!$C$4),""))</f>
        <v/>
      </c>
      <c r="AK2589" s="20" t="n"/>
      <c r="AL2589" s="47" t="n"/>
      <c r="AM2589" s="47" t="n"/>
      <c r="AN2589" s="53" t="n"/>
      <c r="AO2589" s="47" t="n"/>
      <c r="AP2589" s="47" t="n"/>
      <c r="AQ2589" s="47" t="n"/>
      <c r="AR2589" s="47" t="n"/>
      <c r="AS2589" s="47" t="n"/>
      <c r="AT2589" s="47" t="n"/>
      <c r="AU2589" s="47" t="n"/>
      <c r="AV2589" s="47" t="n"/>
      <c r="AW2589" s="52" t="n"/>
    </row>
    <row r="2590">
      <c r="A2590" s="48" t="n"/>
      <c r="B2590" s="52" t="n"/>
      <c r="C2590" s="47">
        <f>IF(B2590="","",IFERROR(INDEX('隊員マスタ'!$B$5:$B$204,MATCH(B2590&amp;"",'隊員マスタ'!$F$5:$F$204,0)),IF(AK2590="","番号なし",AK2590)))</f>
        <v/>
      </c>
      <c r="D2590" s="47" t="n"/>
      <c r="E2590" s="47" t="n"/>
      <c r="F2590" s="47" t="n"/>
      <c r="G2590" s="47" t="n"/>
      <c r="H2590" s="47" t="n"/>
      <c r="I2590" s="47" t="n"/>
      <c r="J2590" s="47" t="n"/>
      <c r="K2590" s="47" t="n"/>
      <c r="L2590" s="47" t="n"/>
      <c r="M2590" s="47" t="n"/>
      <c r="N2590" s="47" t="n"/>
      <c r="O2590" s="47" t="n"/>
      <c r="P2590" s="47" t="n"/>
      <c r="Q2590" s="47" t="n"/>
      <c r="R2590" s="47" t="n"/>
      <c r="S2590" s="47" t="n"/>
      <c r="T2590" s="47" t="n"/>
      <c r="U2590" s="53" t="n"/>
      <c r="V2590" s="53" t="n"/>
      <c r="W2590" s="47" t="n"/>
      <c r="X2590" s="47" t="n"/>
      <c r="Y2590" s="47" t="n"/>
      <c r="Z2590" s="47" t="n"/>
      <c r="AA2590" s="47" t="n"/>
      <c r="AB2590" s="47" t="n"/>
      <c r="AC2590" s="47" t="n"/>
      <c r="AD2590" s="47" t="n"/>
      <c r="AE2590" s="47" t="n"/>
      <c r="AF2590" s="20">
        <f>IF(A2590="","",YEAR(EDATE(A2590,-3)))</f>
        <v/>
      </c>
      <c r="AG2590" s="20">
        <f>IF(OR(B2590="",'経歴簿'!$C$4=""),"",IF(B2590&amp;""='経歴簿'!$C$4&amp;"",MAX($AG$4:AG2589)+1,""))</f>
        <v/>
      </c>
      <c r="AH2590" s="20">
        <f>IF(A2590="",0,IF(AND(OR('CSV抽出'!$C$4="",A2590&gt;='CSV抽出'!$C$4),OR('CSV抽出'!$C$5="",A2590&lt;='CSV抽出'!$C$5),OR('CSV抽出'!$C$6="すべて",'CSV抽出'!$C$6="",D2590='CSV抽出'!$C$6),OR('CSV抽出'!$C$7="",B2590&amp;""='CSV抽出'!$C$7&amp;"")),1,0))</f>
        <v/>
      </c>
      <c r="AI2590" s="20">
        <f>IF(AH2590=1,SUM($AH$5:AH2590),"")</f>
        <v/>
      </c>
      <c r="AJ2590" s="20">
        <f>IF(OR(S2590="",'報告書'!$C$4=""),"",IF(S2590&amp;""='報告書'!$C$4&amp;"",COUNTIF($S$5:S2590,'報告書'!$C$4),""))</f>
        <v/>
      </c>
      <c r="AK2590" s="20" t="n"/>
      <c r="AL2590" s="47" t="n"/>
      <c r="AM2590" s="47" t="n"/>
      <c r="AN2590" s="53" t="n"/>
      <c r="AO2590" s="47" t="n"/>
      <c r="AP2590" s="47" t="n"/>
      <c r="AQ2590" s="47" t="n"/>
      <c r="AR2590" s="47" t="n"/>
      <c r="AS2590" s="47" t="n"/>
      <c r="AT2590" s="47" t="n"/>
      <c r="AU2590" s="47" t="n"/>
      <c r="AV2590" s="47" t="n"/>
      <c r="AW2590" s="52" t="n"/>
    </row>
    <row r="2591">
      <c r="A2591" s="48" t="n"/>
      <c r="B2591" s="52" t="n"/>
      <c r="C2591" s="47">
        <f>IF(B2591="","",IFERROR(INDEX('隊員マスタ'!$B$5:$B$204,MATCH(B2591&amp;"",'隊員マスタ'!$F$5:$F$204,0)),IF(AK2591="","番号なし",AK2591)))</f>
        <v/>
      </c>
      <c r="D2591" s="47" t="n"/>
      <c r="E2591" s="47" t="n"/>
      <c r="F2591" s="47" t="n"/>
      <c r="G2591" s="47" t="n"/>
      <c r="H2591" s="47" t="n"/>
      <c r="I2591" s="47" t="n"/>
      <c r="J2591" s="47" t="n"/>
      <c r="K2591" s="47" t="n"/>
      <c r="L2591" s="47" t="n"/>
      <c r="M2591" s="47" t="n"/>
      <c r="N2591" s="47" t="n"/>
      <c r="O2591" s="47" t="n"/>
      <c r="P2591" s="47" t="n"/>
      <c r="Q2591" s="47" t="n"/>
      <c r="R2591" s="47" t="n"/>
      <c r="S2591" s="47" t="n"/>
      <c r="T2591" s="47" t="n"/>
      <c r="U2591" s="53" t="n"/>
      <c r="V2591" s="53" t="n"/>
      <c r="W2591" s="47" t="n"/>
      <c r="X2591" s="47" t="n"/>
      <c r="Y2591" s="47" t="n"/>
      <c r="Z2591" s="47" t="n"/>
      <c r="AA2591" s="47" t="n"/>
      <c r="AB2591" s="47" t="n"/>
      <c r="AC2591" s="47" t="n"/>
      <c r="AD2591" s="47" t="n"/>
      <c r="AE2591" s="47" t="n"/>
      <c r="AF2591" s="20">
        <f>IF(A2591="","",YEAR(EDATE(A2591,-3)))</f>
        <v/>
      </c>
      <c r="AG2591" s="20">
        <f>IF(OR(B2591="",'経歴簿'!$C$4=""),"",IF(B2591&amp;""='経歴簿'!$C$4&amp;"",MAX($AG$4:AG2590)+1,""))</f>
        <v/>
      </c>
      <c r="AH2591" s="20">
        <f>IF(A2591="",0,IF(AND(OR('CSV抽出'!$C$4="",A2591&gt;='CSV抽出'!$C$4),OR('CSV抽出'!$C$5="",A2591&lt;='CSV抽出'!$C$5),OR('CSV抽出'!$C$6="すべて",'CSV抽出'!$C$6="",D2591='CSV抽出'!$C$6),OR('CSV抽出'!$C$7="",B2591&amp;""='CSV抽出'!$C$7&amp;"")),1,0))</f>
        <v/>
      </c>
      <c r="AI2591" s="20">
        <f>IF(AH2591=1,SUM($AH$5:AH2591),"")</f>
        <v/>
      </c>
      <c r="AJ2591" s="20">
        <f>IF(OR(S2591="",'報告書'!$C$4=""),"",IF(S2591&amp;""='報告書'!$C$4&amp;"",COUNTIF($S$5:S2591,'報告書'!$C$4),""))</f>
        <v/>
      </c>
      <c r="AK2591" s="20" t="n"/>
      <c r="AL2591" s="47" t="n"/>
      <c r="AM2591" s="47" t="n"/>
      <c r="AN2591" s="53" t="n"/>
      <c r="AO2591" s="47" t="n"/>
      <c r="AP2591" s="47" t="n"/>
      <c r="AQ2591" s="47" t="n"/>
      <c r="AR2591" s="47" t="n"/>
      <c r="AS2591" s="47" t="n"/>
      <c r="AT2591" s="47" t="n"/>
      <c r="AU2591" s="47" t="n"/>
      <c r="AV2591" s="47" t="n"/>
      <c r="AW2591" s="52" t="n"/>
    </row>
    <row r="2592">
      <c r="A2592" s="48" t="n"/>
      <c r="B2592" s="52" t="n"/>
      <c r="C2592" s="47">
        <f>IF(B2592="","",IFERROR(INDEX('隊員マスタ'!$B$5:$B$204,MATCH(B2592&amp;"",'隊員マスタ'!$F$5:$F$204,0)),IF(AK2592="","番号なし",AK2592)))</f>
        <v/>
      </c>
      <c r="D2592" s="47" t="n"/>
      <c r="E2592" s="47" t="n"/>
      <c r="F2592" s="47" t="n"/>
      <c r="G2592" s="47" t="n"/>
      <c r="H2592" s="47" t="n"/>
      <c r="I2592" s="47" t="n"/>
      <c r="J2592" s="47" t="n"/>
      <c r="K2592" s="47" t="n"/>
      <c r="L2592" s="47" t="n"/>
      <c r="M2592" s="47" t="n"/>
      <c r="N2592" s="47" t="n"/>
      <c r="O2592" s="47" t="n"/>
      <c r="P2592" s="47" t="n"/>
      <c r="Q2592" s="47" t="n"/>
      <c r="R2592" s="47" t="n"/>
      <c r="S2592" s="47" t="n"/>
      <c r="T2592" s="47" t="n"/>
      <c r="U2592" s="53" t="n"/>
      <c r="V2592" s="53" t="n"/>
      <c r="W2592" s="47" t="n"/>
      <c r="X2592" s="47" t="n"/>
      <c r="Y2592" s="47" t="n"/>
      <c r="Z2592" s="47" t="n"/>
      <c r="AA2592" s="47" t="n"/>
      <c r="AB2592" s="47" t="n"/>
      <c r="AC2592" s="47" t="n"/>
      <c r="AD2592" s="47" t="n"/>
      <c r="AE2592" s="47" t="n"/>
      <c r="AF2592" s="20">
        <f>IF(A2592="","",YEAR(EDATE(A2592,-3)))</f>
        <v/>
      </c>
      <c r="AG2592" s="20">
        <f>IF(OR(B2592="",'経歴簿'!$C$4=""),"",IF(B2592&amp;""='経歴簿'!$C$4&amp;"",MAX($AG$4:AG2591)+1,""))</f>
        <v/>
      </c>
      <c r="AH2592" s="20">
        <f>IF(A2592="",0,IF(AND(OR('CSV抽出'!$C$4="",A2592&gt;='CSV抽出'!$C$4),OR('CSV抽出'!$C$5="",A2592&lt;='CSV抽出'!$C$5),OR('CSV抽出'!$C$6="すべて",'CSV抽出'!$C$6="",D2592='CSV抽出'!$C$6),OR('CSV抽出'!$C$7="",B2592&amp;""='CSV抽出'!$C$7&amp;"")),1,0))</f>
        <v/>
      </c>
      <c r="AI2592" s="20">
        <f>IF(AH2592=1,SUM($AH$5:AH2592),"")</f>
        <v/>
      </c>
      <c r="AJ2592" s="20">
        <f>IF(OR(S2592="",'報告書'!$C$4=""),"",IF(S2592&amp;""='報告書'!$C$4&amp;"",COUNTIF($S$5:S2592,'報告書'!$C$4),""))</f>
        <v/>
      </c>
      <c r="AK2592" s="20" t="n"/>
      <c r="AL2592" s="47" t="n"/>
      <c r="AM2592" s="47" t="n"/>
      <c r="AN2592" s="53" t="n"/>
      <c r="AO2592" s="47" t="n"/>
      <c r="AP2592" s="47" t="n"/>
      <c r="AQ2592" s="47" t="n"/>
      <c r="AR2592" s="47" t="n"/>
      <c r="AS2592" s="47" t="n"/>
      <c r="AT2592" s="47" t="n"/>
      <c r="AU2592" s="47" t="n"/>
      <c r="AV2592" s="47" t="n"/>
      <c r="AW2592" s="52" t="n"/>
    </row>
    <row r="2593">
      <c r="A2593" s="48" t="n"/>
      <c r="B2593" s="52" t="n"/>
      <c r="C2593" s="47">
        <f>IF(B2593="","",IFERROR(INDEX('隊員マスタ'!$B$5:$B$204,MATCH(B2593&amp;"",'隊員マスタ'!$F$5:$F$204,0)),IF(AK2593="","番号なし",AK2593)))</f>
        <v/>
      </c>
      <c r="D2593" s="47" t="n"/>
      <c r="E2593" s="47" t="n"/>
      <c r="F2593" s="47" t="n"/>
      <c r="G2593" s="47" t="n"/>
      <c r="H2593" s="47" t="n"/>
      <c r="I2593" s="47" t="n"/>
      <c r="J2593" s="47" t="n"/>
      <c r="K2593" s="47" t="n"/>
      <c r="L2593" s="47" t="n"/>
      <c r="M2593" s="47" t="n"/>
      <c r="N2593" s="47" t="n"/>
      <c r="O2593" s="47" t="n"/>
      <c r="P2593" s="47" t="n"/>
      <c r="Q2593" s="47" t="n"/>
      <c r="R2593" s="47" t="n"/>
      <c r="S2593" s="47" t="n"/>
      <c r="T2593" s="47" t="n"/>
      <c r="U2593" s="53" t="n"/>
      <c r="V2593" s="53" t="n"/>
      <c r="W2593" s="47" t="n"/>
      <c r="X2593" s="47" t="n"/>
      <c r="Y2593" s="47" t="n"/>
      <c r="Z2593" s="47" t="n"/>
      <c r="AA2593" s="47" t="n"/>
      <c r="AB2593" s="47" t="n"/>
      <c r="AC2593" s="47" t="n"/>
      <c r="AD2593" s="47" t="n"/>
      <c r="AE2593" s="47" t="n"/>
      <c r="AF2593" s="20">
        <f>IF(A2593="","",YEAR(EDATE(A2593,-3)))</f>
        <v/>
      </c>
      <c r="AG2593" s="20">
        <f>IF(OR(B2593="",'経歴簿'!$C$4=""),"",IF(B2593&amp;""='経歴簿'!$C$4&amp;"",MAX($AG$4:AG2592)+1,""))</f>
        <v/>
      </c>
      <c r="AH2593" s="20">
        <f>IF(A2593="",0,IF(AND(OR('CSV抽出'!$C$4="",A2593&gt;='CSV抽出'!$C$4),OR('CSV抽出'!$C$5="",A2593&lt;='CSV抽出'!$C$5),OR('CSV抽出'!$C$6="すべて",'CSV抽出'!$C$6="",D2593='CSV抽出'!$C$6),OR('CSV抽出'!$C$7="",B2593&amp;""='CSV抽出'!$C$7&amp;"")),1,0))</f>
        <v/>
      </c>
      <c r="AI2593" s="20">
        <f>IF(AH2593=1,SUM($AH$5:AH2593),"")</f>
        <v/>
      </c>
      <c r="AJ2593" s="20">
        <f>IF(OR(S2593="",'報告書'!$C$4=""),"",IF(S2593&amp;""='報告書'!$C$4&amp;"",COUNTIF($S$5:S2593,'報告書'!$C$4),""))</f>
        <v/>
      </c>
      <c r="AK2593" s="20" t="n"/>
      <c r="AL2593" s="47" t="n"/>
      <c r="AM2593" s="47" t="n"/>
      <c r="AN2593" s="53" t="n"/>
      <c r="AO2593" s="47" t="n"/>
      <c r="AP2593" s="47" t="n"/>
      <c r="AQ2593" s="47" t="n"/>
      <c r="AR2593" s="47" t="n"/>
      <c r="AS2593" s="47" t="n"/>
      <c r="AT2593" s="47" t="n"/>
      <c r="AU2593" s="47" t="n"/>
      <c r="AV2593" s="47" t="n"/>
      <c r="AW2593" s="52" t="n"/>
    </row>
    <row r="2594">
      <c r="A2594" s="48" t="n"/>
      <c r="B2594" s="52" t="n"/>
      <c r="C2594" s="47">
        <f>IF(B2594="","",IFERROR(INDEX('隊員マスタ'!$B$5:$B$204,MATCH(B2594&amp;"",'隊員マスタ'!$F$5:$F$204,0)),IF(AK2594="","番号なし",AK2594)))</f>
        <v/>
      </c>
      <c r="D2594" s="47" t="n"/>
      <c r="E2594" s="47" t="n"/>
      <c r="F2594" s="47" t="n"/>
      <c r="G2594" s="47" t="n"/>
      <c r="H2594" s="47" t="n"/>
      <c r="I2594" s="47" t="n"/>
      <c r="J2594" s="47" t="n"/>
      <c r="K2594" s="47" t="n"/>
      <c r="L2594" s="47" t="n"/>
      <c r="M2594" s="47" t="n"/>
      <c r="N2594" s="47" t="n"/>
      <c r="O2594" s="47" t="n"/>
      <c r="P2594" s="47" t="n"/>
      <c r="Q2594" s="47" t="n"/>
      <c r="R2594" s="47" t="n"/>
      <c r="S2594" s="47" t="n"/>
      <c r="T2594" s="47" t="n"/>
      <c r="U2594" s="53" t="n"/>
      <c r="V2594" s="53" t="n"/>
      <c r="W2594" s="47" t="n"/>
      <c r="X2594" s="47" t="n"/>
      <c r="Y2594" s="47" t="n"/>
      <c r="Z2594" s="47" t="n"/>
      <c r="AA2594" s="47" t="n"/>
      <c r="AB2594" s="47" t="n"/>
      <c r="AC2594" s="47" t="n"/>
      <c r="AD2594" s="47" t="n"/>
      <c r="AE2594" s="47" t="n"/>
      <c r="AF2594" s="20">
        <f>IF(A2594="","",YEAR(EDATE(A2594,-3)))</f>
        <v/>
      </c>
      <c r="AG2594" s="20">
        <f>IF(OR(B2594="",'経歴簿'!$C$4=""),"",IF(B2594&amp;""='経歴簿'!$C$4&amp;"",MAX($AG$4:AG2593)+1,""))</f>
        <v/>
      </c>
      <c r="AH2594" s="20">
        <f>IF(A2594="",0,IF(AND(OR('CSV抽出'!$C$4="",A2594&gt;='CSV抽出'!$C$4),OR('CSV抽出'!$C$5="",A2594&lt;='CSV抽出'!$C$5),OR('CSV抽出'!$C$6="すべて",'CSV抽出'!$C$6="",D2594='CSV抽出'!$C$6),OR('CSV抽出'!$C$7="",B2594&amp;""='CSV抽出'!$C$7&amp;"")),1,0))</f>
        <v/>
      </c>
      <c r="AI2594" s="20">
        <f>IF(AH2594=1,SUM($AH$5:AH2594),"")</f>
        <v/>
      </c>
      <c r="AJ2594" s="20">
        <f>IF(OR(S2594="",'報告書'!$C$4=""),"",IF(S2594&amp;""='報告書'!$C$4&amp;"",COUNTIF($S$5:S2594,'報告書'!$C$4),""))</f>
        <v/>
      </c>
      <c r="AK2594" s="20" t="n"/>
      <c r="AL2594" s="47" t="n"/>
      <c r="AM2594" s="47" t="n"/>
      <c r="AN2594" s="53" t="n"/>
      <c r="AO2594" s="47" t="n"/>
      <c r="AP2594" s="47" t="n"/>
      <c r="AQ2594" s="47" t="n"/>
      <c r="AR2594" s="47" t="n"/>
      <c r="AS2594" s="47" t="n"/>
      <c r="AT2594" s="47" t="n"/>
      <c r="AU2594" s="47" t="n"/>
      <c r="AV2594" s="47" t="n"/>
      <c r="AW2594" s="52" t="n"/>
    </row>
    <row r="2595">
      <c r="A2595" s="48" t="n"/>
      <c r="B2595" s="52" t="n"/>
      <c r="C2595" s="47">
        <f>IF(B2595="","",IFERROR(INDEX('隊員マスタ'!$B$5:$B$204,MATCH(B2595&amp;"",'隊員マスタ'!$F$5:$F$204,0)),IF(AK2595="","番号なし",AK2595)))</f>
        <v/>
      </c>
      <c r="D2595" s="47" t="n"/>
      <c r="E2595" s="47" t="n"/>
      <c r="F2595" s="47" t="n"/>
      <c r="G2595" s="47" t="n"/>
      <c r="H2595" s="47" t="n"/>
      <c r="I2595" s="47" t="n"/>
      <c r="J2595" s="47" t="n"/>
      <c r="K2595" s="47" t="n"/>
      <c r="L2595" s="47" t="n"/>
      <c r="M2595" s="47" t="n"/>
      <c r="N2595" s="47" t="n"/>
      <c r="O2595" s="47" t="n"/>
      <c r="P2595" s="47" t="n"/>
      <c r="Q2595" s="47" t="n"/>
      <c r="R2595" s="47" t="n"/>
      <c r="S2595" s="47" t="n"/>
      <c r="T2595" s="47" t="n"/>
      <c r="U2595" s="53" t="n"/>
      <c r="V2595" s="53" t="n"/>
      <c r="W2595" s="47" t="n"/>
      <c r="X2595" s="47" t="n"/>
      <c r="Y2595" s="47" t="n"/>
      <c r="Z2595" s="47" t="n"/>
      <c r="AA2595" s="47" t="n"/>
      <c r="AB2595" s="47" t="n"/>
      <c r="AC2595" s="47" t="n"/>
      <c r="AD2595" s="47" t="n"/>
      <c r="AE2595" s="47" t="n"/>
      <c r="AF2595" s="20">
        <f>IF(A2595="","",YEAR(EDATE(A2595,-3)))</f>
        <v/>
      </c>
      <c r="AG2595" s="20">
        <f>IF(OR(B2595="",'経歴簿'!$C$4=""),"",IF(B2595&amp;""='経歴簿'!$C$4&amp;"",MAX($AG$4:AG2594)+1,""))</f>
        <v/>
      </c>
      <c r="AH2595" s="20">
        <f>IF(A2595="",0,IF(AND(OR('CSV抽出'!$C$4="",A2595&gt;='CSV抽出'!$C$4),OR('CSV抽出'!$C$5="",A2595&lt;='CSV抽出'!$C$5),OR('CSV抽出'!$C$6="すべて",'CSV抽出'!$C$6="",D2595='CSV抽出'!$C$6),OR('CSV抽出'!$C$7="",B2595&amp;""='CSV抽出'!$C$7&amp;"")),1,0))</f>
        <v/>
      </c>
      <c r="AI2595" s="20">
        <f>IF(AH2595=1,SUM($AH$5:AH2595),"")</f>
        <v/>
      </c>
      <c r="AJ2595" s="20">
        <f>IF(OR(S2595="",'報告書'!$C$4=""),"",IF(S2595&amp;""='報告書'!$C$4&amp;"",COUNTIF($S$5:S2595,'報告書'!$C$4),""))</f>
        <v/>
      </c>
      <c r="AK2595" s="20" t="n"/>
      <c r="AL2595" s="47" t="n"/>
      <c r="AM2595" s="47" t="n"/>
      <c r="AN2595" s="53" t="n"/>
      <c r="AO2595" s="47" t="n"/>
      <c r="AP2595" s="47" t="n"/>
      <c r="AQ2595" s="47" t="n"/>
      <c r="AR2595" s="47" t="n"/>
      <c r="AS2595" s="47" t="n"/>
      <c r="AT2595" s="47" t="n"/>
      <c r="AU2595" s="47" t="n"/>
      <c r="AV2595" s="47" t="n"/>
      <c r="AW2595" s="52" t="n"/>
    </row>
    <row r="2596">
      <c r="A2596" s="48" t="n"/>
      <c r="B2596" s="52" t="n"/>
      <c r="C2596" s="47">
        <f>IF(B2596="","",IFERROR(INDEX('隊員マスタ'!$B$5:$B$204,MATCH(B2596&amp;"",'隊員マスタ'!$F$5:$F$204,0)),IF(AK2596="","番号なし",AK2596)))</f>
        <v/>
      </c>
      <c r="D2596" s="47" t="n"/>
      <c r="E2596" s="47" t="n"/>
      <c r="F2596" s="47" t="n"/>
      <c r="G2596" s="47" t="n"/>
      <c r="H2596" s="47" t="n"/>
      <c r="I2596" s="47" t="n"/>
      <c r="J2596" s="47" t="n"/>
      <c r="K2596" s="47" t="n"/>
      <c r="L2596" s="47" t="n"/>
      <c r="M2596" s="47" t="n"/>
      <c r="N2596" s="47" t="n"/>
      <c r="O2596" s="47" t="n"/>
      <c r="P2596" s="47" t="n"/>
      <c r="Q2596" s="47" t="n"/>
      <c r="R2596" s="47" t="n"/>
      <c r="S2596" s="47" t="n"/>
      <c r="T2596" s="47" t="n"/>
      <c r="U2596" s="53" t="n"/>
      <c r="V2596" s="53" t="n"/>
      <c r="W2596" s="47" t="n"/>
      <c r="X2596" s="47" t="n"/>
      <c r="Y2596" s="47" t="n"/>
      <c r="Z2596" s="47" t="n"/>
      <c r="AA2596" s="47" t="n"/>
      <c r="AB2596" s="47" t="n"/>
      <c r="AC2596" s="47" t="n"/>
      <c r="AD2596" s="47" t="n"/>
      <c r="AE2596" s="47" t="n"/>
      <c r="AF2596" s="20">
        <f>IF(A2596="","",YEAR(EDATE(A2596,-3)))</f>
        <v/>
      </c>
      <c r="AG2596" s="20">
        <f>IF(OR(B2596="",'経歴簿'!$C$4=""),"",IF(B2596&amp;""='経歴簿'!$C$4&amp;"",MAX($AG$4:AG2595)+1,""))</f>
        <v/>
      </c>
      <c r="AH2596" s="20">
        <f>IF(A2596="",0,IF(AND(OR('CSV抽出'!$C$4="",A2596&gt;='CSV抽出'!$C$4),OR('CSV抽出'!$C$5="",A2596&lt;='CSV抽出'!$C$5),OR('CSV抽出'!$C$6="すべて",'CSV抽出'!$C$6="",D2596='CSV抽出'!$C$6),OR('CSV抽出'!$C$7="",B2596&amp;""='CSV抽出'!$C$7&amp;"")),1,0))</f>
        <v/>
      </c>
      <c r="AI2596" s="20">
        <f>IF(AH2596=1,SUM($AH$5:AH2596),"")</f>
        <v/>
      </c>
      <c r="AJ2596" s="20">
        <f>IF(OR(S2596="",'報告書'!$C$4=""),"",IF(S2596&amp;""='報告書'!$C$4&amp;"",COUNTIF($S$5:S2596,'報告書'!$C$4),""))</f>
        <v/>
      </c>
      <c r="AK2596" s="20" t="n"/>
      <c r="AL2596" s="47" t="n"/>
      <c r="AM2596" s="47" t="n"/>
      <c r="AN2596" s="53" t="n"/>
      <c r="AO2596" s="47" t="n"/>
      <c r="AP2596" s="47" t="n"/>
      <c r="AQ2596" s="47" t="n"/>
      <c r="AR2596" s="47" t="n"/>
      <c r="AS2596" s="47" t="n"/>
      <c r="AT2596" s="47" t="n"/>
      <c r="AU2596" s="47" t="n"/>
      <c r="AV2596" s="47" t="n"/>
      <c r="AW2596" s="52" t="n"/>
    </row>
    <row r="2597">
      <c r="A2597" s="48" t="n"/>
      <c r="B2597" s="52" t="n"/>
      <c r="C2597" s="47">
        <f>IF(B2597="","",IFERROR(INDEX('隊員マスタ'!$B$5:$B$204,MATCH(B2597&amp;"",'隊員マスタ'!$F$5:$F$204,0)),IF(AK2597="","番号なし",AK2597)))</f>
        <v/>
      </c>
      <c r="D2597" s="47" t="n"/>
      <c r="E2597" s="47" t="n"/>
      <c r="F2597" s="47" t="n"/>
      <c r="G2597" s="47" t="n"/>
      <c r="H2597" s="47" t="n"/>
      <c r="I2597" s="47" t="n"/>
      <c r="J2597" s="47" t="n"/>
      <c r="K2597" s="47" t="n"/>
      <c r="L2597" s="47" t="n"/>
      <c r="M2597" s="47" t="n"/>
      <c r="N2597" s="47" t="n"/>
      <c r="O2597" s="47" t="n"/>
      <c r="P2597" s="47" t="n"/>
      <c r="Q2597" s="47" t="n"/>
      <c r="R2597" s="47" t="n"/>
      <c r="S2597" s="47" t="n"/>
      <c r="T2597" s="47" t="n"/>
      <c r="U2597" s="53" t="n"/>
      <c r="V2597" s="53" t="n"/>
      <c r="W2597" s="47" t="n"/>
      <c r="X2597" s="47" t="n"/>
      <c r="Y2597" s="47" t="n"/>
      <c r="Z2597" s="47" t="n"/>
      <c r="AA2597" s="47" t="n"/>
      <c r="AB2597" s="47" t="n"/>
      <c r="AC2597" s="47" t="n"/>
      <c r="AD2597" s="47" t="n"/>
      <c r="AE2597" s="47" t="n"/>
      <c r="AF2597" s="20">
        <f>IF(A2597="","",YEAR(EDATE(A2597,-3)))</f>
        <v/>
      </c>
      <c r="AG2597" s="20">
        <f>IF(OR(B2597="",'経歴簿'!$C$4=""),"",IF(B2597&amp;""='経歴簿'!$C$4&amp;"",MAX($AG$4:AG2596)+1,""))</f>
        <v/>
      </c>
      <c r="AH2597" s="20">
        <f>IF(A2597="",0,IF(AND(OR('CSV抽出'!$C$4="",A2597&gt;='CSV抽出'!$C$4),OR('CSV抽出'!$C$5="",A2597&lt;='CSV抽出'!$C$5),OR('CSV抽出'!$C$6="すべて",'CSV抽出'!$C$6="",D2597='CSV抽出'!$C$6),OR('CSV抽出'!$C$7="",B2597&amp;""='CSV抽出'!$C$7&amp;"")),1,0))</f>
        <v/>
      </c>
      <c r="AI2597" s="20">
        <f>IF(AH2597=1,SUM($AH$5:AH2597),"")</f>
        <v/>
      </c>
      <c r="AJ2597" s="20">
        <f>IF(OR(S2597="",'報告書'!$C$4=""),"",IF(S2597&amp;""='報告書'!$C$4&amp;"",COUNTIF($S$5:S2597,'報告書'!$C$4),""))</f>
        <v/>
      </c>
      <c r="AK2597" s="20" t="n"/>
      <c r="AL2597" s="47" t="n"/>
      <c r="AM2597" s="47" t="n"/>
      <c r="AN2597" s="53" t="n"/>
      <c r="AO2597" s="47" t="n"/>
      <c r="AP2597" s="47" t="n"/>
      <c r="AQ2597" s="47" t="n"/>
      <c r="AR2597" s="47" t="n"/>
      <c r="AS2597" s="47" t="n"/>
      <c r="AT2597" s="47" t="n"/>
      <c r="AU2597" s="47" t="n"/>
      <c r="AV2597" s="47" t="n"/>
      <c r="AW2597" s="52" t="n"/>
    </row>
    <row r="2598">
      <c r="A2598" s="48" t="n"/>
      <c r="B2598" s="52" t="n"/>
      <c r="C2598" s="47">
        <f>IF(B2598="","",IFERROR(INDEX('隊員マスタ'!$B$5:$B$204,MATCH(B2598&amp;"",'隊員マスタ'!$F$5:$F$204,0)),IF(AK2598="","番号なし",AK2598)))</f>
        <v/>
      </c>
      <c r="D2598" s="47" t="n"/>
      <c r="E2598" s="47" t="n"/>
      <c r="F2598" s="47" t="n"/>
      <c r="G2598" s="47" t="n"/>
      <c r="H2598" s="47" t="n"/>
      <c r="I2598" s="47" t="n"/>
      <c r="J2598" s="47" t="n"/>
      <c r="K2598" s="47" t="n"/>
      <c r="L2598" s="47" t="n"/>
      <c r="M2598" s="47" t="n"/>
      <c r="N2598" s="47" t="n"/>
      <c r="O2598" s="47" t="n"/>
      <c r="P2598" s="47" t="n"/>
      <c r="Q2598" s="47" t="n"/>
      <c r="R2598" s="47" t="n"/>
      <c r="S2598" s="47" t="n"/>
      <c r="T2598" s="47" t="n"/>
      <c r="U2598" s="53" t="n"/>
      <c r="V2598" s="53" t="n"/>
      <c r="W2598" s="47" t="n"/>
      <c r="X2598" s="47" t="n"/>
      <c r="Y2598" s="47" t="n"/>
      <c r="Z2598" s="47" t="n"/>
      <c r="AA2598" s="47" t="n"/>
      <c r="AB2598" s="47" t="n"/>
      <c r="AC2598" s="47" t="n"/>
      <c r="AD2598" s="47" t="n"/>
      <c r="AE2598" s="47" t="n"/>
      <c r="AF2598" s="20">
        <f>IF(A2598="","",YEAR(EDATE(A2598,-3)))</f>
        <v/>
      </c>
      <c r="AG2598" s="20">
        <f>IF(OR(B2598="",'経歴簿'!$C$4=""),"",IF(B2598&amp;""='経歴簿'!$C$4&amp;"",MAX($AG$4:AG2597)+1,""))</f>
        <v/>
      </c>
      <c r="AH2598" s="20">
        <f>IF(A2598="",0,IF(AND(OR('CSV抽出'!$C$4="",A2598&gt;='CSV抽出'!$C$4),OR('CSV抽出'!$C$5="",A2598&lt;='CSV抽出'!$C$5),OR('CSV抽出'!$C$6="すべて",'CSV抽出'!$C$6="",D2598='CSV抽出'!$C$6),OR('CSV抽出'!$C$7="",B2598&amp;""='CSV抽出'!$C$7&amp;"")),1,0))</f>
        <v/>
      </c>
      <c r="AI2598" s="20">
        <f>IF(AH2598=1,SUM($AH$5:AH2598),"")</f>
        <v/>
      </c>
      <c r="AJ2598" s="20">
        <f>IF(OR(S2598="",'報告書'!$C$4=""),"",IF(S2598&amp;""='報告書'!$C$4&amp;"",COUNTIF($S$5:S2598,'報告書'!$C$4),""))</f>
        <v/>
      </c>
      <c r="AK2598" s="20" t="n"/>
      <c r="AL2598" s="47" t="n"/>
      <c r="AM2598" s="47" t="n"/>
      <c r="AN2598" s="53" t="n"/>
      <c r="AO2598" s="47" t="n"/>
      <c r="AP2598" s="47" t="n"/>
      <c r="AQ2598" s="47" t="n"/>
      <c r="AR2598" s="47" t="n"/>
      <c r="AS2598" s="47" t="n"/>
      <c r="AT2598" s="47" t="n"/>
      <c r="AU2598" s="47" t="n"/>
      <c r="AV2598" s="47" t="n"/>
      <c r="AW2598" s="52" t="n"/>
    </row>
    <row r="2599">
      <c r="A2599" s="48" t="n"/>
      <c r="B2599" s="52" t="n"/>
      <c r="C2599" s="47">
        <f>IF(B2599="","",IFERROR(INDEX('隊員マスタ'!$B$5:$B$204,MATCH(B2599&amp;"",'隊員マスタ'!$F$5:$F$204,0)),IF(AK2599="","番号なし",AK2599)))</f>
        <v/>
      </c>
      <c r="D2599" s="47" t="n"/>
      <c r="E2599" s="47" t="n"/>
      <c r="F2599" s="47" t="n"/>
      <c r="G2599" s="47" t="n"/>
      <c r="H2599" s="47" t="n"/>
      <c r="I2599" s="47" t="n"/>
      <c r="J2599" s="47" t="n"/>
      <c r="K2599" s="47" t="n"/>
      <c r="L2599" s="47" t="n"/>
      <c r="M2599" s="47" t="n"/>
      <c r="N2599" s="47" t="n"/>
      <c r="O2599" s="47" t="n"/>
      <c r="P2599" s="47" t="n"/>
      <c r="Q2599" s="47" t="n"/>
      <c r="R2599" s="47" t="n"/>
      <c r="S2599" s="47" t="n"/>
      <c r="T2599" s="47" t="n"/>
      <c r="U2599" s="53" t="n"/>
      <c r="V2599" s="53" t="n"/>
      <c r="W2599" s="47" t="n"/>
      <c r="X2599" s="47" t="n"/>
      <c r="Y2599" s="47" t="n"/>
      <c r="Z2599" s="47" t="n"/>
      <c r="AA2599" s="47" t="n"/>
      <c r="AB2599" s="47" t="n"/>
      <c r="AC2599" s="47" t="n"/>
      <c r="AD2599" s="47" t="n"/>
      <c r="AE2599" s="47" t="n"/>
      <c r="AF2599" s="20">
        <f>IF(A2599="","",YEAR(EDATE(A2599,-3)))</f>
        <v/>
      </c>
      <c r="AG2599" s="20">
        <f>IF(OR(B2599="",'経歴簿'!$C$4=""),"",IF(B2599&amp;""='経歴簿'!$C$4&amp;"",MAX($AG$4:AG2598)+1,""))</f>
        <v/>
      </c>
      <c r="AH2599" s="20">
        <f>IF(A2599="",0,IF(AND(OR('CSV抽出'!$C$4="",A2599&gt;='CSV抽出'!$C$4),OR('CSV抽出'!$C$5="",A2599&lt;='CSV抽出'!$C$5),OR('CSV抽出'!$C$6="すべて",'CSV抽出'!$C$6="",D2599='CSV抽出'!$C$6),OR('CSV抽出'!$C$7="",B2599&amp;""='CSV抽出'!$C$7&amp;"")),1,0))</f>
        <v/>
      </c>
      <c r="AI2599" s="20">
        <f>IF(AH2599=1,SUM($AH$5:AH2599),"")</f>
        <v/>
      </c>
      <c r="AJ2599" s="20">
        <f>IF(OR(S2599="",'報告書'!$C$4=""),"",IF(S2599&amp;""='報告書'!$C$4&amp;"",COUNTIF($S$5:S2599,'報告書'!$C$4),""))</f>
        <v/>
      </c>
      <c r="AK2599" s="20" t="n"/>
      <c r="AL2599" s="47" t="n"/>
      <c r="AM2599" s="47" t="n"/>
      <c r="AN2599" s="53" t="n"/>
      <c r="AO2599" s="47" t="n"/>
      <c r="AP2599" s="47" t="n"/>
      <c r="AQ2599" s="47" t="n"/>
      <c r="AR2599" s="47" t="n"/>
      <c r="AS2599" s="47" t="n"/>
      <c r="AT2599" s="47" t="n"/>
      <c r="AU2599" s="47" t="n"/>
      <c r="AV2599" s="47" t="n"/>
      <c r="AW2599" s="52" t="n"/>
    </row>
    <row r="2600">
      <c r="A2600" s="48" t="n"/>
      <c r="B2600" s="52" t="n"/>
      <c r="C2600" s="47">
        <f>IF(B2600="","",IFERROR(INDEX('隊員マスタ'!$B$5:$B$204,MATCH(B2600&amp;"",'隊員マスタ'!$F$5:$F$204,0)),IF(AK2600="","番号なし",AK2600)))</f>
        <v/>
      </c>
      <c r="D2600" s="47" t="n"/>
      <c r="E2600" s="47" t="n"/>
      <c r="F2600" s="47" t="n"/>
      <c r="G2600" s="47" t="n"/>
      <c r="H2600" s="47" t="n"/>
      <c r="I2600" s="47" t="n"/>
      <c r="J2600" s="47" t="n"/>
      <c r="K2600" s="47" t="n"/>
      <c r="L2600" s="47" t="n"/>
      <c r="M2600" s="47" t="n"/>
      <c r="N2600" s="47" t="n"/>
      <c r="O2600" s="47" t="n"/>
      <c r="P2600" s="47" t="n"/>
      <c r="Q2600" s="47" t="n"/>
      <c r="R2600" s="47" t="n"/>
      <c r="S2600" s="47" t="n"/>
      <c r="T2600" s="47" t="n"/>
      <c r="U2600" s="53" t="n"/>
      <c r="V2600" s="53" t="n"/>
      <c r="W2600" s="47" t="n"/>
      <c r="X2600" s="47" t="n"/>
      <c r="Y2600" s="47" t="n"/>
      <c r="Z2600" s="47" t="n"/>
      <c r="AA2600" s="47" t="n"/>
      <c r="AB2600" s="47" t="n"/>
      <c r="AC2600" s="47" t="n"/>
      <c r="AD2600" s="47" t="n"/>
      <c r="AE2600" s="47" t="n"/>
      <c r="AF2600" s="20">
        <f>IF(A2600="","",YEAR(EDATE(A2600,-3)))</f>
        <v/>
      </c>
      <c r="AG2600" s="20">
        <f>IF(OR(B2600="",'経歴簿'!$C$4=""),"",IF(B2600&amp;""='経歴簿'!$C$4&amp;"",MAX($AG$4:AG2599)+1,""))</f>
        <v/>
      </c>
      <c r="AH2600" s="20">
        <f>IF(A2600="",0,IF(AND(OR('CSV抽出'!$C$4="",A2600&gt;='CSV抽出'!$C$4),OR('CSV抽出'!$C$5="",A2600&lt;='CSV抽出'!$C$5),OR('CSV抽出'!$C$6="すべて",'CSV抽出'!$C$6="",D2600='CSV抽出'!$C$6),OR('CSV抽出'!$C$7="",B2600&amp;""='CSV抽出'!$C$7&amp;"")),1,0))</f>
        <v/>
      </c>
      <c r="AI2600" s="20">
        <f>IF(AH2600=1,SUM($AH$5:AH2600),"")</f>
        <v/>
      </c>
      <c r="AJ2600" s="20">
        <f>IF(OR(S2600="",'報告書'!$C$4=""),"",IF(S2600&amp;""='報告書'!$C$4&amp;"",COUNTIF($S$5:S2600,'報告書'!$C$4),""))</f>
        <v/>
      </c>
      <c r="AK2600" s="20" t="n"/>
      <c r="AL2600" s="47" t="n"/>
      <c r="AM2600" s="47" t="n"/>
      <c r="AN2600" s="53" t="n"/>
      <c r="AO2600" s="47" t="n"/>
      <c r="AP2600" s="47" t="n"/>
      <c r="AQ2600" s="47" t="n"/>
      <c r="AR2600" s="47" t="n"/>
      <c r="AS2600" s="47" t="n"/>
      <c r="AT2600" s="47" t="n"/>
      <c r="AU2600" s="47" t="n"/>
      <c r="AV2600" s="47" t="n"/>
      <c r="AW2600" s="52" t="n"/>
    </row>
    <row r="2601">
      <c r="A2601" s="48" t="n"/>
      <c r="B2601" s="52" t="n"/>
      <c r="C2601" s="47">
        <f>IF(B2601="","",IFERROR(INDEX('隊員マスタ'!$B$5:$B$204,MATCH(B2601&amp;"",'隊員マスタ'!$F$5:$F$204,0)),IF(AK2601="","番号なし",AK2601)))</f>
        <v/>
      </c>
      <c r="D2601" s="47" t="n"/>
      <c r="E2601" s="47" t="n"/>
      <c r="F2601" s="47" t="n"/>
      <c r="G2601" s="47" t="n"/>
      <c r="H2601" s="47" t="n"/>
      <c r="I2601" s="47" t="n"/>
      <c r="J2601" s="47" t="n"/>
      <c r="K2601" s="47" t="n"/>
      <c r="L2601" s="47" t="n"/>
      <c r="M2601" s="47" t="n"/>
      <c r="N2601" s="47" t="n"/>
      <c r="O2601" s="47" t="n"/>
      <c r="P2601" s="47" t="n"/>
      <c r="Q2601" s="47" t="n"/>
      <c r="R2601" s="47" t="n"/>
      <c r="S2601" s="47" t="n"/>
      <c r="T2601" s="47" t="n"/>
      <c r="U2601" s="53" t="n"/>
      <c r="V2601" s="53" t="n"/>
      <c r="W2601" s="47" t="n"/>
      <c r="X2601" s="47" t="n"/>
      <c r="Y2601" s="47" t="n"/>
      <c r="Z2601" s="47" t="n"/>
      <c r="AA2601" s="47" t="n"/>
      <c r="AB2601" s="47" t="n"/>
      <c r="AC2601" s="47" t="n"/>
      <c r="AD2601" s="47" t="n"/>
      <c r="AE2601" s="47" t="n"/>
      <c r="AF2601" s="20">
        <f>IF(A2601="","",YEAR(EDATE(A2601,-3)))</f>
        <v/>
      </c>
      <c r="AG2601" s="20">
        <f>IF(OR(B2601="",'経歴簿'!$C$4=""),"",IF(B2601&amp;""='経歴簿'!$C$4&amp;"",MAX($AG$4:AG2600)+1,""))</f>
        <v/>
      </c>
      <c r="AH2601" s="20">
        <f>IF(A2601="",0,IF(AND(OR('CSV抽出'!$C$4="",A2601&gt;='CSV抽出'!$C$4),OR('CSV抽出'!$C$5="",A2601&lt;='CSV抽出'!$C$5),OR('CSV抽出'!$C$6="すべて",'CSV抽出'!$C$6="",D2601='CSV抽出'!$C$6),OR('CSV抽出'!$C$7="",B2601&amp;""='CSV抽出'!$C$7&amp;"")),1,0))</f>
        <v/>
      </c>
      <c r="AI2601" s="20">
        <f>IF(AH2601=1,SUM($AH$5:AH2601),"")</f>
        <v/>
      </c>
      <c r="AJ2601" s="20">
        <f>IF(OR(S2601="",'報告書'!$C$4=""),"",IF(S2601&amp;""='報告書'!$C$4&amp;"",COUNTIF($S$5:S2601,'報告書'!$C$4),""))</f>
        <v/>
      </c>
      <c r="AK2601" s="20" t="n"/>
      <c r="AL2601" s="47" t="n"/>
      <c r="AM2601" s="47" t="n"/>
      <c r="AN2601" s="53" t="n"/>
      <c r="AO2601" s="47" t="n"/>
      <c r="AP2601" s="47" t="n"/>
      <c r="AQ2601" s="47" t="n"/>
      <c r="AR2601" s="47" t="n"/>
      <c r="AS2601" s="47" t="n"/>
      <c r="AT2601" s="47" t="n"/>
      <c r="AU2601" s="47" t="n"/>
      <c r="AV2601" s="47" t="n"/>
      <c r="AW2601" s="52" t="n"/>
    </row>
    <row r="2602">
      <c r="A2602" s="48" t="n"/>
      <c r="B2602" s="52" t="n"/>
      <c r="C2602" s="47">
        <f>IF(B2602="","",IFERROR(INDEX('隊員マスタ'!$B$5:$B$204,MATCH(B2602&amp;"",'隊員マスタ'!$F$5:$F$204,0)),IF(AK2602="","番号なし",AK2602)))</f>
        <v/>
      </c>
      <c r="D2602" s="47" t="n"/>
      <c r="E2602" s="47" t="n"/>
      <c r="F2602" s="47" t="n"/>
      <c r="G2602" s="47" t="n"/>
      <c r="H2602" s="47" t="n"/>
      <c r="I2602" s="47" t="n"/>
      <c r="J2602" s="47" t="n"/>
      <c r="K2602" s="47" t="n"/>
      <c r="L2602" s="47" t="n"/>
      <c r="M2602" s="47" t="n"/>
      <c r="N2602" s="47" t="n"/>
      <c r="O2602" s="47" t="n"/>
      <c r="P2602" s="47" t="n"/>
      <c r="Q2602" s="47" t="n"/>
      <c r="R2602" s="47" t="n"/>
      <c r="S2602" s="47" t="n"/>
      <c r="T2602" s="47" t="n"/>
      <c r="U2602" s="53" t="n"/>
      <c r="V2602" s="53" t="n"/>
      <c r="W2602" s="47" t="n"/>
      <c r="X2602" s="47" t="n"/>
      <c r="Y2602" s="47" t="n"/>
      <c r="Z2602" s="47" t="n"/>
      <c r="AA2602" s="47" t="n"/>
      <c r="AB2602" s="47" t="n"/>
      <c r="AC2602" s="47" t="n"/>
      <c r="AD2602" s="47" t="n"/>
      <c r="AE2602" s="47" t="n"/>
      <c r="AF2602" s="20">
        <f>IF(A2602="","",YEAR(EDATE(A2602,-3)))</f>
        <v/>
      </c>
      <c r="AG2602" s="20">
        <f>IF(OR(B2602="",'経歴簿'!$C$4=""),"",IF(B2602&amp;""='経歴簿'!$C$4&amp;"",MAX($AG$4:AG2601)+1,""))</f>
        <v/>
      </c>
      <c r="AH2602" s="20">
        <f>IF(A2602="",0,IF(AND(OR('CSV抽出'!$C$4="",A2602&gt;='CSV抽出'!$C$4),OR('CSV抽出'!$C$5="",A2602&lt;='CSV抽出'!$C$5),OR('CSV抽出'!$C$6="すべて",'CSV抽出'!$C$6="",D2602='CSV抽出'!$C$6),OR('CSV抽出'!$C$7="",B2602&amp;""='CSV抽出'!$C$7&amp;"")),1,0))</f>
        <v/>
      </c>
      <c r="AI2602" s="20">
        <f>IF(AH2602=1,SUM($AH$5:AH2602),"")</f>
        <v/>
      </c>
      <c r="AJ2602" s="20">
        <f>IF(OR(S2602="",'報告書'!$C$4=""),"",IF(S2602&amp;""='報告書'!$C$4&amp;"",COUNTIF($S$5:S2602,'報告書'!$C$4),""))</f>
        <v/>
      </c>
      <c r="AK2602" s="20" t="n"/>
      <c r="AL2602" s="47" t="n"/>
      <c r="AM2602" s="47" t="n"/>
      <c r="AN2602" s="53" t="n"/>
      <c r="AO2602" s="47" t="n"/>
      <c r="AP2602" s="47" t="n"/>
      <c r="AQ2602" s="47" t="n"/>
      <c r="AR2602" s="47" t="n"/>
      <c r="AS2602" s="47" t="n"/>
      <c r="AT2602" s="47" t="n"/>
      <c r="AU2602" s="47" t="n"/>
      <c r="AV2602" s="47" t="n"/>
      <c r="AW2602" s="52" t="n"/>
    </row>
    <row r="2603">
      <c r="A2603" s="48" t="n"/>
      <c r="B2603" s="52" t="n"/>
      <c r="C2603" s="47">
        <f>IF(B2603="","",IFERROR(INDEX('隊員マスタ'!$B$5:$B$204,MATCH(B2603&amp;"",'隊員マスタ'!$F$5:$F$204,0)),IF(AK2603="","番号なし",AK2603)))</f>
        <v/>
      </c>
      <c r="D2603" s="47" t="n"/>
      <c r="E2603" s="47" t="n"/>
      <c r="F2603" s="47" t="n"/>
      <c r="G2603" s="47" t="n"/>
      <c r="H2603" s="47" t="n"/>
      <c r="I2603" s="47" t="n"/>
      <c r="J2603" s="47" t="n"/>
      <c r="K2603" s="47" t="n"/>
      <c r="L2603" s="47" t="n"/>
      <c r="M2603" s="47" t="n"/>
      <c r="N2603" s="47" t="n"/>
      <c r="O2603" s="47" t="n"/>
      <c r="P2603" s="47" t="n"/>
      <c r="Q2603" s="47" t="n"/>
      <c r="R2603" s="47" t="n"/>
      <c r="S2603" s="47" t="n"/>
      <c r="T2603" s="47" t="n"/>
      <c r="U2603" s="53" t="n"/>
      <c r="V2603" s="53" t="n"/>
      <c r="W2603" s="47" t="n"/>
      <c r="X2603" s="47" t="n"/>
      <c r="Y2603" s="47" t="n"/>
      <c r="Z2603" s="47" t="n"/>
      <c r="AA2603" s="47" t="n"/>
      <c r="AB2603" s="47" t="n"/>
      <c r="AC2603" s="47" t="n"/>
      <c r="AD2603" s="47" t="n"/>
      <c r="AE2603" s="47" t="n"/>
      <c r="AF2603" s="20">
        <f>IF(A2603="","",YEAR(EDATE(A2603,-3)))</f>
        <v/>
      </c>
      <c r="AG2603" s="20">
        <f>IF(OR(B2603="",'経歴簿'!$C$4=""),"",IF(B2603&amp;""='経歴簿'!$C$4&amp;"",MAX($AG$4:AG2602)+1,""))</f>
        <v/>
      </c>
      <c r="AH2603" s="20">
        <f>IF(A2603="",0,IF(AND(OR('CSV抽出'!$C$4="",A2603&gt;='CSV抽出'!$C$4),OR('CSV抽出'!$C$5="",A2603&lt;='CSV抽出'!$C$5),OR('CSV抽出'!$C$6="すべて",'CSV抽出'!$C$6="",D2603='CSV抽出'!$C$6),OR('CSV抽出'!$C$7="",B2603&amp;""='CSV抽出'!$C$7&amp;"")),1,0))</f>
        <v/>
      </c>
      <c r="AI2603" s="20">
        <f>IF(AH2603=1,SUM($AH$5:AH2603),"")</f>
        <v/>
      </c>
      <c r="AJ2603" s="20">
        <f>IF(OR(S2603="",'報告書'!$C$4=""),"",IF(S2603&amp;""='報告書'!$C$4&amp;"",COUNTIF($S$5:S2603,'報告書'!$C$4),""))</f>
        <v/>
      </c>
      <c r="AK2603" s="20" t="n"/>
      <c r="AL2603" s="47" t="n"/>
      <c r="AM2603" s="47" t="n"/>
      <c r="AN2603" s="53" t="n"/>
      <c r="AO2603" s="47" t="n"/>
      <c r="AP2603" s="47" t="n"/>
      <c r="AQ2603" s="47" t="n"/>
      <c r="AR2603" s="47" t="n"/>
      <c r="AS2603" s="47" t="n"/>
      <c r="AT2603" s="47" t="n"/>
      <c r="AU2603" s="47" t="n"/>
      <c r="AV2603" s="47" t="n"/>
      <c r="AW2603" s="52" t="n"/>
    </row>
    <row r="2604">
      <c r="A2604" s="48" t="n"/>
      <c r="B2604" s="52" t="n"/>
      <c r="C2604" s="47">
        <f>IF(B2604="","",IFERROR(INDEX('隊員マスタ'!$B$5:$B$204,MATCH(B2604&amp;"",'隊員マスタ'!$F$5:$F$204,0)),IF(AK2604="","番号なし",AK2604)))</f>
        <v/>
      </c>
      <c r="D2604" s="47" t="n"/>
      <c r="E2604" s="47" t="n"/>
      <c r="F2604" s="47" t="n"/>
      <c r="G2604" s="47" t="n"/>
      <c r="H2604" s="47" t="n"/>
      <c r="I2604" s="47" t="n"/>
      <c r="J2604" s="47" t="n"/>
      <c r="K2604" s="47" t="n"/>
      <c r="L2604" s="47" t="n"/>
      <c r="M2604" s="47" t="n"/>
      <c r="N2604" s="47" t="n"/>
      <c r="O2604" s="47" t="n"/>
      <c r="P2604" s="47" t="n"/>
      <c r="Q2604" s="47" t="n"/>
      <c r="R2604" s="47" t="n"/>
      <c r="S2604" s="47" t="n"/>
      <c r="T2604" s="47" t="n"/>
      <c r="U2604" s="53" t="n"/>
      <c r="V2604" s="53" t="n"/>
      <c r="W2604" s="47" t="n"/>
      <c r="X2604" s="47" t="n"/>
      <c r="Y2604" s="47" t="n"/>
      <c r="Z2604" s="47" t="n"/>
      <c r="AA2604" s="47" t="n"/>
      <c r="AB2604" s="47" t="n"/>
      <c r="AC2604" s="47" t="n"/>
      <c r="AD2604" s="47" t="n"/>
      <c r="AE2604" s="47" t="n"/>
      <c r="AF2604" s="20">
        <f>IF(A2604="","",YEAR(EDATE(A2604,-3)))</f>
        <v/>
      </c>
      <c r="AG2604" s="20">
        <f>IF(OR(B2604="",'経歴簿'!$C$4=""),"",IF(B2604&amp;""='経歴簿'!$C$4&amp;"",MAX($AG$4:AG2603)+1,""))</f>
        <v/>
      </c>
      <c r="AH2604" s="20">
        <f>IF(A2604="",0,IF(AND(OR('CSV抽出'!$C$4="",A2604&gt;='CSV抽出'!$C$4),OR('CSV抽出'!$C$5="",A2604&lt;='CSV抽出'!$C$5),OR('CSV抽出'!$C$6="すべて",'CSV抽出'!$C$6="",D2604='CSV抽出'!$C$6),OR('CSV抽出'!$C$7="",B2604&amp;""='CSV抽出'!$C$7&amp;"")),1,0))</f>
        <v/>
      </c>
      <c r="AI2604" s="20">
        <f>IF(AH2604=1,SUM($AH$5:AH2604),"")</f>
        <v/>
      </c>
      <c r="AJ2604" s="20">
        <f>IF(OR(S2604="",'報告書'!$C$4=""),"",IF(S2604&amp;""='報告書'!$C$4&amp;"",COUNTIF($S$5:S2604,'報告書'!$C$4),""))</f>
        <v/>
      </c>
      <c r="AK2604" s="20" t="n"/>
      <c r="AL2604" s="47" t="n"/>
      <c r="AM2604" s="47" t="n"/>
      <c r="AN2604" s="53" t="n"/>
      <c r="AO2604" s="47" t="n"/>
      <c r="AP2604" s="47" t="n"/>
      <c r="AQ2604" s="47" t="n"/>
      <c r="AR2604" s="47" t="n"/>
      <c r="AS2604" s="47" t="n"/>
      <c r="AT2604" s="47" t="n"/>
      <c r="AU2604" s="47" t="n"/>
      <c r="AV2604" s="47" t="n"/>
      <c r="AW2604" s="52" t="n"/>
    </row>
    <row r="2605">
      <c r="A2605" s="48" t="n"/>
      <c r="B2605" s="52" t="n"/>
      <c r="C2605" s="47">
        <f>IF(B2605="","",IFERROR(INDEX('隊員マスタ'!$B$5:$B$204,MATCH(B2605&amp;"",'隊員マスタ'!$F$5:$F$204,0)),IF(AK2605="","番号なし",AK2605)))</f>
        <v/>
      </c>
      <c r="D2605" s="47" t="n"/>
      <c r="E2605" s="47" t="n"/>
      <c r="F2605" s="47" t="n"/>
      <c r="G2605" s="47" t="n"/>
      <c r="H2605" s="47" t="n"/>
      <c r="I2605" s="47" t="n"/>
      <c r="J2605" s="47" t="n"/>
      <c r="K2605" s="47" t="n"/>
      <c r="L2605" s="47" t="n"/>
      <c r="M2605" s="47" t="n"/>
      <c r="N2605" s="47" t="n"/>
      <c r="O2605" s="47" t="n"/>
      <c r="P2605" s="47" t="n"/>
      <c r="Q2605" s="47" t="n"/>
      <c r="R2605" s="47" t="n"/>
      <c r="S2605" s="47" t="n"/>
      <c r="T2605" s="47" t="n"/>
      <c r="U2605" s="53" t="n"/>
      <c r="V2605" s="53" t="n"/>
      <c r="W2605" s="47" t="n"/>
      <c r="X2605" s="47" t="n"/>
      <c r="Y2605" s="47" t="n"/>
      <c r="Z2605" s="47" t="n"/>
      <c r="AA2605" s="47" t="n"/>
      <c r="AB2605" s="47" t="n"/>
      <c r="AC2605" s="47" t="n"/>
      <c r="AD2605" s="47" t="n"/>
      <c r="AE2605" s="47" t="n"/>
      <c r="AF2605" s="20">
        <f>IF(A2605="","",YEAR(EDATE(A2605,-3)))</f>
        <v/>
      </c>
      <c r="AG2605" s="20">
        <f>IF(OR(B2605="",'経歴簿'!$C$4=""),"",IF(B2605&amp;""='経歴簿'!$C$4&amp;"",MAX($AG$4:AG2604)+1,""))</f>
        <v/>
      </c>
      <c r="AH2605" s="20">
        <f>IF(A2605="",0,IF(AND(OR('CSV抽出'!$C$4="",A2605&gt;='CSV抽出'!$C$4),OR('CSV抽出'!$C$5="",A2605&lt;='CSV抽出'!$C$5),OR('CSV抽出'!$C$6="すべて",'CSV抽出'!$C$6="",D2605='CSV抽出'!$C$6),OR('CSV抽出'!$C$7="",B2605&amp;""='CSV抽出'!$C$7&amp;"")),1,0))</f>
        <v/>
      </c>
      <c r="AI2605" s="20">
        <f>IF(AH2605=1,SUM($AH$5:AH2605),"")</f>
        <v/>
      </c>
      <c r="AJ2605" s="20">
        <f>IF(OR(S2605="",'報告書'!$C$4=""),"",IF(S2605&amp;""='報告書'!$C$4&amp;"",COUNTIF($S$5:S2605,'報告書'!$C$4),""))</f>
        <v/>
      </c>
      <c r="AK2605" s="20" t="n"/>
      <c r="AL2605" s="47" t="n"/>
      <c r="AM2605" s="47" t="n"/>
      <c r="AN2605" s="53" t="n"/>
      <c r="AO2605" s="47" t="n"/>
      <c r="AP2605" s="47" t="n"/>
      <c r="AQ2605" s="47" t="n"/>
      <c r="AR2605" s="47" t="n"/>
      <c r="AS2605" s="47" t="n"/>
      <c r="AT2605" s="47" t="n"/>
      <c r="AU2605" s="47" t="n"/>
      <c r="AV2605" s="47" t="n"/>
      <c r="AW2605" s="52" t="n"/>
    </row>
    <row r="2606">
      <c r="A2606" s="48" t="n"/>
      <c r="B2606" s="52" t="n"/>
      <c r="C2606" s="47">
        <f>IF(B2606="","",IFERROR(INDEX('隊員マスタ'!$B$5:$B$204,MATCH(B2606&amp;"",'隊員マスタ'!$F$5:$F$204,0)),IF(AK2606="","番号なし",AK2606)))</f>
        <v/>
      </c>
      <c r="D2606" s="47" t="n"/>
      <c r="E2606" s="47" t="n"/>
      <c r="F2606" s="47" t="n"/>
      <c r="G2606" s="47" t="n"/>
      <c r="H2606" s="47" t="n"/>
      <c r="I2606" s="47" t="n"/>
      <c r="J2606" s="47" t="n"/>
      <c r="K2606" s="47" t="n"/>
      <c r="L2606" s="47" t="n"/>
      <c r="M2606" s="47" t="n"/>
      <c r="N2606" s="47" t="n"/>
      <c r="O2606" s="47" t="n"/>
      <c r="P2606" s="47" t="n"/>
      <c r="Q2606" s="47" t="n"/>
      <c r="R2606" s="47" t="n"/>
      <c r="S2606" s="47" t="n"/>
      <c r="T2606" s="47" t="n"/>
      <c r="U2606" s="53" t="n"/>
      <c r="V2606" s="53" t="n"/>
      <c r="W2606" s="47" t="n"/>
      <c r="X2606" s="47" t="n"/>
      <c r="Y2606" s="47" t="n"/>
      <c r="Z2606" s="47" t="n"/>
      <c r="AA2606" s="47" t="n"/>
      <c r="AB2606" s="47" t="n"/>
      <c r="AC2606" s="47" t="n"/>
      <c r="AD2606" s="47" t="n"/>
      <c r="AE2606" s="47" t="n"/>
      <c r="AF2606" s="20">
        <f>IF(A2606="","",YEAR(EDATE(A2606,-3)))</f>
        <v/>
      </c>
      <c r="AG2606" s="20">
        <f>IF(OR(B2606="",'経歴簿'!$C$4=""),"",IF(B2606&amp;""='経歴簿'!$C$4&amp;"",MAX($AG$4:AG2605)+1,""))</f>
        <v/>
      </c>
      <c r="AH2606" s="20">
        <f>IF(A2606="",0,IF(AND(OR('CSV抽出'!$C$4="",A2606&gt;='CSV抽出'!$C$4),OR('CSV抽出'!$C$5="",A2606&lt;='CSV抽出'!$C$5),OR('CSV抽出'!$C$6="すべて",'CSV抽出'!$C$6="",D2606='CSV抽出'!$C$6),OR('CSV抽出'!$C$7="",B2606&amp;""='CSV抽出'!$C$7&amp;"")),1,0))</f>
        <v/>
      </c>
      <c r="AI2606" s="20">
        <f>IF(AH2606=1,SUM($AH$5:AH2606),"")</f>
        <v/>
      </c>
      <c r="AJ2606" s="20">
        <f>IF(OR(S2606="",'報告書'!$C$4=""),"",IF(S2606&amp;""='報告書'!$C$4&amp;"",COUNTIF($S$5:S2606,'報告書'!$C$4),""))</f>
        <v/>
      </c>
      <c r="AK2606" s="20" t="n"/>
      <c r="AL2606" s="47" t="n"/>
      <c r="AM2606" s="47" t="n"/>
      <c r="AN2606" s="53" t="n"/>
      <c r="AO2606" s="47" t="n"/>
      <c r="AP2606" s="47" t="n"/>
      <c r="AQ2606" s="47" t="n"/>
      <c r="AR2606" s="47" t="n"/>
      <c r="AS2606" s="47" t="n"/>
      <c r="AT2606" s="47" t="n"/>
      <c r="AU2606" s="47" t="n"/>
      <c r="AV2606" s="47" t="n"/>
      <c r="AW2606" s="52" t="n"/>
    </row>
    <row r="2607">
      <c r="A2607" s="48" t="n"/>
      <c r="B2607" s="52" t="n"/>
      <c r="C2607" s="47">
        <f>IF(B2607="","",IFERROR(INDEX('隊員マスタ'!$B$5:$B$204,MATCH(B2607&amp;"",'隊員マスタ'!$F$5:$F$204,0)),IF(AK2607="","番号なし",AK2607)))</f>
        <v/>
      </c>
      <c r="D2607" s="47" t="n"/>
      <c r="E2607" s="47" t="n"/>
      <c r="F2607" s="47" t="n"/>
      <c r="G2607" s="47" t="n"/>
      <c r="H2607" s="47" t="n"/>
      <c r="I2607" s="47" t="n"/>
      <c r="J2607" s="47" t="n"/>
      <c r="K2607" s="47" t="n"/>
      <c r="L2607" s="47" t="n"/>
      <c r="M2607" s="47" t="n"/>
      <c r="N2607" s="47" t="n"/>
      <c r="O2607" s="47" t="n"/>
      <c r="P2607" s="47" t="n"/>
      <c r="Q2607" s="47" t="n"/>
      <c r="R2607" s="47" t="n"/>
      <c r="S2607" s="47" t="n"/>
      <c r="T2607" s="47" t="n"/>
      <c r="U2607" s="53" t="n"/>
      <c r="V2607" s="53" t="n"/>
      <c r="W2607" s="47" t="n"/>
      <c r="X2607" s="47" t="n"/>
      <c r="Y2607" s="47" t="n"/>
      <c r="Z2607" s="47" t="n"/>
      <c r="AA2607" s="47" t="n"/>
      <c r="AB2607" s="47" t="n"/>
      <c r="AC2607" s="47" t="n"/>
      <c r="AD2607" s="47" t="n"/>
      <c r="AE2607" s="47" t="n"/>
      <c r="AF2607" s="20">
        <f>IF(A2607="","",YEAR(EDATE(A2607,-3)))</f>
        <v/>
      </c>
      <c r="AG2607" s="20">
        <f>IF(OR(B2607="",'経歴簿'!$C$4=""),"",IF(B2607&amp;""='経歴簿'!$C$4&amp;"",MAX($AG$4:AG2606)+1,""))</f>
        <v/>
      </c>
      <c r="AH2607" s="20">
        <f>IF(A2607="",0,IF(AND(OR('CSV抽出'!$C$4="",A2607&gt;='CSV抽出'!$C$4),OR('CSV抽出'!$C$5="",A2607&lt;='CSV抽出'!$C$5),OR('CSV抽出'!$C$6="すべて",'CSV抽出'!$C$6="",D2607='CSV抽出'!$C$6),OR('CSV抽出'!$C$7="",B2607&amp;""='CSV抽出'!$C$7&amp;"")),1,0))</f>
        <v/>
      </c>
      <c r="AI2607" s="20">
        <f>IF(AH2607=1,SUM($AH$5:AH2607),"")</f>
        <v/>
      </c>
      <c r="AJ2607" s="20">
        <f>IF(OR(S2607="",'報告書'!$C$4=""),"",IF(S2607&amp;""='報告書'!$C$4&amp;"",COUNTIF($S$5:S2607,'報告書'!$C$4),""))</f>
        <v/>
      </c>
      <c r="AK2607" s="20" t="n"/>
      <c r="AL2607" s="47" t="n"/>
      <c r="AM2607" s="47" t="n"/>
      <c r="AN2607" s="53" t="n"/>
      <c r="AO2607" s="47" t="n"/>
      <c r="AP2607" s="47" t="n"/>
      <c r="AQ2607" s="47" t="n"/>
      <c r="AR2607" s="47" t="n"/>
      <c r="AS2607" s="47" t="n"/>
      <c r="AT2607" s="47" t="n"/>
      <c r="AU2607" s="47" t="n"/>
      <c r="AV2607" s="47" t="n"/>
      <c r="AW2607" s="52" t="n"/>
    </row>
    <row r="2608">
      <c r="A2608" s="48" t="n"/>
      <c r="B2608" s="52" t="n"/>
      <c r="C2608" s="47">
        <f>IF(B2608="","",IFERROR(INDEX('隊員マスタ'!$B$5:$B$204,MATCH(B2608&amp;"",'隊員マスタ'!$F$5:$F$204,0)),IF(AK2608="","番号なし",AK2608)))</f>
        <v/>
      </c>
      <c r="D2608" s="47" t="n"/>
      <c r="E2608" s="47" t="n"/>
      <c r="F2608" s="47" t="n"/>
      <c r="G2608" s="47" t="n"/>
      <c r="H2608" s="47" t="n"/>
      <c r="I2608" s="47" t="n"/>
      <c r="J2608" s="47" t="n"/>
      <c r="K2608" s="47" t="n"/>
      <c r="L2608" s="47" t="n"/>
      <c r="M2608" s="47" t="n"/>
      <c r="N2608" s="47" t="n"/>
      <c r="O2608" s="47" t="n"/>
      <c r="P2608" s="47" t="n"/>
      <c r="Q2608" s="47" t="n"/>
      <c r="R2608" s="47" t="n"/>
      <c r="S2608" s="47" t="n"/>
      <c r="T2608" s="47" t="n"/>
      <c r="U2608" s="53" t="n"/>
      <c r="V2608" s="53" t="n"/>
      <c r="W2608" s="47" t="n"/>
      <c r="X2608" s="47" t="n"/>
      <c r="Y2608" s="47" t="n"/>
      <c r="Z2608" s="47" t="n"/>
      <c r="AA2608" s="47" t="n"/>
      <c r="AB2608" s="47" t="n"/>
      <c r="AC2608" s="47" t="n"/>
      <c r="AD2608" s="47" t="n"/>
      <c r="AE2608" s="47" t="n"/>
      <c r="AF2608" s="20">
        <f>IF(A2608="","",YEAR(EDATE(A2608,-3)))</f>
        <v/>
      </c>
      <c r="AG2608" s="20">
        <f>IF(OR(B2608="",'経歴簿'!$C$4=""),"",IF(B2608&amp;""='経歴簿'!$C$4&amp;"",MAX($AG$4:AG2607)+1,""))</f>
        <v/>
      </c>
      <c r="AH2608" s="20">
        <f>IF(A2608="",0,IF(AND(OR('CSV抽出'!$C$4="",A2608&gt;='CSV抽出'!$C$4),OR('CSV抽出'!$C$5="",A2608&lt;='CSV抽出'!$C$5),OR('CSV抽出'!$C$6="すべて",'CSV抽出'!$C$6="",D2608='CSV抽出'!$C$6),OR('CSV抽出'!$C$7="",B2608&amp;""='CSV抽出'!$C$7&amp;"")),1,0))</f>
        <v/>
      </c>
      <c r="AI2608" s="20">
        <f>IF(AH2608=1,SUM($AH$5:AH2608),"")</f>
        <v/>
      </c>
      <c r="AJ2608" s="20">
        <f>IF(OR(S2608="",'報告書'!$C$4=""),"",IF(S2608&amp;""='報告書'!$C$4&amp;"",COUNTIF($S$5:S2608,'報告書'!$C$4),""))</f>
        <v/>
      </c>
      <c r="AK2608" s="20" t="n"/>
      <c r="AL2608" s="47" t="n"/>
      <c r="AM2608" s="47" t="n"/>
      <c r="AN2608" s="53" t="n"/>
      <c r="AO2608" s="47" t="n"/>
      <c r="AP2608" s="47" t="n"/>
      <c r="AQ2608" s="47" t="n"/>
      <c r="AR2608" s="47" t="n"/>
      <c r="AS2608" s="47" t="n"/>
      <c r="AT2608" s="47" t="n"/>
      <c r="AU2608" s="47" t="n"/>
      <c r="AV2608" s="47" t="n"/>
      <c r="AW2608" s="52" t="n"/>
    </row>
    <row r="2609">
      <c r="A2609" s="48" t="n"/>
      <c r="B2609" s="52" t="n"/>
      <c r="C2609" s="47">
        <f>IF(B2609="","",IFERROR(INDEX('隊員マスタ'!$B$5:$B$204,MATCH(B2609&amp;"",'隊員マスタ'!$F$5:$F$204,0)),IF(AK2609="","番号なし",AK2609)))</f>
        <v/>
      </c>
      <c r="D2609" s="47" t="n"/>
      <c r="E2609" s="47" t="n"/>
      <c r="F2609" s="47" t="n"/>
      <c r="G2609" s="47" t="n"/>
      <c r="H2609" s="47" t="n"/>
      <c r="I2609" s="47" t="n"/>
      <c r="J2609" s="47" t="n"/>
      <c r="K2609" s="47" t="n"/>
      <c r="L2609" s="47" t="n"/>
      <c r="M2609" s="47" t="n"/>
      <c r="N2609" s="47" t="n"/>
      <c r="O2609" s="47" t="n"/>
      <c r="P2609" s="47" t="n"/>
      <c r="Q2609" s="47" t="n"/>
      <c r="R2609" s="47" t="n"/>
      <c r="S2609" s="47" t="n"/>
      <c r="T2609" s="47" t="n"/>
      <c r="U2609" s="53" t="n"/>
      <c r="V2609" s="53" t="n"/>
      <c r="W2609" s="47" t="n"/>
      <c r="X2609" s="47" t="n"/>
      <c r="Y2609" s="47" t="n"/>
      <c r="Z2609" s="47" t="n"/>
      <c r="AA2609" s="47" t="n"/>
      <c r="AB2609" s="47" t="n"/>
      <c r="AC2609" s="47" t="n"/>
      <c r="AD2609" s="47" t="n"/>
      <c r="AE2609" s="47" t="n"/>
      <c r="AF2609" s="20">
        <f>IF(A2609="","",YEAR(EDATE(A2609,-3)))</f>
        <v/>
      </c>
      <c r="AG2609" s="20">
        <f>IF(OR(B2609="",'経歴簿'!$C$4=""),"",IF(B2609&amp;""='経歴簿'!$C$4&amp;"",MAX($AG$4:AG2608)+1,""))</f>
        <v/>
      </c>
      <c r="AH2609" s="20">
        <f>IF(A2609="",0,IF(AND(OR('CSV抽出'!$C$4="",A2609&gt;='CSV抽出'!$C$4),OR('CSV抽出'!$C$5="",A2609&lt;='CSV抽出'!$C$5),OR('CSV抽出'!$C$6="すべて",'CSV抽出'!$C$6="",D2609='CSV抽出'!$C$6),OR('CSV抽出'!$C$7="",B2609&amp;""='CSV抽出'!$C$7&amp;"")),1,0))</f>
        <v/>
      </c>
      <c r="AI2609" s="20">
        <f>IF(AH2609=1,SUM($AH$5:AH2609),"")</f>
        <v/>
      </c>
      <c r="AJ2609" s="20">
        <f>IF(OR(S2609="",'報告書'!$C$4=""),"",IF(S2609&amp;""='報告書'!$C$4&amp;"",COUNTIF($S$5:S2609,'報告書'!$C$4),""))</f>
        <v/>
      </c>
      <c r="AK2609" s="20" t="n"/>
      <c r="AL2609" s="47" t="n"/>
      <c r="AM2609" s="47" t="n"/>
      <c r="AN2609" s="53" t="n"/>
      <c r="AO2609" s="47" t="n"/>
      <c r="AP2609" s="47" t="n"/>
      <c r="AQ2609" s="47" t="n"/>
      <c r="AR2609" s="47" t="n"/>
      <c r="AS2609" s="47" t="n"/>
      <c r="AT2609" s="47" t="n"/>
      <c r="AU2609" s="47" t="n"/>
      <c r="AV2609" s="47" t="n"/>
      <c r="AW2609" s="52" t="n"/>
    </row>
    <row r="2610">
      <c r="A2610" s="48" t="n"/>
      <c r="B2610" s="52" t="n"/>
      <c r="C2610" s="47">
        <f>IF(B2610="","",IFERROR(INDEX('隊員マスタ'!$B$5:$B$204,MATCH(B2610&amp;"",'隊員マスタ'!$F$5:$F$204,0)),IF(AK2610="","番号なし",AK2610)))</f>
        <v/>
      </c>
      <c r="D2610" s="47" t="n"/>
      <c r="E2610" s="47" t="n"/>
      <c r="F2610" s="47" t="n"/>
      <c r="G2610" s="47" t="n"/>
      <c r="H2610" s="47" t="n"/>
      <c r="I2610" s="47" t="n"/>
      <c r="J2610" s="47" t="n"/>
      <c r="K2610" s="47" t="n"/>
      <c r="L2610" s="47" t="n"/>
      <c r="M2610" s="47" t="n"/>
      <c r="N2610" s="47" t="n"/>
      <c r="O2610" s="47" t="n"/>
      <c r="P2610" s="47" t="n"/>
      <c r="Q2610" s="47" t="n"/>
      <c r="R2610" s="47" t="n"/>
      <c r="S2610" s="47" t="n"/>
      <c r="T2610" s="47" t="n"/>
      <c r="U2610" s="53" t="n"/>
      <c r="V2610" s="53" t="n"/>
      <c r="W2610" s="47" t="n"/>
      <c r="X2610" s="47" t="n"/>
      <c r="Y2610" s="47" t="n"/>
      <c r="Z2610" s="47" t="n"/>
      <c r="AA2610" s="47" t="n"/>
      <c r="AB2610" s="47" t="n"/>
      <c r="AC2610" s="47" t="n"/>
      <c r="AD2610" s="47" t="n"/>
      <c r="AE2610" s="47" t="n"/>
      <c r="AF2610" s="20">
        <f>IF(A2610="","",YEAR(EDATE(A2610,-3)))</f>
        <v/>
      </c>
      <c r="AG2610" s="20">
        <f>IF(OR(B2610="",'経歴簿'!$C$4=""),"",IF(B2610&amp;""='経歴簿'!$C$4&amp;"",MAX($AG$4:AG2609)+1,""))</f>
        <v/>
      </c>
      <c r="AH2610" s="20">
        <f>IF(A2610="",0,IF(AND(OR('CSV抽出'!$C$4="",A2610&gt;='CSV抽出'!$C$4),OR('CSV抽出'!$C$5="",A2610&lt;='CSV抽出'!$C$5),OR('CSV抽出'!$C$6="すべて",'CSV抽出'!$C$6="",D2610='CSV抽出'!$C$6),OR('CSV抽出'!$C$7="",B2610&amp;""='CSV抽出'!$C$7&amp;"")),1,0))</f>
        <v/>
      </c>
      <c r="AI2610" s="20">
        <f>IF(AH2610=1,SUM($AH$5:AH2610),"")</f>
        <v/>
      </c>
      <c r="AJ2610" s="20">
        <f>IF(OR(S2610="",'報告書'!$C$4=""),"",IF(S2610&amp;""='報告書'!$C$4&amp;"",COUNTIF($S$5:S2610,'報告書'!$C$4),""))</f>
        <v/>
      </c>
      <c r="AK2610" s="20" t="n"/>
      <c r="AL2610" s="47" t="n"/>
      <c r="AM2610" s="47" t="n"/>
      <c r="AN2610" s="53" t="n"/>
      <c r="AO2610" s="47" t="n"/>
      <c r="AP2610" s="47" t="n"/>
      <c r="AQ2610" s="47" t="n"/>
      <c r="AR2610" s="47" t="n"/>
      <c r="AS2610" s="47" t="n"/>
      <c r="AT2610" s="47" t="n"/>
      <c r="AU2610" s="47" t="n"/>
      <c r="AV2610" s="47" t="n"/>
      <c r="AW2610" s="52" t="n"/>
    </row>
    <row r="2611">
      <c r="A2611" s="48" t="n"/>
      <c r="B2611" s="52" t="n"/>
      <c r="C2611" s="47">
        <f>IF(B2611="","",IFERROR(INDEX('隊員マスタ'!$B$5:$B$204,MATCH(B2611&amp;"",'隊員マスタ'!$F$5:$F$204,0)),IF(AK2611="","番号なし",AK2611)))</f>
        <v/>
      </c>
      <c r="D2611" s="47" t="n"/>
      <c r="E2611" s="47" t="n"/>
      <c r="F2611" s="47" t="n"/>
      <c r="G2611" s="47" t="n"/>
      <c r="H2611" s="47" t="n"/>
      <c r="I2611" s="47" t="n"/>
      <c r="J2611" s="47" t="n"/>
      <c r="K2611" s="47" t="n"/>
      <c r="L2611" s="47" t="n"/>
      <c r="M2611" s="47" t="n"/>
      <c r="N2611" s="47" t="n"/>
      <c r="O2611" s="47" t="n"/>
      <c r="P2611" s="47" t="n"/>
      <c r="Q2611" s="47" t="n"/>
      <c r="R2611" s="47" t="n"/>
      <c r="S2611" s="47" t="n"/>
      <c r="T2611" s="47" t="n"/>
      <c r="U2611" s="53" t="n"/>
      <c r="V2611" s="53" t="n"/>
      <c r="W2611" s="47" t="n"/>
      <c r="X2611" s="47" t="n"/>
      <c r="Y2611" s="47" t="n"/>
      <c r="Z2611" s="47" t="n"/>
      <c r="AA2611" s="47" t="n"/>
      <c r="AB2611" s="47" t="n"/>
      <c r="AC2611" s="47" t="n"/>
      <c r="AD2611" s="47" t="n"/>
      <c r="AE2611" s="47" t="n"/>
      <c r="AF2611" s="20">
        <f>IF(A2611="","",YEAR(EDATE(A2611,-3)))</f>
        <v/>
      </c>
      <c r="AG2611" s="20">
        <f>IF(OR(B2611="",'経歴簿'!$C$4=""),"",IF(B2611&amp;""='経歴簿'!$C$4&amp;"",MAX($AG$4:AG2610)+1,""))</f>
        <v/>
      </c>
      <c r="AH2611" s="20">
        <f>IF(A2611="",0,IF(AND(OR('CSV抽出'!$C$4="",A2611&gt;='CSV抽出'!$C$4),OR('CSV抽出'!$C$5="",A2611&lt;='CSV抽出'!$C$5),OR('CSV抽出'!$C$6="すべて",'CSV抽出'!$C$6="",D2611='CSV抽出'!$C$6),OR('CSV抽出'!$C$7="",B2611&amp;""='CSV抽出'!$C$7&amp;"")),1,0))</f>
        <v/>
      </c>
      <c r="AI2611" s="20">
        <f>IF(AH2611=1,SUM($AH$5:AH2611),"")</f>
        <v/>
      </c>
      <c r="AJ2611" s="20">
        <f>IF(OR(S2611="",'報告書'!$C$4=""),"",IF(S2611&amp;""='報告書'!$C$4&amp;"",COUNTIF($S$5:S2611,'報告書'!$C$4),""))</f>
        <v/>
      </c>
      <c r="AK2611" s="20" t="n"/>
      <c r="AL2611" s="47" t="n"/>
      <c r="AM2611" s="47" t="n"/>
      <c r="AN2611" s="53" t="n"/>
      <c r="AO2611" s="47" t="n"/>
      <c r="AP2611" s="47" t="n"/>
      <c r="AQ2611" s="47" t="n"/>
      <c r="AR2611" s="47" t="n"/>
      <c r="AS2611" s="47" t="n"/>
      <c r="AT2611" s="47" t="n"/>
      <c r="AU2611" s="47" t="n"/>
      <c r="AV2611" s="47" t="n"/>
      <c r="AW2611" s="52" t="n"/>
    </row>
    <row r="2612">
      <c r="A2612" s="48" t="n"/>
      <c r="B2612" s="52" t="n"/>
      <c r="C2612" s="47">
        <f>IF(B2612="","",IFERROR(INDEX('隊員マスタ'!$B$5:$B$204,MATCH(B2612&amp;"",'隊員マスタ'!$F$5:$F$204,0)),IF(AK2612="","番号なし",AK2612)))</f>
        <v/>
      </c>
      <c r="D2612" s="47" t="n"/>
      <c r="E2612" s="47" t="n"/>
      <c r="F2612" s="47" t="n"/>
      <c r="G2612" s="47" t="n"/>
      <c r="H2612" s="47" t="n"/>
      <c r="I2612" s="47" t="n"/>
      <c r="J2612" s="47" t="n"/>
      <c r="K2612" s="47" t="n"/>
      <c r="L2612" s="47" t="n"/>
      <c r="M2612" s="47" t="n"/>
      <c r="N2612" s="47" t="n"/>
      <c r="O2612" s="47" t="n"/>
      <c r="P2612" s="47" t="n"/>
      <c r="Q2612" s="47" t="n"/>
      <c r="R2612" s="47" t="n"/>
      <c r="S2612" s="47" t="n"/>
      <c r="T2612" s="47" t="n"/>
      <c r="U2612" s="53" t="n"/>
      <c r="V2612" s="53" t="n"/>
      <c r="W2612" s="47" t="n"/>
      <c r="X2612" s="47" t="n"/>
      <c r="Y2612" s="47" t="n"/>
      <c r="Z2612" s="47" t="n"/>
      <c r="AA2612" s="47" t="n"/>
      <c r="AB2612" s="47" t="n"/>
      <c r="AC2612" s="47" t="n"/>
      <c r="AD2612" s="47" t="n"/>
      <c r="AE2612" s="47" t="n"/>
      <c r="AF2612" s="20">
        <f>IF(A2612="","",YEAR(EDATE(A2612,-3)))</f>
        <v/>
      </c>
      <c r="AG2612" s="20">
        <f>IF(OR(B2612="",'経歴簿'!$C$4=""),"",IF(B2612&amp;""='経歴簿'!$C$4&amp;"",MAX($AG$4:AG2611)+1,""))</f>
        <v/>
      </c>
      <c r="AH2612" s="20">
        <f>IF(A2612="",0,IF(AND(OR('CSV抽出'!$C$4="",A2612&gt;='CSV抽出'!$C$4),OR('CSV抽出'!$C$5="",A2612&lt;='CSV抽出'!$C$5),OR('CSV抽出'!$C$6="すべて",'CSV抽出'!$C$6="",D2612='CSV抽出'!$C$6),OR('CSV抽出'!$C$7="",B2612&amp;""='CSV抽出'!$C$7&amp;"")),1,0))</f>
        <v/>
      </c>
      <c r="AI2612" s="20">
        <f>IF(AH2612=1,SUM($AH$5:AH2612),"")</f>
        <v/>
      </c>
      <c r="AJ2612" s="20">
        <f>IF(OR(S2612="",'報告書'!$C$4=""),"",IF(S2612&amp;""='報告書'!$C$4&amp;"",COUNTIF($S$5:S2612,'報告書'!$C$4),""))</f>
        <v/>
      </c>
      <c r="AK2612" s="20" t="n"/>
      <c r="AL2612" s="47" t="n"/>
      <c r="AM2612" s="47" t="n"/>
      <c r="AN2612" s="53" t="n"/>
      <c r="AO2612" s="47" t="n"/>
      <c r="AP2612" s="47" t="n"/>
      <c r="AQ2612" s="47" t="n"/>
      <c r="AR2612" s="47" t="n"/>
      <c r="AS2612" s="47" t="n"/>
      <c r="AT2612" s="47" t="n"/>
      <c r="AU2612" s="47" t="n"/>
      <c r="AV2612" s="47" t="n"/>
      <c r="AW2612" s="52" t="n"/>
    </row>
    <row r="2613">
      <c r="A2613" s="48" t="n"/>
      <c r="B2613" s="52" t="n"/>
      <c r="C2613" s="47">
        <f>IF(B2613="","",IFERROR(INDEX('隊員マスタ'!$B$5:$B$204,MATCH(B2613&amp;"",'隊員マスタ'!$F$5:$F$204,0)),IF(AK2613="","番号なし",AK2613)))</f>
        <v/>
      </c>
      <c r="D2613" s="47" t="n"/>
      <c r="E2613" s="47" t="n"/>
      <c r="F2613" s="47" t="n"/>
      <c r="G2613" s="47" t="n"/>
      <c r="H2613" s="47" t="n"/>
      <c r="I2613" s="47" t="n"/>
      <c r="J2613" s="47" t="n"/>
      <c r="K2613" s="47" t="n"/>
      <c r="L2613" s="47" t="n"/>
      <c r="M2613" s="47" t="n"/>
      <c r="N2613" s="47" t="n"/>
      <c r="O2613" s="47" t="n"/>
      <c r="P2613" s="47" t="n"/>
      <c r="Q2613" s="47" t="n"/>
      <c r="R2613" s="47" t="n"/>
      <c r="S2613" s="47" t="n"/>
      <c r="T2613" s="47" t="n"/>
      <c r="U2613" s="53" t="n"/>
      <c r="V2613" s="53" t="n"/>
      <c r="W2613" s="47" t="n"/>
      <c r="X2613" s="47" t="n"/>
      <c r="Y2613" s="47" t="n"/>
      <c r="Z2613" s="47" t="n"/>
      <c r="AA2613" s="47" t="n"/>
      <c r="AB2613" s="47" t="n"/>
      <c r="AC2613" s="47" t="n"/>
      <c r="AD2613" s="47" t="n"/>
      <c r="AE2613" s="47" t="n"/>
      <c r="AF2613" s="20">
        <f>IF(A2613="","",YEAR(EDATE(A2613,-3)))</f>
        <v/>
      </c>
      <c r="AG2613" s="20">
        <f>IF(OR(B2613="",'経歴簿'!$C$4=""),"",IF(B2613&amp;""='経歴簿'!$C$4&amp;"",MAX($AG$4:AG2612)+1,""))</f>
        <v/>
      </c>
      <c r="AH2613" s="20">
        <f>IF(A2613="",0,IF(AND(OR('CSV抽出'!$C$4="",A2613&gt;='CSV抽出'!$C$4),OR('CSV抽出'!$C$5="",A2613&lt;='CSV抽出'!$C$5),OR('CSV抽出'!$C$6="すべて",'CSV抽出'!$C$6="",D2613='CSV抽出'!$C$6),OR('CSV抽出'!$C$7="",B2613&amp;""='CSV抽出'!$C$7&amp;"")),1,0))</f>
        <v/>
      </c>
      <c r="AI2613" s="20">
        <f>IF(AH2613=1,SUM($AH$5:AH2613),"")</f>
        <v/>
      </c>
      <c r="AJ2613" s="20">
        <f>IF(OR(S2613="",'報告書'!$C$4=""),"",IF(S2613&amp;""='報告書'!$C$4&amp;"",COUNTIF($S$5:S2613,'報告書'!$C$4),""))</f>
        <v/>
      </c>
      <c r="AK2613" s="20" t="n"/>
      <c r="AL2613" s="47" t="n"/>
      <c r="AM2613" s="47" t="n"/>
      <c r="AN2613" s="53" t="n"/>
      <c r="AO2613" s="47" t="n"/>
      <c r="AP2613" s="47" t="n"/>
      <c r="AQ2613" s="47" t="n"/>
      <c r="AR2613" s="47" t="n"/>
      <c r="AS2613" s="47" t="n"/>
      <c r="AT2613" s="47" t="n"/>
      <c r="AU2613" s="47" t="n"/>
      <c r="AV2613" s="47" t="n"/>
      <c r="AW2613" s="52" t="n"/>
    </row>
    <row r="2614">
      <c r="A2614" s="48" t="n"/>
      <c r="B2614" s="52" t="n"/>
      <c r="C2614" s="47">
        <f>IF(B2614="","",IFERROR(INDEX('隊員マスタ'!$B$5:$B$204,MATCH(B2614&amp;"",'隊員マスタ'!$F$5:$F$204,0)),IF(AK2614="","番号なし",AK2614)))</f>
        <v/>
      </c>
      <c r="D2614" s="47" t="n"/>
      <c r="E2614" s="47" t="n"/>
      <c r="F2614" s="47" t="n"/>
      <c r="G2614" s="47" t="n"/>
      <c r="H2614" s="47" t="n"/>
      <c r="I2614" s="47" t="n"/>
      <c r="J2614" s="47" t="n"/>
      <c r="K2614" s="47" t="n"/>
      <c r="L2614" s="47" t="n"/>
      <c r="M2614" s="47" t="n"/>
      <c r="N2614" s="47" t="n"/>
      <c r="O2614" s="47" t="n"/>
      <c r="P2614" s="47" t="n"/>
      <c r="Q2614" s="47" t="n"/>
      <c r="R2614" s="47" t="n"/>
      <c r="S2614" s="47" t="n"/>
      <c r="T2614" s="47" t="n"/>
      <c r="U2614" s="53" t="n"/>
      <c r="V2614" s="53" t="n"/>
      <c r="W2614" s="47" t="n"/>
      <c r="X2614" s="47" t="n"/>
      <c r="Y2614" s="47" t="n"/>
      <c r="Z2614" s="47" t="n"/>
      <c r="AA2614" s="47" t="n"/>
      <c r="AB2614" s="47" t="n"/>
      <c r="AC2614" s="47" t="n"/>
      <c r="AD2614" s="47" t="n"/>
      <c r="AE2614" s="47" t="n"/>
      <c r="AF2614" s="20">
        <f>IF(A2614="","",YEAR(EDATE(A2614,-3)))</f>
        <v/>
      </c>
      <c r="AG2614" s="20">
        <f>IF(OR(B2614="",'経歴簿'!$C$4=""),"",IF(B2614&amp;""='経歴簿'!$C$4&amp;"",MAX($AG$4:AG2613)+1,""))</f>
        <v/>
      </c>
      <c r="AH2614" s="20">
        <f>IF(A2614="",0,IF(AND(OR('CSV抽出'!$C$4="",A2614&gt;='CSV抽出'!$C$4),OR('CSV抽出'!$C$5="",A2614&lt;='CSV抽出'!$C$5),OR('CSV抽出'!$C$6="すべて",'CSV抽出'!$C$6="",D2614='CSV抽出'!$C$6),OR('CSV抽出'!$C$7="",B2614&amp;""='CSV抽出'!$C$7&amp;"")),1,0))</f>
        <v/>
      </c>
      <c r="AI2614" s="20">
        <f>IF(AH2614=1,SUM($AH$5:AH2614),"")</f>
        <v/>
      </c>
      <c r="AJ2614" s="20">
        <f>IF(OR(S2614="",'報告書'!$C$4=""),"",IF(S2614&amp;""='報告書'!$C$4&amp;"",COUNTIF($S$5:S2614,'報告書'!$C$4),""))</f>
        <v/>
      </c>
      <c r="AK2614" s="20" t="n"/>
      <c r="AL2614" s="47" t="n"/>
      <c r="AM2614" s="47" t="n"/>
      <c r="AN2614" s="53" t="n"/>
      <c r="AO2614" s="47" t="n"/>
      <c r="AP2614" s="47" t="n"/>
      <c r="AQ2614" s="47" t="n"/>
      <c r="AR2614" s="47" t="n"/>
      <c r="AS2614" s="47" t="n"/>
      <c r="AT2614" s="47" t="n"/>
      <c r="AU2614" s="47" t="n"/>
      <c r="AV2614" s="47" t="n"/>
      <c r="AW2614" s="52" t="n"/>
    </row>
    <row r="2615">
      <c r="A2615" s="48" t="n"/>
      <c r="B2615" s="52" t="n"/>
      <c r="C2615" s="47">
        <f>IF(B2615="","",IFERROR(INDEX('隊員マスタ'!$B$5:$B$204,MATCH(B2615&amp;"",'隊員マスタ'!$F$5:$F$204,0)),IF(AK2615="","番号なし",AK2615)))</f>
        <v/>
      </c>
      <c r="D2615" s="47" t="n"/>
      <c r="E2615" s="47" t="n"/>
      <c r="F2615" s="47" t="n"/>
      <c r="G2615" s="47" t="n"/>
      <c r="H2615" s="47" t="n"/>
      <c r="I2615" s="47" t="n"/>
      <c r="J2615" s="47" t="n"/>
      <c r="K2615" s="47" t="n"/>
      <c r="L2615" s="47" t="n"/>
      <c r="M2615" s="47" t="n"/>
      <c r="N2615" s="47" t="n"/>
      <c r="O2615" s="47" t="n"/>
      <c r="P2615" s="47" t="n"/>
      <c r="Q2615" s="47" t="n"/>
      <c r="R2615" s="47" t="n"/>
      <c r="S2615" s="47" t="n"/>
      <c r="T2615" s="47" t="n"/>
      <c r="U2615" s="53" t="n"/>
      <c r="V2615" s="53" t="n"/>
      <c r="W2615" s="47" t="n"/>
      <c r="X2615" s="47" t="n"/>
      <c r="Y2615" s="47" t="n"/>
      <c r="Z2615" s="47" t="n"/>
      <c r="AA2615" s="47" t="n"/>
      <c r="AB2615" s="47" t="n"/>
      <c r="AC2615" s="47" t="n"/>
      <c r="AD2615" s="47" t="n"/>
      <c r="AE2615" s="47" t="n"/>
      <c r="AF2615" s="20">
        <f>IF(A2615="","",YEAR(EDATE(A2615,-3)))</f>
        <v/>
      </c>
      <c r="AG2615" s="20">
        <f>IF(OR(B2615="",'経歴簿'!$C$4=""),"",IF(B2615&amp;""='経歴簿'!$C$4&amp;"",MAX($AG$4:AG2614)+1,""))</f>
        <v/>
      </c>
      <c r="AH2615" s="20">
        <f>IF(A2615="",0,IF(AND(OR('CSV抽出'!$C$4="",A2615&gt;='CSV抽出'!$C$4),OR('CSV抽出'!$C$5="",A2615&lt;='CSV抽出'!$C$5),OR('CSV抽出'!$C$6="すべて",'CSV抽出'!$C$6="",D2615='CSV抽出'!$C$6),OR('CSV抽出'!$C$7="",B2615&amp;""='CSV抽出'!$C$7&amp;"")),1,0))</f>
        <v/>
      </c>
      <c r="AI2615" s="20">
        <f>IF(AH2615=1,SUM($AH$5:AH2615),"")</f>
        <v/>
      </c>
      <c r="AJ2615" s="20">
        <f>IF(OR(S2615="",'報告書'!$C$4=""),"",IF(S2615&amp;""='報告書'!$C$4&amp;"",COUNTIF($S$5:S2615,'報告書'!$C$4),""))</f>
        <v/>
      </c>
      <c r="AK2615" s="20" t="n"/>
      <c r="AL2615" s="47" t="n"/>
      <c r="AM2615" s="47" t="n"/>
      <c r="AN2615" s="53" t="n"/>
      <c r="AO2615" s="47" t="n"/>
      <c r="AP2615" s="47" t="n"/>
      <c r="AQ2615" s="47" t="n"/>
      <c r="AR2615" s="47" t="n"/>
      <c r="AS2615" s="47" t="n"/>
      <c r="AT2615" s="47" t="n"/>
      <c r="AU2615" s="47" t="n"/>
      <c r="AV2615" s="47" t="n"/>
      <c r="AW2615" s="52" t="n"/>
    </row>
    <row r="2616">
      <c r="A2616" s="48" t="n"/>
      <c r="B2616" s="52" t="n"/>
      <c r="C2616" s="47">
        <f>IF(B2616="","",IFERROR(INDEX('隊員マスタ'!$B$5:$B$204,MATCH(B2616&amp;"",'隊員マスタ'!$F$5:$F$204,0)),IF(AK2616="","番号なし",AK2616)))</f>
        <v/>
      </c>
      <c r="D2616" s="47" t="n"/>
      <c r="E2616" s="47" t="n"/>
      <c r="F2616" s="47" t="n"/>
      <c r="G2616" s="47" t="n"/>
      <c r="H2616" s="47" t="n"/>
      <c r="I2616" s="47" t="n"/>
      <c r="J2616" s="47" t="n"/>
      <c r="K2616" s="47" t="n"/>
      <c r="L2616" s="47" t="n"/>
      <c r="M2616" s="47" t="n"/>
      <c r="N2616" s="47" t="n"/>
      <c r="O2616" s="47" t="n"/>
      <c r="P2616" s="47" t="n"/>
      <c r="Q2616" s="47" t="n"/>
      <c r="R2616" s="47" t="n"/>
      <c r="S2616" s="47" t="n"/>
      <c r="T2616" s="47" t="n"/>
      <c r="U2616" s="53" t="n"/>
      <c r="V2616" s="53" t="n"/>
      <c r="W2616" s="47" t="n"/>
      <c r="X2616" s="47" t="n"/>
      <c r="Y2616" s="47" t="n"/>
      <c r="Z2616" s="47" t="n"/>
      <c r="AA2616" s="47" t="n"/>
      <c r="AB2616" s="47" t="n"/>
      <c r="AC2616" s="47" t="n"/>
      <c r="AD2616" s="47" t="n"/>
      <c r="AE2616" s="47" t="n"/>
      <c r="AF2616" s="20">
        <f>IF(A2616="","",YEAR(EDATE(A2616,-3)))</f>
        <v/>
      </c>
      <c r="AG2616" s="20">
        <f>IF(OR(B2616="",'経歴簿'!$C$4=""),"",IF(B2616&amp;""='経歴簿'!$C$4&amp;"",MAX($AG$4:AG2615)+1,""))</f>
        <v/>
      </c>
      <c r="AH2616" s="20">
        <f>IF(A2616="",0,IF(AND(OR('CSV抽出'!$C$4="",A2616&gt;='CSV抽出'!$C$4),OR('CSV抽出'!$C$5="",A2616&lt;='CSV抽出'!$C$5),OR('CSV抽出'!$C$6="すべて",'CSV抽出'!$C$6="",D2616='CSV抽出'!$C$6),OR('CSV抽出'!$C$7="",B2616&amp;""='CSV抽出'!$C$7&amp;"")),1,0))</f>
        <v/>
      </c>
      <c r="AI2616" s="20">
        <f>IF(AH2616=1,SUM($AH$5:AH2616),"")</f>
        <v/>
      </c>
      <c r="AJ2616" s="20">
        <f>IF(OR(S2616="",'報告書'!$C$4=""),"",IF(S2616&amp;""='報告書'!$C$4&amp;"",COUNTIF($S$5:S2616,'報告書'!$C$4),""))</f>
        <v/>
      </c>
      <c r="AK2616" s="20" t="n"/>
      <c r="AL2616" s="47" t="n"/>
      <c r="AM2616" s="47" t="n"/>
      <c r="AN2616" s="53" t="n"/>
      <c r="AO2616" s="47" t="n"/>
      <c r="AP2616" s="47" t="n"/>
      <c r="AQ2616" s="47" t="n"/>
      <c r="AR2616" s="47" t="n"/>
      <c r="AS2616" s="47" t="n"/>
      <c r="AT2616" s="47" t="n"/>
      <c r="AU2616" s="47" t="n"/>
      <c r="AV2616" s="47" t="n"/>
      <c r="AW2616" s="52" t="n"/>
    </row>
    <row r="2617">
      <c r="A2617" s="48" t="n"/>
      <c r="B2617" s="52" t="n"/>
      <c r="C2617" s="47">
        <f>IF(B2617="","",IFERROR(INDEX('隊員マスタ'!$B$5:$B$204,MATCH(B2617&amp;"",'隊員マスタ'!$F$5:$F$204,0)),IF(AK2617="","番号なし",AK2617)))</f>
        <v/>
      </c>
      <c r="D2617" s="47" t="n"/>
      <c r="E2617" s="47" t="n"/>
      <c r="F2617" s="47" t="n"/>
      <c r="G2617" s="47" t="n"/>
      <c r="H2617" s="47" t="n"/>
      <c r="I2617" s="47" t="n"/>
      <c r="J2617" s="47" t="n"/>
      <c r="K2617" s="47" t="n"/>
      <c r="L2617" s="47" t="n"/>
      <c r="M2617" s="47" t="n"/>
      <c r="N2617" s="47" t="n"/>
      <c r="O2617" s="47" t="n"/>
      <c r="P2617" s="47" t="n"/>
      <c r="Q2617" s="47" t="n"/>
      <c r="R2617" s="47" t="n"/>
      <c r="S2617" s="47" t="n"/>
      <c r="T2617" s="47" t="n"/>
      <c r="U2617" s="53" t="n"/>
      <c r="V2617" s="53" t="n"/>
      <c r="W2617" s="47" t="n"/>
      <c r="X2617" s="47" t="n"/>
      <c r="Y2617" s="47" t="n"/>
      <c r="Z2617" s="47" t="n"/>
      <c r="AA2617" s="47" t="n"/>
      <c r="AB2617" s="47" t="n"/>
      <c r="AC2617" s="47" t="n"/>
      <c r="AD2617" s="47" t="n"/>
      <c r="AE2617" s="47" t="n"/>
      <c r="AF2617" s="20">
        <f>IF(A2617="","",YEAR(EDATE(A2617,-3)))</f>
        <v/>
      </c>
      <c r="AG2617" s="20">
        <f>IF(OR(B2617="",'経歴簿'!$C$4=""),"",IF(B2617&amp;""='経歴簿'!$C$4&amp;"",MAX($AG$4:AG2616)+1,""))</f>
        <v/>
      </c>
      <c r="AH2617" s="20">
        <f>IF(A2617="",0,IF(AND(OR('CSV抽出'!$C$4="",A2617&gt;='CSV抽出'!$C$4),OR('CSV抽出'!$C$5="",A2617&lt;='CSV抽出'!$C$5),OR('CSV抽出'!$C$6="すべて",'CSV抽出'!$C$6="",D2617='CSV抽出'!$C$6),OR('CSV抽出'!$C$7="",B2617&amp;""='CSV抽出'!$C$7&amp;"")),1,0))</f>
        <v/>
      </c>
      <c r="AI2617" s="20">
        <f>IF(AH2617=1,SUM($AH$5:AH2617),"")</f>
        <v/>
      </c>
      <c r="AJ2617" s="20">
        <f>IF(OR(S2617="",'報告書'!$C$4=""),"",IF(S2617&amp;""='報告書'!$C$4&amp;"",COUNTIF($S$5:S2617,'報告書'!$C$4),""))</f>
        <v/>
      </c>
      <c r="AK2617" s="20" t="n"/>
      <c r="AL2617" s="47" t="n"/>
      <c r="AM2617" s="47" t="n"/>
      <c r="AN2617" s="53" t="n"/>
      <c r="AO2617" s="47" t="n"/>
      <c r="AP2617" s="47" t="n"/>
      <c r="AQ2617" s="47" t="n"/>
      <c r="AR2617" s="47" t="n"/>
      <c r="AS2617" s="47" t="n"/>
      <c r="AT2617" s="47" t="n"/>
      <c r="AU2617" s="47" t="n"/>
      <c r="AV2617" s="47" t="n"/>
      <c r="AW2617" s="52" t="n"/>
    </row>
    <row r="2618">
      <c r="A2618" s="48" t="n"/>
      <c r="B2618" s="52" t="n"/>
      <c r="C2618" s="47">
        <f>IF(B2618="","",IFERROR(INDEX('隊員マスタ'!$B$5:$B$204,MATCH(B2618&amp;"",'隊員マスタ'!$F$5:$F$204,0)),IF(AK2618="","番号なし",AK2618)))</f>
        <v/>
      </c>
      <c r="D2618" s="47" t="n"/>
      <c r="E2618" s="47" t="n"/>
      <c r="F2618" s="47" t="n"/>
      <c r="G2618" s="47" t="n"/>
      <c r="H2618" s="47" t="n"/>
      <c r="I2618" s="47" t="n"/>
      <c r="J2618" s="47" t="n"/>
      <c r="K2618" s="47" t="n"/>
      <c r="L2618" s="47" t="n"/>
      <c r="M2618" s="47" t="n"/>
      <c r="N2618" s="47" t="n"/>
      <c r="O2618" s="47" t="n"/>
      <c r="P2618" s="47" t="n"/>
      <c r="Q2618" s="47" t="n"/>
      <c r="R2618" s="47" t="n"/>
      <c r="S2618" s="47" t="n"/>
      <c r="T2618" s="47" t="n"/>
      <c r="U2618" s="53" t="n"/>
      <c r="V2618" s="53" t="n"/>
      <c r="W2618" s="47" t="n"/>
      <c r="X2618" s="47" t="n"/>
      <c r="Y2618" s="47" t="n"/>
      <c r="Z2618" s="47" t="n"/>
      <c r="AA2618" s="47" t="n"/>
      <c r="AB2618" s="47" t="n"/>
      <c r="AC2618" s="47" t="n"/>
      <c r="AD2618" s="47" t="n"/>
      <c r="AE2618" s="47" t="n"/>
      <c r="AF2618" s="20">
        <f>IF(A2618="","",YEAR(EDATE(A2618,-3)))</f>
        <v/>
      </c>
      <c r="AG2618" s="20">
        <f>IF(OR(B2618="",'経歴簿'!$C$4=""),"",IF(B2618&amp;""='経歴簿'!$C$4&amp;"",MAX($AG$4:AG2617)+1,""))</f>
        <v/>
      </c>
      <c r="AH2618" s="20">
        <f>IF(A2618="",0,IF(AND(OR('CSV抽出'!$C$4="",A2618&gt;='CSV抽出'!$C$4),OR('CSV抽出'!$C$5="",A2618&lt;='CSV抽出'!$C$5),OR('CSV抽出'!$C$6="すべて",'CSV抽出'!$C$6="",D2618='CSV抽出'!$C$6),OR('CSV抽出'!$C$7="",B2618&amp;""='CSV抽出'!$C$7&amp;"")),1,0))</f>
        <v/>
      </c>
      <c r="AI2618" s="20">
        <f>IF(AH2618=1,SUM($AH$5:AH2618),"")</f>
        <v/>
      </c>
      <c r="AJ2618" s="20">
        <f>IF(OR(S2618="",'報告書'!$C$4=""),"",IF(S2618&amp;""='報告書'!$C$4&amp;"",COUNTIF($S$5:S2618,'報告書'!$C$4),""))</f>
        <v/>
      </c>
      <c r="AK2618" s="20" t="n"/>
      <c r="AL2618" s="47" t="n"/>
      <c r="AM2618" s="47" t="n"/>
      <c r="AN2618" s="53" t="n"/>
      <c r="AO2618" s="47" t="n"/>
      <c r="AP2618" s="47" t="n"/>
      <c r="AQ2618" s="47" t="n"/>
      <c r="AR2618" s="47" t="n"/>
      <c r="AS2618" s="47" t="n"/>
      <c r="AT2618" s="47" t="n"/>
      <c r="AU2618" s="47" t="n"/>
      <c r="AV2618" s="47" t="n"/>
      <c r="AW2618" s="52" t="n"/>
    </row>
    <row r="2619">
      <c r="A2619" s="48" t="n"/>
      <c r="B2619" s="52" t="n"/>
      <c r="C2619" s="47">
        <f>IF(B2619="","",IFERROR(INDEX('隊員マスタ'!$B$5:$B$204,MATCH(B2619&amp;"",'隊員マスタ'!$F$5:$F$204,0)),IF(AK2619="","番号なし",AK2619)))</f>
        <v/>
      </c>
      <c r="D2619" s="47" t="n"/>
      <c r="E2619" s="47" t="n"/>
      <c r="F2619" s="47" t="n"/>
      <c r="G2619" s="47" t="n"/>
      <c r="H2619" s="47" t="n"/>
      <c r="I2619" s="47" t="n"/>
      <c r="J2619" s="47" t="n"/>
      <c r="K2619" s="47" t="n"/>
      <c r="L2619" s="47" t="n"/>
      <c r="M2619" s="47" t="n"/>
      <c r="N2619" s="47" t="n"/>
      <c r="O2619" s="47" t="n"/>
      <c r="P2619" s="47" t="n"/>
      <c r="Q2619" s="47" t="n"/>
      <c r="R2619" s="47" t="n"/>
      <c r="S2619" s="47" t="n"/>
      <c r="T2619" s="47" t="n"/>
      <c r="U2619" s="53" t="n"/>
      <c r="V2619" s="53" t="n"/>
      <c r="W2619" s="47" t="n"/>
      <c r="X2619" s="47" t="n"/>
      <c r="Y2619" s="47" t="n"/>
      <c r="Z2619" s="47" t="n"/>
      <c r="AA2619" s="47" t="n"/>
      <c r="AB2619" s="47" t="n"/>
      <c r="AC2619" s="47" t="n"/>
      <c r="AD2619" s="47" t="n"/>
      <c r="AE2619" s="47" t="n"/>
      <c r="AF2619" s="20">
        <f>IF(A2619="","",YEAR(EDATE(A2619,-3)))</f>
        <v/>
      </c>
      <c r="AG2619" s="20">
        <f>IF(OR(B2619="",'経歴簿'!$C$4=""),"",IF(B2619&amp;""='経歴簿'!$C$4&amp;"",MAX($AG$4:AG2618)+1,""))</f>
        <v/>
      </c>
      <c r="AH2619" s="20">
        <f>IF(A2619="",0,IF(AND(OR('CSV抽出'!$C$4="",A2619&gt;='CSV抽出'!$C$4),OR('CSV抽出'!$C$5="",A2619&lt;='CSV抽出'!$C$5),OR('CSV抽出'!$C$6="すべて",'CSV抽出'!$C$6="",D2619='CSV抽出'!$C$6),OR('CSV抽出'!$C$7="",B2619&amp;""='CSV抽出'!$C$7&amp;"")),1,0))</f>
        <v/>
      </c>
      <c r="AI2619" s="20">
        <f>IF(AH2619=1,SUM($AH$5:AH2619),"")</f>
        <v/>
      </c>
      <c r="AJ2619" s="20">
        <f>IF(OR(S2619="",'報告書'!$C$4=""),"",IF(S2619&amp;""='報告書'!$C$4&amp;"",COUNTIF($S$5:S2619,'報告書'!$C$4),""))</f>
        <v/>
      </c>
      <c r="AK2619" s="20" t="n"/>
      <c r="AL2619" s="47" t="n"/>
      <c r="AM2619" s="47" t="n"/>
      <c r="AN2619" s="53" t="n"/>
      <c r="AO2619" s="47" t="n"/>
      <c r="AP2619" s="47" t="n"/>
      <c r="AQ2619" s="47" t="n"/>
      <c r="AR2619" s="47" t="n"/>
      <c r="AS2619" s="47" t="n"/>
      <c r="AT2619" s="47" t="n"/>
      <c r="AU2619" s="47" t="n"/>
      <c r="AV2619" s="47" t="n"/>
      <c r="AW2619" s="52" t="n"/>
    </row>
    <row r="2620">
      <c r="A2620" s="48" t="n"/>
      <c r="B2620" s="52" t="n"/>
      <c r="C2620" s="47">
        <f>IF(B2620="","",IFERROR(INDEX('隊員マスタ'!$B$5:$B$204,MATCH(B2620&amp;"",'隊員マスタ'!$F$5:$F$204,0)),IF(AK2620="","番号なし",AK2620)))</f>
        <v/>
      </c>
      <c r="D2620" s="47" t="n"/>
      <c r="E2620" s="47" t="n"/>
      <c r="F2620" s="47" t="n"/>
      <c r="G2620" s="47" t="n"/>
      <c r="H2620" s="47" t="n"/>
      <c r="I2620" s="47" t="n"/>
      <c r="J2620" s="47" t="n"/>
      <c r="K2620" s="47" t="n"/>
      <c r="L2620" s="47" t="n"/>
      <c r="M2620" s="47" t="n"/>
      <c r="N2620" s="47" t="n"/>
      <c r="O2620" s="47" t="n"/>
      <c r="P2620" s="47" t="n"/>
      <c r="Q2620" s="47" t="n"/>
      <c r="R2620" s="47" t="n"/>
      <c r="S2620" s="47" t="n"/>
      <c r="T2620" s="47" t="n"/>
      <c r="U2620" s="53" t="n"/>
      <c r="V2620" s="53" t="n"/>
      <c r="W2620" s="47" t="n"/>
      <c r="X2620" s="47" t="n"/>
      <c r="Y2620" s="47" t="n"/>
      <c r="Z2620" s="47" t="n"/>
      <c r="AA2620" s="47" t="n"/>
      <c r="AB2620" s="47" t="n"/>
      <c r="AC2620" s="47" t="n"/>
      <c r="AD2620" s="47" t="n"/>
      <c r="AE2620" s="47" t="n"/>
      <c r="AF2620" s="20">
        <f>IF(A2620="","",YEAR(EDATE(A2620,-3)))</f>
        <v/>
      </c>
      <c r="AG2620" s="20">
        <f>IF(OR(B2620="",'経歴簿'!$C$4=""),"",IF(B2620&amp;""='経歴簿'!$C$4&amp;"",MAX($AG$4:AG2619)+1,""))</f>
        <v/>
      </c>
      <c r="AH2620" s="20">
        <f>IF(A2620="",0,IF(AND(OR('CSV抽出'!$C$4="",A2620&gt;='CSV抽出'!$C$4),OR('CSV抽出'!$C$5="",A2620&lt;='CSV抽出'!$C$5),OR('CSV抽出'!$C$6="すべて",'CSV抽出'!$C$6="",D2620='CSV抽出'!$C$6),OR('CSV抽出'!$C$7="",B2620&amp;""='CSV抽出'!$C$7&amp;"")),1,0))</f>
        <v/>
      </c>
      <c r="AI2620" s="20">
        <f>IF(AH2620=1,SUM($AH$5:AH2620),"")</f>
        <v/>
      </c>
      <c r="AJ2620" s="20">
        <f>IF(OR(S2620="",'報告書'!$C$4=""),"",IF(S2620&amp;""='報告書'!$C$4&amp;"",COUNTIF($S$5:S2620,'報告書'!$C$4),""))</f>
        <v/>
      </c>
      <c r="AK2620" s="20" t="n"/>
      <c r="AL2620" s="47" t="n"/>
      <c r="AM2620" s="47" t="n"/>
      <c r="AN2620" s="53" t="n"/>
      <c r="AO2620" s="47" t="n"/>
      <c r="AP2620" s="47" t="n"/>
      <c r="AQ2620" s="47" t="n"/>
      <c r="AR2620" s="47" t="n"/>
      <c r="AS2620" s="47" t="n"/>
      <c r="AT2620" s="47" t="n"/>
      <c r="AU2620" s="47" t="n"/>
      <c r="AV2620" s="47" t="n"/>
      <c r="AW2620" s="52" t="n"/>
    </row>
    <row r="2621">
      <c r="A2621" s="48" t="n"/>
      <c r="B2621" s="52" t="n"/>
      <c r="C2621" s="47">
        <f>IF(B2621="","",IFERROR(INDEX('隊員マスタ'!$B$5:$B$204,MATCH(B2621&amp;"",'隊員マスタ'!$F$5:$F$204,0)),IF(AK2621="","番号なし",AK2621)))</f>
        <v/>
      </c>
      <c r="D2621" s="47" t="n"/>
      <c r="E2621" s="47" t="n"/>
      <c r="F2621" s="47" t="n"/>
      <c r="G2621" s="47" t="n"/>
      <c r="H2621" s="47" t="n"/>
      <c r="I2621" s="47" t="n"/>
      <c r="J2621" s="47" t="n"/>
      <c r="K2621" s="47" t="n"/>
      <c r="L2621" s="47" t="n"/>
      <c r="M2621" s="47" t="n"/>
      <c r="N2621" s="47" t="n"/>
      <c r="O2621" s="47" t="n"/>
      <c r="P2621" s="47" t="n"/>
      <c r="Q2621" s="47" t="n"/>
      <c r="R2621" s="47" t="n"/>
      <c r="S2621" s="47" t="n"/>
      <c r="T2621" s="47" t="n"/>
      <c r="U2621" s="53" t="n"/>
      <c r="V2621" s="53" t="n"/>
      <c r="W2621" s="47" t="n"/>
      <c r="X2621" s="47" t="n"/>
      <c r="Y2621" s="47" t="n"/>
      <c r="Z2621" s="47" t="n"/>
      <c r="AA2621" s="47" t="n"/>
      <c r="AB2621" s="47" t="n"/>
      <c r="AC2621" s="47" t="n"/>
      <c r="AD2621" s="47" t="n"/>
      <c r="AE2621" s="47" t="n"/>
      <c r="AF2621" s="20">
        <f>IF(A2621="","",YEAR(EDATE(A2621,-3)))</f>
        <v/>
      </c>
      <c r="AG2621" s="20">
        <f>IF(OR(B2621="",'経歴簿'!$C$4=""),"",IF(B2621&amp;""='経歴簿'!$C$4&amp;"",MAX($AG$4:AG2620)+1,""))</f>
        <v/>
      </c>
      <c r="AH2621" s="20">
        <f>IF(A2621="",0,IF(AND(OR('CSV抽出'!$C$4="",A2621&gt;='CSV抽出'!$C$4),OR('CSV抽出'!$C$5="",A2621&lt;='CSV抽出'!$C$5),OR('CSV抽出'!$C$6="すべて",'CSV抽出'!$C$6="",D2621='CSV抽出'!$C$6),OR('CSV抽出'!$C$7="",B2621&amp;""='CSV抽出'!$C$7&amp;"")),1,0))</f>
        <v/>
      </c>
      <c r="AI2621" s="20">
        <f>IF(AH2621=1,SUM($AH$5:AH2621),"")</f>
        <v/>
      </c>
      <c r="AJ2621" s="20">
        <f>IF(OR(S2621="",'報告書'!$C$4=""),"",IF(S2621&amp;""='報告書'!$C$4&amp;"",COUNTIF($S$5:S2621,'報告書'!$C$4),""))</f>
        <v/>
      </c>
      <c r="AK2621" s="20" t="n"/>
      <c r="AL2621" s="47" t="n"/>
      <c r="AM2621" s="47" t="n"/>
      <c r="AN2621" s="53" t="n"/>
      <c r="AO2621" s="47" t="n"/>
      <c r="AP2621" s="47" t="n"/>
      <c r="AQ2621" s="47" t="n"/>
      <c r="AR2621" s="47" t="n"/>
      <c r="AS2621" s="47" t="n"/>
      <c r="AT2621" s="47" t="n"/>
      <c r="AU2621" s="47" t="n"/>
      <c r="AV2621" s="47" t="n"/>
      <c r="AW2621" s="52" t="n"/>
    </row>
    <row r="2622">
      <c r="A2622" s="48" t="n"/>
      <c r="B2622" s="52" t="n"/>
      <c r="C2622" s="47">
        <f>IF(B2622="","",IFERROR(INDEX('隊員マスタ'!$B$5:$B$204,MATCH(B2622&amp;"",'隊員マスタ'!$F$5:$F$204,0)),IF(AK2622="","番号なし",AK2622)))</f>
        <v/>
      </c>
      <c r="D2622" s="47" t="n"/>
      <c r="E2622" s="47" t="n"/>
      <c r="F2622" s="47" t="n"/>
      <c r="G2622" s="47" t="n"/>
      <c r="H2622" s="47" t="n"/>
      <c r="I2622" s="47" t="n"/>
      <c r="J2622" s="47" t="n"/>
      <c r="K2622" s="47" t="n"/>
      <c r="L2622" s="47" t="n"/>
      <c r="M2622" s="47" t="n"/>
      <c r="N2622" s="47" t="n"/>
      <c r="O2622" s="47" t="n"/>
      <c r="P2622" s="47" t="n"/>
      <c r="Q2622" s="47" t="n"/>
      <c r="R2622" s="47" t="n"/>
      <c r="S2622" s="47" t="n"/>
      <c r="T2622" s="47" t="n"/>
      <c r="U2622" s="53" t="n"/>
      <c r="V2622" s="53" t="n"/>
      <c r="W2622" s="47" t="n"/>
      <c r="X2622" s="47" t="n"/>
      <c r="Y2622" s="47" t="n"/>
      <c r="Z2622" s="47" t="n"/>
      <c r="AA2622" s="47" t="n"/>
      <c r="AB2622" s="47" t="n"/>
      <c r="AC2622" s="47" t="n"/>
      <c r="AD2622" s="47" t="n"/>
      <c r="AE2622" s="47" t="n"/>
      <c r="AF2622" s="20">
        <f>IF(A2622="","",YEAR(EDATE(A2622,-3)))</f>
        <v/>
      </c>
      <c r="AG2622" s="20">
        <f>IF(OR(B2622="",'経歴簿'!$C$4=""),"",IF(B2622&amp;""='経歴簿'!$C$4&amp;"",MAX($AG$4:AG2621)+1,""))</f>
        <v/>
      </c>
      <c r="AH2622" s="20">
        <f>IF(A2622="",0,IF(AND(OR('CSV抽出'!$C$4="",A2622&gt;='CSV抽出'!$C$4),OR('CSV抽出'!$C$5="",A2622&lt;='CSV抽出'!$C$5),OR('CSV抽出'!$C$6="すべて",'CSV抽出'!$C$6="",D2622='CSV抽出'!$C$6),OR('CSV抽出'!$C$7="",B2622&amp;""='CSV抽出'!$C$7&amp;"")),1,0))</f>
        <v/>
      </c>
      <c r="AI2622" s="20">
        <f>IF(AH2622=1,SUM($AH$5:AH2622),"")</f>
        <v/>
      </c>
      <c r="AJ2622" s="20">
        <f>IF(OR(S2622="",'報告書'!$C$4=""),"",IF(S2622&amp;""='報告書'!$C$4&amp;"",COUNTIF($S$5:S2622,'報告書'!$C$4),""))</f>
        <v/>
      </c>
      <c r="AK2622" s="20" t="n"/>
      <c r="AL2622" s="47" t="n"/>
      <c r="AM2622" s="47" t="n"/>
      <c r="AN2622" s="53" t="n"/>
      <c r="AO2622" s="47" t="n"/>
      <c r="AP2622" s="47" t="n"/>
      <c r="AQ2622" s="47" t="n"/>
      <c r="AR2622" s="47" t="n"/>
      <c r="AS2622" s="47" t="n"/>
      <c r="AT2622" s="47" t="n"/>
      <c r="AU2622" s="47" t="n"/>
      <c r="AV2622" s="47" t="n"/>
      <c r="AW2622" s="52" t="n"/>
    </row>
    <row r="2623">
      <c r="A2623" s="48" t="n"/>
      <c r="B2623" s="52" t="n"/>
      <c r="C2623" s="47">
        <f>IF(B2623="","",IFERROR(INDEX('隊員マスタ'!$B$5:$B$204,MATCH(B2623&amp;"",'隊員マスタ'!$F$5:$F$204,0)),IF(AK2623="","番号なし",AK2623)))</f>
        <v/>
      </c>
      <c r="D2623" s="47" t="n"/>
      <c r="E2623" s="47" t="n"/>
      <c r="F2623" s="47" t="n"/>
      <c r="G2623" s="47" t="n"/>
      <c r="H2623" s="47" t="n"/>
      <c r="I2623" s="47" t="n"/>
      <c r="J2623" s="47" t="n"/>
      <c r="K2623" s="47" t="n"/>
      <c r="L2623" s="47" t="n"/>
      <c r="M2623" s="47" t="n"/>
      <c r="N2623" s="47" t="n"/>
      <c r="O2623" s="47" t="n"/>
      <c r="P2623" s="47" t="n"/>
      <c r="Q2623" s="47" t="n"/>
      <c r="R2623" s="47" t="n"/>
      <c r="S2623" s="47" t="n"/>
      <c r="T2623" s="47" t="n"/>
      <c r="U2623" s="53" t="n"/>
      <c r="V2623" s="53" t="n"/>
      <c r="W2623" s="47" t="n"/>
      <c r="X2623" s="47" t="n"/>
      <c r="Y2623" s="47" t="n"/>
      <c r="Z2623" s="47" t="n"/>
      <c r="AA2623" s="47" t="n"/>
      <c r="AB2623" s="47" t="n"/>
      <c r="AC2623" s="47" t="n"/>
      <c r="AD2623" s="47" t="n"/>
      <c r="AE2623" s="47" t="n"/>
      <c r="AF2623" s="20">
        <f>IF(A2623="","",YEAR(EDATE(A2623,-3)))</f>
        <v/>
      </c>
      <c r="AG2623" s="20">
        <f>IF(OR(B2623="",'経歴簿'!$C$4=""),"",IF(B2623&amp;""='経歴簿'!$C$4&amp;"",MAX($AG$4:AG2622)+1,""))</f>
        <v/>
      </c>
      <c r="AH2623" s="20">
        <f>IF(A2623="",0,IF(AND(OR('CSV抽出'!$C$4="",A2623&gt;='CSV抽出'!$C$4),OR('CSV抽出'!$C$5="",A2623&lt;='CSV抽出'!$C$5),OR('CSV抽出'!$C$6="すべて",'CSV抽出'!$C$6="",D2623='CSV抽出'!$C$6),OR('CSV抽出'!$C$7="",B2623&amp;""='CSV抽出'!$C$7&amp;"")),1,0))</f>
        <v/>
      </c>
      <c r="AI2623" s="20">
        <f>IF(AH2623=1,SUM($AH$5:AH2623),"")</f>
        <v/>
      </c>
      <c r="AJ2623" s="20">
        <f>IF(OR(S2623="",'報告書'!$C$4=""),"",IF(S2623&amp;""='報告書'!$C$4&amp;"",COUNTIF($S$5:S2623,'報告書'!$C$4),""))</f>
        <v/>
      </c>
      <c r="AK2623" s="20" t="n"/>
      <c r="AL2623" s="47" t="n"/>
      <c r="AM2623" s="47" t="n"/>
      <c r="AN2623" s="53" t="n"/>
      <c r="AO2623" s="47" t="n"/>
      <c r="AP2623" s="47" t="n"/>
      <c r="AQ2623" s="47" t="n"/>
      <c r="AR2623" s="47" t="n"/>
      <c r="AS2623" s="47" t="n"/>
      <c r="AT2623" s="47" t="n"/>
      <c r="AU2623" s="47" t="n"/>
      <c r="AV2623" s="47" t="n"/>
      <c r="AW2623" s="52" t="n"/>
    </row>
    <row r="2624">
      <c r="A2624" s="48" t="n"/>
      <c r="B2624" s="52" t="n"/>
      <c r="C2624" s="47">
        <f>IF(B2624="","",IFERROR(INDEX('隊員マスタ'!$B$5:$B$204,MATCH(B2624&amp;"",'隊員マスタ'!$F$5:$F$204,0)),IF(AK2624="","番号なし",AK2624)))</f>
        <v/>
      </c>
      <c r="D2624" s="47" t="n"/>
      <c r="E2624" s="47" t="n"/>
      <c r="F2624" s="47" t="n"/>
      <c r="G2624" s="47" t="n"/>
      <c r="H2624" s="47" t="n"/>
      <c r="I2624" s="47" t="n"/>
      <c r="J2624" s="47" t="n"/>
      <c r="K2624" s="47" t="n"/>
      <c r="L2624" s="47" t="n"/>
      <c r="M2624" s="47" t="n"/>
      <c r="N2624" s="47" t="n"/>
      <c r="O2624" s="47" t="n"/>
      <c r="P2624" s="47" t="n"/>
      <c r="Q2624" s="47" t="n"/>
      <c r="R2624" s="47" t="n"/>
      <c r="S2624" s="47" t="n"/>
      <c r="T2624" s="47" t="n"/>
      <c r="U2624" s="53" t="n"/>
      <c r="V2624" s="53" t="n"/>
      <c r="W2624" s="47" t="n"/>
      <c r="X2624" s="47" t="n"/>
      <c r="Y2624" s="47" t="n"/>
      <c r="Z2624" s="47" t="n"/>
      <c r="AA2624" s="47" t="n"/>
      <c r="AB2624" s="47" t="n"/>
      <c r="AC2624" s="47" t="n"/>
      <c r="AD2624" s="47" t="n"/>
      <c r="AE2624" s="47" t="n"/>
      <c r="AF2624" s="20">
        <f>IF(A2624="","",YEAR(EDATE(A2624,-3)))</f>
        <v/>
      </c>
      <c r="AG2624" s="20">
        <f>IF(OR(B2624="",'経歴簿'!$C$4=""),"",IF(B2624&amp;""='経歴簿'!$C$4&amp;"",MAX($AG$4:AG2623)+1,""))</f>
        <v/>
      </c>
      <c r="AH2624" s="20">
        <f>IF(A2624="",0,IF(AND(OR('CSV抽出'!$C$4="",A2624&gt;='CSV抽出'!$C$4),OR('CSV抽出'!$C$5="",A2624&lt;='CSV抽出'!$C$5),OR('CSV抽出'!$C$6="すべて",'CSV抽出'!$C$6="",D2624='CSV抽出'!$C$6),OR('CSV抽出'!$C$7="",B2624&amp;""='CSV抽出'!$C$7&amp;"")),1,0))</f>
        <v/>
      </c>
      <c r="AI2624" s="20">
        <f>IF(AH2624=1,SUM($AH$5:AH2624),"")</f>
        <v/>
      </c>
      <c r="AJ2624" s="20">
        <f>IF(OR(S2624="",'報告書'!$C$4=""),"",IF(S2624&amp;""='報告書'!$C$4&amp;"",COUNTIF($S$5:S2624,'報告書'!$C$4),""))</f>
        <v/>
      </c>
      <c r="AK2624" s="20" t="n"/>
      <c r="AL2624" s="47" t="n"/>
      <c r="AM2624" s="47" t="n"/>
      <c r="AN2624" s="53" t="n"/>
      <c r="AO2624" s="47" t="n"/>
      <c r="AP2624" s="47" t="n"/>
      <c r="AQ2624" s="47" t="n"/>
      <c r="AR2624" s="47" t="n"/>
      <c r="AS2624" s="47" t="n"/>
      <c r="AT2624" s="47" t="n"/>
      <c r="AU2624" s="47" t="n"/>
      <c r="AV2624" s="47" t="n"/>
      <c r="AW2624" s="52" t="n"/>
    </row>
    <row r="2625">
      <c r="A2625" s="48" t="n"/>
      <c r="B2625" s="52" t="n"/>
      <c r="C2625" s="47">
        <f>IF(B2625="","",IFERROR(INDEX('隊員マスタ'!$B$5:$B$204,MATCH(B2625&amp;"",'隊員マスタ'!$F$5:$F$204,0)),IF(AK2625="","番号なし",AK2625)))</f>
        <v/>
      </c>
      <c r="D2625" s="47" t="n"/>
      <c r="E2625" s="47" t="n"/>
      <c r="F2625" s="47" t="n"/>
      <c r="G2625" s="47" t="n"/>
      <c r="H2625" s="47" t="n"/>
      <c r="I2625" s="47" t="n"/>
      <c r="J2625" s="47" t="n"/>
      <c r="K2625" s="47" t="n"/>
      <c r="L2625" s="47" t="n"/>
      <c r="M2625" s="47" t="n"/>
      <c r="N2625" s="47" t="n"/>
      <c r="O2625" s="47" t="n"/>
      <c r="P2625" s="47" t="n"/>
      <c r="Q2625" s="47" t="n"/>
      <c r="R2625" s="47" t="n"/>
      <c r="S2625" s="47" t="n"/>
      <c r="T2625" s="47" t="n"/>
      <c r="U2625" s="53" t="n"/>
      <c r="V2625" s="53" t="n"/>
      <c r="W2625" s="47" t="n"/>
      <c r="X2625" s="47" t="n"/>
      <c r="Y2625" s="47" t="n"/>
      <c r="Z2625" s="47" t="n"/>
      <c r="AA2625" s="47" t="n"/>
      <c r="AB2625" s="47" t="n"/>
      <c r="AC2625" s="47" t="n"/>
      <c r="AD2625" s="47" t="n"/>
      <c r="AE2625" s="47" t="n"/>
      <c r="AF2625" s="20">
        <f>IF(A2625="","",YEAR(EDATE(A2625,-3)))</f>
        <v/>
      </c>
      <c r="AG2625" s="20">
        <f>IF(OR(B2625="",'経歴簿'!$C$4=""),"",IF(B2625&amp;""='経歴簿'!$C$4&amp;"",MAX($AG$4:AG2624)+1,""))</f>
        <v/>
      </c>
      <c r="AH2625" s="20">
        <f>IF(A2625="",0,IF(AND(OR('CSV抽出'!$C$4="",A2625&gt;='CSV抽出'!$C$4),OR('CSV抽出'!$C$5="",A2625&lt;='CSV抽出'!$C$5),OR('CSV抽出'!$C$6="すべて",'CSV抽出'!$C$6="",D2625='CSV抽出'!$C$6),OR('CSV抽出'!$C$7="",B2625&amp;""='CSV抽出'!$C$7&amp;"")),1,0))</f>
        <v/>
      </c>
      <c r="AI2625" s="20">
        <f>IF(AH2625=1,SUM($AH$5:AH2625),"")</f>
        <v/>
      </c>
      <c r="AJ2625" s="20">
        <f>IF(OR(S2625="",'報告書'!$C$4=""),"",IF(S2625&amp;""='報告書'!$C$4&amp;"",COUNTIF($S$5:S2625,'報告書'!$C$4),""))</f>
        <v/>
      </c>
      <c r="AK2625" s="20" t="n"/>
      <c r="AL2625" s="47" t="n"/>
      <c r="AM2625" s="47" t="n"/>
      <c r="AN2625" s="53" t="n"/>
      <c r="AO2625" s="47" t="n"/>
      <c r="AP2625" s="47" t="n"/>
      <c r="AQ2625" s="47" t="n"/>
      <c r="AR2625" s="47" t="n"/>
      <c r="AS2625" s="47" t="n"/>
      <c r="AT2625" s="47" t="n"/>
      <c r="AU2625" s="47" t="n"/>
      <c r="AV2625" s="47" t="n"/>
      <c r="AW2625" s="52" t="n"/>
    </row>
    <row r="2626">
      <c r="A2626" s="48" t="n"/>
      <c r="B2626" s="52" t="n"/>
      <c r="C2626" s="47">
        <f>IF(B2626="","",IFERROR(INDEX('隊員マスタ'!$B$5:$B$204,MATCH(B2626&amp;"",'隊員マスタ'!$F$5:$F$204,0)),IF(AK2626="","番号なし",AK2626)))</f>
        <v/>
      </c>
      <c r="D2626" s="47" t="n"/>
      <c r="E2626" s="47" t="n"/>
      <c r="F2626" s="47" t="n"/>
      <c r="G2626" s="47" t="n"/>
      <c r="H2626" s="47" t="n"/>
      <c r="I2626" s="47" t="n"/>
      <c r="J2626" s="47" t="n"/>
      <c r="K2626" s="47" t="n"/>
      <c r="L2626" s="47" t="n"/>
      <c r="M2626" s="47" t="n"/>
      <c r="N2626" s="47" t="n"/>
      <c r="O2626" s="47" t="n"/>
      <c r="P2626" s="47" t="n"/>
      <c r="Q2626" s="47" t="n"/>
      <c r="R2626" s="47" t="n"/>
      <c r="S2626" s="47" t="n"/>
      <c r="T2626" s="47" t="n"/>
      <c r="U2626" s="53" t="n"/>
      <c r="V2626" s="53" t="n"/>
      <c r="W2626" s="47" t="n"/>
      <c r="X2626" s="47" t="n"/>
      <c r="Y2626" s="47" t="n"/>
      <c r="Z2626" s="47" t="n"/>
      <c r="AA2626" s="47" t="n"/>
      <c r="AB2626" s="47" t="n"/>
      <c r="AC2626" s="47" t="n"/>
      <c r="AD2626" s="47" t="n"/>
      <c r="AE2626" s="47" t="n"/>
      <c r="AF2626" s="20">
        <f>IF(A2626="","",YEAR(EDATE(A2626,-3)))</f>
        <v/>
      </c>
      <c r="AG2626" s="20">
        <f>IF(OR(B2626="",'経歴簿'!$C$4=""),"",IF(B2626&amp;""='経歴簿'!$C$4&amp;"",MAX($AG$4:AG2625)+1,""))</f>
        <v/>
      </c>
      <c r="AH2626" s="20">
        <f>IF(A2626="",0,IF(AND(OR('CSV抽出'!$C$4="",A2626&gt;='CSV抽出'!$C$4),OR('CSV抽出'!$C$5="",A2626&lt;='CSV抽出'!$C$5),OR('CSV抽出'!$C$6="すべて",'CSV抽出'!$C$6="",D2626='CSV抽出'!$C$6),OR('CSV抽出'!$C$7="",B2626&amp;""='CSV抽出'!$C$7&amp;"")),1,0))</f>
        <v/>
      </c>
      <c r="AI2626" s="20">
        <f>IF(AH2626=1,SUM($AH$5:AH2626),"")</f>
        <v/>
      </c>
      <c r="AJ2626" s="20">
        <f>IF(OR(S2626="",'報告書'!$C$4=""),"",IF(S2626&amp;""='報告書'!$C$4&amp;"",COUNTIF($S$5:S2626,'報告書'!$C$4),""))</f>
        <v/>
      </c>
      <c r="AK2626" s="20" t="n"/>
      <c r="AL2626" s="47" t="n"/>
      <c r="AM2626" s="47" t="n"/>
      <c r="AN2626" s="53" t="n"/>
      <c r="AO2626" s="47" t="n"/>
      <c r="AP2626" s="47" t="n"/>
      <c r="AQ2626" s="47" t="n"/>
      <c r="AR2626" s="47" t="n"/>
      <c r="AS2626" s="47" t="n"/>
      <c r="AT2626" s="47" t="n"/>
      <c r="AU2626" s="47" t="n"/>
      <c r="AV2626" s="47" t="n"/>
      <c r="AW2626" s="52" t="n"/>
    </row>
    <row r="2627">
      <c r="A2627" s="48" t="n"/>
      <c r="B2627" s="52" t="n"/>
      <c r="C2627" s="47">
        <f>IF(B2627="","",IFERROR(INDEX('隊員マスタ'!$B$5:$B$204,MATCH(B2627&amp;"",'隊員マスタ'!$F$5:$F$204,0)),IF(AK2627="","番号なし",AK2627)))</f>
        <v/>
      </c>
      <c r="D2627" s="47" t="n"/>
      <c r="E2627" s="47" t="n"/>
      <c r="F2627" s="47" t="n"/>
      <c r="G2627" s="47" t="n"/>
      <c r="H2627" s="47" t="n"/>
      <c r="I2627" s="47" t="n"/>
      <c r="J2627" s="47" t="n"/>
      <c r="K2627" s="47" t="n"/>
      <c r="L2627" s="47" t="n"/>
      <c r="M2627" s="47" t="n"/>
      <c r="N2627" s="47" t="n"/>
      <c r="O2627" s="47" t="n"/>
      <c r="P2627" s="47" t="n"/>
      <c r="Q2627" s="47" t="n"/>
      <c r="R2627" s="47" t="n"/>
      <c r="S2627" s="47" t="n"/>
      <c r="T2627" s="47" t="n"/>
      <c r="U2627" s="53" t="n"/>
      <c r="V2627" s="53" t="n"/>
      <c r="W2627" s="47" t="n"/>
      <c r="X2627" s="47" t="n"/>
      <c r="Y2627" s="47" t="n"/>
      <c r="Z2627" s="47" t="n"/>
      <c r="AA2627" s="47" t="n"/>
      <c r="AB2627" s="47" t="n"/>
      <c r="AC2627" s="47" t="n"/>
      <c r="AD2627" s="47" t="n"/>
      <c r="AE2627" s="47" t="n"/>
      <c r="AF2627" s="20">
        <f>IF(A2627="","",YEAR(EDATE(A2627,-3)))</f>
        <v/>
      </c>
      <c r="AG2627" s="20">
        <f>IF(OR(B2627="",'経歴簿'!$C$4=""),"",IF(B2627&amp;""='経歴簿'!$C$4&amp;"",MAX($AG$4:AG2626)+1,""))</f>
        <v/>
      </c>
      <c r="AH2627" s="20">
        <f>IF(A2627="",0,IF(AND(OR('CSV抽出'!$C$4="",A2627&gt;='CSV抽出'!$C$4),OR('CSV抽出'!$C$5="",A2627&lt;='CSV抽出'!$C$5),OR('CSV抽出'!$C$6="すべて",'CSV抽出'!$C$6="",D2627='CSV抽出'!$C$6),OR('CSV抽出'!$C$7="",B2627&amp;""='CSV抽出'!$C$7&amp;"")),1,0))</f>
        <v/>
      </c>
      <c r="AI2627" s="20">
        <f>IF(AH2627=1,SUM($AH$5:AH2627),"")</f>
        <v/>
      </c>
      <c r="AJ2627" s="20">
        <f>IF(OR(S2627="",'報告書'!$C$4=""),"",IF(S2627&amp;""='報告書'!$C$4&amp;"",COUNTIF($S$5:S2627,'報告書'!$C$4),""))</f>
        <v/>
      </c>
      <c r="AK2627" s="20" t="n"/>
      <c r="AL2627" s="47" t="n"/>
      <c r="AM2627" s="47" t="n"/>
      <c r="AN2627" s="53" t="n"/>
      <c r="AO2627" s="47" t="n"/>
      <c r="AP2627" s="47" t="n"/>
      <c r="AQ2627" s="47" t="n"/>
      <c r="AR2627" s="47" t="n"/>
      <c r="AS2627" s="47" t="n"/>
      <c r="AT2627" s="47" t="n"/>
      <c r="AU2627" s="47" t="n"/>
      <c r="AV2627" s="47" t="n"/>
      <c r="AW2627" s="52" t="n"/>
    </row>
    <row r="2628">
      <c r="A2628" s="48" t="n"/>
      <c r="B2628" s="52" t="n"/>
      <c r="C2628" s="47">
        <f>IF(B2628="","",IFERROR(INDEX('隊員マスタ'!$B$5:$B$204,MATCH(B2628&amp;"",'隊員マスタ'!$F$5:$F$204,0)),IF(AK2628="","番号なし",AK2628)))</f>
        <v/>
      </c>
      <c r="D2628" s="47" t="n"/>
      <c r="E2628" s="47" t="n"/>
      <c r="F2628" s="47" t="n"/>
      <c r="G2628" s="47" t="n"/>
      <c r="H2628" s="47" t="n"/>
      <c r="I2628" s="47" t="n"/>
      <c r="J2628" s="47" t="n"/>
      <c r="K2628" s="47" t="n"/>
      <c r="L2628" s="47" t="n"/>
      <c r="M2628" s="47" t="n"/>
      <c r="N2628" s="47" t="n"/>
      <c r="O2628" s="47" t="n"/>
      <c r="P2628" s="47" t="n"/>
      <c r="Q2628" s="47" t="n"/>
      <c r="R2628" s="47" t="n"/>
      <c r="S2628" s="47" t="n"/>
      <c r="T2628" s="47" t="n"/>
      <c r="U2628" s="53" t="n"/>
      <c r="V2628" s="53" t="n"/>
      <c r="W2628" s="47" t="n"/>
      <c r="X2628" s="47" t="n"/>
      <c r="Y2628" s="47" t="n"/>
      <c r="Z2628" s="47" t="n"/>
      <c r="AA2628" s="47" t="n"/>
      <c r="AB2628" s="47" t="n"/>
      <c r="AC2628" s="47" t="n"/>
      <c r="AD2628" s="47" t="n"/>
      <c r="AE2628" s="47" t="n"/>
      <c r="AF2628" s="20">
        <f>IF(A2628="","",YEAR(EDATE(A2628,-3)))</f>
        <v/>
      </c>
      <c r="AG2628" s="20">
        <f>IF(OR(B2628="",'経歴簿'!$C$4=""),"",IF(B2628&amp;""='経歴簿'!$C$4&amp;"",MAX($AG$4:AG2627)+1,""))</f>
        <v/>
      </c>
      <c r="AH2628" s="20">
        <f>IF(A2628="",0,IF(AND(OR('CSV抽出'!$C$4="",A2628&gt;='CSV抽出'!$C$4),OR('CSV抽出'!$C$5="",A2628&lt;='CSV抽出'!$C$5),OR('CSV抽出'!$C$6="すべて",'CSV抽出'!$C$6="",D2628='CSV抽出'!$C$6),OR('CSV抽出'!$C$7="",B2628&amp;""='CSV抽出'!$C$7&amp;"")),1,0))</f>
        <v/>
      </c>
      <c r="AI2628" s="20">
        <f>IF(AH2628=1,SUM($AH$5:AH2628),"")</f>
        <v/>
      </c>
      <c r="AJ2628" s="20">
        <f>IF(OR(S2628="",'報告書'!$C$4=""),"",IF(S2628&amp;""='報告書'!$C$4&amp;"",COUNTIF($S$5:S2628,'報告書'!$C$4),""))</f>
        <v/>
      </c>
      <c r="AK2628" s="20" t="n"/>
      <c r="AL2628" s="47" t="n"/>
      <c r="AM2628" s="47" t="n"/>
      <c r="AN2628" s="53" t="n"/>
      <c r="AO2628" s="47" t="n"/>
      <c r="AP2628" s="47" t="n"/>
      <c r="AQ2628" s="47" t="n"/>
      <c r="AR2628" s="47" t="n"/>
      <c r="AS2628" s="47" t="n"/>
      <c r="AT2628" s="47" t="n"/>
      <c r="AU2628" s="47" t="n"/>
      <c r="AV2628" s="47" t="n"/>
      <c r="AW2628" s="52" t="n"/>
    </row>
    <row r="2629">
      <c r="A2629" s="48" t="n"/>
      <c r="B2629" s="52" t="n"/>
      <c r="C2629" s="47">
        <f>IF(B2629="","",IFERROR(INDEX('隊員マスタ'!$B$5:$B$204,MATCH(B2629&amp;"",'隊員マスタ'!$F$5:$F$204,0)),IF(AK2629="","番号なし",AK2629)))</f>
        <v/>
      </c>
      <c r="D2629" s="47" t="n"/>
      <c r="E2629" s="47" t="n"/>
      <c r="F2629" s="47" t="n"/>
      <c r="G2629" s="47" t="n"/>
      <c r="H2629" s="47" t="n"/>
      <c r="I2629" s="47" t="n"/>
      <c r="J2629" s="47" t="n"/>
      <c r="K2629" s="47" t="n"/>
      <c r="L2629" s="47" t="n"/>
      <c r="M2629" s="47" t="n"/>
      <c r="N2629" s="47" t="n"/>
      <c r="O2629" s="47" t="n"/>
      <c r="P2629" s="47" t="n"/>
      <c r="Q2629" s="47" t="n"/>
      <c r="R2629" s="47" t="n"/>
      <c r="S2629" s="47" t="n"/>
      <c r="T2629" s="47" t="n"/>
      <c r="U2629" s="53" t="n"/>
      <c r="V2629" s="53" t="n"/>
      <c r="W2629" s="47" t="n"/>
      <c r="X2629" s="47" t="n"/>
      <c r="Y2629" s="47" t="n"/>
      <c r="Z2629" s="47" t="n"/>
      <c r="AA2629" s="47" t="n"/>
      <c r="AB2629" s="47" t="n"/>
      <c r="AC2629" s="47" t="n"/>
      <c r="AD2629" s="47" t="n"/>
      <c r="AE2629" s="47" t="n"/>
      <c r="AF2629" s="20">
        <f>IF(A2629="","",YEAR(EDATE(A2629,-3)))</f>
        <v/>
      </c>
      <c r="AG2629" s="20">
        <f>IF(OR(B2629="",'経歴簿'!$C$4=""),"",IF(B2629&amp;""='経歴簿'!$C$4&amp;"",MAX($AG$4:AG2628)+1,""))</f>
        <v/>
      </c>
      <c r="AH2629" s="20">
        <f>IF(A2629="",0,IF(AND(OR('CSV抽出'!$C$4="",A2629&gt;='CSV抽出'!$C$4),OR('CSV抽出'!$C$5="",A2629&lt;='CSV抽出'!$C$5),OR('CSV抽出'!$C$6="すべて",'CSV抽出'!$C$6="",D2629='CSV抽出'!$C$6),OR('CSV抽出'!$C$7="",B2629&amp;""='CSV抽出'!$C$7&amp;"")),1,0))</f>
        <v/>
      </c>
      <c r="AI2629" s="20">
        <f>IF(AH2629=1,SUM($AH$5:AH2629),"")</f>
        <v/>
      </c>
      <c r="AJ2629" s="20">
        <f>IF(OR(S2629="",'報告書'!$C$4=""),"",IF(S2629&amp;""='報告書'!$C$4&amp;"",COUNTIF($S$5:S2629,'報告書'!$C$4),""))</f>
        <v/>
      </c>
      <c r="AK2629" s="20" t="n"/>
      <c r="AL2629" s="47" t="n"/>
      <c r="AM2629" s="47" t="n"/>
      <c r="AN2629" s="53" t="n"/>
      <c r="AO2629" s="47" t="n"/>
      <c r="AP2629" s="47" t="n"/>
      <c r="AQ2629" s="47" t="n"/>
      <c r="AR2629" s="47" t="n"/>
      <c r="AS2629" s="47" t="n"/>
      <c r="AT2629" s="47" t="n"/>
      <c r="AU2629" s="47" t="n"/>
      <c r="AV2629" s="47" t="n"/>
      <c r="AW2629" s="52" t="n"/>
    </row>
    <row r="2630">
      <c r="A2630" s="48" t="n"/>
      <c r="B2630" s="52" t="n"/>
      <c r="C2630" s="47">
        <f>IF(B2630="","",IFERROR(INDEX('隊員マスタ'!$B$5:$B$204,MATCH(B2630&amp;"",'隊員マスタ'!$F$5:$F$204,0)),IF(AK2630="","番号なし",AK2630)))</f>
        <v/>
      </c>
      <c r="D2630" s="47" t="n"/>
      <c r="E2630" s="47" t="n"/>
      <c r="F2630" s="47" t="n"/>
      <c r="G2630" s="47" t="n"/>
      <c r="H2630" s="47" t="n"/>
      <c r="I2630" s="47" t="n"/>
      <c r="J2630" s="47" t="n"/>
      <c r="K2630" s="47" t="n"/>
      <c r="L2630" s="47" t="n"/>
      <c r="M2630" s="47" t="n"/>
      <c r="N2630" s="47" t="n"/>
      <c r="O2630" s="47" t="n"/>
      <c r="P2630" s="47" t="n"/>
      <c r="Q2630" s="47" t="n"/>
      <c r="R2630" s="47" t="n"/>
      <c r="S2630" s="47" t="n"/>
      <c r="T2630" s="47" t="n"/>
      <c r="U2630" s="53" t="n"/>
      <c r="V2630" s="53" t="n"/>
      <c r="W2630" s="47" t="n"/>
      <c r="X2630" s="47" t="n"/>
      <c r="Y2630" s="47" t="n"/>
      <c r="Z2630" s="47" t="n"/>
      <c r="AA2630" s="47" t="n"/>
      <c r="AB2630" s="47" t="n"/>
      <c r="AC2630" s="47" t="n"/>
      <c r="AD2630" s="47" t="n"/>
      <c r="AE2630" s="47" t="n"/>
      <c r="AF2630" s="20">
        <f>IF(A2630="","",YEAR(EDATE(A2630,-3)))</f>
        <v/>
      </c>
      <c r="AG2630" s="20">
        <f>IF(OR(B2630="",'経歴簿'!$C$4=""),"",IF(B2630&amp;""='経歴簿'!$C$4&amp;"",MAX($AG$4:AG2629)+1,""))</f>
        <v/>
      </c>
      <c r="AH2630" s="20">
        <f>IF(A2630="",0,IF(AND(OR('CSV抽出'!$C$4="",A2630&gt;='CSV抽出'!$C$4),OR('CSV抽出'!$C$5="",A2630&lt;='CSV抽出'!$C$5),OR('CSV抽出'!$C$6="すべて",'CSV抽出'!$C$6="",D2630='CSV抽出'!$C$6),OR('CSV抽出'!$C$7="",B2630&amp;""='CSV抽出'!$C$7&amp;"")),1,0))</f>
        <v/>
      </c>
      <c r="AI2630" s="20">
        <f>IF(AH2630=1,SUM($AH$5:AH2630),"")</f>
        <v/>
      </c>
      <c r="AJ2630" s="20">
        <f>IF(OR(S2630="",'報告書'!$C$4=""),"",IF(S2630&amp;""='報告書'!$C$4&amp;"",COUNTIF($S$5:S2630,'報告書'!$C$4),""))</f>
        <v/>
      </c>
      <c r="AK2630" s="20" t="n"/>
      <c r="AL2630" s="47" t="n"/>
      <c r="AM2630" s="47" t="n"/>
      <c r="AN2630" s="53" t="n"/>
      <c r="AO2630" s="47" t="n"/>
      <c r="AP2630" s="47" t="n"/>
      <c r="AQ2630" s="47" t="n"/>
      <c r="AR2630" s="47" t="n"/>
      <c r="AS2630" s="47" t="n"/>
      <c r="AT2630" s="47" t="n"/>
      <c r="AU2630" s="47" t="n"/>
      <c r="AV2630" s="47" t="n"/>
      <c r="AW2630" s="52" t="n"/>
    </row>
    <row r="2631">
      <c r="A2631" s="48" t="n"/>
      <c r="B2631" s="52" t="n"/>
      <c r="C2631" s="47">
        <f>IF(B2631="","",IFERROR(INDEX('隊員マスタ'!$B$5:$B$204,MATCH(B2631&amp;"",'隊員マスタ'!$F$5:$F$204,0)),IF(AK2631="","番号なし",AK2631)))</f>
        <v/>
      </c>
      <c r="D2631" s="47" t="n"/>
      <c r="E2631" s="47" t="n"/>
      <c r="F2631" s="47" t="n"/>
      <c r="G2631" s="47" t="n"/>
      <c r="H2631" s="47" t="n"/>
      <c r="I2631" s="47" t="n"/>
      <c r="J2631" s="47" t="n"/>
      <c r="K2631" s="47" t="n"/>
      <c r="L2631" s="47" t="n"/>
      <c r="M2631" s="47" t="n"/>
      <c r="N2631" s="47" t="n"/>
      <c r="O2631" s="47" t="n"/>
      <c r="P2631" s="47" t="n"/>
      <c r="Q2631" s="47" t="n"/>
      <c r="R2631" s="47" t="n"/>
      <c r="S2631" s="47" t="n"/>
      <c r="T2631" s="47" t="n"/>
      <c r="U2631" s="53" t="n"/>
      <c r="V2631" s="53" t="n"/>
      <c r="W2631" s="47" t="n"/>
      <c r="X2631" s="47" t="n"/>
      <c r="Y2631" s="47" t="n"/>
      <c r="Z2631" s="47" t="n"/>
      <c r="AA2631" s="47" t="n"/>
      <c r="AB2631" s="47" t="n"/>
      <c r="AC2631" s="47" t="n"/>
      <c r="AD2631" s="47" t="n"/>
      <c r="AE2631" s="47" t="n"/>
      <c r="AF2631" s="20">
        <f>IF(A2631="","",YEAR(EDATE(A2631,-3)))</f>
        <v/>
      </c>
      <c r="AG2631" s="20">
        <f>IF(OR(B2631="",'経歴簿'!$C$4=""),"",IF(B2631&amp;""='経歴簿'!$C$4&amp;"",MAX($AG$4:AG2630)+1,""))</f>
        <v/>
      </c>
      <c r="AH2631" s="20">
        <f>IF(A2631="",0,IF(AND(OR('CSV抽出'!$C$4="",A2631&gt;='CSV抽出'!$C$4),OR('CSV抽出'!$C$5="",A2631&lt;='CSV抽出'!$C$5),OR('CSV抽出'!$C$6="すべて",'CSV抽出'!$C$6="",D2631='CSV抽出'!$C$6),OR('CSV抽出'!$C$7="",B2631&amp;""='CSV抽出'!$C$7&amp;"")),1,0))</f>
        <v/>
      </c>
      <c r="AI2631" s="20">
        <f>IF(AH2631=1,SUM($AH$5:AH2631),"")</f>
        <v/>
      </c>
      <c r="AJ2631" s="20">
        <f>IF(OR(S2631="",'報告書'!$C$4=""),"",IF(S2631&amp;""='報告書'!$C$4&amp;"",COUNTIF($S$5:S2631,'報告書'!$C$4),""))</f>
        <v/>
      </c>
      <c r="AK2631" s="20" t="n"/>
      <c r="AL2631" s="47" t="n"/>
      <c r="AM2631" s="47" t="n"/>
      <c r="AN2631" s="53" t="n"/>
      <c r="AO2631" s="47" t="n"/>
      <c r="AP2631" s="47" t="n"/>
      <c r="AQ2631" s="47" t="n"/>
      <c r="AR2631" s="47" t="n"/>
      <c r="AS2631" s="47" t="n"/>
      <c r="AT2631" s="47" t="n"/>
      <c r="AU2631" s="47" t="n"/>
      <c r="AV2631" s="47" t="n"/>
      <c r="AW2631" s="52" t="n"/>
    </row>
    <row r="2632">
      <c r="A2632" s="48" t="n"/>
      <c r="B2632" s="52" t="n"/>
      <c r="C2632" s="47">
        <f>IF(B2632="","",IFERROR(INDEX('隊員マスタ'!$B$5:$B$204,MATCH(B2632&amp;"",'隊員マスタ'!$F$5:$F$204,0)),IF(AK2632="","番号なし",AK2632)))</f>
        <v/>
      </c>
      <c r="D2632" s="47" t="n"/>
      <c r="E2632" s="47" t="n"/>
      <c r="F2632" s="47" t="n"/>
      <c r="G2632" s="47" t="n"/>
      <c r="H2632" s="47" t="n"/>
      <c r="I2632" s="47" t="n"/>
      <c r="J2632" s="47" t="n"/>
      <c r="K2632" s="47" t="n"/>
      <c r="L2632" s="47" t="n"/>
      <c r="M2632" s="47" t="n"/>
      <c r="N2632" s="47" t="n"/>
      <c r="O2632" s="47" t="n"/>
      <c r="P2632" s="47" t="n"/>
      <c r="Q2632" s="47" t="n"/>
      <c r="R2632" s="47" t="n"/>
      <c r="S2632" s="47" t="n"/>
      <c r="T2632" s="47" t="n"/>
      <c r="U2632" s="53" t="n"/>
      <c r="V2632" s="53" t="n"/>
      <c r="W2632" s="47" t="n"/>
      <c r="X2632" s="47" t="n"/>
      <c r="Y2632" s="47" t="n"/>
      <c r="Z2632" s="47" t="n"/>
      <c r="AA2632" s="47" t="n"/>
      <c r="AB2632" s="47" t="n"/>
      <c r="AC2632" s="47" t="n"/>
      <c r="AD2632" s="47" t="n"/>
      <c r="AE2632" s="47" t="n"/>
      <c r="AF2632" s="20">
        <f>IF(A2632="","",YEAR(EDATE(A2632,-3)))</f>
        <v/>
      </c>
      <c r="AG2632" s="20">
        <f>IF(OR(B2632="",'経歴簿'!$C$4=""),"",IF(B2632&amp;""='経歴簿'!$C$4&amp;"",MAX($AG$4:AG2631)+1,""))</f>
        <v/>
      </c>
      <c r="AH2632" s="20">
        <f>IF(A2632="",0,IF(AND(OR('CSV抽出'!$C$4="",A2632&gt;='CSV抽出'!$C$4),OR('CSV抽出'!$C$5="",A2632&lt;='CSV抽出'!$C$5),OR('CSV抽出'!$C$6="すべて",'CSV抽出'!$C$6="",D2632='CSV抽出'!$C$6),OR('CSV抽出'!$C$7="",B2632&amp;""='CSV抽出'!$C$7&amp;"")),1,0))</f>
        <v/>
      </c>
      <c r="AI2632" s="20">
        <f>IF(AH2632=1,SUM($AH$5:AH2632),"")</f>
        <v/>
      </c>
      <c r="AJ2632" s="20">
        <f>IF(OR(S2632="",'報告書'!$C$4=""),"",IF(S2632&amp;""='報告書'!$C$4&amp;"",COUNTIF($S$5:S2632,'報告書'!$C$4),""))</f>
        <v/>
      </c>
      <c r="AK2632" s="20" t="n"/>
      <c r="AL2632" s="47" t="n"/>
      <c r="AM2632" s="47" t="n"/>
      <c r="AN2632" s="53" t="n"/>
      <c r="AO2632" s="47" t="n"/>
      <c r="AP2632" s="47" t="n"/>
      <c r="AQ2632" s="47" t="n"/>
      <c r="AR2632" s="47" t="n"/>
      <c r="AS2632" s="47" t="n"/>
      <c r="AT2632" s="47" t="n"/>
      <c r="AU2632" s="47" t="n"/>
      <c r="AV2632" s="47" t="n"/>
      <c r="AW2632" s="52" t="n"/>
    </row>
    <row r="2633">
      <c r="A2633" s="48" t="n"/>
      <c r="B2633" s="52" t="n"/>
      <c r="C2633" s="47">
        <f>IF(B2633="","",IFERROR(INDEX('隊員マスタ'!$B$5:$B$204,MATCH(B2633&amp;"",'隊員マスタ'!$F$5:$F$204,0)),IF(AK2633="","番号なし",AK2633)))</f>
        <v/>
      </c>
      <c r="D2633" s="47" t="n"/>
      <c r="E2633" s="47" t="n"/>
      <c r="F2633" s="47" t="n"/>
      <c r="G2633" s="47" t="n"/>
      <c r="H2633" s="47" t="n"/>
      <c r="I2633" s="47" t="n"/>
      <c r="J2633" s="47" t="n"/>
      <c r="K2633" s="47" t="n"/>
      <c r="L2633" s="47" t="n"/>
      <c r="M2633" s="47" t="n"/>
      <c r="N2633" s="47" t="n"/>
      <c r="O2633" s="47" t="n"/>
      <c r="P2633" s="47" t="n"/>
      <c r="Q2633" s="47" t="n"/>
      <c r="R2633" s="47" t="n"/>
      <c r="S2633" s="47" t="n"/>
      <c r="T2633" s="47" t="n"/>
      <c r="U2633" s="53" t="n"/>
      <c r="V2633" s="53" t="n"/>
      <c r="W2633" s="47" t="n"/>
      <c r="X2633" s="47" t="n"/>
      <c r="Y2633" s="47" t="n"/>
      <c r="Z2633" s="47" t="n"/>
      <c r="AA2633" s="47" t="n"/>
      <c r="AB2633" s="47" t="n"/>
      <c r="AC2633" s="47" t="n"/>
      <c r="AD2633" s="47" t="n"/>
      <c r="AE2633" s="47" t="n"/>
      <c r="AF2633" s="20">
        <f>IF(A2633="","",YEAR(EDATE(A2633,-3)))</f>
        <v/>
      </c>
      <c r="AG2633" s="20">
        <f>IF(OR(B2633="",'経歴簿'!$C$4=""),"",IF(B2633&amp;""='経歴簿'!$C$4&amp;"",MAX($AG$4:AG2632)+1,""))</f>
        <v/>
      </c>
      <c r="AH2633" s="20">
        <f>IF(A2633="",0,IF(AND(OR('CSV抽出'!$C$4="",A2633&gt;='CSV抽出'!$C$4),OR('CSV抽出'!$C$5="",A2633&lt;='CSV抽出'!$C$5),OR('CSV抽出'!$C$6="すべて",'CSV抽出'!$C$6="",D2633='CSV抽出'!$C$6),OR('CSV抽出'!$C$7="",B2633&amp;""='CSV抽出'!$C$7&amp;"")),1,0))</f>
        <v/>
      </c>
      <c r="AI2633" s="20">
        <f>IF(AH2633=1,SUM($AH$5:AH2633),"")</f>
        <v/>
      </c>
      <c r="AJ2633" s="20">
        <f>IF(OR(S2633="",'報告書'!$C$4=""),"",IF(S2633&amp;""='報告書'!$C$4&amp;"",COUNTIF($S$5:S2633,'報告書'!$C$4),""))</f>
        <v/>
      </c>
      <c r="AK2633" s="20" t="n"/>
      <c r="AL2633" s="47" t="n"/>
      <c r="AM2633" s="47" t="n"/>
      <c r="AN2633" s="53" t="n"/>
      <c r="AO2633" s="47" t="n"/>
      <c r="AP2633" s="47" t="n"/>
      <c r="AQ2633" s="47" t="n"/>
      <c r="AR2633" s="47" t="n"/>
      <c r="AS2633" s="47" t="n"/>
      <c r="AT2633" s="47" t="n"/>
      <c r="AU2633" s="47" t="n"/>
      <c r="AV2633" s="47" t="n"/>
      <c r="AW2633" s="52" t="n"/>
    </row>
    <row r="2634">
      <c r="A2634" s="48" t="n"/>
      <c r="B2634" s="52" t="n"/>
      <c r="C2634" s="47">
        <f>IF(B2634="","",IFERROR(INDEX('隊員マスタ'!$B$5:$B$204,MATCH(B2634&amp;"",'隊員マスタ'!$F$5:$F$204,0)),IF(AK2634="","番号なし",AK2634)))</f>
        <v/>
      </c>
      <c r="D2634" s="47" t="n"/>
      <c r="E2634" s="47" t="n"/>
      <c r="F2634" s="47" t="n"/>
      <c r="G2634" s="47" t="n"/>
      <c r="H2634" s="47" t="n"/>
      <c r="I2634" s="47" t="n"/>
      <c r="J2634" s="47" t="n"/>
      <c r="K2634" s="47" t="n"/>
      <c r="L2634" s="47" t="n"/>
      <c r="M2634" s="47" t="n"/>
      <c r="N2634" s="47" t="n"/>
      <c r="O2634" s="47" t="n"/>
      <c r="P2634" s="47" t="n"/>
      <c r="Q2634" s="47" t="n"/>
      <c r="R2634" s="47" t="n"/>
      <c r="S2634" s="47" t="n"/>
      <c r="T2634" s="47" t="n"/>
      <c r="U2634" s="53" t="n"/>
      <c r="V2634" s="53" t="n"/>
      <c r="W2634" s="47" t="n"/>
      <c r="X2634" s="47" t="n"/>
      <c r="Y2634" s="47" t="n"/>
      <c r="Z2634" s="47" t="n"/>
      <c r="AA2634" s="47" t="n"/>
      <c r="AB2634" s="47" t="n"/>
      <c r="AC2634" s="47" t="n"/>
      <c r="AD2634" s="47" t="n"/>
      <c r="AE2634" s="47" t="n"/>
      <c r="AF2634" s="20">
        <f>IF(A2634="","",YEAR(EDATE(A2634,-3)))</f>
        <v/>
      </c>
      <c r="AG2634" s="20">
        <f>IF(OR(B2634="",'経歴簿'!$C$4=""),"",IF(B2634&amp;""='経歴簿'!$C$4&amp;"",MAX($AG$4:AG2633)+1,""))</f>
        <v/>
      </c>
      <c r="AH2634" s="20">
        <f>IF(A2634="",0,IF(AND(OR('CSV抽出'!$C$4="",A2634&gt;='CSV抽出'!$C$4),OR('CSV抽出'!$C$5="",A2634&lt;='CSV抽出'!$C$5),OR('CSV抽出'!$C$6="すべて",'CSV抽出'!$C$6="",D2634='CSV抽出'!$C$6),OR('CSV抽出'!$C$7="",B2634&amp;""='CSV抽出'!$C$7&amp;"")),1,0))</f>
        <v/>
      </c>
      <c r="AI2634" s="20">
        <f>IF(AH2634=1,SUM($AH$5:AH2634),"")</f>
        <v/>
      </c>
      <c r="AJ2634" s="20">
        <f>IF(OR(S2634="",'報告書'!$C$4=""),"",IF(S2634&amp;""='報告書'!$C$4&amp;"",COUNTIF($S$5:S2634,'報告書'!$C$4),""))</f>
        <v/>
      </c>
      <c r="AK2634" s="20" t="n"/>
      <c r="AL2634" s="47" t="n"/>
      <c r="AM2634" s="47" t="n"/>
      <c r="AN2634" s="53" t="n"/>
      <c r="AO2634" s="47" t="n"/>
      <c r="AP2634" s="47" t="n"/>
      <c r="AQ2634" s="47" t="n"/>
      <c r="AR2634" s="47" t="n"/>
      <c r="AS2634" s="47" t="n"/>
      <c r="AT2634" s="47" t="n"/>
      <c r="AU2634" s="47" t="n"/>
      <c r="AV2634" s="47" t="n"/>
      <c r="AW2634" s="52" t="n"/>
    </row>
    <row r="2635">
      <c r="A2635" s="48" t="n"/>
      <c r="B2635" s="52" t="n"/>
      <c r="C2635" s="47">
        <f>IF(B2635="","",IFERROR(INDEX('隊員マスタ'!$B$5:$B$204,MATCH(B2635&amp;"",'隊員マスタ'!$F$5:$F$204,0)),IF(AK2635="","番号なし",AK2635)))</f>
        <v/>
      </c>
      <c r="D2635" s="47" t="n"/>
      <c r="E2635" s="47" t="n"/>
      <c r="F2635" s="47" t="n"/>
      <c r="G2635" s="47" t="n"/>
      <c r="H2635" s="47" t="n"/>
      <c r="I2635" s="47" t="n"/>
      <c r="J2635" s="47" t="n"/>
      <c r="K2635" s="47" t="n"/>
      <c r="L2635" s="47" t="n"/>
      <c r="M2635" s="47" t="n"/>
      <c r="N2635" s="47" t="n"/>
      <c r="O2635" s="47" t="n"/>
      <c r="P2635" s="47" t="n"/>
      <c r="Q2635" s="47" t="n"/>
      <c r="R2635" s="47" t="n"/>
      <c r="S2635" s="47" t="n"/>
      <c r="T2635" s="47" t="n"/>
      <c r="U2635" s="53" t="n"/>
      <c r="V2635" s="53" t="n"/>
      <c r="W2635" s="47" t="n"/>
      <c r="X2635" s="47" t="n"/>
      <c r="Y2635" s="47" t="n"/>
      <c r="Z2635" s="47" t="n"/>
      <c r="AA2635" s="47" t="n"/>
      <c r="AB2635" s="47" t="n"/>
      <c r="AC2635" s="47" t="n"/>
      <c r="AD2635" s="47" t="n"/>
      <c r="AE2635" s="47" t="n"/>
      <c r="AF2635" s="20">
        <f>IF(A2635="","",YEAR(EDATE(A2635,-3)))</f>
        <v/>
      </c>
      <c r="AG2635" s="20">
        <f>IF(OR(B2635="",'経歴簿'!$C$4=""),"",IF(B2635&amp;""='経歴簿'!$C$4&amp;"",MAX($AG$4:AG2634)+1,""))</f>
        <v/>
      </c>
      <c r="AH2635" s="20">
        <f>IF(A2635="",0,IF(AND(OR('CSV抽出'!$C$4="",A2635&gt;='CSV抽出'!$C$4),OR('CSV抽出'!$C$5="",A2635&lt;='CSV抽出'!$C$5),OR('CSV抽出'!$C$6="すべて",'CSV抽出'!$C$6="",D2635='CSV抽出'!$C$6),OR('CSV抽出'!$C$7="",B2635&amp;""='CSV抽出'!$C$7&amp;"")),1,0))</f>
        <v/>
      </c>
      <c r="AI2635" s="20">
        <f>IF(AH2635=1,SUM($AH$5:AH2635),"")</f>
        <v/>
      </c>
      <c r="AJ2635" s="20">
        <f>IF(OR(S2635="",'報告書'!$C$4=""),"",IF(S2635&amp;""='報告書'!$C$4&amp;"",COUNTIF($S$5:S2635,'報告書'!$C$4),""))</f>
        <v/>
      </c>
      <c r="AK2635" s="20" t="n"/>
      <c r="AL2635" s="47" t="n"/>
      <c r="AM2635" s="47" t="n"/>
      <c r="AN2635" s="53" t="n"/>
      <c r="AO2635" s="47" t="n"/>
      <c r="AP2635" s="47" t="n"/>
      <c r="AQ2635" s="47" t="n"/>
      <c r="AR2635" s="47" t="n"/>
      <c r="AS2635" s="47" t="n"/>
      <c r="AT2635" s="47" t="n"/>
      <c r="AU2635" s="47" t="n"/>
      <c r="AV2635" s="47" t="n"/>
      <c r="AW2635" s="52" t="n"/>
    </row>
    <row r="2636">
      <c r="A2636" s="48" t="n"/>
      <c r="B2636" s="52" t="n"/>
      <c r="C2636" s="47">
        <f>IF(B2636="","",IFERROR(INDEX('隊員マスタ'!$B$5:$B$204,MATCH(B2636&amp;"",'隊員マスタ'!$F$5:$F$204,0)),IF(AK2636="","番号なし",AK2636)))</f>
        <v/>
      </c>
      <c r="D2636" s="47" t="n"/>
      <c r="E2636" s="47" t="n"/>
      <c r="F2636" s="47" t="n"/>
      <c r="G2636" s="47" t="n"/>
      <c r="H2636" s="47" t="n"/>
      <c r="I2636" s="47" t="n"/>
      <c r="J2636" s="47" t="n"/>
      <c r="K2636" s="47" t="n"/>
      <c r="L2636" s="47" t="n"/>
      <c r="M2636" s="47" t="n"/>
      <c r="N2636" s="47" t="n"/>
      <c r="O2636" s="47" t="n"/>
      <c r="P2636" s="47" t="n"/>
      <c r="Q2636" s="47" t="n"/>
      <c r="R2636" s="47" t="n"/>
      <c r="S2636" s="47" t="n"/>
      <c r="T2636" s="47" t="n"/>
      <c r="U2636" s="53" t="n"/>
      <c r="V2636" s="53" t="n"/>
      <c r="W2636" s="47" t="n"/>
      <c r="X2636" s="47" t="n"/>
      <c r="Y2636" s="47" t="n"/>
      <c r="Z2636" s="47" t="n"/>
      <c r="AA2636" s="47" t="n"/>
      <c r="AB2636" s="47" t="n"/>
      <c r="AC2636" s="47" t="n"/>
      <c r="AD2636" s="47" t="n"/>
      <c r="AE2636" s="47" t="n"/>
      <c r="AF2636" s="20">
        <f>IF(A2636="","",YEAR(EDATE(A2636,-3)))</f>
        <v/>
      </c>
      <c r="AG2636" s="20">
        <f>IF(OR(B2636="",'経歴簿'!$C$4=""),"",IF(B2636&amp;""='経歴簿'!$C$4&amp;"",MAX($AG$4:AG2635)+1,""))</f>
        <v/>
      </c>
      <c r="AH2636" s="20">
        <f>IF(A2636="",0,IF(AND(OR('CSV抽出'!$C$4="",A2636&gt;='CSV抽出'!$C$4),OR('CSV抽出'!$C$5="",A2636&lt;='CSV抽出'!$C$5),OR('CSV抽出'!$C$6="すべて",'CSV抽出'!$C$6="",D2636='CSV抽出'!$C$6),OR('CSV抽出'!$C$7="",B2636&amp;""='CSV抽出'!$C$7&amp;"")),1,0))</f>
        <v/>
      </c>
      <c r="AI2636" s="20">
        <f>IF(AH2636=1,SUM($AH$5:AH2636),"")</f>
        <v/>
      </c>
      <c r="AJ2636" s="20">
        <f>IF(OR(S2636="",'報告書'!$C$4=""),"",IF(S2636&amp;""='報告書'!$C$4&amp;"",COUNTIF($S$5:S2636,'報告書'!$C$4),""))</f>
        <v/>
      </c>
      <c r="AK2636" s="20" t="n"/>
      <c r="AL2636" s="47" t="n"/>
      <c r="AM2636" s="47" t="n"/>
      <c r="AN2636" s="53" t="n"/>
      <c r="AO2636" s="47" t="n"/>
      <c r="AP2636" s="47" t="n"/>
      <c r="AQ2636" s="47" t="n"/>
      <c r="AR2636" s="47" t="n"/>
      <c r="AS2636" s="47" t="n"/>
      <c r="AT2636" s="47" t="n"/>
      <c r="AU2636" s="47" t="n"/>
      <c r="AV2636" s="47" t="n"/>
      <c r="AW2636" s="52" t="n"/>
    </row>
    <row r="2637">
      <c r="A2637" s="48" t="n"/>
      <c r="B2637" s="52" t="n"/>
      <c r="C2637" s="47">
        <f>IF(B2637="","",IFERROR(INDEX('隊員マスタ'!$B$5:$B$204,MATCH(B2637&amp;"",'隊員マスタ'!$F$5:$F$204,0)),IF(AK2637="","番号なし",AK2637)))</f>
        <v/>
      </c>
      <c r="D2637" s="47" t="n"/>
      <c r="E2637" s="47" t="n"/>
      <c r="F2637" s="47" t="n"/>
      <c r="G2637" s="47" t="n"/>
      <c r="H2637" s="47" t="n"/>
      <c r="I2637" s="47" t="n"/>
      <c r="J2637" s="47" t="n"/>
      <c r="K2637" s="47" t="n"/>
      <c r="L2637" s="47" t="n"/>
      <c r="M2637" s="47" t="n"/>
      <c r="N2637" s="47" t="n"/>
      <c r="O2637" s="47" t="n"/>
      <c r="P2637" s="47" t="n"/>
      <c r="Q2637" s="47" t="n"/>
      <c r="R2637" s="47" t="n"/>
      <c r="S2637" s="47" t="n"/>
      <c r="T2637" s="47" t="n"/>
      <c r="U2637" s="53" t="n"/>
      <c r="V2637" s="53" t="n"/>
      <c r="W2637" s="47" t="n"/>
      <c r="X2637" s="47" t="n"/>
      <c r="Y2637" s="47" t="n"/>
      <c r="Z2637" s="47" t="n"/>
      <c r="AA2637" s="47" t="n"/>
      <c r="AB2637" s="47" t="n"/>
      <c r="AC2637" s="47" t="n"/>
      <c r="AD2637" s="47" t="n"/>
      <c r="AE2637" s="47" t="n"/>
      <c r="AF2637" s="20">
        <f>IF(A2637="","",YEAR(EDATE(A2637,-3)))</f>
        <v/>
      </c>
      <c r="AG2637" s="20">
        <f>IF(OR(B2637="",'経歴簿'!$C$4=""),"",IF(B2637&amp;""='経歴簿'!$C$4&amp;"",MAX($AG$4:AG2636)+1,""))</f>
        <v/>
      </c>
      <c r="AH2637" s="20">
        <f>IF(A2637="",0,IF(AND(OR('CSV抽出'!$C$4="",A2637&gt;='CSV抽出'!$C$4),OR('CSV抽出'!$C$5="",A2637&lt;='CSV抽出'!$C$5),OR('CSV抽出'!$C$6="すべて",'CSV抽出'!$C$6="",D2637='CSV抽出'!$C$6),OR('CSV抽出'!$C$7="",B2637&amp;""='CSV抽出'!$C$7&amp;"")),1,0))</f>
        <v/>
      </c>
      <c r="AI2637" s="20">
        <f>IF(AH2637=1,SUM($AH$5:AH2637),"")</f>
        <v/>
      </c>
      <c r="AJ2637" s="20">
        <f>IF(OR(S2637="",'報告書'!$C$4=""),"",IF(S2637&amp;""='報告書'!$C$4&amp;"",COUNTIF($S$5:S2637,'報告書'!$C$4),""))</f>
        <v/>
      </c>
      <c r="AK2637" s="20" t="n"/>
      <c r="AL2637" s="47" t="n"/>
      <c r="AM2637" s="47" t="n"/>
      <c r="AN2637" s="53" t="n"/>
      <c r="AO2637" s="47" t="n"/>
      <c r="AP2637" s="47" t="n"/>
      <c r="AQ2637" s="47" t="n"/>
      <c r="AR2637" s="47" t="n"/>
      <c r="AS2637" s="47" t="n"/>
      <c r="AT2637" s="47" t="n"/>
      <c r="AU2637" s="47" t="n"/>
      <c r="AV2637" s="47" t="n"/>
      <c r="AW2637" s="52" t="n"/>
    </row>
    <row r="2638">
      <c r="A2638" s="48" t="n"/>
      <c r="B2638" s="52" t="n"/>
      <c r="C2638" s="47">
        <f>IF(B2638="","",IFERROR(INDEX('隊員マスタ'!$B$5:$B$204,MATCH(B2638&amp;"",'隊員マスタ'!$F$5:$F$204,0)),IF(AK2638="","番号なし",AK2638)))</f>
        <v/>
      </c>
      <c r="D2638" s="47" t="n"/>
      <c r="E2638" s="47" t="n"/>
      <c r="F2638" s="47" t="n"/>
      <c r="G2638" s="47" t="n"/>
      <c r="H2638" s="47" t="n"/>
      <c r="I2638" s="47" t="n"/>
      <c r="J2638" s="47" t="n"/>
      <c r="K2638" s="47" t="n"/>
      <c r="L2638" s="47" t="n"/>
      <c r="M2638" s="47" t="n"/>
      <c r="N2638" s="47" t="n"/>
      <c r="O2638" s="47" t="n"/>
      <c r="P2638" s="47" t="n"/>
      <c r="Q2638" s="47" t="n"/>
      <c r="R2638" s="47" t="n"/>
      <c r="S2638" s="47" t="n"/>
      <c r="T2638" s="47" t="n"/>
      <c r="U2638" s="53" t="n"/>
      <c r="V2638" s="53" t="n"/>
      <c r="W2638" s="47" t="n"/>
      <c r="X2638" s="47" t="n"/>
      <c r="Y2638" s="47" t="n"/>
      <c r="Z2638" s="47" t="n"/>
      <c r="AA2638" s="47" t="n"/>
      <c r="AB2638" s="47" t="n"/>
      <c r="AC2638" s="47" t="n"/>
      <c r="AD2638" s="47" t="n"/>
      <c r="AE2638" s="47" t="n"/>
      <c r="AF2638" s="20">
        <f>IF(A2638="","",YEAR(EDATE(A2638,-3)))</f>
        <v/>
      </c>
      <c r="AG2638" s="20">
        <f>IF(OR(B2638="",'経歴簿'!$C$4=""),"",IF(B2638&amp;""='経歴簿'!$C$4&amp;"",MAX($AG$4:AG2637)+1,""))</f>
        <v/>
      </c>
      <c r="AH2638" s="20">
        <f>IF(A2638="",0,IF(AND(OR('CSV抽出'!$C$4="",A2638&gt;='CSV抽出'!$C$4),OR('CSV抽出'!$C$5="",A2638&lt;='CSV抽出'!$C$5),OR('CSV抽出'!$C$6="すべて",'CSV抽出'!$C$6="",D2638='CSV抽出'!$C$6),OR('CSV抽出'!$C$7="",B2638&amp;""='CSV抽出'!$C$7&amp;"")),1,0))</f>
        <v/>
      </c>
      <c r="AI2638" s="20">
        <f>IF(AH2638=1,SUM($AH$5:AH2638),"")</f>
        <v/>
      </c>
      <c r="AJ2638" s="20">
        <f>IF(OR(S2638="",'報告書'!$C$4=""),"",IF(S2638&amp;""='報告書'!$C$4&amp;"",COUNTIF($S$5:S2638,'報告書'!$C$4),""))</f>
        <v/>
      </c>
      <c r="AK2638" s="20" t="n"/>
      <c r="AL2638" s="47" t="n"/>
      <c r="AM2638" s="47" t="n"/>
      <c r="AN2638" s="53" t="n"/>
      <c r="AO2638" s="47" t="n"/>
      <c r="AP2638" s="47" t="n"/>
      <c r="AQ2638" s="47" t="n"/>
      <c r="AR2638" s="47" t="n"/>
      <c r="AS2638" s="47" t="n"/>
      <c r="AT2638" s="47" t="n"/>
      <c r="AU2638" s="47" t="n"/>
      <c r="AV2638" s="47" t="n"/>
      <c r="AW2638" s="52" t="n"/>
    </row>
    <row r="2639">
      <c r="A2639" s="48" t="n"/>
      <c r="B2639" s="52" t="n"/>
      <c r="C2639" s="47">
        <f>IF(B2639="","",IFERROR(INDEX('隊員マスタ'!$B$5:$B$204,MATCH(B2639&amp;"",'隊員マスタ'!$F$5:$F$204,0)),IF(AK2639="","番号なし",AK2639)))</f>
        <v/>
      </c>
      <c r="D2639" s="47" t="n"/>
      <c r="E2639" s="47" t="n"/>
      <c r="F2639" s="47" t="n"/>
      <c r="G2639" s="47" t="n"/>
      <c r="H2639" s="47" t="n"/>
      <c r="I2639" s="47" t="n"/>
      <c r="J2639" s="47" t="n"/>
      <c r="K2639" s="47" t="n"/>
      <c r="L2639" s="47" t="n"/>
      <c r="M2639" s="47" t="n"/>
      <c r="N2639" s="47" t="n"/>
      <c r="O2639" s="47" t="n"/>
      <c r="P2639" s="47" t="n"/>
      <c r="Q2639" s="47" t="n"/>
      <c r="R2639" s="47" t="n"/>
      <c r="S2639" s="47" t="n"/>
      <c r="T2639" s="47" t="n"/>
      <c r="U2639" s="53" t="n"/>
      <c r="V2639" s="53" t="n"/>
      <c r="W2639" s="47" t="n"/>
      <c r="X2639" s="47" t="n"/>
      <c r="Y2639" s="47" t="n"/>
      <c r="Z2639" s="47" t="n"/>
      <c r="AA2639" s="47" t="n"/>
      <c r="AB2639" s="47" t="n"/>
      <c r="AC2639" s="47" t="n"/>
      <c r="AD2639" s="47" t="n"/>
      <c r="AE2639" s="47" t="n"/>
      <c r="AF2639" s="20">
        <f>IF(A2639="","",YEAR(EDATE(A2639,-3)))</f>
        <v/>
      </c>
      <c r="AG2639" s="20">
        <f>IF(OR(B2639="",'経歴簿'!$C$4=""),"",IF(B2639&amp;""='経歴簿'!$C$4&amp;"",MAX($AG$4:AG2638)+1,""))</f>
        <v/>
      </c>
      <c r="AH2639" s="20">
        <f>IF(A2639="",0,IF(AND(OR('CSV抽出'!$C$4="",A2639&gt;='CSV抽出'!$C$4),OR('CSV抽出'!$C$5="",A2639&lt;='CSV抽出'!$C$5),OR('CSV抽出'!$C$6="すべて",'CSV抽出'!$C$6="",D2639='CSV抽出'!$C$6),OR('CSV抽出'!$C$7="",B2639&amp;""='CSV抽出'!$C$7&amp;"")),1,0))</f>
        <v/>
      </c>
      <c r="AI2639" s="20">
        <f>IF(AH2639=1,SUM($AH$5:AH2639),"")</f>
        <v/>
      </c>
      <c r="AJ2639" s="20">
        <f>IF(OR(S2639="",'報告書'!$C$4=""),"",IF(S2639&amp;""='報告書'!$C$4&amp;"",COUNTIF($S$5:S2639,'報告書'!$C$4),""))</f>
        <v/>
      </c>
      <c r="AK2639" s="20" t="n"/>
      <c r="AL2639" s="47" t="n"/>
      <c r="AM2639" s="47" t="n"/>
      <c r="AN2639" s="53" t="n"/>
      <c r="AO2639" s="47" t="n"/>
      <c r="AP2639" s="47" t="n"/>
      <c r="AQ2639" s="47" t="n"/>
      <c r="AR2639" s="47" t="n"/>
      <c r="AS2639" s="47" t="n"/>
      <c r="AT2639" s="47" t="n"/>
      <c r="AU2639" s="47" t="n"/>
      <c r="AV2639" s="47" t="n"/>
      <c r="AW2639" s="52" t="n"/>
    </row>
    <row r="2640">
      <c r="A2640" s="48" t="n"/>
      <c r="B2640" s="52" t="n"/>
      <c r="C2640" s="47">
        <f>IF(B2640="","",IFERROR(INDEX('隊員マスタ'!$B$5:$B$204,MATCH(B2640&amp;"",'隊員マスタ'!$F$5:$F$204,0)),IF(AK2640="","番号なし",AK2640)))</f>
        <v/>
      </c>
      <c r="D2640" s="47" t="n"/>
      <c r="E2640" s="47" t="n"/>
      <c r="F2640" s="47" t="n"/>
      <c r="G2640" s="47" t="n"/>
      <c r="H2640" s="47" t="n"/>
      <c r="I2640" s="47" t="n"/>
      <c r="J2640" s="47" t="n"/>
      <c r="K2640" s="47" t="n"/>
      <c r="L2640" s="47" t="n"/>
      <c r="M2640" s="47" t="n"/>
      <c r="N2640" s="47" t="n"/>
      <c r="O2640" s="47" t="n"/>
      <c r="P2640" s="47" t="n"/>
      <c r="Q2640" s="47" t="n"/>
      <c r="R2640" s="47" t="n"/>
      <c r="S2640" s="47" t="n"/>
      <c r="T2640" s="47" t="n"/>
      <c r="U2640" s="53" t="n"/>
      <c r="V2640" s="53" t="n"/>
      <c r="W2640" s="47" t="n"/>
      <c r="X2640" s="47" t="n"/>
      <c r="Y2640" s="47" t="n"/>
      <c r="Z2640" s="47" t="n"/>
      <c r="AA2640" s="47" t="n"/>
      <c r="AB2640" s="47" t="n"/>
      <c r="AC2640" s="47" t="n"/>
      <c r="AD2640" s="47" t="n"/>
      <c r="AE2640" s="47" t="n"/>
      <c r="AF2640" s="20">
        <f>IF(A2640="","",YEAR(EDATE(A2640,-3)))</f>
        <v/>
      </c>
      <c r="AG2640" s="20">
        <f>IF(OR(B2640="",'経歴簿'!$C$4=""),"",IF(B2640&amp;""='経歴簿'!$C$4&amp;"",MAX($AG$4:AG2639)+1,""))</f>
        <v/>
      </c>
      <c r="AH2640" s="20">
        <f>IF(A2640="",0,IF(AND(OR('CSV抽出'!$C$4="",A2640&gt;='CSV抽出'!$C$4),OR('CSV抽出'!$C$5="",A2640&lt;='CSV抽出'!$C$5),OR('CSV抽出'!$C$6="すべて",'CSV抽出'!$C$6="",D2640='CSV抽出'!$C$6),OR('CSV抽出'!$C$7="",B2640&amp;""='CSV抽出'!$C$7&amp;"")),1,0))</f>
        <v/>
      </c>
      <c r="AI2640" s="20">
        <f>IF(AH2640=1,SUM($AH$5:AH2640),"")</f>
        <v/>
      </c>
      <c r="AJ2640" s="20">
        <f>IF(OR(S2640="",'報告書'!$C$4=""),"",IF(S2640&amp;""='報告書'!$C$4&amp;"",COUNTIF($S$5:S2640,'報告書'!$C$4),""))</f>
        <v/>
      </c>
      <c r="AK2640" s="20" t="n"/>
      <c r="AL2640" s="47" t="n"/>
      <c r="AM2640" s="47" t="n"/>
      <c r="AN2640" s="53" t="n"/>
      <c r="AO2640" s="47" t="n"/>
      <c r="AP2640" s="47" t="n"/>
      <c r="AQ2640" s="47" t="n"/>
      <c r="AR2640" s="47" t="n"/>
      <c r="AS2640" s="47" t="n"/>
      <c r="AT2640" s="47" t="n"/>
      <c r="AU2640" s="47" t="n"/>
      <c r="AV2640" s="47" t="n"/>
      <c r="AW2640" s="52" t="n"/>
    </row>
    <row r="2641">
      <c r="A2641" s="48" t="n"/>
      <c r="B2641" s="52" t="n"/>
      <c r="C2641" s="47">
        <f>IF(B2641="","",IFERROR(INDEX('隊員マスタ'!$B$5:$B$204,MATCH(B2641&amp;"",'隊員マスタ'!$F$5:$F$204,0)),IF(AK2641="","番号なし",AK2641)))</f>
        <v/>
      </c>
      <c r="D2641" s="47" t="n"/>
      <c r="E2641" s="47" t="n"/>
      <c r="F2641" s="47" t="n"/>
      <c r="G2641" s="47" t="n"/>
      <c r="H2641" s="47" t="n"/>
      <c r="I2641" s="47" t="n"/>
      <c r="J2641" s="47" t="n"/>
      <c r="K2641" s="47" t="n"/>
      <c r="L2641" s="47" t="n"/>
      <c r="M2641" s="47" t="n"/>
      <c r="N2641" s="47" t="n"/>
      <c r="O2641" s="47" t="n"/>
      <c r="P2641" s="47" t="n"/>
      <c r="Q2641" s="47" t="n"/>
      <c r="R2641" s="47" t="n"/>
      <c r="S2641" s="47" t="n"/>
      <c r="T2641" s="47" t="n"/>
      <c r="U2641" s="53" t="n"/>
      <c r="V2641" s="53" t="n"/>
      <c r="W2641" s="47" t="n"/>
      <c r="X2641" s="47" t="n"/>
      <c r="Y2641" s="47" t="n"/>
      <c r="Z2641" s="47" t="n"/>
      <c r="AA2641" s="47" t="n"/>
      <c r="AB2641" s="47" t="n"/>
      <c r="AC2641" s="47" t="n"/>
      <c r="AD2641" s="47" t="n"/>
      <c r="AE2641" s="47" t="n"/>
      <c r="AF2641" s="20">
        <f>IF(A2641="","",YEAR(EDATE(A2641,-3)))</f>
        <v/>
      </c>
      <c r="AG2641" s="20">
        <f>IF(OR(B2641="",'経歴簿'!$C$4=""),"",IF(B2641&amp;""='経歴簿'!$C$4&amp;"",MAX($AG$4:AG2640)+1,""))</f>
        <v/>
      </c>
      <c r="AH2641" s="20">
        <f>IF(A2641="",0,IF(AND(OR('CSV抽出'!$C$4="",A2641&gt;='CSV抽出'!$C$4),OR('CSV抽出'!$C$5="",A2641&lt;='CSV抽出'!$C$5),OR('CSV抽出'!$C$6="すべて",'CSV抽出'!$C$6="",D2641='CSV抽出'!$C$6),OR('CSV抽出'!$C$7="",B2641&amp;""='CSV抽出'!$C$7&amp;"")),1,0))</f>
        <v/>
      </c>
      <c r="AI2641" s="20">
        <f>IF(AH2641=1,SUM($AH$5:AH2641),"")</f>
        <v/>
      </c>
      <c r="AJ2641" s="20">
        <f>IF(OR(S2641="",'報告書'!$C$4=""),"",IF(S2641&amp;""='報告書'!$C$4&amp;"",COUNTIF($S$5:S2641,'報告書'!$C$4),""))</f>
        <v/>
      </c>
      <c r="AK2641" s="20" t="n"/>
      <c r="AL2641" s="47" t="n"/>
      <c r="AM2641" s="47" t="n"/>
      <c r="AN2641" s="53" t="n"/>
      <c r="AO2641" s="47" t="n"/>
      <c r="AP2641" s="47" t="n"/>
      <c r="AQ2641" s="47" t="n"/>
      <c r="AR2641" s="47" t="n"/>
      <c r="AS2641" s="47" t="n"/>
      <c r="AT2641" s="47" t="n"/>
      <c r="AU2641" s="47" t="n"/>
      <c r="AV2641" s="47" t="n"/>
      <c r="AW2641" s="52" t="n"/>
    </row>
    <row r="2642">
      <c r="A2642" s="48" t="n"/>
      <c r="B2642" s="52" t="n"/>
      <c r="C2642" s="47">
        <f>IF(B2642="","",IFERROR(INDEX('隊員マスタ'!$B$5:$B$204,MATCH(B2642&amp;"",'隊員マスタ'!$F$5:$F$204,0)),IF(AK2642="","番号なし",AK2642)))</f>
        <v/>
      </c>
      <c r="D2642" s="47" t="n"/>
      <c r="E2642" s="47" t="n"/>
      <c r="F2642" s="47" t="n"/>
      <c r="G2642" s="47" t="n"/>
      <c r="H2642" s="47" t="n"/>
      <c r="I2642" s="47" t="n"/>
      <c r="J2642" s="47" t="n"/>
      <c r="K2642" s="47" t="n"/>
      <c r="L2642" s="47" t="n"/>
      <c r="M2642" s="47" t="n"/>
      <c r="N2642" s="47" t="n"/>
      <c r="O2642" s="47" t="n"/>
      <c r="P2642" s="47" t="n"/>
      <c r="Q2642" s="47" t="n"/>
      <c r="R2642" s="47" t="n"/>
      <c r="S2642" s="47" t="n"/>
      <c r="T2642" s="47" t="n"/>
      <c r="U2642" s="53" t="n"/>
      <c r="V2642" s="53" t="n"/>
      <c r="W2642" s="47" t="n"/>
      <c r="X2642" s="47" t="n"/>
      <c r="Y2642" s="47" t="n"/>
      <c r="Z2642" s="47" t="n"/>
      <c r="AA2642" s="47" t="n"/>
      <c r="AB2642" s="47" t="n"/>
      <c r="AC2642" s="47" t="n"/>
      <c r="AD2642" s="47" t="n"/>
      <c r="AE2642" s="47" t="n"/>
      <c r="AF2642" s="20">
        <f>IF(A2642="","",YEAR(EDATE(A2642,-3)))</f>
        <v/>
      </c>
      <c r="AG2642" s="20">
        <f>IF(OR(B2642="",'経歴簿'!$C$4=""),"",IF(B2642&amp;""='経歴簿'!$C$4&amp;"",MAX($AG$4:AG2641)+1,""))</f>
        <v/>
      </c>
      <c r="AH2642" s="20">
        <f>IF(A2642="",0,IF(AND(OR('CSV抽出'!$C$4="",A2642&gt;='CSV抽出'!$C$4),OR('CSV抽出'!$C$5="",A2642&lt;='CSV抽出'!$C$5),OR('CSV抽出'!$C$6="すべて",'CSV抽出'!$C$6="",D2642='CSV抽出'!$C$6),OR('CSV抽出'!$C$7="",B2642&amp;""='CSV抽出'!$C$7&amp;"")),1,0))</f>
        <v/>
      </c>
      <c r="AI2642" s="20">
        <f>IF(AH2642=1,SUM($AH$5:AH2642),"")</f>
        <v/>
      </c>
      <c r="AJ2642" s="20">
        <f>IF(OR(S2642="",'報告書'!$C$4=""),"",IF(S2642&amp;""='報告書'!$C$4&amp;"",COUNTIF($S$5:S2642,'報告書'!$C$4),""))</f>
        <v/>
      </c>
      <c r="AK2642" s="20" t="n"/>
      <c r="AL2642" s="47" t="n"/>
      <c r="AM2642" s="47" t="n"/>
      <c r="AN2642" s="53" t="n"/>
      <c r="AO2642" s="47" t="n"/>
      <c r="AP2642" s="47" t="n"/>
      <c r="AQ2642" s="47" t="n"/>
      <c r="AR2642" s="47" t="n"/>
      <c r="AS2642" s="47" t="n"/>
      <c r="AT2642" s="47" t="n"/>
      <c r="AU2642" s="47" t="n"/>
      <c r="AV2642" s="47" t="n"/>
      <c r="AW2642" s="52" t="n"/>
    </row>
    <row r="2643">
      <c r="A2643" s="48" t="n"/>
      <c r="B2643" s="52" t="n"/>
      <c r="C2643" s="47">
        <f>IF(B2643="","",IFERROR(INDEX('隊員マスタ'!$B$5:$B$204,MATCH(B2643&amp;"",'隊員マスタ'!$F$5:$F$204,0)),IF(AK2643="","番号なし",AK2643)))</f>
        <v/>
      </c>
      <c r="D2643" s="47" t="n"/>
      <c r="E2643" s="47" t="n"/>
      <c r="F2643" s="47" t="n"/>
      <c r="G2643" s="47" t="n"/>
      <c r="H2643" s="47" t="n"/>
      <c r="I2643" s="47" t="n"/>
      <c r="J2643" s="47" t="n"/>
      <c r="K2643" s="47" t="n"/>
      <c r="L2643" s="47" t="n"/>
      <c r="M2643" s="47" t="n"/>
      <c r="N2643" s="47" t="n"/>
      <c r="O2643" s="47" t="n"/>
      <c r="P2643" s="47" t="n"/>
      <c r="Q2643" s="47" t="n"/>
      <c r="R2643" s="47" t="n"/>
      <c r="S2643" s="47" t="n"/>
      <c r="T2643" s="47" t="n"/>
      <c r="U2643" s="53" t="n"/>
      <c r="V2643" s="53" t="n"/>
      <c r="W2643" s="47" t="n"/>
      <c r="X2643" s="47" t="n"/>
      <c r="Y2643" s="47" t="n"/>
      <c r="Z2643" s="47" t="n"/>
      <c r="AA2643" s="47" t="n"/>
      <c r="AB2643" s="47" t="n"/>
      <c r="AC2643" s="47" t="n"/>
      <c r="AD2643" s="47" t="n"/>
      <c r="AE2643" s="47" t="n"/>
      <c r="AF2643" s="20">
        <f>IF(A2643="","",YEAR(EDATE(A2643,-3)))</f>
        <v/>
      </c>
      <c r="AG2643" s="20">
        <f>IF(OR(B2643="",'経歴簿'!$C$4=""),"",IF(B2643&amp;""='経歴簿'!$C$4&amp;"",MAX($AG$4:AG2642)+1,""))</f>
        <v/>
      </c>
      <c r="AH2643" s="20">
        <f>IF(A2643="",0,IF(AND(OR('CSV抽出'!$C$4="",A2643&gt;='CSV抽出'!$C$4),OR('CSV抽出'!$C$5="",A2643&lt;='CSV抽出'!$C$5),OR('CSV抽出'!$C$6="すべて",'CSV抽出'!$C$6="",D2643='CSV抽出'!$C$6),OR('CSV抽出'!$C$7="",B2643&amp;""='CSV抽出'!$C$7&amp;"")),1,0))</f>
        <v/>
      </c>
      <c r="AI2643" s="20">
        <f>IF(AH2643=1,SUM($AH$5:AH2643),"")</f>
        <v/>
      </c>
      <c r="AJ2643" s="20">
        <f>IF(OR(S2643="",'報告書'!$C$4=""),"",IF(S2643&amp;""='報告書'!$C$4&amp;"",COUNTIF($S$5:S2643,'報告書'!$C$4),""))</f>
        <v/>
      </c>
      <c r="AK2643" s="20" t="n"/>
      <c r="AL2643" s="47" t="n"/>
      <c r="AM2643" s="47" t="n"/>
      <c r="AN2643" s="53" t="n"/>
      <c r="AO2643" s="47" t="n"/>
      <c r="AP2643" s="47" t="n"/>
      <c r="AQ2643" s="47" t="n"/>
      <c r="AR2643" s="47" t="n"/>
      <c r="AS2643" s="47" t="n"/>
      <c r="AT2643" s="47" t="n"/>
      <c r="AU2643" s="47" t="n"/>
      <c r="AV2643" s="47" t="n"/>
      <c r="AW2643" s="52" t="n"/>
    </row>
    <row r="2644">
      <c r="A2644" s="48" t="n"/>
      <c r="B2644" s="52" t="n"/>
      <c r="C2644" s="47">
        <f>IF(B2644="","",IFERROR(INDEX('隊員マスタ'!$B$5:$B$204,MATCH(B2644&amp;"",'隊員マスタ'!$F$5:$F$204,0)),IF(AK2644="","番号なし",AK2644)))</f>
        <v/>
      </c>
      <c r="D2644" s="47" t="n"/>
      <c r="E2644" s="47" t="n"/>
      <c r="F2644" s="47" t="n"/>
      <c r="G2644" s="47" t="n"/>
      <c r="H2644" s="47" t="n"/>
      <c r="I2644" s="47" t="n"/>
      <c r="J2644" s="47" t="n"/>
      <c r="K2644" s="47" t="n"/>
      <c r="L2644" s="47" t="n"/>
      <c r="M2644" s="47" t="n"/>
      <c r="N2644" s="47" t="n"/>
      <c r="O2644" s="47" t="n"/>
      <c r="P2644" s="47" t="n"/>
      <c r="Q2644" s="47" t="n"/>
      <c r="R2644" s="47" t="n"/>
      <c r="S2644" s="47" t="n"/>
      <c r="T2644" s="47" t="n"/>
      <c r="U2644" s="53" t="n"/>
      <c r="V2644" s="53" t="n"/>
      <c r="W2644" s="47" t="n"/>
      <c r="X2644" s="47" t="n"/>
      <c r="Y2644" s="47" t="n"/>
      <c r="Z2644" s="47" t="n"/>
      <c r="AA2644" s="47" t="n"/>
      <c r="AB2644" s="47" t="n"/>
      <c r="AC2644" s="47" t="n"/>
      <c r="AD2644" s="47" t="n"/>
      <c r="AE2644" s="47" t="n"/>
      <c r="AF2644" s="20">
        <f>IF(A2644="","",YEAR(EDATE(A2644,-3)))</f>
        <v/>
      </c>
      <c r="AG2644" s="20">
        <f>IF(OR(B2644="",'経歴簿'!$C$4=""),"",IF(B2644&amp;""='経歴簿'!$C$4&amp;"",MAX($AG$4:AG2643)+1,""))</f>
        <v/>
      </c>
      <c r="AH2644" s="20">
        <f>IF(A2644="",0,IF(AND(OR('CSV抽出'!$C$4="",A2644&gt;='CSV抽出'!$C$4),OR('CSV抽出'!$C$5="",A2644&lt;='CSV抽出'!$C$5),OR('CSV抽出'!$C$6="すべて",'CSV抽出'!$C$6="",D2644='CSV抽出'!$C$6),OR('CSV抽出'!$C$7="",B2644&amp;""='CSV抽出'!$C$7&amp;"")),1,0))</f>
        <v/>
      </c>
      <c r="AI2644" s="20">
        <f>IF(AH2644=1,SUM($AH$5:AH2644),"")</f>
        <v/>
      </c>
      <c r="AJ2644" s="20">
        <f>IF(OR(S2644="",'報告書'!$C$4=""),"",IF(S2644&amp;""='報告書'!$C$4&amp;"",COUNTIF($S$5:S2644,'報告書'!$C$4),""))</f>
        <v/>
      </c>
      <c r="AK2644" s="20" t="n"/>
      <c r="AL2644" s="47" t="n"/>
      <c r="AM2644" s="47" t="n"/>
      <c r="AN2644" s="53" t="n"/>
      <c r="AO2644" s="47" t="n"/>
      <c r="AP2644" s="47" t="n"/>
      <c r="AQ2644" s="47" t="n"/>
      <c r="AR2644" s="47" t="n"/>
      <c r="AS2644" s="47" t="n"/>
      <c r="AT2644" s="47" t="n"/>
      <c r="AU2644" s="47" t="n"/>
      <c r="AV2644" s="47" t="n"/>
      <c r="AW2644" s="52" t="n"/>
    </row>
    <row r="2645">
      <c r="A2645" s="48" t="n"/>
      <c r="B2645" s="52" t="n"/>
      <c r="C2645" s="47">
        <f>IF(B2645="","",IFERROR(INDEX('隊員マスタ'!$B$5:$B$204,MATCH(B2645&amp;"",'隊員マスタ'!$F$5:$F$204,0)),IF(AK2645="","番号なし",AK2645)))</f>
        <v/>
      </c>
      <c r="D2645" s="47" t="n"/>
      <c r="E2645" s="47" t="n"/>
      <c r="F2645" s="47" t="n"/>
      <c r="G2645" s="47" t="n"/>
      <c r="H2645" s="47" t="n"/>
      <c r="I2645" s="47" t="n"/>
      <c r="J2645" s="47" t="n"/>
      <c r="K2645" s="47" t="n"/>
      <c r="L2645" s="47" t="n"/>
      <c r="M2645" s="47" t="n"/>
      <c r="N2645" s="47" t="n"/>
      <c r="O2645" s="47" t="n"/>
      <c r="P2645" s="47" t="n"/>
      <c r="Q2645" s="47" t="n"/>
      <c r="R2645" s="47" t="n"/>
      <c r="S2645" s="47" t="n"/>
      <c r="T2645" s="47" t="n"/>
      <c r="U2645" s="53" t="n"/>
      <c r="V2645" s="53" t="n"/>
      <c r="W2645" s="47" t="n"/>
      <c r="X2645" s="47" t="n"/>
      <c r="Y2645" s="47" t="n"/>
      <c r="Z2645" s="47" t="n"/>
      <c r="AA2645" s="47" t="n"/>
      <c r="AB2645" s="47" t="n"/>
      <c r="AC2645" s="47" t="n"/>
      <c r="AD2645" s="47" t="n"/>
      <c r="AE2645" s="47" t="n"/>
      <c r="AF2645" s="20">
        <f>IF(A2645="","",YEAR(EDATE(A2645,-3)))</f>
        <v/>
      </c>
      <c r="AG2645" s="20">
        <f>IF(OR(B2645="",'経歴簿'!$C$4=""),"",IF(B2645&amp;""='経歴簿'!$C$4&amp;"",MAX($AG$4:AG2644)+1,""))</f>
        <v/>
      </c>
      <c r="AH2645" s="20">
        <f>IF(A2645="",0,IF(AND(OR('CSV抽出'!$C$4="",A2645&gt;='CSV抽出'!$C$4),OR('CSV抽出'!$C$5="",A2645&lt;='CSV抽出'!$C$5),OR('CSV抽出'!$C$6="すべて",'CSV抽出'!$C$6="",D2645='CSV抽出'!$C$6),OR('CSV抽出'!$C$7="",B2645&amp;""='CSV抽出'!$C$7&amp;"")),1,0))</f>
        <v/>
      </c>
      <c r="AI2645" s="20">
        <f>IF(AH2645=1,SUM($AH$5:AH2645),"")</f>
        <v/>
      </c>
      <c r="AJ2645" s="20">
        <f>IF(OR(S2645="",'報告書'!$C$4=""),"",IF(S2645&amp;""='報告書'!$C$4&amp;"",COUNTIF($S$5:S2645,'報告書'!$C$4),""))</f>
        <v/>
      </c>
      <c r="AK2645" s="20" t="n"/>
      <c r="AL2645" s="47" t="n"/>
      <c r="AM2645" s="47" t="n"/>
      <c r="AN2645" s="53" t="n"/>
      <c r="AO2645" s="47" t="n"/>
      <c r="AP2645" s="47" t="n"/>
      <c r="AQ2645" s="47" t="n"/>
      <c r="AR2645" s="47" t="n"/>
      <c r="AS2645" s="47" t="n"/>
      <c r="AT2645" s="47" t="n"/>
      <c r="AU2645" s="47" t="n"/>
      <c r="AV2645" s="47" t="n"/>
      <c r="AW2645" s="52" t="n"/>
    </row>
    <row r="2646">
      <c r="A2646" s="48" t="n"/>
      <c r="B2646" s="52" t="n"/>
      <c r="C2646" s="47">
        <f>IF(B2646="","",IFERROR(INDEX('隊員マスタ'!$B$5:$B$204,MATCH(B2646&amp;"",'隊員マスタ'!$F$5:$F$204,0)),IF(AK2646="","番号なし",AK2646)))</f>
        <v/>
      </c>
      <c r="D2646" s="47" t="n"/>
      <c r="E2646" s="47" t="n"/>
      <c r="F2646" s="47" t="n"/>
      <c r="G2646" s="47" t="n"/>
      <c r="H2646" s="47" t="n"/>
      <c r="I2646" s="47" t="n"/>
      <c r="J2646" s="47" t="n"/>
      <c r="K2646" s="47" t="n"/>
      <c r="L2646" s="47" t="n"/>
      <c r="M2646" s="47" t="n"/>
      <c r="N2646" s="47" t="n"/>
      <c r="O2646" s="47" t="n"/>
      <c r="P2646" s="47" t="n"/>
      <c r="Q2646" s="47" t="n"/>
      <c r="R2646" s="47" t="n"/>
      <c r="S2646" s="47" t="n"/>
      <c r="T2646" s="47" t="n"/>
      <c r="U2646" s="53" t="n"/>
      <c r="V2646" s="53" t="n"/>
      <c r="W2646" s="47" t="n"/>
      <c r="X2646" s="47" t="n"/>
      <c r="Y2646" s="47" t="n"/>
      <c r="Z2646" s="47" t="n"/>
      <c r="AA2646" s="47" t="n"/>
      <c r="AB2646" s="47" t="n"/>
      <c r="AC2646" s="47" t="n"/>
      <c r="AD2646" s="47" t="n"/>
      <c r="AE2646" s="47" t="n"/>
      <c r="AF2646" s="20">
        <f>IF(A2646="","",YEAR(EDATE(A2646,-3)))</f>
        <v/>
      </c>
      <c r="AG2646" s="20">
        <f>IF(OR(B2646="",'経歴簿'!$C$4=""),"",IF(B2646&amp;""='経歴簿'!$C$4&amp;"",MAX($AG$4:AG2645)+1,""))</f>
        <v/>
      </c>
      <c r="AH2646" s="20">
        <f>IF(A2646="",0,IF(AND(OR('CSV抽出'!$C$4="",A2646&gt;='CSV抽出'!$C$4),OR('CSV抽出'!$C$5="",A2646&lt;='CSV抽出'!$C$5),OR('CSV抽出'!$C$6="すべて",'CSV抽出'!$C$6="",D2646='CSV抽出'!$C$6),OR('CSV抽出'!$C$7="",B2646&amp;""='CSV抽出'!$C$7&amp;"")),1,0))</f>
        <v/>
      </c>
      <c r="AI2646" s="20">
        <f>IF(AH2646=1,SUM($AH$5:AH2646),"")</f>
        <v/>
      </c>
      <c r="AJ2646" s="20">
        <f>IF(OR(S2646="",'報告書'!$C$4=""),"",IF(S2646&amp;""='報告書'!$C$4&amp;"",COUNTIF($S$5:S2646,'報告書'!$C$4),""))</f>
        <v/>
      </c>
      <c r="AK2646" s="20" t="n"/>
      <c r="AL2646" s="47" t="n"/>
      <c r="AM2646" s="47" t="n"/>
      <c r="AN2646" s="53" t="n"/>
      <c r="AO2646" s="47" t="n"/>
      <c r="AP2646" s="47" t="n"/>
      <c r="AQ2646" s="47" t="n"/>
      <c r="AR2646" s="47" t="n"/>
      <c r="AS2646" s="47" t="n"/>
      <c r="AT2646" s="47" t="n"/>
      <c r="AU2646" s="47" t="n"/>
      <c r="AV2646" s="47" t="n"/>
      <c r="AW2646" s="52" t="n"/>
    </row>
    <row r="2647">
      <c r="A2647" s="48" t="n"/>
      <c r="B2647" s="52" t="n"/>
      <c r="C2647" s="47">
        <f>IF(B2647="","",IFERROR(INDEX('隊員マスタ'!$B$5:$B$204,MATCH(B2647&amp;"",'隊員マスタ'!$F$5:$F$204,0)),IF(AK2647="","番号なし",AK2647)))</f>
        <v/>
      </c>
      <c r="D2647" s="47" t="n"/>
      <c r="E2647" s="47" t="n"/>
      <c r="F2647" s="47" t="n"/>
      <c r="G2647" s="47" t="n"/>
      <c r="H2647" s="47" t="n"/>
      <c r="I2647" s="47" t="n"/>
      <c r="J2647" s="47" t="n"/>
      <c r="K2647" s="47" t="n"/>
      <c r="L2647" s="47" t="n"/>
      <c r="M2647" s="47" t="n"/>
      <c r="N2647" s="47" t="n"/>
      <c r="O2647" s="47" t="n"/>
      <c r="P2647" s="47" t="n"/>
      <c r="Q2647" s="47" t="n"/>
      <c r="R2647" s="47" t="n"/>
      <c r="S2647" s="47" t="n"/>
      <c r="T2647" s="47" t="n"/>
      <c r="U2647" s="53" t="n"/>
      <c r="V2647" s="53" t="n"/>
      <c r="W2647" s="47" t="n"/>
      <c r="X2647" s="47" t="n"/>
      <c r="Y2647" s="47" t="n"/>
      <c r="Z2647" s="47" t="n"/>
      <c r="AA2647" s="47" t="n"/>
      <c r="AB2647" s="47" t="n"/>
      <c r="AC2647" s="47" t="n"/>
      <c r="AD2647" s="47" t="n"/>
      <c r="AE2647" s="47" t="n"/>
      <c r="AF2647" s="20">
        <f>IF(A2647="","",YEAR(EDATE(A2647,-3)))</f>
        <v/>
      </c>
      <c r="AG2647" s="20">
        <f>IF(OR(B2647="",'経歴簿'!$C$4=""),"",IF(B2647&amp;""='経歴簿'!$C$4&amp;"",MAX($AG$4:AG2646)+1,""))</f>
        <v/>
      </c>
      <c r="AH2647" s="20">
        <f>IF(A2647="",0,IF(AND(OR('CSV抽出'!$C$4="",A2647&gt;='CSV抽出'!$C$4),OR('CSV抽出'!$C$5="",A2647&lt;='CSV抽出'!$C$5),OR('CSV抽出'!$C$6="すべて",'CSV抽出'!$C$6="",D2647='CSV抽出'!$C$6),OR('CSV抽出'!$C$7="",B2647&amp;""='CSV抽出'!$C$7&amp;"")),1,0))</f>
        <v/>
      </c>
      <c r="AI2647" s="20">
        <f>IF(AH2647=1,SUM($AH$5:AH2647),"")</f>
        <v/>
      </c>
      <c r="AJ2647" s="20">
        <f>IF(OR(S2647="",'報告書'!$C$4=""),"",IF(S2647&amp;""='報告書'!$C$4&amp;"",COUNTIF($S$5:S2647,'報告書'!$C$4),""))</f>
        <v/>
      </c>
      <c r="AK2647" s="20" t="n"/>
      <c r="AL2647" s="47" t="n"/>
      <c r="AM2647" s="47" t="n"/>
      <c r="AN2647" s="53" t="n"/>
      <c r="AO2647" s="47" t="n"/>
      <c r="AP2647" s="47" t="n"/>
      <c r="AQ2647" s="47" t="n"/>
      <c r="AR2647" s="47" t="n"/>
      <c r="AS2647" s="47" t="n"/>
      <c r="AT2647" s="47" t="n"/>
      <c r="AU2647" s="47" t="n"/>
      <c r="AV2647" s="47" t="n"/>
      <c r="AW2647" s="52" t="n"/>
    </row>
    <row r="2648">
      <c r="A2648" s="48" t="n"/>
      <c r="B2648" s="52" t="n"/>
      <c r="C2648" s="47">
        <f>IF(B2648="","",IFERROR(INDEX('隊員マスタ'!$B$5:$B$204,MATCH(B2648&amp;"",'隊員マスタ'!$F$5:$F$204,0)),IF(AK2648="","番号なし",AK2648)))</f>
        <v/>
      </c>
      <c r="D2648" s="47" t="n"/>
      <c r="E2648" s="47" t="n"/>
      <c r="F2648" s="47" t="n"/>
      <c r="G2648" s="47" t="n"/>
      <c r="H2648" s="47" t="n"/>
      <c r="I2648" s="47" t="n"/>
      <c r="J2648" s="47" t="n"/>
      <c r="K2648" s="47" t="n"/>
      <c r="L2648" s="47" t="n"/>
      <c r="M2648" s="47" t="n"/>
      <c r="N2648" s="47" t="n"/>
      <c r="O2648" s="47" t="n"/>
      <c r="P2648" s="47" t="n"/>
      <c r="Q2648" s="47" t="n"/>
      <c r="R2648" s="47" t="n"/>
      <c r="S2648" s="47" t="n"/>
      <c r="T2648" s="47" t="n"/>
      <c r="U2648" s="53" t="n"/>
      <c r="V2648" s="53" t="n"/>
      <c r="W2648" s="47" t="n"/>
      <c r="X2648" s="47" t="n"/>
      <c r="Y2648" s="47" t="n"/>
      <c r="Z2648" s="47" t="n"/>
      <c r="AA2648" s="47" t="n"/>
      <c r="AB2648" s="47" t="n"/>
      <c r="AC2648" s="47" t="n"/>
      <c r="AD2648" s="47" t="n"/>
      <c r="AE2648" s="47" t="n"/>
      <c r="AF2648" s="20">
        <f>IF(A2648="","",YEAR(EDATE(A2648,-3)))</f>
        <v/>
      </c>
      <c r="AG2648" s="20">
        <f>IF(OR(B2648="",'経歴簿'!$C$4=""),"",IF(B2648&amp;""='経歴簿'!$C$4&amp;"",MAX($AG$4:AG2647)+1,""))</f>
        <v/>
      </c>
      <c r="AH2648" s="20">
        <f>IF(A2648="",0,IF(AND(OR('CSV抽出'!$C$4="",A2648&gt;='CSV抽出'!$C$4),OR('CSV抽出'!$C$5="",A2648&lt;='CSV抽出'!$C$5),OR('CSV抽出'!$C$6="すべて",'CSV抽出'!$C$6="",D2648='CSV抽出'!$C$6),OR('CSV抽出'!$C$7="",B2648&amp;""='CSV抽出'!$C$7&amp;"")),1,0))</f>
        <v/>
      </c>
      <c r="AI2648" s="20">
        <f>IF(AH2648=1,SUM($AH$5:AH2648),"")</f>
        <v/>
      </c>
      <c r="AJ2648" s="20">
        <f>IF(OR(S2648="",'報告書'!$C$4=""),"",IF(S2648&amp;""='報告書'!$C$4&amp;"",COUNTIF($S$5:S2648,'報告書'!$C$4),""))</f>
        <v/>
      </c>
      <c r="AK2648" s="20" t="n"/>
      <c r="AL2648" s="47" t="n"/>
      <c r="AM2648" s="47" t="n"/>
      <c r="AN2648" s="53" t="n"/>
      <c r="AO2648" s="47" t="n"/>
      <c r="AP2648" s="47" t="n"/>
      <c r="AQ2648" s="47" t="n"/>
      <c r="AR2648" s="47" t="n"/>
      <c r="AS2648" s="47" t="n"/>
      <c r="AT2648" s="47" t="n"/>
      <c r="AU2648" s="47" t="n"/>
      <c r="AV2648" s="47" t="n"/>
      <c r="AW2648" s="52" t="n"/>
    </row>
    <row r="2649">
      <c r="A2649" s="48" t="n"/>
      <c r="B2649" s="52" t="n"/>
      <c r="C2649" s="47">
        <f>IF(B2649="","",IFERROR(INDEX('隊員マスタ'!$B$5:$B$204,MATCH(B2649&amp;"",'隊員マスタ'!$F$5:$F$204,0)),IF(AK2649="","番号なし",AK2649)))</f>
        <v/>
      </c>
      <c r="D2649" s="47" t="n"/>
      <c r="E2649" s="47" t="n"/>
      <c r="F2649" s="47" t="n"/>
      <c r="G2649" s="47" t="n"/>
      <c r="H2649" s="47" t="n"/>
      <c r="I2649" s="47" t="n"/>
      <c r="J2649" s="47" t="n"/>
      <c r="K2649" s="47" t="n"/>
      <c r="L2649" s="47" t="n"/>
      <c r="M2649" s="47" t="n"/>
      <c r="N2649" s="47" t="n"/>
      <c r="O2649" s="47" t="n"/>
      <c r="P2649" s="47" t="n"/>
      <c r="Q2649" s="47" t="n"/>
      <c r="R2649" s="47" t="n"/>
      <c r="S2649" s="47" t="n"/>
      <c r="T2649" s="47" t="n"/>
      <c r="U2649" s="53" t="n"/>
      <c r="V2649" s="53" t="n"/>
      <c r="W2649" s="47" t="n"/>
      <c r="X2649" s="47" t="n"/>
      <c r="Y2649" s="47" t="n"/>
      <c r="Z2649" s="47" t="n"/>
      <c r="AA2649" s="47" t="n"/>
      <c r="AB2649" s="47" t="n"/>
      <c r="AC2649" s="47" t="n"/>
      <c r="AD2649" s="47" t="n"/>
      <c r="AE2649" s="47" t="n"/>
      <c r="AF2649" s="20">
        <f>IF(A2649="","",YEAR(EDATE(A2649,-3)))</f>
        <v/>
      </c>
      <c r="AG2649" s="20">
        <f>IF(OR(B2649="",'経歴簿'!$C$4=""),"",IF(B2649&amp;""='経歴簿'!$C$4&amp;"",MAX($AG$4:AG2648)+1,""))</f>
        <v/>
      </c>
      <c r="AH2649" s="20">
        <f>IF(A2649="",0,IF(AND(OR('CSV抽出'!$C$4="",A2649&gt;='CSV抽出'!$C$4),OR('CSV抽出'!$C$5="",A2649&lt;='CSV抽出'!$C$5),OR('CSV抽出'!$C$6="すべて",'CSV抽出'!$C$6="",D2649='CSV抽出'!$C$6),OR('CSV抽出'!$C$7="",B2649&amp;""='CSV抽出'!$C$7&amp;"")),1,0))</f>
        <v/>
      </c>
      <c r="AI2649" s="20">
        <f>IF(AH2649=1,SUM($AH$5:AH2649),"")</f>
        <v/>
      </c>
      <c r="AJ2649" s="20">
        <f>IF(OR(S2649="",'報告書'!$C$4=""),"",IF(S2649&amp;""='報告書'!$C$4&amp;"",COUNTIF($S$5:S2649,'報告書'!$C$4),""))</f>
        <v/>
      </c>
      <c r="AK2649" s="20" t="n"/>
      <c r="AL2649" s="47" t="n"/>
      <c r="AM2649" s="47" t="n"/>
      <c r="AN2649" s="53" t="n"/>
      <c r="AO2649" s="47" t="n"/>
      <c r="AP2649" s="47" t="n"/>
      <c r="AQ2649" s="47" t="n"/>
      <c r="AR2649" s="47" t="n"/>
      <c r="AS2649" s="47" t="n"/>
      <c r="AT2649" s="47" t="n"/>
      <c r="AU2649" s="47" t="n"/>
      <c r="AV2649" s="47" t="n"/>
      <c r="AW2649" s="52" t="n"/>
    </row>
    <row r="2650">
      <c r="A2650" s="48" t="n"/>
      <c r="B2650" s="52" t="n"/>
      <c r="C2650" s="47">
        <f>IF(B2650="","",IFERROR(INDEX('隊員マスタ'!$B$5:$B$204,MATCH(B2650&amp;"",'隊員マスタ'!$F$5:$F$204,0)),IF(AK2650="","番号なし",AK2650)))</f>
        <v/>
      </c>
      <c r="D2650" s="47" t="n"/>
      <c r="E2650" s="47" t="n"/>
      <c r="F2650" s="47" t="n"/>
      <c r="G2650" s="47" t="n"/>
      <c r="H2650" s="47" t="n"/>
      <c r="I2650" s="47" t="n"/>
      <c r="J2650" s="47" t="n"/>
      <c r="K2650" s="47" t="n"/>
      <c r="L2650" s="47" t="n"/>
      <c r="M2650" s="47" t="n"/>
      <c r="N2650" s="47" t="n"/>
      <c r="O2650" s="47" t="n"/>
      <c r="P2650" s="47" t="n"/>
      <c r="Q2650" s="47" t="n"/>
      <c r="R2650" s="47" t="n"/>
      <c r="S2650" s="47" t="n"/>
      <c r="T2650" s="47" t="n"/>
      <c r="U2650" s="53" t="n"/>
      <c r="V2650" s="53" t="n"/>
      <c r="W2650" s="47" t="n"/>
      <c r="X2650" s="47" t="n"/>
      <c r="Y2650" s="47" t="n"/>
      <c r="Z2650" s="47" t="n"/>
      <c r="AA2650" s="47" t="n"/>
      <c r="AB2650" s="47" t="n"/>
      <c r="AC2650" s="47" t="n"/>
      <c r="AD2650" s="47" t="n"/>
      <c r="AE2650" s="47" t="n"/>
      <c r="AF2650" s="20">
        <f>IF(A2650="","",YEAR(EDATE(A2650,-3)))</f>
        <v/>
      </c>
      <c r="AG2650" s="20">
        <f>IF(OR(B2650="",'経歴簿'!$C$4=""),"",IF(B2650&amp;""='経歴簿'!$C$4&amp;"",MAX($AG$4:AG2649)+1,""))</f>
        <v/>
      </c>
      <c r="AH2650" s="20">
        <f>IF(A2650="",0,IF(AND(OR('CSV抽出'!$C$4="",A2650&gt;='CSV抽出'!$C$4),OR('CSV抽出'!$C$5="",A2650&lt;='CSV抽出'!$C$5),OR('CSV抽出'!$C$6="すべて",'CSV抽出'!$C$6="",D2650='CSV抽出'!$C$6),OR('CSV抽出'!$C$7="",B2650&amp;""='CSV抽出'!$C$7&amp;"")),1,0))</f>
        <v/>
      </c>
      <c r="AI2650" s="20">
        <f>IF(AH2650=1,SUM($AH$5:AH2650),"")</f>
        <v/>
      </c>
      <c r="AJ2650" s="20">
        <f>IF(OR(S2650="",'報告書'!$C$4=""),"",IF(S2650&amp;""='報告書'!$C$4&amp;"",COUNTIF($S$5:S2650,'報告書'!$C$4),""))</f>
        <v/>
      </c>
      <c r="AK2650" s="20" t="n"/>
      <c r="AL2650" s="47" t="n"/>
      <c r="AM2650" s="47" t="n"/>
      <c r="AN2650" s="53" t="n"/>
      <c r="AO2650" s="47" t="n"/>
      <c r="AP2650" s="47" t="n"/>
      <c r="AQ2650" s="47" t="n"/>
      <c r="AR2650" s="47" t="n"/>
      <c r="AS2650" s="47" t="n"/>
      <c r="AT2650" s="47" t="n"/>
      <c r="AU2650" s="47" t="n"/>
      <c r="AV2650" s="47" t="n"/>
      <c r="AW2650" s="52" t="n"/>
    </row>
    <row r="2651">
      <c r="A2651" s="48" t="n"/>
      <c r="B2651" s="52" t="n"/>
      <c r="C2651" s="47">
        <f>IF(B2651="","",IFERROR(INDEX('隊員マスタ'!$B$5:$B$204,MATCH(B2651&amp;"",'隊員マスタ'!$F$5:$F$204,0)),IF(AK2651="","番号なし",AK2651)))</f>
        <v/>
      </c>
      <c r="D2651" s="47" t="n"/>
      <c r="E2651" s="47" t="n"/>
      <c r="F2651" s="47" t="n"/>
      <c r="G2651" s="47" t="n"/>
      <c r="H2651" s="47" t="n"/>
      <c r="I2651" s="47" t="n"/>
      <c r="J2651" s="47" t="n"/>
      <c r="K2651" s="47" t="n"/>
      <c r="L2651" s="47" t="n"/>
      <c r="M2651" s="47" t="n"/>
      <c r="N2651" s="47" t="n"/>
      <c r="O2651" s="47" t="n"/>
      <c r="P2651" s="47" t="n"/>
      <c r="Q2651" s="47" t="n"/>
      <c r="R2651" s="47" t="n"/>
      <c r="S2651" s="47" t="n"/>
      <c r="T2651" s="47" t="n"/>
      <c r="U2651" s="53" t="n"/>
      <c r="V2651" s="53" t="n"/>
      <c r="W2651" s="47" t="n"/>
      <c r="X2651" s="47" t="n"/>
      <c r="Y2651" s="47" t="n"/>
      <c r="Z2651" s="47" t="n"/>
      <c r="AA2651" s="47" t="n"/>
      <c r="AB2651" s="47" t="n"/>
      <c r="AC2651" s="47" t="n"/>
      <c r="AD2651" s="47" t="n"/>
      <c r="AE2651" s="47" t="n"/>
      <c r="AF2651" s="20">
        <f>IF(A2651="","",YEAR(EDATE(A2651,-3)))</f>
        <v/>
      </c>
      <c r="AG2651" s="20">
        <f>IF(OR(B2651="",'経歴簿'!$C$4=""),"",IF(B2651&amp;""='経歴簿'!$C$4&amp;"",MAX($AG$4:AG2650)+1,""))</f>
        <v/>
      </c>
      <c r="AH2651" s="20">
        <f>IF(A2651="",0,IF(AND(OR('CSV抽出'!$C$4="",A2651&gt;='CSV抽出'!$C$4),OR('CSV抽出'!$C$5="",A2651&lt;='CSV抽出'!$C$5),OR('CSV抽出'!$C$6="すべて",'CSV抽出'!$C$6="",D2651='CSV抽出'!$C$6),OR('CSV抽出'!$C$7="",B2651&amp;""='CSV抽出'!$C$7&amp;"")),1,0))</f>
        <v/>
      </c>
      <c r="AI2651" s="20">
        <f>IF(AH2651=1,SUM($AH$5:AH2651),"")</f>
        <v/>
      </c>
      <c r="AJ2651" s="20">
        <f>IF(OR(S2651="",'報告書'!$C$4=""),"",IF(S2651&amp;""='報告書'!$C$4&amp;"",COUNTIF($S$5:S2651,'報告書'!$C$4),""))</f>
        <v/>
      </c>
      <c r="AK2651" s="20" t="n"/>
      <c r="AL2651" s="47" t="n"/>
      <c r="AM2651" s="47" t="n"/>
      <c r="AN2651" s="53" t="n"/>
      <c r="AO2651" s="47" t="n"/>
      <c r="AP2651" s="47" t="n"/>
      <c r="AQ2651" s="47" t="n"/>
      <c r="AR2651" s="47" t="n"/>
      <c r="AS2651" s="47" t="n"/>
      <c r="AT2651" s="47" t="n"/>
      <c r="AU2651" s="47" t="n"/>
      <c r="AV2651" s="47" t="n"/>
      <c r="AW2651" s="52" t="n"/>
    </row>
    <row r="2652">
      <c r="A2652" s="48" t="n"/>
      <c r="B2652" s="52" t="n"/>
      <c r="C2652" s="47">
        <f>IF(B2652="","",IFERROR(INDEX('隊員マスタ'!$B$5:$B$204,MATCH(B2652&amp;"",'隊員マスタ'!$F$5:$F$204,0)),IF(AK2652="","番号なし",AK2652)))</f>
        <v/>
      </c>
      <c r="D2652" s="47" t="n"/>
      <c r="E2652" s="47" t="n"/>
      <c r="F2652" s="47" t="n"/>
      <c r="G2652" s="47" t="n"/>
      <c r="H2652" s="47" t="n"/>
      <c r="I2652" s="47" t="n"/>
      <c r="J2652" s="47" t="n"/>
      <c r="K2652" s="47" t="n"/>
      <c r="L2652" s="47" t="n"/>
      <c r="M2652" s="47" t="n"/>
      <c r="N2652" s="47" t="n"/>
      <c r="O2652" s="47" t="n"/>
      <c r="P2652" s="47" t="n"/>
      <c r="Q2652" s="47" t="n"/>
      <c r="R2652" s="47" t="n"/>
      <c r="S2652" s="47" t="n"/>
      <c r="T2652" s="47" t="n"/>
      <c r="U2652" s="53" t="n"/>
      <c r="V2652" s="53" t="n"/>
      <c r="W2652" s="47" t="n"/>
      <c r="X2652" s="47" t="n"/>
      <c r="Y2652" s="47" t="n"/>
      <c r="Z2652" s="47" t="n"/>
      <c r="AA2652" s="47" t="n"/>
      <c r="AB2652" s="47" t="n"/>
      <c r="AC2652" s="47" t="n"/>
      <c r="AD2652" s="47" t="n"/>
      <c r="AE2652" s="47" t="n"/>
      <c r="AF2652" s="20">
        <f>IF(A2652="","",YEAR(EDATE(A2652,-3)))</f>
        <v/>
      </c>
      <c r="AG2652" s="20">
        <f>IF(OR(B2652="",'経歴簿'!$C$4=""),"",IF(B2652&amp;""='経歴簿'!$C$4&amp;"",MAX($AG$4:AG2651)+1,""))</f>
        <v/>
      </c>
      <c r="AH2652" s="20">
        <f>IF(A2652="",0,IF(AND(OR('CSV抽出'!$C$4="",A2652&gt;='CSV抽出'!$C$4),OR('CSV抽出'!$C$5="",A2652&lt;='CSV抽出'!$C$5),OR('CSV抽出'!$C$6="すべて",'CSV抽出'!$C$6="",D2652='CSV抽出'!$C$6),OR('CSV抽出'!$C$7="",B2652&amp;""='CSV抽出'!$C$7&amp;"")),1,0))</f>
        <v/>
      </c>
      <c r="AI2652" s="20">
        <f>IF(AH2652=1,SUM($AH$5:AH2652),"")</f>
        <v/>
      </c>
      <c r="AJ2652" s="20">
        <f>IF(OR(S2652="",'報告書'!$C$4=""),"",IF(S2652&amp;""='報告書'!$C$4&amp;"",COUNTIF($S$5:S2652,'報告書'!$C$4),""))</f>
        <v/>
      </c>
      <c r="AK2652" s="20" t="n"/>
      <c r="AL2652" s="47" t="n"/>
      <c r="AM2652" s="47" t="n"/>
      <c r="AN2652" s="53" t="n"/>
      <c r="AO2652" s="47" t="n"/>
      <c r="AP2652" s="47" t="n"/>
      <c r="AQ2652" s="47" t="n"/>
      <c r="AR2652" s="47" t="n"/>
      <c r="AS2652" s="47" t="n"/>
      <c r="AT2652" s="47" t="n"/>
      <c r="AU2652" s="47" t="n"/>
      <c r="AV2652" s="47" t="n"/>
      <c r="AW2652" s="52" t="n"/>
    </row>
    <row r="2653">
      <c r="A2653" s="48" t="n"/>
      <c r="B2653" s="52" t="n"/>
      <c r="C2653" s="47">
        <f>IF(B2653="","",IFERROR(INDEX('隊員マスタ'!$B$5:$B$204,MATCH(B2653&amp;"",'隊員マスタ'!$F$5:$F$204,0)),IF(AK2653="","番号なし",AK2653)))</f>
        <v/>
      </c>
      <c r="D2653" s="47" t="n"/>
      <c r="E2653" s="47" t="n"/>
      <c r="F2653" s="47" t="n"/>
      <c r="G2653" s="47" t="n"/>
      <c r="H2653" s="47" t="n"/>
      <c r="I2653" s="47" t="n"/>
      <c r="J2653" s="47" t="n"/>
      <c r="K2653" s="47" t="n"/>
      <c r="L2653" s="47" t="n"/>
      <c r="M2653" s="47" t="n"/>
      <c r="N2653" s="47" t="n"/>
      <c r="O2653" s="47" t="n"/>
      <c r="P2653" s="47" t="n"/>
      <c r="Q2653" s="47" t="n"/>
      <c r="R2653" s="47" t="n"/>
      <c r="S2653" s="47" t="n"/>
      <c r="T2653" s="47" t="n"/>
      <c r="U2653" s="53" t="n"/>
      <c r="V2653" s="53" t="n"/>
      <c r="W2653" s="47" t="n"/>
      <c r="X2653" s="47" t="n"/>
      <c r="Y2653" s="47" t="n"/>
      <c r="Z2653" s="47" t="n"/>
      <c r="AA2653" s="47" t="n"/>
      <c r="AB2653" s="47" t="n"/>
      <c r="AC2653" s="47" t="n"/>
      <c r="AD2653" s="47" t="n"/>
      <c r="AE2653" s="47" t="n"/>
      <c r="AF2653" s="20">
        <f>IF(A2653="","",YEAR(EDATE(A2653,-3)))</f>
        <v/>
      </c>
      <c r="AG2653" s="20">
        <f>IF(OR(B2653="",'経歴簿'!$C$4=""),"",IF(B2653&amp;""='経歴簿'!$C$4&amp;"",MAX($AG$4:AG2652)+1,""))</f>
        <v/>
      </c>
      <c r="AH2653" s="20">
        <f>IF(A2653="",0,IF(AND(OR('CSV抽出'!$C$4="",A2653&gt;='CSV抽出'!$C$4),OR('CSV抽出'!$C$5="",A2653&lt;='CSV抽出'!$C$5),OR('CSV抽出'!$C$6="すべて",'CSV抽出'!$C$6="",D2653='CSV抽出'!$C$6),OR('CSV抽出'!$C$7="",B2653&amp;""='CSV抽出'!$C$7&amp;"")),1,0))</f>
        <v/>
      </c>
      <c r="AI2653" s="20">
        <f>IF(AH2653=1,SUM($AH$5:AH2653),"")</f>
        <v/>
      </c>
      <c r="AJ2653" s="20">
        <f>IF(OR(S2653="",'報告書'!$C$4=""),"",IF(S2653&amp;""='報告書'!$C$4&amp;"",COUNTIF($S$5:S2653,'報告書'!$C$4),""))</f>
        <v/>
      </c>
      <c r="AK2653" s="20" t="n"/>
      <c r="AL2653" s="47" t="n"/>
      <c r="AM2653" s="47" t="n"/>
      <c r="AN2653" s="53" t="n"/>
      <c r="AO2653" s="47" t="n"/>
      <c r="AP2653" s="47" t="n"/>
      <c r="AQ2653" s="47" t="n"/>
      <c r="AR2653" s="47" t="n"/>
      <c r="AS2653" s="47" t="n"/>
      <c r="AT2653" s="47" t="n"/>
      <c r="AU2653" s="47" t="n"/>
      <c r="AV2653" s="47" t="n"/>
      <c r="AW2653" s="52" t="n"/>
    </row>
    <row r="2654">
      <c r="A2654" s="48" t="n"/>
      <c r="B2654" s="52" t="n"/>
      <c r="C2654" s="47">
        <f>IF(B2654="","",IFERROR(INDEX('隊員マスタ'!$B$5:$B$204,MATCH(B2654&amp;"",'隊員マスタ'!$F$5:$F$204,0)),IF(AK2654="","番号なし",AK2654)))</f>
        <v/>
      </c>
      <c r="D2654" s="47" t="n"/>
      <c r="E2654" s="47" t="n"/>
      <c r="F2654" s="47" t="n"/>
      <c r="G2654" s="47" t="n"/>
      <c r="H2654" s="47" t="n"/>
      <c r="I2654" s="47" t="n"/>
      <c r="J2654" s="47" t="n"/>
      <c r="K2654" s="47" t="n"/>
      <c r="L2654" s="47" t="n"/>
      <c r="M2654" s="47" t="n"/>
      <c r="N2654" s="47" t="n"/>
      <c r="O2654" s="47" t="n"/>
      <c r="P2654" s="47" t="n"/>
      <c r="Q2654" s="47" t="n"/>
      <c r="R2654" s="47" t="n"/>
      <c r="S2654" s="47" t="n"/>
      <c r="T2654" s="47" t="n"/>
      <c r="U2654" s="53" t="n"/>
      <c r="V2654" s="53" t="n"/>
      <c r="W2654" s="47" t="n"/>
      <c r="X2654" s="47" t="n"/>
      <c r="Y2654" s="47" t="n"/>
      <c r="Z2654" s="47" t="n"/>
      <c r="AA2654" s="47" t="n"/>
      <c r="AB2654" s="47" t="n"/>
      <c r="AC2654" s="47" t="n"/>
      <c r="AD2654" s="47" t="n"/>
      <c r="AE2654" s="47" t="n"/>
      <c r="AF2654" s="20">
        <f>IF(A2654="","",YEAR(EDATE(A2654,-3)))</f>
        <v/>
      </c>
      <c r="AG2654" s="20">
        <f>IF(OR(B2654="",'経歴簿'!$C$4=""),"",IF(B2654&amp;""='経歴簿'!$C$4&amp;"",MAX($AG$4:AG2653)+1,""))</f>
        <v/>
      </c>
      <c r="AH2654" s="20">
        <f>IF(A2654="",0,IF(AND(OR('CSV抽出'!$C$4="",A2654&gt;='CSV抽出'!$C$4),OR('CSV抽出'!$C$5="",A2654&lt;='CSV抽出'!$C$5),OR('CSV抽出'!$C$6="すべて",'CSV抽出'!$C$6="",D2654='CSV抽出'!$C$6),OR('CSV抽出'!$C$7="",B2654&amp;""='CSV抽出'!$C$7&amp;"")),1,0))</f>
        <v/>
      </c>
      <c r="AI2654" s="20">
        <f>IF(AH2654=1,SUM($AH$5:AH2654),"")</f>
        <v/>
      </c>
      <c r="AJ2654" s="20">
        <f>IF(OR(S2654="",'報告書'!$C$4=""),"",IF(S2654&amp;""='報告書'!$C$4&amp;"",COUNTIF($S$5:S2654,'報告書'!$C$4),""))</f>
        <v/>
      </c>
      <c r="AK2654" s="20" t="n"/>
      <c r="AL2654" s="47" t="n"/>
      <c r="AM2654" s="47" t="n"/>
      <c r="AN2654" s="53" t="n"/>
      <c r="AO2654" s="47" t="n"/>
      <c r="AP2654" s="47" t="n"/>
      <c r="AQ2654" s="47" t="n"/>
      <c r="AR2654" s="47" t="n"/>
      <c r="AS2654" s="47" t="n"/>
      <c r="AT2654" s="47" t="n"/>
      <c r="AU2654" s="47" t="n"/>
      <c r="AV2654" s="47" t="n"/>
      <c r="AW2654" s="52" t="n"/>
    </row>
    <row r="2655">
      <c r="A2655" s="48" t="n"/>
      <c r="B2655" s="52" t="n"/>
      <c r="C2655" s="47">
        <f>IF(B2655="","",IFERROR(INDEX('隊員マスタ'!$B$5:$B$204,MATCH(B2655&amp;"",'隊員マスタ'!$F$5:$F$204,0)),IF(AK2655="","番号なし",AK2655)))</f>
        <v/>
      </c>
      <c r="D2655" s="47" t="n"/>
      <c r="E2655" s="47" t="n"/>
      <c r="F2655" s="47" t="n"/>
      <c r="G2655" s="47" t="n"/>
      <c r="H2655" s="47" t="n"/>
      <c r="I2655" s="47" t="n"/>
      <c r="J2655" s="47" t="n"/>
      <c r="K2655" s="47" t="n"/>
      <c r="L2655" s="47" t="n"/>
      <c r="M2655" s="47" t="n"/>
      <c r="N2655" s="47" t="n"/>
      <c r="O2655" s="47" t="n"/>
      <c r="P2655" s="47" t="n"/>
      <c r="Q2655" s="47" t="n"/>
      <c r="R2655" s="47" t="n"/>
      <c r="S2655" s="47" t="n"/>
      <c r="T2655" s="47" t="n"/>
      <c r="U2655" s="53" t="n"/>
      <c r="V2655" s="53" t="n"/>
      <c r="W2655" s="47" t="n"/>
      <c r="X2655" s="47" t="n"/>
      <c r="Y2655" s="47" t="n"/>
      <c r="Z2655" s="47" t="n"/>
      <c r="AA2655" s="47" t="n"/>
      <c r="AB2655" s="47" t="n"/>
      <c r="AC2655" s="47" t="n"/>
      <c r="AD2655" s="47" t="n"/>
      <c r="AE2655" s="47" t="n"/>
      <c r="AF2655" s="20">
        <f>IF(A2655="","",YEAR(EDATE(A2655,-3)))</f>
        <v/>
      </c>
      <c r="AG2655" s="20">
        <f>IF(OR(B2655="",'経歴簿'!$C$4=""),"",IF(B2655&amp;""='経歴簿'!$C$4&amp;"",MAX($AG$4:AG2654)+1,""))</f>
        <v/>
      </c>
      <c r="AH2655" s="20">
        <f>IF(A2655="",0,IF(AND(OR('CSV抽出'!$C$4="",A2655&gt;='CSV抽出'!$C$4),OR('CSV抽出'!$C$5="",A2655&lt;='CSV抽出'!$C$5),OR('CSV抽出'!$C$6="すべて",'CSV抽出'!$C$6="",D2655='CSV抽出'!$C$6),OR('CSV抽出'!$C$7="",B2655&amp;""='CSV抽出'!$C$7&amp;"")),1,0))</f>
        <v/>
      </c>
      <c r="AI2655" s="20">
        <f>IF(AH2655=1,SUM($AH$5:AH2655),"")</f>
        <v/>
      </c>
      <c r="AJ2655" s="20">
        <f>IF(OR(S2655="",'報告書'!$C$4=""),"",IF(S2655&amp;""='報告書'!$C$4&amp;"",COUNTIF($S$5:S2655,'報告書'!$C$4),""))</f>
        <v/>
      </c>
      <c r="AK2655" s="20" t="n"/>
      <c r="AL2655" s="47" t="n"/>
      <c r="AM2655" s="47" t="n"/>
      <c r="AN2655" s="53" t="n"/>
      <c r="AO2655" s="47" t="n"/>
      <c r="AP2655" s="47" t="n"/>
      <c r="AQ2655" s="47" t="n"/>
      <c r="AR2655" s="47" t="n"/>
      <c r="AS2655" s="47" t="n"/>
      <c r="AT2655" s="47" t="n"/>
      <c r="AU2655" s="47" t="n"/>
      <c r="AV2655" s="47" t="n"/>
      <c r="AW2655" s="52" t="n"/>
    </row>
    <row r="2656">
      <c r="A2656" s="48" t="n"/>
      <c r="B2656" s="52" t="n"/>
      <c r="C2656" s="47">
        <f>IF(B2656="","",IFERROR(INDEX('隊員マスタ'!$B$5:$B$204,MATCH(B2656&amp;"",'隊員マスタ'!$F$5:$F$204,0)),IF(AK2656="","番号なし",AK2656)))</f>
        <v/>
      </c>
      <c r="D2656" s="47" t="n"/>
      <c r="E2656" s="47" t="n"/>
      <c r="F2656" s="47" t="n"/>
      <c r="G2656" s="47" t="n"/>
      <c r="H2656" s="47" t="n"/>
      <c r="I2656" s="47" t="n"/>
      <c r="J2656" s="47" t="n"/>
      <c r="K2656" s="47" t="n"/>
      <c r="L2656" s="47" t="n"/>
      <c r="M2656" s="47" t="n"/>
      <c r="N2656" s="47" t="n"/>
      <c r="O2656" s="47" t="n"/>
      <c r="P2656" s="47" t="n"/>
      <c r="Q2656" s="47" t="n"/>
      <c r="R2656" s="47" t="n"/>
      <c r="S2656" s="47" t="n"/>
      <c r="T2656" s="47" t="n"/>
      <c r="U2656" s="53" t="n"/>
      <c r="V2656" s="53" t="n"/>
      <c r="W2656" s="47" t="n"/>
      <c r="X2656" s="47" t="n"/>
      <c r="Y2656" s="47" t="n"/>
      <c r="Z2656" s="47" t="n"/>
      <c r="AA2656" s="47" t="n"/>
      <c r="AB2656" s="47" t="n"/>
      <c r="AC2656" s="47" t="n"/>
      <c r="AD2656" s="47" t="n"/>
      <c r="AE2656" s="47" t="n"/>
      <c r="AF2656" s="20">
        <f>IF(A2656="","",YEAR(EDATE(A2656,-3)))</f>
        <v/>
      </c>
      <c r="AG2656" s="20">
        <f>IF(OR(B2656="",'経歴簿'!$C$4=""),"",IF(B2656&amp;""='経歴簿'!$C$4&amp;"",MAX($AG$4:AG2655)+1,""))</f>
        <v/>
      </c>
      <c r="AH2656" s="20">
        <f>IF(A2656="",0,IF(AND(OR('CSV抽出'!$C$4="",A2656&gt;='CSV抽出'!$C$4),OR('CSV抽出'!$C$5="",A2656&lt;='CSV抽出'!$C$5),OR('CSV抽出'!$C$6="すべて",'CSV抽出'!$C$6="",D2656='CSV抽出'!$C$6),OR('CSV抽出'!$C$7="",B2656&amp;""='CSV抽出'!$C$7&amp;"")),1,0))</f>
        <v/>
      </c>
      <c r="AI2656" s="20">
        <f>IF(AH2656=1,SUM($AH$5:AH2656),"")</f>
        <v/>
      </c>
      <c r="AJ2656" s="20">
        <f>IF(OR(S2656="",'報告書'!$C$4=""),"",IF(S2656&amp;""='報告書'!$C$4&amp;"",COUNTIF($S$5:S2656,'報告書'!$C$4),""))</f>
        <v/>
      </c>
      <c r="AK2656" s="20" t="n"/>
      <c r="AL2656" s="47" t="n"/>
      <c r="AM2656" s="47" t="n"/>
      <c r="AN2656" s="53" t="n"/>
      <c r="AO2656" s="47" t="n"/>
      <c r="AP2656" s="47" t="n"/>
      <c r="AQ2656" s="47" t="n"/>
      <c r="AR2656" s="47" t="n"/>
      <c r="AS2656" s="47" t="n"/>
      <c r="AT2656" s="47" t="n"/>
      <c r="AU2656" s="47" t="n"/>
      <c r="AV2656" s="47" t="n"/>
      <c r="AW2656" s="52" t="n"/>
    </row>
    <row r="2657">
      <c r="A2657" s="48" t="n"/>
      <c r="B2657" s="52" t="n"/>
      <c r="C2657" s="47">
        <f>IF(B2657="","",IFERROR(INDEX('隊員マスタ'!$B$5:$B$204,MATCH(B2657&amp;"",'隊員マスタ'!$F$5:$F$204,0)),IF(AK2657="","番号なし",AK2657)))</f>
        <v/>
      </c>
      <c r="D2657" s="47" t="n"/>
      <c r="E2657" s="47" t="n"/>
      <c r="F2657" s="47" t="n"/>
      <c r="G2657" s="47" t="n"/>
      <c r="H2657" s="47" t="n"/>
      <c r="I2657" s="47" t="n"/>
      <c r="J2657" s="47" t="n"/>
      <c r="K2657" s="47" t="n"/>
      <c r="L2657" s="47" t="n"/>
      <c r="M2657" s="47" t="n"/>
      <c r="N2657" s="47" t="n"/>
      <c r="O2657" s="47" t="n"/>
      <c r="P2657" s="47" t="n"/>
      <c r="Q2657" s="47" t="n"/>
      <c r="R2657" s="47" t="n"/>
      <c r="S2657" s="47" t="n"/>
      <c r="T2657" s="47" t="n"/>
      <c r="U2657" s="53" t="n"/>
      <c r="V2657" s="53" t="n"/>
      <c r="W2657" s="47" t="n"/>
      <c r="X2657" s="47" t="n"/>
      <c r="Y2657" s="47" t="n"/>
      <c r="Z2657" s="47" t="n"/>
      <c r="AA2657" s="47" t="n"/>
      <c r="AB2657" s="47" t="n"/>
      <c r="AC2657" s="47" t="n"/>
      <c r="AD2657" s="47" t="n"/>
      <c r="AE2657" s="47" t="n"/>
      <c r="AF2657" s="20">
        <f>IF(A2657="","",YEAR(EDATE(A2657,-3)))</f>
        <v/>
      </c>
      <c r="AG2657" s="20">
        <f>IF(OR(B2657="",'経歴簿'!$C$4=""),"",IF(B2657&amp;""='経歴簿'!$C$4&amp;"",MAX($AG$4:AG2656)+1,""))</f>
        <v/>
      </c>
      <c r="AH2657" s="20">
        <f>IF(A2657="",0,IF(AND(OR('CSV抽出'!$C$4="",A2657&gt;='CSV抽出'!$C$4),OR('CSV抽出'!$C$5="",A2657&lt;='CSV抽出'!$C$5),OR('CSV抽出'!$C$6="すべて",'CSV抽出'!$C$6="",D2657='CSV抽出'!$C$6),OR('CSV抽出'!$C$7="",B2657&amp;""='CSV抽出'!$C$7&amp;"")),1,0))</f>
        <v/>
      </c>
      <c r="AI2657" s="20">
        <f>IF(AH2657=1,SUM($AH$5:AH2657),"")</f>
        <v/>
      </c>
      <c r="AJ2657" s="20">
        <f>IF(OR(S2657="",'報告書'!$C$4=""),"",IF(S2657&amp;""='報告書'!$C$4&amp;"",COUNTIF($S$5:S2657,'報告書'!$C$4),""))</f>
        <v/>
      </c>
      <c r="AK2657" s="20" t="n"/>
      <c r="AL2657" s="47" t="n"/>
      <c r="AM2657" s="47" t="n"/>
      <c r="AN2657" s="53" t="n"/>
      <c r="AO2657" s="47" t="n"/>
      <c r="AP2657" s="47" t="n"/>
      <c r="AQ2657" s="47" t="n"/>
      <c r="AR2657" s="47" t="n"/>
      <c r="AS2657" s="47" t="n"/>
      <c r="AT2657" s="47" t="n"/>
      <c r="AU2657" s="47" t="n"/>
      <c r="AV2657" s="47" t="n"/>
      <c r="AW2657" s="52" t="n"/>
    </row>
    <row r="2658">
      <c r="A2658" s="48" t="n"/>
      <c r="B2658" s="52" t="n"/>
      <c r="C2658" s="47">
        <f>IF(B2658="","",IFERROR(INDEX('隊員マスタ'!$B$5:$B$204,MATCH(B2658&amp;"",'隊員マスタ'!$F$5:$F$204,0)),IF(AK2658="","番号なし",AK2658)))</f>
        <v/>
      </c>
      <c r="D2658" s="47" t="n"/>
      <c r="E2658" s="47" t="n"/>
      <c r="F2658" s="47" t="n"/>
      <c r="G2658" s="47" t="n"/>
      <c r="H2658" s="47" t="n"/>
      <c r="I2658" s="47" t="n"/>
      <c r="J2658" s="47" t="n"/>
      <c r="K2658" s="47" t="n"/>
      <c r="L2658" s="47" t="n"/>
      <c r="M2658" s="47" t="n"/>
      <c r="N2658" s="47" t="n"/>
      <c r="O2658" s="47" t="n"/>
      <c r="P2658" s="47" t="n"/>
      <c r="Q2658" s="47" t="n"/>
      <c r="R2658" s="47" t="n"/>
      <c r="S2658" s="47" t="n"/>
      <c r="T2658" s="47" t="n"/>
      <c r="U2658" s="53" t="n"/>
      <c r="V2658" s="53" t="n"/>
      <c r="W2658" s="47" t="n"/>
      <c r="X2658" s="47" t="n"/>
      <c r="Y2658" s="47" t="n"/>
      <c r="Z2658" s="47" t="n"/>
      <c r="AA2658" s="47" t="n"/>
      <c r="AB2658" s="47" t="n"/>
      <c r="AC2658" s="47" t="n"/>
      <c r="AD2658" s="47" t="n"/>
      <c r="AE2658" s="47" t="n"/>
      <c r="AF2658" s="20">
        <f>IF(A2658="","",YEAR(EDATE(A2658,-3)))</f>
        <v/>
      </c>
      <c r="AG2658" s="20">
        <f>IF(OR(B2658="",'経歴簿'!$C$4=""),"",IF(B2658&amp;""='経歴簿'!$C$4&amp;"",MAX($AG$4:AG2657)+1,""))</f>
        <v/>
      </c>
      <c r="AH2658" s="20">
        <f>IF(A2658="",0,IF(AND(OR('CSV抽出'!$C$4="",A2658&gt;='CSV抽出'!$C$4),OR('CSV抽出'!$C$5="",A2658&lt;='CSV抽出'!$C$5),OR('CSV抽出'!$C$6="すべて",'CSV抽出'!$C$6="",D2658='CSV抽出'!$C$6),OR('CSV抽出'!$C$7="",B2658&amp;""='CSV抽出'!$C$7&amp;"")),1,0))</f>
        <v/>
      </c>
      <c r="AI2658" s="20">
        <f>IF(AH2658=1,SUM($AH$5:AH2658),"")</f>
        <v/>
      </c>
      <c r="AJ2658" s="20">
        <f>IF(OR(S2658="",'報告書'!$C$4=""),"",IF(S2658&amp;""='報告書'!$C$4&amp;"",COUNTIF($S$5:S2658,'報告書'!$C$4),""))</f>
        <v/>
      </c>
      <c r="AK2658" s="20" t="n"/>
      <c r="AL2658" s="47" t="n"/>
      <c r="AM2658" s="47" t="n"/>
      <c r="AN2658" s="53" t="n"/>
      <c r="AO2658" s="47" t="n"/>
      <c r="AP2658" s="47" t="n"/>
      <c r="AQ2658" s="47" t="n"/>
      <c r="AR2658" s="47" t="n"/>
      <c r="AS2658" s="47" t="n"/>
      <c r="AT2658" s="47" t="n"/>
      <c r="AU2658" s="47" t="n"/>
      <c r="AV2658" s="47" t="n"/>
      <c r="AW2658" s="52" t="n"/>
    </row>
    <row r="2659">
      <c r="A2659" s="48" t="n"/>
      <c r="B2659" s="52" t="n"/>
      <c r="C2659" s="47">
        <f>IF(B2659="","",IFERROR(INDEX('隊員マスタ'!$B$5:$B$204,MATCH(B2659&amp;"",'隊員マスタ'!$F$5:$F$204,0)),IF(AK2659="","番号なし",AK2659)))</f>
        <v/>
      </c>
      <c r="D2659" s="47" t="n"/>
      <c r="E2659" s="47" t="n"/>
      <c r="F2659" s="47" t="n"/>
      <c r="G2659" s="47" t="n"/>
      <c r="H2659" s="47" t="n"/>
      <c r="I2659" s="47" t="n"/>
      <c r="J2659" s="47" t="n"/>
      <c r="K2659" s="47" t="n"/>
      <c r="L2659" s="47" t="n"/>
      <c r="M2659" s="47" t="n"/>
      <c r="N2659" s="47" t="n"/>
      <c r="O2659" s="47" t="n"/>
      <c r="P2659" s="47" t="n"/>
      <c r="Q2659" s="47" t="n"/>
      <c r="R2659" s="47" t="n"/>
      <c r="S2659" s="47" t="n"/>
      <c r="T2659" s="47" t="n"/>
      <c r="U2659" s="53" t="n"/>
      <c r="V2659" s="53" t="n"/>
      <c r="W2659" s="47" t="n"/>
      <c r="X2659" s="47" t="n"/>
      <c r="Y2659" s="47" t="n"/>
      <c r="Z2659" s="47" t="n"/>
      <c r="AA2659" s="47" t="n"/>
      <c r="AB2659" s="47" t="n"/>
      <c r="AC2659" s="47" t="n"/>
      <c r="AD2659" s="47" t="n"/>
      <c r="AE2659" s="47" t="n"/>
      <c r="AF2659" s="20">
        <f>IF(A2659="","",YEAR(EDATE(A2659,-3)))</f>
        <v/>
      </c>
      <c r="AG2659" s="20">
        <f>IF(OR(B2659="",'経歴簿'!$C$4=""),"",IF(B2659&amp;""='経歴簿'!$C$4&amp;"",MAX($AG$4:AG2658)+1,""))</f>
        <v/>
      </c>
      <c r="AH2659" s="20">
        <f>IF(A2659="",0,IF(AND(OR('CSV抽出'!$C$4="",A2659&gt;='CSV抽出'!$C$4),OR('CSV抽出'!$C$5="",A2659&lt;='CSV抽出'!$C$5),OR('CSV抽出'!$C$6="すべて",'CSV抽出'!$C$6="",D2659='CSV抽出'!$C$6),OR('CSV抽出'!$C$7="",B2659&amp;""='CSV抽出'!$C$7&amp;"")),1,0))</f>
        <v/>
      </c>
      <c r="AI2659" s="20">
        <f>IF(AH2659=1,SUM($AH$5:AH2659),"")</f>
        <v/>
      </c>
      <c r="AJ2659" s="20">
        <f>IF(OR(S2659="",'報告書'!$C$4=""),"",IF(S2659&amp;""='報告書'!$C$4&amp;"",COUNTIF($S$5:S2659,'報告書'!$C$4),""))</f>
        <v/>
      </c>
      <c r="AK2659" s="20" t="n"/>
      <c r="AL2659" s="47" t="n"/>
      <c r="AM2659" s="47" t="n"/>
      <c r="AN2659" s="53" t="n"/>
      <c r="AO2659" s="47" t="n"/>
      <c r="AP2659" s="47" t="n"/>
      <c r="AQ2659" s="47" t="n"/>
      <c r="AR2659" s="47" t="n"/>
      <c r="AS2659" s="47" t="n"/>
      <c r="AT2659" s="47" t="n"/>
      <c r="AU2659" s="47" t="n"/>
      <c r="AV2659" s="47" t="n"/>
      <c r="AW2659" s="52" t="n"/>
    </row>
    <row r="2660">
      <c r="A2660" s="48" t="n"/>
      <c r="B2660" s="52" t="n"/>
      <c r="C2660" s="47">
        <f>IF(B2660="","",IFERROR(INDEX('隊員マスタ'!$B$5:$B$204,MATCH(B2660&amp;"",'隊員マスタ'!$F$5:$F$204,0)),IF(AK2660="","番号なし",AK2660)))</f>
        <v/>
      </c>
      <c r="D2660" s="47" t="n"/>
      <c r="E2660" s="47" t="n"/>
      <c r="F2660" s="47" t="n"/>
      <c r="G2660" s="47" t="n"/>
      <c r="H2660" s="47" t="n"/>
      <c r="I2660" s="47" t="n"/>
      <c r="J2660" s="47" t="n"/>
      <c r="K2660" s="47" t="n"/>
      <c r="L2660" s="47" t="n"/>
      <c r="M2660" s="47" t="n"/>
      <c r="N2660" s="47" t="n"/>
      <c r="O2660" s="47" t="n"/>
      <c r="P2660" s="47" t="n"/>
      <c r="Q2660" s="47" t="n"/>
      <c r="R2660" s="47" t="n"/>
      <c r="S2660" s="47" t="n"/>
      <c r="T2660" s="47" t="n"/>
      <c r="U2660" s="53" t="n"/>
      <c r="V2660" s="53" t="n"/>
      <c r="W2660" s="47" t="n"/>
      <c r="X2660" s="47" t="n"/>
      <c r="Y2660" s="47" t="n"/>
      <c r="Z2660" s="47" t="n"/>
      <c r="AA2660" s="47" t="n"/>
      <c r="AB2660" s="47" t="n"/>
      <c r="AC2660" s="47" t="n"/>
      <c r="AD2660" s="47" t="n"/>
      <c r="AE2660" s="47" t="n"/>
      <c r="AF2660" s="20">
        <f>IF(A2660="","",YEAR(EDATE(A2660,-3)))</f>
        <v/>
      </c>
      <c r="AG2660" s="20">
        <f>IF(OR(B2660="",'経歴簿'!$C$4=""),"",IF(B2660&amp;""='経歴簿'!$C$4&amp;"",MAX($AG$4:AG2659)+1,""))</f>
        <v/>
      </c>
      <c r="AH2660" s="20">
        <f>IF(A2660="",0,IF(AND(OR('CSV抽出'!$C$4="",A2660&gt;='CSV抽出'!$C$4),OR('CSV抽出'!$C$5="",A2660&lt;='CSV抽出'!$C$5),OR('CSV抽出'!$C$6="すべて",'CSV抽出'!$C$6="",D2660='CSV抽出'!$C$6),OR('CSV抽出'!$C$7="",B2660&amp;""='CSV抽出'!$C$7&amp;"")),1,0))</f>
        <v/>
      </c>
      <c r="AI2660" s="20">
        <f>IF(AH2660=1,SUM($AH$5:AH2660),"")</f>
        <v/>
      </c>
      <c r="AJ2660" s="20">
        <f>IF(OR(S2660="",'報告書'!$C$4=""),"",IF(S2660&amp;""='報告書'!$C$4&amp;"",COUNTIF($S$5:S2660,'報告書'!$C$4),""))</f>
        <v/>
      </c>
      <c r="AK2660" s="20" t="n"/>
      <c r="AL2660" s="47" t="n"/>
      <c r="AM2660" s="47" t="n"/>
      <c r="AN2660" s="53" t="n"/>
      <c r="AO2660" s="47" t="n"/>
      <c r="AP2660" s="47" t="n"/>
      <c r="AQ2660" s="47" t="n"/>
      <c r="AR2660" s="47" t="n"/>
      <c r="AS2660" s="47" t="n"/>
      <c r="AT2660" s="47" t="n"/>
      <c r="AU2660" s="47" t="n"/>
      <c r="AV2660" s="47" t="n"/>
      <c r="AW2660" s="52" t="n"/>
    </row>
    <row r="2661">
      <c r="A2661" s="48" t="n"/>
      <c r="B2661" s="52" t="n"/>
      <c r="C2661" s="47">
        <f>IF(B2661="","",IFERROR(INDEX('隊員マスタ'!$B$5:$B$204,MATCH(B2661&amp;"",'隊員マスタ'!$F$5:$F$204,0)),IF(AK2661="","番号なし",AK2661)))</f>
        <v/>
      </c>
      <c r="D2661" s="47" t="n"/>
      <c r="E2661" s="47" t="n"/>
      <c r="F2661" s="47" t="n"/>
      <c r="G2661" s="47" t="n"/>
      <c r="H2661" s="47" t="n"/>
      <c r="I2661" s="47" t="n"/>
      <c r="J2661" s="47" t="n"/>
      <c r="K2661" s="47" t="n"/>
      <c r="L2661" s="47" t="n"/>
      <c r="M2661" s="47" t="n"/>
      <c r="N2661" s="47" t="n"/>
      <c r="O2661" s="47" t="n"/>
      <c r="P2661" s="47" t="n"/>
      <c r="Q2661" s="47" t="n"/>
      <c r="R2661" s="47" t="n"/>
      <c r="S2661" s="47" t="n"/>
      <c r="T2661" s="47" t="n"/>
      <c r="U2661" s="53" t="n"/>
      <c r="V2661" s="53" t="n"/>
      <c r="W2661" s="47" t="n"/>
      <c r="X2661" s="47" t="n"/>
      <c r="Y2661" s="47" t="n"/>
      <c r="Z2661" s="47" t="n"/>
      <c r="AA2661" s="47" t="n"/>
      <c r="AB2661" s="47" t="n"/>
      <c r="AC2661" s="47" t="n"/>
      <c r="AD2661" s="47" t="n"/>
      <c r="AE2661" s="47" t="n"/>
      <c r="AF2661" s="20">
        <f>IF(A2661="","",YEAR(EDATE(A2661,-3)))</f>
        <v/>
      </c>
      <c r="AG2661" s="20">
        <f>IF(OR(B2661="",'経歴簿'!$C$4=""),"",IF(B2661&amp;""='経歴簿'!$C$4&amp;"",MAX($AG$4:AG2660)+1,""))</f>
        <v/>
      </c>
      <c r="AH2661" s="20">
        <f>IF(A2661="",0,IF(AND(OR('CSV抽出'!$C$4="",A2661&gt;='CSV抽出'!$C$4),OR('CSV抽出'!$C$5="",A2661&lt;='CSV抽出'!$C$5),OR('CSV抽出'!$C$6="すべて",'CSV抽出'!$C$6="",D2661='CSV抽出'!$C$6),OR('CSV抽出'!$C$7="",B2661&amp;""='CSV抽出'!$C$7&amp;"")),1,0))</f>
        <v/>
      </c>
      <c r="AI2661" s="20">
        <f>IF(AH2661=1,SUM($AH$5:AH2661),"")</f>
        <v/>
      </c>
      <c r="AJ2661" s="20">
        <f>IF(OR(S2661="",'報告書'!$C$4=""),"",IF(S2661&amp;""='報告書'!$C$4&amp;"",COUNTIF($S$5:S2661,'報告書'!$C$4),""))</f>
        <v/>
      </c>
      <c r="AK2661" s="20" t="n"/>
      <c r="AL2661" s="47" t="n"/>
      <c r="AM2661" s="47" t="n"/>
      <c r="AN2661" s="53" t="n"/>
      <c r="AO2661" s="47" t="n"/>
      <c r="AP2661" s="47" t="n"/>
      <c r="AQ2661" s="47" t="n"/>
      <c r="AR2661" s="47" t="n"/>
      <c r="AS2661" s="47" t="n"/>
      <c r="AT2661" s="47" t="n"/>
      <c r="AU2661" s="47" t="n"/>
      <c r="AV2661" s="47" t="n"/>
      <c r="AW2661" s="52" t="n"/>
    </row>
    <row r="2662">
      <c r="A2662" s="48" t="n"/>
      <c r="B2662" s="52" t="n"/>
      <c r="C2662" s="47">
        <f>IF(B2662="","",IFERROR(INDEX('隊員マスタ'!$B$5:$B$204,MATCH(B2662&amp;"",'隊員マスタ'!$F$5:$F$204,0)),IF(AK2662="","番号なし",AK2662)))</f>
        <v/>
      </c>
      <c r="D2662" s="47" t="n"/>
      <c r="E2662" s="47" t="n"/>
      <c r="F2662" s="47" t="n"/>
      <c r="G2662" s="47" t="n"/>
      <c r="H2662" s="47" t="n"/>
      <c r="I2662" s="47" t="n"/>
      <c r="J2662" s="47" t="n"/>
      <c r="K2662" s="47" t="n"/>
      <c r="L2662" s="47" t="n"/>
      <c r="M2662" s="47" t="n"/>
      <c r="N2662" s="47" t="n"/>
      <c r="O2662" s="47" t="n"/>
      <c r="P2662" s="47" t="n"/>
      <c r="Q2662" s="47" t="n"/>
      <c r="R2662" s="47" t="n"/>
      <c r="S2662" s="47" t="n"/>
      <c r="T2662" s="47" t="n"/>
      <c r="U2662" s="53" t="n"/>
      <c r="V2662" s="53" t="n"/>
      <c r="W2662" s="47" t="n"/>
      <c r="X2662" s="47" t="n"/>
      <c r="Y2662" s="47" t="n"/>
      <c r="Z2662" s="47" t="n"/>
      <c r="AA2662" s="47" t="n"/>
      <c r="AB2662" s="47" t="n"/>
      <c r="AC2662" s="47" t="n"/>
      <c r="AD2662" s="47" t="n"/>
      <c r="AE2662" s="47" t="n"/>
      <c r="AF2662" s="20">
        <f>IF(A2662="","",YEAR(EDATE(A2662,-3)))</f>
        <v/>
      </c>
      <c r="AG2662" s="20">
        <f>IF(OR(B2662="",'経歴簿'!$C$4=""),"",IF(B2662&amp;""='経歴簿'!$C$4&amp;"",MAX($AG$4:AG2661)+1,""))</f>
        <v/>
      </c>
      <c r="AH2662" s="20">
        <f>IF(A2662="",0,IF(AND(OR('CSV抽出'!$C$4="",A2662&gt;='CSV抽出'!$C$4),OR('CSV抽出'!$C$5="",A2662&lt;='CSV抽出'!$C$5),OR('CSV抽出'!$C$6="すべて",'CSV抽出'!$C$6="",D2662='CSV抽出'!$C$6),OR('CSV抽出'!$C$7="",B2662&amp;""='CSV抽出'!$C$7&amp;"")),1,0))</f>
        <v/>
      </c>
      <c r="AI2662" s="20">
        <f>IF(AH2662=1,SUM($AH$5:AH2662),"")</f>
        <v/>
      </c>
      <c r="AJ2662" s="20">
        <f>IF(OR(S2662="",'報告書'!$C$4=""),"",IF(S2662&amp;""='報告書'!$C$4&amp;"",COUNTIF($S$5:S2662,'報告書'!$C$4),""))</f>
        <v/>
      </c>
      <c r="AK2662" s="20" t="n"/>
      <c r="AL2662" s="47" t="n"/>
      <c r="AM2662" s="47" t="n"/>
      <c r="AN2662" s="53" t="n"/>
      <c r="AO2662" s="47" t="n"/>
      <c r="AP2662" s="47" t="n"/>
      <c r="AQ2662" s="47" t="n"/>
      <c r="AR2662" s="47" t="n"/>
      <c r="AS2662" s="47" t="n"/>
      <c r="AT2662" s="47" t="n"/>
      <c r="AU2662" s="47" t="n"/>
      <c r="AV2662" s="47" t="n"/>
      <c r="AW2662" s="52" t="n"/>
    </row>
    <row r="2663">
      <c r="A2663" s="48" t="n"/>
      <c r="B2663" s="52" t="n"/>
      <c r="C2663" s="47">
        <f>IF(B2663="","",IFERROR(INDEX('隊員マスタ'!$B$5:$B$204,MATCH(B2663&amp;"",'隊員マスタ'!$F$5:$F$204,0)),IF(AK2663="","番号なし",AK2663)))</f>
        <v/>
      </c>
      <c r="D2663" s="47" t="n"/>
      <c r="E2663" s="47" t="n"/>
      <c r="F2663" s="47" t="n"/>
      <c r="G2663" s="47" t="n"/>
      <c r="H2663" s="47" t="n"/>
      <c r="I2663" s="47" t="n"/>
      <c r="J2663" s="47" t="n"/>
      <c r="K2663" s="47" t="n"/>
      <c r="L2663" s="47" t="n"/>
      <c r="M2663" s="47" t="n"/>
      <c r="N2663" s="47" t="n"/>
      <c r="O2663" s="47" t="n"/>
      <c r="P2663" s="47" t="n"/>
      <c r="Q2663" s="47" t="n"/>
      <c r="R2663" s="47" t="n"/>
      <c r="S2663" s="47" t="n"/>
      <c r="T2663" s="47" t="n"/>
      <c r="U2663" s="53" t="n"/>
      <c r="V2663" s="53" t="n"/>
      <c r="W2663" s="47" t="n"/>
      <c r="X2663" s="47" t="n"/>
      <c r="Y2663" s="47" t="n"/>
      <c r="Z2663" s="47" t="n"/>
      <c r="AA2663" s="47" t="n"/>
      <c r="AB2663" s="47" t="n"/>
      <c r="AC2663" s="47" t="n"/>
      <c r="AD2663" s="47" t="n"/>
      <c r="AE2663" s="47" t="n"/>
      <c r="AF2663" s="20">
        <f>IF(A2663="","",YEAR(EDATE(A2663,-3)))</f>
        <v/>
      </c>
      <c r="AG2663" s="20">
        <f>IF(OR(B2663="",'経歴簿'!$C$4=""),"",IF(B2663&amp;""='経歴簿'!$C$4&amp;"",MAX($AG$4:AG2662)+1,""))</f>
        <v/>
      </c>
      <c r="AH2663" s="20">
        <f>IF(A2663="",0,IF(AND(OR('CSV抽出'!$C$4="",A2663&gt;='CSV抽出'!$C$4),OR('CSV抽出'!$C$5="",A2663&lt;='CSV抽出'!$C$5),OR('CSV抽出'!$C$6="すべて",'CSV抽出'!$C$6="",D2663='CSV抽出'!$C$6),OR('CSV抽出'!$C$7="",B2663&amp;""='CSV抽出'!$C$7&amp;"")),1,0))</f>
        <v/>
      </c>
      <c r="AI2663" s="20">
        <f>IF(AH2663=1,SUM($AH$5:AH2663),"")</f>
        <v/>
      </c>
      <c r="AJ2663" s="20">
        <f>IF(OR(S2663="",'報告書'!$C$4=""),"",IF(S2663&amp;""='報告書'!$C$4&amp;"",COUNTIF($S$5:S2663,'報告書'!$C$4),""))</f>
        <v/>
      </c>
      <c r="AK2663" s="20" t="n"/>
      <c r="AL2663" s="47" t="n"/>
      <c r="AM2663" s="47" t="n"/>
      <c r="AN2663" s="53" t="n"/>
      <c r="AO2663" s="47" t="n"/>
      <c r="AP2663" s="47" t="n"/>
      <c r="AQ2663" s="47" t="n"/>
      <c r="AR2663" s="47" t="n"/>
      <c r="AS2663" s="47" t="n"/>
      <c r="AT2663" s="47" t="n"/>
      <c r="AU2663" s="47" t="n"/>
      <c r="AV2663" s="47" t="n"/>
      <c r="AW2663" s="52" t="n"/>
    </row>
    <row r="2664">
      <c r="A2664" s="48" t="n"/>
      <c r="B2664" s="52" t="n"/>
      <c r="C2664" s="47">
        <f>IF(B2664="","",IFERROR(INDEX('隊員マスタ'!$B$5:$B$204,MATCH(B2664&amp;"",'隊員マスタ'!$F$5:$F$204,0)),IF(AK2664="","番号なし",AK2664)))</f>
        <v/>
      </c>
      <c r="D2664" s="47" t="n"/>
      <c r="E2664" s="47" t="n"/>
      <c r="F2664" s="47" t="n"/>
      <c r="G2664" s="47" t="n"/>
      <c r="H2664" s="47" t="n"/>
      <c r="I2664" s="47" t="n"/>
      <c r="J2664" s="47" t="n"/>
      <c r="K2664" s="47" t="n"/>
      <c r="L2664" s="47" t="n"/>
      <c r="M2664" s="47" t="n"/>
      <c r="N2664" s="47" t="n"/>
      <c r="O2664" s="47" t="n"/>
      <c r="P2664" s="47" t="n"/>
      <c r="Q2664" s="47" t="n"/>
      <c r="R2664" s="47" t="n"/>
      <c r="S2664" s="47" t="n"/>
      <c r="T2664" s="47" t="n"/>
      <c r="U2664" s="53" t="n"/>
      <c r="V2664" s="53" t="n"/>
      <c r="W2664" s="47" t="n"/>
      <c r="X2664" s="47" t="n"/>
      <c r="Y2664" s="47" t="n"/>
      <c r="Z2664" s="47" t="n"/>
      <c r="AA2664" s="47" t="n"/>
      <c r="AB2664" s="47" t="n"/>
      <c r="AC2664" s="47" t="n"/>
      <c r="AD2664" s="47" t="n"/>
      <c r="AE2664" s="47" t="n"/>
      <c r="AF2664" s="20">
        <f>IF(A2664="","",YEAR(EDATE(A2664,-3)))</f>
        <v/>
      </c>
      <c r="AG2664" s="20">
        <f>IF(OR(B2664="",'経歴簿'!$C$4=""),"",IF(B2664&amp;""='経歴簿'!$C$4&amp;"",MAX($AG$4:AG2663)+1,""))</f>
        <v/>
      </c>
      <c r="AH2664" s="20">
        <f>IF(A2664="",0,IF(AND(OR('CSV抽出'!$C$4="",A2664&gt;='CSV抽出'!$C$4),OR('CSV抽出'!$C$5="",A2664&lt;='CSV抽出'!$C$5),OR('CSV抽出'!$C$6="すべて",'CSV抽出'!$C$6="",D2664='CSV抽出'!$C$6),OR('CSV抽出'!$C$7="",B2664&amp;""='CSV抽出'!$C$7&amp;"")),1,0))</f>
        <v/>
      </c>
      <c r="AI2664" s="20">
        <f>IF(AH2664=1,SUM($AH$5:AH2664),"")</f>
        <v/>
      </c>
      <c r="AJ2664" s="20">
        <f>IF(OR(S2664="",'報告書'!$C$4=""),"",IF(S2664&amp;""='報告書'!$C$4&amp;"",COUNTIF($S$5:S2664,'報告書'!$C$4),""))</f>
        <v/>
      </c>
      <c r="AK2664" s="20" t="n"/>
      <c r="AL2664" s="47" t="n"/>
      <c r="AM2664" s="47" t="n"/>
      <c r="AN2664" s="53" t="n"/>
      <c r="AO2664" s="47" t="n"/>
      <c r="AP2664" s="47" t="n"/>
      <c r="AQ2664" s="47" t="n"/>
      <c r="AR2664" s="47" t="n"/>
      <c r="AS2664" s="47" t="n"/>
      <c r="AT2664" s="47" t="n"/>
      <c r="AU2664" s="47" t="n"/>
      <c r="AV2664" s="47" t="n"/>
      <c r="AW2664" s="52" t="n"/>
    </row>
    <row r="2665">
      <c r="A2665" s="48" t="n"/>
      <c r="B2665" s="52" t="n"/>
      <c r="C2665" s="47">
        <f>IF(B2665="","",IFERROR(INDEX('隊員マスタ'!$B$5:$B$204,MATCH(B2665&amp;"",'隊員マスタ'!$F$5:$F$204,0)),IF(AK2665="","番号なし",AK2665)))</f>
        <v/>
      </c>
      <c r="D2665" s="47" t="n"/>
      <c r="E2665" s="47" t="n"/>
      <c r="F2665" s="47" t="n"/>
      <c r="G2665" s="47" t="n"/>
      <c r="H2665" s="47" t="n"/>
      <c r="I2665" s="47" t="n"/>
      <c r="J2665" s="47" t="n"/>
      <c r="K2665" s="47" t="n"/>
      <c r="L2665" s="47" t="n"/>
      <c r="M2665" s="47" t="n"/>
      <c r="N2665" s="47" t="n"/>
      <c r="O2665" s="47" t="n"/>
      <c r="P2665" s="47" t="n"/>
      <c r="Q2665" s="47" t="n"/>
      <c r="R2665" s="47" t="n"/>
      <c r="S2665" s="47" t="n"/>
      <c r="T2665" s="47" t="n"/>
      <c r="U2665" s="53" t="n"/>
      <c r="V2665" s="53" t="n"/>
      <c r="W2665" s="47" t="n"/>
      <c r="X2665" s="47" t="n"/>
      <c r="Y2665" s="47" t="n"/>
      <c r="Z2665" s="47" t="n"/>
      <c r="AA2665" s="47" t="n"/>
      <c r="AB2665" s="47" t="n"/>
      <c r="AC2665" s="47" t="n"/>
      <c r="AD2665" s="47" t="n"/>
      <c r="AE2665" s="47" t="n"/>
      <c r="AF2665" s="20">
        <f>IF(A2665="","",YEAR(EDATE(A2665,-3)))</f>
        <v/>
      </c>
      <c r="AG2665" s="20">
        <f>IF(OR(B2665="",'経歴簿'!$C$4=""),"",IF(B2665&amp;""='経歴簿'!$C$4&amp;"",MAX($AG$4:AG2664)+1,""))</f>
        <v/>
      </c>
      <c r="AH2665" s="20">
        <f>IF(A2665="",0,IF(AND(OR('CSV抽出'!$C$4="",A2665&gt;='CSV抽出'!$C$4),OR('CSV抽出'!$C$5="",A2665&lt;='CSV抽出'!$C$5),OR('CSV抽出'!$C$6="すべて",'CSV抽出'!$C$6="",D2665='CSV抽出'!$C$6),OR('CSV抽出'!$C$7="",B2665&amp;""='CSV抽出'!$C$7&amp;"")),1,0))</f>
        <v/>
      </c>
      <c r="AI2665" s="20">
        <f>IF(AH2665=1,SUM($AH$5:AH2665),"")</f>
        <v/>
      </c>
      <c r="AJ2665" s="20">
        <f>IF(OR(S2665="",'報告書'!$C$4=""),"",IF(S2665&amp;""='報告書'!$C$4&amp;"",COUNTIF($S$5:S2665,'報告書'!$C$4),""))</f>
        <v/>
      </c>
      <c r="AK2665" s="20" t="n"/>
      <c r="AL2665" s="47" t="n"/>
      <c r="AM2665" s="47" t="n"/>
      <c r="AN2665" s="53" t="n"/>
      <c r="AO2665" s="47" t="n"/>
      <c r="AP2665" s="47" t="n"/>
      <c r="AQ2665" s="47" t="n"/>
      <c r="AR2665" s="47" t="n"/>
      <c r="AS2665" s="47" t="n"/>
      <c r="AT2665" s="47" t="n"/>
      <c r="AU2665" s="47" t="n"/>
      <c r="AV2665" s="47" t="n"/>
      <c r="AW2665" s="52" t="n"/>
    </row>
    <row r="2666">
      <c r="A2666" s="48" t="n"/>
      <c r="B2666" s="52" t="n"/>
      <c r="C2666" s="47">
        <f>IF(B2666="","",IFERROR(INDEX('隊員マスタ'!$B$5:$B$204,MATCH(B2666&amp;"",'隊員マスタ'!$F$5:$F$204,0)),IF(AK2666="","番号なし",AK2666)))</f>
        <v/>
      </c>
      <c r="D2666" s="47" t="n"/>
      <c r="E2666" s="47" t="n"/>
      <c r="F2666" s="47" t="n"/>
      <c r="G2666" s="47" t="n"/>
      <c r="H2666" s="47" t="n"/>
      <c r="I2666" s="47" t="n"/>
      <c r="J2666" s="47" t="n"/>
      <c r="K2666" s="47" t="n"/>
      <c r="L2666" s="47" t="n"/>
      <c r="M2666" s="47" t="n"/>
      <c r="N2666" s="47" t="n"/>
      <c r="O2666" s="47" t="n"/>
      <c r="P2666" s="47" t="n"/>
      <c r="Q2666" s="47" t="n"/>
      <c r="R2666" s="47" t="n"/>
      <c r="S2666" s="47" t="n"/>
      <c r="T2666" s="47" t="n"/>
      <c r="U2666" s="53" t="n"/>
      <c r="V2666" s="53" t="n"/>
      <c r="W2666" s="47" t="n"/>
      <c r="X2666" s="47" t="n"/>
      <c r="Y2666" s="47" t="n"/>
      <c r="Z2666" s="47" t="n"/>
      <c r="AA2666" s="47" t="n"/>
      <c r="AB2666" s="47" t="n"/>
      <c r="AC2666" s="47" t="n"/>
      <c r="AD2666" s="47" t="n"/>
      <c r="AE2666" s="47" t="n"/>
      <c r="AF2666" s="20">
        <f>IF(A2666="","",YEAR(EDATE(A2666,-3)))</f>
        <v/>
      </c>
      <c r="AG2666" s="20">
        <f>IF(OR(B2666="",'経歴簿'!$C$4=""),"",IF(B2666&amp;""='経歴簿'!$C$4&amp;"",MAX($AG$4:AG2665)+1,""))</f>
        <v/>
      </c>
      <c r="AH2666" s="20">
        <f>IF(A2666="",0,IF(AND(OR('CSV抽出'!$C$4="",A2666&gt;='CSV抽出'!$C$4),OR('CSV抽出'!$C$5="",A2666&lt;='CSV抽出'!$C$5),OR('CSV抽出'!$C$6="すべて",'CSV抽出'!$C$6="",D2666='CSV抽出'!$C$6),OR('CSV抽出'!$C$7="",B2666&amp;""='CSV抽出'!$C$7&amp;"")),1,0))</f>
        <v/>
      </c>
      <c r="AI2666" s="20">
        <f>IF(AH2666=1,SUM($AH$5:AH2666),"")</f>
        <v/>
      </c>
      <c r="AJ2666" s="20">
        <f>IF(OR(S2666="",'報告書'!$C$4=""),"",IF(S2666&amp;""='報告書'!$C$4&amp;"",COUNTIF($S$5:S2666,'報告書'!$C$4),""))</f>
        <v/>
      </c>
      <c r="AK2666" s="20" t="n"/>
      <c r="AL2666" s="47" t="n"/>
      <c r="AM2666" s="47" t="n"/>
      <c r="AN2666" s="53" t="n"/>
      <c r="AO2666" s="47" t="n"/>
      <c r="AP2666" s="47" t="n"/>
      <c r="AQ2666" s="47" t="n"/>
      <c r="AR2666" s="47" t="n"/>
      <c r="AS2666" s="47" t="n"/>
      <c r="AT2666" s="47" t="n"/>
      <c r="AU2666" s="47" t="n"/>
      <c r="AV2666" s="47" t="n"/>
      <c r="AW2666" s="52" t="n"/>
    </row>
    <row r="2667">
      <c r="A2667" s="48" t="n"/>
      <c r="B2667" s="52" t="n"/>
      <c r="C2667" s="47">
        <f>IF(B2667="","",IFERROR(INDEX('隊員マスタ'!$B$5:$B$204,MATCH(B2667&amp;"",'隊員マスタ'!$F$5:$F$204,0)),IF(AK2667="","番号なし",AK2667)))</f>
        <v/>
      </c>
      <c r="D2667" s="47" t="n"/>
      <c r="E2667" s="47" t="n"/>
      <c r="F2667" s="47" t="n"/>
      <c r="G2667" s="47" t="n"/>
      <c r="H2667" s="47" t="n"/>
      <c r="I2667" s="47" t="n"/>
      <c r="J2667" s="47" t="n"/>
      <c r="K2667" s="47" t="n"/>
      <c r="L2667" s="47" t="n"/>
      <c r="M2667" s="47" t="n"/>
      <c r="N2667" s="47" t="n"/>
      <c r="O2667" s="47" t="n"/>
      <c r="P2667" s="47" t="n"/>
      <c r="Q2667" s="47" t="n"/>
      <c r="R2667" s="47" t="n"/>
      <c r="S2667" s="47" t="n"/>
      <c r="T2667" s="47" t="n"/>
      <c r="U2667" s="53" t="n"/>
      <c r="V2667" s="53" t="n"/>
      <c r="W2667" s="47" t="n"/>
      <c r="X2667" s="47" t="n"/>
      <c r="Y2667" s="47" t="n"/>
      <c r="Z2667" s="47" t="n"/>
      <c r="AA2667" s="47" t="n"/>
      <c r="AB2667" s="47" t="n"/>
      <c r="AC2667" s="47" t="n"/>
      <c r="AD2667" s="47" t="n"/>
      <c r="AE2667" s="47" t="n"/>
      <c r="AF2667" s="20">
        <f>IF(A2667="","",YEAR(EDATE(A2667,-3)))</f>
        <v/>
      </c>
      <c r="AG2667" s="20">
        <f>IF(OR(B2667="",'経歴簿'!$C$4=""),"",IF(B2667&amp;""='経歴簿'!$C$4&amp;"",MAX($AG$4:AG2666)+1,""))</f>
        <v/>
      </c>
      <c r="AH2667" s="20">
        <f>IF(A2667="",0,IF(AND(OR('CSV抽出'!$C$4="",A2667&gt;='CSV抽出'!$C$4),OR('CSV抽出'!$C$5="",A2667&lt;='CSV抽出'!$C$5),OR('CSV抽出'!$C$6="すべて",'CSV抽出'!$C$6="",D2667='CSV抽出'!$C$6),OR('CSV抽出'!$C$7="",B2667&amp;""='CSV抽出'!$C$7&amp;"")),1,0))</f>
        <v/>
      </c>
      <c r="AI2667" s="20">
        <f>IF(AH2667=1,SUM($AH$5:AH2667),"")</f>
        <v/>
      </c>
      <c r="AJ2667" s="20">
        <f>IF(OR(S2667="",'報告書'!$C$4=""),"",IF(S2667&amp;""='報告書'!$C$4&amp;"",COUNTIF($S$5:S2667,'報告書'!$C$4),""))</f>
        <v/>
      </c>
      <c r="AK2667" s="20" t="n"/>
      <c r="AL2667" s="47" t="n"/>
      <c r="AM2667" s="47" t="n"/>
      <c r="AN2667" s="53" t="n"/>
      <c r="AO2667" s="47" t="n"/>
      <c r="AP2667" s="47" t="n"/>
      <c r="AQ2667" s="47" t="n"/>
      <c r="AR2667" s="47" t="n"/>
      <c r="AS2667" s="47" t="n"/>
      <c r="AT2667" s="47" t="n"/>
      <c r="AU2667" s="47" t="n"/>
      <c r="AV2667" s="47" t="n"/>
      <c r="AW2667" s="52" t="n"/>
    </row>
    <row r="2668">
      <c r="A2668" s="48" t="n"/>
      <c r="B2668" s="52" t="n"/>
      <c r="C2668" s="47">
        <f>IF(B2668="","",IFERROR(INDEX('隊員マスタ'!$B$5:$B$204,MATCH(B2668&amp;"",'隊員マスタ'!$F$5:$F$204,0)),IF(AK2668="","番号なし",AK2668)))</f>
        <v/>
      </c>
      <c r="D2668" s="47" t="n"/>
      <c r="E2668" s="47" t="n"/>
      <c r="F2668" s="47" t="n"/>
      <c r="G2668" s="47" t="n"/>
      <c r="H2668" s="47" t="n"/>
      <c r="I2668" s="47" t="n"/>
      <c r="J2668" s="47" t="n"/>
      <c r="K2668" s="47" t="n"/>
      <c r="L2668" s="47" t="n"/>
      <c r="M2668" s="47" t="n"/>
      <c r="N2668" s="47" t="n"/>
      <c r="O2668" s="47" t="n"/>
      <c r="P2668" s="47" t="n"/>
      <c r="Q2668" s="47" t="n"/>
      <c r="R2668" s="47" t="n"/>
      <c r="S2668" s="47" t="n"/>
      <c r="T2668" s="47" t="n"/>
      <c r="U2668" s="53" t="n"/>
      <c r="V2668" s="53" t="n"/>
      <c r="W2668" s="47" t="n"/>
      <c r="X2668" s="47" t="n"/>
      <c r="Y2668" s="47" t="n"/>
      <c r="Z2668" s="47" t="n"/>
      <c r="AA2668" s="47" t="n"/>
      <c r="AB2668" s="47" t="n"/>
      <c r="AC2668" s="47" t="n"/>
      <c r="AD2668" s="47" t="n"/>
      <c r="AE2668" s="47" t="n"/>
      <c r="AF2668" s="20">
        <f>IF(A2668="","",YEAR(EDATE(A2668,-3)))</f>
        <v/>
      </c>
      <c r="AG2668" s="20">
        <f>IF(OR(B2668="",'経歴簿'!$C$4=""),"",IF(B2668&amp;""='経歴簿'!$C$4&amp;"",MAX($AG$4:AG2667)+1,""))</f>
        <v/>
      </c>
      <c r="AH2668" s="20">
        <f>IF(A2668="",0,IF(AND(OR('CSV抽出'!$C$4="",A2668&gt;='CSV抽出'!$C$4),OR('CSV抽出'!$C$5="",A2668&lt;='CSV抽出'!$C$5),OR('CSV抽出'!$C$6="すべて",'CSV抽出'!$C$6="",D2668='CSV抽出'!$C$6),OR('CSV抽出'!$C$7="",B2668&amp;""='CSV抽出'!$C$7&amp;"")),1,0))</f>
        <v/>
      </c>
      <c r="AI2668" s="20">
        <f>IF(AH2668=1,SUM($AH$5:AH2668),"")</f>
        <v/>
      </c>
      <c r="AJ2668" s="20">
        <f>IF(OR(S2668="",'報告書'!$C$4=""),"",IF(S2668&amp;""='報告書'!$C$4&amp;"",COUNTIF($S$5:S2668,'報告書'!$C$4),""))</f>
        <v/>
      </c>
      <c r="AK2668" s="20" t="n"/>
      <c r="AL2668" s="47" t="n"/>
      <c r="AM2668" s="47" t="n"/>
      <c r="AN2668" s="53" t="n"/>
      <c r="AO2668" s="47" t="n"/>
      <c r="AP2668" s="47" t="n"/>
      <c r="AQ2668" s="47" t="n"/>
      <c r="AR2668" s="47" t="n"/>
      <c r="AS2668" s="47" t="n"/>
      <c r="AT2668" s="47" t="n"/>
      <c r="AU2668" s="47" t="n"/>
      <c r="AV2668" s="47" t="n"/>
      <c r="AW2668" s="52" t="n"/>
    </row>
    <row r="2669">
      <c r="A2669" s="48" t="n"/>
      <c r="B2669" s="52" t="n"/>
      <c r="C2669" s="47">
        <f>IF(B2669="","",IFERROR(INDEX('隊員マスタ'!$B$5:$B$204,MATCH(B2669&amp;"",'隊員マスタ'!$F$5:$F$204,0)),IF(AK2669="","番号なし",AK2669)))</f>
        <v/>
      </c>
      <c r="D2669" s="47" t="n"/>
      <c r="E2669" s="47" t="n"/>
      <c r="F2669" s="47" t="n"/>
      <c r="G2669" s="47" t="n"/>
      <c r="H2669" s="47" t="n"/>
      <c r="I2669" s="47" t="n"/>
      <c r="J2669" s="47" t="n"/>
      <c r="K2669" s="47" t="n"/>
      <c r="L2669" s="47" t="n"/>
      <c r="M2669" s="47" t="n"/>
      <c r="N2669" s="47" t="n"/>
      <c r="O2669" s="47" t="n"/>
      <c r="P2669" s="47" t="n"/>
      <c r="Q2669" s="47" t="n"/>
      <c r="R2669" s="47" t="n"/>
      <c r="S2669" s="47" t="n"/>
      <c r="T2669" s="47" t="n"/>
      <c r="U2669" s="53" t="n"/>
      <c r="V2669" s="53" t="n"/>
      <c r="W2669" s="47" t="n"/>
      <c r="X2669" s="47" t="n"/>
      <c r="Y2669" s="47" t="n"/>
      <c r="Z2669" s="47" t="n"/>
      <c r="AA2669" s="47" t="n"/>
      <c r="AB2669" s="47" t="n"/>
      <c r="AC2669" s="47" t="n"/>
      <c r="AD2669" s="47" t="n"/>
      <c r="AE2669" s="47" t="n"/>
      <c r="AF2669" s="20">
        <f>IF(A2669="","",YEAR(EDATE(A2669,-3)))</f>
        <v/>
      </c>
      <c r="AG2669" s="20">
        <f>IF(OR(B2669="",'経歴簿'!$C$4=""),"",IF(B2669&amp;""='経歴簿'!$C$4&amp;"",MAX($AG$4:AG2668)+1,""))</f>
        <v/>
      </c>
      <c r="AH2669" s="20">
        <f>IF(A2669="",0,IF(AND(OR('CSV抽出'!$C$4="",A2669&gt;='CSV抽出'!$C$4),OR('CSV抽出'!$C$5="",A2669&lt;='CSV抽出'!$C$5),OR('CSV抽出'!$C$6="すべて",'CSV抽出'!$C$6="",D2669='CSV抽出'!$C$6),OR('CSV抽出'!$C$7="",B2669&amp;""='CSV抽出'!$C$7&amp;"")),1,0))</f>
        <v/>
      </c>
      <c r="AI2669" s="20">
        <f>IF(AH2669=1,SUM($AH$5:AH2669),"")</f>
        <v/>
      </c>
      <c r="AJ2669" s="20">
        <f>IF(OR(S2669="",'報告書'!$C$4=""),"",IF(S2669&amp;""='報告書'!$C$4&amp;"",COUNTIF($S$5:S2669,'報告書'!$C$4),""))</f>
        <v/>
      </c>
      <c r="AK2669" s="20" t="n"/>
      <c r="AL2669" s="47" t="n"/>
      <c r="AM2669" s="47" t="n"/>
      <c r="AN2669" s="53" t="n"/>
      <c r="AO2669" s="47" t="n"/>
      <c r="AP2669" s="47" t="n"/>
      <c r="AQ2669" s="47" t="n"/>
      <c r="AR2669" s="47" t="n"/>
      <c r="AS2669" s="47" t="n"/>
      <c r="AT2669" s="47" t="n"/>
      <c r="AU2669" s="47" t="n"/>
      <c r="AV2669" s="47" t="n"/>
      <c r="AW2669" s="52" t="n"/>
    </row>
    <row r="2670">
      <c r="A2670" s="48" t="n"/>
      <c r="B2670" s="52" t="n"/>
      <c r="C2670" s="47">
        <f>IF(B2670="","",IFERROR(INDEX('隊員マスタ'!$B$5:$B$204,MATCH(B2670&amp;"",'隊員マスタ'!$F$5:$F$204,0)),IF(AK2670="","番号なし",AK2670)))</f>
        <v/>
      </c>
      <c r="D2670" s="47" t="n"/>
      <c r="E2670" s="47" t="n"/>
      <c r="F2670" s="47" t="n"/>
      <c r="G2670" s="47" t="n"/>
      <c r="H2670" s="47" t="n"/>
      <c r="I2670" s="47" t="n"/>
      <c r="J2670" s="47" t="n"/>
      <c r="K2670" s="47" t="n"/>
      <c r="L2670" s="47" t="n"/>
      <c r="M2670" s="47" t="n"/>
      <c r="N2670" s="47" t="n"/>
      <c r="O2670" s="47" t="n"/>
      <c r="P2670" s="47" t="n"/>
      <c r="Q2670" s="47" t="n"/>
      <c r="R2670" s="47" t="n"/>
      <c r="S2670" s="47" t="n"/>
      <c r="T2670" s="47" t="n"/>
      <c r="U2670" s="53" t="n"/>
      <c r="V2670" s="53" t="n"/>
      <c r="W2670" s="47" t="n"/>
      <c r="X2670" s="47" t="n"/>
      <c r="Y2670" s="47" t="n"/>
      <c r="Z2670" s="47" t="n"/>
      <c r="AA2670" s="47" t="n"/>
      <c r="AB2670" s="47" t="n"/>
      <c r="AC2670" s="47" t="n"/>
      <c r="AD2670" s="47" t="n"/>
      <c r="AE2670" s="47" t="n"/>
      <c r="AF2670" s="20">
        <f>IF(A2670="","",YEAR(EDATE(A2670,-3)))</f>
        <v/>
      </c>
      <c r="AG2670" s="20">
        <f>IF(OR(B2670="",'経歴簿'!$C$4=""),"",IF(B2670&amp;""='経歴簿'!$C$4&amp;"",MAX($AG$4:AG2669)+1,""))</f>
        <v/>
      </c>
      <c r="AH2670" s="20">
        <f>IF(A2670="",0,IF(AND(OR('CSV抽出'!$C$4="",A2670&gt;='CSV抽出'!$C$4),OR('CSV抽出'!$C$5="",A2670&lt;='CSV抽出'!$C$5),OR('CSV抽出'!$C$6="すべて",'CSV抽出'!$C$6="",D2670='CSV抽出'!$C$6),OR('CSV抽出'!$C$7="",B2670&amp;""='CSV抽出'!$C$7&amp;"")),1,0))</f>
        <v/>
      </c>
      <c r="AI2670" s="20">
        <f>IF(AH2670=1,SUM($AH$5:AH2670),"")</f>
        <v/>
      </c>
      <c r="AJ2670" s="20">
        <f>IF(OR(S2670="",'報告書'!$C$4=""),"",IF(S2670&amp;""='報告書'!$C$4&amp;"",COUNTIF($S$5:S2670,'報告書'!$C$4),""))</f>
        <v/>
      </c>
      <c r="AK2670" s="20" t="n"/>
      <c r="AL2670" s="47" t="n"/>
      <c r="AM2670" s="47" t="n"/>
      <c r="AN2670" s="53" t="n"/>
      <c r="AO2670" s="47" t="n"/>
      <c r="AP2670" s="47" t="n"/>
      <c r="AQ2670" s="47" t="n"/>
      <c r="AR2670" s="47" t="n"/>
      <c r="AS2670" s="47" t="n"/>
      <c r="AT2670" s="47" t="n"/>
      <c r="AU2670" s="47" t="n"/>
      <c r="AV2670" s="47" t="n"/>
      <c r="AW2670" s="52" t="n"/>
    </row>
    <row r="2671">
      <c r="A2671" s="48" t="n"/>
      <c r="B2671" s="52" t="n"/>
      <c r="C2671" s="47">
        <f>IF(B2671="","",IFERROR(INDEX('隊員マスタ'!$B$5:$B$204,MATCH(B2671&amp;"",'隊員マスタ'!$F$5:$F$204,0)),IF(AK2671="","番号なし",AK2671)))</f>
        <v/>
      </c>
      <c r="D2671" s="47" t="n"/>
      <c r="E2671" s="47" t="n"/>
      <c r="F2671" s="47" t="n"/>
      <c r="G2671" s="47" t="n"/>
      <c r="H2671" s="47" t="n"/>
      <c r="I2671" s="47" t="n"/>
      <c r="J2671" s="47" t="n"/>
      <c r="K2671" s="47" t="n"/>
      <c r="L2671" s="47" t="n"/>
      <c r="M2671" s="47" t="n"/>
      <c r="N2671" s="47" t="n"/>
      <c r="O2671" s="47" t="n"/>
      <c r="P2671" s="47" t="n"/>
      <c r="Q2671" s="47" t="n"/>
      <c r="R2671" s="47" t="n"/>
      <c r="S2671" s="47" t="n"/>
      <c r="T2671" s="47" t="n"/>
      <c r="U2671" s="53" t="n"/>
      <c r="V2671" s="53" t="n"/>
      <c r="W2671" s="47" t="n"/>
      <c r="X2671" s="47" t="n"/>
      <c r="Y2671" s="47" t="n"/>
      <c r="Z2671" s="47" t="n"/>
      <c r="AA2671" s="47" t="n"/>
      <c r="AB2671" s="47" t="n"/>
      <c r="AC2671" s="47" t="n"/>
      <c r="AD2671" s="47" t="n"/>
      <c r="AE2671" s="47" t="n"/>
      <c r="AF2671" s="20">
        <f>IF(A2671="","",YEAR(EDATE(A2671,-3)))</f>
        <v/>
      </c>
      <c r="AG2671" s="20">
        <f>IF(OR(B2671="",'経歴簿'!$C$4=""),"",IF(B2671&amp;""='経歴簿'!$C$4&amp;"",MAX($AG$4:AG2670)+1,""))</f>
        <v/>
      </c>
      <c r="AH2671" s="20">
        <f>IF(A2671="",0,IF(AND(OR('CSV抽出'!$C$4="",A2671&gt;='CSV抽出'!$C$4),OR('CSV抽出'!$C$5="",A2671&lt;='CSV抽出'!$C$5),OR('CSV抽出'!$C$6="すべて",'CSV抽出'!$C$6="",D2671='CSV抽出'!$C$6),OR('CSV抽出'!$C$7="",B2671&amp;""='CSV抽出'!$C$7&amp;"")),1,0))</f>
        <v/>
      </c>
      <c r="AI2671" s="20">
        <f>IF(AH2671=1,SUM($AH$5:AH2671),"")</f>
        <v/>
      </c>
      <c r="AJ2671" s="20">
        <f>IF(OR(S2671="",'報告書'!$C$4=""),"",IF(S2671&amp;""='報告書'!$C$4&amp;"",COUNTIF($S$5:S2671,'報告書'!$C$4),""))</f>
        <v/>
      </c>
      <c r="AK2671" s="20" t="n"/>
      <c r="AL2671" s="47" t="n"/>
      <c r="AM2671" s="47" t="n"/>
      <c r="AN2671" s="53" t="n"/>
      <c r="AO2671" s="47" t="n"/>
      <c r="AP2671" s="47" t="n"/>
      <c r="AQ2671" s="47" t="n"/>
      <c r="AR2671" s="47" t="n"/>
      <c r="AS2671" s="47" t="n"/>
      <c r="AT2671" s="47" t="n"/>
      <c r="AU2671" s="47" t="n"/>
      <c r="AV2671" s="47" t="n"/>
      <c r="AW2671" s="52" t="n"/>
    </row>
    <row r="2672">
      <c r="A2672" s="48" t="n"/>
      <c r="B2672" s="52" t="n"/>
      <c r="C2672" s="47">
        <f>IF(B2672="","",IFERROR(INDEX('隊員マスタ'!$B$5:$B$204,MATCH(B2672&amp;"",'隊員マスタ'!$F$5:$F$204,0)),IF(AK2672="","番号なし",AK2672)))</f>
        <v/>
      </c>
      <c r="D2672" s="47" t="n"/>
      <c r="E2672" s="47" t="n"/>
      <c r="F2672" s="47" t="n"/>
      <c r="G2672" s="47" t="n"/>
      <c r="H2672" s="47" t="n"/>
      <c r="I2672" s="47" t="n"/>
      <c r="J2672" s="47" t="n"/>
      <c r="K2672" s="47" t="n"/>
      <c r="L2672" s="47" t="n"/>
      <c r="M2672" s="47" t="n"/>
      <c r="N2672" s="47" t="n"/>
      <c r="O2672" s="47" t="n"/>
      <c r="P2672" s="47" t="n"/>
      <c r="Q2672" s="47" t="n"/>
      <c r="R2672" s="47" t="n"/>
      <c r="S2672" s="47" t="n"/>
      <c r="T2672" s="47" t="n"/>
      <c r="U2672" s="53" t="n"/>
      <c r="V2672" s="53" t="n"/>
      <c r="W2672" s="47" t="n"/>
      <c r="X2672" s="47" t="n"/>
      <c r="Y2672" s="47" t="n"/>
      <c r="Z2672" s="47" t="n"/>
      <c r="AA2672" s="47" t="n"/>
      <c r="AB2672" s="47" t="n"/>
      <c r="AC2672" s="47" t="n"/>
      <c r="AD2672" s="47" t="n"/>
      <c r="AE2672" s="47" t="n"/>
      <c r="AF2672" s="20">
        <f>IF(A2672="","",YEAR(EDATE(A2672,-3)))</f>
        <v/>
      </c>
      <c r="AG2672" s="20">
        <f>IF(OR(B2672="",'経歴簿'!$C$4=""),"",IF(B2672&amp;""='経歴簿'!$C$4&amp;"",MAX($AG$4:AG2671)+1,""))</f>
        <v/>
      </c>
      <c r="AH2672" s="20">
        <f>IF(A2672="",0,IF(AND(OR('CSV抽出'!$C$4="",A2672&gt;='CSV抽出'!$C$4),OR('CSV抽出'!$C$5="",A2672&lt;='CSV抽出'!$C$5),OR('CSV抽出'!$C$6="すべて",'CSV抽出'!$C$6="",D2672='CSV抽出'!$C$6),OR('CSV抽出'!$C$7="",B2672&amp;""='CSV抽出'!$C$7&amp;"")),1,0))</f>
        <v/>
      </c>
      <c r="AI2672" s="20">
        <f>IF(AH2672=1,SUM($AH$5:AH2672),"")</f>
        <v/>
      </c>
      <c r="AJ2672" s="20">
        <f>IF(OR(S2672="",'報告書'!$C$4=""),"",IF(S2672&amp;""='報告書'!$C$4&amp;"",COUNTIF($S$5:S2672,'報告書'!$C$4),""))</f>
        <v/>
      </c>
      <c r="AK2672" s="20" t="n"/>
      <c r="AL2672" s="47" t="n"/>
      <c r="AM2672" s="47" t="n"/>
      <c r="AN2672" s="53" t="n"/>
      <c r="AO2672" s="47" t="n"/>
      <c r="AP2672" s="47" t="n"/>
      <c r="AQ2672" s="47" t="n"/>
      <c r="AR2672" s="47" t="n"/>
      <c r="AS2672" s="47" t="n"/>
      <c r="AT2672" s="47" t="n"/>
      <c r="AU2672" s="47" t="n"/>
      <c r="AV2672" s="47" t="n"/>
      <c r="AW2672" s="52" t="n"/>
    </row>
    <row r="2673">
      <c r="A2673" s="48" t="n"/>
      <c r="B2673" s="52" t="n"/>
      <c r="C2673" s="47">
        <f>IF(B2673="","",IFERROR(INDEX('隊員マスタ'!$B$5:$B$204,MATCH(B2673&amp;"",'隊員マスタ'!$F$5:$F$204,0)),IF(AK2673="","番号なし",AK2673)))</f>
        <v/>
      </c>
      <c r="D2673" s="47" t="n"/>
      <c r="E2673" s="47" t="n"/>
      <c r="F2673" s="47" t="n"/>
      <c r="G2673" s="47" t="n"/>
      <c r="H2673" s="47" t="n"/>
      <c r="I2673" s="47" t="n"/>
      <c r="J2673" s="47" t="n"/>
      <c r="K2673" s="47" t="n"/>
      <c r="L2673" s="47" t="n"/>
      <c r="M2673" s="47" t="n"/>
      <c r="N2673" s="47" t="n"/>
      <c r="O2673" s="47" t="n"/>
      <c r="P2673" s="47" t="n"/>
      <c r="Q2673" s="47" t="n"/>
      <c r="R2673" s="47" t="n"/>
      <c r="S2673" s="47" t="n"/>
      <c r="T2673" s="47" t="n"/>
      <c r="U2673" s="53" t="n"/>
      <c r="V2673" s="53" t="n"/>
      <c r="W2673" s="47" t="n"/>
      <c r="X2673" s="47" t="n"/>
      <c r="Y2673" s="47" t="n"/>
      <c r="Z2673" s="47" t="n"/>
      <c r="AA2673" s="47" t="n"/>
      <c r="AB2673" s="47" t="n"/>
      <c r="AC2673" s="47" t="n"/>
      <c r="AD2673" s="47" t="n"/>
      <c r="AE2673" s="47" t="n"/>
      <c r="AF2673" s="20">
        <f>IF(A2673="","",YEAR(EDATE(A2673,-3)))</f>
        <v/>
      </c>
      <c r="AG2673" s="20">
        <f>IF(OR(B2673="",'経歴簿'!$C$4=""),"",IF(B2673&amp;""='経歴簿'!$C$4&amp;"",MAX($AG$4:AG2672)+1,""))</f>
        <v/>
      </c>
      <c r="AH2673" s="20">
        <f>IF(A2673="",0,IF(AND(OR('CSV抽出'!$C$4="",A2673&gt;='CSV抽出'!$C$4),OR('CSV抽出'!$C$5="",A2673&lt;='CSV抽出'!$C$5),OR('CSV抽出'!$C$6="すべて",'CSV抽出'!$C$6="",D2673='CSV抽出'!$C$6),OR('CSV抽出'!$C$7="",B2673&amp;""='CSV抽出'!$C$7&amp;"")),1,0))</f>
        <v/>
      </c>
      <c r="AI2673" s="20">
        <f>IF(AH2673=1,SUM($AH$5:AH2673),"")</f>
        <v/>
      </c>
      <c r="AJ2673" s="20">
        <f>IF(OR(S2673="",'報告書'!$C$4=""),"",IF(S2673&amp;""='報告書'!$C$4&amp;"",COUNTIF($S$5:S2673,'報告書'!$C$4),""))</f>
        <v/>
      </c>
      <c r="AK2673" s="20" t="n"/>
      <c r="AL2673" s="47" t="n"/>
      <c r="AM2673" s="47" t="n"/>
      <c r="AN2673" s="53" t="n"/>
      <c r="AO2673" s="47" t="n"/>
      <c r="AP2673" s="47" t="n"/>
      <c r="AQ2673" s="47" t="n"/>
      <c r="AR2673" s="47" t="n"/>
      <c r="AS2673" s="47" t="n"/>
      <c r="AT2673" s="47" t="n"/>
      <c r="AU2673" s="47" t="n"/>
      <c r="AV2673" s="47" t="n"/>
      <c r="AW2673" s="52" t="n"/>
    </row>
    <row r="2674">
      <c r="A2674" s="48" t="n"/>
      <c r="B2674" s="52" t="n"/>
      <c r="C2674" s="47">
        <f>IF(B2674="","",IFERROR(INDEX('隊員マスタ'!$B$5:$B$204,MATCH(B2674&amp;"",'隊員マスタ'!$F$5:$F$204,0)),IF(AK2674="","番号なし",AK2674)))</f>
        <v/>
      </c>
      <c r="D2674" s="47" t="n"/>
      <c r="E2674" s="47" t="n"/>
      <c r="F2674" s="47" t="n"/>
      <c r="G2674" s="47" t="n"/>
      <c r="H2674" s="47" t="n"/>
      <c r="I2674" s="47" t="n"/>
      <c r="J2674" s="47" t="n"/>
      <c r="K2674" s="47" t="n"/>
      <c r="L2674" s="47" t="n"/>
      <c r="M2674" s="47" t="n"/>
      <c r="N2674" s="47" t="n"/>
      <c r="O2674" s="47" t="n"/>
      <c r="P2674" s="47" t="n"/>
      <c r="Q2674" s="47" t="n"/>
      <c r="R2674" s="47" t="n"/>
      <c r="S2674" s="47" t="n"/>
      <c r="T2674" s="47" t="n"/>
      <c r="U2674" s="53" t="n"/>
      <c r="V2674" s="53" t="n"/>
      <c r="W2674" s="47" t="n"/>
      <c r="X2674" s="47" t="n"/>
      <c r="Y2674" s="47" t="n"/>
      <c r="Z2674" s="47" t="n"/>
      <c r="AA2674" s="47" t="n"/>
      <c r="AB2674" s="47" t="n"/>
      <c r="AC2674" s="47" t="n"/>
      <c r="AD2674" s="47" t="n"/>
      <c r="AE2674" s="47" t="n"/>
      <c r="AF2674" s="20">
        <f>IF(A2674="","",YEAR(EDATE(A2674,-3)))</f>
        <v/>
      </c>
      <c r="AG2674" s="20">
        <f>IF(OR(B2674="",'経歴簿'!$C$4=""),"",IF(B2674&amp;""='経歴簿'!$C$4&amp;"",MAX($AG$4:AG2673)+1,""))</f>
        <v/>
      </c>
      <c r="AH2674" s="20">
        <f>IF(A2674="",0,IF(AND(OR('CSV抽出'!$C$4="",A2674&gt;='CSV抽出'!$C$4),OR('CSV抽出'!$C$5="",A2674&lt;='CSV抽出'!$C$5),OR('CSV抽出'!$C$6="すべて",'CSV抽出'!$C$6="",D2674='CSV抽出'!$C$6),OR('CSV抽出'!$C$7="",B2674&amp;""='CSV抽出'!$C$7&amp;"")),1,0))</f>
        <v/>
      </c>
      <c r="AI2674" s="20">
        <f>IF(AH2674=1,SUM($AH$5:AH2674),"")</f>
        <v/>
      </c>
      <c r="AJ2674" s="20">
        <f>IF(OR(S2674="",'報告書'!$C$4=""),"",IF(S2674&amp;""='報告書'!$C$4&amp;"",COUNTIF($S$5:S2674,'報告書'!$C$4),""))</f>
        <v/>
      </c>
      <c r="AK2674" s="20" t="n"/>
      <c r="AL2674" s="47" t="n"/>
      <c r="AM2674" s="47" t="n"/>
      <c r="AN2674" s="53" t="n"/>
      <c r="AO2674" s="47" t="n"/>
      <c r="AP2674" s="47" t="n"/>
      <c r="AQ2674" s="47" t="n"/>
      <c r="AR2674" s="47" t="n"/>
      <c r="AS2674" s="47" t="n"/>
      <c r="AT2674" s="47" t="n"/>
      <c r="AU2674" s="47" t="n"/>
      <c r="AV2674" s="47" t="n"/>
      <c r="AW2674" s="52" t="n"/>
    </row>
    <row r="2675">
      <c r="A2675" s="48" t="n"/>
      <c r="B2675" s="52" t="n"/>
      <c r="C2675" s="47">
        <f>IF(B2675="","",IFERROR(INDEX('隊員マスタ'!$B$5:$B$204,MATCH(B2675&amp;"",'隊員マスタ'!$F$5:$F$204,0)),IF(AK2675="","番号なし",AK2675)))</f>
        <v/>
      </c>
      <c r="D2675" s="47" t="n"/>
      <c r="E2675" s="47" t="n"/>
      <c r="F2675" s="47" t="n"/>
      <c r="G2675" s="47" t="n"/>
      <c r="H2675" s="47" t="n"/>
      <c r="I2675" s="47" t="n"/>
      <c r="J2675" s="47" t="n"/>
      <c r="K2675" s="47" t="n"/>
      <c r="L2675" s="47" t="n"/>
      <c r="M2675" s="47" t="n"/>
      <c r="N2675" s="47" t="n"/>
      <c r="O2675" s="47" t="n"/>
      <c r="P2675" s="47" t="n"/>
      <c r="Q2675" s="47" t="n"/>
      <c r="R2675" s="47" t="n"/>
      <c r="S2675" s="47" t="n"/>
      <c r="T2675" s="47" t="n"/>
      <c r="U2675" s="53" t="n"/>
      <c r="V2675" s="53" t="n"/>
      <c r="W2675" s="47" t="n"/>
      <c r="X2675" s="47" t="n"/>
      <c r="Y2675" s="47" t="n"/>
      <c r="Z2675" s="47" t="n"/>
      <c r="AA2675" s="47" t="n"/>
      <c r="AB2675" s="47" t="n"/>
      <c r="AC2675" s="47" t="n"/>
      <c r="AD2675" s="47" t="n"/>
      <c r="AE2675" s="47" t="n"/>
      <c r="AF2675" s="20">
        <f>IF(A2675="","",YEAR(EDATE(A2675,-3)))</f>
        <v/>
      </c>
      <c r="AG2675" s="20">
        <f>IF(OR(B2675="",'経歴簿'!$C$4=""),"",IF(B2675&amp;""='経歴簿'!$C$4&amp;"",MAX($AG$4:AG2674)+1,""))</f>
        <v/>
      </c>
      <c r="AH2675" s="20">
        <f>IF(A2675="",0,IF(AND(OR('CSV抽出'!$C$4="",A2675&gt;='CSV抽出'!$C$4),OR('CSV抽出'!$C$5="",A2675&lt;='CSV抽出'!$C$5),OR('CSV抽出'!$C$6="すべて",'CSV抽出'!$C$6="",D2675='CSV抽出'!$C$6),OR('CSV抽出'!$C$7="",B2675&amp;""='CSV抽出'!$C$7&amp;"")),1,0))</f>
        <v/>
      </c>
      <c r="AI2675" s="20">
        <f>IF(AH2675=1,SUM($AH$5:AH2675),"")</f>
        <v/>
      </c>
      <c r="AJ2675" s="20">
        <f>IF(OR(S2675="",'報告書'!$C$4=""),"",IF(S2675&amp;""='報告書'!$C$4&amp;"",COUNTIF($S$5:S2675,'報告書'!$C$4),""))</f>
        <v/>
      </c>
      <c r="AK2675" s="20" t="n"/>
      <c r="AL2675" s="47" t="n"/>
      <c r="AM2675" s="47" t="n"/>
      <c r="AN2675" s="53" t="n"/>
      <c r="AO2675" s="47" t="n"/>
      <c r="AP2675" s="47" t="n"/>
      <c r="AQ2675" s="47" t="n"/>
      <c r="AR2675" s="47" t="n"/>
      <c r="AS2675" s="47" t="n"/>
      <c r="AT2675" s="47" t="n"/>
      <c r="AU2675" s="47" t="n"/>
      <c r="AV2675" s="47" t="n"/>
      <c r="AW2675" s="52" t="n"/>
    </row>
    <row r="2676">
      <c r="A2676" s="48" t="n"/>
      <c r="B2676" s="52" t="n"/>
      <c r="C2676" s="47">
        <f>IF(B2676="","",IFERROR(INDEX('隊員マスタ'!$B$5:$B$204,MATCH(B2676&amp;"",'隊員マスタ'!$F$5:$F$204,0)),IF(AK2676="","番号なし",AK2676)))</f>
        <v/>
      </c>
      <c r="D2676" s="47" t="n"/>
      <c r="E2676" s="47" t="n"/>
      <c r="F2676" s="47" t="n"/>
      <c r="G2676" s="47" t="n"/>
      <c r="H2676" s="47" t="n"/>
      <c r="I2676" s="47" t="n"/>
      <c r="J2676" s="47" t="n"/>
      <c r="K2676" s="47" t="n"/>
      <c r="L2676" s="47" t="n"/>
      <c r="M2676" s="47" t="n"/>
      <c r="N2676" s="47" t="n"/>
      <c r="O2676" s="47" t="n"/>
      <c r="P2676" s="47" t="n"/>
      <c r="Q2676" s="47" t="n"/>
      <c r="R2676" s="47" t="n"/>
      <c r="S2676" s="47" t="n"/>
      <c r="T2676" s="47" t="n"/>
      <c r="U2676" s="53" t="n"/>
      <c r="V2676" s="53" t="n"/>
      <c r="W2676" s="47" t="n"/>
      <c r="X2676" s="47" t="n"/>
      <c r="Y2676" s="47" t="n"/>
      <c r="Z2676" s="47" t="n"/>
      <c r="AA2676" s="47" t="n"/>
      <c r="AB2676" s="47" t="n"/>
      <c r="AC2676" s="47" t="n"/>
      <c r="AD2676" s="47" t="n"/>
      <c r="AE2676" s="47" t="n"/>
      <c r="AF2676" s="20">
        <f>IF(A2676="","",YEAR(EDATE(A2676,-3)))</f>
        <v/>
      </c>
      <c r="AG2676" s="20">
        <f>IF(OR(B2676="",'経歴簿'!$C$4=""),"",IF(B2676&amp;""='経歴簿'!$C$4&amp;"",MAX($AG$4:AG2675)+1,""))</f>
        <v/>
      </c>
      <c r="AH2676" s="20">
        <f>IF(A2676="",0,IF(AND(OR('CSV抽出'!$C$4="",A2676&gt;='CSV抽出'!$C$4),OR('CSV抽出'!$C$5="",A2676&lt;='CSV抽出'!$C$5),OR('CSV抽出'!$C$6="すべて",'CSV抽出'!$C$6="",D2676='CSV抽出'!$C$6),OR('CSV抽出'!$C$7="",B2676&amp;""='CSV抽出'!$C$7&amp;"")),1,0))</f>
        <v/>
      </c>
      <c r="AI2676" s="20">
        <f>IF(AH2676=1,SUM($AH$5:AH2676),"")</f>
        <v/>
      </c>
      <c r="AJ2676" s="20">
        <f>IF(OR(S2676="",'報告書'!$C$4=""),"",IF(S2676&amp;""='報告書'!$C$4&amp;"",COUNTIF($S$5:S2676,'報告書'!$C$4),""))</f>
        <v/>
      </c>
      <c r="AK2676" s="20" t="n"/>
      <c r="AL2676" s="47" t="n"/>
      <c r="AM2676" s="47" t="n"/>
      <c r="AN2676" s="53" t="n"/>
      <c r="AO2676" s="47" t="n"/>
      <c r="AP2676" s="47" t="n"/>
      <c r="AQ2676" s="47" t="n"/>
      <c r="AR2676" s="47" t="n"/>
      <c r="AS2676" s="47" t="n"/>
      <c r="AT2676" s="47" t="n"/>
      <c r="AU2676" s="47" t="n"/>
      <c r="AV2676" s="47" t="n"/>
      <c r="AW2676" s="52" t="n"/>
    </row>
    <row r="2677">
      <c r="A2677" s="48" t="n"/>
      <c r="B2677" s="52" t="n"/>
      <c r="C2677" s="47">
        <f>IF(B2677="","",IFERROR(INDEX('隊員マスタ'!$B$5:$B$204,MATCH(B2677&amp;"",'隊員マスタ'!$F$5:$F$204,0)),IF(AK2677="","番号なし",AK2677)))</f>
        <v/>
      </c>
      <c r="D2677" s="47" t="n"/>
      <c r="E2677" s="47" t="n"/>
      <c r="F2677" s="47" t="n"/>
      <c r="G2677" s="47" t="n"/>
      <c r="H2677" s="47" t="n"/>
      <c r="I2677" s="47" t="n"/>
      <c r="J2677" s="47" t="n"/>
      <c r="K2677" s="47" t="n"/>
      <c r="L2677" s="47" t="n"/>
      <c r="M2677" s="47" t="n"/>
      <c r="N2677" s="47" t="n"/>
      <c r="O2677" s="47" t="n"/>
      <c r="P2677" s="47" t="n"/>
      <c r="Q2677" s="47" t="n"/>
      <c r="R2677" s="47" t="n"/>
      <c r="S2677" s="47" t="n"/>
      <c r="T2677" s="47" t="n"/>
      <c r="U2677" s="53" t="n"/>
      <c r="V2677" s="53" t="n"/>
      <c r="W2677" s="47" t="n"/>
      <c r="X2677" s="47" t="n"/>
      <c r="Y2677" s="47" t="n"/>
      <c r="Z2677" s="47" t="n"/>
      <c r="AA2677" s="47" t="n"/>
      <c r="AB2677" s="47" t="n"/>
      <c r="AC2677" s="47" t="n"/>
      <c r="AD2677" s="47" t="n"/>
      <c r="AE2677" s="47" t="n"/>
      <c r="AF2677" s="20">
        <f>IF(A2677="","",YEAR(EDATE(A2677,-3)))</f>
        <v/>
      </c>
      <c r="AG2677" s="20">
        <f>IF(OR(B2677="",'経歴簿'!$C$4=""),"",IF(B2677&amp;""='経歴簿'!$C$4&amp;"",MAX($AG$4:AG2676)+1,""))</f>
        <v/>
      </c>
      <c r="AH2677" s="20">
        <f>IF(A2677="",0,IF(AND(OR('CSV抽出'!$C$4="",A2677&gt;='CSV抽出'!$C$4),OR('CSV抽出'!$C$5="",A2677&lt;='CSV抽出'!$C$5),OR('CSV抽出'!$C$6="すべて",'CSV抽出'!$C$6="",D2677='CSV抽出'!$C$6),OR('CSV抽出'!$C$7="",B2677&amp;""='CSV抽出'!$C$7&amp;"")),1,0))</f>
        <v/>
      </c>
      <c r="AI2677" s="20">
        <f>IF(AH2677=1,SUM($AH$5:AH2677),"")</f>
        <v/>
      </c>
      <c r="AJ2677" s="20">
        <f>IF(OR(S2677="",'報告書'!$C$4=""),"",IF(S2677&amp;""='報告書'!$C$4&amp;"",COUNTIF($S$5:S2677,'報告書'!$C$4),""))</f>
        <v/>
      </c>
      <c r="AK2677" s="20" t="n"/>
      <c r="AL2677" s="47" t="n"/>
      <c r="AM2677" s="47" t="n"/>
      <c r="AN2677" s="53" t="n"/>
      <c r="AO2677" s="47" t="n"/>
      <c r="AP2677" s="47" t="n"/>
      <c r="AQ2677" s="47" t="n"/>
      <c r="AR2677" s="47" t="n"/>
      <c r="AS2677" s="47" t="n"/>
      <c r="AT2677" s="47" t="n"/>
      <c r="AU2677" s="47" t="n"/>
      <c r="AV2677" s="47" t="n"/>
      <c r="AW2677" s="52" t="n"/>
    </row>
    <row r="2678">
      <c r="A2678" s="48" t="n"/>
      <c r="B2678" s="52" t="n"/>
      <c r="C2678" s="47">
        <f>IF(B2678="","",IFERROR(INDEX('隊員マスタ'!$B$5:$B$204,MATCH(B2678&amp;"",'隊員マスタ'!$F$5:$F$204,0)),IF(AK2678="","番号なし",AK2678)))</f>
        <v/>
      </c>
      <c r="D2678" s="47" t="n"/>
      <c r="E2678" s="47" t="n"/>
      <c r="F2678" s="47" t="n"/>
      <c r="G2678" s="47" t="n"/>
      <c r="H2678" s="47" t="n"/>
      <c r="I2678" s="47" t="n"/>
      <c r="J2678" s="47" t="n"/>
      <c r="K2678" s="47" t="n"/>
      <c r="L2678" s="47" t="n"/>
      <c r="M2678" s="47" t="n"/>
      <c r="N2678" s="47" t="n"/>
      <c r="O2678" s="47" t="n"/>
      <c r="P2678" s="47" t="n"/>
      <c r="Q2678" s="47" t="n"/>
      <c r="R2678" s="47" t="n"/>
      <c r="S2678" s="47" t="n"/>
      <c r="T2678" s="47" t="n"/>
      <c r="U2678" s="53" t="n"/>
      <c r="V2678" s="53" t="n"/>
      <c r="W2678" s="47" t="n"/>
      <c r="X2678" s="47" t="n"/>
      <c r="Y2678" s="47" t="n"/>
      <c r="Z2678" s="47" t="n"/>
      <c r="AA2678" s="47" t="n"/>
      <c r="AB2678" s="47" t="n"/>
      <c r="AC2678" s="47" t="n"/>
      <c r="AD2678" s="47" t="n"/>
      <c r="AE2678" s="47" t="n"/>
      <c r="AF2678" s="20">
        <f>IF(A2678="","",YEAR(EDATE(A2678,-3)))</f>
        <v/>
      </c>
      <c r="AG2678" s="20">
        <f>IF(OR(B2678="",'経歴簿'!$C$4=""),"",IF(B2678&amp;""='経歴簿'!$C$4&amp;"",MAX($AG$4:AG2677)+1,""))</f>
        <v/>
      </c>
      <c r="AH2678" s="20">
        <f>IF(A2678="",0,IF(AND(OR('CSV抽出'!$C$4="",A2678&gt;='CSV抽出'!$C$4),OR('CSV抽出'!$C$5="",A2678&lt;='CSV抽出'!$C$5),OR('CSV抽出'!$C$6="すべて",'CSV抽出'!$C$6="",D2678='CSV抽出'!$C$6),OR('CSV抽出'!$C$7="",B2678&amp;""='CSV抽出'!$C$7&amp;"")),1,0))</f>
        <v/>
      </c>
      <c r="AI2678" s="20">
        <f>IF(AH2678=1,SUM($AH$5:AH2678),"")</f>
        <v/>
      </c>
      <c r="AJ2678" s="20">
        <f>IF(OR(S2678="",'報告書'!$C$4=""),"",IF(S2678&amp;""='報告書'!$C$4&amp;"",COUNTIF($S$5:S2678,'報告書'!$C$4),""))</f>
        <v/>
      </c>
      <c r="AK2678" s="20" t="n"/>
      <c r="AL2678" s="47" t="n"/>
      <c r="AM2678" s="47" t="n"/>
      <c r="AN2678" s="53" t="n"/>
      <c r="AO2678" s="47" t="n"/>
      <c r="AP2678" s="47" t="n"/>
      <c r="AQ2678" s="47" t="n"/>
      <c r="AR2678" s="47" t="n"/>
      <c r="AS2678" s="47" t="n"/>
      <c r="AT2678" s="47" t="n"/>
      <c r="AU2678" s="47" t="n"/>
      <c r="AV2678" s="47" t="n"/>
      <c r="AW2678" s="52" t="n"/>
    </row>
    <row r="2679">
      <c r="A2679" s="48" t="n"/>
      <c r="B2679" s="52" t="n"/>
      <c r="C2679" s="47">
        <f>IF(B2679="","",IFERROR(INDEX('隊員マスタ'!$B$5:$B$204,MATCH(B2679&amp;"",'隊員マスタ'!$F$5:$F$204,0)),IF(AK2679="","番号なし",AK2679)))</f>
        <v/>
      </c>
      <c r="D2679" s="47" t="n"/>
      <c r="E2679" s="47" t="n"/>
      <c r="F2679" s="47" t="n"/>
      <c r="G2679" s="47" t="n"/>
      <c r="H2679" s="47" t="n"/>
      <c r="I2679" s="47" t="n"/>
      <c r="J2679" s="47" t="n"/>
      <c r="K2679" s="47" t="n"/>
      <c r="L2679" s="47" t="n"/>
      <c r="M2679" s="47" t="n"/>
      <c r="N2679" s="47" t="n"/>
      <c r="O2679" s="47" t="n"/>
      <c r="P2679" s="47" t="n"/>
      <c r="Q2679" s="47" t="n"/>
      <c r="R2679" s="47" t="n"/>
      <c r="S2679" s="47" t="n"/>
      <c r="T2679" s="47" t="n"/>
      <c r="U2679" s="53" t="n"/>
      <c r="V2679" s="53" t="n"/>
      <c r="W2679" s="47" t="n"/>
      <c r="X2679" s="47" t="n"/>
      <c r="Y2679" s="47" t="n"/>
      <c r="Z2679" s="47" t="n"/>
      <c r="AA2679" s="47" t="n"/>
      <c r="AB2679" s="47" t="n"/>
      <c r="AC2679" s="47" t="n"/>
      <c r="AD2679" s="47" t="n"/>
      <c r="AE2679" s="47" t="n"/>
      <c r="AF2679" s="20">
        <f>IF(A2679="","",YEAR(EDATE(A2679,-3)))</f>
        <v/>
      </c>
      <c r="AG2679" s="20">
        <f>IF(OR(B2679="",'経歴簿'!$C$4=""),"",IF(B2679&amp;""='経歴簿'!$C$4&amp;"",MAX($AG$4:AG2678)+1,""))</f>
        <v/>
      </c>
      <c r="AH2679" s="20">
        <f>IF(A2679="",0,IF(AND(OR('CSV抽出'!$C$4="",A2679&gt;='CSV抽出'!$C$4),OR('CSV抽出'!$C$5="",A2679&lt;='CSV抽出'!$C$5),OR('CSV抽出'!$C$6="すべて",'CSV抽出'!$C$6="",D2679='CSV抽出'!$C$6),OR('CSV抽出'!$C$7="",B2679&amp;""='CSV抽出'!$C$7&amp;"")),1,0))</f>
        <v/>
      </c>
      <c r="AI2679" s="20">
        <f>IF(AH2679=1,SUM($AH$5:AH2679),"")</f>
        <v/>
      </c>
      <c r="AJ2679" s="20">
        <f>IF(OR(S2679="",'報告書'!$C$4=""),"",IF(S2679&amp;""='報告書'!$C$4&amp;"",COUNTIF($S$5:S2679,'報告書'!$C$4),""))</f>
        <v/>
      </c>
      <c r="AK2679" s="20" t="n"/>
      <c r="AL2679" s="47" t="n"/>
      <c r="AM2679" s="47" t="n"/>
      <c r="AN2679" s="53" t="n"/>
      <c r="AO2679" s="47" t="n"/>
      <c r="AP2679" s="47" t="n"/>
      <c r="AQ2679" s="47" t="n"/>
      <c r="AR2679" s="47" t="n"/>
      <c r="AS2679" s="47" t="n"/>
      <c r="AT2679" s="47" t="n"/>
      <c r="AU2679" s="47" t="n"/>
      <c r="AV2679" s="47" t="n"/>
      <c r="AW2679" s="52" t="n"/>
    </row>
    <row r="2680">
      <c r="A2680" s="48" t="n"/>
      <c r="B2680" s="52" t="n"/>
      <c r="C2680" s="47">
        <f>IF(B2680="","",IFERROR(INDEX('隊員マスタ'!$B$5:$B$204,MATCH(B2680&amp;"",'隊員マスタ'!$F$5:$F$204,0)),IF(AK2680="","番号なし",AK2680)))</f>
        <v/>
      </c>
      <c r="D2680" s="47" t="n"/>
      <c r="E2680" s="47" t="n"/>
      <c r="F2680" s="47" t="n"/>
      <c r="G2680" s="47" t="n"/>
      <c r="H2680" s="47" t="n"/>
      <c r="I2680" s="47" t="n"/>
      <c r="J2680" s="47" t="n"/>
      <c r="K2680" s="47" t="n"/>
      <c r="L2680" s="47" t="n"/>
      <c r="M2680" s="47" t="n"/>
      <c r="N2680" s="47" t="n"/>
      <c r="O2680" s="47" t="n"/>
      <c r="P2680" s="47" t="n"/>
      <c r="Q2680" s="47" t="n"/>
      <c r="R2680" s="47" t="n"/>
      <c r="S2680" s="47" t="n"/>
      <c r="T2680" s="47" t="n"/>
      <c r="U2680" s="53" t="n"/>
      <c r="V2680" s="53" t="n"/>
      <c r="W2680" s="47" t="n"/>
      <c r="X2680" s="47" t="n"/>
      <c r="Y2680" s="47" t="n"/>
      <c r="Z2680" s="47" t="n"/>
      <c r="AA2680" s="47" t="n"/>
      <c r="AB2680" s="47" t="n"/>
      <c r="AC2680" s="47" t="n"/>
      <c r="AD2680" s="47" t="n"/>
      <c r="AE2680" s="47" t="n"/>
      <c r="AF2680" s="20">
        <f>IF(A2680="","",YEAR(EDATE(A2680,-3)))</f>
        <v/>
      </c>
      <c r="AG2680" s="20">
        <f>IF(OR(B2680="",'経歴簿'!$C$4=""),"",IF(B2680&amp;""='経歴簿'!$C$4&amp;"",MAX($AG$4:AG2679)+1,""))</f>
        <v/>
      </c>
      <c r="AH2680" s="20">
        <f>IF(A2680="",0,IF(AND(OR('CSV抽出'!$C$4="",A2680&gt;='CSV抽出'!$C$4),OR('CSV抽出'!$C$5="",A2680&lt;='CSV抽出'!$C$5),OR('CSV抽出'!$C$6="すべて",'CSV抽出'!$C$6="",D2680='CSV抽出'!$C$6),OR('CSV抽出'!$C$7="",B2680&amp;""='CSV抽出'!$C$7&amp;"")),1,0))</f>
        <v/>
      </c>
      <c r="AI2680" s="20">
        <f>IF(AH2680=1,SUM($AH$5:AH2680),"")</f>
        <v/>
      </c>
      <c r="AJ2680" s="20">
        <f>IF(OR(S2680="",'報告書'!$C$4=""),"",IF(S2680&amp;""='報告書'!$C$4&amp;"",COUNTIF($S$5:S2680,'報告書'!$C$4),""))</f>
        <v/>
      </c>
      <c r="AK2680" s="20" t="n"/>
      <c r="AL2680" s="47" t="n"/>
      <c r="AM2680" s="47" t="n"/>
      <c r="AN2680" s="53" t="n"/>
      <c r="AO2680" s="47" t="n"/>
      <c r="AP2680" s="47" t="n"/>
      <c r="AQ2680" s="47" t="n"/>
      <c r="AR2680" s="47" t="n"/>
      <c r="AS2680" s="47" t="n"/>
      <c r="AT2680" s="47" t="n"/>
      <c r="AU2680" s="47" t="n"/>
      <c r="AV2680" s="47" t="n"/>
      <c r="AW2680" s="52" t="n"/>
    </row>
    <row r="2681">
      <c r="A2681" s="48" t="n"/>
      <c r="B2681" s="52" t="n"/>
      <c r="C2681" s="47">
        <f>IF(B2681="","",IFERROR(INDEX('隊員マスタ'!$B$5:$B$204,MATCH(B2681&amp;"",'隊員マスタ'!$F$5:$F$204,0)),IF(AK2681="","番号なし",AK2681)))</f>
        <v/>
      </c>
      <c r="D2681" s="47" t="n"/>
      <c r="E2681" s="47" t="n"/>
      <c r="F2681" s="47" t="n"/>
      <c r="G2681" s="47" t="n"/>
      <c r="H2681" s="47" t="n"/>
      <c r="I2681" s="47" t="n"/>
      <c r="J2681" s="47" t="n"/>
      <c r="K2681" s="47" t="n"/>
      <c r="L2681" s="47" t="n"/>
      <c r="M2681" s="47" t="n"/>
      <c r="N2681" s="47" t="n"/>
      <c r="O2681" s="47" t="n"/>
      <c r="P2681" s="47" t="n"/>
      <c r="Q2681" s="47" t="n"/>
      <c r="R2681" s="47" t="n"/>
      <c r="S2681" s="47" t="n"/>
      <c r="T2681" s="47" t="n"/>
      <c r="U2681" s="53" t="n"/>
      <c r="V2681" s="53" t="n"/>
      <c r="W2681" s="47" t="n"/>
      <c r="X2681" s="47" t="n"/>
      <c r="Y2681" s="47" t="n"/>
      <c r="Z2681" s="47" t="n"/>
      <c r="AA2681" s="47" t="n"/>
      <c r="AB2681" s="47" t="n"/>
      <c r="AC2681" s="47" t="n"/>
      <c r="AD2681" s="47" t="n"/>
      <c r="AE2681" s="47" t="n"/>
      <c r="AF2681" s="20">
        <f>IF(A2681="","",YEAR(EDATE(A2681,-3)))</f>
        <v/>
      </c>
      <c r="AG2681" s="20">
        <f>IF(OR(B2681="",'経歴簿'!$C$4=""),"",IF(B2681&amp;""='経歴簿'!$C$4&amp;"",MAX($AG$4:AG2680)+1,""))</f>
        <v/>
      </c>
      <c r="AH2681" s="20">
        <f>IF(A2681="",0,IF(AND(OR('CSV抽出'!$C$4="",A2681&gt;='CSV抽出'!$C$4),OR('CSV抽出'!$C$5="",A2681&lt;='CSV抽出'!$C$5),OR('CSV抽出'!$C$6="すべて",'CSV抽出'!$C$6="",D2681='CSV抽出'!$C$6),OR('CSV抽出'!$C$7="",B2681&amp;""='CSV抽出'!$C$7&amp;"")),1,0))</f>
        <v/>
      </c>
      <c r="AI2681" s="20">
        <f>IF(AH2681=1,SUM($AH$5:AH2681),"")</f>
        <v/>
      </c>
      <c r="AJ2681" s="20">
        <f>IF(OR(S2681="",'報告書'!$C$4=""),"",IF(S2681&amp;""='報告書'!$C$4&amp;"",COUNTIF($S$5:S2681,'報告書'!$C$4),""))</f>
        <v/>
      </c>
      <c r="AK2681" s="20" t="n"/>
      <c r="AL2681" s="47" t="n"/>
      <c r="AM2681" s="47" t="n"/>
      <c r="AN2681" s="53" t="n"/>
      <c r="AO2681" s="47" t="n"/>
      <c r="AP2681" s="47" t="n"/>
      <c r="AQ2681" s="47" t="n"/>
      <c r="AR2681" s="47" t="n"/>
      <c r="AS2681" s="47" t="n"/>
      <c r="AT2681" s="47" t="n"/>
      <c r="AU2681" s="47" t="n"/>
      <c r="AV2681" s="47" t="n"/>
      <c r="AW2681" s="52" t="n"/>
    </row>
    <row r="2682">
      <c r="A2682" s="48" t="n"/>
      <c r="B2682" s="52" t="n"/>
      <c r="C2682" s="47">
        <f>IF(B2682="","",IFERROR(INDEX('隊員マスタ'!$B$5:$B$204,MATCH(B2682&amp;"",'隊員マスタ'!$F$5:$F$204,0)),IF(AK2682="","番号なし",AK2682)))</f>
        <v/>
      </c>
      <c r="D2682" s="47" t="n"/>
      <c r="E2682" s="47" t="n"/>
      <c r="F2682" s="47" t="n"/>
      <c r="G2682" s="47" t="n"/>
      <c r="H2682" s="47" t="n"/>
      <c r="I2682" s="47" t="n"/>
      <c r="J2682" s="47" t="n"/>
      <c r="K2682" s="47" t="n"/>
      <c r="L2682" s="47" t="n"/>
      <c r="M2682" s="47" t="n"/>
      <c r="N2682" s="47" t="n"/>
      <c r="O2682" s="47" t="n"/>
      <c r="P2682" s="47" t="n"/>
      <c r="Q2682" s="47" t="n"/>
      <c r="R2682" s="47" t="n"/>
      <c r="S2682" s="47" t="n"/>
      <c r="T2682" s="47" t="n"/>
      <c r="U2682" s="53" t="n"/>
      <c r="V2682" s="53" t="n"/>
      <c r="W2682" s="47" t="n"/>
      <c r="X2682" s="47" t="n"/>
      <c r="Y2682" s="47" t="n"/>
      <c r="Z2682" s="47" t="n"/>
      <c r="AA2682" s="47" t="n"/>
      <c r="AB2682" s="47" t="n"/>
      <c r="AC2682" s="47" t="n"/>
      <c r="AD2682" s="47" t="n"/>
      <c r="AE2682" s="47" t="n"/>
      <c r="AF2682" s="20">
        <f>IF(A2682="","",YEAR(EDATE(A2682,-3)))</f>
        <v/>
      </c>
      <c r="AG2682" s="20">
        <f>IF(OR(B2682="",'経歴簿'!$C$4=""),"",IF(B2682&amp;""='経歴簿'!$C$4&amp;"",MAX($AG$4:AG2681)+1,""))</f>
        <v/>
      </c>
      <c r="AH2682" s="20">
        <f>IF(A2682="",0,IF(AND(OR('CSV抽出'!$C$4="",A2682&gt;='CSV抽出'!$C$4),OR('CSV抽出'!$C$5="",A2682&lt;='CSV抽出'!$C$5),OR('CSV抽出'!$C$6="すべて",'CSV抽出'!$C$6="",D2682='CSV抽出'!$C$6),OR('CSV抽出'!$C$7="",B2682&amp;""='CSV抽出'!$C$7&amp;"")),1,0))</f>
        <v/>
      </c>
      <c r="AI2682" s="20">
        <f>IF(AH2682=1,SUM($AH$5:AH2682),"")</f>
        <v/>
      </c>
      <c r="AJ2682" s="20">
        <f>IF(OR(S2682="",'報告書'!$C$4=""),"",IF(S2682&amp;""='報告書'!$C$4&amp;"",COUNTIF($S$5:S2682,'報告書'!$C$4),""))</f>
        <v/>
      </c>
      <c r="AK2682" s="20" t="n"/>
      <c r="AL2682" s="47" t="n"/>
      <c r="AM2682" s="47" t="n"/>
      <c r="AN2682" s="53" t="n"/>
      <c r="AO2682" s="47" t="n"/>
      <c r="AP2682" s="47" t="n"/>
      <c r="AQ2682" s="47" t="n"/>
      <c r="AR2682" s="47" t="n"/>
      <c r="AS2682" s="47" t="n"/>
      <c r="AT2682" s="47" t="n"/>
      <c r="AU2682" s="47" t="n"/>
      <c r="AV2682" s="47" t="n"/>
      <c r="AW2682" s="52" t="n"/>
    </row>
    <row r="2683">
      <c r="A2683" s="48" t="n"/>
      <c r="B2683" s="52" t="n"/>
      <c r="C2683" s="47">
        <f>IF(B2683="","",IFERROR(INDEX('隊員マスタ'!$B$5:$B$204,MATCH(B2683&amp;"",'隊員マスタ'!$F$5:$F$204,0)),IF(AK2683="","番号なし",AK2683)))</f>
        <v/>
      </c>
      <c r="D2683" s="47" t="n"/>
      <c r="E2683" s="47" t="n"/>
      <c r="F2683" s="47" t="n"/>
      <c r="G2683" s="47" t="n"/>
      <c r="H2683" s="47" t="n"/>
      <c r="I2683" s="47" t="n"/>
      <c r="J2683" s="47" t="n"/>
      <c r="K2683" s="47" t="n"/>
      <c r="L2683" s="47" t="n"/>
      <c r="M2683" s="47" t="n"/>
      <c r="N2683" s="47" t="n"/>
      <c r="O2683" s="47" t="n"/>
      <c r="P2683" s="47" t="n"/>
      <c r="Q2683" s="47" t="n"/>
      <c r="R2683" s="47" t="n"/>
      <c r="S2683" s="47" t="n"/>
      <c r="T2683" s="47" t="n"/>
      <c r="U2683" s="53" t="n"/>
      <c r="V2683" s="53" t="n"/>
      <c r="W2683" s="47" t="n"/>
      <c r="X2683" s="47" t="n"/>
      <c r="Y2683" s="47" t="n"/>
      <c r="Z2683" s="47" t="n"/>
      <c r="AA2683" s="47" t="n"/>
      <c r="AB2683" s="47" t="n"/>
      <c r="AC2683" s="47" t="n"/>
      <c r="AD2683" s="47" t="n"/>
      <c r="AE2683" s="47" t="n"/>
      <c r="AF2683" s="20">
        <f>IF(A2683="","",YEAR(EDATE(A2683,-3)))</f>
        <v/>
      </c>
      <c r="AG2683" s="20">
        <f>IF(OR(B2683="",'経歴簿'!$C$4=""),"",IF(B2683&amp;""='経歴簿'!$C$4&amp;"",MAX($AG$4:AG2682)+1,""))</f>
        <v/>
      </c>
      <c r="AH2683" s="20">
        <f>IF(A2683="",0,IF(AND(OR('CSV抽出'!$C$4="",A2683&gt;='CSV抽出'!$C$4),OR('CSV抽出'!$C$5="",A2683&lt;='CSV抽出'!$C$5),OR('CSV抽出'!$C$6="すべて",'CSV抽出'!$C$6="",D2683='CSV抽出'!$C$6),OR('CSV抽出'!$C$7="",B2683&amp;""='CSV抽出'!$C$7&amp;"")),1,0))</f>
        <v/>
      </c>
      <c r="AI2683" s="20">
        <f>IF(AH2683=1,SUM($AH$5:AH2683),"")</f>
        <v/>
      </c>
      <c r="AJ2683" s="20">
        <f>IF(OR(S2683="",'報告書'!$C$4=""),"",IF(S2683&amp;""='報告書'!$C$4&amp;"",COUNTIF($S$5:S2683,'報告書'!$C$4),""))</f>
        <v/>
      </c>
      <c r="AK2683" s="20" t="n"/>
      <c r="AL2683" s="47" t="n"/>
      <c r="AM2683" s="47" t="n"/>
      <c r="AN2683" s="53" t="n"/>
      <c r="AO2683" s="47" t="n"/>
      <c r="AP2683" s="47" t="n"/>
      <c r="AQ2683" s="47" t="n"/>
      <c r="AR2683" s="47" t="n"/>
      <c r="AS2683" s="47" t="n"/>
      <c r="AT2683" s="47" t="n"/>
      <c r="AU2683" s="47" t="n"/>
      <c r="AV2683" s="47" t="n"/>
      <c r="AW2683" s="52" t="n"/>
    </row>
    <row r="2684">
      <c r="A2684" s="48" t="n"/>
      <c r="B2684" s="52" t="n"/>
      <c r="C2684" s="47">
        <f>IF(B2684="","",IFERROR(INDEX('隊員マスタ'!$B$5:$B$204,MATCH(B2684&amp;"",'隊員マスタ'!$F$5:$F$204,0)),IF(AK2684="","番号なし",AK2684)))</f>
        <v/>
      </c>
      <c r="D2684" s="47" t="n"/>
      <c r="E2684" s="47" t="n"/>
      <c r="F2684" s="47" t="n"/>
      <c r="G2684" s="47" t="n"/>
      <c r="H2684" s="47" t="n"/>
      <c r="I2684" s="47" t="n"/>
      <c r="J2684" s="47" t="n"/>
      <c r="K2684" s="47" t="n"/>
      <c r="L2684" s="47" t="n"/>
      <c r="M2684" s="47" t="n"/>
      <c r="N2684" s="47" t="n"/>
      <c r="O2684" s="47" t="n"/>
      <c r="P2684" s="47" t="n"/>
      <c r="Q2684" s="47" t="n"/>
      <c r="R2684" s="47" t="n"/>
      <c r="S2684" s="47" t="n"/>
      <c r="T2684" s="47" t="n"/>
      <c r="U2684" s="53" t="n"/>
      <c r="V2684" s="53" t="n"/>
      <c r="W2684" s="47" t="n"/>
      <c r="X2684" s="47" t="n"/>
      <c r="Y2684" s="47" t="n"/>
      <c r="Z2684" s="47" t="n"/>
      <c r="AA2684" s="47" t="n"/>
      <c r="AB2684" s="47" t="n"/>
      <c r="AC2684" s="47" t="n"/>
      <c r="AD2684" s="47" t="n"/>
      <c r="AE2684" s="47" t="n"/>
      <c r="AF2684" s="20">
        <f>IF(A2684="","",YEAR(EDATE(A2684,-3)))</f>
        <v/>
      </c>
      <c r="AG2684" s="20">
        <f>IF(OR(B2684="",'経歴簿'!$C$4=""),"",IF(B2684&amp;""='経歴簿'!$C$4&amp;"",MAX($AG$4:AG2683)+1,""))</f>
        <v/>
      </c>
      <c r="AH2684" s="20">
        <f>IF(A2684="",0,IF(AND(OR('CSV抽出'!$C$4="",A2684&gt;='CSV抽出'!$C$4),OR('CSV抽出'!$C$5="",A2684&lt;='CSV抽出'!$C$5),OR('CSV抽出'!$C$6="すべて",'CSV抽出'!$C$6="",D2684='CSV抽出'!$C$6),OR('CSV抽出'!$C$7="",B2684&amp;""='CSV抽出'!$C$7&amp;"")),1,0))</f>
        <v/>
      </c>
      <c r="AI2684" s="20">
        <f>IF(AH2684=1,SUM($AH$5:AH2684),"")</f>
        <v/>
      </c>
      <c r="AJ2684" s="20">
        <f>IF(OR(S2684="",'報告書'!$C$4=""),"",IF(S2684&amp;""='報告書'!$C$4&amp;"",COUNTIF($S$5:S2684,'報告書'!$C$4),""))</f>
        <v/>
      </c>
      <c r="AK2684" s="20" t="n"/>
      <c r="AL2684" s="47" t="n"/>
      <c r="AM2684" s="47" t="n"/>
      <c r="AN2684" s="53" t="n"/>
      <c r="AO2684" s="47" t="n"/>
      <c r="AP2684" s="47" t="n"/>
      <c r="AQ2684" s="47" t="n"/>
      <c r="AR2684" s="47" t="n"/>
      <c r="AS2684" s="47" t="n"/>
      <c r="AT2684" s="47" t="n"/>
      <c r="AU2684" s="47" t="n"/>
      <c r="AV2684" s="47" t="n"/>
      <c r="AW2684" s="52" t="n"/>
    </row>
    <row r="2685">
      <c r="A2685" s="48" t="n"/>
      <c r="B2685" s="52" t="n"/>
      <c r="C2685" s="47">
        <f>IF(B2685="","",IFERROR(INDEX('隊員マスタ'!$B$5:$B$204,MATCH(B2685&amp;"",'隊員マスタ'!$F$5:$F$204,0)),IF(AK2685="","番号なし",AK2685)))</f>
        <v/>
      </c>
      <c r="D2685" s="47" t="n"/>
      <c r="E2685" s="47" t="n"/>
      <c r="F2685" s="47" t="n"/>
      <c r="G2685" s="47" t="n"/>
      <c r="H2685" s="47" t="n"/>
      <c r="I2685" s="47" t="n"/>
      <c r="J2685" s="47" t="n"/>
      <c r="K2685" s="47" t="n"/>
      <c r="L2685" s="47" t="n"/>
      <c r="M2685" s="47" t="n"/>
      <c r="N2685" s="47" t="n"/>
      <c r="O2685" s="47" t="n"/>
      <c r="P2685" s="47" t="n"/>
      <c r="Q2685" s="47" t="n"/>
      <c r="R2685" s="47" t="n"/>
      <c r="S2685" s="47" t="n"/>
      <c r="T2685" s="47" t="n"/>
      <c r="U2685" s="53" t="n"/>
      <c r="V2685" s="53" t="n"/>
      <c r="W2685" s="47" t="n"/>
      <c r="X2685" s="47" t="n"/>
      <c r="Y2685" s="47" t="n"/>
      <c r="Z2685" s="47" t="n"/>
      <c r="AA2685" s="47" t="n"/>
      <c r="AB2685" s="47" t="n"/>
      <c r="AC2685" s="47" t="n"/>
      <c r="AD2685" s="47" t="n"/>
      <c r="AE2685" s="47" t="n"/>
      <c r="AF2685" s="20">
        <f>IF(A2685="","",YEAR(EDATE(A2685,-3)))</f>
        <v/>
      </c>
      <c r="AG2685" s="20">
        <f>IF(OR(B2685="",'経歴簿'!$C$4=""),"",IF(B2685&amp;""='経歴簿'!$C$4&amp;"",MAX($AG$4:AG2684)+1,""))</f>
        <v/>
      </c>
      <c r="AH2685" s="20">
        <f>IF(A2685="",0,IF(AND(OR('CSV抽出'!$C$4="",A2685&gt;='CSV抽出'!$C$4),OR('CSV抽出'!$C$5="",A2685&lt;='CSV抽出'!$C$5),OR('CSV抽出'!$C$6="すべて",'CSV抽出'!$C$6="",D2685='CSV抽出'!$C$6),OR('CSV抽出'!$C$7="",B2685&amp;""='CSV抽出'!$C$7&amp;"")),1,0))</f>
        <v/>
      </c>
      <c r="AI2685" s="20">
        <f>IF(AH2685=1,SUM($AH$5:AH2685),"")</f>
        <v/>
      </c>
      <c r="AJ2685" s="20">
        <f>IF(OR(S2685="",'報告書'!$C$4=""),"",IF(S2685&amp;""='報告書'!$C$4&amp;"",COUNTIF($S$5:S2685,'報告書'!$C$4),""))</f>
        <v/>
      </c>
      <c r="AK2685" s="20" t="n"/>
      <c r="AL2685" s="47" t="n"/>
      <c r="AM2685" s="47" t="n"/>
      <c r="AN2685" s="53" t="n"/>
      <c r="AO2685" s="47" t="n"/>
      <c r="AP2685" s="47" t="n"/>
      <c r="AQ2685" s="47" t="n"/>
      <c r="AR2685" s="47" t="n"/>
      <c r="AS2685" s="47" t="n"/>
      <c r="AT2685" s="47" t="n"/>
      <c r="AU2685" s="47" t="n"/>
      <c r="AV2685" s="47" t="n"/>
      <c r="AW2685" s="52" t="n"/>
    </row>
    <row r="2686">
      <c r="A2686" s="48" t="n"/>
      <c r="B2686" s="52" t="n"/>
      <c r="C2686" s="47">
        <f>IF(B2686="","",IFERROR(INDEX('隊員マスタ'!$B$5:$B$204,MATCH(B2686&amp;"",'隊員マスタ'!$F$5:$F$204,0)),IF(AK2686="","番号なし",AK2686)))</f>
        <v/>
      </c>
      <c r="D2686" s="47" t="n"/>
      <c r="E2686" s="47" t="n"/>
      <c r="F2686" s="47" t="n"/>
      <c r="G2686" s="47" t="n"/>
      <c r="H2686" s="47" t="n"/>
      <c r="I2686" s="47" t="n"/>
      <c r="J2686" s="47" t="n"/>
      <c r="K2686" s="47" t="n"/>
      <c r="L2686" s="47" t="n"/>
      <c r="M2686" s="47" t="n"/>
      <c r="N2686" s="47" t="n"/>
      <c r="O2686" s="47" t="n"/>
      <c r="P2686" s="47" t="n"/>
      <c r="Q2686" s="47" t="n"/>
      <c r="R2686" s="47" t="n"/>
      <c r="S2686" s="47" t="n"/>
      <c r="T2686" s="47" t="n"/>
      <c r="U2686" s="53" t="n"/>
      <c r="V2686" s="53" t="n"/>
      <c r="W2686" s="47" t="n"/>
      <c r="X2686" s="47" t="n"/>
      <c r="Y2686" s="47" t="n"/>
      <c r="Z2686" s="47" t="n"/>
      <c r="AA2686" s="47" t="n"/>
      <c r="AB2686" s="47" t="n"/>
      <c r="AC2686" s="47" t="n"/>
      <c r="AD2686" s="47" t="n"/>
      <c r="AE2686" s="47" t="n"/>
      <c r="AF2686" s="20">
        <f>IF(A2686="","",YEAR(EDATE(A2686,-3)))</f>
        <v/>
      </c>
      <c r="AG2686" s="20">
        <f>IF(OR(B2686="",'経歴簿'!$C$4=""),"",IF(B2686&amp;""='経歴簿'!$C$4&amp;"",MAX($AG$4:AG2685)+1,""))</f>
        <v/>
      </c>
      <c r="AH2686" s="20">
        <f>IF(A2686="",0,IF(AND(OR('CSV抽出'!$C$4="",A2686&gt;='CSV抽出'!$C$4),OR('CSV抽出'!$C$5="",A2686&lt;='CSV抽出'!$C$5),OR('CSV抽出'!$C$6="すべて",'CSV抽出'!$C$6="",D2686='CSV抽出'!$C$6),OR('CSV抽出'!$C$7="",B2686&amp;""='CSV抽出'!$C$7&amp;"")),1,0))</f>
        <v/>
      </c>
      <c r="AI2686" s="20">
        <f>IF(AH2686=1,SUM($AH$5:AH2686),"")</f>
        <v/>
      </c>
      <c r="AJ2686" s="20">
        <f>IF(OR(S2686="",'報告書'!$C$4=""),"",IF(S2686&amp;""='報告書'!$C$4&amp;"",COUNTIF($S$5:S2686,'報告書'!$C$4),""))</f>
        <v/>
      </c>
      <c r="AK2686" s="20" t="n"/>
      <c r="AL2686" s="47" t="n"/>
      <c r="AM2686" s="47" t="n"/>
      <c r="AN2686" s="53" t="n"/>
      <c r="AO2686" s="47" t="n"/>
      <c r="AP2686" s="47" t="n"/>
      <c r="AQ2686" s="47" t="n"/>
      <c r="AR2686" s="47" t="n"/>
      <c r="AS2686" s="47" t="n"/>
      <c r="AT2686" s="47" t="n"/>
      <c r="AU2686" s="47" t="n"/>
      <c r="AV2686" s="47" t="n"/>
      <c r="AW2686" s="52" t="n"/>
    </row>
    <row r="2687">
      <c r="A2687" s="48" t="n"/>
      <c r="B2687" s="52" t="n"/>
      <c r="C2687" s="47">
        <f>IF(B2687="","",IFERROR(INDEX('隊員マスタ'!$B$5:$B$204,MATCH(B2687&amp;"",'隊員マスタ'!$F$5:$F$204,0)),IF(AK2687="","番号なし",AK2687)))</f>
        <v/>
      </c>
      <c r="D2687" s="47" t="n"/>
      <c r="E2687" s="47" t="n"/>
      <c r="F2687" s="47" t="n"/>
      <c r="G2687" s="47" t="n"/>
      <c r="H2687" s="47" t="n"/>
      <c r="I2687" s="47" t="n"/>
      <c r="J2687" s="47" t="n"/>
      <c r="K2687" s="47" t="n"/>
      <c r="L2687" s="47" t="n"/>
      <c r="M2687" s="47" t="n"/>
      <c r="N2687" s="47" t="n"/>
      <c r="O2687" s="47" t="n"/>
      <c r="P2687" s="47" t="n"/>
      <c r="Q2687" s="47" t="n"/>
      <c r="R2687" s="47" t="n"/>
      <c r="S2687" s="47" t="n"/>
      <c r="T2687" s="47" t="n"/>
      <c r="U2687" s="53" t="n"/>
      <c r="V2687" s="53" t="n"/>
      <c r="W2687" s="47" t="n"/>
      <c r="X2687" s="47" t="n"/>
      <c r="Y2687" s="47" t="n"/>
      <c r="Z2687" s="47" t="n"/>
      <c r="AA2687" s="47" t="n"/>
      <c r="AB2687" s="47" t="n"/>
      <c r="AC2687" s="47" t="n"/>
      <c r="AD2687" s="47" t="n"/>
      <c r="AE2687" s="47" t="n"/>
      <c r="AF2687" s="20">
        <f>IF(A2687="","",YEAR(EDATE(A2687,-3)))</f>
        <v/>
      </c>
      <c r="AG2687" s="20">
        <f>IF(OR(B2687="",'経歴簿'!$C$4=""),"",IF(B2687&amp;""='経歴簿'!$C$4&amp;"",MAX($AG$4:AG2686)+1,""))</f>
        <v/>
      </c>
      <c r="AH2687" s="20">
        <f>IF(A2687="",0,IF(AND(OR('CSV抽出'!$C$4="",A2687&gt;='CSV抽出'!$C$4),OR('CSV抽出'!$C$5="",A2687&lt;='CSV抽出'!$C$5),OR('CSV抽出'!$C$6="すべて",'CSV抽出'!$C$6="",D2687='CSV抽出'!$C$6),OR('CSV抽出'!$C$7="",B2687&amp;""='CSV抽出'!$C$7&amp;"")),1,0))</f>
        <v/>
      </c>
      <c r="AI2687" s="20">
        <f>IF(AH2687=1,SUM($AH$5:AH2687),"")</f>
        <v/>
      </c>
      <c r="AJ2687" s="20">
        <f>IF(OR(S2687="",'報告書'!$C$4=""),"",IF(S2687&amp;""='報告書'!$C$4&amp;"",COUNTIF($S$5:S2687,'報告書'!$C$4),""))</f>
        <v/>
      </c>
      <c r="AK2687" s="20" t="n"/>
      <c r="AL2687" s="47" t="n"/>
      <c r="AM2687" s="47" t="n"/>
      <c r="AN2687" s="53" t="n"/>
      <c r="AO2687" s="47" t="n"/>
      <c r="AP2687" s="47" t="n"/>
      <c r="AQ2687" s="47" t="n"/>
      <c r="AR2687" s="47" t="n"/>
      <c r="AS2687" s="47" t="n"/>
      <c r="AT2687" s="47" t="n"/>
      <c r="AU2687" s="47" t="n"/>
      <c r="AV2687" s="47" t="n"/>
      <c r="AW2687" s="52" t="n"/>
    </row>
    <row r="2688">
      <c r="A2688" s="48" t="n"/>
      <c r="B2688" s="52" t="n"/>
      <c r="C2688" s="47">
        <f>IF(B2688="","",IFERROR(INDEX('隊員マスタ'!$B$5:$B$204,MATCH(B2688&amp;"",'隊員マスタ'!$F$5:$F$204,0)),IF(AK2688="","番号なし",AK2688)))</f>
        <v/>
      </c>
      <c r="D2688" s="47" t="n"/>
      <c r="E2688" s="47" t="n"/>
      <c r="F2688" s="47" t="n"/>
      <c r="G2688" s="47" t="n"/>
      <c r="H2688" s="47" t="n"/>
      <c r="I2688" s="47" t="n"/>
      <c r="J2688" s="47" t="n"/>
      <c r="K2688" s="47" t="n"/>
      <c r="L2688" s="47" t="n"/>
      <c r="M2688" s="47" t="n"/>
      <c r="N2688" s="47" t="n"/>
      <c r="O2688" s="47" t="n"/>
      <c r="P2688" s="47" t="n"/>
      <c r="Q2688" s="47" t="n"/>
      <c r="R2688" s="47" t="n"/>
      <c r="S2688" s="47" t="n"/>
      <c r="T2688" s="47" t="n"/>
      <c r="U2688" s="53" t="n"/>
      <c r="V2688" s="53" t="n"/>
      <c r="W2688" s="47" t="n"/>
      <c r="X2688" s="47" t="n"/>
      <c r="Y2688" s="47" t="n"/>
      <c r="Z2688" s="47" t="n"/>
      <c r="AA2688" s="47" t="n"/>
      <c r="AB2688" s="47" t="n"/>
      <c r="AC2688" s="47" t="n"/>
      <c r="AD2688" s="47" t="n"/>
      <c r="AE2688" s="47" t="n"/>
      <c r="AF2688" s="20">
        <f>IF(A2688="","",YEAR(EDATE(A2688,-3)))</f>
        <v/>
      </c>
      <c r="AG2688" s="20">
        <f>IF(OR(B2688="",'経歴簿'!$C$4=""),"",IF(B2688&amp;""='経歴簿'!$C$4&amp;"",MAX($AG$4:AG2687)+1,""))</f>
        <v/>
      </c>
      <c r="AH2688" s="20">
        <f>IF(A2688="",0,IF(AND(OR('CSV抽出'!$C$4="",A2688&gt;='CSV抽出'!$C$4),OR('CSV抽出'!$C$5="",A2688&lt;='CSV抽出'!$C$5),OR('CSV抽出'!$C$6="すべて",'CSV抽出'!$C$6="",D2688='CSV抽出'!$C$6),OR('CSV抽出'!$C$7="",B2688&amp;""='CSV抽出'!$C$7&amp;"")),1,0))</f>
        <v/>
      </c>
      <c r="AI2688" s="20">
        <f>IF(AH2688=1,SUM($AH$5:AH2688),"")</f>
        <v/>
      </c>
      <c r="AJ2688" s="20">
        <f>IF(OR(S2688="",'報告書'!$C$4=""),"",IF(S2688&amp;""='報告書'!$C$4&amp;"",COUNTIF($S$5:S2688,'報告書'!$C$4),""))</f>
        <v/>
      </c>
      <c r="AK2688" s="20" t="n"/>
      <c r="AL2688" s="47" t="n"/>
      <c r="AM2688" s="47" t="n"/>
      <c r="AN2688" s="53" t="n"/>
      <c r="AO2688" s="47" t="n"/>
      <c r="AP2688" s="47" t="n"/>
      <c r="AQ2688" s="47" t="n"/>
      <c r="AR2688" s="47" t="n"/>
      <c r="AS2688" s="47" t="n"/>
      <c r="AT2688" s="47" t="n"/>
      <c r="AU2688" s="47" t="n"/>
      <c r="AV2688" s="47" t="n"/>
      <c r="AW2688" s="52" t="n"/>
    </row>
    <row r="2689">
      <c r="A2689" s="48" t="n"/>
      <c r="B2689" s="52" t="n"/>
      <c r="C2689" s="47">
        <f>IF(B2689="","",IFERROR(INDEX('隊員マスタ'!$B$5:$B$204,MATCH(B2689&amp;"",'隊員マスタ'!$F$5:$F$204,0)),IF(AK2689="","番号なし",AK2689)))</f>
        <v/>
      </c>
      <c r="D2689" s="47" t="n"/>
      <c r="E2689" s="47" t="n"/>
      <c r="F2689" s="47" t="n"/>
      <c r="G2689" s="47" t="n"/>
      <c r="H2689" s="47" t="n"/>
      <c r="I2689" s="47" t="n"/>
      <c r="J2689" s="47" t="n"/>
      <c r="K2689" s="47" t="n"/>
      <c r="L2689" s="47" t="n"/>
      <c r="M2689" s="47" t="n"/>
      <c r="N2689" s="47" t="n"/>
      <c r="O2689" s="47" t="n"/>
      <c r="P2689" s="47" t="n"/>
      <c r="Q2689" s="47" t="n"/>
      <c r="R2689" s="47" t="n"/>
      <c r="S2689" s="47" t="n"/>
      <c r="T2689" s="47" t="n"/>
      <c r="U2689" s="53" t="n"/>
      <c r="V2689" s="53" t="n"/>
      <c r="W2689" s="47" t="n"/>
      <c r="X2689" s="47" t="n"/>
      <c r="Y2689" s="47" t="n"/>
      <c r="Z2689" s="47" t="n"/>
      <c r="AA2689" s="47" t="n"/>
      <c r="AB2689" s="47" t="n"/>
      <c r="AC2689" s="47" t="n"/>
      <c r="AD2689" s="47" t="n"/>
      <c r="AE2689" s="47" t="n"/>
      <c r="AF2689" s="20">
        <f>IF(A2689="","",YEAR(EDATE(A2689,-3)))</f>
        <v/>
      </c>
      <c r="AG2689" s="20">
        <f>IF(OR(B2689="",'経歴簿'!$C$4=""),"",IF(B2689&amp;""='経歴簿'!$C$4&amp;"",MAX($AG$4:AG2688)+1,""))</f>
        <v/>
      </c>
      <c r="AH2689" s="20">
        <f>IF(A2689="",0,IF(AND(OR('CSV抽出'!$C$4="",A2689&gt;='CSV抽出'!$C$4),OR('CSV抽出'!$C$5="",A2689&lt;='CSV抽出'!$C$5),OR('CSV抽出'!$C$6="すべて",'CSV抽出'!$C$6="",D2689='CSV抽出'!$C$6),OR('CSV抽出'!$C$7="",B2689&amp;""='CSV抽出'!$C$7&amp;"")),1,0))</f>
        <v/>
      </c>
      <c r="AI2689" s="20">
        <f>IF(AH2689=1,SUM($AH$5:AH2689),"")</f>
        <v/>
      </c>
      <c r="AJ2689" s="20">
        <f>IF(OR(S2689="",'報告書'!$C$4=""),"",IF(S2689&amp;""='報告書'!$C$4&amp;"",COUNTIF($S$5:S2689,'報告書'!$C$4),""))</f>
        <v/>
      </c>
      <c r="AK2689" s="20" t="n"/>
      <c r="AL2689" s="47" t="n"/>
      <c r="AM2689" s="47" t="n"/>
      <c r="AN2689" s="53" t="n"/>
      <c r="AO2689" s="47" t="n"/>
      <c r="AP2689" s="47" t="n"/>
      <c r="AQ2689" s="47" t="n"/>
      <c r="AR2689" s="47" t="n"/>
      <c r="AS2689" s="47" t="n"/>
      <c r="AT2689" s="47" t="n"/>
      <c r="AU2689" s="47" t="n"/>
      <c r="AV2689" s="47" t="n"/>
      <c r="AW2689" s="52" t="n"/>
    </row>
    <row r="2690">
      <c r="A2690" s="48" t="n"/>
      <c r="B2690" s="52" t="n"/>
      <c r="C2690" s="47">
        <f>IF(B2690="","",IFERROR(INDEX('隊員マスタ'!$B$5:$B$204,MATCH(B2690&amp;"",'隊員マスタ'!$F$5:$F$204,0)),IF(AK2690="","番号なし",AK2690)))</f>
        <v/>
      </c>
      <c r="D2690" s="47" t="n"/>
      <c r="E2690" s="47" t="n"/>
      <c r="F2690" s="47" t="n"/>
      <c r="G2690" s="47" t="n"/>
      <c r="H2690" s="47" t="n"/>
      <c r="I2690" s="47" t="n"/>
      <c r="J2690" s="47" t="n"/>
      <c r="K2690" s="47" t="n"/>
      <c r="L2690" s="47" t="n"/>
      <c r="M2690" s="47" t="n"/>
      <c r="N2690" s="47" t="n"/>
      <c r="O2690" s="47" t="n"/>
      <c r="P2690" s="47" t="n"/>
      <c r="Q2690" s="47" t="n"/>
      <c r="R2690" s="47" t="n"/>
      <c r="S2690" s="47" t="n"/>
      <c r="T2690" s="47" t="n"/>
      <c r="U2690" s="53" t="n"/>
      <c r="V2690" s="53" t="n"/>
      <c r="W2690" s="47" t="n"/>
      <c r="X2690" s="47" t="n"/>
      <c r="Y2690" s="47" t="n"/>
      <c r="Z2690" s="47" t="n"/>
      <c r="AA2690" s="47" t="n"/>
      <c r="AB2690" s="47" t="n"/>
      <c r="AC2690" s="47" t="n"/>
      <c r="AD2690" s="47" t="n"/>
      <c r="AE2690" s="47" t="n"/>
      <c r="AF2690" s="20">
        <f>IF(A2690="","",YEAR(EDATE(A2690,-3)))</f>
        <v/>
      </c>
      <c r="AG2690" s="20">
        <f>IF(OR(B2690="",'経歴簿'!$C$4=""),"",IF(B2690&amp;""='経歴簿'!$C$4&amp;"",MAX($AG$4:AG2689)+1,""))</f>
        <v/>
      </c>
      <c r="AH2690" s="20">
        <f>IF(A2690="",0,IF(AND(OR('CSV抽出'!$C$4="",A2690&gt;='CSV抽出'!$C$4),OR('CSV抽出'!$C$5="",A2690&lt;='CSV抽出'!$C$5),OR('CSV抽出'!$C$6="すべて",'CSV抽出'!$C$6="",D2690='CSV抽出'!$C$6),OR('CSV抽出'!$C$7="",B2690&amp;""='CSV抽出'!$C$7&amp;"")),1,0))</f>
        <v/>
      </c>
      <c r="AI2690" s="20">
        <f>IF(AH2690=1,SUM($AH$5:AH2690),"")</f>
        <v/>
      </c>
      <c r="AJ2690" s="20">
        <f>IF(OR(S2690="",'報告書'!$C$4=""),"",IF(S2690&amp;""='報告書'!$C$4&amp;"",COUNTIF($S$5:S2690,'報告書'!$C$4),""))</f>
        <v/>
      </c>
      <c r="AK2690" s="20" t="n"/>
      <c r="AL2690" s="47" t="n"/>
      <c r="AM2690" s="47" t="n"/>
      <c r="AN2690" s="53" t="n"/>
      <c r="AO2690" s="47" t="n"/>
      <c r="AP2690" s="47" t="n"/>
      <c r="AQ2690" s="47" t="n"/>
      <c r="AR2690" s="47" t="n"/>
      <c r="AS2690" s="47" t="n"/>
      <c r="AT2690" s="47" t="n"/>
      <c r="AU2690" s="47" t="n"/>
      <c r="AV2690" s="47" t="n"/>
      <c r="AW2690" s="52" t="n"/>
    </row>
    <row r="2691">
      <c r="A2691" s="48" t="n"/>
      <c r="B2691" s="52" t="n"/>
      <c r="C2691" s="47">
        <f>IF(B2691="","",IFERROR(INDEX('隊員マスタ'!$B$5:$B$204,MATCH(B2691&amp;"",'隊員マスタ'!$F$5:$F$204,0)),IF(AK2691="","番号なし",AK2691)))</f>
        <v/>
      </c>
      <c r="D2691" s="47" t="n"/>
      <c r="E2691" s="47" t="n"/>
      <c r="F2691" s="47" t="n"/>
      <c r="G2691" s="47" t="n"/>
      <c r="H2691" s="47" t="n"/>
      <c r="I2691" s="47" t="n"/>
      <c r="J2691" s="47" t="n"/>
      <c r="K2691" s="47" t="n"/>
      <c r="L2691" s="47" t="n"/>
      <c r="M2691" s="47" t="n"/>
      <c r="N2691" s="47" t="n"/>
      <c r="O2691" s="47" t="n"/>
      <c r="P2691" s="47" t="n"/>
      <c r="Q2691" s="47" t="n"/>
      <c r="R2691" s="47" t="n"/>
      <c r="S2691" s="47" t="n"/>
      <c r="T2691" s="47" t="n"/>
      <c r="U2691" s="53" t="n"/>
      <c r="V2691" s="53" t="n"/>
      <c r="W2691" s="47" t="n"/>
      <c r="X2691" s="47" t="n"/>
      <c r="Y2691" s="47" t="n"/>
      <c r="Z2691" s="47" t="n"/>
      <c r="AA2691" s="47" t="n"/>
      <c r="AB2691" s="47" t="n"/>
      <c r="AC2691" s="47" t="n"/>
      <c r="AD2691" s="47" t="n"/>
      <c r="AE2691" s="47" t="n"/>
      <c r="AF2691" s="20">
        <f>IF(A2691="","",YEAR(EDATE(A2691,-3)))</f>
        <v/>
      </c>
      <c r="AG2691" s="20">
        <f>IF(OR(B2691="",'経歴簿'!$C$4=""),"",IF(B2691&amp;""='経歴簿'!$C$4&amp;"",MAX($AG$4:AG2690)+1,""))</f>
        <v/>
      </c>
      <c r="AH2691" s="20">
        <f>IF(A2691="",0,IF(AND(OR('CSV抽出'!$C$4="",A2691&gt;='CSV抽出'!$C$4),OR('CSV抽出'!$C$5="",A2691&lt;='CSV抽出'!$C$5),OR('CSV抽出'!$C$6="すべて",'CSV抽出'!$C$6="",D2691='CSV抽出'!$C$6),OR('CSV抽出'!$C$7="",B2691&amp;""='CSV抽出'!$C$7&amp;"")),1,0))</f>
        <v/>
      </c>
      <c r="AI2691" s="20">
        <f>IF(AH2691=1,SUM($AH$5:AH2691),"")</f>
        <v/>
      </c>
      <c r="AJ2691" s="20">
        <f>IF(OR(S2691="",'報告書'!$C$4=""),"",IF(S2691&amp;""='報告書'!$C$4&amp;"",COUNTIF($S$5:S2691,'報告書'!$C$4),""))</f>
        <v/>
      </c>
      <c r="AK2691" s="20" t="n"/>
      <c r="AL2691" s="47" t="n"/>
      <c r="AM2691" s="47" t="n"/>
      <c r="AN2691" s="53" t="n"/>
      <c r="AO2691" s="47" t="n"/>
      <c r="AP2691" s="47" t="n"/>
      <c r="AQ2691" s="47" t="n"/>
      <c r="AR2691" s="47" t="n"/>
      <c r="AS2691" s="47" t="n"/>
      <c r="AT2691" s="47" t="n"/>
      <c r="AU2691" s="47" t="n"/>
      <c r="AV2691" s="47" t="n"/>
      <c r="AW2691" s="52" t="n"/>
    </row>
    <row r="2692">
      <c r="A2692" s="48" t="n"/>
      <c r="B2692" s="52" t="n"/>
      <c r="C2692" s="47">
        <f>IF(B2692="","",IFERROR(INDEX('隊員マスタ'!$B$5:$B$204,MATCH(B2692&amp;"",'隊員マスタ'!$F$5:$F$204,0)),IF(AK2692="","番号なし",AK2692)))</f>
        <v/>
      </c>
      <c r="D2692" s="47" t="n"/>
      <c r="E2692" s="47" t="n"/>
      <c r="F2692" s="47" t="n"/>
      <c r="G2692" s="47" t="n"/>
      <c r="H2692" s="47" t="n"/>
      <c r="I2692" s="47" t="n"/>
      <c r="J2692" s="47" t="n"/>
      <c r="K2692" s="47" t="n"/>
      <c r="L2692" s="47" t="n"/>
      <c r="M2692" s="47" t="n"/>
      <c r="N2692" s="47" t="n"/>
      <c r="O2692" s="47" t="n"/>
      <c r="P2692" s="47" t="n"/>
      <c r="Q2692" s="47" t="n"/>
      <c r="R2692" s="47" t="n"/>
      <c r="S2692" s="47" t="n"/>
      <c r="T2692" s="47" t="n"/>
      <c r="U2692" s="53" t="n"/>
      <c r="V2692" s="53" t="n"/>
      <c r="W2692" s="47" t="n"/>
      <c r="X2692" s="47" t="n"/>
      <c r="Y2692" s="47" t="n"/>
      <c r="Z2692" s="47" t="n"/>
      <c r="AA2692" s="47" t="n"/>
      <c r="AB2692" s="47" t="n"/>
      <c r="AC2692" s="47" t="n"/>
      <c r="AD2692" s="47" t="n"/>
      <c r="AE2692" s="47" t="n"/>
      <c r="AF2692" s="20">
        <f>IF(A2692="","",YEAR(EDATE(A2692,-3)))</f>
        <v/>
      </c>
      <c r="AG2692" s="20">
        <f>IF(OR(B2692="",'経歴簿'!$C$4=""),"",IF(B2692&amp;""='経歴簿'!$C$4&amp;"",MAX($AG$4:AG2691)+1,""))</f>
        <v/>
      </c>
      <c r="AH2692" s="20">
        <f>IF(A2692="",0,IF(AND(OR('CSV抽出'!$C$4="",A2692&gt;='CSV抽出'!$C$4),OR('CSV抽出'!$C$5="",A2692&lt;='CSV抽出'!$C$5),OR('CSV抽出'!$C$6="すべて",'CSV抽出'!$C$6="",D2692='CSV抽出'!$C$6),OR('CSV抽出'!$C$7="",B2692&amp;""='CSV抽出'!$C$7&amp;"")),1,0))</f>
        <v/>
      </c>
      <c r="AI2692" s="20">
        <f>IF(AH2692=1,SUM($AH$5:AH2692),"")</f>
        <v/>
      </c>
      <c r="AJ2692" s="20">
        <f>IF(OR(S2692="",'報告書'!$C$4=""),"",IF(S2692&amp;""='報告書'!$C$4&amp;"",COUNTIF($S$5:S2692,'報告書'!$C$4),""))</f>
        <v/>
      </c>
      <c r="AK2692" s="20" t="n"/>
      <c r="AL2692" s="47" t="n"/>
      <c r="AM2692" s="47" t="n"/>
      <c r="AN2692" s="53" t="n"/>
      <c r="AO2692" s="47" t="n"/>
      <c r="AP2692" s="47" t="n"/>
      <c r="AQ2692" s="47" t="n"/>
      <c r="AR2692" s="47" t="n"/>
      <c r="AS2692" s="47" t="n"/>
      <c r="AT2692" s="47" t="n"/>
      <c r="AU2692" s="47" t="n"/>
      <c r="AV2692" s="47" t="n"/>
      <c r="AW2692" s="52" t="n"/>
    </row>
    <row r="2693">
      <c r="A2693" s="48" t="n"/>
      <c r="B2693" s="52" t="n"/>
      <c r="C2693" s="47">
        <f>IF(B2693="","",IFERROR(INDEX('隊員マスタ'!$B$5:$B$204,MATCH(B2693&amp;"",'隊員マスタ'!$F$5:$F$204,0)),IF(AK2693="","番号なし",AK2693)))</f>
        <v/>
      </c>
      <c r="D2693" s="47" t="n"/>
      <c r="E2693" s="47" t="n"/>
      <c r="F2693" s="47" t="n"/>
      <c r="G2693" s="47" t="n"/>
      <c r="H2693" s="47" t="n"/>
      <c r="I2693" s="47" t="n"/>
      <c r="J2693" s="47" t="n"/>
      <c r="K2693" s="47" t="n"/>
      <c r="L2693" s="47" t="n"/>
      <c r="M2693" s="47" t="n"/>
      <c r="N2693" s="47" t="n"/>
      <c r="O2693" s="47" t="n"/>
      <c r="P2693" s="47" t="n"/>
      <c r="Q2693" s="47" t="n"/>
      <c r="R2693" s="47" t="n"/>
      <c r="S2693" s="47" t="n"/>
      <c r="T2693" s="47" t="n"/>
      <c r="U2693" s="53" t="n"/>
      <c r="V2693" s="53" t="n"/>
      <c r="W2693" s="47" t="n"/>
      <c r="X2693" s="47" t="n"/>
      <c r="Y2693" s="47" t="n"/>
      <c r="Z2693" s="47" t="n"/>
      <c r="AA2693" s="47" t="n"/>
      <c r="AB2693" s="47" t="n"/>
      <c r="AC2693" s="47" t="n"/>
      <c r="AD2693" s="47" t="n"/>
      <c r="AE2693" s="47" t="n"/>
      <c r="AF2693" s="20">
        <f>IF(A2693="","",YEAR(EDATE(A2693,-3)))</f>
        <v/>
      </c>
      <c r="AG2693" s="20">
        <f>IF(OR(B2693="",'経歴簿'!$C$4=""),"",IF(B2693&amp;""='経歴簿'!$C$4&amp;"",MAX($AG$4:AG2692)+1,""))</f>
        <v/>
      </c>
      <c r="AH2693" s="20">
        <f>IF(A2693="",0,IF(AND(OR('CSV抽出'!$C$4="",A2693&gt;='CSV抽出'!$C$4),OR('CSV抽出'!$C$5="",A2693&lt;='CSV抽出'!$C$5),OR('CSV抽出'!$C$6="すべて",'CSV抽出'!$C$6="",D2693='CSV抽出'!$C$6),OR('CSV抽出'!$C$7="",B2693&amp;""='CSV抽出'!$C$7&amp;"")),1,0))</f>
        <v/>
      </c>
      <c r="AI2693" s="20">
        <f>IF(AH2693=1,SUM($AH$5:AH2693),"")</f>
        <v/>
      </c>
      <c r="AJ2693" s="20">
        <f>IF(OR(S2693="",'報告書'!$C$4=""),"",IF(S2693&amp;""='報告書'!$C$4&amp;"",COUNTIF($S$5:S2693,'報告書'!$C$4),""))</f>
        <v/>
      </c>
      <c r="AK2693" s="20" t="n"/>
      <c r="AL2693" s="47" t="n"/>
      <c r="AM2693" s="47" t="n"/>
      <c r="AN2693" s="53" t="n"/>
      <c r="AO2693" s="47" t="n"/>
      <c r="AP2693" s="47" t="n"/>
      <c r="AQ2693" s="47" t="n"/>
      <c r="AR2693" s="47" t="n"/>
      <c r="AS2693" s="47" t="n"/>
      <c r="AT2693" s="47" t="n"/>
      <c r="AU2693" s="47" t="n"/>
      <c r="AV2693" s="47" t="n"/>
      <c r="AW2693" s="52" t="n"/>
    </row>
    <row r="2694">
      <c r="A2694" s="48" t="n"/>
      <c r="B2694" s="52" t="n"/>
      <c r="C2694" s="47">
        <f>IF(B2694="","",IFERROR(INDEX('隊員マスタ'!$B$5:$B$204,MATCH(B2694&amp;"",'隊員マスタ'!$F$5:$F$204,0)),IF(AK2694="","番号なし",AK2694)))</f>
        <v/>
      </c>
      <c r="D2694" s="47" t="n"/>
      <c r="E2694" s="47" t="n"/>
      <c r="F2694" s="47" t="n"/>
      <c r="G2694" s="47" t="n"/>
      <c r="H2694" s="47" t="n"/>
      <c r="I2694" s="47" t="n"/>
      <c r="J2694" s="47" t="n"/>
      <c r="K2694" s="47" t="n"/>
      <c r="L2694" s="47" t="n"/>
      <c r="M2694" s="47" t="n"/>
      <c r="N2694" s="47" t="n"/>
      <c r="O2694" s="47" t="n"/>
      <c r="P2694" s="47" t="n"/>
      <c r="Q2694" s="47" t="n"/>
      <c r="R2694" s="47" t="n"/>
      <c r="S2694" s="47" t="n"/>
      <c r="T2694" s="47" t="n"/>
      <c r="U2694" s="53" t="n"/>
      <c r="V2694" s="53" t="n"/>
      <c r="W2694" s="47" t="n"/>
      <c r="X2694" s="47" t="n"/>
      <c r="Y2694" s="47" t="n"/>
      <c r="Z2694" s="47" t="n"/>
      <c r="AA2694" s="47" t="n"/>
      <c r="AB2694" s="47" t="n"/>
      <c r="AC2694" s="47" t="n"/>
      <c r="AD2694" s="47" t="n"/>
      <c r="AE2694" s="47" t="n"/>
      <c r="AF2694" s="20">
        <f>IF(A2694="","",YEAR(EDATE(A2694,-3)))</f>
        <v/>
      </c>
      <c r="AG2694" s="20">
        <f>IF(OR(B2694="",'経歴簿'!$C$4=""),"",IF(B2694&amp;""='経歴簿'!$C$4&amp;"",MAX($AG$4:AG2693)+1,""))</f>
        <v/>
      </c>
      <c r="AH2694" s="20">
        <f>IF(A2694="",0,IF(AND(OR('CSV抽出'!$C$4="",A2694&gt;='CSV抽出'!$C$4),OR('CSV抽出'!$C$5="",A2694&lt;='CSV抽出'!$C$5),OR('CSV抽出'!$C$6="すべて",'CSV抽出'!$C$6="",D2694='CSV抽出'!$C$6),OR('CSV抽出'!$C$7="",B2694&amp;""='CSV抽出'!$C$7&amp;"")),1,0))</f>
        <v/>
      </c>
      <c r="AI2694" s="20">
        <f>IF(AH2694=1,SUM($AH$5:AH2694),"")</f>
        <v/>
      </c>
      <c r="AJ2694" s="20">
        <f>IF(OR(S2694="",'報告書'!$C$4=""),"",IF(S2694&amp;""='報告書'!$C$4&amp;"",COUNTIF($S$5:S2694,'報告書'!$C$4),""))</f>
        <v/>
      </c>
      <c r="AK2694" s="20" t="n"/>
      <c r="AL2694" s="47" t="n"/>
      <c r="AM2694" s="47" t="n"/>
      <c r="AN2694" s="53" t="n"/>
      <c r="AO2694" s="47" t="n"/>
      <c r="AP2694" s="47" t="n"/>
      <c r="AQ2694" s="47" t="n"/>
      <c r="AR2694" s="47" t="n"/>
      <c r="AS2694" s="47" t="n"/>
      <c r="AT2694" s="47" t="n"/>
      <c r="AU2694" s="47" t="n"/>
      <c r="AV2694" s="47" t="n"/>
      <c r="AW2694" s="52" t="n"/>
    </row>
    <row r="2695">
      <c r="A2695" s="48" t="n"/>
      <c r="B2695" s="52" t="n"/>
      <c r="C2695" s="47">
        <f>IF(B2695="","",IFERROR(INDEX('隊員マスタ'!$B$5:$B$204,MATCH(B2695&amp;"",'隊員マスタ'!$F$5:$F$204,0)),IF(AK2695="","番号なし",AK2695)))</f>
        <v/>
      </c>
      <c r="D2695" s="47" t="n"/>
      <c r="E2695" s="47" t="n"/>
      <c r="F2695" s="47" t="n"/>
      <c r="G2695" s="47" t="n"/>
      <c r="H2695" s="47" t="n"/>
      <c r="I2695" s="47" t="n"/>
      <c r="J2695" s="47" t="n"/>
      <c r="K2695" s="47" t="n"/>
      <c r="L2695" s="47" t="n"/>
      <c r="M2695" s="47" t="n"/>
      <c r="N2695" s="47" t="n"/>
      <c r="O2695" s="47" t="n"/>
      <c r="P2695" s="47" t="n"/>
      <c r="Q2695" s="47" t="n"/>
      <c r="R2695" s="47" t="n"/>
      <c r="S2695" s="47" t="n"/>
      <c r="T2695" s="47" t="n"/>
      <c r="U2695" s="53" t="n"/>
      <c r="V2695" s="53" t="n"/>
      <c r="W2695" s="47" t="n"/>
      <c r="X2695" s="47" t="n"/>
      <c r="Y2695" s="47" t="n"/>
      <c r="Z2695" s="47" t="n"/>
      <c r="AA2695" s="47" t="n"/>
      <c r="AB2695" s="47" t="n"/>
      <c r="AC2695" s="47" t="n"/>
      <c r="AD2695" s="47" t="n"/>
      <c r="AE2695" s="47" t="n"/>
      <c r="AF2695" s="20">
        <f>IF(A2695="","",YEAR(EDATE(A2695,-3)))</f>
        <v/>
      </c>
      <c r="AG2695" s="20">
        <f>IF(OR(B2695="",'経歴簿'!$C$4=""),"",IF(B2695&amp;""='経歴簿'!$C$4&amp;"",MAX($AG$4:AG2694)+1,""))</f>
        <v/>
      </c>
      <c r="AH2695" s="20">
        <f>IF(A2695="",0,IF(AND(OR('CSV抽出'!$C$4="",A2695&gt;='CSV抽出'!$C$4),OR('CSV抽出'!$C$5="",A2695&lt;='CSV抽出'!$C$5),OR('CSV抽出'!$C$6="すべて",'CSV抽出'!$C$6="",D2695='CSV抽出'!$C$6),OR('CSV抽出'!$C$7="",B2695&amp;""='CSV抽出'!$C$7&amp;"")),1,0))</f>
        <v/>
      </c>
      <c r="AI2695" s="20">
        <f>IF(AH2695=1,SUM($AH$5:AH2695),"")</f>
        <v/>
      </c>
      <c r="AJ2695" s="20">
        <f>IF(OR(S2695="",'報告書'!$C$4=""),"",IF(S2695&amp;""='報告書'!$C$4&amp;"",COUNTIF($S$5:S2695,'報告書'!$C$4),""))</f>
        <v/>
      </c>
      <c r="AK2695" s="20" t="n"/>
      <c r="AL2695" s="47" t="n"/>
      <c r="AM2695" s="47" t="n"/>
      <c r="AN2695" s="53" t="n"/>
      <c r="AO2695" s="47" t="n"/>
      <c r="AP2695" s="47" t="n"/>
      <c r="AQ2695" s="47" t="n"/>
      <c r="AR2695" s="47" t="n"/>
      <c r="AS2695" s="47" t="n"/>
      <c r="AT2695" s="47" t="n"/>
      <c r="AU2695" s="47" t="n"/>
      <c r="AV2695" s="47" t="n"/>
      <c r="AW2695" s="52" t="n"/>
    </row>
    <row r="2696">
      <c r="A2696" s="48" t="n"/>
      <c r="B2696" s="52" t="n"/>
      <c r="C2696" s="47">
        <f>IF(B2696="","",IFERROR(INDEX('隊員マスタ'!$B$5:$B$204,MATCH(B2696&amp;"",'隊員マスタ'!$F$5:$F$204,0)),IF(AK2696="","番号なし",AK2696)))</f>
        <v/>
      </c>
      <c r="D2696" s="47" t="n"/>
      <c r="E2696" s="47" t="n"/>
      <c r="F2696" s="47" t="n"/>
      <c r="G2696" s="47" t="n"/>
      <c r="H2696" s="47" t="n"/>
      <c r="I2696" s="47" t="n"/>
      <c r="J2696" s="47" t="n"/>
      <c r="K2696" s="47" t="n"/>
      <c r="L2696" s="47" t="n"/>
      <c r="M2696" s="47" t="n"/>
      <c r="N2696" s="47" t="n"/>
      <c r="O2696" s="47" t="n"/>
      <c r="P2696" s="47" t="n"/>
      <c r="Q2696" s="47" t="n"/>
      <c r="R2696" s="47" t="n"/>
      <c r="S2696" s="47" t="n"/>
      <c r="T2696" s="47" t="n"/>
      <c r="U2696" s="53" t="n"/>
      <c r="V2696" s="53" t="n"/>
      <c r="W2696" s="47" t="n"/>
      <c r="X2696" s="47" t="n"/>
      <c r="Y2696" s="47" t="n"/>
      <c r="Z2696" s="47" t="n"/>
      <c r="AA2696" s="47" t="n"/>
      <c r="AB2696" s="47" t="n"/>
      <c r="AC2696" s="47" t="n"/>
      <c r="AD2696" s="47" t="n"/>
      <c r="AE2696" s="47" t="n"/>
      <c r="AF2696" s="20">
        <f>IF(A2696="","",YEAR(EDATE(A2696,-3)))</f>
        <v/>
      </c>
      <c r="AG2696" s="20">
        <f>IF(OR(B2696="",'経歴簿'!$C$4=""),"",IF(B2696&amp;""='経歴簿'!$C$4&amp;"",MAX($AG$4:AG2695)+1,""))</f>
        <v/>
      </c>
      <c r="AH2696" s="20">
        <f>IF(A2696="",0,IF(AND(OR('CSV抽出'!$C$4="",A2696&gt;='CSV抽出'!$C$4),OR('CSV抽出'!$C$5="",A2696&lt;='CSV抽出'!$C$5),OR('CSV抽出'!$C$6="すべて",'CSV抽出'!$C$6="",D2696='CSV抽出'!$C$6),OR('CSV抽出'!$C$7="",B2696&amp;""='CSV抽出'!$C$7&amp;"")),1,0))</f>
        <v/>
      </c>
      <c r="AI2696" s="20">
        <f>IF(AH2696=1,SUM($AH$5:AH2696),"")</f>
        <v/>
      </c>
      <c r="AJ2696" s="20">
        <f>IF(OR(S2696="",'報告書'!$C$4=""),"",IF(S2696&amp;""='報告書'!$C$4&amp;"",COUNTIF($S$5:S2696,'報告書'!$C$4),""))</f>
        <v/>
      </c>
      <c r="AK2696" s="20" t="n"/>
      <c r="AL2696" s="47" t="n"/>
      <c r="AM2696" s="47" t="n"/>
      <c r="AN2696" s="53" t="n"/>
      <c r="AO2696" s="47" t="n"/>
      <c r="AP2696" s="47" t="n"/>
      <c r="AQ2696" s="47" t="n"/>
      <c r="AR2696" s="47" t="n"/>
      <c r="AS2696" s="47" t="n"/>
      <c r="AT2696" s="47" t="n"/>
      <c r="AU2696" s="47" t="n"/>
      <c r="AV2696" s="47" t="n"/>
      <c r="AW2696" s="52" t="n"/>
    </row>
    <row r="2697">
      <c r="A2697" s="48" t="n"/>
      <c r="B2697" s="52" t="n"/>
      <c r="C2697" s="47">
        <f>IF(B2697="","",IFERROR(INDEX('隊員マスタ'!$B$5:$B$204,MATCH(B2697&amp;"",'隊員マスタ'!$F$5:$F$204,0)),IF(AK2697="","番号なし",AK2697)))</f>
        <v/>
      </c>
      <c r="D2697" s="47" t="n"/>
      <c r="E2697" s="47" t="n"/>
      <c r="F2697" s="47" t="n"/>
      <c r="G2697" s="47" t="n"/>
      <c r="H2697" s="47" t="n"/>
      <c r="I2697" s="47" t="n"/>
      <c r="J2697" s="47" t="n"/>
      <c r="K2697" s="47" t="n"/>
      <c r="L2697" s="47" t="n"/>
      <c r="M2697" s="47" t="n"/>
      <c r="N2697" s="47" t="n"/>
      <c r="O2697" s="47" t="n"/>
      <c r="P2697" s="47" t="n"/>
      <c r="Q2697" s="47" t="n"/>
      <c r="R2697" s="47" t="n"/>
      <c r="S2697" s="47" t="n"/>
      <c r="T2697" s="47" t="n"/>
      <c r="U2697" s="53" t="n"/>
      <c r="V2697" s="53" t="n"/>
      <c r="W2697" s="47" t="n"/>
      <c r="X2697" s="47" t="n"/>
      <c r="Y2697" s="47" t="n"/>
      <c r="Z2697" s="47" t="n"/>
      <c r="AA2697" s="47" t="n"/>
      <c r="AB2697" s="47" t="n"/>
      <c r="AC2697" s="47" t="n"/>
      <c r="AD2697" s="47" t="n"/>
      <c r="AE2697" s="47" t="n"/>
      <c r="AF2697" s="20">
        <f>IF(A2697="","",YEAR(EDATE(A2697,-3)))</f>
        <v/>
      </c>
      <c r="AG2697" s="20">
        <f>IF(OR(B2697="",'経歴簿'!$C$4=""),"",IF(B2697&amp;""='経歴簿'!$C$4&amp;"",MAX($AG$4:AG2696)+1,""))</f>
        <v/>
      </c>
      <c r="AH2697" s="20">
        <f>IF(A2697="",0,IF(AND(OR('CSV抽出'!$C$4="",A2697&gt;='CSV抽出'!$C$4),OR('CSV抽出'!$C$5="",A2697&lt;='CSV抽出'!$C$5),OR('CSV抽出'!$C$6="すべて",'CSV抽出'!$C$6="",D2697='CSV抽出'!$C$6),OR('CSV抽出'!$C$7="",B2697&amp;""='CSV抽出'!$C$7&amp;"")),1,0))</f>
        <v/>
      </c>
      <c r="AI2697" s="20">
        <f>IF(AH2697=1,SUM($AH$5:AH2697),"")</f>
        <v/>
      </c>
      <c r="AJ2697" s="20">
        <f>IF(OR(S2697="",'報告書'!$C$4=""),"",IF(S2697&amp;""='報告書'!$C$4&amp;"",COUNTIF($S$5:S2697,'報告書'!$C$4),""))</f>
        <v/>
      </c>
      <c r="AK2697" s="20" t="n"/>
      <c r="AL2697" s="47" t="n"/>
      <c r="AM2697" s="47" t="n"/>
      <c r="AN2697" s="53" t="n"/>
      <c r="AO2697" s="47" t="n"/>
      <c r="AP2697" s="47" t="n"/>
      <c r="AQ2697" s="47" t="n"/>
      <c r="AR2697" s="47" t="n"/>
      <c r="AS2697" s="47" t="n"/>
      <c r="AT2697" s="47" t="n"/>
      <c r="AU2697" s="47" t="n"/>
      <c r="AV2697" s="47" t="n"/>
      <c r="AW2697" s="52" t="n"/>
    </row>
    <row r="2698">
      <c r="A2698" s="48" t="n"/>
      <c r="B2698" s="52" t="n"/>
      <c r="C2698" s="47">
        <f>IF(B2698="","",IFERROR(INDEX('隊員マスタ'!$B$5:$B$204,MATCH(B2698&amp;"",'隊員マスタ'!$F$5:$F$204,0)),IF(AK2698="","番号なし",AK2698)))</f>
        <v/>
      </c>
      <c r="D2698" s="47" t="n"/>
      <c r="E2698" s="47" t="n"/>
      <c r="F2698" s="47" t="n"/>
      <c r="G2698" s="47" t="n"/>
      <c r="H2698" s="47" t="n"/>
      <c r="I2698" s="47" t="n"/>
      <c r="J2698" s="47" t="n"/>
      <c r="K2698" s="47" t="n"/>
      <c r="L2698" s="47" t="n"/>
      <c r="M2698" s="47" t="n"/>
      <c r="N2698" s="47" t="n"/>
      <c r="O2698" s="47" t="n"/>
      <c r="P2698" s="47" t="n"/>
      <c r="Q2698" s="47" t="n"/>
      <c r="R2698" s="47" t="n"/>
      <c r="S2698" s="47" t="n"/>
      <c r="T2698" s="47" t="n"/>
      <c r="U2698" s="53" t="n"/>
      <c r="V2698" s="53" t="n"/>
      <c r="W2698" s="47" t="n"/>
      <c r="X2698" s="47" t="n"/>
      <c r="Y2698" s="47" t="n"/>
      <c r="Z2698" s="47" t="n"/>
      <c r="AA2698" s="47" t="n"/>
      <c r="AB2698" s="47" t="n"/>
      <c r="AC2698" s="47" t="n"/>
      <c r="AD2698" s="47" t="n"/>
      <c r="AE2698" s="47" t="n"/>
      <c r="AF2698" s="20">
        <f>IF(A2698="","",YEAR(EDATE(A2698,-3)))</f>
        <v/>
      </c>
      <c r="AG2698" s="20">
        <f>IF(OR(B2698="",'経歴簿'!$C$4=""),"",IF(B2698&amp;""='経歴簿'!$C$4&amp;"",MAX($AG$4:AG2697)+1,""))</f>
        <v/>
      </c>
      <c r="AH2698" s="20">
        <f>IF(A2698="",0,IF(AND(OR('CSV抽出'!$C$4="",A2698&gt;='CSV抽出'!$C$4),OR('CSV抽出'!$C$5="",A2698&lt;='CSV抽出'!$C$5),OR('CSV抽出'!$C$6="すべて",'CSV抽出'!$C$6="",D2698='CSV抽出'!$C$6),OR('CSV抽出'!$C$7="",B2698&amp;""='CSV抽出'!$C$7&amp;"")),1,0))</f>
        <v/>
      </c>
      <c r="AI2698" s="20">
        <f>IF(AH2698=1,SUM($AH$5:AH2698),"")</f>
        <v/>
      </c>
      <c r="AJ2698" s="20">
        <f>IF(OR(S2698="",'報告書'!$C$4=""),"",IF(S2698&amp;""='報告書'!$C$4&amp;"",COUNTIF($S$5:S2698,'報告書'!$C$4),""))</f>
        <v/>
      </c>
      <c r="AK2698" s="20" t="n"/>
      <c r="AL2698" s="47" t="n"/>
      <c r="AM2698" s="47" t="n"/>
      <c r="AN2698" s="53" t="n"/>
      <c r="AO2698" s="47" t="n"/>
      <c r="AP2698" s="47" t="n"/>
      <c r="AQ2698" s="47" t="n"/>
      <c r="AR2698" s="47" t="n"/>
      <c r="AS2698" s="47" t="n"/>
      <c r="AT2698" s="47" t="n"/>
      <c r="AU2698" s="47" t="n"/>
      <c r="AV2698" s="47" t="n"/>
      <c r="AW2698" s="52" t="n"/>
    </row>
    <row r="2699">
      <c r="A2699" s="48" t="n"/>
      <c r="B2699" s="52" t="n"/>
      <c r="C2699" s="47">
        <f>IF(B2699="","",IFERROR(INDEX('隊員マスタ'!$B$5:$B$204,MATCH(B2699&amp;"",'隊員マスタ'!$F$5:$F$204,0)),IF(AK2699="","番号なし",AK2699)))</f>
        <v/>
      </c>
      <c r="D2699" s="47" t="n"/>
      <c r="E2699" s="47" t="n"/>
      <c r="F2699" s="47" t="n"/>
      <c r="G2699" s="47" t="n"/>
      <c r="H2699" s="47" t="n"/>
      <c r="I2699" s="47" t="n"/>
      <c r="J2699" s="47" t="n"/>
      <c r="K2699" s="47" t="n"/>
      <c r="L2699" s="47" t="n"/>
      <c r="M2699" s="47" t="n"/>
      <c r="N2699" s="47" t="n"/>
      <c r="O2699" s="47" t="n"/>
      <c r="P2699" s="47" t="n"/>
      <c r="Q2699" s="47" t="n"/>
      <c r="R2699" s="47" t="n"/>
      <c r="S2699" s="47" t="n"/>
      <c r="T2699" s="47" t="n"/>
      <c r="U2699" s="53" t="n"/>
      <c r="V2699" s="53" t="n"/>
      <c r="W2699" s="47" t="n"/>
      <c r="X2699" s="47" t="n"/>
      <c r="Y2699" s="47" t="n"/>
      <c r="Z2699" s="47" t="n"/>
      <c r="AA2699" s="47" t="n"/>
      <c r="AB2699" s="47" t="n"/>
      <c r="AC2699" s="47" t="n"/>
      <c r="AD2699" s="47" t="n"/>
      <c r="AE2699" s="47" t="n"/>
      <c r="AF2699" s="20">
        <f>IF(A2699="","",YEAR(EDATE(A2699,-3)))</f>
        <v/>
      </c>
      <c r="AG2699" s="20">
        <f>IF(OR(B2699="",'経歴簿'!$C$4=""),"",IF(B2699&amp;""='経歴簿'!$C$4&amp;"",MAX($AG$4:AG2698)+1,""))</f>
        <v/>
      </c>
      <c r="AH2699" s="20">
        <f>IF(A2699="",0,IF(AND(OR('CSV抽出'!$C$4="",A2699&gt;='CSV抽出'!$C$4),OR('CSV抽出'!$C$5="",A2699&lt;='CSV抽出'!$C$5),OR('CSV抽出'!$C$6="すべて",'CSV抽出'!$C$6="",D2699='CSV抽出'!$C$6),OR('CSV抽出'!$C$7="",B2699&amp;""='CSV抽出'!$C$7&amp;"")),1,0))</f>
        <v/>
      </c>
      <c r="AI2699" s="20">
        <f>IF(AH2699=1,SUM($AH$5:AH2699),"")</f>
        <v/>
      </c>
      <c r="AJ2699" s="20">
        <f>IF(OR(S2699="",'報告書'!$C$4=""),"",IF(S2699&amp;""='報告書'!$C$4&amp;"",COUNTIF($S$5:S2699,'報告書'!$C$4),""))</f>
        <v/>
      </c>
      <c r="AK2699" s="20" t="n"/>
      <c r="AL2699" s="47" t="n"/>
      <c r="AM2699" s="47" t="n"/>
      <c r="AN2699" s="53" t="n"/>
      <c r="AO2699" s="47" t="n"/>
      <c r="AP2699" s="47" t="n"/>
      <c r="AQ2699" s="47" t="n"/>
      <c r="AR2699" s="47" t="n"/>
      <c r="AS2699" s="47" t="n"/>
      <c r="AT2699" s="47" t="n"/>
      <c r="AU2699" s="47" t="n"/>
      <c r="AV2699" s="47" t="n"/>
      <c r="AW2699" s="52" t="n"/>
    </row>
    <row r="2700">
      <c r="A2700" s="48" t="n"/>
      <c r="B2700" s="52" t="n"/>
      <c r="C2700" s="47">
        <f>IF(B2700="","",IFERROR(INDEX('隊員マスタ'!$B$5:$B$204,MATCH(B2700&amp;"",'隊員マスタ'!$F$5:$F$204,0)),IF(AK2700="","番号なし",AK2700)))</f>
        <v/>
      </c>
      <c r="D2700" s="47" t="n"/>
      <c r="E2700" s="47" t="n"/>
      <c r="F2700" s="47" t="n"/>
      <c r="G2700" s="47" t="n"/>
      <c r="H2700" s="47" t="n"/>
      <c r="I2700" s="47" t="n"/>
      <c r="J2700" s="47" t="n"/>
      <c r="K2700" s="47" t="n"/>
      <c r="L2700" s="47" t="n"/>
      <c r="M2700" s="47" t="n"/>
      <c r="N2700" s="47" t="n"/>
      <c r="O2700" s="47" t="n"/>
      <c r="P2700" s="47" t="n"/>
      <c r="Q2700" s="47" t="n"/>
      <c r="R2700" s="47" t="n"/>
      <c r="S2700" s="47" t="n"/>
      <c r="T2700" s="47" t="n"/>
      <c r="U2700" s="53" t="n"/>
      <c r="V2700" s="53" t="n"/>
      <c r="W2700" s="47" t="n"/>
      <c r="X2700" s="47" t="n"/>
      <c r="Y2700" s="47" t="n"/>
      <c r="Z2700" s="47" t="n"/>
      <c r="AA2700" s="47" t="n"/>
      <c r="AB2700" s="47" t="n"/>
      <c r="AC2700" s="47" t="n"/>
      <c r="AD2700" s="47" t="n"/>
      <c r="AE2700" s="47" t="n"/>
      <c r="AF2700" s="20">
        <f>IF(A2700="","",YEAR(EDATE(A2700,-3)))</f>
        <v/>
      </c>
      <c r="AG2700" s="20">
        <f>IF(OR(B2700="",'経歴簿'!$C$4=""),"",IF(B2700&amp;""='経歴簿'!$C$4&amp;"",MAX($AG$4:AG2699)+1,""))</f>
        <v/>
      </c>
      <c r="AH2700" s="20">
        <f>IF(A2700="",0,IF(AND(OR('CSV抽出'!$C$4="",A2700&gt;='CSV抽出'!$C$4),OR('CSV抽出'!$C$5="",A2700&lt;='CSV抽出'!$C$5),OR('CSV抽出'!$C$6="すべて",'CSV抽出'!$C$6="",D2700='CSV抽出'!$C$6),OR('CSV抽出'!$C$7="",B2700&amp;""='CSV抽出'!$C$7&amp;"")),1,0))</f>
        <v/>
      </c>
      <c r="AI2700" s="20">
        <f>IF(AH2700=1,SUM($AH$5:AH2700),"")</f>
        <v/>
      </c>
      <c r="AJ2700" s="20">
        <f>IF(OR(S2700="",'報告書'!$C$4=""),"",IF(S2700&amp;""='報告書'!$C$4&amp;"",COUNTIF($S$5:S2700,'報告書'!$C$4),""))</f>
        <v/>
      </c>
      <c r="AK2700" s="20" t="n"/>
      <c r="AL2700" s="47" t="n"/>
      <c r="AM2700" s="47" t="n"/>
      <c r="AN2700" s="53" t="n"/>
      <c r="AO2700" s="47" t="n"/>
      <c r="AP2700" s="47" t="n"/>
      <c r="AQ2700" s="47" t="n"/>
      <c r="AR2700" s="47" t="n"/>
      <c r="AS2700" s="47" t="n"/>
      <c r="AT2700" s="47" t="n"/>
      <c r="AU2700" s="47" t="n"/>
      <c r="AV2700" s="47" t="n"/>
      <c r="AW2700" s="52" t="n"/>
    </row>
    <row r="2701">
      <c r="A2701" s="48" t="n"/>
      <c r="B2701" s="52" t="n"/>
      <c r="C2701" s="47">
        <f>IF(B2701="","",IFERROR(INDEX('隊員マスタ'!$B$5:$B$204,MATCH(B2701&amp;"",'隊員マスタ'!$F$5:$F$204,0)),IF(AK2701="","番号なし",AK2701)))</f>
        <v/>
      </c>
      <c r="D2701" s="47" t="n"/>
      <c r="E2701" s="47" t="n"/>
      <c r="F2701" s="47" t="n"/>
      <c r="G2701" s="47" t="n"/>
      <c r="H2701" s="47" t="n"/>
      <c r="I2701" s="47" t="n"/>
      <c r="J2701" s="47" t="n"/>
      <c r="K2701" s="47" t="n"/>
      <c r="L2701" s="47" t="n"/>
      <c r="M2701" s="47" t="n"/>
      <c r="N2701" s="47" t="n"/>
      <c r="O2701" s="47" t="n"/>
      <c r="P2701" s="47" t="n"/>
      <c r="Q2701" s="47" t="n"/>
      <c r="R2701" s="47" t="n"/>
      <c r="S2701" s="47" t="n"/>
      <c r="T2701" s="47" t="n"/>
      <c r="U2701" s="53" t="n"/>
      <c r="V2701" s="53" t="n"/>
      <c r="W2701" s="47" t="n"/>
      <c r="X2701" s="47" t="n"/>
      <c r="Y2701" s="47" t="n"/>
      <c r="Z2701" s="47" t="n"/>
      <c r="AA2701" s="47" t="n"/>
      <c r="AB2701" s="47" t="n"/>
      <c r="AC2701" s="47" t="n"/>
      <c r="AD2701" s="47" t="n"/>
      <c r="AE2701" s="47" t="n"/>
      <c r="AF2701" s="20">
        <f>IF(A2701="","",YEAR(EDATE(A2701,-3)))</f>
        <v/>
      </c>
      <c r="AG2701" s="20">
        <f>IF(OR(B2701="",'経歴簿'!$C$4=""),"",IF(B2701&amp;""='経歴簿'!$C$4&amp;"",MAX($AG$4:AG2700)+1,""))</f>
        <v/>
      </c>
      <c r="AH2701" s="20">
        <f>IF(A2701="",0,IF(AND(OR('CSV抽出'!$C$4="",A2701&gt;='CSV抽出'!$C$4),OR('CSV抽出'!$C$5="",A2701&lt;='CSV抽出'!$C$5),OR('CSV抽出'!$C$6="すべて",'CSV抽出'!$C$6="",D2701='CSV抽出'!$C$6),OR('CSV抽出'!$C$7="",B2701&amp;""='CSV抽出'!$C$7&amp;"")),1,0))</f>
        <v/>
      </c>
      <c r="AI2701" s="20">
        <f>IF(AH2701=1,SUM($AH$5:AH2701),"")</f>
        <v/>
      </c>
      <c r="AJ2701" s="20">
        <f>IF(OR(S2701="",'報告書'!$C$4=""),"",IF(S2701&amp;""='報告書'!$C$4&amp;"",COUNTIF($S$5:S2701,'報告書'!$C$4),""))</f>
        <v/>
      </c>
      <c r="AK2701" s="20" t="n"/>
      <c r="AL2701" s="47" t="n"/>
      <c r="AM2701" s="47" t="n"/>
      <c r="AN2701" s="53" t="n"/>
      <c r="AO2701" s="47" t="n"/>
      <c r="AP2701" s="47" t="n"/>
      <c r="AQ2701" s="47" t="n"/>
      <c r="AR2701" s="47" t="n"/>
      <c r="AS2701" s="47" t="n"/>
      <c r="AT2701" s="47" t="n"/>
      <c r="AU2701" s="47" t="n"/>
      <c r="AV2701" s="47" t="n"/>
      <c r="AW2701" s="52" t="n"/>
    </row>
    <row r="2702">
      <c r="A2702" s="48" t="n"/>
      <c r="B2702" s="52" t="n"/>
      <c r="C2702" s="47">
        <f>IF(B2702="","",IFERROR(INDEX('隊員マスタ'!$B$5:$B$204,MATCH(B2702&amp;"",'隊員マスタ'!$F$5:$F$204,0)),IF(AK2702="","番号なし",AK2702)))</f>
        <v/>
      </c>
      <c r="D2702" s="47" t="n"/>
      <c r="E2702" s="47" t="n"/>
      <c r="F2702" s="47" t="n"/>
      <c r="G2702" s="47" t="n"/>
      <c r="H2702" s="47" t="n"/>
      <c r="I2702" s="47" t="n"/>
      <c r="J2702" s="47" t="n"/>
      <c r="K2702" s="47" t="n"/>
      <c r="L2702" s="47" t="n"/>
      <c r="M2702" s="47" t="n"/>
      <c r="N2702" s="47" t="n"/>
      <c r="O2702" s="47" t="n"/>
      <c r="P2702" s="47" t="n"/>
      <c r="Q2702" s="47" t="n"/>
      <c r="R2702" s="47" t="n"/>
      <c r="S2702" s="47" t="n"/>
      <c r="T2702" s="47" t="n"/>
      <c r="U2702" s="53" t="n"/>
      <c r="V2702" s="53" t="n"/>
      <c r="W2702" s="47" t="n"/>
      <c r="X2702" s="47" t="n"/>
      <c r="Y2702" s="47" t="n"/>
      <c r="Z2702" s="47" t="n"/>
      <c r="AA2702" s="47" t="n"/>
      <c r="AB2702" s="47" t="n"/>
      <c r="AC2702" s="47" t="n"/>
      <c r="AD2702" s="47" t="n"/>
      <c r="AE2702" s="47" t="n"/>
      <c r="AF2702" s="20">
        <f>IF(A2702="","",YEAR(EDATE(A2702,-3)))</f>
        <v/>
      </c>
      <c r="AG2702" s="20">
        <f>IF(OR(B2702="",'経歴簿'!$C$4=""),"",IF(B2702&amp;""='経歴簿'!$C$4&amp;"",MAX($AG$4:AG2701)+1,""))</f>
        <v/>
      </c>
      <c r="AH2702" s="20">
        <f>IF(A2702="",0,IF(AND(OR('CSV抽出'!$C$4="",A2702&gt;='CSV抽出'!$C$4),OR('CSV抽出'!$C$5="",A2702&lt;='CSV抽出'!$C$5),OR('CSV抽出'!$C$6="すべて",'CSV抽出'!$C$6="",D2702='CSV抽出'!$C$6),OR('CSV抽出'!$C$7="",B2702&amp;""='CSV抽出'!$C$7&amp;"")),1,0))</f>
        <v/>
      </c>
      <c r="AI2702" s="20">
        <f>IF(AH2702=1,SUM($AH$5:AH2702),"")</f>
        <v/>
      </c>
      <c r="AJ2702" s="20">
        <f>IF(OR(S2702="",'報告書'!$C$4=""),"",IF(S2702&amp;""='報告書'!$C$4&amp;"",COUNTIF($S$5:S2702,'報告書'!$C$4),""))</f>
        <v/>
      </c>
      <c r="AK2702" s="20" t="n"/>
      <c r="AL2702" s="47" t="n"/>
      <c r="AM2702" s="47" t="n"/>
      <c r="AN2702" s="53" t="n"/>
      <c r="AO2702" s="47" t="n"/>
      <c r="AP2702" s="47" t="n"/>
      <c r="AQ2702" s="47" t="n"/>
      <c r="AR2702" s="47" t="n"/>
      <c r="AS2702" s="47" t="n"/>
      <c r="AT2702" s="47" t="n"/>
      <c r="AU2702" s="47" t="n"/>
      <c r="AV2702" s="47" t="n"/>
      <c r="AW2702" s="52" t="n"/>
    </row>
    <row r="2703">
      <c r="A2703" s="48" t="n"/>
      <c r="B2703" s="52" t="n"/>
      <c r="C2703" s="47">
        <f>IF(B2703="","",IFERROR(INDEX('隊員マスタ'!$B$5:$B$204,MATCH(B2703&amp;"",'隊員マスタ'!$F$5:$F$204,0)),IF(AK2703="","番号なし",AK2703)))</f>
        <v/>
      </c>
      <c r="D2703" s="47" t="n"/>
      <c r="E2703" s="47" t="n"/>
      <c r="F2703" s="47" t="n"/>
      <c r="G2703" s="47" t="n"/>
      <c r="H2703" s="47" t="n"/>
      <c r="I2703" s="47" t="n"/>
      <c r="J2703" s="47" t="n"/>
      <c r="K2703" s="47" t="n"/>
      <c r="L2703" s="47" t="n"/>
      <c r="M2703" s="47" t="n"/>
      <c r="N2703" s="47" t="n"/>
      <c r="O2703" s="47" t="n"/>
      <c r="P2703" s="47" t="n"/>
      <c r="Q2703" s="47" t="n"/>
      <c r="R2703" s="47" t="n"/>
      <c r="S2703" s="47" t="n"/>
      <c r="T2703" s="47" t="n"/>
      <c r="U2703" s="53" t="n"/>
      <c r="V2703" s="53" t="n"/>
      <c r="W2703" s="47" t="n"/>
      <c r="X2703" s="47" t="n"/>
      <c r="Y2703" s="47" t="n"/>
      <c r="Z2703" s="47" t="n"/>
      <c r="AA2703" s="47" t="n"/>
      <c r="AB2703" s="47" t="n"/>
      <c r="AC2703" s="47" t="n"/>
      <c r="AD2703" s="47" t="n"/>
      <c r="AE2703" s="47" t="n"/>
      <c r="AF2703" s="20">
        <f>IF(A2703="","",YEAR(EDATE(A2703,-3)))</f>
        <v/>
      </c>
      <c r="AG2703" s="20">
        <f>IF(OR(B2703="",'経歴簿'!$C$4=""),"",IF(B2703&amp;""='経歴簿'!$C$4&amp;"",MAX($AG$4:AG2702)+1,""))</f>
        <v/>
      </c>
      <c r="AH2703" s="20">
        <f>IF(A2703="",0,IF(AND(OR('CSV抽出'!$C$4="",A2703&gt;='CSV抽出'!$C$4),OR('CSV抽出'!$C$5="",A2703&lt;='CSV抽出'!$C$5),OR('CSV抽出'!$C$6="すべて",'CSV抽出'!$C$6="",D2703='CSV抽出'!$C$6),OR('CSV抽出'!$C$7="",B2703&amp;""='CSV抽出'!$C$7&amp;"")),1,0))</f>
        <v/>
      </c>
      <c r="AI2703" s="20">
        <f>IF(AH2703=1,SUM($AH$5:AH2703),"")</f>
        <v/>
      </c>
      <c r="AJ2703" s="20">
        <f>IF(OR(S2703="",'報告書'!$C$4=""),"",IF(S2703&amp;""='報告書'!$C$4&amp;"",COUNTIF($S$5:S2703,'報告書'!$C$4),""))</f>
        <v/>
      </c>
      <c r="AK2703" s="20" t="n"/>
      <c r="AL2703" s="47" t="n"/>
      <c r="AM2703" s="47" t="n"/>
      <c r="AN2703" s="53" t="n"/>
      <c r="AO2703" s="47" t="n"/>
      <c r="AP2703" s="47" t="n"/>
      <c r="AQ2703" s="47" t="n"/>
      <c r="AR2703" s="47" t="n"/>
      <c r="AS2703" s="47" t="n"/>
      <c r="AT2703" s="47" t="n"/>
      <c r="AU2703" s="47" t="n"/>
      <c r="AV2703" s="47" t="n"/>
      <c r="AW2703" s="52" t="n"/>
    </row>
    <row r="2704">
      <c r="A2704" s="48" t="n"/>
      <c r="B2704" s="52" t="n"/>
      <c r="C2704" s="47">
        <f>IF(B2704="","",IFERROR(INDEX('隊員マスタ'!$B$5:$B$204,MATCH(B2704&amp;"",'隊員マスタ'!$F$5:$F$204,0)),IF(AK2704="","番号なし",AK2704)))</f>
        <v/>
      </c>
      <c r="D2704" s="47" t="n"/>
      <c r="E2704" s="47" t="n"/>
      <c r="F2704" s="47" t="n"/>
      <c r="G2704" s="47" t="n"/>
      <c r="H2704" s="47" t="n"/>
      <c r="I2704" s="47" t="n"/>
      <c r="J2704" s="47" t="n"/>
      <c r="K2704" s="47" t="n"/>
      <c r="L2704" s="47" t="n"/>
      <c r="M2704" s="47" t="n"/>
      <c r="N2704" s="47" t="n"/>
      <c r="O2704" s="47" t="n"/>
      <c r="P2704" s="47" t="n"/>
      <c r="Q2704" s="47" t="n"/>
      <c r="R2704" s="47" t="n"/>
      <c r="S2704" s="47" t="n"/>
      <c r="T2704" s="47" t="n"/>
      <c r="U2704" s="53" t="n"/>
      <c r="V2704" s="53" t="n"/>
      <c r="W2704" s="47" t="n"/>
      <c r="X2704" s="47" t="n"/>
      <c r="Y2704" s="47" t="n"/>
      <c r="Z2704" s="47" t="n"/>
      <c r="AA2704" s="47" t="n"/>
      <c r="AB2704" s="47" t="n"/>
      <c r="AC2704" s="47" t="n"/>
      <c r="AD2704" s="47" t="n"/>
      <c r="AE2704" s="47" t="n"/>
      <c r="AF2704" s="20">
        <f>IF(A2704="","",YEAR(EDATE(A2704,-3)))</f>
        <v/>
      </c>
      <c r="AG2704" s="20">
        <f>IF(OR(B2704="",'経歴簿'!$C$4=""),"",IF(B2704&amp;""='経歴簿'!$C$4&amp;"",MAX($AG$4:AG2703)+1,""))</f>
        <v/>
      </c>
      <c r="AH2704" s="20">
        <f>IF(A2704="",0,IF(AND(OR('CSV抽出'!$C$4="",A2704&gt;='CSV抽出'!$C$4),OR('CSV抽出'!$C$5="",A2704&lt;='CSV抽出'!$C$5),OR('CSV抽出'!$C$6="すべて",'CSV抽出'!$C$6="",D2704='CSV抽出'!$C$6),OR('CSV抽出'!$C$7="",B2704&amp;""='CSV抽出'!$C$7&amp;"")),1,0))</f>
        <v/>
      </c>
      <c r="AI2704" s="20">
        <f>IF(AH2704=1,SUM($AH$5:AH2704),"")</f>
        <v/>
      </c>
      <c r="AJ2704" s="20">
        <f>IF(OR(S2704="",'報告書'!$C$4=""),"",IF(S2704&amp;""='報告書'!$C$4&amp;"",COUNTIF($S$5:S2704,'報告書'!$C$4),""))</f>
        <v/>
      </c>
      <c r="AK2704" s="20" t="n"/>
      <c r="AL2704" s="47" t="n"/>
      <c r="AM2704" s="47" t="n"/>
      <c r="AN2704" s="53" t="n"/>
      <c r="AO2704" s="47" t="n"/>
      <c r="AP2704" s="47" t="n"/>
      <c r="AQ2704" s="47" t="n"/>
      <c r="AR2704" s="47" t="n"/>
      <c r="AS2704" s="47" t="n"/>
      <c r="AT2704" s="47" t="n"/>
      <c r="AU2704" s="47" t="n"/>
      <c r="AV2704" s="47" t="n"/>
      <c r="AW2704" s="52" t="n"/>
    </row>
    <row r="2705">
      <c r="A2705" s="48" t="n"/>
      <c r="B2705" s="52" t="n"/>
      <c r="C2705" s="47">
        <f>IF(B2705="","",IFERROR(INDEX('隊員マスタ'!$B$5:$B$204,MATCH(B2705&amp;"",'隊員マスタ'!$F$5:$F$204,0)),IF(AK2705="","番号なし",AK2705)))</f>
        <v/>
      </c>
      <c r="D2705" s="47" t="n"/>
      <c r="E2705" s="47" t="n"/>
      <c r="F2705" s="47" t="n"/>
      <c r="G2705" s="47" t="n"/>
      <c r="H2705" s="47" t="n"/>
      <c r="I2705" s="47" t="n"/>
      <c r="J2705" s="47" t="n"/>
      <c r="K2705" s="47" t="n"/>
      <c r="L2705" s="47" t="n"/>
      <c r="M2705" s="47" t="n"/>
      <c r="N2705" s="47" t="n"/>
      <c r="O2705" s="47" t="n"/>
      <c r="P2705" s="47" t="n"/>
      <c r="Q2705" s="47" t="n"/>
      <c r="R2705" s="47" t="n"/>
      <c r="S2705" s="47" t="n"/>
      <c r="T2705" s="47" t="n"/>
      <c r="U2705" s="53" t="n"/>
      <c r="V2705" s="53" t="n"/>
      <c r="W2705" s="47" t="n"/>
      <c r="X2705" s="47" t="n"/>
      <c r="Y2705" s="47" t="n"/>
      <c r="Z2705" s="47" t="n"/>
      <c r="AA2705" s="47" t="n"/>
      <c r="AB2705" s="47" t="n"/>
      <c r="AC2705" s="47" t="n"/>
      <c r="AD2705" s="47" t="n"/>
      <c r="AE2705" s="47" t="n"/>
      <c r="AF2705" s="20">
        <f>IF(A2705="","",YEAR(EDATE(A2705,-3)))</f>
        <v/>
      </c>
      <c r="AG2705" s="20">
        <f>IF(OR(B2705="",'経歴簿'!$C$4=""),"",IF(B2705&amp;""='経歴簿'!$C$4&amp;"",MAX($AG$4:AG2704)+1,""))</f>
        <v/>
      </c>
      <c r="AH2705" s="20">
        <f>IF(A2705="",0,IF(AND(OR('CSV抽出'!$C$4="",A2705&gt;='CSV抽出'!$C$4),OR('CSV抽出'!$C$5="",A2705&lt;='CSV抽出'!$C$5),OR('CSV抽出'!$C$6="すべて",'CSV抽出'!$C$6="",D2705='CSV抽出'!$C$6),OR('CSV抽出'!$C$7="",B2705&amp;""='CSV抽出'!$C$7&amp;"")),1,0))</f>
        <v/>
      </c>
      <c r="AI2705" s="20">
        <f>IF(AH2705=1,SUM($AH$5:AH2705),"")</f>
        <v/>
      </c>
      <c r="AJ2705" s="20">
        <f>IF(OR(S2705="",'報告書'!$C$4=""),"",IF(S2705&amp;""='報告書'!$C$4&amp;"",COUNTIF($S$5:S2705,'報告書'!$C$4),""))</f>
        <v/>
      </c>
      <c r="AK2705" s="20" t="n"/>
      <c r="AL2705" s="47" t="n"/>
      <c r="AM2705" s="47" t="n"/>
      <c r="AN2705" s="53" t="n"/>
      <c r="AO2705" s="47" t="n"/>
      <c r="AP2705" s="47" t="n"/>
      <c r="AQ2705" s="47" t="n"/>
      <c r="AR2705" s="47" t="n"/>
      <c r="AS2705" s="47" t="n"/>
      <c r="AT2705" s="47" t="n"/>
      <c r="AU2705" s="47" t="n"/>
      <c r="AV2705" s="47" t="n"/>
      <c r="AW2705" s="52" t="n"/>
    </row>
    <row r="2706">
      <c r="A2706" s="48" t="n"/>
      <c r="B2706" s="52" t="n"/>
      <c r="C2706" s="47">
        <f>IF(B2706="","",IFERROR(INDEX('隊員マスタ'!$B$5:$B$204,MATCH(B2706&amp;"",'隊員マスタ'!$F$5:$F$204,0)),IF(AK2706="","番号なし",AK2706)))</f>
        <v/>
      </c>
      <c r="D2706" s="47" t="n"/>
      <c r="E2706" s="47" t="n"/>
      <c r="F2706" s="47" t="n"/>
      <c r="G2706" s="47" t="n"/>
      <c r="H2706" s="47" t="n"/>
      <c r="I2706" s="47" t="n"/>
      <c r="J2706" s="47" t="n"/>
      <c r="K2706" s="47" t="n"/>
      <c r="L2706" s="47" t="n"/>
      <c r="M2706" s="47" t="n"/>
      <c r="N2706" s="47" t="n"/>
      <c r="O2706" s="47" t="n"/>
      <c r="P2706" s="47" t="n"/>
      <c r="Q2706" s="47" t="n"/>
      <c r="R2706" s="47" t="n"/>
      <c r="S2706" s="47" t="n"/>
      <c r="T2706" s="47" t="n"/>
      <c r="U2706" s="53" t="n"/>
      <c r="V2706" s="53" t="n"/>
      <c r="W2706" s="47" t="n"/>
      <c r="X2706" s="47" t="n"/>
      <c r="Y2706" s="47" t="n"/>
      <c r="Z2706" s="47" t="n"/>
      <c r="AA2706" s="47" t="n"/>
      <c r="AB2706" s="47" t="n"/>
      <c r="AC2706" s="47" t="n"/>
      <c r="AD2706" s="47" t="n"/>
      <c r="AE2706" s="47" t="n"/>
      <c r="AF2706" s="20">
        <f>IF(A2706="","",YEAR(EDATE(A2706,-3)))</f>
        <v/>
      </c>
      <c r="AG2706" s="20">
        <f>IF(OR(B2706="",'経歴簿'!$C$4=""),"",IF(B2706&amp;""='経歴簿'!$C$4&amp;"",MAX($AG$4:AG2705)+1,""))</f>
        <v/>
      </c>
      <c r="AH2706" s="20">
        <f>IF(A2706="",0,IF(AND(OR('CSV抽出'!$C$4="",A2706&gt;='CSV抽出'!$C$4),OR('CSV抽出'!$C$5="",A2706&lt;='CSV抽出'!$C$5),OR('CSV抽出'!$C$6="すべて",'CSV抽出'!$C$6="",D2706='CSV抽出'!$C$6),OR('CSV抽出'!$C$7="",B2706&amp;""='CSV抽出'!$C$7&amp;"")),1,0))</f>
        <v/>
      </c>
      <c r="AI2706" s="20">
        <f>IF(AH2706=1,SUM($AH$5:AH2706),"")</f>
        <v/>
      </c>
      <c r="AJ2706" s="20">
        <f>IF(OR(S2706="",'報告書'!$C$4=""),"",IF(S2706&amp;""='報告書'!$C$4&amp;"",COUNTIF($S$5:S2706,'報告書'!$C$4),""))</f>
        <v/>
      </c>
      <c r="AK2706" s="20" t="n"/>
      <c r="AL2706" s="47" t="n"/>
      <c r="AM2706" s="47" t="n"/>
      <c r="AN2706" s="53" t="n"/>
      <c r="AO2706" s="47" t="n"/>
      <c r="AP2706" s="47" t="n"/>
      <c r="AQ2706" s="47" t="n"/>
      <c r="AR2706" s="47" t="n"/>
      <c r="AS2706" s="47" t="n"/>
      <c r="AT2706" s="47" t="n"/>
      <c r="AU2706" s="47" t="n"/>
      <c r="AV2706" s="47" t="n"/>
      <c r="AW2706" s="52" t="n"/>
    </row>
    <row r="2707">
      <c r="A2707" s="48" t="n"/>
      <c r="B2707" s="52" t="n"/>
      <c r="C2707" s="47">
        <f>IF(B2707="","",IFERROR(INDEX('隊員マスタ'!$B$5:$B$204,MATCH(B2707&amp;"",'隊員マスタ'!$F$5:$F$204,0)),IF(AK2707="","番号なし",AK2707)))</f>
        <v/>
      </c>
      <c r="D2707" s="47" t="n"/>
      <c r="E2707" s="47" t="n"/>
      <c r="F2707" s="47" t="n"/>
      <c r="G2707" s="47" t="n"/>
      <c r="H2707" s="47" t="n"/>
      <c r="I2707" s="47" t="n"/>
      <c r="J2707" s="47" t="n"/>
      <c r="K2707" s="47" t="n"/>
      <c r="L2707" s="47" t="n"/>
      <c r="M2707" s="47" t="n"/>
      <c r="N2707" s="47" t="n"/>
      <c r="O2707" s="47" t="n"/>
      <c r="P2707" s="47" t="n"/>
      <c r="Q2707" s="47" t="n"/>
      <c r="R2707" s="47" t="n"/>
      <c r="S2707" s="47" t="n"/>
      <c r="T2707" s="47" t="n"/>
      <c r="U2707" s="53" t="n"/>
      <c r="V2707" s="53" t="n"/>
      <c r="W2707" s="47" t="n"/>
      <c r="X2707" s="47" t="n"/>
      <c r="Y2707" s="47" t="n"/>
      <c r="Z2707" s="47" t="n"/>
      <c r="AA2707" s="47" t="n"/>
      <c r="AB2707" s="47" t="n"/>
      <c r="AC2707" s="47" t="n"/>
      <c r="AD2707" s="47" t="n"/>
      <c r="AE2707" s="47" t="n"/>
      <c r="AF2707" s="20">
        <f>IF(A2707="","",YEAR(EDATE(A2707,-3)))</f>
        <v/>
      </c>
      <c r="AG2707" s="20">
        <f>IF(OR(B2707="",'経歴簿'!$C$4=""),"",IF(B2707&amp;""='経歴簿'!$C$4&amp;"",MAX($AG$4:AG2706)+1,""))</f>
        <v/>
      </c>
      <c r="AH2707" s="20">
        <f>IF(A2707="",0,IF(AND(OR('CSV抽出'!$C$4="",A2707&gt;='CSV抽出'!$C$4),OR('CSV抽出'!$C$5="",A2707&lt;='CSV抽出'!$C$5),OR('CSV抽出'!$C$6="すべて",'CSV抽出'!$C$6="",D2707='CSV抽出'!$C$6),OR('CSV抽出'!$C$7="",B2707&amp;""='CSV抽出'!$C$7&amp;"")),1,0))</f>
        <v/>
      </c>
      <c r="AI2707" s="20">
        <f>IF(AH2707=1,SUM($AH$5:AH2707),"")</f>
        <v/>
      </c>
      <c r="AJ2707" s="20">
        <f>IF(OR(S2707="",'報告書'!$C$4=""),"",IF(S2707&amp;""='報告書'!$C$4&amp;"",COUNTIF($S$5:S2707,'報告書'!$C$4),""))</f>
        <v/>
      </c>
      <c r="AK2707" s="20" t="n"/>
      <c r="AL2707" s="47" t="n"/>
      <c r="AM2707" s="47" t="n"/>
      <c r="AN2707" s="53" t="n"/>
      <c r="AO2707" s="47" t="n"/>
      <c r="AP2707" s="47" t="n"/>
      <c r="AQ2707" s="47" t="n"/>
      <c r="AR2707" s="47" t="n"/>
      <c r="AS2707" s="47" t="n"/>
      <c r="AT2707" s="47" t="n"/>
      <c r="AU2707" s="47" t="n"/>
      <c r="AV2707" s="47" t="n"/>
      <c r="AW2707" s="52" t="n"/>
    </row>
    <row r="2708">
      <c r="A2708" s="48" t="n"/>
      <c r="B2708" s="52" t="n"/>
      <c r="C2708" s="47">
        <f>IF(B2708="","",IFERROR(INDEX('隊員マスタ'!$B$5:$B$204,MATCH(B2708&amp;"",'隊員マスタ'!$F$5:$F$204,0)),IF(AK2708="","番号なし",AK2708)))</f>
        <v/>
      </c>
      <c r="D2708" s="47" t="n"/>
      <c r="E2708" s="47" t="n"/>
      <c r="F2708" s="47" t="n"/>
      <c r="G2708" s="47" t="n"/>
      <c r="H2708" s="47" t="n"/>
      <c r="I2708" s="47" t="n"/>
      <c r="J2708" s="47" t="n"/>
      <c r="K2708" s="47" t="n"/>
      <c r="L2708" s="47" t="n"/>
      <c r="M2708" s="47" t="n"/>
      <c r="N2708" s="47" t="n"/>
      <c r="O2708" s="47" t="n"/>
      <c r="P2708" s="47" t="n"/>
      <c r="Q2708" s="47" t="n"/>
      <c r="R2708" s="47" t="n"/>
      <c r="S2708" s="47" t="n"/>
      <c r="T2708" s="47" t="n"/>
      <c r="U2708" s="53" t="n"/>
      <c r="V2708" s="53" t="n"/>
      <c r="W2708" s="47" t="n"/>
      <c r="X2708" s="47" t="n"/>
      <c r="Y2708" s="47" t="n"/>
      <c r="Z2708" s="47" t="n"/>
      <c r="AA2708" s="47" t="n"/>
      <c r="AB2708" s="47" t="n"/>
      <c r="AC2708" s="47" t="n"/>
      <c r="AD2708" s="47" t="n"/>
      <c r="AE2708" s="47" t="n"/>
      <c r="AF2708" s="20">
        <f>IF(A2708="","",YEAR(EDATE(A2708,-3)))</f>
        <v/>
      </c>
      <c r="AG2708" s="20">
        <f>IF(OR(B2708="",'経歴簿'!$C$4=""),"",IF(B2708&amp;""='経歴簿'!$C$4&amp;"",MAX($AG$4:AG2707)+1,""))</f>
        <v/>
      </c>
      <c r="AH2708" s="20">
        <f>IF(A2708="",0,IF(AND(OR('CSV抽出'!$C$4="",A2708&gt;='CSV抽出'!$C$4),OR('CSV抽出'!$C$5="",A2708&lt;='CSV抽出'!$C$5),OR('CSV抽出'!$C$6="すべて",'CSV抽出'!$C$6="",D2708='CSV抽出'!$C$6),OR('CSV抽出'!$C$7="",B2708&amp;""='CSV抽出'!$C$7&amp;"")),1,0))</f>
        <v/>
      </c>
      <c r="AI2708" s="20">
        <f>IF(AH2708=1,SUM($AH$5:AH2708),"")</f>
        <v/>
      </c>
      <c r="AJ2708" s="20">
        <f>IF(OR(S2708="",'報告書'!$C$4=""),"",IF(S2708&amp;""='報告書'!$C$4&amp;"",COUNTIF($S$5:S2708,'報告書'!$C$4),""))</f>
        <v/>
      </c>
      <c r="AK2708" s="20" t="n"/>
      <c r="AL2708" s="47" t="n"/>
      <c r="AM2708" s="47" t="n"/>
      <c r="AN2708" s="53" t="n"/>
      <c r="AO2708" s="47" t="n"/>
      <c r="AP2708" s="47" t="n"/>
      <c r="AQ2708" s="47" t="n"/>
      <c r="AR2708" s="47" t="n"/>
      <c r="AS2708" s="47" t="n"/>
      <c r="AT2708" s="47" t="n"/>
      <c r="AU2708" s="47" t="n"/>
      <c r="AV2708" s="47" t="n"/>
      <c r="AW2708" s="52" t="n"/>
    </row>
    <row r="2709">
      <c r="A2709" s="48" t="n"/>
      <c r="B2709" s="52" t="n"/>
      <c r="C2709" s="47">
        <f>IF(B2709="","",IFERROR(INDEX('隊員マスタ'!$B$5:$B$204,MATCH(B2709&amp;"",'隊員マスタ'!$F$5:$F$204,0)),IF(AK2709="","番号なし",AK2709)))</f>
        <v/>
      </c>
      <c r="D2709" s="47" t="n"/>
      <c r="E2709" s="47" t="n"/>
      <c r="F2709" s="47" t="n"/>
      <c r="G2709" s="47" t="n"/>
      <c r="H2709" s="47" t="n"/>
      <c r="I2709" s="47" t="n"/>
      <c r="J2709" s="47" t="n"/>
      <c r="K2709" s="47" t="n"/>
      <c r="L2709" s="47" t="n"/>
      <c r="M2709" s="47" t="n"/>
      <c r="N2709" s="47" t="n"/>
      <c r="O2709" s="47" t="n"/>
      <c r="P2709" s="47" t="n"/>
      <c r="Q2709" s="47" t="n"/>
      <c r="R2709" s="47" t="n"/>
      <c r="S2709" s="47" t="n"/>
      <c r="T2709" s="47" t="n"/>
      <c r="U2709" s="53" t="n"/>
      <c r="V2709" s="53" t="n"/>
      <c r="W2709" s="47" t="n"/>
      <c r="X2709" s="47" t="n"/>
      <c r="Y2709" s="47" t="n"/>
      <c r="Z2709" s="47" t="n"/>
      <c r="AA2709" s="47" t="n"/>
      <c r="AB2709" s="47" t="n"/>
      <c r="AC2709" s="47" t="n"/>
      <c r="AD2709" s="47" t="n"/>
      <c r="AE2709" s="47" t="n"/>
      <c r="AF2709" s="20">
        <f>IF(A2709="","",YEAR(EDATE(A2709,-3)))</f>
        <v/>
      </c>
      <c r="AG2709" s="20">
        <f>IF(OR(B2709="",'経歴簿'!$C$4=""),"",IF(B2709&amp;""='経歴簿'!$C$4&amp;"",MAX($AG$4:AG2708)+1,""))</f>
        <v/>
      </c>
      <c r="AH2709" s="20">
        <f>IF(A2709="",0,IF(AND(OR('CSV抽出'!$C$4="",A2709&gt;='CSV抽出'!$C$4),OR('CSV抽出'!$C$5="",A2709&lt;='CSV抽出'!$C$5),OR('CSV抽出'!$C$6="すべて",'CSV抽出'!$C$6="",D2709='CSV抽出'!$C$6),OR('CSV抽出'!$C$7="",B2709&amp;""='CSV抽出'!$C$7&amp;"")),1,0))</f>
        <v/>
      </c>
      <c r="AI2709" s="20">
        <f>IF(AH2709=1,SUM($AH$5:AH2709),"")</f>
        <v/>
      </c>
      <c r="AJ2709" s="20">
        <f>IF(OR(S2709="",'報告書'!$C$4=""),"",IF(S2709&amp;""='報告書'!$C$4&amp;"",COUNTIF($S$5:S2709,'報告書'!$C$4),""))</f>
        <v/>
      </c>
      <c r="AK2709" s="20" t="n"/>
      <c r="AL2709" s="47" t="n"/>
      <c r="AM2709" s="47" t="n"/>
      <c r="AN2709" s="53" t="n"/>
      <c r="AO2709" s="47" t="n"/>
      <c r="AP2709" s="47" t="n"/>
      <c r="AQ2709" s="47" t="n"/>
      <c r="AR2709" s="47" t="n"/>
      <c r="AS2709" s="47" t="n"/>
      <c r="AT2709" s="47" t="n"/>
      <c r="AU2709" s="47" t="n"/>
      <c r="AV2709" s="47" t="n"/>
      <c r="AW2709" s="52" t="n"/>
    </row>
    <row r="2710">
      <c r="A2710" s="48" t="n"/>
      <c r="B2710" s="52" t="n"/>
      <c r="C2710" s="47">
        <f>IF(B2710="","",IFERROR(INDEX('隊員マスタ'!$B$5:$B$204,MATCH(B2710&amp;"",'隊員マスタ'!$F$5:$F$204,0)),IF(AK2710="","番号なし",AK2710)))</f>
        <v/>
      </c>
      <c r="D2710" s="47" t="n"/>
      <c r="E2710" s="47" t="n"/>
      <c r="F2710" s="47" t="n"/>
      <c r="G2710" s="47" t="n"/>
      <c r="H2710" s="47" t="n"/>
      <c r="I2710" s="47" t="n"/>
      <c r="J2710" s="47" t="n"/>
      <c r="K2710" s="47" t="n"/>
      <c r="L2710" s="47" t="n"/>
      <c r="M2710" s="47" t="n"/>
      <c r="N2710" s="47" t="n"/>
      <c r="O2710" s="47" t="n"/>
      <c r="P2710" s="47" t="n"/>
      <c r="Q2710" s="47" t="n"/>
      <c r="R2710" s="47" t="n"/>
      <c r="S2710" s="47" t="n"/>
      <c r="T2710" s="47" t="n"/>
      <c r="U2710" s="53" t="n"/>
      <c r="V2710" s="53" t="n"/>
      <c r="W2710" s="47" t="n"/>
      <c r="X2710" s="47" t="n"/>
      <c r="Y2710" s="47" t="n"/>
      <c r="Z2710" s="47" t="n"/>
      <c r="AA2710" s="47" t="n"/>
      <c r="AB2710" s="47" t="n"/>
      <c r="AC2710" s="47" t="n"/>
      <c r="AD2710" s="47" t="n"/>
      <c r="AE2710" s="47" t="n"/>
      <c r="AF2710" s="20">
        <f>IF(A2710="","",YEAR(EDATE(A2710,-3)))</f>
        <v/>
      </c>
      <c r="AG2710" s="20">
        <f>IF(OR(B2710="",'経歴簿'!$C$4=""),"",IF(B2710&amp;""='経歴簿'!$C$4&amp;"",MAX($AG$4:AG2709)+1,""))</f>
        <v/>
      </c>
      <c r="AH2710" s="20">
        <f>IF(A2710="",0,IF(AND(OR('CSV抽出'!$C$4="",A2710&gt;='CSV抽出'!$C$4),OR('CSV抽出'!$C$5="",A2710&lt;='CSV抽出'!$C$5),OR('CSV抽出'!$C$6="すべて",'CSV抽出'!$C$6="",D2710='CSV抽出'!$C$6),OR('CSV抽出'!$C$7="",B2710&amp;""='CSV抽出'!$C$7&amp;"")),1,0))</f>
        <v/>
      </c>
      <c r="AI2710" s="20">
        <f>IF(AH2710=1,SUM($AH$5:AH2710),"")</f>
        <v/>
      </c>
      <c r="AJ2710" s="20">
        <f>IF(OR(S2710="",'報告書'!$C$4=""),"",IF(S2710&amp;""='報告書'!$C$4&amp;"",COUNTIF($S$5:S2710,'報告書'!$C$4),""))</f>
        <v/>
      </c>
      <c r="AK2710" s="20" t="n"/>
      <c r="AL2710" s="47" t="n"/>
      <c r="AM2710" s="47" t="n"/>
      <c r="AN2710" s="53" t="n"/>
      <c r="AO2710" s="47" t="n"/>
      <c r="AP2710" s="47" t="n"/>
      <c r="AQ2710" s="47" t="n"/>
      <c r="AR2710" s="47" t="n"/>
      <c r="AS2710" s="47" t="n"/>
      <c r="AT2710" s="47" t="n"/>
      <c r="AU2710" s="47" t="n"/>
      <c r="AV2710" s="47" t="n"/>
      <c r="AW2710" s="52" t="n"/>
    </row>
    <row r="2711">
      <c r="A2711" s="48" t="n"/>
      <c r="B2711" s="52" t="n"/>
      <c r="C2711" s="47">
        <f>IF(B2711="","",IFERROR(INDEX('隊員マスタ'!$B$5:$B$204,MATCH(B2711&amp;"",'隊員マスタ'!$F$5:$F$204,0)),IF(AK2711="","番号なし",AK2711)))</f>
        <v/>
      </c>
      <c r="D2711" s="47" t="n"/>
      <c r="E2711" s="47" t="n"/>
      <c r="F2711" s="47" t="n"/>
      <c r="G2711" s="47" t="n"/>
      <c r="H2711" s="47" t="n"/>
      <c r="I2711" s="47" t="n"/>
      <c r="J2711" s="47" t="n"/>
      <c r="K2711" s="47" t="n"/>
      <c r="L2711" s="47" t="n"/>
      <c r="M2711" s="47" t="n"/>
      <c r="N2711" s="47" t="n"/>
      <c r="O2711" s="47" t="n"/>
      <c r="P2711" s="47" t="n"/>
      <c r="Q2711" s="47" t="n"/>
      <c r="R2711" s="47" t="n"/>
      <c r="S2711" s="47" t="n"/>
      <c r="T2711" s="47" t="n"/>
      <c r="U2711" s="53" t="n"/>
      <c r="V2711" s="53" t="n"/>
      <c r="W2711" s="47" t="n"/>
      <c r="X2711" s="47" t="n"/>
      <c r="Y2711" s="47" t="n"/>
      <c r="Z2711" s="47" t="n"/>
      <c r="AA2711" s="47" t="n"/>
      <c r="AB2711" s="47" t="n"/>
      <c r="AC2711" s="47" t="n"/>
      <c r="AD2711" s="47" t="n"/>
      <c r="AE2711" s="47" t="n"/>
      <c r="AF2711" s="20">
        <f>IF(A2711="","",YEAR(EDATE(A2711,-3)))</f>
        <v/>
      </c>
      <c r="AG2711" s="20">
        <f>IF(OR(B2711="",'経歴簿'!$C$4=""),"",IF(B2711&amp;""='経歴簿'!$C$4&amp;"",MAX($AG$4:AG2710)+1,""))</f>
        <v/>
      </c>
      <c r="AH2711" s="20">
        <f>IF(A2711="",0,IF(AND(OR('CSV抽出'!$C$4="",A2711&gt;='CSV抽出'!$C$4),OR('CSV抽出'!$C$5="",A2711&lt;='CSV抽出'!$C$5),OR('CSV抽出'!$C$6="すべて",'CSV抽出'!$C$6="",D2711='CSV抽出'!$C$6),OR('CSV抽出'!$C$7="",B2711&amp;""='CSV抽出'!$C$7&amp;"")),1,0))</f>
        <v/>
      </c>
      <c r="AI2711" s="20">
        <f>IF(AH2711=1,SUM($AH$5:AH2711),"")</f>
        <v/>
      </c>
      <c r="AJ2711" s="20">
        <f>IF(OR(S2711="",'報告書'!$C$4=""),"",IF(S2711&amp;""='報告書'!$C$4&amp;"",COUNTIF($S$5:S2711,'報告書'!$C$4),""))</f>
        <v/>
      </c>
      <c r="AK2711" s="20" t="n"/>
      <c r="AL2711" s="47" t="n"/>
      <c r="AM2711" s="47" t="n"/>
      <c r="AN2711" s="53" t="n"/>
      <c r="AO2711" s="47" t="n"/>
      <c r="AP2711" s="47" t="n"/>
      <c r="AQ2711" s="47" t="n"/>
      <c r="AR2711" s="47" t="n"/>
      <c r="AS2711" s="47" t="n"/>
      <c r="AT2711" s="47" t="n"/>
      <c r="AU2711" s="47" t="n"/>
      <c r="AV2711" s="47" t="n"/>
      <c r="AW2711" s="52" t="n"/>
    </row>
    <row r="2712">
      <c r="A2712" s="48" t="n"/>
      <c r="B2712" s="52" t="n"/>
      <c r="C2712" s="47">
        <f>IF(B2712="","",IFERROR(INDEX('隊員マスタ'!$B$5:$B$204,MATCH(B2712&amp;"",'隊員マスタ'!$F$5:$F$204,0)),IF(AK2712="","番号なし",AK2712)))</f>
        <v/>
      </c>
      <c r="D2712" s="47" t="n"/>
      <c r="E2712" s="47" t="n"/>
      <c r="F2712" s="47" t="n"/>
      <c r="G2712" s="47" t="n"/>
      <c r="H2712" s="47" t="n"/>
      <c r="I2712" s="47" t="n"/>
      <c r="J2712" s="47" t="n"/>
      <c r="K2712" s="47" t="n"/>
      <c r="L2712" s="47" t="n"/>
      <c r="M2712" s="47" t="n"/>
      <c r="N2712" s="47" t="n"/>
      <c r="O2712" s="47" t="n"/>
      <c r="P2712" s="47" t="n"/>
      <c r="Q2712" s="47" t="n"/>
      <c r="R2712" s="47" t="n"/>
      <c r="S2712" s="47" t="n"/>
      <c r="T2712" s="47" t="n"/>
      <c r="U2712" s="53" t="n"/>
      <c r="V2712" s="53" t="n"/>
      <c r="W2712" s="47" t="n"/>
      <c r="X2712" s="47" t="n"/>
      <c r="Y2712" s="47" t="n"/>
      <c r="Z2712" s="47" t="n"/>
      <c r="AA2712" s="47" t="n"/>
      <c r="AB2712" s="47" t="n"/>
      <c r="AC2712" s="47" t="n"/>
      <c r="AD2712" s="47" t="n"/>
      <c r="AE2712" s="47" t="n"/>
      <c r="AF2712" s="20">
        <f>IF(A2712="","",YEAR(EDATE(A2712,-3)))</f>
        <v/>
      </c>
      <c r="AG2712" s="20">
        <f>IF(OR(B2712="",'経歴簿'!$C$4=""),"",IF(B2712&amp;""='経歴簿'!$C$4&amp;"",MAX($AG$4:AG2711)+1,""))</f>
        <v/>
      </c>
      <c r="AH2712" s="20">
        <f>IF(A2712="",0,IF(AND(OR('CSV抽出'!$C$4="",A2712&gt;='CSV抽出'!$C$4),OR('CSV抽出'!$C$5="",A2712&lt;='CSV抽出'!$C$5),OR('CSV抽出'!$C$6="すべて",'CSV抽出'!$C$6="",D2712='CSV抽出'!$C$6),OR('CSV抽出'!$C$7="",B2712&amp;""='CSV抽出'!$C$7&amp;"")),1,0))</f>
        <v/>
      </c>
      <c r="AI2712" s="20">
        <f>IF(AH2712=1,SUM($AH$5:AH2712),"")</f>
        <v/>
      </c>
      <c r="AJ2712" s="20">
        <f>IF(OR(S2712="",'報告書'!$C$4=""),"",IF(S2712&amp;""='報告書'!$C$4&amp;"",COUNTIF($S$5:S2712,'報告書'!$C$4),""))</f>
        <v/>
      </c>
      <c r="AK2712" s="20" t="n"/>
      <c r="AL2712" s="47" t="n"/>
      <c r="AM2712" s="47" t="n"/>
      <c r="AN2712" s="53" t="n"/>
      <c r="AO2712" s="47" t="n"/>
      <c r="AP2712" s="47" t="n"/>
      <c r="AQ2712" s="47" t="n"/>
      <c r="AR2712" s="47" t="n"/>
      <c r="AS2712" s="47" t="n"/>
      <c r="AT2712" s="47" t="n"/>
      <c r="AU2712" s="47" t="n"/>
      <c r="AV2712" s="47" t="n"/>
      <c r="AW2712" s="52" t="n"/>
    </row>
    <row r="2713">
      <c r="A2713" s="48" t="n"/>
      <c r="B2713" s="52" t="n"/>
      <c r="C2713" s="47">
        <f>IF(B2713="","",IFERROR(INDEX('隊員マスタ'!$B$5:$B$204,MATCH(B2713&amp;"",'隊員マスタ'!$F$5:$F$204,0)),IF(AK2713="","番号なし",AK2713)))</f>
        <v/>
      </c>
      <c r="D2713" s="47" t="n"/>
      <c r="E2713" s="47" t="n"/>
      <c r="F2713" s="47" t="n"/>
      <c r="G2713" s="47" t="n"/>
      <c r="H2713" s="47" t="n"/>
      <c r="I2713" s="47" t="n"/>
      <c r="J2713" s="47" t="n"/>
      <c r="K2713" s="47" t="n"/>
      <c r="L2713" s="47" t="n"/>
      <c r="M2713" s="47" t="n"/>
      <c r="N2713" s="47" t="n"/>
      <c r="O2713" s="47" t="n"/>
      <c r="P2713" s="47" t="n"/>
      <c r="Q2713" s="47" t="n"/>
      <c r="R2713" s="47" t="n"/>
      <c r="S2713" s="47" t="n"/>
      <c r="T2713" s="47" t="n"/>
      <c r="U2713" s="53" t="n"/>
      <c r="V2713" s="53" t="n"/>
      <c r="W2713" s="47" t="n"/>
      <c r="X2713" s="47" t="n"/>
      <c r="Y2713" s="47" t="n"/>
      <c r="Z2713" s="47" t="n"/>
      <c r="AA2713" s="47" t="n"/>
      <c r="AB2713" s="47" t="n"/>
      <c r="AC2713" s="47" t="n"/>
      <c r="AD2713" s="47" t="n"/>
      <c r="AE2713" s="47" t="n"/>
      <c r="AF2713" s="20">
        <f>IF(A2713="","",YEAR(EDATE(A2713,-3)))</f>
        <v/>
      </c>
      <c r="AG2713" s="20">
        <f>IF(OR(B2713="",'経歴簿'!$C$4=""),"",IF(B2713&amp;""='経歴簿'!$C$4&amp;"",MAX($AG$4:AG2712)+1,""))</f>
        <v/>
      </c>
      <c r="AH2713" s="20">
        <f>IF(A2713="",0,IF(AND(OR('CSV抽出'!$C$4="",A2713&gt;='CSV抽出'!$C$4),OR('CSV抽出'!$C$5="",A2713&lt;='CSV抽出'!$C$5),OR('CSV抽出'!$C$6="すべて",'CSV抽出'!$C$6="",D2713='CSV抽出'!$C$6),OR('CSV抽出'!$C$7="",B2713&amp;""='CSV抽出'!$C$7&amp;"")),1,0))</f>
        <v/>
      </c>
      <c r="AI2713" s="20">
        <f>IF(AH2713=1,SUM($AH$5:AH2713),"")</f>
        <v/>
      </c>
      <c r="AJ2713" s="20">
        <f>IF(OR(S2713="",'報告書'!$C$4=""),"",IF(S2713&amp;""='報告書'!$C$4&amp;"",COUNTIF($S$5:S2713,'報告書'!$C$4),""))</f>
        <v/>
      </c>
      <c r="AK2713" s="20" t="n"/>
      <c r="AL2713" s="47" t="n"/>
      <c r="AM2713" s="47" t="n"/>
      <c r="AN2713" s="53" t="n"/>
      <c r="AO2713" s="47" t="n"/>
      <c r="AP2713" s="47" t="n"/>
      <c r="AQ2713" s="47" t="n"/>
      <c r="AR2713" s="47" t="n"/>
      <c r="AS2713" s="47" t="n"/>
      <c r="AT2713" s="47" t="n"/>
      <c r="AU2713" s="47" t="n"/>
      <c r="AV2713" s="47" t="n"/>
      <c r="AW2713" s="52" t="n"/>
    </row>
    <row r="2714">
      <c r="A2714" s="48" t="n"/>
      <c r="B2714" s="52" t="n"/>
      <c r="C2714" s="47">
        <f>IF(B2714="","",IFERROR(INDEX('隊員マスタ'!$B$5:$B$204,MATCH(B2714&amp;"",'隊員マスタ'!$F$5:$F$204,0)),IF(AK2714="","番号なし",AK2714)))</f>
        <v/>
      </c>
      <c r="D2714" s="47" t="n"/>
      <c r="E2714" s="47" t="n"/>
      <c r="F2714" s="47" t="n"/>
      <c r="G2714" s="47" t="n"/>
      <c r="H2714" s="47" t="n"/>
      <c r="I2714" s="47" t="n"/>
      <c r="J2714" s="47" t="n"/>
      <c r="K2714" s="47" t="n"/>
      <c r="L2714" s="47" t="n"/>
      <c r="M2714" s="47" t="n"/>
      <c r="N2714" s="47" t="n"/>
      <c r="O2714" s="47" t="n"/>
      <c r="P2714" s="47" t="n"/>
      <c r="Q2714" s="47" t="n"/>
      <c r="R2714" s="47" t="n"/>
      <c r="S2714" s="47" t="n"/>
      <c r="T2714" s="47" t="n"/>
      <c r="U2714" s="53" t="n"/>
      <c r="V2714" s="53" t="n"/>
      <c r="W2714" s="47" t="n"/>
      <c r="X2714" s="47" t="n"/>
      <c r="Y2714" s="47" t="n"/>
      <c r="Z2714" s="47" t="n"/>
      <c r="AA2714" s="47" t="n"/>
      <c r="AB2714" s="47" t="n"/>
      <c r="AC2714" s="47" t="n"/>
      <c r="AD2714" s="47" t="n"/>
      <c r="AE2714" s="47" t="n"/>
      <c r="AF2714" s="20">
        <f>IF(A2714="","",YEAR(EDATE(A2714,-3)))</f>
        <v/>
      </c>
      <c r="AG2714" s="20">
        <f>IF(OR(B2714="",'経歴簿'!$C$4=""),"",IF(B2714&amp;""='経歴簿'!$C$4&amp;"",MAX($AG$4:AG2713)+1,""))</f>
        <v/>
      </c>
      <c r="AH2714" s="20">
        <f>IF(A2714="",0,IF(AND(OR('CSV抽出'!$C$4="",A2714&gt;='CSV抽出'!$C$4),OR('CSV抽出'!$C$5="",A2714&lt;='CSV抽出'!$C$5),OR('CSV抽出'!$C$6="すべて",'CSV抽出'!$C$6="",D2714='CSV抽出'!$C$6),OR('CSV抽出'!$C$7="",B2714&amp;""='CSV抽出'!$C$7&amp;"")),1,0))</f>
        <v/>
      </c>
      <c r="AI2714" s="20">
        <f>IF(AH2714=1,SUM($AH$5:AH2714),"")</f>
        <v/>
      </c>
      <c r="AJ2714" s="20">
        <f>IF(OR(S2714="",'報告書'!$C$4=""),"",IF(S2714&amp;""='報告書'!$C$4&amp;"",COUNTIF($S$5:S2714,'報告書'!$C$4),""))</f>
        <v/>
      </c>
      <c r="AK2714" s="20" t="n"/>
      <c r="AL2714" s="47" t="n"/>
      <c r="AM2714" s="47" t="n"/>
      <c r="AN2714" s="53" t="n"/>
      <c r="AO2714" s="47" t="n"/>
      <c r="AP2714" s="47" t="n"/>
      <c r="AQ2714" s="47" t="n"/>
      <c r="AR2714" s="47" t="n"/>
      <c r="AS2714" s="47" t="n"/>
      <c r="AT2714" s="47" t="n"/>
      <c r="AU2714" s="47" t="n"/>
      <c r="AV2714" s="47" t="n"/>
      <c r="AW2714" s="52" t="n"/>
    </row>
    <row r="2715">
      <c r="A2715" s="48" t="n"/>
      <c r="B2715" s="52" t="n"/>
      <c r="C2715" s="47">
        <f>IF(B2715="","",IFERROR(INDEX('隊員マスタ'!$B$5:$B$204,MATCH(B2715&amp;"",'隊員マスタ'!$F$5:$F$204,0)),IF(AK2715="","番号なし",AK2715)))</f>
        <v/>
      </c>
      <c r="D2715" s="47" t="n"/>
      <c r="E2715" s="47" t="n"/>
      <c r="F2715" s="47" t="n"/>
      <c r="G2715" s="47" t="n"/>
      <c r="H2715" s="47" t="n"/>
      <c r="I2715" s="47" t="n"/>
      <c r="J2715" s="47" t="n"/>
      <c r="K2715" s="47" t="n"/>
      <c r="L2715" s="47" t="n"/>
      <c r="M2715" s="47" t="n"/>
      <c r="N2715" s="47" t="n"/>
      <c r="O2715" s="47" t="n"/>
      <c r="P2715" s="47" t="n"/>
      <c r="Q2715" s="47" t="n"/>
      <c r="R2715" s="47" t="n"/>
      <c r="S2715" s="47" t="n"/>
      <c r="T2715" s="47" t="n"/>
      <c r="U2715" s="53" t="n"/>
      <c r="V2715" s="53" t="n"/>
      <c r="W2715" s="47" t="n"/>
      <c r="X2715" s="47" t="n"/>
      <c r="Y2715" s="47" t="n"/>
      <c r="Z2715" s="47" t="n"/>
      <c r="AA2715" s="47" t="n"/>
      <c r="AB2715" s="47" t="n"/>
      <c r="AC2715" s="47" t="n"/>
      <c r="AD2715" s="47" t="n"/>
      <c r="AE2715" s="47" t="n"/>
      <c r="AF2715" s="20">
        <f>IF(A2715="","",YEAR(EDATE(A2715,-3)))</f>
        <v/>
      </c>
      <c r="AG2715" s="20">
        <f>IF(OR(B2715="",'経歴簿'!$C$4=""),"",IF(B2715&amp;""='経歴簿'!$C$4&amp;"",MAX($AG$4:AG2714)+1,""))</f>
        <v/>
      </c>
      <c r="AH2715" s="20">
        <f>IF(A2715="",0,IF(AND(OR('CSV抽出'!$C$4="",A2715&gt;='CSV抽出'!$C$4),OR('CSV抽出'!$C$5="",A2715&lt;='CSV抽出'!$C$5),OR('CSV抽出'!$C$6="すべて",'CSV抽出'!$C$6="",D2715='CSV抽出'!$C$6),OR('CSV抽出'!$C$7="",B2715&amp;""='CSV抽出'!$C$7&amp;"")),1,0))</f>
        <v/>
      </c>
      <c r="AI2715" s="20">
        <f>IF(AH2715=1,SUM($AH$5:AH2715),"")</f>
        <v/>
      </c>
      <c r="AJ2715" s="20">
        <f>IF(OR(S2715="",'報告書'!$C$4=""),"",IF(S2715&amp;""='報告書'!$C$4&amp;"",COUNTIF($S$5:S2715,'報告書'!$C$4),""))</f>
        <v/>
      </c>
      <c r="AK2715" s="20" t="n"/>
      <c r="AL2715" s="47" t="n"/>
      <c r="AM2715" s="47" t="n"/>
      <c r="AN2715" s="53" t="n"/>
      <c r="AO2715" s="47" t="n"/>
      <c r="AP2715" s="47" t="n"/>
      <c r="AQ2715" s="47" t="n"/>
      <c r="AR2715" s="47" t="n"/>
      <c r="AS2715" s="47" t="n"/>
      <c r="AT2715" s="47" t="n"/>
      <c r="AU2715" s="47" t="n"/>
      <c r="AV2715" s="47" t="n"/>
      <c r="AW2715" s="52" t="n"/>
    </row>
    <row r="2716">
      <c r="A2716" s="48" t="n"/>
      <c r="B2716" s="52" t="n"/>
      <c r="C2716" s="47">
        <f>IF(B2716="","",IFERROR(INDEX('隊員マスタ'!$B$5:$B$204,MATCH(B2716&amp;"",'隊員マスタ'!$F$5:$F$204,0)),IF(AK2716="","番号なし",AK2716)))</f>
        <v/>
      </c>
      <c r="D2716" s="47" t="n"/>
      <c r="E2716" s="47" t="n"/>
      <c r="F2716" s="47" t="n"/>
      <c r="G2716" s="47" t="n"/>
      <c r="H2716" s="47" t="n"/>
      <c r="I2716" s="47" t="n"/>
      <c r="J2716" s="47" t="n"/>
      <c r="K2716" s="47" t="n"/>
      <c r="L2716" s="47" t="n"/>
      <c r="M2716" s="47" t="n"/>
      <c r="N2716" s="47" t="n"/>
      <c r="O2716" s="47" t="n"/>
      <c r="P2716" s="47" t="n"/>
      <c r="Q2716" s="47" t="n"/>
      <c r="R2716" s="47" t="n"/>
      <c r="S2716" s="47" t="n"/>
      <c r="T2716" s="47" t="n"/>
      <c r="U2716" s="53" t="n"/>
      <c r="V2716" s="53" t="n"/>
      <c r="W2716" s="47" t="n"/>
      <c r="X2716" s="47" t="n"/>
      <c r="Y2716" s="47" t="n"/>
      <c r="Z2716" s="47" t="n"/>
      <c r="AA2716" s="47" t="n"/>
      <c r="AB2716" s="47" t="n"/>
      <c r="AC2716" s="47" t="n"/>
      <c r="AD2716" s="47" t="n"/>
      <c r="AE2716" s="47" t="n"/>
      <c r="AF2716" s="20">
        <f>IF(A2716="","",YEAR(EDATE(A2716,-3)))</f>
        <v/>
      </c>
      <c r="AG2716" s="20">
        <f>IF(OR(B2716="",'経歴簿'!$C$4=""),"",IF(B2716&amp;""='経歴簿'!$C$4&amp;"",MAX($AG$4:AG2715)+1,""))</f>
        <v/>
      </c>
      <c r="AH2716" s="20">
        <f>IF(A2716="",0,IF(AND(OR('CSV抽出'!$C$4="",A2716&gt;='CSV抽出'!$C$4),OR('CSV抽出'!$C$5="",A2716&lt;='CSV抽出'!$C$5),OR('CSV抽出'!$C$6="すべて",'CSV抽出'!$C$6="",D2716='CSV抽出'!$C$6),OR('CSV抽出'!$C$7="",B2716&amp;""='CSV抽出'!$C$7&amp;"")),1,0))</f>
        <v/>
      </c>
      <c r="AI2716" s="20">
        <f>IF(AH2716=1,SUM($AH$5:AH2716),"")</f>
        <v/>
      </c>
      <c r="AJ2716" s="20">
        <f>IF(OR(S2716="",'報告書'!$C$4=""),"",IF(S2716&amp;""='報告書'!$C$4&amp;"",COUNTIF($S$5:S2716,'報告書'!$C$4),""))</f>
        <v/>
      </c>
      <c r="AK2716" s="20" t="n"/>
      <c r="AL2716" s="47" t="n"/>
      <c r="AM2716" s="47" t="n"/>
      <c r="AN2716" s="53" t="n"/>
      <c r="AO2716" s="47" t="n"/>
      <c r="AP2716" s="47" t="n"/>
      <c r="AQ2716" s="47" t="n"/>
      <c r="AR2716" s="47" t="n"/>
      <c r="AS2716" s="47" t="n"/>
      <c r="AT2716" s="47" t="n"/>
      <c r="AU2716" s="47" t="n"/>
      <c r="AV2716" s="47" t="n"/>
      <c r="AW2716" s="52" t="n"/>
    </row>
    <row r="2717">
      <c r="A2717" s="48" t="n"/>
      <c r="B2717" s="52" t="n"/>
      <c r="C2717" s="47">
        <f>IF(B2717="","",IFERROR(INDEX('隊員マスタ'!$B$5:$B$204,MATCH(B2717&amp;"",'隊員マスタ'!$F$5:$F$204,0)),IF(AK2717="","番号なし",AK2717)))</f>
        <v/>
      </c>
      <c r="D2717" s="47" t="n"/>
      <c r="E2717" s="47" t="n"/>
      <c r="F2717" s="47" t="n"/>
      <c r="G2717" s="47" t="n"/>
      <c r="H2717" s="47" t="n"/>
      <c r="I2717" s="47" t="n"/>
      <c r="J2717" s="47" t="n"/>
      <c r="K2717" s="47" t="n"/>
      <c r="L2717" s="47" t="n"/>
      <c r="M2717" s="47" t="n"/>
      <c r="N2717" s="47" t="n"/>
      <c r="O2717" s="47" t="n"/>
      <c r="P2717" s="47" t="n"/>
      <c r="Q2717" s="47" t="n"/>
      <c r="R2717" s="47" t="n"/>
      <c r="S2717" s="47" t="n"/>
      <c r="T2717" s="47" t="n"/>
      <c r="U2717" s="53" t="n"/>
      <c r="V2717" s="53" t="n"/>
      <c r="W2717" s="47" t="n"/>
      <c r="X2717" s="47" t="n"/>
      <c r="Y2717" s="47" t="n"/>
      <c r="Z2717" s="47" t="n"/>
      <c r="AA2717" s="47" t="n"/>
      <c r="AB2717" s="47" t="n"/>
      <c r="AC2717" s="47" t="n"/>
      <c r="AD2717" s="47" t="n"/>
      <c r="AE2717" s="47" t="n"/>
      <c r="AF2717" s="20">
        <f>IF(A2717="","",YEAR(EDATE(A2717,-3)))</f>
        <v/>
      </c>
      <c r="AG2717" s="20">
        <f>IF(OR(B2717="",'経歴簿'!$C$4=""),"",IF(B2717&amp;""='経歴簿'!$C$4&amp;"",MAX($AG$4:AG2716)+1,""))</f>
        <v/>
      </c>
      <c r="AH2717" s="20">
        <f>IF(A2717="",0,IF(AND(OR('CSV抽出'!$C$4="",A2717&gt;='CSV抽出'!$C$4),OR('CSV抽出'!$C$5="",A2717&lt;='CSV抽出'!$C$5),OR('CSV抽出'!$C$6="すべて",'CSV抽出'!$C$6="",D2717='CSV抽出'!$C$6),OR('CSV抽出'!$C$7="",B2717&amp;""='CSV抽出'!$C$7&amp;"")),1,0))</f>
        <v/>
      </c>
      <c r="AI2717" s="20">
        <f>IF(AH2717=1,SUM($AH$5:AH2717),"")</f>
        <v/>
      </c>
      <c r="AJ2717" s="20">
        <f>IF(OR(S2717="",'報告書'!$C$4=""),"",IF(S2717&amp;""='報告書'!$C$4&amp;"",COUNTIF($S$5:S2717,'報告書'!$C$4),""))</f>
        <v/>
      </c>
      <c r="AK2717" s="20" t="n"/>
      <c r="AL2717" s="47" t="n"/>
      <c r="AM2717" s="47" t="n"/>
      <c r="AN2717" s="53" t="n"/>
      <c r="AO2717" s="47" t="n"/>
      <c r="AP2717" s="47" t="n"/>
      <c r="AQ2717" s="47" t="n"/>
      <c r="AR2717" s="47" t="n"/>
      <c r="AS2717" s="47" t="n"/>
      <c r="AT2717" s="47" t="n"/>
      <c r="AU2717" s="47" t="n"/>
      <c r="AV2717" s="47" t="n"/>
      <c r="AW2717" s="52" t="n"/>
    </row>
    <row r="2718">
      <c r="A2718" s="48" t="n"/>
      <c r="B2718" s="52" t="n"/>
      <c r="C2718" s="47">
        <f>IF(B2718="","",IFERROR(INDEX('隊員マスタ'!$B$5:$B$204,MATCH(B2718&amp;"",'隊員マスタ'!$F$5:$F$204,0)),IF(AK2718="","番号なし",AK2718)))</f>
        <v/>
      </c>
      <c r="D2718" s="47" t="n"/>
      <c r="E2718" s="47" t="n"/>
      <c r="F2718" s="47" t="n"/>
      <c r="G2718" s="47" t="n"/>
      <c r="H2718" s="47" t="n"/>
      <c r="I2718" s="47" t="n"/>
      <c r="J2718" s="47" t="n"/>
      <c r="K2718" s="47" t="n"/>
      <c r="L2718" s="47" t="n"/>
      <c r="M2718" s="47" t="n"/>
      <c r="N2718" s="47" t="n"/>
      <c r="O2718" s="47" t="n"/>
      <c r="P2718" s="47" t="n"/>
      <c r="Q2718" s="47" t="n"/>
      <c r="R2718" s="47" t="n"/>
      <c r="S2718" s="47" t="n"/>
      <c r="T2718" s="47" t="n"/>
      <c r="U2718" s="53" t="n"/>
      <c r="V2718" s="53" t="n"/>
      <c r="W2718" s="47" t="n"/>
      <c r="X2718" s="47" t="n"/>
      <c r="Y2718" s="47" t="n"/>
      <c r="Z2718" s="47" t="n"/>
      <c r="AA2718" s="47" t="n"/>
      <c r="AB2718" s="47" t="n"/>
      <c r="AC2718" s="47" t="n"/>
      <c r="AD2718" s="47" t="n"/>
      <c r="AE2718" s="47" t="n"/>
      <c r="AF2718" s="20">
        <f>IF(A2718="","",YEAR(EDATE(A2718,-3)))</f>
        <v/>
      </c>
      <c r="AG2718" s="20">
        <f>IF(OR(B2718="",'経歴簿'!$C$4=""),"",IF(B2718&amp;""='経歴簿'!$C$4&amp;"",MAX($AG$4:AG2717)+1,""))</f>
        <v/>
      </c>
      <c r="AH2718" s="20">
        <f>IF(A2718="",0,IF(AND(OR('CSV抽出'!$C$4="",A2718&gt;='CSV抽出'!$C$4),OR('CSV抽出'!$C$5="",A2718&lt;='CSV抽出'!$C$5),OR('CSV抽出'!$C$6="すべて",'CSV抽出'!$C$6="",D2718='CSV抽出'!$C$6),OR('CSV抽出'!$C$7="",B2718&amp;""='CSV抽出'!$C$7&amp;"")),1,0))</f>
        <v/>
      </c>
      <c r="AI2718" s="20">
        <f>IF(AH2718=1,SUM($AH$5:AH2718),"")</f>
        <v/>
      </c>
      <c r="AJ2718" s="20">
        <f>IF(OR(S2718="",'報告書'!$C$4=""),"",IF(S2718&amp;""='報告書'!$C$4&amp;"",COUNTIF($S$5:S2718,'報告書'!$C$4),""))</f>
        <v/>
      </c>
      <c r="AK2718" s="20" t="n"/>
      <c r="AL2718" s="47" t="n"/>
      <c r="AM2718" s="47" t="n"/>
      <c r="AN2718" s="53" t="n"/>
      <c r="AO2718" s="47" t="n"/>
      <c r="AP2718" s="47" t="n"/>
      <c r="AQ2718" s="47" t="n"/>
      <c r="AR2718" s="47" t="n"/>
      <c r="AS2718" s="47" t="n"/>
      <c r="AT2718" s="47" t="n"/>
      <c r="AU2718" s="47" t="n"/>
      <c r="AV2718" s="47" t="n"/>
      <c r="AW2718" s="52" t="n"/>
    </row>
    <row r="2719">
      <c r="A2719" s="48" t="n"/>
      <c r="B2719" s="52" t="n"/>
      <c r="C2719" s="47">
        <f>IF(B2719="","",IFERROR(INDEX('隊員マスタ'!$B$5:$B$204,MATCH(B2719&amp;"",'隊員マスタ'!$F$5:$F$204,0)),IF(AK2719="","番号なし",AK2719)))</f>
        <v/>
      </c>
      <c r="D2719" s="47" t="n"/>
      <c r="E2719" s="47" t="n"/>
      <c r="F2719" s="47" t="n"/>
      <c r="G2719" s="47" t="n"/>
      <c r="H2719" s="47" t="n"/>
      <c r="I2719" s="47" t="n"/>
      <c r="J2719" s="47" t="n"/>
      <c r="K2719" s="47" t="n"/>
      <c r="L2719" s="47" t="n"/>
      <c r="M2719" s="47" t="n"/>
      <c r="N2719" s="47" t="n"/>
      <c r="O2719" s="47" t="n"/>
      <c r="P2719" s="47" t="n"/>
      <c r="Q2719" s="47" t="n"/>
      <c r="R2719" s="47" t="n"/>
      <c r="S2719" s="47" t="n"/>
      <c r="T2719" s="47" t="n"/>
      <c r="U2719" s="53" t="n"/>
      <c r="V2719" s="53" t="n"/>
      <c r="W2719" s="47" t="n"/>
      <c r="X2719" s="47" t="n"/>
      <c r="Y2719" s="47" t="n"/>
      <c r="Z2719" s="47" t="n"/>
      <c r="AA2719" s="47" t="n"/>
      <c r="AB2719" s="47" t="n"/>
      <c r="AC2719" s="47" t="n"/>
      <c r="AD2719" s="47" t="n"/>
      <c r="AE2719" s="47" t="n"/>
      <c r="AF2719" s="20">
        <f>IF(A2719="","",YEAR(EDATE(A2719,-3)))</f>
        <v/>
      </c>
      <c r="AG2719" s="20">
        <f>IF(OR(B2719="",'経歴簿'!$C$4=""),"",IF(B2719&amp;""='経歴簿'!$C$4&amp;"",MAX($AG$4:AG2718)+1,""))</f>
        <v/>
      </c>
      <c r="AH2719" s="20">
        <f>IF(A2719="",0,IF(AND(OR('CSV抽出'!$C$4="",A2719&gt;='CSV抽出'!$C$4),OR('CSV抽出'!$C$5="",A2719&lt;='CSV抽出'!$C$5),OR('CSV抽出'!$C$6="すべて",'CSV抽出'!$C$6="",D2719='CSV抽出'!$C$6),OR('CSV抽出'!$C$7="",B2719&amp;""='CSV抽出'!$C$7&amp;"")),1,0))</f>
        <v/>
      </c>
      <c r="AI2719" s="20">
        <f>IF(AH2719=1,SUM($AH$5:AH2719),"")</f>
        <v/>
      </c>
      <c r="AJ2719" s="20">
        <f>IF(OR(S2719="",'報告書'!$C$4=""),"",IF(S2719&amp;""='報告書'!$C$4&amp;"",COUNTIF($S$5:S2719,'報告書'!$C$4),""))</f>
        <v/>
      </c>
      <c r="AK2719" s="20" t="n"/>
      <c r="AL2719" s="47" t="n"/>
      <c r="AM2719" s="47" t="n"/>
      <c r="AN2719" s="53" t="n"/>
      <c r="AO2719" s="47" t="n"/>
      <c r="AP2719" s="47" t="n"/>
      <c r="AQ2719" s="47" t="n"/>
      <c r="AR2719" s="47" t="n"/>
      <c r="AS2719" s="47" t="n"/>
      <c r="AT2719" s="47" t="n"/>
      <c r="AU2719" s="47" t="n"/>
      <c r="AV2719" s="47" t="n"/>
      <c r="AW2719" s="52" t="n"/>
    </row>
    <row r="2720">
      <c r="A2720" s="48" t="n"/>
      <c r="B2720" s="52" t="n"/>
      <c r="C2720" s="47">
        <f>IF(B2720="","",IFERROR(INDEX('隊員マスタ'!$B$5:$B$204,MATCH(B2720&amp;"",'隊員マスタ'!$F$5:$F$204,0)),IF(AK2720="","番号なし",AK2720)))</f>
        <v/>
      </c>
      <c r="D2720" s="47" t="n"/>
      <c r="E2720" s="47" t="n"/>
      <c r="F2720" s="47" t="n"/>
      <c r="G2720" s="47" t="n"/>
      <c r="H2720" s="47" t="n"/>
      <c r="I2720" s="47" t="n"/>
      <c r="J2720" s="47" t="n"/>
      <c r="K2720" s="47" t="n"/>
      <c r="L2720" s="47" t="n"/>
      <c r="M2720" s="47" t="n"/>
      <c r="N2720" s="47" t="n"/>
      <c r="O2720" s="47" t="n"/>
      <c r="P2720" s="47" t="n"/>
      <c r="Q2720" s="47" t="n"/>
      <c r="R2720" s="47" t="n"/>
      <c r="S2720" s="47" t="n"/>
      <c r="T2720" s="47" t="n"/>
      <c r="U2720" s="53" t="n"/>
      <c r="V2720" s="53" t="n"/>
      <c r="W2720" s="47" t="n"/>
      <c r="X2720" s="47" t="n"/>
      <c r="Y2720" s="47" t="n"/>
      <c r="Z2720" s="47" t="n"/>
      <c r="AA2720" s="47" t="n"/>
      <c r="AB2720" s="47" t="n"/>
      <c r="AC2720" s="47" t="n"/>
      <c r="AD2720" s="47" t="n"/>
      <c r="AE2720" s="47" t="n"/>
      <c r="AF2720" s="20">
        <f>IF(A2720="","",YEAR(EDATE(A2720,-3)))</f>
        <v/>
      </c>
      <c r="AG2720" s="20">
        <f>IF(OR(B2720="",'経歴簿'!$C$4=""),"",IF(B2720&amp;""='経歴簿'!$C$4&amp;"",MAX($AG$4:AG2719)+1,""))</f>
        <v/>
      </c>
      <c r="AH2720" s="20">
        <f>IF(A2720="",0,IF(AND(OR('CSV抽出'!$C$4="",A2720&gt;='CSV抽出'!$C$4),OR('CSV抽出'!$C$5="",A2720&lt;='CSV抽出'!$C$5),OR('CSV抽出'!$C$6="すべて",'CSV抽出'!$C$6="",D2720='CSV抽出'!$C$6),OR('CSV抽出'!$C$7="",B2720&amp;""='CSV抽出'!$C$7&amp;"")),1,0))</f>
        <v/>
      </c>
      <c r="AI2720" s="20">
        <f>IF(AH2720=1,SUM($AH$5:AH2720),"")</f>
        <v/>
      </c>
      <c r="AJ2720" s="20">
        <f>IF(OR(S2720="",'報告書'!$C$4=""),"",IF(S2720&amp;""='報告書'!$C$4&amp;"",COUNTIF($S$5:S2720,'報告書'!$C$4),""))</f>
        <v/>
      </c>
      <c r="AK2720" s="20" t="n"/>
      <c r="AL2720" s="47" t="n"/>
      <c r="AM2720" s="47" t="n"/>
      <c r="AN2720" s="53" t="n"/>
      <c r="AO2720" s="47" t="n"/>
      <c r="AP2720" s="47" t="n"/>
      <c r="AQ2720" s="47" t="n"/>
      <c r="AR2720" s="47" t="n"/>
      <c r="AS2720" s="47" t="n"/>
      <c r="AT2720" s="47" t="n"/>
      <c r="AU2720" s="47" t="n"/>
      <c r="AV2720" s="47" t="n"/>
      <c r="AW2720" s="52" t="n"/>
    </row>
    <row r="2721">
      <c r="A2721" s="48" t="n"/>
      <c r="B2721" s="52" t="n"/>
      <c r="C2721" s="47">
        <f>IF(B2721="","",IFERROR(INDEX('隊員マスタ'!$B$5:$B$204,MATCH(B2721&amp;"",'隊員マスタ'!$F$5:$F$204,0)),IF(AK2721="","番号なし",AK2721)))</f>
        <v/>
      </c>
      <c r="D2721" s="47" t="n"/>
      <c r="E2721" s="47" t="n"/>
      <c r="F2721" s="47" t="n"/>
      <c r="G2721" s="47" t="n"/>
      <c r="H2721" s="47" t="n"/>
      <c r="I2721" s="47" t="n"/>
      <c r="J2721" s="47" t="n"/>
      <c r="K2721" s="47" t="n"/>
      <c r="L2721" s="47" t="n"/>
      <c r="M2721" s="47" t="n"/>
      <c r="N2721" s="47" t="n"/>
      <c r="O2721" s="47" t="n"/>
      <c r="P2721" s="47" t="n"/>
      <c r="Q2721" s="47" t="n"/>
      <c r="R2721" s="47" t="n"/>
      <c r="S2721" s="47" t="n"/>
      <c r="T2721" s="47" t="n"/>
      <c r="U2721" s="53" t="n"/>
      <c r="V2721" s="53" t="n"/>
      <c r="W2721" s="47" t="n"/>
      <c r="X2721" s="47" t="n"/>
      <c r="Y2721" s="47" t="n"/>
      <c r="Z2721" s="47" t="n"/>
      <c r="AA2721" s="47" t="n"/>
      <c r="AB2721" s="47" t="n"/>
      <c r="AC2721" s="47" t="n"/>
      <c r="AD2721" s="47" t="n"/>
      <c r="AE2721" s="47" t="n"/>
      <c r="AF2721" s="20">
        <f>IF(A2721="","",YEAR(EDATE(A2721,-3)))</f>
        <v/>
      </c>
      <c r="AG2721" s="20">
        <f>IF(OR(B2721="",'経歴簿'!$C$4=""),"",IF(B2721&amp;""='経歴簿'!$C$4&amp;"",MAX($AG$4:AG2720)+1,""))</f>
        <v/>
      </c>
      <c r="AH2721" s="20">
        <f>IF(A2721="",0,IF(AND(OR('CSV抽出'!$C$4="",A2721&gt;='CSV抽出'!$C$4),OR('CSV抽出'!$C$5="",A2721&lt;='CSV抽出'!$C$5),OR('CSV抽出'!$C$6="すべて",'CSV抽出'!$C$6="",D2721='CSV抽出'!$C$6),OR('CSV抽出'!$C$7="",B2721&amp;""='CSV抽出'!$C$7&amp;"")),1,0))</f>
        <v/>
      </c>
      <c r="AI2721" s="20">
        <f>IF(AH2721=1,SUM($AH$5:AH2721),"")</f>
        <v/>
      </c>
      <c r="AJ2721" s="20">
        <f>IF(OR(S2721="",'報告書'!$C$4=""),"",IF(S2721&amp;""='報告書'!$C$4&amp;"",COUNTIF($S$5:S2721,'報告書'!$C$4),""))</f>
        <v/>
      </c>
      <c r="AK2721" s="20" t="n"/>
      <c r="AL2721" s="47" t="n"/>
      <c r="AM2721" s="47" t="n"/>
      <c r="AN2721" s="53" t="n"/>
      <c r="AO2721" s="47" t="n"/>
      <c r="AP2721" s="47" t="n"/>
      <c r="AQ2721" s="47" t="n"/>
      <c r="AR2721" s="47" t="n"/>
      <c r="AS2721" s="47" t="n"/>
      <c r="AT2721" s="47" t="n"/>
      <c r="AU2721" s="47" t="n"/>
      <c r="AV2721" s="47" t="n"/>
      <c r="AW2721" s="52" t="n"/>
    </row>
    <row r="2722">
      <c r="A2722" s="48" t="n"/>
      <c r="B2722" s="52" t="n"/>
      <c r="C2722" s="47">
        <f>IF(B2722="","",IFERROR(INDEX('隊員マスタ'!$B$5:$B$204,MATCH(B2722&amp;"",'隊員マスタ'!$F$5:$F$204,0)),IF(AK2722="","番号なし",AK2722)))</f>
        <v/>
      </c>
      <c r="D2722" s="47" t="n"/>
      <c r="E2722" s="47" t="n"/>
      <c r="F2722" s="47" t="n"/>
      <c r="G2722" s="47" t="n"/>
      <c r="H2722" s="47" t="n"/>
      <c r="I2722" s="47" t="n"/>
      <c r="J2722" s="47" t="n"/>
      <c r="K2722" s="47" t="n"/>
      <c r="L2722" s="47" t="n"/>
      <c r="M2722" s="47" t="n"/>
      <c r="N2722" s="47" t="n"/>
      <c r="O2722" s="47" t="n"/>
      <c r="P2722" s="47" t="n"/>
      <c r="Q2722" s="47" t="n"/>
      <c r="R2722" s="47" t="n"/>
      <c r="S2722" s="47" t="n"/>
      <c r="T2722" s="47" t="n"/>
      <c r="U2722" s="53" t="n"/>
      <c r="V2722" s="53" t="n"/>
      <c r="W2722" s="47" t="n"/>
      <c r="X2722" s="47" t="n"/>
      <c r="Y2722" s="47" t="n"/>
      <c r="Z2722" s="47" t="n"/>
      <c r="AA2722" s="47" t="n"/>
      <c r="AB2722" s="47" t="n"/>
      <c r="AC2722" s="47" t="n"/>
      <c r="AD2722" s="47" t="n"/>
      <c r="AE2722" s="47" t="n"/>
      <c r="AF2722" s="20">
        <f>IF(A2722="","",YEAR(EDATE(A2722,-3)))</f>
        <v/>
      </c>
      <c r="AG2722" s="20">
        <f>IF(OR(B2722="",'経歴簿'!$C$4=""),"",IF(B2722&amp;""='経歴簿'!$C$4&amp;"",MAX($AG$4:AG2721)+1,""))</f>
        <v/>
      </c>
      <c r="AH2722" s="20">
        <f>IF(A2722="",0,IF(AND(OR('CSV抽出'!$C$4="",A2722&gt;='CSV抽出'!$C$4),OR('CSV抽出'!$C$5="",A2722&lt;='CSV抽出'!$C$5),OR('CSV抽出'!$C$6="すべて",'CSV抽出'!$C$6="",D2722='CSV抽出'!$C$6),OR('CSV抽出'!$C$7="",B2722&amp;""='CSV抽出'!$C$7&amp;"")),1,0))</f>
        <v/>
      </c>
      <c r="AI2722" s="20">
        <f>IF(AH2722=1,SUM($AH$5:AH2722),"")</f>
        <v/>
      </c>
      <c r="AJ2722" s="20">
        <f>IF(OR(S2722="",'報告書'!$C$4=""),"",IF(S2722&amp;""='報告書'!$C$4&amp;"",COUNTIF($S$5:S2722,'報告書'!$C$4),""))</f>
        <v/>
      </c>
      <c r="AK2722" s="20" t="n"/>
      <c r="AL2722" s="47" t="n"/>
      <c r="AM2722" s="47" t="n"/>
      <c r="AN2722" s="53" t="n"/>
      <c r="AO2722" s="47" t="n"/>
      <c r="AP2722" s="47" t="n"/>
      <c r="AQ2722" s="47" t="n"/>
      <c r="AR2722" s="47" t="n"/>
      <c r="AS2722" s="47" t="n"/>
      <c r="AT2722" s="47" t="n"/>
      <c r="AU2722" s="47" t="n"/>
      <c r="AV2722" s="47" t="n"/>
      <c r="AW2722" s="52" t="n"/>
    </row>
    <row r="2723">
      <c r="A2723" s="48" t="n"/>
      <c r="B2723" s="52" t="n"/>
      <c r="C2723" s="47">
        <f>IF(B2723="","",IFERROR(INDEX('隊員マスタ'!$B$5:$B$204,MATCH(B2723&amp;"",'隊員マスタ'!$F$5:$F$204,0)),IF(AK2723="","番号なし",AK2723)))</f>
        <v/>
      </c>
      <c r="D2723" s="47" t="n"/>
      <c r="E2723" s="47" t="n"/>
      <c r="F2723" s="47" t="n"/>
      <c r="G2723" s="47" t="n"/>
      <c r="H2723" s="47" t="n"/>
      <c r="I2723" s="47" t="n"/>
      <c r="J2723" s="47" t="n"/>
      <c r="K2723" s="47" t="n"/>
      <c r="L2723" s="47" t="n"/>
      <c r="M2723" s="47" t="n"/>
      <c r="N2723" s="47" t="n"/>
      <c r="O2723" s="47" t="n"/>
      <c r="P2723" s="47" t="n"/>
      <c r="Q2723" s="47" t="n"/>
      <c r="R2723" s="47" t="n"/>
      <c r="S2723" s="47" t="n"/>
      <c r="T2723" s="47" t="n"/>
      <c r="U2723" s="53" t="n"/>
      <c r="V2723" s="53" t="n"/>
      <c r="W2723" s="47" t="n"/>
      <c r="X2723" s="47" t="n"/>
      <c r="Y2723" s="47" t="n"/>
      <c r="Z2723" s="47" t="n"/>
      <c r="AA2723" s="47" t="n"/>
      <c r="AB2723" s="47" t="n"/>
      <c r="AC2723" s="47" t="n"/>
      <c r="AD2723" s="47" t="n"/>
      <c r="AE2723" s="47" t="n"/>
      <c r="AF2723" s="20">
        <f>IF(A2723="","",YEAR(EDATE(A2723,-3)))</f>
        <v/>
      </c>
      <c r="AG2723" s="20">
        <f>IF(OR(B2723="",'経歴簿'!$C$4=""),"",IF(B2723&amp;""='経歴簿'!$C$4&amp;"",MAX($AG$4:AG2722)+1,""))</f>
        <v/>
      </c>
      <c r="AH2723" s="20">
        <f>IF(A2723="",0,IF(AND(OR('CSV抽出'!$C$4="",A2723&gt;='CSV抽出'!$C$4),OR('CSV抽出'!$C$5="",A2723&lt;='CSV抽出'!$C$5),OR('CSV抽出'!$C$6="すべて",'CSV抽出'!$C$6="",D2723='CSV抽出'!$C$6),OR('CSV抽出'!$C$7="",B2723&amp;""='CSV抽出'!$C$7&amp;"")),1,0))</f>
        <v/>
      </c>
      <c r="AI2723" s="20">
        <f>IF(AH2723=1,SUM($AH$5:AH2723),"")</f>
        <v/>
      </c>
      <c r="AJ2723" s="20">
        <f>IF(OR(S2723="",'報告書'!$C$4=""),"",IF(S2723&amp;""='報告書'!$C$4&amp;"",COUNTIF($S$5:S2723,'報告書'!$C$4),""))</f>
        <v/>
      </c>
      <c r="AK2723" s="20" t="n"/>
      <c r="AL2723" s="47" t="n"/>
      <c r="AM2723" s="47" t="n"/>
      <c r="AN2723" s="53" t="n"/>
      <c r="AO2723" s="47" t="n"/>
      <c r="AP2723" s="47" t="n"/>
      <c r="AQ2723" s="47" t="n"/>
      <c r="AR2723" s="47" t="n"/>
      <c r="AS2723" s="47" t="n"/>
      <c r="AT2723" s="47" t="n"/>
      <c r="AU2723" s="47" t="n"/>
      <c r="AV2723" s="47" t="n"/>
      <c r="AW2723" s="52" t="n"/>
    </row>
    <row r="2724">
      <c r="A2724" s="48" t="n"/>
      <c r="B2724" s="52" t="n"/>
      <c r="C2724" s="47">
        <f>IF(B2724="","",IFERROR(INDEX('隊員マスタ'!$B$5:$B$204,MATCH(B2724&amp;"",'隊員マスタ'!$F$5:$F$204,0)),IF(AK2724="","番号なし",AK2724)))</f>
        <v/>
      </c>
      <c r="D2724" s="47" t="n"/>
      <c r="E2724" s="47" t="n"/>
      <c r="F2724" s="47" t="n"/>
      <c r="G2724" s="47" t="n"/>
      <c r="H2724" s="47" t="n"/>
      <c r="I2724" s="47" t="n"/>
      <c r="J2724" s="47" t="n"/>
      <c r="K2724" s="47" t="n"/>
      <c r="L2724" s="47" t="n"/>
      <c r="M2724" s="47" t="n"/>
      <c r="N2724" s="47" t="n"/>
      <c r="O2724" s="47" t="n"/>
      <c r="P2724" s="47" t="n"/>
      <c r="Q2724" s="47" t="n"/>
      <c r="R2724" s="47" t="n"/>
      <c r="S2724" s="47" t="n"/>
      <c r="T2724" s="47" t="n"/>
      <c r="U2724" s="53" t="n"/>
      <c r="V2724" s="53" t="n"/>
      <c r="W2724" s="47" t="n"/>
      <c r="X2724" s="47" t="n"/>
      <c r="Y2724" s="47" t="n"/>
      <c r="Z2724" s="47" t="n"/>
      <c r="AA2724" s="47" t="n"/>
      <c r="AB2724" s="47" t="n"/>
      <c r="AC2724" s="47" t="n"/>
      <c r="AD2724" s="47" t="n"/>
      <c r="AE2724" s="47" t="n"/>
      <c r="AF2724" s="20">
        <f>IF(A2724="","",YEAR(EDATE(A2724,-3)))</f>
        <v/>
      </c>
      <c r="AG2724" s="20">
        <f>IF(OR(B2724="",'経歴簿'!$C$4=""),"",IF(B2724&amp;""='経歴簿'!$C$4&amp;"",MAX($AG$4:AG2723)+1,""))</f>
        <v/>
      </c>
      <c r="AH2724" s="20">
        <f>IF(A2724="",0,IF(AND(OR('CSV抽出'!$C$4="",A2724&gt;='CSV抽出'!$C$4),OR('CSV抽出'!$C$5="",A2724&lt;='CSV抽出'!$C$5),OR('CSV抽出'!$C$6="すべて",'CSV抽出'!$C$6="",D2724='CSV抽出'!$C$6),OR('CSV抽出'!$C$7="",B2724&amp;""='CSV抽出'!$C$7&amp;"")),1,0))</f>
        <v/>
      </c>
      <c r="AI2724" s="20">
        <f>IF(AH2724=1,SUM($AH$5:AH2724),"")</f>
        <v/>
      </c>
      <c r="AJ2724" s="20">
        <f>IF(OR(S2724="",'報告書'!$C$4=""),"",IF(S2724&amp;""='報告書'!$C$4&amp;"",COUNTIF($S$5:S2724,'報告書'!$C$4),""))</f>
        <v/>
      </c>
      <c r="AK2724" s="20" t="n"/>
      <c r="AL2724" s="47" t="n"/>
      <c r="AM2724" s="47" t="n"/>
      <c r="AN2724" s="53" t="n"/>
      <c r="AO2724" s="47" t="n"/>
      <c r="AP2724" s="47" t="n"/>
      <c r="AQ2724" s="47" t="n"/>
      <c r="AR2724" s="47" t="n"/>
      <c r="AS2724" s="47" t="n"/>
      <c r="AT2724" s="47" t="n"/>
      <c r="AU2724" s="47" t="n"/>
      <c r="AV2724" s="47" t="n"/>
      <c r="AW2724" s="52" t="n"/>
    </row>
    <row r="2725">
      <c r="A2725" s="48" t="n"/>
      <c r="B2725" s="52" t="n"/>
      <c r="C2725" s="47">
        <f>IF(B2725="","",IFERROR(INDEX('隊員マスタ'!$B$5:$B$204,MATCH(B2725&amp;"",'隊員マスタ'!$F$5:$F$204,0)),IF(AK2725="","番号なし",AK2725)))</f>
        <v/>
      </c>
      <c r="D2725" s="47" t="n"/>
      <c r="E2725" s="47" t="n"/>
      <c r="F2725" s="47" t="n"/>
      <c r="G2725" s="47" t="n"/>
      <c r="H2725" s="47" t="n"/>
      <c r="I2725" s="47" t="n"/>
      <c r="J2725" s="47" t="n"/>
      <c r="K2725" s="47" t="n"/>
      <c r="L2725" s="47" t="n"/>
      <c r="M2725" s="47" t="n"/>
      <c r="N2725" s="47" t="n"/>
      <c r="O2725" s="47" t="n"/>
      <c r="P2725" s="47" t="n"/>
      <c r="Q2725" s="47" t="n"/>
      <c r="R2725" s="47" t="n"/>
      <c r="S2725" s="47" t="n"/>
      <c r="T2725" s="47" t="n"/>
      <c r="U2725" s="53" t="n"/>
      <c r="V2725" s="53" t="n"/>
      <c r="W2725" s="47" t="n"/>
      <c r="X2725" s="47" t="n"/>
      <c r="Y2725" s="47" t="n"/>
      <c r="Z2725" s="47" t="n"/>
      <c r="AA2725" s="47" t="n"/>
      <c r="AB2725" s="47" t="n"/>
      <c r="AC2725" s="47" t="n"/>
      <c r="AD2725" s="47" t="n"/>
      <c r="AE2725" s="47" t="n"/>
      <c r="AF2725" s="20">
        <f>IF(A2725="","",YEAR(EDATE(A2725,-3)))</f>
        <v/>
      </c>
      <c r="AG2725" s="20">
        <f>IF(OR(B2725="",'経歴簿'!$C$4=""),"",IF(B2725&amp;""='経歴簿'!$C$4&amp;"",MAX($AG$4:AG2724)+1,""))</f>
        <v/>
      </c>
      <c r="AH2725" s="20">
        <f>IF(A2725="",0,IF(AND(OR('CSV抽出'!$C$4="",A2725&gt;='CSV抽出'!$C$4),OR('CSV抽出'!$C$5="",A2725&lt;='CSV抽出'!$C$5),OR('CSV抽出'!$C$6="すべて",'CSV抽出'!$C$6="",D2725='CSV抽出'!$C$6),OR('CSV抽出'!$C$7="",B2725&amp;""='CSV抽出'!$C$7&amp;"")),1,0))</f>
        <v/>
      </c>
      <c r="AI2725" s="20">
        <f>IF(AH2725=1,SUM($AH$5:AH2725),"")</f>
        <v/>
      </c>
      <c r="AJ2725" s="20">
        <f>IF(OR(S2725="",'報告書'!$C$4=""),"",IF(S2725&amp;""='報告書'!$C$4&amp;"",COUNTIF($S$5:S2725,'報告書'!$C$4),""))</f>
        <v/>
      </c>
      <c r="AK2725" s="20" t="n"/>
      <c r="AL2725" s="47" t="n"/>
      <c r="AM2725" s="47" t="n"/>
      <c r="AN2725" s="53" t="n"/>
      <c r="AO2725" s="47" t="n"/>
      <c r="AP2725" s="47" t="n"/>
      <c r="AQ2725" s="47" t="n"/>
      <c r="AR2725" s="47" t="n"/>
      <c r="AS2725" s="47" t="n"/>
      <c r="AT2725" s="47" t="n"/>
      <c r="AU2725" s="47" t="n"/>
      <c r="AV2725" s="47" t="n"/>
      <c r="AW2725" s="52" t="n"/>
    </row>
    <row r="2726">
      <c r="A2726" s="48" t="n"/>
      <c r="B2726" s="52" t="n"/>
      <c r="C2726" s="47">
        <f>IF(B2726="","",IFERROR(INDEX('隊員マスタ'!$B$5:$B$204,MATCH(B2726&amp;"",'隊員マスタ'!$F$5:$F$204,0)),IF(AK2726="","番号なし",AK2726)))</f>
        <v/>
      </c>
      <c r="D2726" s="47" t="n"/>
      <c r="E2726" s="47" t="n"/>
      <c r="F2726" s="47" t="n"/>
      <c r="G2726" s="47" t="n"/>
      <c r="H2726" s="47" t="n"/>
      <c r="I2726" s="47" t="n"/>
      <c r="J2726" s="47" t="n"/>
      <c r="K2726" s="47" t="n"/>
      <c r="L2726" s="47" t="n"/>
      <c r="M2726" s="47" t="n"/>
      <c r="N2726" s="47" t="n"/>
      <c r="O2726" s="47" t="n"/>
      <c r="P2726" s="47" t="n"/>
      <c r="Q2726" s="47" t="n"/>
      <c r="R2726" s="47" t="n"/>
      <c r="S2726" s="47" t="n"/>
      <c r="T2726" s="47" t="n"/>
      <c r="U2726" s="53" t="n"/>
      <c r="V2726" s="53" t="n"/>
      <c r="W2726" s="47" t="n"/>
      <c r="X2726" s="47" t="n"/>
      <c r="Y2726" s="47" t="n"/>
      <c r="Z2726" s="47" t="n"/>
      <c r="AA2726" s="47" t="n"/>
      <c r="AB2726" s="47" t="n"/>
      <c r="AC2726" s="47" t="n"/>
      <c r="AD2726" s="47" t="n"/>
      <c r="AE2726" s="47" t="n"/>
      <c r="AF2726" s="20">
        <f>IF(A2726="","",YEAR(EDATE(A2726,-3)))</f>
        <v/>
      </c>
      <c r="AG2726" s="20">
        <f>IF(OR(B2726="",'経歴簿'!$C$4=""),"",IF(B2726&amp;""='経歴簿'!$C$4&amp;"",MAX($AG$4:AG2725)+1,""))</f>
        <v/>
      </c>
      <c r="AH2726" s="20">
        <f>IF(A2726="",0,IF(AND(OR('CSV抽出'!$C$4="",A2726&gt;='CSV抽出'!$C$4),OR('CSV抽出'!$C$5="",A2726&lt;='CSV抽出'!$C$5),OR('CSV抽出'!$C$6="すべて",'CSV抽出'!$C$6="",D2726='CSV抽出'!$C$6),OR('CSV抽出'!$C$7="",B2726&amp;""='CSV抽出'!$C$7&amp;"")),1,0))</f>
        <v/>
      </c>
      <c r="AI2726" s="20">
        <f>IF(AH2726=1,SUM($AH$5:AH2726),"")</f>
        <v/>
      </c>
      <c r="AJ2726" s="20">
        <f>IF(OR(S2726="",'報告書'!$C$4=""),"",IF(S2726&amp;""='報告書'!$C$4&amp;"",COUNTIF($S$5:S2726,'報告書'!$C$4),""))</f>
        <v/>
      </c>
      <c r="AK2726" s="20" t="n"/>
      <c r="AL2726" s="47" t="n"/>
      <c r="AM2726" s="47" t="n"/>
      <c r="AN2726" s="53" t="n"/>
      <c r="AO2726" s="47" t="n"/>
      <c r="AP2726" s="47" t="n"/>
      <c r="AQ2726" s="47" t="n"/>
      <c r="AR2726" s="47" t="n"/>
      <c r="AS2726" s="47" t="n"/>
      <c r="AT2726" s="47" t="n"/>
      <c r="AU2726" s="47" t="n"/>
      <c r="AV2726" s="47" t="n"/>
      <c r="AW2726" s="52" t="n"/>
    </row>
    <row r="2727">
      <c r="A2727" s="48" t="n"/>
      <c r="B2727" s="52" t="n"/>
      <c r="C2727" s="47">
        <f>IF(B2727="","",IFERROR(INDEX('隊員マスタ'!$B$5:$B$204,MATCH(B2727&amp;"",'隊員マスタ'!$F$5:$F$204,0)),IF(AK2727="","番号なし",AK2727)))</f>
        <v/>
      </c>
      <c r="D2727" s="47" t="n"/>
      <c r="E2727" s="47" t="n"/>
      <c r="F2727" s="47" t="n"/>
      <c r="G2727" s="47" t="n"/>
      <c r="H2727" s="47" t="n"/>
      <c r="I2727" s="47" t="n"/>
      <c r="J2727" s="47" t="n"/>
      <c r="K2727" s="47" t="n"/>
      <c r="L2727" s="47" t="n"/>
      <c r="M2727" s="47" t="n"/>
      <c r="N2727" s="47" t="n"/>
      <c r="O2727" s="47" t="n"/>
      <c r="P2727" s="47" t="n"/>
      <c r="Q2727" s="47" t="n"/>
      <c r="R2727" s="47" t="n"/>
      <c r="S2727" s="47" t="n"/>
      <c r="T2727" s="47" t="n"/>
      <c r="U2727" s="53" t="n"/>
      <c r="V2727" s="53" t="n"/>
      <c r="W2727" s="47" t="n"/>
      <c r="X2727" s="47" t="n"/>
      <c r="Y2727" s="47" t="n"/>
      <c r="Z2727" s="47" t="n"/>
      <c r="AA2727" s="47" t="n"/>
      <c r="AB2727" s="47" t="n"/>
      <c r="AC2727" s="47" t="n"/>
      <c r="AD2727" s="47" t="n"/>
      <c r="AE2727" s="47" t="n"/>
      <c r="AF2727" s="20">
        <f>IF(A2727="","",YEAR(EDATE(A2727,-3)))</f>
        <v/>
      </c>
      <c r="AG2727" s="20">
        <f>IF(OR(B2727="",'経歴簿'!$C$4=""),"",IF(B2727&amp;""='経歴簿'!$C$4&amp;"",MAX($AG$4:AG2726)+1,""))</f>
        <v/>
      </c>
      <c r="AH2727" s="20">
        <f>IF(A2727="",0,IF(AND(OR('CSV抽出'!$C$4="",A2727&gt;='CSV抽出'!$C$4),OR('CSV抽出'!$C$5="",A2727&lt;='CSV抽出'!$C$5),OR('CSV抽出'!$C$6="すべて",'CSV抽出'!$C$6="",D2727='CSV抽出'!$C$6),OR('CSV抽出'!$C$7="",B2727&amp;""='CSV抽出'!$C$7&amp;"")),1,0))</f>
        <v/>
      </c>
      <c r="AI2727" s="20">
        <f>IF(AH2727=1,SUM($AH$5:AH2727),"")</f>
        <v/>
      </c>
      <c r="AJ2727" s="20">
        <f>IF(OR(S2727="",'報告書'!$C$4=""),"",IF(S2727&amp;""='報告書'!$C$4&amp;"",COUNTIF($S$5:S2727,'報告書'!$C$4),""))</f>
        <v/>
      </c>
      <c r="AK2727" s="20" t="n"/>
      <c r="AL2727" s="47" t="n"/>
      <c r="AM2727" s="47" t="n"/>
      <c r="AN2727" s="53" t="n"/>
      <c r="AO2727" s="47" t="n"/>
      <c r="AP2727" s="47" t="n"/>
      <c r="AQ2727" s="47" t="n"/>
      <c r="AR2727" s="47" t="n"/>
      <c r="AS2727" s="47" t="n"/>
      <c r="AT2727" s="47" t="n"/>
      <c r="AU2727" s="47" t="n"/>
      <c r="AV2727" s="47" t="n"/>
      <c r="AW2727" s="52" t="n"/>
    </row>
    <row r="2728">
      <c r="A2728" s="48" t="n"/>
      <c r="B2728" s="52" t="n"/>
      <c r="C2728" s="47">
        <f>IF(B2728="","",IFERROR(INDEX('隊員マスタ'!$B$5:$B$204,MATCH(B2728&amp;"",'隊員マスタ'!$F$5:$F$204,0)),IF(AK2728="","番号なし",AK2728)))</f>
        <v/>
      </c>
      <c r="D2728" s="47" t="n"/>
      <c r="E2728" s="47" t="n"/>
      <c r="F2728" s="47" t="n"/>
      <c r="G2728" s="47" t="n"/>
      <c r="H2728" s="47" t="n"/>
      <c r="I2728" s="47" t="n"/>
      <c r="J2728" s="47" t="n"/>
      <c r="K2728" s="47" t="n"/>
      <c r="L2728" s="47" t="n"/>
      <c r="M2728" s="47" t="n"/>
      <c r="N2728" s="47" t="n"/>
      <c r="O2728" s="47" t="n"/>
      <c r="P2728" s="47" t="n"/>
      <c r="Q2728" s="47" t="n"/>
      <c r="R2728" s="47" t="n"/>
      <c r="S2728" s="47" t="n"/>
      <c r="T2728" s="47" t="n"/>
      <c r="U2728" s="53" t="n"/>
      <c r="V2728" s="53" t="n"/>
      <c r="W2728" s="47" t="n"/>
      <c r="X2728" s="47" t="n"/>
      <c r="Y2728" s="47" t="n"/>
      <c r="Z2728" s="47" t="n"/>
      <c r="AA2728" s="47" t="n"/>
      <c r="AB2728" s="47" t="n"/>
      <c r="AC2728" s="47" t="n"/>
      <c r="AD2728" s="47" t="n"/>
      <c r="AE2728" s="47" t="n"/>
      <c r="AF2728" s="20">
        <f>IF(A2728="","",YEAR(EDATE(A2728,-3)))</f>
        <v/>
      </c>
      <c r="AG2728" s="20">
        <f>IF(OR(B2728="",'経歴簿'!$C$4=""),"",IF(B2728&amp;""='経歴簿'!$C$4&amp;"",MAX($AG$4:AG2727)+1,""))</f>
        <v/>
      </c>
      <c r="AH2728" s="20">
        <f>IF(A2728="",0,IF(AND(OR('CSV抽出'!$C$4="",A2728&gt;='CSV抽出'!$C$4),OR('CSV抽出'!$C$5="",A2728&lt;='CSV抽出'!$C$5),OR('CSV抽出'!$C$6="すべて",'CSV抽出'!$C$6="",D2728='CSV抽出'!$C$6),OR('CSV抽出'!$C$7="",B2728&amp;""='CSV抽出'!$C$7&amp;"")),1,0))</f>
        <v/>
      </c>
      <c r="AI2728" s="20">
        <f>IF(AH2728=1,SUM($AH$5:AH2728),"")</f>
        <v/>
      </c>
      <c r="AJ2728" s="20">
        <f>IF(OR(S2728="",'報告書'!$C$4=""),"",IF(S2728&amp;""='報告書'!$C$4&amp;"",COUNTIF($S$5:S2728,'報告書'!$C$4),""))</f>
        <v/>
      </c>
      <c r="AK2728" s="20" t="n"/>
      <c r="AL2728" s="47" t="n"/>
      <c r="AM2728" s="47" t="n"/>
      <c r="AN2728" s="53" t="n"/>
      <c r="AO2728" s="47" t="n"/>
      <c r="AP2728" s="47" t="n"/>
      <c r="AQ2728" s="47" t="n"/>
      <c r="AR2728" s="47" t="n"/>
      <c r="AS2728" s="47" t="n"/>
      <c r="AT2728" s="47" t="n"/>
      <c r="AU2728" s="47" t="n"/>
      <c r="AV2728" s="47" t="n"/>
      <c r="AW2728" s="52" t="n"/>
    </row>
    <row r="2729">
      <c r="A2729" s="48" t="n"/>
      <c r="B2729" s="52" t="n"/>
      <c r="C2729" s="47">
        <f>IF(B2729="","",IFERROR(INDEX('隊員マスタ'!$B$5:$B$204,MATCH(B2729&amp;"",'隊員マスタ'!$F$5:$F$204,0)),IF(AK2729="","番号なし",AK2729)))</f>
        <v/>
      </c>
      <c r="D2729" s="47" t="n"/>
      <c r="E2729" s="47" t="n"/>
      <c r="F2729" s="47" t="n"/>
      <c r="G2729" s="47" t="n"/>
      <c r="H2729" s="47" t="n"/>
      <c r="I2729" s="47" t="n"/>
      <c r="J2729" s="47" t="n"/>
      <c r="K2729" s="47" t="n"/>
      <c r="L2729" s="47" t="n"/>
      <c r="M2729" s="47" t="n"/>
      <c r="N2729" s="47" t="n"/>
      <c r="O2729" s="47" t="n"/>
      <c r="P2729" s="47" t="n"/>
      <c r="Q2729" s="47" t="n"/>
      <c r="R2729" s="47" t="n"/>
      <c r="S2729" s="47" t="n"/>
      <c r="T2729" s="47" t="n"/>
      <c r="U2729" s="53" t="n"/>
      <c r="V2729" s="53" t="n"/>
      <c r="W2729" s="47" t="n"/>
      <c r="X2729" s="47" t="n"/>
      <c r="Y2729" s="47" t="n"/>
      <c r="Z2729" s="47" t="n"/>
      <c r="AA2729" s="47" t="n"/>
      <c r="AB2729" s="47" t="n"/>
      <c r="AC2729" s="47" t="n"/>
      <c r="AD2729" s="47" t="n"/>
      <c r="AE2729" s="47" t="n"/>
      <c r="AF2729" s="20">
        <f>IF(A2729="","",YEAR(EDATE(A2729,-3)))</f>
        <v/>
      </c>
      <c r="AG2729" s="20">
        <f>IF(OR(B2729="",'経歴簿'!$C$4=""),"",IF(B2729&amp;""='経歴簿'!$C$4&amp;"",MAX($AG$4:AG2728)+1,""))</f>
        <v/>
      </c>
      <c r="AH2729" s="20">
        <f>IF(A2729="",0,IF(AND(OR('CSV抽出'!$C$4="",A2729&gt;='CSV抽出'!$C$4),OR('CSV抽出'!$C$5="",A2729&lt;='CSV抽出'!$C$5),OR('CSV抽出'!$C$6="すべて",'CSV抽出'!$C$6="",D2729='CSV抽出'!$C$6),OR('CSV抽出'!$C$7="",B2729&amp;""='CSV抽出'!$C$7&amp;"")),1,0))</f>
        <v/>
      </c>
      <c r="AI2729" s="20">
        <f>IF(AH2729=1,SUM($AH$5:AH2729),"")</f>
        <v/>
      </c>
      <c r="AJ2729" s="20">
        <f>IF(OR(S2729="",'報告書'!$C$4=""),"",IF(S2729&amp;""='報告書'!$C$4&amp;"",COUNTIF($S$5:S2729,'報告書'!$C$4),""))</f>
        <v/>
      </c>
      <c r="AK2729" s="20" t="n"/>
      <c r="AL2729" s="47" t="n"/>
      <c r="AM2729" s="47" t="n"/>
      <c r="AN2729" s="53" t="n"/>
      <c r="AO2729" s="47" t="n"/>
      <c r="AP2729" s="47" t="n"/>
      <c r="AQ2729" s="47" t="n"/>
      <c r="AR2729" s="47" t="n"/>
      <c r="AS2729" s="47" t="n"/>
      <c r="AT2729" s="47" t="n"/>
      <c r="AU2729" s="47" t="n"/>
      <c r="AV2729" s="47" t="n"/>
      <c r="AW2729" s="52" t="n"/>
    </row>
    <row r="2730">
      <c r="A2730" s="48" t="n"/>
      <c r="B2730" s="52" t="n"/>
      <c r="C2730" s="47">
        <f>IF(B2730="","",IFERROR(INDEX('隊員マスタ'!$B$5:$B$204,MATCH(B2730&amp;"",'隊員マスタ'!$F$5:$F$204,0)),IF(AK2730="","番号なし",AK2730)))</f>
        <v/>
      </c>
      <c r="D2730" s="47" t="n"/>
      <c r="E2730" s="47" t="n"/>
      <c r="F2730" s="47" t="n"/>
      <c r="G2730" s="47" t="n"/>
      <c r="H2730" s="47" t="n"/>
      <c r="I2730" s="47" t="n"/>
      <c r="J2730" s="47" t="n"/>
      <c r="K2730" s="47" t="n"/>
      <c r="L2730" s="47" t="n"/>
      <c r="M2730" s="47" t="n"/>
      <c r="N2730" s="47" t="n"/>
      <c r="O2730" s="47" t="n"/>
      <c r="P2730" s="47" t="n"/>
      <c r="Q2730" s="47" t="n"/>
      <c r="R2730" s="47" t="n"/>
      <c r="S2730" s="47" t="n"/>
      <c r="T2730" s="47" t="n"/>
      <c r="U2730" s="53" t="n"/>
      <c r="V2730" s="53" t="n"/>
      <c r="W2730" s="47" t="n"/>
      <c r="X2730" s="47" t="n"/>
      <c r="Y2730" s="47" t="n"/>
      <c r="Z2730" s="47" t="n"/>
      <c r="AA2730" s="47" t="n"/>
      <c r="AB2730" s="47" t="n"/>
      <c r="AC2730" s="47" t="n"/>
      <c r="AD2730" s="47" t="n"/>
      <c r="AE2730" s="47" t="n"/>
      <c r="AF2730" s="20">
        <f>IF(A2730="","",YEAR(EDATE(A2730,-3)))</f>
        <v/>
      </c>
      <c r="AG2730" s="20">
        <f>IF(OR(B2730="",'経歴簿'!$C$4=""),"",IF(B2730&amp;""='経歴簿'!$C$4&amp;"",MAX($AG$4:AG2729)+1,""))</f>
        <v/>
      </c>
      <c r="AH2730" s="20">
        <f>IF(A2730="",0,IF(AND(OR('CSV抽出'!$C$4="",A2730&gt;='CSV抽出'!$C$4),OR('CSV抽出'!$C$5="",A2730&lt;='CSV抽出'!$C$5),OR('CSV抽出'!$C$6="すべて",'CSV抽出'!$C$6="",D2730='CSV抽出'!$C$6),OR('CSV抽出'!$C$7="",B2730&amp;""='CSV抽出'!$C$7&amp;"")),1,0))</f>
        <v/>
      </c>
      <c r="AI2730" s="20">
        <f>IF(AH2730=1,SUM($AH$5:AH2730),"")</f>
        <v/>
      </c>
      <c r="AJ2730" s="20">
        <f>IF(OR(S2730="",'報告書'!$C$4=""),"",IF(S2730&amp;""='報告書'!$C$4&amp;"",COUNTIF($S$5:S2730,'報告書'!$C$4),""))</f>
        <v/>
      </c>
      <c r="AK2730" s="20" t="n"/>
      <c r="AL2730" s="47" t="n"/>
      <c r="AM2730" s="47" t="n"/>
      <c r="AN2730" s="53" t="n"/>
      <c r="AO2730" s="47" t="n"/>
      <c r="AP2730" s="47" t="n"/>
      <c r="AQ2730" s="47" t="n"/>
      <c r="AR2730" s="47" t="n"/>
      <c r="AS2730" s="47" t="n"/>
      <c r="AT2730" s="47" t="n"/>
      <c r="AU2730" s="47" t="n"/>
      <c r="AV2730" s="47" t="n"/>
      <c r="AW2730" s="52" t="n"/>
    </row>
    <row r="2731">
      <c r="A2731" s="48" t="n"/>
      <c r="B2731" s="52" t="n"/>
      <c r="C2731" s="47">
        <f>IF(B2731="","",IFERROR(INDEX('隊員マスタ'!$B$5:$B$204,MATCH(B2731&amp;"",'隊員マスタ'!$F$5:$F$204,0)),IF(AK2731="","番号なし",AK2731)))</f>
        <v/>
      </c>
      <c r="D2731" s="47" t="n"/>
      <c r="E2731" s="47" t="n"/>
      <c r="F2731" s="47" t="n"/>
      <c r="G2731" s="47" t="n"/>
      <c r="H2731" s="47" t="n"/>
      <c r="I2731" s="47" t="n"/>
      <c r="J2731" s="47" t="n"/>
      <c r="K2731" s="47" t="n"/>
      <c r="L2731" s="47" t="n"/>
      <c r="M2731" s="47" t="n"/>
      <c r="N2731" s="47" t="n"/>
      <c r="O2731" s="47" t="n"/>
      <c r="P2731" s="47" t="n"/>
      <c r="Q2731" s="47" t="n"/>
      <c r="R2731" s="47" t="n"/>
      <c r="S2731" s="47" t="n"/>
      <c r="T2731" s="47" t="n"/>
      <c r="U2731" s="53" t="n"/>
      <c r="V2731" s="53" t="n"/>
      <c r="W2731" s="47" t="n"/>
      <c r="X2731" s="47" t="n"/>
      <c r="Y2731" s="47" t="n"/>
      <c r="Z2731" s="47" t="n"/>
      <c r="AA2731" s="47" t="n"/>
      <c r="AB2731" s="47" t="n"/>
      <c r="AC2731" s="47" t="n"/>
      <c r="AD2731" s="47" t="n"/>
      <c r="AE2731" s="47" t="n"/>
      <c r="AF2731" s="20">
        <f>IF(A2731="","",YEAR(EDATE(A2731,-3)))</f>
        <v/>
      </c>
      <c r="AG2731" s="20">
        <f>IF(OR(B2731="",'経歴簿'!$C$4=""),"",IF(B2731&amp;""='経歴簿'!$C$4&amp;"",MAX($AG$4:AG2730)+1,""))</f>
        <v/>
      </c>
      <c r="AH2731" s="20">
        <f>IF(A2731="",0,IF(AND(OR('CSV抽出'!$C$4="",A2731&gt;='CSV抽出'!$C$4),OR('CSV抽出'!$C$5="",A2731&lt;='CSV抽出'!$C$5),OR('CSV抽出'!$C$6="すべて",'CSV抽出'!$C$6="",D2731='CSV抽出'!$C$6),OR('CSV抽出'!$C$7="",B2731&amp;""='CSV抽出'!$C$7&amp;"")),1,0))</f>
        <v/>
      </c>
      <c r="AI2731" s="20">
        <f>IF(AH2731=1,SUM($AH$5:AH2731),"")</f>
        <v/>
      </c>
      <c r="AJ2731" s="20">
        <f>IF(OR(S2731="",'報告書'!$C$4=""),"",IF(S2731&amp;""='報告書'!$C$4&amp;"",COUNTIF($S$5:S2731,'報告書'!$C$4),""))</f>
        <v/>
      </c>
      <c r="AK2731" s="20" t="n"/>
      <c r="AL2731" s="47" t="n"/>
      <c r="AM2731" s="47" t="n"/>
      <c r="AN2731" s="53" t="n"/>
      <c r="AO2731" s="47" t="n"/>
      <c r="AP2731" s="47" t="n"/>
      <c r="AQ2731" s="47" t="n"/>
      <c r="AR2731" s="47" t="n"/>
      <c r="AS2731" s="47" t="n"/>
      <c r="AT2731" s="47" t="n"/>
      <c r="AU2731" s="47" t="n"/>
      <c r="AV2731" s="47" t="n"/>
      <c r="AW2731" s="52" t="n"/>
    </row>
    <row r="2732">
      <c r="A2732" s="48" t="n"/>
      <c r="B2732" s="52" t="n"/>
      <c r="C2732" s="47">
        <f>IF(B2732="","",IFERROR(INDEX('隊員マスタ'!$B$5:$B$204,MATCH(B2732&amp;"",'隊員マスタ'!$F$5:$F$204,0)),IF(AK2732="","番号なし",AK2732)))</f>
        <v/>
      </c>
      <c r="D2732" s="47" t="n"/>
      <c r="E2732" s="47" t="n"/>
      <c r="F2732" s="47" t="n"/>
      <c r="G2732" s="47" t="n"/>
      <c r="H2732" s="47" t="n"/>
      <c r="I2732" s="47" t="n"/>
      <c r="J2732" s="47" t="n"/>
      <c r="K2732" s="47" t="n"/>
      <c r="L2732" s="47" t="n"/>
      <c r="M2732" s="47" t="n"/>
      <c r="N2732" s="47" t="n"/>
      <c r="O2732" s="47" t="n"/>
      <c r="P2732" s="47" t="n"/>
      <c r="Q2732" s="47" t="n"/>
      <c r="R2732" s="47" t="n"/>
      <c r="S2732" s="47" t="n"/>
      <c r="T2732" s="47" t="n"/>
      <c r="U2732" s="53" t="n"/>
      <c r="V2732" s="53" t="n"/>
      <c r="W2732" s="47" t="n"/>
      <c r="X2732" s="47" t="n"/>
      <c r="Y2732" s="47" t="n"/>
      <c r="Z2732" s="47" t="n"/>
      <c r="AA2732" s="47" t="n"/>
      <c r="AB2732" s="47" t="n"/>
      <c r="AC2732" s="47" t="n"/>
      <c r="AD2732" s="47" t="n"/>
      <c r="AE2732" s="47" t="n"/>
      <c r="AF2732" s="20">
        <f>IF(A2732="","",YEAR(EDATE(A2732,-3)))</f>
        <v/>
      </c>
      <c r="AG2732" s="20">
        <f>IF(OR(B2732="",'経歴簿'!$C$4=""),"",IF(B2732&amp;""='経歴簿'!$C$4&amp;"",MAX($AG$4:AG2731)+1,""))</f>
        <v/>
      </c>
      <c r="AH2732" s="20">
        <f>IF(A2732="",0,IF(AND(OR('CSV抽出'!$C$4="",A2732&gt;='CSV抽出'!$C$4),OR('CSV抽出'!$C$5="",A2732&lt;='CSV抽出'!$C$5),OR('CSV抽出'!$C$6="すべて",'CSV抽出'!$C$6="",D2732='CSV抽出'!$C$6),OR('CSV抽出'!$C$7="",B2732&amp;""='CSV抽出'!$C$7&amp;"")),1,0))</f>
        <v/>
      </c>
      <c r="AI2732" s="20">
        <f>IF(AH2732=1,SUM($AH$5:AH2732),"")</f>
        <v/>
      </c>
      <c r="AJ2732" s="20">
        <f>IF(OR(S2732="",'報告書'!$C$4=""),"",IF(S2732&amp;""='報告書'!$C$4&amp;"",COUNTIF($S$5:S2732,'報告書'!$C$4),""))</f>
        <v/>
      </c>
      <c r="AK2732" s="20" t="n"/>
      <c r="AL2732" s="47" t="n"/>
      <c r="AM2732" s="47" t="n"/>
      <c r="AN2732" s="53" t="n"/>
      <c r="AO2732" s="47" t="n"/>
      <c r="AP2732" s="47" t="n"/>
      <c r="AQ2732" s="47" t="n"/>
      <c r="AR2732" s="47" t="n"/>
      <c r="AS2732" s="47" t="n"/>
      <c r="AT2732" s="47" t="n"/>
      <c r="AU2732" s="47" t="n"/>
      <c r="AV2732" s="47" t="n"/>
      <c r="AW2732" s="52" t="n"/>
    </row>
    <row r="2733">
      <c r="A2733" s="48" t="n"/>
      <c r="B2733" s="52" t="n"/>
      <c r="C2733" s="47">
        <f>IF(B2733="","",IFERROR(INDEX('隊員マスタ'!$B$5:$B$204,MATCH(B2733&amp;"",'隊員マスタ'!$F$5:$F$204,0)),IF(AK2733="","番号なし",AK2733)))</f>
        <v/>
      </c>
      <c r="D2733" s="47" t="n"/>
      <c r="E2733" s="47" t="n"/>
      <c r="F2733" s="47" t="n"/>
      <c r="G2733" s="47" t="n"/>
      <c r="H2733" s="47" t="n"/>
      <c r="I2733" s="47" t="n"/>
      <c r="J2733" s="47" t="n"/>
      <c r="K2733" s="47" t="n"/>
      <c r="L2733" s="47" t="n"/>
      <c r="M2733" s="47" t="n"/>
      <c r="N2733" s="47" t="n"/>
      <c r="O2733" s="47" t="n"/>
      <c r="P2733" s="47" t="n"/>
      <c r="Q2733" s="47" t="n"/>
      <c r="R2733" s="47" t="n"/>
      <c r="S2733" s="47" t="n"/>
      <c r="T2733" s="47" t="n"/>
      <c r="U2733" s="53" t="n"/>
      <c r="V2733" s="53" t="n"/>
      <c r="W2733" s="47" t="n"/>
      <c r="X2733" s="47" t="n"/>
      <c r="Y2733" s="47" t="n"/>
      <c r="Z2733" s="47" t="n"/>
      <c r="AA2733" s="47" t="n"/>
      <c r="AB2733" s="47" t="n"/>
      <c r="AC2733" s="47" t="n"/>
      <c r="AD2733" s="47" t="n"/>
      <c r="AE2733" s="47" t="n"/>
      <c r="AF2733" s="20">
        <f>IF(A2733="","",YEAR(EDATE(A2733,-3)))</f>
        <v/>
      </c>
      <c r="AG2733" s="20">
        <f>IF(OR(B2733="",'経歴簿'!$C$4=""),"",IF(B2733&amp;""='経歴簿'!$C$4&amp;"",MAX($AG$4:AG2732)+1,""))</f>
        <v/>
      </c>
      <c r="AH2733" s="20">
        <f>IF(A2733="",0,IF(AND(OR('CSV抽出'!$C$4="",A2733&gt;='CSV抽出'!$C$4),OR('CSV抽出'!$C$5="",A2733&lt;='CSV抽出'!$C$5),OR('CSV抽出'!$C$6="すべて",'CSV抽出'!$C$6="",D2733='CSV抽出'!$C$6),OR('CSV抽出'!$C$7="",B2733&amp;""='CSV抽出'!$C$7&amp;"")),1,0))</f>
        <v/>
      </c>
      <c r="AI2733" s="20">
        <f>IF(AH2733=1,SUM($AH$5:AH2733),"")</f>
        <v/>
      </c>
      <c r="AJ2733" s="20">
        <f>IF(OR(S2733="",'報告書'!$C$4=""),"",IF(S2733&amp;""='報告書'!$C$4&amp;"",COUNTIF($S$5:S2733,'報告書'!$C$4),""))</f>
        <v/>
      </c>
      <c r="AK2733" s="20" t="n"/>
      <c r="AL2733" s="47" t="n"/>
      <c r="AM2733" s="47" t="n"/>
      <c r="AN2733" s="53" t="n"/>
      <c r="AO2733" s="47" t="n"/>
      <c r="AP2733" s="47" t="n"/>
      <c r="AQ2733" s="47" t="n"/>
      <c r="AR2733" s="47" t="n"/>
      <c r="AS2733" s="47" t="n"/>
      <c r="AT2733" s="47" t="n"/>
      <c r="AU2733" s="47" t="n"/>
      <c r="AV2733" s="47" t="n"/>
      <c r="AW2733" s="52" t="n"/>
    </row>
    <row r="2734">
      <c r="A2734" s="48" t="n"/>
      <c r="B2734" s="52" t="n"/>
      <c r="C2734" s="47">
        <f>IF(B2734="","",IFERROR(INDEX('隊員マスタ'!$B$5:$B$204,MATCH(B2734&amp;"",'隊員マスタ'!$F$5:$F$204,0)),IF(AK2734="","番号なし",AK2734)))</f>
        <v/>
      </c>
      <c r="D2734" s="47" t="n"/>
      <c r="E2734" s="47" t="n"/>
      <c r="F2734" s="47" t="n"/>
      <c r="G2734" s="47" t="n"/>
      <c r="H2734" s="47" t="n"/>
      <c r="I2734" s="47" t="n"/>
      <c r="J2734" s="47" t="n"/>
      <c r="K2734" s="47" t="n"/>
      <c r="L2734" s="47" t="n"/>
      <c r="M2734" s="47" t="n"/>
      <c r="N2734" s="47" t="n"/>
      <c r="O2734" s="47" t="n"/>
      <c r="P2734" s="47" t="n"/>
      <c r="Q2734" s="47" t="n"/>
      <c r="R2734" s="47" t="n"/>
      <c r="S2734" s="47" t="n"/>
      <c r="T2734" s="47" t="n"/>
      <c r="U2734" s="53" t="n"/>
      <c r="V2734" s="53" t="n"/>
      <c r="W2734" s="47" t="n"/>
      <c r="X2734" s="47" t="n"/>
      <c r="Y2734" s="47" t="n"/>
      <c r="Z2734" s="47" t="n"/>
      <c r="AA2734" s="47" t="n"/>
      <c r="AB2734" s="47" t="n"/>
      <c r="AC2734" s="47" t="n"/>
      <c r="AD2734" s="47" t="n"/>
      <c r="AE2734" s="47" t="n"/>
      <c r="AF2734" s="20">
        <f>IF(A2734="","",YEAR(EDATE(A2734,-3)))</f>
        <v/>
      </c>
      <c r="AG2734" s="20">
        <f>IF(OR(B2734="",'経歴簿'!$C$4=""),"",IF(B2734&amp;""='経歴簿'!$C$4&amp;"",MAX($AG$4:AG2733)+1,""))</f>
        <v/>
      </c>
      <c r="AH2734" s="20">
        <f>IF(A2734="",0,IF(AND(OR('CSV抽出'!$C$4="",A2734&gt;='CSV抽出'!$C$4),OR('CSV抽出'!$C$5="",A2734&lt;='CSV抽出'!$C$5),OR('CSV抽出'!$C$6="すべて",'CSV抽出'!$C$6="",D2734='CSV抽出'!$C$6),OR('CSV抽出'!$C$7="",B2734&amp;""='CSV抽出'!$C$7&amp;"")),1,0))</f>
        <v/>
      </c>
      <c r="AI2734" s="20">
        <f>IF(AH2734=1,SUM($AH$5:AH2734),"")</f>
        <v/>
      </c>
      <c r="AJ2734" s="20">
        <f>IF(OR(S2734="",'報告書'!$C$4=""),"",IF(S2734&amp;""='報告書'!$C$4&amp;"",COUNTIF($S$5:S2734,'報告書'!$C$4),""))</f>
        <v/>
      </c>
      <c r="AK2734" s="20" t="n"/>
      <c r="AL2734" s="47" t="n"/>
      <c r="AM2734" s="47" t="n"/>
      <c r="AN2734" s="53" t="n"/>
      <c r="AO2734" s="47" t="n"/>
      <c r="AP2734" s="47" t="n"/>
      <c r="AQ2734" s="47" t="n"/>
      <c r="AR2734" s="47" t="n"/>
      <c r="AS2734" s="47" t="n"/>
      <c r="AT2734" s="47" t="n"/>
      <c r="AU2734" s="47" t="n"/>
      <c r="AV2734" s="47" t="n"/>
      <c r="AW2734" s="52" t="n"/>
    </row>
    <row r="2735">
      <c r="A2735" s="48" t="n"/>
      <c r="B2735" s="52" t="n"/>
      <c r="C2735" s="47">
        <f>IF(B2735="","",IFERROR(INDEX('隊員マスタ'!$B$5:$B$204,MATCH(B2735&amp;"",'隊員マスタ'!$F$5:$F$204,0)),IF(AK2735="","番号なし",AK2735)))</f>
        <v/>
      </c>
      <c r="D2735" s="47" t="n"/>
      <c r="E2735" s="47" t="n"/>
      <c r="F2735" s="47" t="n"/>
      <c r="G2735" s="47" t="n"/>
      <c r="H2735" s="47" t="n"/>
      <c r="I2735" s="47" t="n"/>
      <c r="J2735" s="47" t="n"/>
      <c r="K2735" s="47" t="n"/>
      <c r="L2735" s="47" t="n"/>
      <c r="M2735" s="47" t="n"/>
      <c r="N2735" s="47" t="n"/>
      <c r="O2735" s="47" t="n"/>
      <c r="P2735" s="47" t="n"/>
      <c r="Q2735" s="47" t="n"/>
      <c r="R2735" s="47" t="n"/>
      <c r="S2735" s="47" t="n"/>
      <c r="T2735" s="47" t="n"/>
      <c r="U2735" s="53" t="n"/>
      <c r="V2735" s="53" t="n"/>
      <c r="W2735" s="47" t="n"/>
      <c r="X2735" s="47" t="n"/>
      <c r="Y2735" s="47" t="n"/>
      <c r="Z2735" s="47" t="n"/>
      <c r="AA2735" s="47" t="n"/>
      <c r="AB2735" s="47" t="n"/>
      <c r="AC2735" s="47" t="n"/>
      <c r="AD2735" s="47" t="n"/>
      <c r="AE2735" s="47" t="n"/>
      <c r="AF2735" s="20">
        <f>IF(A2735="","",YEAR(EDATE(A2735,-3)))</f>
        <v/>
      </c>
      <c r="AG2735" s="20">
        <f>IF(OR(B2735="",'経歴簿'!$C$4=""),"",IF(B2735&amp;""='経歴簿'!$C$4&amp;"",MAX($AG$4:AG2734)+1,""))</f>
        <v/>
      </c>
      <c r="AH2735" s="20">
        <f>IF(A2735="",0,IF(AND(OR('CSV抽出'!$C$4="",A2735&gt;='CSV抽出'!$C$4),OR('CSV抽出'!$C$5="",A2735&lt;='CSV抽出'!$C$5),OR('CSV抽出'!$C$6="すべて",'CSV抽出'!$C$6="",D2735='CSV抽出'!$C$6),OR('CSV抽出'!$C$7="",B2735&amp;""='CSV抽出'!$C$7&amp;"")),1,0))</f>
        <v/>
      </c>
      <c r="AI2735" s="20">
        <f>IF(AH2735=1,SUM($AH$5:AH2735),"")</f>
        <v/>
      </c>
      <c r="AJ2735" s="20">
        <f>IF(OR(S2735="",'報告書'!$C$4=""),"",IF(S2735&amp;""='報告書'!$C$4&amp;"",COUNTIF($S$5:S2735,'報告書'!$C$4),""))</f>
        <v/>
      </c>
      <c r="AK2735" s="20" t="n"/>
      <c r="AL2735" s="47" t="n"/>
      <c r="AM2735" s="47" t="n"/>
      <c r="AN2735" s="53" t="n"/>
      <c r="AO2735" s="47" t="n"/>
      <c r="AP2735" s="47" t="n"/>
      <c r="AQ2735" s="47" t="n"/>
      <c r="AR2735" s="47" t="n"/>
      <c r="AS2735" s="47" t="n"/>
      <c r="AT2735" s="47" t="n"/>
      <c r="AU2735" s="47" t="n"/>
      <c r="AV2735" s="47" t="n"/>
      <c r="AW2735" s="52" t="n"/>
    </row>
    <row r="2736">
      <c r="A2736" s="48" t="n"/>
      <c r="B2736" s="52" t="n"/>
      <c r="C2736" s="47">
        <f>IF(B2736="","",IFERROR(INDEX('隊員マスタ'!$B$5:$B$204,MATCH(B2736&amp;"",'隊員マスタ'!$F$5:$F$204,0)),IF(AK2736="","番号なし",AK2736)))</f>
        <v/>
      </c>
      <c r="D2736" s="47" t="n"/>
      <c r="E2736" s="47" t="n"/>
      <c r="F2736" s="47" t="n"/>
      <c r="G2736" s="47" t="n"/>
      <c r="H2736" s="47" t="n"/>
      <c r="I2736" s="47" t="n"/>
      <c r="J2736" s="47" t="n"/>
      <c r="K2736" s="47" t="n"/>
      <c r="L2736" s="47" t="n"/>
      <c r="M2736" s="47" t="n"/>
      <c r="N2736" s="47" t="n"/>
      <c r="O2736" s="47" t="n"/>
      <c r="P2736" s="47" t="n"/>
      <c r="Q2736" s="47" t="n"/>
      <c r="R2736" s="47" t="n"/>
      <c r="S2736" s="47" t="n"/>
      <c r="T2736" s="47" t="n"/>
      <c r="U2736" s="53" t="n"/>
      <c r="V2736" s="53" t="n"/>
      <c r="W2736" s="47" t="n"/>
      <c r="X2736" s="47" t="n"/>
      <c r="Y2736" s="47" t="n"/>
      <c r="Z2736" s="47" t="n"/>
      <c r="AA2736" s="47" t="n"/>
      <c r="AB2736" s="47" t="n"/>
      <c r="AC2736" s="47" t="n"/>
      <c r="AD2736" s="47" t="n"/>
      <c r="AE2736" s="47" t="n"/>
      <c r="AF2736" s="20">
        <f>IF(A2736="","",YEAR(EDATE(A2736,-3)))</f>
        <v/>
      </c>
      <c r="AG2736" s="20">
        <f>IF(OR(B2736="",'経歴簿'!$C$4=""),"",IF(B2736&amp;""='経歴簿'!$C$4&amp;"",MAX($AG$4:AG2735)+1,""))</f>
        <v/>
      </c>
      <c r="AH2736" s="20">
        <f>IF(A2736="",0,IF(AND(OR('CSV抽出'!$C$4="",A2736&gt;='CSV抽出'!$C$4),OR('CSV抽出'!$C$5="",A2736&lt;='CSV抽出'!$C$5),OR('CSV抽出'!$C$6="すべて",'CSV抽出'!$C$6="",D2736='CSV抽出'!$C$6),OR('CSV抽出'!$C$7="",B2736&amp;""='CSV抽出'!$C$7&amp;"")),1,0))</f>
        <v/>
      </c>
      <c r="AI2736" s="20">
        <f>IF(AH2736=1,SUM($AH$5:AH2736),"")</f>
        <v/>
      </c>
      <c r="AJ2736" s="20">
        <f>IF(OR(S2736="",'報告書'!$C$4=""),"",IF(S2736&amp;""='報告書'!$C$4&amp;"",COUNTIF($S$5:S2736,'報告書'!$C$4),""))</f>
        <v/>
      </c>
      <c r="AK2736" s="20" t="n"/>
      <c r="AL2736" s="47" t="n"/>
      <c r="AM2736" s="47" t="n"/>
      <c r="AN2736" s="53" t="n"/>
      <c r="AO2736" s="47" t="n"/>
      <c r="AP2736" s="47" t="n"/>
      <c r="AQ2736" s="47" t="n"/>
      <c r="AR2736" s="47" t="n"/>
      <c r="AS2736" s="47" t="n"/>
      <c r="AT2736" s="47" t="n"/>
      <c r="AU2736" s="47" t="n"/>
      <c r="AV2736" s="47" t="n"/>
      <c r="AW2736" s="52" t="n"/>
    </row>
    <row r="2737">
      <c r="A2737" s="48" t="n"/>
      <c r="B2737" s="52" t="n"/>
      <c r="C2737" s="47">
        <f>IF(B2737="","",IFERROR(INDEX('隊員マスタ'!$B$5:$B$204,MATCH(B2737&amp;"",'隊員マスタ'!$F$5:$F$204,0)),IF(AK2737="","番号なし",AK2737)))</f>
        <v/>
      </c>
      <c r="D2737" s="47" t="n"/>
      <c r="E2737" s="47" t="n"/>
      <c r="F2737" s="47" t="n"/>
      <c r="G2737" s="47" t="n"/>
      <c r="H2737" s="47" t="n"/>
      <c r="I2737" s="47" t="n"/>
      <c r="J2737" s="47" t="n"/>
      <c r="K2737" s="47" t="n"/>
      <c r="L2737" s="47" t="n"/>
      <c r="M2737" s="47" t="n"/>
      <c r="N2737" s="47" t="n"/>
      <c r="O2737" s="47" t="n"/>
      <c r="P2737" s="47" t="n"/>
      <c r="Q2737" s="47" t="n"/>
      <c r="R2737" s="47" t="n"/>
      <c r="S2737" s="47" t="n"/>
      <c r="T2737" s="47" t="n"/>
      <c r="U2737" s="53" t="n"/>
      <c r="V2737" s="53" t="n"/>
      <c r="W2737" s="47" t="n"/>
      <c r="X2737" s="47" t="n"/>
      <c r="Y2737" s="47" t="n"/>
      <c r="Z2737" s="47" t="n"/>
      <c r="AA2737" s="47" t="n"/>
      <c r="AB2737" s="47" t="n"/>
      <c r="AC2737" s="47" t="n"/>
      <c r="AD2737" s="47" t="n"/>
      <c r="AE2737" s="47" t="n"/>
      <c r="AF2737" s="20">
        <f>IF(A2737="","",YEAR(EDATE(A2737,-3)))</f>
        <v/>
      </c>
      <c r="AG2737" s="20">
        <f>IF(OR(B2737="",'経歴簿'!$C$4=""),"",IF(B2737&amp;""='経歴簿'!$C$4&amp;"",MAX($AG$4:AG2736)+1,""))</f>
        <v/>
      </c>
      <c r="AH2737" s="20">
        <f>IF(A2737="",0,IF(AND(OR('CSV抽出'!$C$4="",A2737&gt;='CSV抽出'!$C$4),OR('CSV抽出'!$C$5="",A2737&lt;='CSV抽出'!$C$5),OR('CSV抽出'!$C$6="すべて",'CSV抽出'!$C$6="",D2737='CSV抽出'!$C$6),OR('CSV抽出'!$C$7="",B2737&amp;""='CSV抽出'!$C$7&amp;"")),1,0))</f>
        <v/>
      </c>
      <c r="AI2737" s="20">
        <f>IF(AH2737=1,SUM($AH$5:AH2737),"")</f>
        <v/>
      </c>
      <c r="AJ2737" s="20">
        <f>IF(OR(S2737="",'報告書'!$C$4=""),"",IF(S2737&amp;""='報告書'!$C$4&amp;"",COUNTIF($S$5:S2737,'報告書'!$C$4),""))</f>
        <v/>
      </c>
      <c r="AK2737" s="20" t="n"/>
      <c r="AL2737" s="47" t="n"/>
      <c r="AM2737" s="47" t="n"/>
      <c r="AN2737" s="53" t="n"/>
      <c r="AO2737" s="47" t="n"/>
      <c r="AP2737" s="47" t="n"/>
      <c r="AQ2737" s="47" t="n"/>
      <c r="AR2737" s="47" t="n"/>
      <c r="AS2737" s="47" t="n"/>
      <c r="AT2737" s="47" t="n"/>
      <c r="AU2737" s="47" t="n"/>
      <c r="AV2737" s="47" t="n"/>
      <c r="AW2737" s="52" t="n"/>
    </row>
    <row r="2738">
      <c r="A2738" s="48" t="n"/>
      <c r="B2738" s="52" t="n"/>
      <c r="C2738" s="47">
        <f>IF(B2738="","",IFERROR(INDEX('隊員マスタ'!$B$5:$B$204,MATCH(B2738&amp;"",'隊員マスタ'!$F$5:$F$204,0)),IF(AK2738="","番号なし",AK2738)))</f>
        <v/>
      </c>
      <c r="D2738" s="47" t="n"/>
      <c r="E2738" s="47" t="n"/>
      <c r="F2738" s="47" t="n"/>
      <c r="G2738" s="47" t="n"/>
      <c r="H2738" s="47" t="n"/>
      <c r="I2738" s="47" t="n"/>
      <c r="J2738" s="47" t="n"/>
      <c r="K2738" s="47" t="n"/>
      <c r="L2738" s="47" t="n"/>
      <c r="M2738" s="47" t="n"/>
      <c r="N2738" s="47" t="n"/>
      <c r="O2738" s="47" t="n"/>
      <c r="P2738" s="47" t="n"/>
      <c r="Q2738" s="47" t="n"/>
      <c r="R2738" s="47" t="n"/>
      <c r="S2738" s="47" t="n"/>
      <c r="T2738" s="47" t="n"/>
      <c r="U2738" s="53" t="n"/>
      <c r="V2738" s="53" t="n"/>
      <c r="W2738" s="47" t="n"/>
      <c r="X2738" s="47" t="n"/>
      <c r="Y2738" s="47" t="n"/>
      <c r="Z2738" s="47" t="n"/>
      <c r="AA2738" s="47" t="n"/>
      <c r="AB2738" s="47" t="n"/>
      <c r="AC2738" s="47" t="n"/>
      <c r="AD2738" s="47" t="n"/>
      <c r="AE2738" s="47" t="n"/>
      <c r="AF2738" s="20">
        <f>IF(A2738="","",YEAR(EDATE(A2738,-3)))</f>
        <v/>
      </c>
      <c r="AG2738" s="20">
        <f>IF(OR(B2738="",'経歴簿'!$C$4=""),"",IF(B2738&amp;""='経歴簿'!$C$4&amp;"",MAX($AG$4:AG2737)+1,""))</f>
        <v/>
      </c>
      <c r="AH2738" s="20">
        <f>IF(A2738="",0,IF(AND(OR('CSV抽出'!$C$4="",A2738&gt;='CSV抽出'!$C$4),OR('CSV抽出'!$C$5="",A2738&lt;='CSV抽出'!$C$5),OR('CSV抽出'!$C$6="すべて",'CSV抽出'!$C$6="",D2738='CSV抽出'!$C$6),OR('CSV抽出'!$C$7="",B2738&amp;""='CSV抽出'!$C$7&amp;"")),1,0))</f>
        <v/>
      </c>
      <c r="AI2738" s="20">
        <f>IF(AH2738=1,SUM($AH$5:AH2738),"")</f>
        <v/>
      </c>
      <c r="AJ2738" s="20">
        <f>IF(OR(S2738="",'報告書'!$C$4=""),"",IF(S2738&amp;""='報告書'!$C$4&amp;"",COUNTIF($S$5:S2738,'報告書'!$C$4),""))</f>
        <v/>
      </c>
      <c r="AK2738" s="20" t="n"/>
      <c r="AL2738" s="47" t="n"/>
      <c r="AM2738" s="47" t="n"/>
      <c r="AN2738" s="53" t="n"/>
      <c r="AO2738" s="47" t="n"/>
      <c r="AP2738" s="47" t="n"/>
      <c r="AQ2738" s="47" t="n"/>
      <c r="AR2738" s="47" t="n"/>
      <c r="AS2738" s="47" t="n"/>
      <c r="AT2738" s="47" t="n"/>
      <c r="AU2738" s="47" t="n"/>
      <c r="AV2738" s="47" t="n"/>
      <c r="AW2738" s="52" t="n"/>
    </row>
    <row r="2739">
      <c r="A2739" s="48" t="n"/>
      <c r="B2739" s="52" t="n"/>
      <c r="C2739" s="47">
        <f>IF(B2739="","",IFERROR(INDEX('隊員マスタ'!$B$5:$B$204,MATCH(B2739&amp;"",'隊員マスタ'!$F$5:$F$204,0)),IF(AK2739="","番号なし",AK2739)))</f>
        <v/>
      </c>
      <c r="D2739" s="47" t="n"/>
      <c r="E2739" s="47" t="n"/>
      <c r="F2739" s="47" t="n"/>
      <c r="G2739" s="47" t="n"/>
      <c r="H2739" s="47" t="n"/>
      <c r="I2739" s="47" t="n"/>
      <c r="J2739" s="47" t="n"/>
      <c r="K2739" s="47" t="n"/>
      <c r="L2739" s="47" t="n"/>
      <c r="M2739" s="47" t="n"/>
      <c r="N2739" s="47" t="n"/>
      <c r="O2739" s="47" t="n"/>
      <c r="P2739" s="47" t="n"/>
      <c r="Q2739" s="47" t="n"/>
      <c r="R2739" s="47" t="n"/>
      <c r="S2739" s="47" t="n"/>
      <c r="T2739" s="47" t="n"/>
      <c r="U2739" s="53" t="n"/>
      <c r="V2739" s="53" t="n"/>
      <c r="W2739" s="47" t="n"/>
      <c r="X2739" s="47" t="n"/>
      <c r="Y2739" s="47" t="n"/>
      <c r="Z2739" s="47" t="n"/>
      <c r="AA2739" s="47" t="n"/>
      <c r="AB2739" s="47" t="n"/>
      <c r="AC2739" s="47" t="n"/>
      <c r="AD2739" s="47" t="n"/>
      <c r="AE2739" s="47" t="n"/>
      <c r="AF2739" s="20">
        <f>IF(A2739="","",YEAR(EDATE(A2739,-3)))</f>
        <v/>
      </c>
      <c r="AG2739" s="20">
        <f>IF(OR(B2739="",'経歴簿'!$C$4=""),"",IF(B2739&amp;""='経歴簿'!$C$4&amp;"",MAX($AG$4:AG2738)+1,""))</f>
        <v/>
      </c>
      <c r="AH2739" s="20">
        <f>IF(A2739="",0,IF(AND(OR('CSV抽出'!$C$4="",A2739&gt;='CSV抽出'!$C$4),OR('CSV抽出'!$C$5="",A2739&lt;='CSV抽出'!$C$5),OR('CSV抽出'!$C$6="すべて",'CSV抽出'!$C$6="",D2739='CSV抽出'!$C$6),OR('CSV抽出'!$C$7="",B2739&amp;""='CSV抽出'!$C$7&amp;"")),1,0))</f>
        <v/>
      </c>
      <c r="AI2739" s="20">
        <f>IF(AH2739=1,SUM($AH$5:AH2739),"")</f>
        <v/>
      </c>
      <c r="AJ2739" s="20">
        <f>IF(OR(S2739="",'報告書'!$C$4=""),"",IF(S2739&amp;""='報告書'!$C$4&amp;"",COUNTIF($S$5:S2739,'報告書'!$C$4),""))</f>
        <v/>
      </c>
      <c r="AK2739" s="20" t="n"/>
      <c r="AL2739" s="47" t="n"/>
      <c r="AM2739" s="47" t="n"/>
      <c r="AN2739" s="53" t="n"/>
      <c r="AO2739" s="47" t="n"/>
      <c r="AP2739" s="47" t="n"/>
      <c r="AQ2739" s="47" t="n"/>
      <c r="AR2739" s="47" t="n"/>
      <c r="AS2739" s="47" t="n"/>
      <c r="AT2739" s="47" t="n"/>
      <c r="AU2739" s="47" t="n"/>
      <c r="AV2739" s="47" t="n"/>
      <c r="AW2739" s="52" t="n"/>
    </row>
    <row r="2740">
      <c r="A2740" s="48" t="n"/>
      <c r="B2740" s="52" t="n"/>
      <c r="C2740" s="47">
        <f>IF(B2740="","",IFERROR(INDEX('隊員マスタ'!$B$5:$B$204,MATCH(B2740&amp;"",'隊員マスタ'!$F$5:$F$204,0)),IF(AK2740="","番号なし",AK2740)))</f>
        <v/>
      </c>
      <c r="D2740" s="47" t="n"/>
      <c r="E2740" s="47" t="n"/>
      <c r="F2740" s="47" t="n"/>
      <c r="G2740" s="47" t="n"/>
      <c r="H2740" s="47" t="n"/>
      <c r="I2740" s="47" t="n"/>
      <c r="J2740" s="47" t="n"/>
      <c r="K2740" s="47" t="n"/>
      <c r="L2740" s="47" t="n"/>
      <c r="M2740" s="47" t="n"/>
      <c r="N2740" s="47" t="n"/>
      <c r="O2740" s="47" t="n"/>
      <c r="P2740" s="47" t="n"/>
      <c r="Q2740" s="47" t="n"/>
      <c r="R2740" s="47" t="n"/>
      <c r="S2740" s="47" t="n"/>
      <c r="T2740" s="47" t="n"/>
      <c r="U2740" s="53" t="n"/>
      <c r="V2740" s="53" t="n"/>
      <c r="W2740" s="47" t="n"/>
      <c r="X2740" s="47" t="n"/>
      <c r="Y2740" s="47" t="n"/>
      <c r="Z2740" s="47" t="n"/>
      <c r="AA2740" s="47" t="n"/>
      <c r="AB2740" s="47" t="n"/>
      <c r="AC2740" s="47" t="n"/>
      <c r="AD2740" s="47" t="n"/>
      <c r="AE2740" s="47" t="n"/>
      <c r="AF2740" s="20">
        <f>IF(A2740="","",YEAR(EDATE(A2740,-3)))</f>
        <v/>
      </c>
      <c r="AG2740" s="20">
        <f>IF(OR(B2740="",'経歴簿'!$C$4=""),"",IF(B2740&amp;""='経歴簿'!$C$4&amp;"",MAX($AG$4:AG2739)+1,""))</f>
        <v/>
      </c>
      <c r="AH2740" s="20">
        <f>IF(A2740="",0,IF(AND(OR('CSV抽出'!$C$4="",A2740&gt;='CSV抽出'!$C$4),OR('CSV抽出'!$C$5="",A2740&lt;='CSV抽出'!$C$5),OR('CSV抽出'!$C$6="すべて",'CSV抽出'!$C$6="",D2740='CSV抽出'!$C$6),OR('CSV抽出'!$C$7="",B2740&amp;""='CSV抽出'!$C$7&amp;"")),1,0))</f>
        <v/>
      </c>
      <c r="AI2740" s="20">
        <f>IF(AH2740=1,SUM($AH$5:AH2740),"")</f>
        <v/>
      </c>
      <c r="AJ2740" s="20">
        <f>IF(OR(S2740="",'報告書'!$C$4=""),"",IF(S2740&amp;""='報告書'!$C$4&amp;"",COUNTIF($S$5:S2740,'報告書'!$C$4),""))</f>
        <v/>
      </c>
      <c r="AK2740" s="20" t="n"/>
      <c r="AL2740" s="47" t="n"/>
      <c r="AM2740" s="47" t="n"/>
      <c r="AN2740" s="53" t="n"/>
      <c r="AO2740" s="47" t="n"/>
      <c r="AP2740" s="47" t="n"/>
      <c r="AQ2740" s="47" t="n"/>
      <c r="AR2740" s="47" t="n"/>
      <c r="AS2740" s="47" t="n"/>
      <c r="AT2740" s="47" t="n"/>
      <c r="AU2740" s="47" t="n"/>
      <c r="AV2740" s="47" t="n"/>
      <c r="AW2740" s="52" t="n"/>
    </row>
    <row r="2741">
      <c r="A2741" s="48" t="n"/>
      <c r="B2741" s="52" t="n"/>
      <c r="C2741" s="47">
        <f>IF(B2741="","",IFERROR(INDEX('隊員マスタ'!$B$5:$B$204,MATCH(B2741&amp;"",'隊員マスタ'!$F$5:$F$204,0)),IF(AK2741="","番号なし",AK2741)))</f>
        <v/>
      </c>
      <c r="D2741" s="47" t="n"/>
      <c r="E2741" s="47" t="n"/>
      <c r="F2741" s="47" t="n"/>
      <c r="G2741" s="47" t="n"/>
      <c r="H2741" s="47" t="n"/>
      <c r="I2741" s="47" t="n"/>
      <c r="J2741" s="47" t="n"/>
      <c r="K2741" s="47" t="n"/>
      <c r="L2741" s="47" t="n"/>
      <c r="M2741" s="47" t="n"/>
      <c r="N2741" s="47" t="n"/>
      <c r="O2741" s="47" t="n"/>
      <c r="P2741" s="47" t="n"/>
      <c r="Q2741" s="47" t="n"/>
      <c r="R2741" s="47" t="n"/>
      <c r="S2741" s="47" t="n"/>
      <c r="T2741" s="47" t="n"/>
      <c r="U2741" s="53" t="n"/>
      <c r="V2741" s="53" t="n"/>
      <c r="W2741" s="47" t="n"/>
      <c r="X2741" s="47" t="n"/>
      <c r="Y2741" s="47" t="n"/>
      <c r="Z2741" s="47" t="n"/>
      <c r="AA2741" s="47" t="n"/>
      <c r="AB2741" s="47" t="n"/>
      <c r="AC2741" s="47" t="n"/>
      <c r="AD2741" s="47" t="n"/>
      <c r="AE2741" s="47" t="n"/>
      <c r="AF2741" s="20">
        <f>IF(A2741="","",YEAR(EDATE(A2741,-3)))</f>
        <v/>
      </c>
      <c r="AG2741" s="20">
        <f>IF(OR(B2741="",'経歴簿'!$C$4=""),"",IF(B2741&amp;""='経歴簿'!$C$4&amp;"",MAX($AG$4:AG2740)+1,""))</f>
        <v/>
      </c>
      <c r="AH2741" s="20">
        <f>IF(A2741="",0,IF(AND(OR('CSV抽出'!$C$4="",A2741&gt;='CSV抽出'!$C$4),OR('CSV抽出'!$C$5="",A2741&lt;='CSV抽出'!$C$5),OR('CSV抽出'!$C$6="すべて",'CSV抽出'!$C$6="",D2741='CSV抽出'!$C$6),OR('CSV抽出'!$C$7="",B2741&amp;""='CSV抽出'!$C$7&amp;"")),1,0))</f>
        <v/>
      </c>
      <c r="AI2741" s="20">
        <f>IF(AH2741=1,SUM($AH$5:AH2741),"")</f>
        <v/>
      </c>
      <c r="AJ2741" s="20">
        <f>IF(OR(S2741="",'報告書'!$C$4=""),"",IF(S2741&amp;""='報告書'!$C$4&amp;"",COUNTIF($S$5:S2741,'報告書'!$C$4),""))</f>
        <v/>
      </c>
      <c r="AK2741" s="20" t="n"/>
      <c r="AL2741" s="47" t="n"/>
      <c r="AM2741" s="47" t="n"/>
      <c r="AN2741" s="53" t="n"/>
      <c r="AO2741" s="47" t="n"/>
      <c r="AP2741" s="47" t="n"/>
      <c r="AQ2741" s="47" t="n"/>
      <c r="AR2741" s="47" t="n"/>
      <c r="AS2741" s="47" t="n"/>
      <c r="AT2741" s="47" t="n"/>
      <c r="AU2741" s="47" t="n"/>
      <c r="AV2741" s="47" t="n"/>
      <c r="AW2741" s="52" t="n"/>
    </row>
    <row r="2742">
      <c r="A2742" s="48" t="n"/>
      <c r="B2742" s="52" t="n"/>
      <c r="C2742" s="47">
        <f>IF(B2742="","",IFERROR(INDEX('隊員マスタ'!$B$5:$B$204,MATCH(B2742&amp;"",'隊員マスタ'!$F$5:$F$204,0)),IF(AK2742="","番号なし",AK2742)))</f>
        <v/>
      </c>
      <c r="D2742" s="47" t="n"/>
      <c r="E2742" s="47" t="n"/>
      <c r="F2742" s="47" t="n"/>
      <c r="G2742" s="47" t="n"/>
      <c r="H2742" s="47" t="n"/>
      <c r="I2742" s="47" t="n"/>
      <c r="J2742" s="47" t="n"/>
      <c r="K2742" s="47" t="n"/>
      <c r="L2742" s="47" t="n"/>
      <c r="M2742" s="47" t="n"/>
      <c r="N2742" s="47" t="n"/>
      <c r="O2742" s="47" t="n"/>
      <c r="P2742" s="47" t="n"/>
      <c r="Q2742" s="47" t="n"/>
      <c r="R2742" s="47" t="n"/>
      <c r="S2742" s="47" t="n"/>
      <c r="T2742" s="47" t="n"/>
      <c r="U2742" s="53" t="n"/>
      <c r="V2742" s="53" t="n"/>
      <c r="W2742" s="47" t="n"/>
      <c r="X2742" s="47" t="n"/>
      <c r="Y2742" s="47" t="n"/>
      <c r="Z2742" s="47" t="n"/>
      <c r="AA2742" s="47" t="n"/>
      <c r="AB2742" s="47" t="n"/>
      <c r="AC2742" s="47" t="n"/>
      <c r="AD2742" s="47" t="n"/>
      <c r="AE2742" s="47" t="n"/>
      <c r="AF2742" s="20">
        <f>IF(A2742="","",YEAR(EDATE(A2742,-3)))</f>
        <v/>
      </c>
      <c r="AG2742" s="20">
        <f>IF(OR(B2742="",'経歴簿'!$C$4=""),"",IF(B2742&amp;""='経歴簿'!$C$4&amp;"",MAX($AG$4:AG2741)+1,""))</f>
        <v/>
      </c>
      <c r="AH2742" s="20">
        <f>IF(A2742="",0,IF(AND(OR('CSV抽出'!$C$4="",A2742&gt;='CSV抽出'!$C$4),OR('CSV抽出'!$C$5="",A2742&lt;='CSV抽出'!$C$5),OR('CSV抽出'!$C$6="すべて",'CSV抽出'!$C$6="",D2742='CSV抽出'!$C$6),OR('CSV抽出'!$C$7="",B2742&amp;""='CSV抽出'!$C$7&amp;"")),1,0))</f>
        <v/>
      </c>
      <c r="AI2742" s="20">
        <f>IF(AH2742=1,SUM($AH$5:AH2742),"")</f>
        <v/>
      </c>
      <c r="AJ2742" s="20">
        <f>IF(OR(S2742="",'報告書'!$C$4=""),"",IF(S2742&amp;""='報告書'!$C$4&amp;"",COUNTIF($S$5:S2742,'報告書'!$C$4),""))</f>
        <v/>
      </c>
      <c r="AK2742" s="20" t="n"/>
      <c r="AL2742" s="47" t="n"/>
      <c r="AM2742" s="47" t="n"/>
      <c r="AN2742" s="53" t="n"/>
      <c r="AO2742" s="47" t="n"/>
      <c r="AP2742" s="47" t="n"/>
      <c r="AQ2742" s="47" t="n"/>
      <c r="AR2742" s="47" t="n"/>
      <c r="AS2742" s="47" t="n"/>
      <c r="AT2742" s="47" t="n"/>
      <c r="AU2742" s="47" t="n"/>
      <c r="AV2742" s="47" t="n"/>
      <c r="AW2742" s="52" t="n"/>
    </row>
    <row r="2743">
      <c r="A2743" s="48" t="n"/>
      <c r="B2743" s="52" t="n"/>
      <c r="C2743" s="47">
        <f>IF(B2743="","",IFERROR(INDEX('隊員マスタ'!$B$5:$B$204,MATCH(B2743&amp;"",'隊員マスタ'!$F$5:$F$204,0)),IF(AK2743="","番号なし",AK2743)))</f>
        <v/>
      </c>
      <c r="D2743" s="47" t="n"/>
      <c r="E2743" s="47" t="n"/>
      <c r="F2743" s="47" t="n"/>
      <c r="G2743" s="47" t="n"/>
      <c r="H2743" s="47" t="n"/>
      <c r="I2743" s="47" t="n"/>
      <c r="J2743" s="47" t="n"/>
      <c r="K2743" s="47" t="n"/>
      <c r="L2743" s="47" t="n"/>
      <c r="M2743" s="47" t="n"/>
      <c r="N2743" s="47" t="n"/>
      <c r="O2743" s="47" t="n"/>
      <c r="P2743" s="47" t="n"/>
      <c r="Q2743" s="47" t="n"/>
      <c r="R2743" s="47" t="n"/>
      <c r="S2743" s="47" t="n"/>
      <c r="T2743" s="47" t="n"/>
      <c r="U2743" s="53" t="n"/>
      <c r="V2743" s="53" t="n"/>
      <c r="W2743" s="47" t="n"/>
      <c r="X2743" s="47" t="n"/>
      <c r="Y2743" s="47" t="n"/>
      <c r="Z2743" s="47" t="n"/>
      <c r="AA2743" s="47" t="n"/>
      <c r="AB2743" s="47" t="n"/>
      <c r="AC2743" s="47" t="n"/>
      <c r="AD2743" s="47" t="n"/>
      <c r="AE2743" s="47" t="n"/>
      <c r="AF2743" s="20">
        <f>IF(A2743="","",YEAR(EDATE(A2743,-3)))</f>
        <v/>
      </c>
      <c r="AG2743" s="20">
        <f>IF(OR(B2743="",'経歴簿'!$C$4=""),"",IF(B2743&amp;""='経歴簿'!$C$4&amp;"",MAX($AG$4:AG2742)+1,""))</f>
        <v/>
      </c>
      <c r="AH2743" s="20">
        <f>IF(A2743="",0,IF(AND(OR('CSV抽出'!$C$4="",A2743&gt;='CSV抽出'!$C$4),OR('CSV抽出'!$C$5="",A2743&lt;='CSV抽出'!$C$5),OR('CSV抽出'!$C$6="すべて",'CSV抽出'!$C$6="",D2743='CSV抽出'!$C$6),OR('CSV抽出'!$C$7="",B2743&amp;""='CSV抽出'!$C$7&amp;"")),1,0))</f>
        <v/>
      </c>
      <c r="AI2743" s="20">
        <f>IF(AH2743=1,SUM($AH$5:AH2743),"")</f>
        <v/>
      </c>
      <c r="AJ2743" s="20">
        <f>IF(OR(S2743="",'報告書'!$C$4=""),"",IF(S2743&amp;""='報告書'!$C$4&amp;"",COUNTIF($S$5:S2743,'報告書'!$C$4),""))</f>
        <v/>
      </c>
      <c r="AK2743" s="20" t="n"/>
      <c r="AL2743" s="47" t="n"/>
      <c r="AM2743" s="47" t="n"/>
      <c r="AN2743" s="53" t="n"/>
      <c r="AO2743" s="47" t="n"/>
      <c r="AP2743" s="47" t="n"/>
      <c r="AQ2743" s="47" t="n"/>
      <c r="AR2743" s="47" t="n"/>
      <c r="AS2743" s="47" t="n"/>
      <c r="AT2743" s="47" t="n"/>
      <c r="AU2743" s="47" t="n"/>
      <c r="AV2743" s="47" t="n"/>
      <c r="AW2743" s="52" t="n"/>
    </row>
    <row r="2744">
      <c r="A2744" s="48" t="n"/>
      <c r="B2744" s="52" t="n"/>
      <c r="C2744" s="47">
        <f>IF(B2744="","",IFERROR(INDEX('隊員マスタ'!$B$5:$B$204,MATCH(B2744&amp;"",'隊員マスタ'!$F$5:$F$204,0)),IF(AK2744="","番号なし",AK2744)))</f>
        <v/>
      </c>
      <c r="D2744" s="47" t="n"/>
      <c r="E2744" s="47" t="n"/>
      <c r="F2744" s="47" t="n"/>
      <c r="G2744" s="47" t="n"/>
      <c r="H2744" s="47" t="n"/>
      <c r="I2744" s="47" t="n"/>
      <c r="J2744" s="47" t="n"/>
      <c r="K2744" s="47" t="n"/>
      <c r="L2744" s="47" t="n"/>
      <c r="M2744" s="47" t="n"/>
      <c r="N2744" s="47" t="n"/>
      <c r="O2744" s="47" t="n"/>
      <c r="P2744" s="47" t="n"/>
      <c r="Q2744" s="47" t="n"/>
      <c r="R2744" s="47" t="n"/>
      <c r="S2744" s="47" t="n"/>
      <c r="T2744" s="47" t="n"/>
      <c r="U2744" s="53" t="n"/>
      <c r="V2744" s="53" t="n"/>
      <c r="W2744" s="47" t="n"/>
      <c r="X2744" s="47" t="n"/>
      <c r="Y2744" s="47" t="n"/>
      <c r="Z2744" s="47" t="n"/>
      <c r="AA2744" s="47" t="n"/>
      <c r="AB2744" s="47" t="n"/>
      <c r="AC2744" s="47" t="n"/>
      <c r="AD2744" s="47" t="n"/>
      <c r="AE2744" s="47" t="n"/>
      <c r="AF2744" s="20">
        <f>IF(A2744="","",YEAR(EDATE(A2744,-3)))</f>
        <v/>
      </c>
      <c r="AG2744" s="20">
        <f>IF(OR(B2744="",'経歴簿'!$C$4=""),"",IF(B2744&amp;""='経歴簿'!$C$4&amp;"",MAX($AG$4:AG2743)+1,""))</f>
        <v/>
      </c>
      <c r="AH2744" s="20">
        <f>IF(A2744="",0,IF(AND(OR('CSV抽出'!$C$4="",A2744&gt;='CSV抽出'!$C$4),OR('CSV抽出'!$C$5="",A2744&lt;='CSV抽出'!$C$5),OR('CSV抽出'!$C$6="すべて",'CSV抽出'!$C$6="",D2744='CSV抽出'!$C$6),OR('CSV抽出'!$C$7="",B2744&amp;""='CSV抽出'!$C$7&amp;"")),1,0))</f>
        <v/>
      </c>
      <c r="AI2744" s="20">
        <f>IF(AH2744=1,SUM($AH$5:AH2744),"")</f>
        <v/>
      </c>
      <c r="AJ2744" s="20">
        <f>IF(OR(S2744="",'報告書'!$C$4=""),"",IF(S2744&amp;""='報告書'!$C$4&amp;"",COUNTIF($S$5:S2744,'報告書'!$C$4),""))</f>
        <v/>
      </c>
      <c r="AK2744" s="20" t="n"/>
      <c r="AL2744" s="47" t="n"/>
      <c r="AM2744" s="47" t="n"/>
      <c r="AN2744" s="53" t="n"/>
      <c r="AO2744" s="47" t="n"/>
      <c r="AP2744" s="47" t="n"/>
      <c r="AQ2744" s="47" t="n"/>
      <c r="AR2744" s="47" t="n"/>
      <c r="AS2744" s="47" t="n"/>
      <c r="AT2744" s="47" t="n"/>
      <c r="AU2744" s="47" t="n"/>
      <c r="AV2744" s="47" t="n"/>
      <c r="AW2744" s="52" t="n"/>
    </row>
    <row r="2745">
      <c r="A2745" s="48" t="n"/>
      <c r="B2745" s="52" t="n"/>
      <c r="C2745" s="47">
        <f>IF(B2745="","",IFERROR(INDEX('隊員マスタ'!$B$5:$B$204,MATCH(B2745&amp;"",'隊員マスタ'!$F$5:$F$204,0)),IF(AK2745="","番号なし",AK2745)))</f>
        <v/>
      </c>
      <c r="D2745" s="47" t="n"/>
      <c r="E2745" s="47" t="n"/>
      <c r="F2745" s="47" t="n"/>
      <c r="G2745" s="47" t="n"/>
      <c r="H2745" s="47" t="n"/>
      <c r="I2745" s="47" t="n"/>
      <c r="J2745" s="47" t="n"/>
      <c r="K2745" s="47" t="n"/>
      <c r="L2745" s="47" t="n"/>
      <c r="M2745" s="47" t="n"/>
      <c r="N2745" s="47" t="n"/>
      <c r="O2745" s="47" t="n"/>
      <c r="P2745" s="47" t="n"/>
      <c r="Q2745" s="47" t="n"/>
      <c r="R2745" s="47" t="n"/>
      <c r="S2745" s="47" t="n"/>
      <c r="T2745" s="47" t="n"/>
      <c r="U2745" s="53" t="n"/>
      <c r="V2745" s="53" t="n"/>
      <c r="W2745" s="47" t="n"/>
      <c r="X2745" s="47" t="n"/>
      <c r="Y2745" s="47" t="n"/>
      <c r="Z2745" s="47" t="n"/>
      <c r="AA2745" s="47" t="n"/>
      <c r="AB2745" s="47" t="n"/>
      <c r="AC2745" s="47" t="n"/>
      <c r="AD2745" s="47" t="n"/>
      <c r="AE2745" s="47" t="n"/>
      <c r="AF2745" s="20">
        <f>IF(A2745="","",YEAR(EDATE(A2745,-3)))</f>
        <v/>
      </c>
      <c r="AG2745" s="20">
        <f>IF(OR(B2745="",'経歴簿'!$C$4=""),"",IF(B2745&amp;""='経歴簿'!$C$4&amp;"",MAX($AG$4:AG2744)+1,""))</f>
        <v/>
      </c>
      <c r="AH2745" s="20">
        <f>IF(A2745="",0,IF(AND(OR('CSV抽出'!$C$4="",A2745&gt;='CSV抽出'!$C$4),OR('CSV抽出'!$C$5="",A2745&lt;='CSV抽出'!$C$5),OR('CSV抽出'!$C$6="すべて",'CSV抽出'!$C$6="",D2745='CSV抽出'!$C$6),OR('CSV抽出'!$C$7="",B2745&amp;""='CSV抽出'!$C$7&amp;"")),1,0))</f>
        <v/>
      </c>
      <c r="AI2745" s="20">
        <f>IF(AH2745=1,SUM($AH$5:AH2745),"")</f>
        <v/>
      </c>
      <c r="AJ2745" s="20">
        <f>IF(OR(S2745="",'報告書'!$C$4=""),"",IF(S2745&amp;""='報告書'!$C$4&amp;"",COUNTIF($S$5:S2745,'報告書'!$C$4),""))</f>
        <v/>
      </c>
      <c r="AK2745" s="20" t="n"/>
      <c r="AL2745" s="47" t="n"/>
      <c r="AM2745" s="47" t="n"/>
      <c r="AN2745" s="53" t="n"/>
      <c r="AO2745" s="47" t="n"/>
      <c r="AP2745" s="47" t="n"/>
      <c r="AQ2745" s="47" t="n"/>
      <c r="AR2745" s="47" t="n"/>
      <c r="AS2745" s="47" t="n"/>
      <c r="AT2745" s="47" t="n"/>
      <c r="AU2745" s="47" t="n"/>
      <c r="AV2745" s="47" t="n"/>
      <c r="AW2745" s="52" t="n"/>
    </row>
    <row r="2746">
      <c r="A2746" s="48" t="n"/>
      <c r="B2746" s="52" t="n"/>
      <c r="C2746" s="47">
        <f>IF(B2746="","",IFERROR(INDEX('隊員マスタ'!$B$5:$B$204,MATCH(B2746&amp;"",'隊員マスタ'!$F$5:$F$204,0)),IF(AK2746="","番号なし",AK2746)))</f>
        <v/>
      </c>
      <c r="D2746" s="47" t="n"/>
      <c r="E2746" s="47" t="n"/>
      <c r="F2746" s="47" t="n"/>
      <c r="G2746" s="47" t="n"/>
      <c r="H2746" s="47" t="n"/>
      <c r="I2746" s="47" t="n"/>
      <c r="J2746" s="47" t="n"/>
      <c r="K2746" s="47" t="n"/>
      <c r="L2746" s="47" t="n"/>
      <c r="M2746" s="47" t="n"/>
      <c r="N2746" s="47" t="n"/>
      <c r="O2746" s="47" t="n"/>
      <c r="P2746" s="47" t="n"/>
      <c r="Q2746" s="47" t="n"/>
      <c r="R2746" s="47" t="n"/>
      <c r="S2746" s="47" t="n"/>
      <c r="T2746" s="47" t="n"/>
      <c r="U2746" s="53" t="n"/>
      <c r="V2746" s="53" t="n"/>
      <c r="W2746" s="47" t="n"/>
      <c r="X2746" s="47" t="n"/>
      <c r="Y2746" s="47" t="n"/>
      <c r="Z2746" s="47" t="n"/>
      <c r="AA2746" s="47" t="n"/>
      <c r="AB2746" s="47" t="n"/>
      <c r="AC2746" s="47" t="n"/>
      <c r="AD2746" s="47" t="n"/>
      <c r="AE2746" s="47" t="n"/>
      <c r="AF2746" s="20">
        <f>IF(A2746="","",YEAR(EDATE(A2746,-3)))</f>
        <v/>
      </c>
      <c r="AG2746" s="20">
        <f>IF(OR(B2746="",'経歴簿'!$C$4=""),"",IF(B2746&amp;""='経歴簿'!$C$4&amp;"",MAX($AG$4:AG2745)+1,""))</f>
        <v/>
      </c>
      <c r="AH2746" s="20">
        <f>IF(A2746="",0,IF(AND(OR('CSV抽出'!$C$4="",A2746&gt;='CSV抽出'!$C$4),OR('CSV抽出'!$C$5="",A2746&lt;='CSV抽出'!$C$5),OR('CSV抽出'!$C$6="すべて",'CSV抽出'!$C$6="",D2746='CSV抽出'!$C$6),OR('CSV抽出'!$C$7="",B2746&amp;""='CSV抽出'!$C$7&amp;"")),1,0))</f>
        <v/>
      </c>
      <c r="AI2746" s="20">
        <f>IF(AH2746=1,SUM($AH$5:AH2746),"")</f>
        <v/>
      </c>
      <c r="AJ2746" s="20">
        <f>IF(OR(S2746="",'報告書'!$C$4=""),"",IF(S2746&amp;""='報告書'!$C$4&amp;"",COUNTIF($S$5:S2746,'報告書'!$C$4),""))</f>
        <v/>
      </c>
      <c r="AK2746" s="20" t="n"/>
      <c r="AL2746" s="47" t="n"/>
      <c r="AM2746" s="47" t="n"/>
      <c r="AN2746" s="53" t="n"/>
      <c r="AO2746" s="47" t="n"/>
      <c r="AP2746" s="47" t="n"/>
      <c r="AQ2746" s="47" t="n"/>
      <c r="AR2746" s="47" t="n"/>
      <c r="AS2746" s="47" t="n"/>
      <c r="AT2746" s="47" t="n"/>
      <c r="AU2746" s="47" t="n"/>
      <c r="AV2746" s="47" t="n"/>
      <c r="AW2746" s="52" t="n"/>
    </row>
    <row r="2747">
      <c r="A2747" s="48" t="n"/>
      <c r="B2747" s="52" t="n"/>
      <c r="C2747" s="47">
        <f>IF(B2747="","",IFERROR(INDEX('隊員マスタ'!$B$5:$B$204,MATCH(B2747&amp;"",'隊員マスタ'!$F$5:$F$204,0)),IF(AK2747="","番号なし",AK2747)))</f>
        <v/>
      </c>
      <c r="D2747" s="47" t="n"/>
      <c r="E2747" s="47" t="n"/>
      <c r="F2747" s="47" t="n"/>
      <c r="G2747" s="47" t="n"/>
      <c r="H2747" s="47" t="n"/>
      <c r="I2747" s="47" t="n"/>
      <c r="J2747" s="47" t="n"/>
      <c r="K2747" s="47" t="n"/>
      <c r="L2747" s="47" t="n"/>
      <c r="M2747" s="47" t="n"/>
      <c r="N2747" s="47" t="n"/>
      <c r="O2747" s="47" t="n"/>
      <c r="P2747" s="47" t="n"/>
      <c r="Q2747" s="47" t="n"/>
      <c r="R2747" s="47" t="n"/>
      <c r="S2747" s="47" t="n"/>
      <c r="T2747" s="47" t="n"/>
      <c r="U2747" s="53" t="n"/>
      <c r="V2747" s="53" t="n"/>
      <c r="W2747" s="47" t="n"/>
      <c r="X2747" s="47" t="n"/>
      <c r="Y2747" s="47" t="n"/>
      <c r="Z2747" s="47" t="n"/>
      <c r="AA2747" s="47" t="n"/>
      <c r="AB2747" s="47" t="n"/>
      <c r="AC2747" s="47" t="n"/>
      <c r="AD2747" s="47" t="n"/>
      <c r="AE2747" s="47" t="n"/>
      <c r="AF2747" s="20">
        <f>IF(A2747="","",YEAR(EDATE(A2747,-3)))</f>
        <v/>
      </c>
      <c r="AG2747" s="20">
        <f>IF(OR(B2747="",'経歴簿'!$C$4=""),"",IF(B2747&amp;""='経歴簿'!$C$4&amp;"",MAX($AG$4:AG2746)+1,""))</f>
        <v/>
      </c>
      <c r="AH2747" s="20">
        <f>IF(A2747="",0,IF(AND(OR('CSV抽出'!$C$4="",A2747&gt;='CSV抽出'!$C$4),OR('CSV抽出'!$C$5="",A2747&lt;='CSV抽出'!$C$5),OR('CSV抽出'!$C$6="すべて",'CSV抽出'!$C$6="",D2747='CSV抽出'!$C$6),OR('CSV抽出'!$C$7="",B2747&amp;""='CSV抽出'!$C$7&amp;"")),1,0))</f>
        <v/>
      </c>
      <c r="AI2747" s="20">
        <f>IF(AH2747=1,SUM($AH$5:AH2747),"")</f>
        <v/>
      </c>
      <c r="AJ2747" s="20">
        <f>IF(OR(S2747="",'報告書'!$C$4=""),"",IF(S2747&amp;""='報告書'!$C$4&amp;"",COUNTIF($S$5:S2747,'報告書'!$C$4),""))</f>
        <v/>
      </c>
      <c r="AK2747" s="20" t="n"/>
      <c r="AL2747" s="47" t="n"/>
      <c r="AM2747" s="47" t="n"/>
      <c r="AN2747" s="53" t="n"/>
      <c r="AO2747" s="47" t="n"/>
      <c r="AP2747" s="47" t="n"/>
      <c r="AQ2747" s="47" t="n"/>
      <c r="AR2747" s="47" t="n"/>
      <c r="AS2747" s="47" t="n"/>
      <c r="AT2747" s="47" t="n"/>
      <c r="AU2747" s="47" t="n"/>
      <c r="AV2747" s="47" t="n"/>
      <c r="AW2747" s="52" t="n"/>
    </row>
    <row r="2748">
      <c r="A2748" s="48" t="n"/>
      <c r="B2748" s="52" t="n"/>
      <c r="C2748" s="47">
        <f>IF(B2748="","",IFERROR(INDEX('隊員マスタ'!$B$5:$B$204,MATCH(B2748&amp;"",'隊員マスタ'!$F$5:$F$204,0)),IF(AK2748="","番号なし",AK2748)))</f>
        <v/>
      </c>
      <c r="D2748" s="47" t="n"/>
      <c r="E2748" s="47" t="n"/>
      <c r="F2748" s="47" t="n"/>
      <c r="G2748" s="47" t="n"/>
      <c r="H2748" s="47" t="n"/>
      <c r="I2748" s="47" t="n"/>
      <c r="J2748" s="47" t="n"/>
      <c r="K2748" s="47" t="n"/>
      <c r="L2748" s="47" t="n"/>
      <c r="M2748" s="47" t="n"/>
      <c r="N2748" s="47" t="n"/>
      <c r="O2748" s="47" t="n"/>
      <c r="P2748" s="47" t="n"/>
      <c r="Q2748" s="47" t="n"/>
      <c r="R2748" s="47" t="n"/>
      <c r="S2748" s="47" t="n"/>
      <c r="T2748" s="47" t="n"/>
      <c r="U2748" s="53" t="n"/>
      <c r="V2748" s="53" t="n"/>
      <c r="W2748" s="47" t="n"/>
      <c r="X2748" s="47" t="n"/>
      <c r="Y2748" s="47" t="n"/>
      <c r="Z2748" s="47" t="n"/>
      <c r="AA2748" s="47" t="n"/>
      <c r="AB2748" s="47" t="n"/>
      <c r="AC2748" s="47" t="n"/>
      <c r="AD2748" s="47" t="n"/>
      <c r="AE2748" s="47" t="n"/>
      <c r="AF2748" s="20">
        <f>IF(A2748="","",YEAR(EDATE(A2748,-3)))</f>
        <v/>
      </c>
      <c r="AG2748" s="20">
        <f>IF(OR(B2748="",'経歴簿'!$C$4=""),"",IF(B2748&amp;""='経歴簿'!$C$4&amp;"",MAX($AG$4:AG2747)+1,""))</f>
        <v/>
      </c>
      <c r="AH2748" s="20">
        <f>IF(A2748="",0,IF(AND(OR('CSV抽出'!$C$4="",A2748&gt;='CSV抽出'!$C$4),OR('CSV抽出'!$C$5="",A2748&lt;='CSV抽出'!$C$5),OR('CSV抽出'!$C$6="すべて",'CSV抽出'!$C$6="",D2748='CSV抽出'!$C$6),OR('CSV抽出'!$C$7="",B2748&amp;""='CSV抽出'!$C$7&amp;"")),1,0))</f>
        <v/>
      </c>
      <c r="AI2748" s="20">
        <f>IF(AH2748=1,SUM($AH$5:AH2748),"")</f>
        <v/>
      </c>
      <c r="AJ2748" s="20">
        <f>IF(OR(S2748="",'報告書'!$C$4=""),"",IF(S2748&amp;""='報告書'!$C$4&amp;"",COUNTIF($S$5:S2748,'報告書'!$C$4),""))</f>
        <v/>
      </c>
      <c r="AK2748" s="20" t="n"/>
      <c r="AL2748" s="47" t="n"/>
      <c r="AM2748" s="47" t="n"/>
      <c r="AN2748" s="53" t="n"/>
      <c r="AO2748" s="47" t="n"/>
      <c r="AP2748" s="47" t="n"/>
      <c r="AQ2748" s="47" t="n"/>
      <c r="AR2748" s="47" t="n"/>
      <c r="AS2748" s="47" t="n"/>
      <c r="AT2748" s="47" t="n"/>
      <c r="AU2748" s="47" t="n"/>
      <c r="AV2748" s="47" t="n"/>
      <c r="AW2748" s="52" t="n"/>
    </row>
    <row r="2749">
      <c r="A2749" s="48" t="n"/>
      <c r="B2749" s="52" t="n"/>
      <c r="C2749" s="47">
        <f>IF(B2749="","",IFERROR(INDEX('隊員マスタ'!$B$5:$B$204,MATCH(B2749&amp;"",'隊員マスタ'!$F$5:$F$204,0)),IF(AK2749="","番号なし",AK2749)))</f>
        <v/>
      </c>
      <c r="D2749" s="47" t="n"/>
      <c r="E2749" s="47" t="n"/>
      <c r="F2749" s="47" t="n"/>
      <c r="G2749" s="47" t="n"/>
      <c r="H2749" s="47" t="n"/>
      <c r="I2749" s="47" t="n"/>
      <c r="J2749" s="47" t="n"/>
      <c r="K2749" s="47" t="n"/>
      <c r="L2749" s="47" t="n"/>
      <c r="M2749" s="47" t="n"/>
      <c r="N2749" s="47" t="n"/>
      <c r="O2749" s="47" t="n"/>
      <c r="P2749" s="47" t="n"/>
      <c r="Q2749" s="47" t="n"/>
      <c r="R2749" s="47" t="n"/>
      <c r="S2749" s="47" t="n"/>
      <c r="T2749" s="47" t="n"/>
      <c r="U2749" s="53" t="n"/>
      <c r="V2749" s="53" t="n"/>
      <c r="W2749" s="47" t="n"/>
      <c r="X2749" s="47" t="n"/>
      <c r="Y2749" s="47" t="n"/>
      <c r="Z2749" s="47" t="n"/>
      <c r="AA2749" s="47" t="n"/>
      <c r="AB2749" s="47" t="n"/>
      <c r="AC2749" s="47" t="n"/>
      <c r="AD2749" s="47" t="n"/>
      <c r="AE2749" s="47" t="n"/>
      <c r="AF2749" s="20">
        <f>IF(A2749="","",YEAR(EDATE(A2749,-3)))</f>
        <v/>
      </c>
      <c r="AG2749" s="20">
        <f>IF(OR(B2749="",'経歴簿'!$C$4=""),"",IF(B2749&amp;""='経歴簿'!$C$4&amp;"",MAX($AG$4:AG2748)+1,""))</f>
        <v/>
      </c>
      <c r="AH2749" s="20">
        <f>IF(A2749="",0,IF(AND(OR('CSV抽出'!$C$4="",A2749&gt;='CSV抽出'!$C$4),OR('CSV抽出'!$C$5="",A2749&lt;='CSV抽出'!$C$5),OR('CSV抽出'!$C$6="すべて",'CSV抽出'!$C$6="",D2749='CSV抽出'!$C$6),OR('CSV抽出'!$C$7="",B2749&amp;""='CSV抽出'!$C$7&amp;"")),1,0))</f>
        <v/>
      </c>
      <c r="AI2749" s="20">
        <f>IF(AH2749=1,SUM($AH$5:AH2749),"")</f>
        <v/>
      </c>
      <c r="AJ2749" s="20">
        <f>IF(OR(S2749="",'報告書'!$C$4=""),"",IF(S2749&amp;""='報告書'!$C$4&amp;"",COUNTIF($S$5:S2749,'報告書'!$C$4),""))</f>
        <v/>
      </c>
      <c r="AK2749" s="20" t="n"/>
      <c r="AL2749" s="47" t="n"/>
      <c r="AM2749" s="47" t="n"/>
      <c r="AN2749" s="53" t="n"/>
      <c r="AO2749" s="47" t="n"/>
      <c r="AP2749" s="47" t="n"/>
      <c r="AQ2749" s="47" t="n"/>
      <c r="AR2749" s="47" t="n"/>
      <c r="AS2749" s="47" t="n"/>
      <c r="AT2749" s="47" t="n"/>
      <c r="AU2749" s="47" t="n"/>
      <c r="AV2749" s="47" t="n"/>
      <c r="AW2749" s="52" t="n"/>
    </row>
    <row r="2750">
      <c r="A2750" s="48" t="n"/>
      <c r="B2750" s="52" t="n"/>
      <c r="C2750" s="47">
        <f>IF(B2750="","",IFERROR(INDEX('隊員マスタ'!$B$5:$B$204,MATCH(B2750&amp;"",'隊員マスタ'!$F$5:$F$204,0)),IF(AK2750="","番号なし",AK2750)))</f>
        <v/>
      </c>
      <c r="D2750" s="47" t="n"/>
      <c r="E2750" s="47" t="n"/>
      <c r="F2750" s="47" t="n"/>
      <c r="G2750" s="47" t="n"/>
      <c r="H2750" s="47" t="n"/>
      <c r="I2750" s="47" t="n"/>
      <c r="J2750" s="47" t="n"/>
      <c r="K2750" s="47" t="n"/>
      <c r="L2750" s="47" t="n"/>
      <c r="M2750" s="47" t="n"/>
      <c r="N2750" s="47" t="n"/>
      <c r="O2750" s="47" t="n"/>
      <c r="P2750" s="47" t="n"/>
      <c r="Q2750" s="47" t="n"/>
      <c r="R2750" s="47" t="n"/>
      <c r="S2750" s="47" t="n"/>
      <c r="T2750" s="47" t="n"/>
      <c r="U2750" s="53" t="n"/>
      <c r="V2750" s="53" t="n"/>
      <c r="W2750" s="47" t="n"/>
      <c r="X2750" s="47" t="n"/>
      <c r="Y2750" s="47" t="n"/>
      <c r="Z2750" s="47" t="n"/>
      <c r="AA2750" s="47" t="n"/>
      <c r="AB2750" s="47" t="n"/>
      <c r="AC2750" s="47" t="n"/>
      <c r="AD2750" s="47" t="n"/>
      <c r="AE2750" s="47" t="n"/>
      <c r="AF2750" s="20">
        <f>IF(A2750="","",YEAR(EDATE(A2750,-3)))</f>
        <v/>
      </c>
      <c r="AG2750" s="20">
        <f>IF(OR(B2750="",'経歴簿'!$C$4=""),"",IF(B2750&amp;""='経歴簿'!$C$4&amp;"",MAX($AG$4:AG2749)+1,""))</f>
        <v/>
      </c>
      <c r="AH2750" s="20">
        <f>IF(A2750="",0,IF(AND(OR('CSV抽出'!$C$4="",A2750&gt;='CSV抽出'!$C$4),OR('CSV抽出'!$C$5="",A2750&lt;='CSV抽出'!$C$5),OR('CSV抽出'!$C$6="すべて",'CSV抽出'!$C$6="",D2750='CSV抽出'!$C$6),OR('CSV抽出'!$C$7="",B2750&amp;""='CSV抽出'!$C$7&amp;"")),1,0))</f>
        <v/>
      </c>
      <c r="AI2750" s="20">
        <f>IF(AH2750=1,SUM($AH$5:AH2750),"")</f>
        <v/>
      </c>
      <c r="AJ2750" s="20">
        <f>IF(OR(S2750="",'報告書'!$C$4=""),"",IF(S2750&amp;""='報告書'!$C$4&amp;"",COUNTIF($S$5:S2750,'報告書'!$C$4),""))</f>
        <v/>
      </c>
      <c r="AK2750" s="20" t="n"/>
      <c r="AL2750" s="47" t="n"/>
      <c r="AM2750" s="47" t="n"/>
      <c r="AN2750" s="53" t="n"/>
      <c r="AO2750" s="47" t="n"/>
      <c r="AP2750" s="47" t="n"/>
      <c r="AQ2750" s="47" t="n"/>
      <c r="AR2750" s="47" t="n"/>
      <c r="AS2750" s="47" t="n"/>
      <c r="AT2750" s="47" t="n"/>
      <c r="AU2750" s="47" t="n"/>
      <c r="AV2750" s="47" t="n"/>
      <c r="AW2750" s="52" t="n"/>
    </row>
    <row r="2751">
      <c r="A2751" s="48" t="n"/>
      <c r="B2751" s="52" t="n"/>
      <c r="C2751" s="47">
        <f>IF(B2751="","",IFERROR(INDEX('隊員マスタ'!$B$5:$B$204,MATCH(B2751&amp;"",'隊員マスタ'!$F$5:$F$204,0)),IF(AK2751="","番号なし",AK2751)))</f>
        <v/>
      </c>
      <c r="D2751" s="47" t="n"/>
      <c r="E2751" s="47" t="n"/>
      <c r="F2751" s="47" t="n"/>
      <c r="G2751" s="47" t="n"/>
      <c r="H2751" s="47" t="n"/>
      <c r="I2751" s="47" t="n"/>
      <c r="J2751" s="47" t="n"/>
      <c r="K2751" s="47" t="n"/>
      <c r="L2751" s="47" t="n"/>
      <c r="M2751" s="47" t="n"/>
      <c r="N2751" s="47" t="n"/>
      <c r="O2751" s="47" t="n"/>
      <c r="P2751" s="47" t="n"/>
      <c r="Q2751" s="47" t="n"/>
      <c r="R2751" s="47" t="n"/>
      <c r="S2751" s="47" t="n"/>
      <c r="T2751" s="47" t="n"/>
      <c r="U2751" s="53" t="n"/>
      <c r="V2751" s="53" t="n"/>
      <c r="W2751" s="47" t="n"/>
      <c r="X2751" s="47" t="n"/>
      <c r="Y2751" s="47" t="n"/>
      <c r="Z2751" s="47" t="n"/>
      <c r="AA2751" s="47" t="n"/>
      <c r="AB2751" s="47" t="n"/>
      <c r="AC2751" s="47" t="n"/>
      <c r="AD2751" s="47" t="n"/>
      <c r="AE2751" s="47" t="n"/>
      <c r="AF2751" s="20">
        <f>IF(A2751="","",YEAR(EDATE(A2751,-3)))</f>
        <v/>
      </c>
      <c r="AG2751" s="20">
        <f>IF(OR(B2751="",'経歴簿'!$C$4=""),"",IF(B2751&amp;""='経歴簿'!$C$4&amp;"",MAX($AG$4:AG2750)+1,""))</f>
        <v/>
      </c>
      <c r="AH2751" s="20">
        <f>IF(A2751="",0,IF(AND(OR('CSV抽出'!$C$4="",A2751&gt;='CSV抽出'!$C$4),OR('CSV抽出'!$C$5="",A2751&lt;='CSV抽出'!$C$5),OR('CSV抽出'!$C$6="すべて",'CSV抽出'!$C$6="",D2751='CSV抽出'!$C$6),OR('CSV抽出'!$C$7="",B2751&amp;""='CSV抽出'!$C$7&amp;"")),1,0))</f>
        <v/>
      </c>
      <c r="AI2751" s="20">
        <f>IF(AH2751=1,SUM($AH$5:AH2751),"")</f>
        <v/>
      </c>
      <c r="AJ2751" s="20">
        <f>IF(OR(S2751="",'報告書'!$C$4=""),"",IF(S2751&amp;""='報告書'!$C$4&amp;"",COUNTIF($S$5:S2751,'報告書'!$C$4),""))</f>
        <v/>
      </c>
      <c r="AK2751" s="20" t="n"/>
      <c r="AL2751" s="47" t="n"/>
      <c r="AM2751" s="47" t="n"/>
      <c r="AN2751" s="53" t="n"/>
      <c r="AO2751" s="47" t="n"/>
      <c r="AP2751" s="47" t="n"/>
      <c r="AQ2751" s="47" t="n"/>
      <c r="AR2751" s="47" t="n"/>
      <c r="AS2751" s="47" t="n"/>
      <c r="AT2751" s="47" t="n"/>
      <c r="AU2751" s="47" t="n"/>
      <c r="AV2751" s="47" t="n"/>
      <c r="AW2751" s="52" t="n"/>
    </row>
    <row r="2752">
      <c r="A2752" s="48" t="n"/>
      <c r="B2752" s="52" t="n"/>
      <c r="C2752" s="47">
        <f>IF(B2752="","",IFERROR(INDEX('隊員マスタ'!$B$5:$B$204,MATCH(B2752&amp;"",'隊員マスタ'!$F$5:$F$204,0)),IF(AK2752="","番号なし",AK2752)))</f>
        <v/>
      </c>
      <c r="D2752" s="47" t="n"/>
      <c r="E2752" s="47" t="n"/>
      <c r="F2752" s="47" t="n"/>
      <c r="G2752" s="47" t="n"/>
      <c r="H2752" s="47" t="n"/>
      <c r="I2752" s="47" t="n"/>
      <c r="J2752" s="47" t="n"/>
      <c r="K2752" s="47" t="n"/>
      <c r="L2752" s="47" t="n"/>
      <c r="M2752" s="47" t="n"/>
      <c r="N2752" s="47" t="n"/>
      <c r="O2752" s="47" t="n"/>
      <c r="P2752" s="47" t="n"/>
      <c r="Q2752" s="47" t="n"/>
      <c r="R2752" s="47" t="n"/>
      <c r="S2752" s="47" t="n"/>
      <c r="T2752" s="47" t="n"/>
      <c r="U2752" s="53" t="n"/>
      <c r="V2752" s="53" t="n"/>
      <c r="W2752" s="47" t="n"/>
      <c r="X2752" s="47" t="n"/>
      <c r="Y2752" s="47" t="n"/>
      <c r="Z2752" s="47" t="n"/>
      <c r="AA2752" s="47" t="n"/>
      <c r="AB2752" s="47" t="n"/>
      <c r="AC2752" s="47" t="n"/>
      <c r="AD2752" s="47" t="n"/>
      <c r="AE2752" s="47" t="n"/>
      <c r="AF2752" s="20">
        <f>IF(A2752="","",YEAR(EDATE(A2752,-3)))</f>
        <v/>
      </c>
      <c r="AG2752" s="20">
        <f>IF(OR(B2752="",'経歴簿'!$C$4=""),"",IF(B2752&amp;""='経歴簿'!$C$4&amp;"",MAX($AG$4:AG2751)+1,""))</f>
        <v/>
      </c>
      <c r="AH2752" s="20">
        <f>IF(A2752="",0,IF(AND(OR('CSV抽出'!$C$4="",A2752&gt;='CSV抽出'!$C$4),OR('CSV抽出'!$C$5="",A2752&lt;='CSV抽出'!$C$5),OR('CSV抽出'!$C$6="すべて",'CSV抽出'!$C$6="",D2752='CSV抽出'!$C$6),OR('CSV抽出'!$C$7="",B2752&amp;""='CSV抽出'!$C$7&amp;"")),1,0))</f>
        <v/>
      </c>
      <c r="AI2752" s="20">
        <f>IF(AH2752=1,SUM($AH$5:AH2752),"")</f>
        <v/>
      </c>
      <c r="AJ2752" s="20">
        <f>IF(OR(S2752="",'報告書'!$C$4=""),"",IF(S2752&amp;""='報告書'!$C$4&amp;"",COUNTIF($S$5:S2752,'報告書'!$C$4),""))</f>
        <v/>
      </c>
      <c r="AK2752" s="20" t="n"/>
      <c r="AL2752" s="47" t="n"/>
      <c r="AM2752" s="47" t="n"/>
      <c r="AN2752" s="53" t="n"/>
      <c r="AO2752" s="47" t="n"/>
      <c r="AP2752" s="47" t="n"/>
      <c r="AQ2752" s="47" t="n"/>
      <c r="AR2752" s="47" t="n"/>
      <c r="AS2752" s="47" t="n"/>
      <c r="AT2752" s="47" t="n"/>
      <c r="AU2752" s="47" t="n"/>
      <c r="AV2752" s="47" t="n"/>
      <c r="AW2752" s="52" t="n"/>
    </row>
    <row r="2753">
      <c r="A2753" s="48" t="n"/>
      <c r="B2753" s="52" t="n"/>
      <c r="C2753" s="47">
        <f>IF(B2753="","",IFERROR(INDEX('隊員マスタ'!$B$5:$B$204,MATCH(B2753&amp;"",'隊員マスタ'!$F$5:$F$204,0)),IF(AK2753="","番号なし",AK2753)))</f>
        <v/>
      </c>
      <c r="D2753" s="47" t="n"/>
      <c r="E2753" s="47" t="n"/>
      <c r="F2753" s="47" t="n"/>
      <c r="G2753" s="47" t="n"/>
      <c r="H2753" s="47" t="n"/>
      <c r="I2753" s="47" t="n"/>
      <c r="J2753" s="47" t="n"/>
      <c r="K2753" s="47" t="n"/>
      <c r="L2753" s="47" t="n"/>
      <c r="M2753" s="47" t="n"/>
      <c r="N2753" s="47" t="n"/>
      <c r="O2753" s="47" t="n"/>
      <c r="P2753" s="47" t="n"/>
      <c r="Q2753" s="47" t="n"/>
      <c r="R2753" s="47" t="n"/>
      <c r="S2753" s="47" t="n"/>
      <c r="T2753" s="47" t="n"/>
      <c r="U2753" s="53" t="n"/>
      <c r="V2753" s="53" t="n"/>
      <c r="W2753" s="47" t="n"/>
      <c r="X2753" s="47" t="n"/>
      <c r="Y2753" s="47" t="n"/>
      <c r="Z2753" s="47" t="n"/>
      <c r="AA2753" s="47" t="n"/>
      <c r="AB2753" s="47" t="n"/>
      <c r="AC2753" s="47" t="n"/>
      <c r="AD2753" s="47" t="n"/>
      <c r="AE2753" s="47" t="n"/>
      <c r="AF2753" s="20">
        <f>IF(A2753="","",YEAR(EDATE(A2753,-3)))</f>
        <v/>
      </c>
      <c r="AG2753" s="20">
        <f>IF(OR(B2753="",'経歴簿'!$C$4=""),"",IF(B2753&amp;""='経歴簿'!$C$4&amp;"",MAX($AG$4:AG2752)+1,""))</f>
        <v/>
      </c>
      <c r="AH2753" s="20">
        <f>IF(A2753="",0,IF(AND(OR('CSV抽出'!$C$4="",A2753&gt;='CSV抽出'!$C$4),OR('CSV抽出'!$C$5="",A2753&lt;='CSV抽出'!$C$5),OR('CSV抽出'!$C$6="すべて",'CSV抽出'!$C$6="",D2753='CSV抽出'!$C$6),OR('CSV抽出'!$C$7="",B2753&amp;""='CSV抽出'!$C$7&amp;"")),1,0))</f>
        <v/>
      </c>
      <c r="AI2753" s="20">
        <f>IF(AH2753=1,SUM($AH$5:AH2753),"")</f>
        <v/>
      </c>
      <c r="AJ2753" s="20">
        <f>IF(OR(S2753="",'報告書'!$C$4=""),"",IF(S2753&amp;""='報告書'!$C$4&amp;"",COUNTIF($S$5:S2753,'報告書'!$C$4),""))</f>
        <v/>
      </c>
      <c r="AK2753" s="20" t="n"/>
      <c r="AL2753" s="47" t="n"/>
      <c r="AM2753" s="47" t="n"/>
      <c r="AN2753" s="53" t="n"/>
      <c r="AO2753" s="47" t="n"/>
      <c r="AP2753" s="47" t="n"/>
      <c r="AQ2753" s="47" t="n"/>
      <c r="AR2753" s="47" t="n"/>
      <c r="AS2753" s="47" t="n"/>
      <c r="AT2753" s="47" t="n"/>
      <c r="AU2753" s="47" t="n"/>
      <c r="AV2753" s="47" t="n"/>
      <c r="AW2753" s="52" t="n"/>
    </row>
    <row r="2754">
      <c r="A2754" s="48" t="n"/>
      <c r="B2754" s="52" t="n"/>
      <c r="C2754" s="47">
        <f>IF(B2754="","",IFERROR(INDEX('隊員マスタ'!$B$5:$B$204,MATCH(B2754&amp;"",'隊員マスタ'!$F$5:$F$204,0)),IF(AK2754="","番号なし",AK2754)))</f>
        <v/>
      </c>
      <c r="D2754" s="47" t="n"/>
      <c r="E2754" s="47" t="n"/>
      <c r="F2754" s="47" t="n"/>
      <c r="G2754" s="47" t="n"/>
      <c r="H2754" s="47" t="n"/>
      <c r="I2754" s="47" t="n"/>
      <c r="J2754" s="47" t="n"/>
      <c r="K2754" s="47" t="n"/>
      <c r="L2754" s="47" t="n"/>
      <c r="M2754" s="47" t="n"/>
      <c r="N2754" s="47" t="n"/>
      <c r="O2754" s="47" t="n"/>
      <c r="P2754" s="47" t="n"/>
      <c r="Q2754" s="47" t="n"/>
      <c r="R2754" s="47" t="n"/>
      <c r="S2754" s="47" t="n"/>
      <c r="T2754" s="47" t="n"/>
      <c r="U2754" s="53" t="n"/>
      <c r="V2754" s="53" t="n"/>
      <c r="W2754" s="47" t="n"/>
      <c r="X2754" s="47" t="n"/>
      <c r="Y2754" s="47" t="n"/>
      <c r="Z2754" s="47" t="n"/>
      <c r="AA2754" s="47" t="n"/>
      <c r="AB2754" s="47" t="n"/>
      <c r="AC2754" s="47" t="n"/>
      <c r="AD2754" s="47" t="n"/>
      <c r="AE2754" s="47" t="n"/>
      <c r="AF2754" s="20">
        <f>IF(A2754="","",YEAR(EDATE(A2754,-3)))</f>
        <v/>
      </c>
      <c r="AG2754" s="20">
        <f>IF(OR(B2754="",'経歴簿'!$C$4=""),"",IF(B2754&amp;""='経歴簿'!$C$4&amp;"",MAX($AG$4:AG2753)+1,""))</f>
        <v/>
      </c>
      <c r="AH2754" s="20">
        <f>IF(A2754="",0,IF(AND(OR('CSV抽出'!$C$4="",A2754&gt;='CSV抽出'!$C$4),OR('CSV抽出'!$C$5="",A2754&lt;='CSV抽出'!$C$5),OR('CSV抽出'!$C$6="すべて",'CSV抽出'!$C$6="",D2754='CSV抽出'!$C$6),OR('CSV抽出'!$C$7="",B2754&amp;""='CSV抽出'!$C$7&amp;"")),1,0))</f>
        <v/>
      </c>
      <c r="AI2754" s="20">
        <f>IF(AH2754=1,SUM($AH$5:AH2754),"")</f>
        <v/>
      </c>
      <c r="AJ2754" s="20">
        <f>IF(OR(S2754="",'報告書'!$C$4=""),"",IF(S2754&amp;""='報告書'!$C$4&amp;"",COUNTIF($S$5:S2754,'報告書'!$C$4),""))</f>
        <v/>
      </c>
      <c r="AK2754" s="20" t="n"/>
      <c r="AL2754" s="47" t="n"/>
      <c r="AM2754" s="47" t="n"/>
      <c r="AN2754" s="53" t="n"/>
      <c r="AO2754" s="47" t="n"/>
      <c r="AP2754" s="47" t="n"/>
      <c r="AQ2754" s="47" t="n"/>
      <c r="AR2754" s="47" t="n"/>
      <c r="AS2754" s="47" t="n"/>
      <c r="AT2754" s="47" t="n"/>
      <c r="AU2754" s="47" t="n"/>
      <c r="AV2754" s="47" t="n"/>
      <c r="AW2754" s="52" t="n"/>
    </row>
    <row r="2755">
      <c r="A2755" s="48" t="n"/>
      <c r="B2755" s="52" t="n"/>
      <c r="C2755" s="47">
        <f>IF(B2755="","",IFERROR(INDEX('隊員マスタ'!$B$5:$B$204,MATCH(B2755&amp;"",'隊員マスタ'!$F$5:$F$204,0)),IF(AK2755="","番号なし",AK2755)))</f>
        <v/>
      </c>
      <c r="D2755" s="47" t="n"/>
      <c r="E2755" s="47" t="n"/>
      <c r="F2755" s="47" t="n"/>
      <c r="G2755" s="47" t="n"/>
      <c r="H2755" s="47" t="n"/>
      <c r="I2755" s="47" t="n"/>
      <c r="J2755" s="47" t="n"/>
      <c r="K2755" s="47" t="n"/>
      <c r="L2755" s="47" t="n"/>
      <c r="M2755" s="47" t="n"/>
      <c r="N2755" s="47" t="n"/>
      <c r="O2755" s="47" t="n"/>
      <c r="P2755" s="47" t="n"/>
      <c r="Q2755" s="47" t="n"/>
      <c r="R2755" s="47" t="n"/>
      <c r="S2755" s="47" t="n"/>
      <c r="T2755" s="47" t="n"/>
      <c r="U2755" s="53" t="n"/>
      <c r="V2755" s="53" t="n"/>
      <c r="W2755" s="47" t="n"/>
      <c r="X2755" s="47" t="n"/>
      <c r="Y2755" s="47" t="n"/>
      <c r="Z2755" s="47" t="n"/>
      <c r="AA2755" s="47" t="n"/>
      <c r="AB2755" s="47" t="n"/>
      <c r="AC2755" s="47" t="n"/>
      <c r="AD2755" s="47" t="n"/>
      <c r="AE2755" s="47" t="n"/>
      <c r="AF2755" s="20">
        <f>IF(A2755="","",YEAR(EDATE(A2755,-3)))</f>
        <v/>
      </c>
      <c r="AG2755" s="20">
        <f>IF(OR(B2755="",'経歴簿'!$C$4=""),"",IF(B2755&amp;""='経歴簿'!$C$4&amp;"",MAX($AG$4:AG2754)+1,""))</f>
        <v/>
      </c>
      <c r="AH2755" s="20">
        <f>IF(A2755="",0,IF(AND(OR('CSV抽出'!$C$4="",A2755&gt;='CSV抽出'!$C$4),OR('CSV抽出'!$C$5="",A2755&lt;='CSV抽出'!$C$5),OR('CSV抽出'!$C$6="すべて",'CSV抽出'!$C$6="",D2755='CSV抽出'!$C$6),OR('CSV抽出'!$C$7="",B2755&amp;""='CSV抽出'!$C$7&amp;"")),1,0))</f>
        <v/>
      </c>
      <c r="AI2755" s="20">
        <f>IF(AH2755=1,SUM($AH$5:AH2755),"")</f>
        <v/>
      </c>
      <c r="AJ2755" s="20">
        <f>IF(OR(S2755="",'報告書'!$C$4=""),"",IF(S2755&amp;""='報告書'!$C$4&amp;"",COUNTIF($S$5:S2755,'報告書'!$C$4),""))</f>
        <v/>
      </c>
      <c r="AK2755" s="20" t="n"/>
      <c r="AL2755" s="47" t="n"/>
      <c r="AM2755" s="47" t="n"/>
      <c r="AN2755" s="53" t="n"/>
      <c r="AO2755" s="47" t="n"/>
      <c r="AP2755" s="47" t="n"/>
      <c r="AQ2755" s="47" t="n"/>
      <c r="AR2755" s="47" t="n"/>
      <c r="AS2755" s="47" t="n"/>
      <c r="AT2755" s="47" t="n"/>
      <c r="AU2755" s="47" t="n"/>
      <c r="AV2755" s="47" t="n"/>
      <c r="AW2755" s="52" t="n"/>
    </row>
    <row r="2756">
      <c r="A2756" s="48" t="n"/>
      <c r="B2756" s="52" t="n"/>
      <c r="C2756" s="47">
        <f>IF(B2756="","",IFERROR(INDEX('隊員マスタ'!$B$5:$B$204,MATCH(B2756&amp;"",'隊員マスタ'!$F$5:$F$204,0)),IF(AK2756="","番号なし",AK2756)))</f>
        <v/>
      </c>
      <c r="D2756" s="47" t="n"/>
      <c r="E2756" s="47" t="n"/>
      <c r="F2756" s="47" t="n"/>
      <c r="G2756" s="47" t="n"/>
      <c r="H2756" s="47" t="n"/>
      <c r="I2756" s="47" t="n"/>
      <c r="J2756" s="47" t="n"/>
      <c r="K2756" s="47" t="n"/>
      <c r="L2756" s="47" t="n"/>
      <c r="M2756" s="47" t="n"/>
      <c r="N2756" s="47" t="n"/>
      <c r="O2756" s="47" t="n"/>
      <c r="P2756" s="47" t="n"/>
      <c r="Q2756" s="47" t="n"/>
      <c r="R2756" s="47" t="n"/>
      <c r="S2756" s="47" t="n"/>
      <c r="T2756" s="47" t="n"/>
      <c r="U2756" s="53" t="n"/>
      <c r="V2756" s="53" t="n"/>
      <c r="W2756" s="47" t="n"/>
      <c r="X2756" s="47" t="n"/>
      <c r="Y2756" s="47" t="n"/>
      <c r="Z2756" s="47" t="n"/>
      <c r="AA2756" s="47" t="n"/>
      <c r="AB2756" s="47" t="n"/>
      <c r="AC2756" s="47" t="n"/>
      <c r="AD2756" s="47" t="n"/>
      <c r="AE2756" s="47" t="n"/>
      <c r="AF2756" s="20">
        <f>IF(A2756="","",YEAR(EDATE(A2756,-3)))</f>
        <v/>
      </c>
      <c r="AG2756" s="20">
        <f>IF(OR(B2756="",'経歴簿'!$C$4=""),"",IF(B2756&amp;""='経歴簿'!$C$4&amp;"",MAX($AG$4:AG2755)+1,""))</f>
        <v/>
      </c>
      <c r="AH2756" s="20">
        <f>IF(A2756="",0,IF(AND(OR('CSV抽出'!$C$4="",A2756&gt;='CSV抽出'!$C$4),OR('CSV抽出'!$C$5="",A2756&lt;='CSV抽出'!$C$5),OR('CSV抽出'!$C$6="すべて",'CSV抽出'!$C$6="",D2756='CSV抽出'!$C$6),OR('CSV抽出'!$C$7="",B2756&amp;""='CSV抽出'!$C$7&amp;"")),1,0))</f>
        <v/>
      </c>
      <c r="AI2756" s="20">
        <f>IF(AH2756=1,SUM($AH$5:AH2756),"")</f>
        <v/>
      </c>
      <c r="AJ2756" s="20">
        <f>IF(OR(S2756="",'報告書'!$C$4=""),"",IF(S2756&amp;""='報告書'!$C$4&amp;"",COUNTIF($S$5:S2756,'報告書'!$C$4),""))</f>
        <v/>
      </c>
      <c r="AK2756" s="20" t="n"/>
      <c r="AL2756" s="47" t="n"/>
      <c r="AM2756" s="47" t="n"/>
      <c r="AN2756" s="53" t="n"/>
      <c r="AO2756" s="47" t="n"/>
      <c r="AP2756" s="47" t="n"/>
      <c r="AQ2756" s="47" t="n"/>
      <c r="AR2756" s="47" t="n"/>
      <c r="AS2756" s="47" t="n"/>
      <c r="AT2756" s="47" t="n"/>
      <c r="AU2756" s="47" t="n"/>
      <c r="AV2756" s="47" t="n"/>
      <c r="AW2756" s="52" t="n"/>
    </row>
    <row r="2757">
      <c r="A2757" s="48" t="n"/>
      <c r="B2757" s="52" t="n"/>
      <c r="C2757" s="47">
        <f>IF(B2757="","",IFERROR(INDEX('隊員マスタ'!$B$5:$B$204,MATCH(B2757&amp;"",'隊員マスタ'!$F$5:$F$204,0)),IF(AK2757="","番号なし",AK2757)))</f>
        <v/>
      </c>
      <c r="D2757" s="47" t="n"/>
      <c r="E2757" s="47" t="n"/>
      <c r="F2757" s="47" t="n"/>
      <c r="G2757" s="47" t="n"/>
      <c r="H2757" s="47" t="n"/>
      <c r="I2757" s="47" t="n"/>
      <c r="J2757" s="47" t="n"/>
      <c r="K2757" s="47" t="n"/>
      <c r="L2757" s="47" t="n"/>
      <c r="M2757" s="47" t="n"/>
      <c r="N2757" s="47" t="n"/>
      <c r="O2757" s="47" t="n"/>
      <c r="P2757" s="47" t="n"/>
      <c r="Q2757" s="47" t="n"/>
      <c r="R2757" s="47" t="n"/>
      <c r="S2757" s="47" t="n"/>
      <c r="T2757" s="47" t="n"/>
      <c r="U2757" s="53" t="n"/>
      <c r="V2757" s="53" t="n"/>
      <c r="W2757" s="47" t="n"/>
      <c r="X2757" s="47" t="n"/>
      <c r="Y2757" s="47" t="n"/>
      <c r="Z2757" s="47" t="n"/>
      <c r="AA2757" s="47" t="n"/>
      <c r="AB2757" s="47" t="n"/>
      <c r="AC2757" s="47" t="n"/>
      <c r="AD2757" s="47" t="n"/>
      <c r="AE2757" s="47" t="n"/>
      <c r="AF2757" s="20">
        <f>IF(A2757="","",YEAR(EDATE(A2757,-3)))</f>
        <v/>
      </c>
      <c r="AG2757" s="20">
        <f>IF(OR(B2757="",'経歴簿'!$C$4=""),"",IF(B2757&amp;""='経歴簿'!$C$4&amp;"",MAX($AG$4:AG2756)+1,""))</f>
        <v/>
      </c>
      <c r="AH2757" s="20">
        <f>IF(A2757="",0,IF(AND(OR('CSV抽出'!$C$4="",A2757&gt;='CSV抽出'!$C$4),OR('CSV抽出'!$C$5="",A2757&lt;='CSV抽出'!$C$5),OR('CSV抽出'!$C$6="すべて",'CSV抽出'!$C$6="",D2757='CSV抽出'!$C$6),OR('CSV抽出'!$C$7="",B2757&amp;""='CSV抽出'!$C$7&amp;"")),1,0))</f>
        <v/>
      </c>
      <c r="AI2757" s="20">
        <f>IF(AH2757=1,SUM($AH$5:AH2757),"")</f>
        <v/>
      </c>
      <c r="AJ2757" s="20">
        <f>IF(OR(S2757="",'報告書'!$C$4=""),"",IF(S2757&amp;""='報告書'!$C$4&amp;"",COUNTIF($S$5:S2757,'報告書'!$C$4),""))</f>
        <v/>
      </c>
      <c r="AK2757" s="20" t="n"/>
      <c r="AL2757" s="47" t="n"/>
      <c r="AM2757" s="47" t="n"/>
      <c r="AN2757" s="53" t="n"/>
      <c r="AO2757" s="47" t="n"/>
      <c r="AP2757" s="47" t="n"/>
      <c r="AQ2757" s="47" t="n"/>
      <c r="AR2757" s="47" t="n"/>
      <c r="AS2757" s="47" t="n"/>
      <c r="AT2757" s="47" t="n"/>
      <c r="AU2757" s="47" t="n"/>
      <c r="AV2757" s="47" t="n"/>
      <c r="AW2757" s="52" t="n"/>
    </row>
    <row r="2758">
      <c r="A2758" s="48" t="n"/>
      <c r="B2758" s="52" t="n"/>
      <c r="C2758" s="47">
        <f>IF(B2758="","",IFERROR(INDEX('隊員マスタ'!$B$5:$B$204,MATCH(B2758&amp;"",'隊員マスタ'!$F$5:$F$204,0)),IF(AK2758="","番号なし",AK2758)))</f>
        <v/>
      </c>
      <c r="D2758" s="47" t="n"/>
      <c r="E2758" s="47" t="n"/>
      <c r="F2758" s="47" t="n"/>
      <c r="G2758" s="47" t="n"/>
      <c r="H2758" s="47" t="n"/>
      <c r="I2758" s="47" t="n"/>
      <c r="J2758" s="47" t="n"/>
      <c r="K2758" s="47" t="n"/>
      <c r="L2758" s="47" t="n"/>
      <c r="M2758" s="47" t="n"/>
      <c r="N2758" s="47" t="n"/>
      <c r="O2758" s="47" t="n"/>
      <c r="P2758" s="47" t="n"/>
      <c r="Q2758" s="47" t="n"/>
      <c r="R2758" s="47" t="n"/>
      <c r="S2758" s="47" t="n"/>
      <c r="T2758" s="47" t="n"/>
      <c r="U2758" s="53" t="n"/>
      <c r="V2758" s="53" t="n"/>
      <c r="W2758" s="47" t="n"/>
      <c r="X2758" s="47" t="n"/>
      <c r="Y2758" s="47" t="n"/>
      <c r="Z2758" s="47" t="n"/>
      <c r="AA2758" s="47" t="n"/>
      <c r="AB2758" s="47" t="n"/>
      <c r="AC2758" s="47" t="n"/>
      <c r="AD2758" s="47" t="n"/>
      <c r="AE2758" s="47" t="n"/>
      <c r="AF2758" s="20">
        <f>IF(A2758="","",YEAR(EDATE(A2758,-3)))</f>
        <v/>
      </c>
      <c r="AG2758" s="20">
        <f>IF(OR(B2758="",'経歴簿'!$C$4=""),"",IF(B2758&amp;""='経歴簿'!$C$4&amp;"",MAX($AG$4:AG2757)+1,""))</f>
        <v/>
      </c>
      <c r="AH2758" s="20">
        <f>IF(A2758="",0,IF(AND(OR('CSV抽出'!$C$4="",A2758&gt;='CSV抽出'!$C$4),OR('CSV抽出'!$C$5="",A2758&lt;='CSV抽出'!$C$5),OR('CSV抽出'!$C$6="すべて",'CSV抽出'!$C$6="",D2758='CSV抽出'!$C$6),OR('CSV抽出'!$C$7="",B2758&amp;""='CSV抽出'!$C$7&amp;"")),1,0))</f>
        <v/>
      </c>
      <c r="AI2758" s="20">
        <f>IF(AH2758=1,SUM($AH$5:AH2758),"")</f>
        <v/>
      </c>
      <c r="AJ2758" s="20">
        <f>IF(OR(S2758="",'報告書'!$C$4=""),"",IF(S2758&amp;""='報告書'!$C$4&amp;"",COUNTIF($S$5:S2758,'報告書'!$C$4),""))</f>
        <v/>
      </c>
      <c r="AK2758" s="20" t="n"/>
      <c r="AL2758" s="47" t="n"/>
      <c r="AM2758" s="47" t="n"/>
      <c r="AN2758" s="53" t="n"/>
      <c r="AO2758" s="47" t="n"/>
      <c r="AP2758" s="47" t="n"/>
      <c r="AQ2758" s="47" t="n"/>
      <c r="AR2758" s="47" t="n"/>
      <c r="AS2758" s="47" t="n"/>
      <c r="AT2758" s="47" t="n"/>
      <c r="AU2758" s="47" t="n"/>
      <c r="AV2758" s="47" t="n"/>
      <c r="AW2758" s="52" t="n"/>
    </row>
    <row r="2759">
      <c r="A2759" s="48" t="n"/>
      <c r="B2759" s="52" t="n"/>
      <c r="C2759" s="47">
        <f>IF(B2759="","",IFERROR(INDEX('隊員マスタ'!$B$5:$B$204,MATCH(B2759&amp;"",'隊員マスタ'!$F$5:$F$204,0)),IF(AK2759="","番号なし",AK2759)))</f>
        <v/>
      </c>
      <c r="D2759" s="47" t="n"/>
      <c r="E2759" s="47" t="n"/>
      <c r="F2759" s="47" t="n"/>
      <c r="G2759" s="47" t="n"/>
      <c r="H2759" s="47" t="n"/>
      <c r="I2759" s="47" t="n"/>
      <c r="J2759" s="47" t="n"/>
      <c r="K2759" s="47" t="n"/>
      <c r="L2759" s="47" t="n"/>
      <c r="M2759" s="47" t="n"/>
      <c r="N2759" s="47" t="n"/>
      <c r="O2759" s="47" t="n"/>
      <c r="P2759" s="47" t="n"/>
      <c r="Q2759" s="47" t="n"/>
      <c r="R2759" s="47" t="n"/>
      <c r="S2759" s="47" t="n"/>
      <c r="T2759" s="47" t="n"/>
      <c r="U2759" s="53" t="n"/>
      <c r="V2759" s="53" t="n"/>
      <c r="W2759" s="47" t="n"/>
      <c r="X2759" s="47" t="n"/>
      <c r="Y2759" s="47" t="n"/>
      <c r="Z2759" s="47" t="n"/>
      <c r="AA2759" s="47" t="n"/>
      <c r="AB2759" s="47" t="n"/>
      <c r="AC2759" s="47" t="n"/>
      <c r="AD2759" s="47" t="n"/>
      <c r="AE2759" s="47" t="n"/>
      <c r="AF2759" s="20">
        <f>IF(A2759="","",YEAR(EDATE(A2759,-3)))</f>
        <v/>
      </c>
      <c r="AG2759" s="20">
        <f>IF(OR(B2759="",'経歴簿'!$C$4=""),"",IF(B2759&amp;""='経歴簿'!$C$4&amp;"",MAX($AG$4:AG2758)+1,""))</f>
        <v/>
      </c>
      <c r="AH2759" s="20">
        <f>IF(A2759="",0,IF(AND(OR('CSV抽出'!$C$4="",A2759&gt;='CSV抽出'!$C$4),OR('CSV抽出'!$C$5="",A2759&lt;='CSV抽出'!$C$5),OR('CSV抽出'!$C$6="すべて",'CSV抽出'!$C$6="",D2759='CSV抽出'!$C$6),OR('CSV抽出'!$C$7="",B2759&amp;""='CSV抽出'!$C$7&amp;"")),1,0))</f>
        <v/>
      </c>
      <c r="AI2759" s="20">
        <f>IF(AH2759=1,SUM($AH$5:AH2759),"")</f>
        <v/>
      </c>
      <c r="AJ2759" s="20">
        <f>IF(OR(S2759="",'報告書'!$C$4=""),"",IF(S2759&amp;""='報告書'!$C$4&amp;"",COUNTIF($S$5:S2759,'報告書'!$C$4),""))</f>
        <v/>
      </c>
      <c r="AK2759" s="20" t="n"/>
      <c r="AL2759" s="47" t="n"/>
      <c r="AM2759" s="47" t="n"/>
      <c r="AN2759" s="53" t="n"/>
      <c r="AO2759" s="47" t="n"/>
      <c r="AP2759" s="47" t="n"/>
      <c r="AQ2759" s="47" t="n"/>
      <c r="AR2759" s="47" t="n"/>
      <c r="AS2759" s="47" t="n"/>
      <c r="AT2759" s="47" t="n"/>
      <c r="AU2759" s="47" t="n"/>
      <c r="AV2759" s="47" t="n"/>
      <c r="AW2759" s="52" t="n"/>
    </row>
    <row r="2760">
      <c r="A2760" s="48" t="n"/>
      <c r="B2760" s="52" t="n"/>
      <c r="C2760" s="47">
        <f>IF(B2760="","",IFERROR(INDEX('隊員マスタ'!$B$5:$B$204,MATCH(B2760&amp;"",'隊員マスタ'!$F$5:$F$204,0)),IF(AK2760="","番号なし",AK2760)))</f>
        <v/>
      </c>
      <c r="D2760" s="47" t="n"/>
      <c r="E2760" s="47" t="n"/>
      <c r="F2760" s="47" t="n"/>
      <c r="G2760" s="47" t="n"/>
      <c r="H2760" s="47" t="n"/>
      <c r="I2760" s="47" t="n"/>
      <c r="J2760" s="47" t="n"/>
      <c r="K2760" s="47" t="n"/>
      <c r="L2760" s="47" t="n"/>
      <c r="M2760" s="47" t="n"/>
      <c r="N2760" s="47" t="n"/>
      <c r="O2760" s="47" t="n"/>
      <c r="P2760" s="47" t="n"/>
      <c r="Q2760" s="47" t="n"/>
      <c r="R2760" s="47" t="n"/>
      <c r="S2760" s="47" t="n"/>
      <c r="T2760" s="47" t="n"/>
      <c r="U2760" s="53" t="n"/>
      <c r="V2760" s="53" t="n"/>
      <c r="W2760" s="47" t="n"/>
      <c r="X2760" s="47" t="n"/>
      <c r="Y2760" s="47" t="n"/>
      <c r="Z2760" s="47" t="n"/>
      <c r="AA2760" s="47" t="n"/>
      <c r="AB2760" s="47" t="n"/>
      <c r="AC2760" s="47" t="n"/>
      <c r="AD2760" s="47" t="n"/>
      <c r="AE2760" s="47" t="n"/>
      <c r="AF2760" s="20">
        <f>IF(A2760="","",YEAR(EDATE(A2760,-3)))</f>
        <v/>
      </c>
      <c r="AG2760" s="20">
        <f>IF(OR(B2760="",'経歴簿'!$C$4=""),"",IF(B2760&amp;""='経歴簿'!$C$4&amp;"",MAX($AG$4:AG2759)+1,""))</f>
        <v/>
      </c>
      <c r="AH2760" s="20">
        <f>IF(A2760="",0,IF(AND(OR('CSV抽出'!$C$4="",A2760&gt;='CSV抽出'!$C$4),OR('CSV抽出'!$C$5="",A2760&lt;='CSV抽出'!$C$5),OR('CSV抽出'!$C$6="すべて",'CSV抽出'!$C$6="",D2760='CSV抽出'!$C$6),OR('CSV抽出'!$C$7="",B2760&amp;""='CSV抽出'!$C$7&amp;"")),1,0))</f>
        <v/>
      </c>
      <c r="AI2760" s="20">
        <f>IF(AH2760=1,SUM($AH$5:AH2760),"")</f>
        <v/>
      </c>
      <c r="AJ2760" s="20">
        <f>IF(OR(S2760="",'報告書'!$C$4=""),"",IF(S2760&amp;""='報告書'!$C$4&amp;"",COUNTIF($S$5:S2760,'報告書'!$C$4),""))</f>
        <v/>
      </c>
      <c r="AK2760" s="20" t="n"/>
      <c r="AL2760" s="47" t="n"/>
      <c r="AM2760" s="47" t="n"/>
      <c r="AN2760" s="53" t="n"/>
      <c r="AO2760" s="47" t="n"/>
      <c r="AP2760" s="47" t="n"/>
      <c r="AQ2760" s="47" t="n"/>
      <c r="AR2760" s="47" t="n"/>
      <c r="AS2760" s="47" t="n"/>
      <c r="AT2760" s="47" t="n"/>
      <c r="AU2760" s="47" t="n"/>
      <c r="AV2760" s="47" t="n"/>
      <c r="AW2760" s="52" t="n"/>
    </row>
    <row r="2761">
      <c r="A2761" s="48" t="n"/>
      <c r="B2761" s="52" t="n"/>
      <c r="C2761" s="47">
        <f>IF(B2761="","",IFERROR(INDEX('隊員マスタ'!$B$5:$B$204,MATCH(B2761&amp;"",'隊員マスタ'!$F$5:$F$204,0)),IF(AK2761="","番号なし",AK2761)))</f>
        <v/>
      </c>
      <c r="D2761" s="47" t="n"/>
      <c r="E2761" s="47" t="n"/>
      <c r="F2761" s="47" t="n"/>
      <c r="G2761" s="47" t="n"/>
      <c r="H2761" s="47" t="n"/>
      <c r="I2761" s="47" t="n"/>
      <c r="J2761" s="47" t="n"/>
      <c r="K2761" s="47" t="n"/>
      <c r="L2761" s="47" t="n"/>
      <c r="M2761" s="47" t="n"/>
      <c r="N2761" s="47" t="n"/>
      <c r="O2761" s="47" t="n"/>
      <c r="P2761" s="47" t="n"/>
      <c r="Q2761" s="47" t="n"/>
      <c r="R2761" s="47" t="n"/>
      <c r="S2761" s="47" t="n"/>
      <c r="T2761" s="47" t="n"/>
      <c r="U2761" s="53" t="n"/>
      <c r="V2761" s="53" t="n"/>
      <c r="W2761" s="47" t="n"/>
      <c r="X2761" s="47" t="n"/>
      <c r="Y2761" s="47" t="n"/>
      <c r="Z2761" s="47" t="n"/>
      <c r="AA2761" s="47" t="n"/>
      <c r="AB2761" s="47" t="n"/>
      <c r="AC2761" s="47" t="n"/>
      <c r="AD2761" s="47" t="n"/>
      <c r="AE2761" s="47" t="n"/>
      <c r="AF2761" s="20">
        <f>IF(A2761="","",YEAR(EDATE(A2761,-3)))</f>
        <v/>
      </c>
      <c r="AG2761" s="20">
        <f>IF(OR(B2761="",'経歴簿'!$C$4=""),"",IF(B2761&amp;""='経歴簿'!$C$4&amp;"",MAX($AG$4:AG2760)+1,""))</f>
        <v/>
      </c>
      <c r="AH2761" s="20">
        <f>IF(A2761="",0,IF(AND(OR('CSV抽出'!$C$4="",A2761&gt;='CSV抽出'!$C$4),OR('CSV抽出'!$C$5="",A2761&lt;='CSV抽出'!$C$5),OR('CSV抽出'!$C$6="すべて",'CSV抽出'!$C$6="",D2761='CSV抽出'!$C$6),OR('CSV抽出'!$C$7="",B2761&amp;""='CSV抽出'!$C$7&amp;"")),1,0))</f>
        <v/>
      </c>
      <c r="AI2761" s="20">
        <f>IF(AH2761=1,SUM($AH$5:AH2761),"")</f>
        <v/>
      </c>
      <c r="AJ2761" s="20">
        <f>IF(OR(S2761="",'報告書'!$C$4=""),"",IF(S2761&amp;""='報告書'!$C$4&amp;"",COUNTIF($S$5:S2761,'報告書'!$C$4),""))</f>
        <v/>
      </c>
      <c r="AK2761" s="20" t="n"/>
      <c r="AL2761" s="47" t="n"/>
      <c r="AM2761" s="47" t="n"/>
      <c r="AN2761" s="53" t="n"/>
      <c r="AO2761" s="47" t="n"/>
      <c r="AP2761" s="47" t="n"/>
      <c r="AQ2761" s="47" t="n"/>
      <c r="AR2761" s="47" t="n"/>
      <c r="AS2761" s="47" t="n"/>
      <c r="AT2761" s="47" t="n"/>
      <c r="AU2761" s="47" t="n"/>
      <c r="AV2761" s="47" t="n"/>
      <c r="AW2761" s="52" t="n"/>
    </row>
    <row r="2762">
      <c r="A2762" s="48" t="n"/>
      <c r="B2762" s="52" t="n"/>
      <c r="C2762" s="47">
        <f>IF(B2762="","",IFERROR(INDEX('隊員マスタ'!$B$5:$B$204,MATCH(B2762&amp;"",'隊員マスタ'!$F$5:$F$204,0)),IF(AK2762="","番号なし",AK2762)))</f>
        <v/>
      </c>
      <c r="D2762" s="47" t="n"/>
      <c r="E2762" s="47" t="n"/>
      <c r="F2762" s="47" t="n"/>
      <c r="G2762" s="47" t="n"/>
      <c r="H2762" s="47" t="n"/>
      <c r="I2762" s="47" t="n"/>
      <c r="J2762" s="47" t="n"/>
      <c r="K2762" s="47" t="n"/>
      <c r="L2762" s="47" t="n"/>
      <c r="M2762" s="47" t="n"/>
      <c r="N2762" s="47" t="n"/>
      <c r="O2762" s="47" t="n"/>
      <c r="P2762" s="47" t="n"/>
      <c r="Q2762" s="47" t="n"/>
      <c r="R2762" s="47" t="n"/>
      <c r="S2762" s="47" t="n"/>
      <c r="T2762" s="47" t="n"/>
      <c r="U2762" s="53" t="n"/>
      <c r="V2762" s="53" t="n"/>
      <c r="W2762" s="47" t="n"/>
      <c r="X2762" s="47" t="n"/>
      <c r="Y2762" s="47" t="n"/>
      <c r="Z2762" s="47" t="n"/>
      <c r="AA2762" s="47" t="n"/>
      <c r="AB2762" s="47" t="n"/>
      <c r="AC2762" s="47" t="n"/>
      <c r="AD2762" s="47" t="n"/>
      <c r="AE2762" s="47" t="n"/>
      <c r="AF2762" s="20">
        <f>IF(A2762="","",YEAR(EDATE(A2762,-3)))</f>
        <v/>
      </c>
      <c r="AG2762" s="20">
        <f>IF(OR(B2762="",'経歴簿'!$C$4=""),"",IF(B2762&amp;""='経歴簿'!$C$4&amp;"",MAX($AG$4:AG2761)+1,""))</f>
        <v/>
      </c>
      <c r="AH2762" s="20">
        <f>IF(A2762="",0,IF(AND(OR('CSV抽出'!$C$4="",A2762&gt;='CSV抽出'!$C$4),OR('CSV抽出'!$C$5="",A2762&lt;='CSV抽出'!$C$5),OR('CSV抽出'!$C$6="すべて",'CSV抽出'!$C$6="",D2762='CSV抽出'!$C$6),OR('CSV抽出'!$C$7="",B2762&amp;""='CSV抽出'!$C$7&amp;"")),1,0))</f>
        <v/>
      </c>
      <c r="AI2762" s="20">
        <f>IF(AH2762=1,SUM($AH$5:AH2762),"")</f>
        <v/>
      </c>
      <c r="AJ2762" s="20">
        <f>IF(OR(S2762="",'報告書'!$C$4=""),"",IF(S2762&amp;""='報告書'!$C$4&amp;"",COUNTIF($S$5:S2762,'報告書'!$C$4),""))</f>
        <v/>
      </c>
      <c r="AK2762" s="20" t="n"/>
      <c r="AL2762" s="47" t="n"/>
      <c r="AM2762" s="47" t="n"/>
      <c r="AN2762" s="53" t="n"/>
      <c r="AO2762" s="47" t="n"/>
      <c r="AP2762" s="47" t="n"/>
      <c r="AQ2762" s="47" t="n"/>
      <c r="AR2762" s="47" t="n"/>
      <c r="AS2762" s="47" t="n"/>
      <c r="AT2762" s="47" t="n"/>
      <c r="AU2762" s="47" t="n"/>
      <c r="AV2762" s="47" t="n"/>
      <c r="AW2762" s="52" t="n"/>
    </row>
    <row r="2763">
      <c r="A2763" s="48" t="n"/>
      <c r="B2763" s="52" t="n"/>
      <c r="C2763" s="47">
        <f>IF(B2763="","",IFERROR(INDEX('隊員マスタ'!$B$5:$B$204,MATCH(B2763&amp;"",'隊員マスタ'!$F$5:$F$204,0)),IF(AK2763="","番号なし",AK2763)))</f>
        <v/>
      </c>
      <c r="D2763" s="47" t="n"/>
      <c r="E2763" s="47" t="n"/>
      <c r="F2763" s="47" t="n"/>
      <c r="G2763" s="47" t="n"/>
      <c r="H2763" s="47" t="n"/>
      <c r="I2763" s="47" t="n"/>
      <c r="J2763" s="47" t="n"/>
      <c r="K2763" s="47" t="n"/>
      <c r="L2763" s="47" t="n"/>
      <c r="M2763" s="47" t="n"/>
      <c r="N2763" s="47" t="n"/>
      <c r="O2763" s="47" t="n"/>
      <c r="P2763" s="47" t="n"/>
      <c r="Q2763" s="47" t="n"/>
      <c r="R2763" s="47" t="n"/>
      <c r="S2763" s="47" t="n"/>
      <c r="T2763" s="47" t="n"/>
      <c r="U2763" s="53" t="n"/>
      <c r="V2763" s="53" t="n"/>
      <c r="W2763" s="47" t="n"/>
      <c r="X2763" s="47" t="n"/>
      <c r="Y2763" s="47" t="n"/>
      <c r="Z2763" s="47" t="n"/>
      <c r="AA2763" s="47" t="n"/>
      <c r="AB2763" s="47" t="n"/>
      <c r="AC2763" s="47" t="n"/>
      <c r="AD2763" s="47" t="n"/>
      <c r="AE2763" s="47" t="n"/>
      <c r="AF2763" s="20">
        <f>IF(A2763="","",YEAR(EDATE(A2763,-3)))</f>
        <v/>
      </c>
      <c r="AG2763" s="20">
        <f>IF(OR(B2763="",'経歴簿'!$C$4=""),"",IF(B2763&amp;""='経歴簿'!$C$4&amp;"",MAX($AG$4:AG2762)+1,""))</f>
        <v/>
      </c>
      <c r="AH2763" s="20">
        <f>IF(A2763="",0,IF(AND(OR('CSV抽出'!$C$4="",A2763&gt;='CSV抽出'!$C$4),OR('CSV抽出'!$C$5="",A2763&lt;='CSV抽出'!$C$5),OR('CSV抽出'!$C$6="すべて",'CSV抽出'!$C$6="",D2763='CSV抽出'!$C$6),OR('CSV抽出'!$C$7="",B2763&amp;""='CSV抽出'!$C$7&amp;"")),1,0))</f>
        <v/>
      </c>
      <c r="AI2763" s="20">
        <f>IF(AH2763=1,SUM($AH$5:AH2763),"")</f>
        <v/>
      </c>
      <c r="AJ2763" s="20">
        <f>IF(OR(S2763="",'報告書'!$C$4=""),"",IF(S2763&amp;""='報告書'!$C$4&amp;"",COUNTIF($S$5:S2763,'報告書'!$C$4),""))</f>
        <v/>
      </c>
      <c r="AK2763" s="20" t="n"/>
      <c r="AL2763" s="47" t="n"/>
      <c r="AM2763" s="47" t="n"/>
      <c r="AN2763" s="53" t="n"/>
      <c r="AO2763" s="47" t="n"/>
      <c r="AP2763" s="47" t="n"/>
      <c r="AQ2763" s="47" t="n"/>
      <c r="AR2763" s="47" t="n"/>
      <c r="AS2763" s="47" t="n"/>
      <c r="AT2763" s="47" t="n"/>
      <c r="AU2763" s="47" t="n"/>
      <c r="AV2763" s="47" t="n"/>
      <c r="AW2763" s="52" t="n"/>
    </row>
    <row r="2764">
      <c r="A2764" s="48" t="n"/>
      <c r="B2764" s="52" t="n"/>
      <c r="C2764" s="47">
        <f>IF(B2764="","",IFERROR(INDEX('隊員マスタ'!$B$5:$B$204,MATCH(B2764&amp;"",'隊員マスタ'!$F$5:$F$204,0)),IF(AK2764="","番号なし",AK2764)))</f>
        <v/>
      </c>
      <c r="D2764" s="47" t="n"/>
      <c r="E2764" s="47" t="n"/>
      <c r="F2764" s="47" t="n"/>
      <c r="G2764" s="47" t="n"/>
      <c r="H2764" s="47" t="n"/>
      <c r="I2764" s="47" t="n"/>
      <c r="J2764" s="47" t="n"/>
      <c r="K2764" s="47" t="n"/>
      <c r="L2764" s="47" t="n"/>
      <c r="M2764" s="47" t="n"/>
      <c r="N2764" s="47" t="n"/>
      <c r="O2764" s="47" t="n"/>
      <c r="P2764" s="47" t="n"/>
      <c r="Q2764" s="47" t="n"/>
      <c r="R2764" s="47" t="n"/>
      <c r="S2764" s="47" t="n"/>
      <c r="T2764" s="47" t="n"/>
      <c r="U2764" s="53" t="n"/>
      <c r="V2764" s="53" t="n"/>
      <c r="W2764" s="47" t="n"/>
      <c r="X2764" s="47" t="n"/>
      <c r="Y2764" s="47" t="n"/>
      <c r="Z2764" s="47" t="n"/>
      <c r="AA2764" s="47" t="n"/>
      <c r="AB2764" s="47" t="n"/>
      <c r="AC2764" s="47" t="n"/>
      <c r="AD2764" s="47" t="n"/>
      <c r="AE2764" s="47" t="n"/>
      <c r="AF2764" s="20">
        <f>IF(A2764="","",YEAR(EDATE(A2764,-3)))</f>
        <v/>
      </c>
      <c r="AG2764" s="20">
        <f>IF(OR(B2764="",'経歴簿'!$C$4=""),"",IF(B2764&amp;""='経歴簿'!$C$4&amp;"",MAX($AG$4:AG2763)+1,""))</f>
        <v/>
      </c>
      <c r="AH2764" s="20">
        <f>IF(A2764="",0,IF(AND(OR('CSV抽出'!$C$4="",A2764&gt;='CSV抽出'!$C$4),OR('CSV抽出'!$C$5="",A2764&lt;='CSV抽出'!$C$5),OR('CSV抽出'!$C$6="すべて",'CSV抽出'!$C$6="",D2764='CSV抽出'!$C$6),OR('CSV抽出'!$C$7="",B2764&amp;""='CSV抽出'!$C$7&amp;"")),1,0))</f>
        <v/>
      </c>
      <c r="AI2764" s="20">
        <f>IF(AH2764=1,SUM($AH$5:AH2764),"")</f>
        <v/>
      </c>
      <c r="AJ2764" s="20">
        <f>IF(OR(S2764="",'報告書'!$C$4=""),"",IF(S2764&amp;""='報告書'!$C$4&amp;"",COUNTIF($S$5:S2764,'報告書'!$C$4),""))</f>
        <v/>
      </c>
      <c r="AK2764" s="20" t="n"/>
      <c r="AL2764" s="47" t="n"/>
      <c r="AM2764" s="47" t="n"/>
      <c r="AN2764" s="53" t="n"/>
      <c r="AO2764" s="47" t="n"/>
      <c r="AP2764" s="47" t="n"/>
      <c r="AQ2764" s="47" t="n"/>
      <c r="AR2764" s="47" t="n"/>
      <c r="AS2764" s="47" t="n"/>
      <c r="AT2764" s="47" t="n"/>
      <c r="AU2764" s="47" t="n"/>
      <c r="AV2764" s="47" t="n"/>
      <c r="AW2764" s="52" t="n"/>
    </row>
    <row r="2765">
      <c r="A2765" s="48" t="n"/>
      <c r="B2765" s="52" t="n"/>
      <c r="C2765" s="47">
        <f>IF(B2765="","",IFERROR(INDEX('隊員マスタ'!$B$5:$B$204,MATCH(B2765&amp;"",'隊員マスタ'!$F$5:$F$204,0)),IF(AK2765="","番号なし",AK2765)))</f>
        <v/>
      </c>
      <c r="D2765" s="47" t="n"/>
      <c r="E2765" s="47" t="n"/>
      <c r="F2765" s="47" t="n"/>
      <c r="G2765" s="47" t="n"/>
      <c r="H2765" s="47" t="n"/>
      <c r="I2765" s="47" t="n"/>
      <c r="J2765" s="47" t="n"/>
      <c r="K2765" s="47" t="n"/>
      <c r="L2765" s="47" t="n"/>
      <c r="M2765" s="47" t="n"/>
      <c r="N2765" s="47" t="n"/>
      <c r="O2765" s="47" t="n"/>
      <c r="P2765" s="47" t="n"/>
      <c r="Q2765" s="47" t="n"/>
      <c r="R2765" s="47" t="n"/>
      <c r="S2765" s="47" t="n"/>
      <c r="T2765" s="47" t="n"/>
      <c r="U2765" s="53" t="n"/>
      <c r="V2765" s="53" t="n"/>
      <c r="W2765" s="47" t="n"/>
      <c r="X2765" s="47" t="n"/>
      <c r="Y2765" s="47" t="n"/>
      <c r="Z2765" s="47" t="n"/>
      <c r="AA2765" s="47" t="n"/>
      <c r="AB2765" s="47" t="n"/>
      <c r="AC2765" s="47" t="n"/>
      <c r="AD2765" s="47" t="n"/>
      <c r="AE2765" s="47" t="n"/>
      <c r="AF2765" s="20">
        <f>IF(A2765="","",YEAR(EDATE(A2765,-3)))</f>
        <v/>
      </c>
      <c r="AG2765" s="20">
        <f>IF(OR(B2765="",'経歴簿'!$C$4=""),"",IF(B2765&amp;""='経歴簿'!$C$4&amp;"",MAX($AG$4:AG2764)+1,""))</f>
        <v/>
      </c>
      <c r="AH2765" s="20">
        <f>IF(A2765="",0,IF(AND(OR('CSV抽出'!$C$4="",A2765&gt;='CSV抽出'!$C$4),OR('CSV抽出'!$C$5="",A2765&lt;='CSV抽出'!$C$5),OR('CSV抽出'!$C$6="すべて",'CSV抽出'!$C$6="",D2765='CSV抽出'!$C$6),OR('CSV抽出'!$C$7="",B2765&amp;""='CSV抽出'!$C$7&amp;"")),1,0))</f>
        <v/>
      </c>
      <c r="AI2765" s="20">
        <f>IF(AH2765=1,SUM($AH$5:AH2765),"")</f>
        <v/>
      </c>
      <c r="AJ2765" s="20">
        <f>IF(OR(S2765="",'報告書'!$C$4=""),"",IF(S2765&amp;""='報告書'!$C$4&amp;"",COUNTIF($S$5:S2765,'報告書'!$C$4),""))</f>
        <v/>
      </c>
      <c r="AK2765" s="20" t="n"/>
      <c r="AL2765" s="47" t="n"/>
      <c r="AM2765" s="47" t="n"/>
      <c r="AN2765" s="53" t="n"/>
      <c r="AO2765" s="47" t="n"/>
      <c r="AP2765" s="47" t="n"/>
      <c r="AQ2765" s="47" t="n"/>
      <c r="AR2765" s="47" t="n"/>
      <c r="AS2765" s="47" t="n"/>
      <c r="AT2765" s="47" t="n"/>
      <c r="AU2765" s="47" t="n"/>
      <c r="AV2765" s="47" t="n"/>
      <c r="AW2765" s="52" t="n"/>
    </row>
    <row r="2766">
      <c r="A2766" s="48" t="n"/>
      <c r="B2766" s="52" t="n"/>
      <c r="C2766" s="47">
        <f>IF(B2766="","",IFERROR(INDEX('隊員マスタ'!$B$5:$B$204,MATCH(B2766&amp;"",'隊員マスタ'!$F$5:$F$204,0)),IF(AK2766="","番号なし",AK2766)))</f>
        <v/>
      </c>
      <c r="D2766" s="47" t="n"/>
      <c r="E2766" s="47" t="n"/>
      <c r="F2766" s="47" t="n"/>
      <c r="G2766" s="47" t="n"/>
      <c r="H2766" s="47" t="n"/>
      <c r="I2766" s="47" t="n"/>
      <c r="J2766" s="47" t="n"/>
      <c r="K2766" s="47" t="n"/>
      <c r="L2766" s="47" t="n"/>
      <c r="M2766" s="47" t="n"/>
      <c r="N2766" s="47" t="n"/>
      <c r="O2766" s="47" t="n"/>
      <c r="P2766" s="47" t="n"/>
      <c r="Q2766" s="47" t="n"/>
      <c r="R2766" s="47" t="n"/>
      <c r="S2766" s="47" t="n"/>
      <c r="T2766" s="47" t="n"/>
      <c r="U2766" s="53" t="n"/>
      <c r="V2766" s="53" t="n"/>
      <c r="W2766" s="47" t="n"/>
      <c r="X2766" s="47" t="n"/>
      <c r="Y2766" s="47" t="n"/>
      <c r="Z2766" s="47" t="n"/>
      <c r="AA2766" s="47" t="n"/>
      <c r="AB2766" s="47" t="n"/>
      <c r="AC2766" s="47" t="n"/>
      <c r="AD2766" s="47" t="n"/>
      <c r="AE2766" s="47" t="n"/>
      <c r="AF2766" s="20">
        <f>IF(A2766="","",YEAR(EDATE(A2766,-3)))</f>
        <v/>
      </c>
      <c r="AG2766" s="20">
        <f>IF(OR(B2766="",'経歴簿'!$C$4=""),"",IF(B2766&amp;""='経歴簿'!$C$4&amp;"",MAX($AG$4:AG2765)+1,""))</f>
        <v/>
      </c>
      <c r="AH2766" s="20">
        <f>IF(A2766="",0,IF(AND(OR('CSV抽出'!$C$4="",A2766&gt;='CSV抽出'!$C$4),OR('CSV抽出'!$C$5="",A2766&lt;='CSV抽出'!$C$5),OR('CSV抽出'!$C$6="すべて",'CSV抽出'!$C$6="",D2766='CSV抽出'!$C$6),OR('CSV抽出'!$C$7="",B2766&amp;""='CSV抽出'!$C$7&amp;"")),1,0))</f>
        <v/>
      </c>
      <c r="AI2766" s="20">
        <f>IF(AH2766=1,SUM($AH$5:AH2766),"")</f>
        <v/>
      </c>
      <c r="AJ2766" s="20">
        <f>IF(OR(S2766="",'報告書'!$C$4=""),"",IF(S2766&amp;""='報告書'!$C$4&amp;"",COUNTIF($S$5:S2766,'報告書'!$C$4),""))</f>
        <v/>
      </c>
      <c r="AK2766" s="20" t="n"/>
      <c r="AL2766" s="47" t="n"/>
      <c r="AM2766" s="47" t="n"/>
      <c r="AN2766" s="53" t="n"/>
      <c r="AO2766" s="47" t="n"/>
      <c r="AP2766" s="47" t="n"/>
      <c r="AQ2766" s="47" t="n"/>
      <c r="AR2766" s="47" t="n"/>
      <c r="AS2766" s="47" t="n"/>
      <c r="AT2766" s="47" t="n"/>
      <c r="AU2766" s="47" t="n"/>
      <c r="AV2766" s="47" t="n"/>
      <c r="AW2766" s="52" t="n"/>
    </row>
    <row r="2767">
      <c r="A2767" s="48" t="n"/>
      <c r="B2767" s="52" t="n"/>
      <c r="C2767" s="47">
        <f>IF(B2767="","",IFERROR(INDEX('隊員マスタ'!$B$5:$B$204,MATCH(B2767&amp;"",'隊員マスタ'!$F$5:$F$204,0)),IF(AK2767="","番号なし",AK2767)))</f>
        <v/>
      </c>
      <c r="D2767" s="47" t="n"/>
      <c r="E2767" s="47" t="n"/>
      <c r="F2767" s="47" t="n"/>
      <c r="G2767" s="47" t="n"/>
      <c r="H2767" s="47" t="n"/>
      <c r="I2767" s="47" t="n"/>
      <c r="J2767" s="47" t="n"/>
      <c r="K2767" s="47" t="n"/>
      <c r="L2767" s="47" t="n"/>
      <c r="M2767" s="47" t="n"/>
      <c r="N2767" s="47" t="n"/>
      <c r="O2767" s="47" t="n"/>
      <c r="P2767" s="47" t="n"/>
      <c r="Q2767" s="47" t="n"/>
      <c r="R2767" s="47" t="n"/>
      <c r="S2767" s="47" t="n"/>
      <c r="T2767" s="47" t="n"/>
      <c r="U2767" s="53" t="n"/>
      <c r="V2767" s="53" t="n"/>
      <c r="W2767" s="47" t="n"/>
      <c r="X2767" s="47" t="n"/>
      <c r="Y2767" s="47" t="n"/>
      <c r="Z2767" s="47" t="n"/>
      <c r="AA2767" s="47" t="n"/>
      <c r="AB2767" s="47" t="n"/>
      <c r="AC2767" s="47" t="n"/>
      <c r="AD2767" s="47" t="n"/>
      <c r="AE2767" s="47" t="n"/>
      <c r="AF2767" s="20">
        <f>IF(A2767="","",YEAR(EDATE(A2767,-3)))</f>
        <v/>
      </c>
      <c r="AG2767" s="20">
        <f>IF(OR(B2767="",'経歴簿'!$C$4=""),"",IF(B2767&amp;""='経歴簿'!$C$4&amp;"",MAX($AG$4:AG2766)+1,""))</f>
        <v/>
      </c>
      <c r="AH2767" s="20">
        <f>IF(A2767="",0,IF(AND(OR('CSV抽出'!$C$4="",A2767&gt;='CSV抽出'!$C$4),OR('CSV抽出'!$C$5="",A2767&lt;='CSV抽出'!$C$5),OR('CSV抽出'!$C$6="すべて",'CSV抽出'!$C$6="",D2767='CSV抽出'!$C$6),OR('CSV抽出'!$C$7="",B2767&amp;""='CSV抽出'!$C$7&amp;"")),1,0))</f>
        <v/>
      </c>
      <c r="AI2767" s="20">
        <f>IF(AH2767=1,SUM($AH$5:AH2767),"")</f>
        <v/>
      </c>
      <c r="AJ2767" s="20">
        <f>IF(OR(S2767="",'報告書'!$C$4=""),"",IF(S2767&amp;""='報告書'!$C$4&amp;"",COUNTIF($S$5:S2767,'報告書'!$C$4),""))</f>
        <v/>
      </c>
      <c r="AK2767" s="20" t="n"/>
      <c r="AL2767" s="47" t="n"/>
      <c r="AM2767" s="47" t="n"/>
      <c r="AN2767" s="53" t="n"/>
      <c r="AO2767" s="47" t="n"/>
      <c r="AP2767" s="47" t="n"/>
      <c r="AQ2767" s="47" t="n"/>
      <c r="AR2767" s="47" t="n"/>
      <c r="AS2767" s="47" t="n"/>
      <c r="AT2767" s="47" t="n"/>
      <c r="AU2767" s="47" t="n"/>
      <c r="AV2767" s="47" t="n"/>
      <c r="AW2767" s="52" t="n"/>
    </row>
    <row r="2768">
      <c r="A2768" s="48" t="n"/>
      <c r="B2768" s="52" t="n"/>
      <c r="C2768" s="47">
        <f>IF(B2768="","",IFERROR(INDEX('隊員マスタ'!$B$5:$B$204,MATCH(B2768&amp;"",'隊員マスタ'!$F$5:$F$204,0)),IF(AK2768="","番号なし",AK2768)))</f>
        <v/>
      </c>
      <c r="D2768" s="47" t="n"/>
      <c r="E2768" s="47" t="n"/>
      <c r="F2768" s="47" t="n"/>
      <c r="G2768" s="47" t="n"/>
      <c r="H2768" s="47" t="n"/>
      <c r="I2768" s="47" t="n"/>
      <c r="J2768" s="47" t="n"/>
      <c r="K2768" s="47" t="n"/>
      <c r="L2768" s="47" t="n"/>
      <c r="M2768" s="47" t="n"/>
      <c r="N2768" s="47" t="n"/>
      <c r="O2768" s="47" t="n"/>
      <c r="P2768" s="47" t="n"/>
      <c r="Q2768" s="47" t="n"/>
      <c r="R2768" s="47" t="n"/>
      <c r="S2768" s="47" t="n"/>
      <c r="T2768" s="47" t="n"/>
      <c r="U2768" s="53" t="n"/>
      <c r="V2768" s="53" t="n"/>
      <c r="W2768" s="47" t="n"/>
      <c r="X2768" s="47" t="n"/>
      <c r="Y2768" s="47" t="n"/>
      <c r="Z2768" s="47" t="n"/>
      <c r="AA2768" s="47" t="n"/>
      <c r="AB2768" s="47" t="n"/>
      <c r="AC2768" s="47" t="n"/>
      <c r="AD2768" s="47" t="n"/>
      <c r="AE2768" s="47" t="n"/>
      <c r="AF2768" s="20">
        <f>IF(A2768="","",YEAR(EDATE(A2768,-3)))</f>
        <v/>
      </c>
      <c r="AG2768" s="20">
        <f>IF(OR(B2768="",'経歴簿'!$C$4=""),"",IF(B2768&amp;""='経歴簿'!$C$4&amp;"",MAX($AG$4:AG2767)+1,""))</f>
        <v/>
      </c>
      <c r="AH2768" s="20">
        <f>IF(A2768="",0,IF(AND(OR('CSV抽出'!$C$4="",A2768&gt;='CSV抽出'!$C$4),OR('CSV抽出'!$C$5="",A2768&lt;='CSV抽出'!$C$5),OR('CSV抽出'!$C$6="すべて",'CSV抽出'!$C$6="",D2768='CSV抽出'!$C$6),OR('CSV抽出'!$C$7="",B2768&amp;""='CSV抽出'!$C$7&amp;"")),1,0))</f>
        <v/>
      </c>
      <c r="AI2768" s="20">
        <f>IF(AH2768=1,SUM($AH$5:AH2768),"")</f>
        <v/>
      </c>
      <c r="AJ2768" s="20">
        <f>IF(OR(S2768="",'報告書'!$C$4=""),"",IF(S2768&amp;""='報告書'!$C$4&amp;"",COUNTIF($S$5:S2768,'報告書'!$C$4),""))</f>
        <v/>
      </c>
      <c r="AK2768" s="20" t="n"/>
      <c r="AL2768" s="47" t="n"/>
      <c r="AM2768" s="47" t="n"/>
      <c r="AN2768" s="53" t="n"/>
      <c r="AO2768" s="47" t="n"/>
      <c r="AP2768" s="47" t="n"/>
      <c r="AQ2768" s="47" t="n"/>
      <c r="AR2768" s="47" t="n"/>
      <c r="AS2768" s="47" t="n"/>
      <c r="AT2768" s="47" t="n"/>
      <c r="AU2768" s="47" t="n"/>
      <c r="AV2768" s="47" t="n"/>
      <c r="AW2768" s="52" t="n"/>
    </row>
    <row r="2769">
      <c r="A2769" s="48" t="n"/>
      <c r="B2769" s="52" t="n"/>
      <c r="C2769" s="47">
        <f>IF(B2769="","",IFERROR(INDEX('隊員マスタ'!$B$5:$B$204,MATCH(B2769&amp;"",'隊員マスタ'!$F$5:$F$204,0)),IF(AK2769="","番号なし",AK2769)))</f>
        <v/>
      </c>
      <c r="D2769" s="47" t="n"/>
      <c r="E2769" s="47" t="n"/>
      <c r="F2769" s="47" t="n"/>
      <c r="G2769" s="47" t="n"/>
      <c r="H2769" s="47" t="n"/>
      <c r="I2769" s="47" t="n"/>
      <c r="J2769" s="47" t="n"/>
      <c r="K2769" s="47" t="n"/>
      <c r="L2769" s="47" t="n"/>
      <c r="M2769" s="47" t="n"/>
      <c r="N2769" s="47" t="n"/>
      <c r="O2769" s="47" t="n"/>
      <c r="P2769" s="47" t="n"/>
      <c r="Q2769" s="47" t="n"/>
      <c r="R2769" s="47" t="n"/>
      <c r="S2769" s="47" t="n"/>
      <c r="T2769" s="47" t="n"/>
      <c r="U2769" s="53" t="n"/>
      <c r="V2769" s="53" t="n"/>
      <c r="W2769" s="47" t="n"/>
      <c r="X2769" s="47" t="n"/>
      <c r="Y2769" s="47" t="n"/>
      <c r="Z2769" s="47" t="n"/>
      <c r="AA2769" s="47" t="n"/>
      <c r="AB2769" s="47" t="n"/>
      <c r="AC2769" s="47" t="n"/>
      <c r="AD2769" s="47" t="n"/>
      <c r="AE2769" s="47" t="n"/>
      <c r="AF2769" s="20">
        <f>IF(A2769="","",YEAR(EDATE(A2769,-3)))</f>
        <v/>
      </c>
      <c r="AG2769" s="20">
        <f>IF(OR(B2769="",'経歴簿'!$C$4=""),"",IF(B2769&amp;""='経歴簿'!$C$4&amp;"",MAX($AG$4:AG2768)+1,""))</f>
        <v/>
      </c>
      <c r="AH2769" s="20">
        <f>IF(A2769="",0,IF(AND(OR('CSV抽出'!$C$4="",A2769&gt;='CSV抽出'!$C$4),OR('CSV抽出'!$C$5="",A2769&lt;='CSV抽出'!$C$5),OR('CSV抽出'!$C$6="すべて",'CSV抽出'!$C$6="",D2769='CSV抽出'!$C$6),OR('CSV抽出'!$C$7="",B2769&amp;""='CSV抽出'!$C$7&amp;"")),1,0))</f>
        <v/>
      </c>
      <c r="AI2769" s="20">
        <f>IF(AH2769=1,SUM($AH$5:AH2769),"")</f>
        <v/>
      </c>
      <c r="AJ2769" s="20">
        <f>IF(OR(S2769="",'報告書'!$C$4=""),"",IF(S2769&amp;""='報告書'!$C$4&amp;"",COUNTIF($S$5:S2769,'報告書'!$C$4),""))</f>
        <v/>
      </c>
      <c r="AK2769" s="20" t="n"/>
      <c r="AL2769" s="47" t="n"/>
      <c r="AM2769" s="47" t="n"/>
      <c r="AN2769" s="53" t="n"/>
      <c r="AO2769" s="47" t="n"/>
      <c r="AP2769" s="47" t="n"/>
      <c r="AQ2769" s="47" t="n"/>
      <c r="AR2769" s="47" t="n"/>
      <c r="AS2769" s="47" t="n"/>
      <c r="AT2769" s="47" t="n"/>
      <c r="AU2769" s="47" t="n"/>
      <c r="AV2769" s="47" t="n"/>
      <c r="AW2769" s="52" t="n"/>
    </row>
    <row r="2770">
      <c r="A2770" s="48" t="n"/>
      <c r="B2770" s="52" t="n"/>
      <c r="C2770" s="47">
        <f>IF(B2770="","",IFERROR(INDEX('隊員マスタ'!$B$5:$B$204,MATCH(B2770&amp;"",'隊員マスタ'!$F$5:$F$204,0)),IF(AK2770="","番号なし",AK2770)))</f>
        <v/>
      </c>
      <c r="D2770" s="47" t="n"/>
      <c r="E2770" s="47" t="n"/>
      <c r="F2770" s="47" t="n"/>
      <c r="G2770" s="47" t="n"/>
      <c r="H2770" s="47" t="n"/>
      <c r="I2770" s="47" t="n"/>
      <c r="J2770" s="47" t="n"/>
      <c r="K2770" s="47" t="n"/>
      <c r="L2770" s="47" t="n"/>
      <c r="M2770" s="47" t="n"/>
      <c r="N2770" s="47" t="n"/>
      <c r="O2770" s="47" t="n"/>
      <c r="P2770" s="47" t="n"/>
      <c r="Q2770" s="47" t="n"/>
      <c r="R2770" s="47" t="n"/>
      <c r="S2770" s="47" t="n"/>
      <c r="T2770" s="47" t="n"/>
      <c r="U2770" s="53" t="n"/>
      <c r="V2770" s="53" t="n"/>
      <c r="W2770" s="47" t="n"/>
      <c r="X2770" s="47" t="n"/>
      <c r="Y2770" s="47" t="n"/>
      <c r="Z2770" s="47" t="n"/>
      <c r="AA2770" s="47" t="n"/>
      <c r="AB2770" s="47" t="n"/>
      <c r="AC2770" s="47" t="n"/>
      <c r="AD2770" s="47" t="n"/>
      <c r="AE2770" s="47" t="n"/>
      <c r="AF2770" s="20">
        <f>IF(A2770="","",YEAR(EDATE(A2770,-3)))</f>
        <v/>
      </c>
      <c r="AG2770" s="20">
        <f>IF(OR(B2770="",'経歴簿'!$C$4=""),"",IF(B2770&amp;""='経歴簿'!$C$4&amp;"",MAX($AG$4:AG2769)+1,""))</f>
        <v/>
      </c>
      <c r="AH2770" s="20">
        <f>IF(A2770="",0,IF(AND(OR('CSV抽出'!$C$4="",A2770&gt;='CSV抽出'!$C$4),OR('CSV抽出'!$C$5="",A2770&lt;='CSV抽出'!$C$5),OR('CSV抽出'!$C$6="すべて",'CSV抽出'!$C$6="",D2770='CSV抽出'!$C$6),OR('CSV抽出'!$C$7="",B2770&amp;""='CSV抽出'!$C$7&amp;"")),1,0))</f>
        <v/>
      </c>
      <c r="AI2770" s="20">
        <f>IF(AH2770=1,SUM($AH$5:AH2770),"")</f>
        <v/>
      </c>
      <c r="AJ2770" s="20">
        <f>IF(OR(S2770="",'報告書'!$C$4=""),"",IF(S2770&amp;""='報告書'!$C$4&amp;"",COUNTIF($S$5:S2770,'報告書'!$C$4),""))</f>
        <v/>
      </c>
      <c r="AK2770" s="20" t="n"/>
      <c r="AL2770" s="47" t="n"/>
      <c r="AM2770" s="47" t="n"/>
      <c r="AN2770" s="53" t="n"/>
      <c r="AO2770" s="47" t="n"/>
      <c r="AP2770" s="47" t="n"/>
      <c r="AQ2770" s="47" t="n"/>
      <c r="AR2770" s="47" t="n"/>
      <c r="AS2770" s="47" t="n"/>
      <c r="AT2770" s="47" t="n"/>
      <c r="AU2770" s="47" t="n"/>
      <c r="AV2770" s="47" t="n"/>
      <c r="AW2770" s="52" t="n"/>
    </row>
    <row r="2771">
      <c r="A2771" s="48" t="n"/>
      <c r="B2771" s="52" t="n"/>
      <c r="C2771" s="47">
        <f>IF(B2771="","",IFERROR(INDEX('隊員マスタ'!$B$5:$B$204,MATCH(B2771&amp;"",'隊員マスタ'!$F$5:$F$204,0)),IF(AK2771="","番号なし",AK2771)))</f>
        <v/>
      </c>
      <c r="D2771" s="47" t="n"/>
      <c r="E2771" s="47" t="n"/>
      <c r="F2771" s="47" t="n"/>
      <c r="G2771" s="47" t="n"/>
      <c r="H2771" s="47" t="n"/>
      <c r="I2771" s="47" t="n"/>
      <c r="J2771" s="47" t="n"/>
      <c r="K2771" s="47" t="n"/>
      <c r="L2771" s="47" t="n"/>
      <c r="M2771" s="47" t="n"/>
      <c r="N2771" s="47" t="n"/>
      <c r="O2771" s="47" t="n"/>
      <c r="P2771" s="47" t="n"/>
      <c r="Q2771" s="47" t="n"/>
      <c r="R2771" s="47" t="n"/>
      <c r="S2771" s="47" t="n"/>
      <c r="T2771" s="47" t="n"/>
      <c r="U2771" s="53" t="n"/>
      <c r="V2771" s="53" t="n"/>
      <c r="W2771" s="47" t="n"/>
      <c r="X2771" s="47" t="n"/>
      <c r="Y2771" s="47" t="n"/>
      <c r="Z2771" s="47" t="n"/>
      <c r="AA2771" s="47" t="n"/>
      <c r="AB2771" s="47" t="n"/>
      <c r="AC2771" s="47" t="n"/>
      <c r="AD2771" s="47" t="n"/>
      <c r="AE2771" s="47" t="n"/>
      <c r="AF2771" s="20">
        <f>IF(A2771="","",YEAR(EDATE(A2771,-3)))</f>
        <v/>
      </c>
      <c r="AG2771" s="20">
        <f>IF(OR(B2771="",'経歴簿'!$C$4=""),"",IF(B2771&amp;""='経歴簿'!$C$4&amp;"",MAX($AG$4:AG2770)+1,""))</f>
        <v/>
      </c>
      <c r="AH2771" s="20">
        <f>IF(A2771="",0,IF(AND(OR('CSV抽出'!$C$4="",A2771&gt;='CSV抽出'!$C$4),OR('CSV抽出'!$C$5="",A2771&lt;='CSV抽出'!$C$5),OR('CSV抽出'!$C$6="すべて",'CSV抽出'!$C$6="",D2771='CSV抽出'!$C$6),OR('CSV抽出'!$C$7="",B2771&amp;""='CSV抽出'!$C$7&amp;"")),1,0))</f>
        <v/>
      </c>
      <c r="AI2771" s="20">
        <f>IF(AH2771=1,SUM($AH$5:AH2771),"")</f>
        <v/>
      </c>
      <c r="AJ2771" s="20">
        <f>IF(OR(S2771="",'報告書'!$C$4=""),"",IF(S2771&amp;""='報告書'!$C$4&amp;"",COUNTIF($S$5:S2771,'報告書'!$C$4),""))</f>
        <v/>
      </c>
      <c r="AK2771" s="20" t="n"/>
      <c r="AL2771" s="47" t="n"/>
      <c r="AM2771" s="47" t="n"/>
      <c r="AN2771" s="53" t="n"/>
      <c r="AO2771" s="47" t="n"/>
      <c r="AP2771" s="47" t="n"/>
      <c r="AQ2771" s="47" t="n"/>
      <c r="AR2771" s="47" t="n"/>
      <c r="AS2771" s="47" t="n"/>
      <c r="AT2771" s="47" t="n"/>
      <c r="AU2771" s="47" t="n"/>
      <c r="AV2771" s="47" t="n"/>
      <c r="AW2771" s="52" t="n"/>
    </row>
    <row r="2772">
      <c r="A2772" s="48" t="n"/>
      <c r="B2772" s="52" t="n"/>
      <c r="C2772" s="47">
        <f>IF(B2772="","",IFERROR(INDEX('隊員マスタ'!$B$5:$B$204,MATCH(B2772&amp;"",'隊員マスタ'!$F$5:$F$204,0)),IF(AK2772="","番号なし",AK2772)))</f>
        <v/>
      </c>
      <c r="D2772" s="47" t="n"/>
      <c r="E2772" s="47" t="n"/>
      <c r="F2772" s="47" t="n"/>
      <c r="G2772" s="47" t="n"/>
      <c r="H2772" s="47" t="n"/>
      <c r="I2772" s="47" t="n"/>
      <c r="J2772" s="47" t="n"/>
      <c r="K2772" s="47" t="n"/>
      <c r="L2772" s="47" t="n"/>
      <c r="M2772" s="47" t="n"/>
      <c r="N2772" s="47" t="n"/>
      <c r="O2772" s="47" t="n"/>
      <c r="P2772" s="47" t="n"/>
      <c r="Q2772" s="47" t="n"/>
      <c r="R2772" s="47" t="n"/>
      <c r="S2772" s="47" t="n"/>
      <c r="T2772" s="47" t="n"/>
      <c r="U2772" s="53" t="n"/>
      <c r="V2772" s="53" t="n"/>
      <c r="W2772" s="47" t="n"/>
      <c r="X2772" s="47" t="n"/>
      <c r="Y2772" s="47" t="n"/>
      <c r="Z2772" s="47" t="n"/>
      <c r="AA2772" s="47" t="n"/>
      <c r="AB2772" s="47" t="n"/>
      <c r="AC2772" s="47" t="n"/>
      <c r="AD2772" s="47" t="n"/>
      <c r="AE2772" s="47" t="n"/>
      <c r="AF2772" s="20">
        <f>IF(A2772="","",YEAR(EDATE(A2772,-3)))</f>
        <v/>
      </c>
      <c r="AG2772" s="20">
        <f>IF(OR(B2772="",'経歴簿'!$C$4=""),"",IF(B2772&amp;""='経歴簿'!$C$4&amp;"",MAX($AG$4:AG2771)+1,""))</f>
        <v/>
      </c>
      <c r="AH2772" s="20">
        <f>IF(A2772="",0,IF(AND(OR('CSV抽出'!$C$4="",A2772&gt;='CSV抽出'!$C$4),OR('CSV抽出'!$C$5="",A2772&lt;='CSV抽出'!$C$5),OR('CSV抽出'!$C$6="すべて",'CSV抽出'!$C$6="",D2772='CSV抽出'!$C$6),OR('CSV抽出'!$C$7="",B2772&amp;""='CSV抽出'!$C$7&amp;"")),1,0))</f>
        <v/>
      </c>
      <c r="AI2772" s="20">
        <f>IF(AH2772=1,SUM($AH$5:AH2772),"")</f>
        <v/>
      </c>
      <c r="AJ2772" s="20">
        <f>IF(OR(S2772="",'報告書'!$C$4=""),"",IF(S2772&amp;""='報告書'!$C$4&amp;"",COUNTIF($S$5:S2772,'報告書'!$C$4),""))</f>
        <v/>
      </c>
      <c r="AK2772" s="20" t="n"/>
      <c r="AL2772" s="47" t="n"/>
      <c r="AM2772" s="47" t="n"/>
      <c r="AN2772" s="53" t="n"/>
      <c r="AO2772" s="47" t="n"/>
      <c r="AP2772" s="47" t="n"/>
      <c r="AQ2772" s="47" t="n"/>
      <c r="AR2772" s="47" t="n"/>
      <c r="AS2772" s="47" t="n"/>
      <c r="AT2772" s="47" t="n"/>
      <c r="AU2772" s="47" t="n"/>
      <c r="AV2772" s="47" t="n"/>
      <c r="AW2772" s="52" t="n"/>
    </row>
    <row r="2773">
      <c r="A2773" s="48" t="n"/>
      <c r="B2773" s="52" t="n"/>
      <c r="C2773" s="47">
        <f>IF(B2773="","",IFERROR(INDEX('隊員マスタ'!$B$5:$B$204,MATCH(B2773&amp;"",'隊員マスタ'!$F$5:$F$204,0)),IF(AK2773="","番号なし",AK2773)))</f>
        <v/>
      </c>
      <c r="D2773" s="47" t="n"/>
      <c r="E2773" s="47" t="n"/>
      <c r="F2773" s="47" t="n"/>
      <c r="G2773" s="47" t="n"/>
      <c r="H2773" s="47" t="n"/>
      <c r="I2773" s="47" t="n"/>
      <c r="J2773" s="47" t="n"/>
      <c r="K2773" s="47" t="n"/>
      <c r="L2773" s="47" t="n"/>
      <c r="M2773" s="47" t="n"/>
      <c r="N2773" s="47" t="n"/>
      <c r="O2773" s="47" t="n"/>
      <c r="P2773" s="47" t="n"/>
      <c r="Q2773" s="47" t="n"/>
      <c r="R2773" s="47" t="n"/>
      <c r="S2773" s="47" t="n"/>
      <c r="T2773" s="47" t="n"/>
      <c r="U2773" s="53" t="n"/>
      <c r="V2773" s="53" t="n"/>
      <c r="W2773" s="47" t="n"/>
      <c r="X2773" s="47" t="n"/>
      <c r="Y2773" s="47" t="n"/>
      <c r="Z2773" s="47" t="n"/>
      <c r="AA2773" s="47" t="n"/>
      <c r="AB2773" s="47" t="n"/>
      <c r="AC2773" s="47" t="n"/>
      <c r="AD2773" s="47" t="n"/>
      <c r="AE2773" s="47" t="n"/>
      <c r="AF2773" s="20">
        <f>IF(A2773="","",YEAR(EDATE(A2773,-3)))</f>
        <v/>
      </c>
      <c r="AG2773" s="20">
        <f>IF(OR(B2773="",'経歴簿'!$C$4=""),"",IF(B2773&amp;""='経歴簿'!$C$4&amp;"",MAX($AG$4:AG2772)+1,""))</f>
        <v/>
      </c>
      <c r="AH2773" s="20">
        <f>IF(A2773="",0,IF(AND(OR('CSV抽出'!$C$4="",A2773&gt;='CSV抽出'!$C$4),OR('CSV抽出'!$C$5="",A2773&lt;='CSV抽出'!$C$5),OR('CSV抽出'!$C$6="すべて",'CSV抽出'!$C$6="",D2773='CSV抽出'!$C$6),OR('CSV抽出'!$C$7="",B2773&amp;""='CSV抽出'!$C$7&amp;"")),1,0))</f>
        <v/>
      </c>
      <c r="AI2773" s="20">
        <f>IF(AH2773=1,SUM($AH$5:AH2773),"")</f>
        <v/>
      </c>
      <c r="AJ2773" s="20">
        <f>IF(OR(S2773="",'報告書'!$C$4=""),"",IF(S2773&amp;""='報告書'!$C$4&amp;"",COUNTIF($S$5:S2773,'報告書'!$C$4),""))</f>
        <v/>
      </c>
      <c r="AK2773" s="20" t="n"/>
      <c r="AL2773" s="47" t="n"/>
      <c r="AM2773" s="47" t="n"/>
      <c r="AN2773" s="53" t="n"/>
      <c r="AO2773" s="47" t="n"/>
      <c r="AP2773" s="47" t="n"/>
      <c r="AQ2773" s="47" t="n"/>
      <c r="AR2773" s="47" t="n"/>
      <c r="AS2773" s="47" t="n"/>
      <c r="AT2773" s="47" t="n"/>
      <c r="AU2773" s="47" t="n"/>
      <c r="AV2773" s="47" t="n"/>
      <c r="AW2773" s="52" t="n"/>
    </row>
    <row r="2774">
      <c r="A2774" s="48" t="n"/>
      <c r="B2774" s="52" t="n"/>
      <c r="C2774" s="47">
        <f>IF(B2774="","",IFERROR(INDEX('隊員マスタ'!$B$5:$B$204,MATCH(B2774&amp;"",'隊員マスタ'!$F$5:$F$204,0)),IF(AK2774="","番号なし",AK2774)))</f>
        <v/>
      </c>
      <c r="D2774" s="47" t="n"/>
      <c r="E2774" s="47" t="n"/>
      <c r="F2774" s="47" t="n"/>
      <c r="G2774" s="47" t="n"/>
      <c r="H2774" s="47" t="n"/>
      <c r="I2774" s="47" t="n"/>
      <c r="J2774" s="47" t="n"/>
      <c r="K2774" s="47" t="n"/>
      <c r="L2774" s="47" t="n"/>
      <c r="M2774" s="47" t="n"/>
      <c r="N2774" s="47" t="n"/>
      <c r="O2774" s="47" t="n"/>
      <c r="P2774" s="47" t="n"/>
      <c r="Q2774" s="47" t="n"/>
      <c r="R2774" s="47" t="n"/>
      <c r="S2774" s="47" t="n"/>
      <c r="T2774" s="47" t="n"/>
      <c r="U2774" s="53" t="n"/>
      <c r="V2774" s="53" t="n"/>
      <c r="W2774" s="47" t="n"/>
      <c r="X2774" s="47" t="n"/>
      <c r="Y2774" s="47" t="n"/>
      <c r="Z2774" s="47" t="n"/>
      <c r="AA2774" s="47" t="n"/>
      <c r="AB2774" s="47" t="n"/>
      <c r="AC2774" s="47" t="n"/>
      <c r="AD2774" s="47" t="n"/>
      <c r="AE2774" s="47" t="n"/>
      <c r="AF2774" s="20">
        <f>IF(A2774="","",YEAR(EDATE(A2774,-3)))</f>
        <v/>
      </c>
      <c r="AG2774" s="20">
        <f>IF(OR(B2774="",'経歴簿'!$C$4=""),"",IF(B2774&amp;""='経歴簿'!$C$4&amp;"",MAX($AG$4:AG2773)+1,""))</f>
        <v/>
      </c>
      <c r="AH2774" s="20">
        <f>IF(A2774="",0,IF(AND(OR('CSV抽出'!$C$4="",A2774&gt;='CSV抽出'!$C$4),OR('CSV抽出'!$C$5="",A2774&lt;='CSV抽出'!$C$5),OR('CSV抽出'!$C$6="すべて",'CSV抽出'!$C$6="",D2774='CSV抽出'!$C$6),OR('CSV抽出'!$C$7="",B2774&amp;""='CSV抽出'!$C$7&amp;"")),1,0))</f>
        <v/>
      </c>
      <c r="AI2774" s="20">
        <f>IF(AH2774=1,SUM($AH$5:AH2774),"")</f>
        <v/>
      </c>
      <c r="AJ2774" s="20">
        <f>IF(OR(S2774="",'報告書'!$C$4=""),"",IF(S2774&amp;""='報告書'!$C$4&amp;"",COUNTIF($S$5:S2774,'報告書'!$C$4),""))</f>
        <v/>
      </c>
      <c r="AK2774" s="20" t="n"/>
      <c r="AL2774" s="47" t="n"/>
      <c r="AM2774" s="47" t="n"/>
      <c r="AN2774" s="53" t="n"/>
      <c r="AO2774" s="47" t="n"/>
      <c r="AP2774" s="47" t="n"/>
      <c r="AQ2774" s="47" t="n"/>
      <c r="AR2774" s="47" t="n"/>
      <c r="AS2774" s="47" t="n"/>
      <c r="AT2774" s="47" t="n"/>
      <c r="AU2774" s="47" t="n"/>
      <c r="AV2774" s="47" t="n"/>
      <c r="AW2774" s="52" t="n"/>
    </row>
    <row r="2775">
      <c r="A2775" s="48" t="n"/>
      <c r="B2775" s="52" t="n"/>
      <c r="C2775" s="47">
        <f>IF(B2775="","",IFERROR(INDEX('隊員マスタ'!$B$5:$B$204,MATCH(B2775&amp;"",'隊員マスタ'!$F$5:$F$204,0)),IF(AK2775="","番号なし",AK2775)))</f>
        <v/>
      </c>
      <c r="D2775" s="47" t="n"/>
      <c r="E2775" s="47" t="n"/>
      <c r="F2775" s="47" t="n"/>
      <c r="G2775" s="47" t="n"/>
      <c r="H2775" s="47" t="n"/>
      <c r="I2775" s="47" t="n"/>
      <c r="J2775" s="47" t="n"/>
      <c r="K2775" s="47" t="n"/>
      <c r="L2775" s="47" t="n"/>
      <c r="M2775" s="47" t="n"/>
      <c r="N2775" s="47" t="n"/>
      <c r="O2775" s="47" t="n"/>
      <c r="P2775" s="47" t="n"/>
      <c r="Q2775" s="47" t="n"/>
      <c r="R2775" s="47" t="n"/>
      <c r="S2775" s="47" t="n"/>
      <c r="T2775" s="47" t="n"/>
      <c r="U2775" s="53" t="n"/>
      <c r="V2775" s="53" t="n"/>
      <c r="W2775" s="47" t="n"/>
      <c r="X2775" s="47" t="n"/>
      <c r="Y2775" s="47" t="n"/>
      <c r="Z2775" s="47" t="n"/>
      <c r="AA2775" s="47" t="n"/>
      <c r="AB2775" s="47" t="n"/>
      <c r="AC2775" s="47" t="n"/>
      <c r="AD2775" s="47" t="n"/>
      <c r="AE2775" s="47" t="n"/>
      <c r="AF2775" s="20">
        <f>IF(A2775="","",YEAR(EDATE(A2775,-3)))</f>
        <v/>
      </c>
      <c r="AG2775" s="20">
        <f>IF(OR(B2775="",'経歴簿'!$C$4=""),"",IF(B2775&amp;""='経歴簿'!$C$4&amp;"",MAX($AG$4:AG2774)+1,""))</f>
        <v/>
      </c>
      <c r="AH2775" s="20">
        <f>IF(A2775="",0,IF(AND(OR('CSV抽出'!$C$4="",A2775&gt;='CSV抽出'!$C$4),OR('CSV抽出'!$C$5="",A2775&lt;='CSV抽出'!$C$5),OR('CSV抽出'!$C$6="すべて",'CSV抽出'!$C$6="",D2775='CSV抽出'!$C$6),OR('CSV抽出'!$C$7="",B2775&amp;""='CSV抽出'!$C$7&amp;"")),1,0))</f>
        <v/>
      </c>
      <c r="AI2775" s="20">
        <f>IF(AH2775=1,SUM($AH$5:AH2775),"")</f>
        <v/>
      </c>
      <c r="AJ2775" s="20">
        <f>IF(OR(S2775="",'報告書'!$C$4=""),"",IF(S2775&amp;""='報告書'!$C$4&amp;"",COUNTIF($S$5:S2775,'報告書'!$C$4),""))</f>
        <v/>
      </c>
      <c r="AK2775" s="20" t="n"/>
      <c r="AL2775" s="47" t="n"/>
      <c r="AM2775" s="47" t="n"/>
      <c r="AN2775" s="53" t="n"/>
      <c r="AO2775" s="47" t="n"/>
      <c r="AP2775" s="47" t="n"/>
      <c r="AQ2775" s="47" t="n"/>
      <c r="AR2775" s="47" t="n"/>
      <c r="AS2775" s="47" t="n"/>
      <c r="AT2775" s="47" t="n"/>
      <c r="AU2775" s="47" t="n"/>
      <c r="AV2775" s="47" t="n"/>
      <c r="AW2775" s="52" t="n"/>
    </row>
    <row r="2776">
      <c r="A2776" s="48" t="n"/>
      <c r="B2776" s="52" t="n"/>
      <c r="C2776" s="47">
        <f>IF(B2776="","",IFERROR(INDEX('隊員マスタ'!$B$5:$B$204,MATCH(B2776&amp;"",'隊員マスタ'!$F$5:$F$204,0)),IF(AK2776="","番号なし",AK2776)))</f>
        <v/>
      </c>
      <c r="D2776" s="47" t="n"/>
      <c r="E2776" s="47" t="n"/>
      <c r="F2776" s="47" t="n"/>
      <c r="G2776" s="47" t="n"/>
      <c r="H2776" s="47" t="n"/>
      <c r="I2776" s="47" t="n"/>
      <c r="J2776" s="47" t="n"/>
      <c r="K2776" s="47" t="n"/>
      <c r="L2776" s="47" t="n"/>
      <c r="M2776" s="47" t="n"/>
      <c r="N2776" s="47" t="n"/>
      <c r="O2776" s="47" t="n"/>
      <c r="P2776" s="47" t="n"/>
      <c r="Q2776" s="47" t="n"/>
      <c r="R2776" s="47" t="n"/>
      <c r="S2776" s="47" t="n"/>
      <c r="T2776" s="47" t="n"/>
      <c r="U2776" s="53" t="n"/>
      <c r="V2776" s="53" t="n"/>
      <c r="W2776" s="47" t="n"/>
      <c r="X2776" s="47" t="n"/>
      <c r="Y2776" s="47" t="n"/>
      <c r="Z2776" s="47" t="n"/>
      <c r="AA2776" s="47" t="n"/>
      <c r="AB2776" s="47" t="n"/>
      <c r="AC2776" s="47" t="n"/>
      <c r="AD2776" s="47" t="n"/>
      <c r="AE2776" s="47" t="n"/>
      <c r="AF2776" s="20">
        <f>IF(A2776="","",YEAR(EDATE(A2776,-3)))</f>
        <v/>
      </c>
      <c r="AG2776" s="20">
        <f>IF(OR(B2776="",'経歴簿'!$C$4=""),"",IF(B2776&amp;""='経歴簿'!$C$4&amp;"",MAX($AG$4:AG2775)+1,""))</f>
        <v/>
      </c>
      <c r="AH2776" s="20">
        <f>IF(A2776="",0,IF(AND(OR('CSV抽出'!$C$4="",A2776&gt;='CSV抽出'!$C$4),OR('CSV抽出'!$C$5="",A2776&lt;='CSV抽出'!$C$5),OR('CSV抽出'!$C$6="すべて",'CSV抽出'!$C$6="",D2776='CSV抽出'!$C$6),OR('CSV抽出'!$C$7="",B2776&amp;""='CSV抽出'!$C$7&amp;"")),1,0))</f>
        <v/>
      </c>
      <c r="AI2776" s="20">
        <f>IF(AH2776=1,SUM($AH$5:AH2776),"")</f>
        <v/>
      </c>
      <c r="AJ2776" s="20">
        <f>IF(OR(S2776="",'報告書'!$C$4=""),"",IF(S2776&amp;""='報告書'!$C$4&amp;"",COUNTIF($S$5:S2776,'報告書'!$C$4),""))</f>
        <v/>
      </c>
      <c r="AK2776" s="20" t="n"/>
      <c r="AL2776" s="47" t="n"/>
      <c r="AM2776" s="47" t="n"/>
      <c r="AN2776" s="53" t="n"/>
      <c r="AO2776" s="47" t="n"/>
      <c r="AP2776" s="47" t="n"/>
      <c r="AQ2776" s="47" t="n"/>
      <c r="AR2776" s="47" t="n"/>
      <c r="AS2776" s="47" t="n"/>
      <c r="AT2776" s="47" t="n"/>
      <c r="AU2776" s="47" t="n"/>
      <c r="AV2776" s="47" t="n"/>
      <c r="AW2776" s="52" t="n"/>
    </row>
    <row r="2777">
      <c r="A2777" s="48" t="n"/>
      <c r="B2777" s="52" t="n"/>
      <c r="C2777" s="47">
        <f>IF(B2777="","",IFERROR(INDEX('隊員マスタ'!$B$5:$B$204,MATCH(B2777&amp;"",'隊員マスタ'!$F$5:$F$204,0)),IF(AK2777="","番号なし",AK2777)))</f>
        <v/>
      </c>
      <c r="D2777" s="47" t="n"/>
      <c r="E2777" s="47" t="n"/>
      <c r="F2777" s="47" t="n"/>
      <c r="G2777" s="47" t="n"/>
      <c r="H2777" s="47" t="n"/>
      <c r="I2777" s="47" t="n"/>
      <c r="J2777" s="47" t="n"/>
      <c r="K2777" s="47" t="n"/>
      <c r="L2777" s="47" t="n"/>
      <c r="M2777" s="47" t="n"/>
      <c r="N2777" s="47" t="n"/>
      <c r="O2777" s="47" t="n"/>
      <c r="P2777" s="47" t="n"/>
      <c r="Q2777" s="47" t="n"/>
      <c r="R2777" s="47" t="n"/>
      <c r="S2777" s="47" t="n"/>
      <c r="T2777" s="47" t="n"/>
      <c r="U2777" s="53" t="n"/>
      <c r="V2777" s="53" t="n"/>
      <c r="W2777" s="47" t="n"/>
      <c r="X2777" s="47" t="n"/>
      <c r="Y2777" s="47" t="n"/>
      <c r="Z2777" s="47" t="n"/>
      <c r="AA2777" s="47" t="n"/>
      <c r="AB2777" s="47" t="n"/>
      <c r="AC2777" s="47" t="n"/>
      <c r="AD2777" s="47" t="n"/>
      <c r="AE2777" s="47" t="n"/>
      <c r="AF2777" s="20">
        <f>IF(A2777="","",YEAR(EDATE(A2777,-3)))</f>
        <v/>
      </c>
      <c r="AG2777" s="20">
        <f>IF(OR(B2777="",'経歴簿'!$C$4=""),"",IF(B2777&amp;""='経歴簿'!$C$4&amp;"",MAX($AG$4:AG2776)+1,""))</f>
        <v/>
      </c>
      <c r="AH2777" s="20">
        <f>IF(A2777="",0,IF(AND(OR('CSV抽出'!$C$4="",A2777&gt;='CSV抽出'!$C$4),OR('CSV抽出'!$C$5="",A2777&lt;='CSV抽出'!$C$5),OR('CSV抽出'!$C$6="すべて",'CSV抽出'!$C$6="",D2777='CSV抽出'!$C$6),OR('CSV抽出'!$C$7="",B2777&amp;""='CSV抽出'!$C$7&amp;"")),1,0))</f>
        <v/>
      </c>
      <c r="AI2777" s="20">
        <f>IF(AH2777=1,SUM($AH$5:AH2777),"")</f>
        <v/>
      </c>
      <c r="AJ2777" s="20">
        <f>IF(OR(S2777="",'報告書'!$C$4=""),"",IF(S2777&amp;""='報告書'!$C$4&amp;"",COUNTIF($S$5:S2777,'報告書'!$C$4),""))</f>
        <v/>
      </c>
      <c r="AK2777" s="20" t="n"/>
      <c r="AL2777" s="47" t="n"/>
      <c r="AM2777" s="47" t="n"/>
      <c r="AN2777" s="53" t="n"/>
      <c r="AO2777" s="47" t="n"/>
      <c r="AP2777" s="47" t="n"/>
      <c r="AQ2777" s="47" t="n"/>
      <c r="AR2777" s="47" t="n"/>
      <c r="AS2777" s="47" t="n"/>
      <c r="AT2777" s="47" t="n"/>
      <c r="AU2777" s="47" t="n"/>
      <c r="AV2777" s="47" t="n"/>
      <c r="AW2777" s="52" t="n"/>
    </row>
    <row r="2778">
      <c r="A2778" s="48" t="n"/>
      <c r="B2778" s="52" t="n"/>
      <c r="C2778" s="47">
        <f>IF(B2778="","",IFERROR(INDEX('隊員マスタ'!$B$5:$B$204,MATCH(B2778&amp;"",'隊員マスタ'!$F$5:$F$204,0)),IF(AK2778="","番号なし",AK2778)))</f>
        <v/>
      </c>
      <c r="D2778" s="47" t="n"/>
      <c r="E2778" s="47" t="n"/>
      <c r="F2778" s="47" t="n"/>
      <c r="G2778" s="47" t="n"/>
      <c r="H2778" s="47" t="n"/>
      <c r="I2778" s="47" t="n"/>
      <c r="J2778" s="47" t="n"/>
      <c r="K2778" s="47" t="n"/>
      <c r="L2778" s="47" t="n"/>
      <c r="M2778" s="47" t="n"/>
      <c r="N2778" s="47" t="n"/>
      <c r="O2778" s="47" t="n"/>
      <c r="P2778" s="47" t="n"/>
      <c r="Q2778" s="47" t="n"/>
      <c r="R2778" s="47" t="n"/>
      <c r="S2778" s="47" t="n"/>
      <c r="T2778" s="47" t="n"/>
      <c r="U2778" s="53" t="n"/>
      <c r="V2778" s="53" t="n"/>
      <c r="W2778" s="47" t="n"/>
      <c r="X2778" s="47" t="n"/>
      <c r="Y2778" s="47" t="n"/>
      <c r="Z2778" s="47" t="n"/>
      <c r="AA2778" s="47" t="n"/>
      <c r="AB2778" s="47" t="n"/>
      <c r="AC2778" s="47" t="n"/>
      <c r="AD2778" s="47" t="n"/>
      <c r="AE2778" s="47" t="n"/>
      <c r="AF2778" s="20">
        <f>IF(A2778="","",YEAR(EDATE(A2778,-3)))</f>
        <v/>
      </c>
      <c r="AG2778" s="20">
        <f>IF(OR(B2778="",'経歴簿'!$C$4=""),"",IF(B2778&amp;""='経歴簿'!$C$4&amp;"",MAX($AG$4:AG2777)+1,""))</f>
        <v/>
      </c>
      <c r="AH2778" s="20">
        <f>IF(A2778="",0,IF(AND(OR('CSV抽出'!$C$4="",A2778&gt;='CSV抽出'!$C$4),OR('CSV抽出'!$C$5="",A2778&lt;='CSV抽出'!$C$5),OR('CSV抽出'!$C$6="すべて",'CSV抽出'!$C$6="",D2778='CSV抽出'!$C$6),OR('CSV抽出'!$C$7="",B2778&amp;""='CSV抽出'!$C$7&amp;"")),1,0))</f>
        <v/>
      </c>
      <c r="AI2778" s="20">
        <f>IF(AH2778=1,SUM($AH$5:AH2778),"")</f>
        <v/>
      </c>
      <c r="AJ2778" s="20">
        <f>IF(OR(S2778="",'報告書'!$C$4=""),"",IF(S2778&amp;""='報告書'!$C$4&amp;"",COUNTIF($S$5:S2778,'報告書'!$C$4),""))</f>
        <v/>
      </c>
      <c r="AK2778" s="20" t="n"/>
      <c r="AL2778" s="47" t="n"/>
      <c r="AM2778" s="47" t="n"/>
      <c r="AN2778" s="53" t="n"/>
      <c r="AO2778" s="47" t="n"/>
      <c r="AP2778" s="47" t="n"/>
      <c r="AQ2778" s="47" t="n"/>
      <c r="AR2778" s="47" t="n"/>
      <c r="AS2778" s="47" t="n"/>
      <c r="AT2778" s="47" t="n"/>
      <c r="AU2778" s="47" t="n"/>
      <c r="AV2778" s="47" t="n"/>
      <c r="AW2778" s="52" t="n"/>
    </row>
    <row r="2779">
      <c r="A2779" s="48" t="n"/>
      <c r="B2779" s="52" t="n"/>
      <c r="C2779" s="47">
        <f>IF(B2779="","",IFERROR(INDEX('隊員マスタ'!$B$5:$B$204,MATCH(B2779&amp;"",'隊員マスタ'!$F$5:$F$204,0)),IF(AK2779="","番号なし",AK2779)))</f>
        <v/>
      </c>
      <c r="D2779" s="47" t="n"/>
      <c r="E2779" s="47" t="n"/>
      <c r="F2779" s="47" t="n"/>
      <c r="G2779" s="47" t="n"/>
      <c r="H2779" s="47" t="n"/>
      <c r="I2779" s="47" t="n"/>
      <c r="J2779" s="47" t="n"/>
      <c r="K2779" s="47" t="n"/>
      <c r="L2779" s="47" t="n"/>
      <c r="M2779" s="47" t="n"/>
      <c r="N2779" s="47" t="n"/>
      <c r="O2779" s="47" t="n"/>
      <c r="P2779" s="47" t="n"/>
      <c r="Q2779" s="47" t="n"/>
      <c r="R2779" s="47" t="n"/>
      <c r="S2779" s="47" t="n"/>
      <c r="T2779" s="47" t="n"/>
      <c r="U2779" s="53" t="n"/>
      <c r="V2779" s="53" t="n"/>
      <c r="W2779" s="47" t="n"/>
      <c r="X2779" s="47" t="n"/>
      <c r="Y2779" s="47" t="n"/>
      <c r="Z2779" s="47" t="n"/>
      <c r="AA2779" s="47" t="n"/>
      <c r="AB2779" s="47" t="n"/>
      <c r="AC2779" s="47" t="n"/>
      <c r="AD2779" s="47" t="n"/>
      <c r="AE2779" s="47" t="n"/>
      <c r="AF2779" s="20">
        <f>IF(A2779="","",YEAR(EDATE(A2779,-3)))</f>
        <v/>
      </c>
      <c r="AG2779" s="20">
        <f>IF(OR(B2779="",'経歴簿'!$C$4=""),"",IF(B2779&amp;""='経歴簿'!$C$4&amp;"",MAX($AG$4:AG2778)+1,""))</f>
        <v/>
      </c>
      <c r="AH2779" s="20">
        <f>IF(A2779="",0,IF(AND(OR('CSV抽出'!$C$4="",A2779&gt;='CSV抽出'!$C$4),OR('CSV抽出'!$C$5="",A2779&lt;='CSV抽出'!$C$5),OR('CSV抽出'!$C$6="すべて",'CSV抽出'!$C$6="",D2779='CSV抽出'!$C$6),OR('CSV抽出'!$C$7="",B2779&amp;""='CSV抽出'!$C$7&amp;"")),1,0))</f>
        <v/>
      </c>
      <c r="AI2779" s="20">
        <f>IF(AH2779=1,SUM($AH$5:AH2779),"")</f>
        <v/>
      </c>
      <c r="AJ2779" s="20">
        <f>IF(OR(S2779="",'報告書'!$C$4=""),"",IF(S2779&amp;""='報告書'!$C$4&amp;"",COUNTIF($S$5:S2779,'報告書'!$C$4),""))</f>
        <v/>
      </c>
      <c r="AK2779" s="20" t="n"/>
      <c r="AL2779" s="47" t="n"/>
      <c r="AM2779" s="47" t="n"/>
      <c r="AN2779" s="53" t="n"/>
      <c r="AO2779" s="47" t="n"/>
      <c r="AP2779" s="47" t="n"/>
      <c r="AQ2779" s="47" t="n"/>
      <c r="AR2779" s="47" t="n"/>
      <c r="AS2779" s="47" t="n"/>
      <c r="AT2779" s="47" t="n"/>
      <c r="AU2779" s="47" t="n"/>
      <c r="AV2779" s="47" t="n"/>
      <c r="AW2779" s="52" t="n"/>
    </row>
    <row r="2780">
      <c r="A2780" s="48" t="n"/>
      <c r="B2780" s="52" t="n"/>
      <c r="C2780" s="47">
        <f>IF(B2780="","",IFERROR(INDEX('隊員マスタ'!$B$5:$B$204,MATCH(B2780&amp;"",'隊員マスタ'!$F$5:$F$204,0)),IF(AK2780="","番号なし",AK2780)))</f>
        <v/>
      </c>
      <c r="D2780" s="47" t="n"/>
      <c r="E2780" s="47" t="n"/>
      <c r="F2780" s="47" t="n"/>
      <c r="G2780" s="47" t="n"/>
      <c r="H2780" s="47" t="n"/>
      <c r="I2780" s="47" t="n"/>
      <c r="J2780" s="47" t="n"/>
      <c r="K2780" s="47" t="n"/>
      <c r="L2780" s="47" t="n"/>
      <c r="M2780" s="47" t="n"/>
      <c r="N2780" s="47" t="n"/>
      <c r="O2780" s="47" t="n"/>
      <c r="P2780" s="47" t="n"/>
      <c r="Q2780" s="47" t="n"/>
      <c r="R2780" s="47" t="n"/>
      <c r="S2780" s="47" t="n"/>
      <c r="T2780" s="47" t="n"/>
      <c r="U2780" s="53" t="n"/>
      <c r="V2780" s="53" t="n"/>
      <c r="W2780" s="47" t="n"/>
      <c r="X2780" s="47" t="n"/>
      <c r="Y2780" s="47" t="n"/>
      <c r="Z2780" s="47" t="n"/>
      <c r="AA2780" s="47" t="n"/>
      <c r="AB2780" s="47" t="n"/>
      <c r="AC2780" s="47" t="n"/>
      <c r="AD2780" s="47" t="n"/>
      <c r="AE2780" s="47" t="n"/>
      <c r="AF2780" s="20">
        <f>IF(A2780="","",YEAR(EDATE(A2780,-3)))</f>
        <v/>
      </c>
      <c r="AG2780" s="20">
        <f>IF(OR(B2780="",'経歴簿'!$C$4=""),"",IF(B2780&amp;""='経歴簿'!$C$4&amp;"",MAX($AG$4:AG2779)+1,""))</f>
        <v/>
      </c>
      <c r="AH2780" s="20">
        <f>IF(A2780="",0,IF(AND(OR('CSV抽出'!$C$4="",A2780&gt;='CSV抽出'!$C$4),OR('CSV抽出'!$C$5="",A2780&lt;='CSV抽出'!$C$5),OR('CSV抽出'!$C$6="すべて",'CSV抽出'!$C$6="",D2780='CSV抽出'!$C$6),OR('CSV抽出'!$C$7="",B2780&amp;""='CSV抽出'!$C$7&amp;"")),1,0))</f>
        <v/>
      </c>
      <c r="AI2780" s="20">
        <f>IF(AH2780=1,SUM($AH$5:AH2780),"")</f>
        <v/>
      </c>
      <c r="AJ2780" s="20">
        <f>IF(OR(S2780="",'報告書'!$C$4=""),"",IF(S2780&amp;""='報告書'!$C$4&amp;"",COUNTIF($S$5:S2780,'報告書'!$C$4),""))</f>
        <v/>
      </c>
      <c r="AK2780" s="20" t="n"/>
      <c r="AL2780" s="47" t="n"/>
      <c r="AM2780" s="47" t="n"/>
      <c r="AN2780" s="53" t="n"/>
      <c r="AO2780" s="47" t="n"/>
      <c r="AP2780" s="47" t="n"/>
      <c r="AQ2780" s="47" t="n"/>
      <c r="AR2780" s="47" t="n"/>
      <c r="AS2780" s="47" t="n"/>
      <c r="AT2780" s="47" t="n"/>
      <c r="AU2780" s="47" t="n"/>
      <c r="AV2780" s="47" t="n"/>
      <c r="AW2780" s="52" t="n"/>
    </row>
    <row r="2781">
      <c r="A2781" s="48" t="n"/>
      <c r="B2781" s="52" t="n"/>
      <c r="C2781" s="47">
        <f>IF(B2781="","",IFERROR(INDEX('隊員マスタ'!$B$5:$B$204,MATCH(B2781&amp;"",'隊員マスタ'!$F$5:$F$204,0)),IF(AK2781="","番号なし",AK2781)))</f>
        <v/>
      </c>
      <c r="D2781" s="47" t="n"/>
      <c r="E2781" s="47" t="n"/>
      <c r="F2781" s="47" t="n"/>
      <c r="G2781" s="47" t="n"/>
      <c r="H2781" s="47" t="n"/>
      <c r="I2781" s="47" t="n"/>
      <c r="J2781" s="47" t="n"/>
      <c r="K2781" s="47" t="n"/>
      <c r="L2781" s="47" t="n"/>
      <c r="M2781" s="47" t="n"/>
      <c r="N2781" s="47" t="n"/>
      <c r="O2781" s="47" t="n"/>
      <c r="P2781" s="47" t="n"/>
      <c r="Q2781" s="47" t="n"/>
      <c r="R2781" s="47" t="n"/>
      <c r="S2781" s="47" t="n"/>
      <c r="T2781" s="47" t="n"/>
      <c r="U2781" s="53" t="n"/>
      <c r="V2781" s="53" t="n"/>
      <c r="W2781" s="47" t="n"/>
      <c r="X2781" s="47" t="n"/>
      <c r="Y2781" s="47" t="n"/>
      <c r="Z2781" s="47" t="n"/>
      <c r="AA2781" s="47" t="n"/>
      <c r="AB2781" s="47" t="n"/>
      <c r="AC2781" s="47" t="n"/>
      <c r="AD2781" s="47" t="n"/>
      <c r="AE2781" s="47" t="n"/>
      <c r="AF2781" s="20">
        <f>IF(A2781="","",YEAR(EDATE(A2781,-3)))</f>
        <v/>
      </c>
      <c r="AG2781" s="20">
        <f>IF(OR(B2781="",'経歴簿'!$C$4=""),"",IF(B2781&amp;""='経歴簿'!$C$4&amp;"",MAX($AG$4:AG2780)+1,""))</f>
        <v/>
      </c>
      <c r="AH2781" s="20">
        <f>IF(A2781="",0,IF(AND(OR('CSV抽出'!$C$4="",A2781&gt;='CSV抽出'!$C$4),OR('CSV抽出'!$C$5="",A2781&lt;='CSV抽出'!$C$5),OR('CSV抽出'!$C$6="すべて",'CSV抽出'!$C$6="",D2781='CSV抽出'!$C$6),OR('CSV抽出'!$C$7="",B2781&amp;""='CSV抽出'!$C$7&amp;"")),1,0))</f>
        <v/>
      </c>
      <c r="AI2781" s="20">
        <f>IF(AH2781=1,SUM($AH$5:AH2781),"")</f>
        <v/>
      </c>
      <c r="AJ2781" s="20">
        <f>IF(OR(S2781="",'報告書'!$C$4=""),"",IF(S2781&amp;""='報告書'!$C$4&amp;"",COUNTIF($S$5:S2781,'報告書'!$C$4),""))</f>
        <v/>
      </c>
      <c r="AK2781" s="20" t="n"/>
      <c r="AL2781" s="47" t="n"/>
      <c r="AM2781" s="47" t="n"/>
      <c r="AN2781" s="53" t="n"/>
      <c r="AO2781" s="47" t="n"/>
      <c r="AP2781" s="47" t="n"/>
      <c r="AQ2781" s="47" t="n"/>
      <c r="AR2781" s="47" t="n"/>
      <c r="AS2781" s="47" t="n"/>
      <c r="AT2781" s="47" t="n"/>
      <c r="AU2781" s="47" t="n"/>
      <c r="AV2781" s="47" t="n"/>
      <c r="AW2781" s="52" t="n"/>
    </row>
    <row r="2782">
      <c r="A2782" s="48" t="n"/>
      <c r="B2782" s="52" t="n"/>
      <c r="C2782" s="47">
        <f>IF(B2782="","",IFERROR(INDEX('隊員マスタ'!$B$5:$B$204,MATCH(B2782&amp;"",'隊員マスタ'!$F$5:$F$204,0)),IF(AK2782="","番号なし",AK2782)))</f>
        <v/>
      </c>
      <c r="D2782" s="47" t="n"/>
      <c r="E2782" s="47" t="n"/>
      <c r="F2782" s="47" t="n"/>
      <c r="G2782" s="47" t="n"/>
      <c r="H2782" s="47" t="n"/>
      <c r="I2782" s="47" t="n"/>
      <c r="J2782" s="47" t="n"/>
      <c r="K2782" s="47" t="n"/>
      <c r="L2782" s="47" t="n"/>
      <c r="M2782" s="47" t="n"/>
      <c r="N2782" s="47" t="n"/>
      <c r="O2782" s="47" t="n"/>
      <c r="P2782" s="47" t="n"/>
      <c r="Q2782" s="47" t="n"/>
      <c r="R2782" s="47" t="n"/>
      <c r="S2782" s="47" t="n"/>
      <c r="T2782" s="47" t="n"/>
      <c r="U2782" s="53" t="n"/>
      <c r="V2782" s="53" t="n"/>
      <c r="W2782" s="47" t="n"/>
      <c r="X2782" s="47" t="n"/>
      <c r="Y2782" s="47" t="n"/>
      <c r="Z2782" s="47" t="n"/>
      <c r="AA2782" s="47" t="n"/>
      <c r="AB2782" s="47" t="n"/>
      <c r="AC2782" s="47" t="n"/>
      <c r="AD2782" s="47" t="n"/>
      <c r="AE2782" s="47" t="n"/>
      <c r="AF2782" s="20">
        <f>IF(A2782="","",YEAR(EDATE(A2782,-3)))</f>
        <v/>
      </c>
      <c r="AG2782" s="20">
        <f>IF(OR(B2782="",'経歴簿'!$C$4=""),"",IF(B2782&amp;""='経歴簿'!$C$4&amp;"",MAX($AG$4:AG2781)+1,""))</f>
        <v/>
      </c>
      <c r="AH2782" s="20">
        <f>IF(A2782="",0,IF(AND(OR('CSV抽出'!$C$4="",A2782&gt;='CSV抽出'!$C$4),OR('CSV抽出'!$C$5="",A2782&lt;='CSV抽出'!$C$5),OR('CSV抽出'!$C$6="すべて",'CSV抽出'!$C$6="",D2782='CSV抽出'!$C$6),OR('CSV抽出'!$C$7="",B2782&amp;""='CSV抽出'!$C$7&amp;"")),1,0))</f>
        <v/>
      </c>
      <c r="AI2782" s="20">
        <f>IF(AH2782=1,SUM($AH$5:AH2782),"")</f>
        <v/>
      </c>
      <c r="AJ2782" s="20">
        <f>IF(OR(S2782="",'報告書'!$C$4=""),"",IF(S2782&amp;""='報告書'!$C$4&amp;"",COUNTIF($S$5:S2782,'報告書'!$C$4),""))</f>
        <v/>
      </c>
      <c r="AK2782" s="20" t="n"/>
      <c r="AL2782" s="47" t="n"/>
      <c r="AM2782" s="47" t="n"/>
      <c r="AN2782" s="53" t="n"/>
      <c r="AO2782" s="47" t="n"/>
      <c r="AP2782" s="47" t="n"/>
      <c r="AQ2782" s="47" t="n"/>
      <c r="AR2782" s="47" t="n"/>
      <c r="AS2782" s="47" t="n"/>
      <c r="AT2782" s="47" t="n"/>
      <c r="AU2782" s="47" t="n"/>
      <c r="AV2782" s="47" t="n"/>
      <c r="AW2782" s="52" t="n"/>
    </row>
    <row r="2783">
      <c r="A2783" s="48" t="n"/>
      <c r="B2783" s="52" t="n"/>
      <c r="C2783" s="47">
        <f>IF(B2783="","",IFERROR(INDEX('隊員マスタ'!$B$5:$B$204,MATCH(B2783&amp;"",'隊員マスタ'!$F$5:$F$204,0)),IF(AK2783="","番号なし",AK2783)))</f>
        <v/>
      </c>
      <c r="D2783" s="47" t="n"/>
      <c r="E2783" s="47" t="n"/>
      <c r="F2783" s="47" t="n"/>
      <c r="G2783" s="47" t="n"/>
      <c r="H2783" s="47" t="n"/>
      <c r="I2783" s="47" t="n"/>
      <c r="J2783" s="47" t="n"/>
      <c r="K2783" s="47" t="n"/>
      <c r="L2783" s="47" t="n"/>
      <c r="M2783" s="47" t="n"/>
      <c r="N2783" s="47" t="n"/>
      <c r="O2783" s="47" t="n"/>
      <c r="P2783" s="47" t="n"/>
      <c r="Q2783" s="47" t="n"/>
      <c r="R2783" s="47" t="n"/>
      <c r="S2783" s="47" t="n"/>
      <c r="T2783" s="47" t="n"/>
      <c r="U2783" s="53" t="n"/>
      <c r="V2783" s="53" t="n"/>
      <c r="W2783" s="47" t="n"/>
      <c r="X2783" s="47" t="n"/>
      <c r="Y2783" s="47" t="n"/>
      <c r="Z2783" s="47" t="n"/>
      <c r="AA2783" s="47" t="n"/>
      <c r="AB2783" s="47" t="n"/>
      <c r="AC2783" s="47" t="n"/>
      <c r="AD2783" s="47" t="n"/>
      <c r="AE2783" s="47" t="n"/>
      <c r="AF2783" s="20">
        <f>IF(A2783="","",YEAR(EDATE(A2783,-3)))</f>
        <v/>
      </c>
      <c r="AG2783" s="20">
        <f>IF(OR(B2783="",'経歴簿'!$C$4=""),"",IF(B2783&amp;""='経歴簿'!$C$4&amp;"",MAX($AG$4:AG2782)+1,""))</f>
        <v/>
      </c>
      <c r="AH2783" s="20">
        <f>IF(A2783="",0,IF(AND(OR('CSV抽出'!$C$4="",A2783&gt;='CSV抽出'!$C$4),OR('CSV抽出'!$C$5="",A2783&lt;='CSV抽出'!$C$5),OR('CSV抽出'!$C$6="すべて",'CSV抽出'!$C$6="",D2783='CSV抽出'!$C$6),OR('CSV抽出'!$C$7="",B2783&amp;""='CSV抽出'!$C$7&amp;"")),1,0))</f>
        <v/>
      </c>
      <c r="AI2783" s="20">
        <f>IF(AH2783=1,SUM($AH$5:AH2783),"")</f>
        <v/>
      </c>
      <c r="AJ2783" s="20">
        <f>IF(OR(S2783="",'報告書'!$C$4=""),"",IF(S2783&amp;""='報告書'!$C$4&amp;"",COUNTIF($S$5:S2783,'報告書'!$C$4),""))</f>
        <v/>
      </c>
      <c r="AK2783" s="20" t="n"/>
      <c r="AL2783" s="47" t="n"/>
      <c r="AM2783" s="47" t="n"/>
      <c r="AN2783" s="53" t="n"/>
      <c r="AO2783" s="47" t="n"/>
      <c r="AP2783" s="47" t="n"/>
      <c r="AQ2783" s="47" t="n"/>
      <c r="AR2783" s="47" t="n"/>
      <c r="AS2783" s="47" t="n"/>
      <c r="AT2783" s="47" t="n"/>
      <c r="AU2783" s="47" t="n"/>
      <c r="AV2783" s="47" t="n"/>
      <c r="AW2783" s="52" t="n"/>
    </row>
    <row r="2784">
      <c r="A2784" s="48" t="n"/>
      <c r="B2784" s="52" t="n"/>
      <c r="C2784" s="47">
        <f>IF(B2784="","",IFERROR(INDEX('隊員マスタ'!$B$5:$B$204,MATCH(B2784&amp;"",'隊員マスタ'!$F$5:$F$204,0)),IF(AK2784="","番号なし",AK2784)))</f>
        <v/>
      </c>
      <c r="D2784" s="47" t="n"/>
      <c r="E2784" s="47" t="n"/>
      <c r="F2784" s="47" t="n"/>
      <c r="G2784" s="47" t="n"/>
      <c r="H2784" s="47" t="n"/>
      <c r="I2784" s="47" t="n"/>
      <c r="J2784" s="47" t="n"/>
      <c r="K2784" s="47" t="n"/>
      <c r="L2784" s="47" t="n"/>
      <c r="M2784" s="47" t="n"/>
      <c r="N2784" s="47" t="n"/>
      <c r="O2784" s="47" t="n"/>
      <c r="P2784" s="47" t="n"/>
      <c r="Q2784" s="47" t="n"/>
      <c r="R2784" s="47" t="n"/>
      <c r="S2784" s="47" t="n"/>
      <c r="T2784" s="47" t="n"/>
      <c r="U2784" s="53" t="n"/>
      <c r="V2784" s="53" t="n"/>
      <c r="W2784" s="47" t="n"/>
      <c r="X2784" s="47" t="n"/>
      <c r="Y2784" s="47" t="n"/>
      <c r="Z2784" s="47" t="n"/>
      <c r="AA2784" s="47" t="n"/>
      <c r="AB2784" s="47" t="n"/>
      <c r="AC2784" s="47" t="n"/>
      <c r="AD2784" s="47" t="n"/>
      <c r="AE2784" s="47" t="n"/>
      <c r="AF2784" s="20">
        <f>IF(A2784="","",YEAR(EDATE(A2784,-3)))</f>
        <v/>
      </c>
      <c r="AG2784" s="20">
        <f>IF(OR(B2784="",'経歴簿'!$C$4=""),"",IF(B2784&amp;""='経歴簿'!$C$4&amp;"",MAX($AG$4:AG2783)+1,""))</f>
        <v/>
      </c>
      <c r="AH2784" s="20">
        <f>IF(A2784="",0,IF(AND(OR('CSV抽出'!$C$4="",A2784&gt;='CSV抽出'!$C$4),OR('CSV抽出'!$C$5="",A2784&lt;='CSV抽出'!$C$5),OR('CSV抽出'!$C$6="すべて",'CSV抽出'!$C$6="",D2784='CSV抽出'!$C$6),OR('CSV抽出'!$C$7="",B2784&amp;""='CSV抽出'!$C$7&amp;"")),1,0))</f>
        <v/>
      </c>
      <c r="AI2784" s="20">
        <f>IF(AH2784=1,SUM($AH$5:AH2784),"")</f>
        <v/>
      </c>
      <c r="AJ2784" s="20">
        <f>IF(OR(S2784="",'報告書'!$C$4=""),"",IF(S2784&amp;""='報告書'!$C$4&amp;"",COUNTIF($S$5:S2784,'報告書'!$C$4),""))</f>
        <v/>
      </c>
      <c r="AK2784" s="20" t="n"/>
      <c r="AL2784" s="47" t="n"/>
      <c r="AM2784" s="47" t="n"/>
      <c r="AN2784" s="53" t="n"/>
      <c r="AO2784" s="47" t="n"/>
      <c r="AP2784" s="47" t="n"/>
      <c r="AQ2784" s="47" t="n"/>
      <c r="AR2784" s="47" t="n"/>
      <c r="AS2784" s="47" t="n"/>
      <c r="AT2784" s="47" t="n"/>
      <c r="AU2784" s="47" t="n"/>
      <c r="AV2784" s="47" t="n"/>
      <c r="AW2784" s="52" t="n"/>
    </row>
    <row r="2785">
      <c r="A2785" s="48" t="n"/>
      <c r="B2785" s="52" t="n"/>
      <c r="C2785" s="47">
        <f>IF(B2785="","",IFERROR(INDEX('隊員マスタ'!$B$5:$B$204,MATCH(B2785&amp;"",'隊員マスタ'!$F$5:$F$204,0)),IF(AK2785="","番号なし",AK2785)))</f>
        <v/>
      </c>
      <c r="D2785" s="47" t="n"/>
      <c r="E2785" s="47" t="n"/>
      <c r="F2785" s="47" t="n"/>
      <c r="G2785" s="47" t="n"/>
      <c r="H2785" s="47" t="n"/>
      <c r="I2785" s="47" t="n"/>
      <c r="J2785" s="47" t="n"/>
      <c r="K2785" s="47" t="n"/>
      <c r="L2785" s="47" t="n"/>
      <c r="M2785" s="47" t="n"/>
      <c r="N2785" s="47" t="n"/>
      <c r="O2785" s="47" t="n"/>
      <c r="P2785" s="47" t="n"/>
      <c r="Q2785" s="47" t="n"/>
      <c r="R2785" s="47" t="n"/>
      <c r="S2785" s="47" t="n"/>
      <c r="T2785" s="47" t="n"/>
      <c r="U2785" s="53" t="n"/>
      <c r="V2785" s="53" t="n"/>
      <c r="W2785" s="47" t="n"/>
      <c r="X2785" s="47" t="n"/>
      <c r="Y2785" s="47" t="n"/>
      <c r="Z2785" s="47" t="n"/>
      <c r="AA2785" s="47" t="n"/>
      <c r="AB2785" s="47" t="n"/>
      <c r="AC2785" s="47" t="n"/>
      <c r="AD2785" s="47" t="n"/>
      <c r="AE2785" s="47" t="n"/>
      <c r="AF2785" s="20">
        <f>IF(A2785="","",YEAR(EDATE(A2785,-3)))</f>
        <v/>
      </c>
      <c r="AG2785" s="20">
        <f>IF(OR(B2785="",'経歴簿'!$C$4=""),"",IF(B2785&amp;""='経歴簿'!$C$4&amp;"",MAX($AG$4:AG2784)+1,""))</f>
        <v/>
      </c>
      <c r="AH2785" s="20">
        <f>IF(A2785="",0,IF(AND(OR('CSV抽出'!$C$4="",A2785&gt;='CSV抽出'!$C$4),OR('CSV抽出'!$C$5="",A2785&lt;='CSV抽出'!$C$5),OR('CSV抽出'!$C$6="すべて",'CSV抽出'!$C$6="",D2785='CSV抽出'!$C$6),OR('CSV抽出'!$C$7="",B2785&amp;""='CSV抽出'!$C$7&amp;"")),1,0))</f>
        <v/>
      </c>
      <c r="AI2785" s="20">
        <f>IF(AH2785=1,SUM($AH$5:AH2785),"")</f>
        <v/>
      </c>
      <c r="AJ2785" s="20">
        <f>IF(OR(S2785="",'報告書'!$C$4=""),"",IF(S2785&amp;""='報告書'!$C$4&amp;"",COUNTIF($S$5:S2785,'報告書'!$C$4),""))</f>
        <v/>
      </c>
      <c r="AK2785" s="20" t="n"/>
      <c r="AL2785" s="47" t="n"/>
      <c r="AM2785" s="47" t="n"/>
      <c r="AN2785" s="53" t="n"/>
      <c r="AO2785" s="47" t="n"/>
      <c r="AP2785" s="47" t="n"/>
      <c r="AQ2785" s="47" t="n"/>
      <c r="AR2785" s="47" t="n"/>
      <c r="AS2785" s="47" t="n"/>
      <c r="AT2785" s="47" t="n"/>
      <c r="AU2785" s="47" t="n"/>
      <c r="AV2785" s="47" t="n"/>
      <c r="AW2785" s="52" t="n"/>
    </row>
    <row r="2786">
      <c r="A2786" s="48" t="n"/>
      <c r="B2786" s="52" t="n"/>
      <c r="C2786" s="47">
        <f>IF(B2786="","",IFERROR(INDEX('隊員マスタ'!$B$5:$B$204,MATCH(B2786&amp;"",'隊員マスタ'!$F$5:$F$204,0)),IF(AK2786="","番号なし",AK2786)))</f>
        <v/>
      </c>
      <c r="D2786" s="47" t="n"/>
      <c r="E2786" s="47" t="n"/>
      <c r="F2786" s="47" t="n"/>
      <c r="G2786" s="47" t="n"/>
      <c r="H2786" s="47" t="n"/>
      <c r="I2786" s="47" t="n"/>
      <c r="J2786" s="47" t="n"/>
      <c r="K2786" s="47" t="n"/>
      <c r="L2786" s="47" t="n"/>
      <c r="M2786" s="47" t="n"/>
      <c r="N2786" s="47" t="n"/>
      <c r="O2786" s="47" t="n"/>
      <c r="P2786" s="47" t="n"/>
      <c r="Q2786" s="47" t="n"/>
      <c r="R2786" s="47" t="n"/>
      <c r="S2786" s="47" t="n"/>
      <c r="T2786" s="47" t="n"/>
      <c r="U2786" s="53" t="n"/>
      <c r="V2786" s="53" t="n"/>
      <c r="W2786" s="47" t="n"/>
      <c r="X2786" s="47" t="n"/>
      <c r="Y2786" s="47" t="n"/>
      <c r="Z2786" s="47" t="n"/>
      <c r="AA2786" s="47" t="n"/>
      <c r="AB2786" s="47" t="n"/>
      <c r="AC2786" s="47" t="n"/>
      <c r="AD2786" s="47" t="n"/>
      <c r="AE2786" s="47" t="n"/>
      <c r="AF2786" s="20">
        <f>IF(A2786="","",YEAR(EDATE(A2786,-3)))</f>
        <v/>
      </c>
      <c r="AG2786" s="20">
        <f>IF(OR(B2786="",'経歴簿'!$C$4=""),"",IF(B2786&amp;""='経歴簿'!$C$4&amp;"",MAX($AG$4:AG2785)+1,""))</f>
        <v/>
      </c>
      <c r="AH2786" s="20">
        <f>IF(A2786="",0,IF(AND(OR('CSV抽出'!$C$4="",A2786&gt;='CSV抽出'!$C$4),OR('CSV抽出'!$C$5="",A2786&lt;='CSV抽出'!$C$5),OR('CSV抽出'!$C$6="すべて",'CSV抽出'!$C$6="",D2786='CSV抽出'!$C$6),OR('CSV抽出'!$C$7="",B2786&amp;""='CSV抽出'!$C$7&amp;"")),1,0))</f>
        <v/>
      </c>
      <c r="AI2786" s="20">
        <f>IF(AH2786=1,SUM($AH$5:AH2786),"")</f>
        <v/>
      </c>
      <c r="AJ2786" s="20">
        <f>IF(OR(S2786="",'報告書'!$C$4=""),"",IF(S2786&amp;""='報告書'!$C$4&amp;"",COUNTIF($S$5:S2786,'報告書'!$C$4),""))</f>
        <v/>
      </c>
      <c r="AK2786" s="20" t="n"/>
      <c r="AL2786" s="47" t="n"/>
      <c r="AM2786" s="47" t="n"/>
      <c r="AN2786" s="53" t="n"/>
      <c r="AO2786" s="47" t="n"/>
      <c r="AP2786" s="47" t="n"/>
      <c r="AQ2786" s="47" t="n"/>
      <c r="AR2786" s="47" t="n"/>
      <c r="AS2786" s="47" t="n"/>
      <c r="AT2786" s="47" t="n"/>
      <c r="AU2786" s="47" t="n"/>
      <c r="AV2786" s="47" t="n"/>
      <c r="AW2786" s="52" t="n"/>
    </row>
    <row r="2787">
      <c r="A2787" s="48" t="n"/>
      <c r="B2787" s="52" t="n"/>
      <c r="C2787" s="47">
        <f>IF(B2787="","",IFERROR(INDEX('隊員マスタ'!$B$5:$B$204,MATCH(B2787&amp;"",'隊員マスタ'!$F$5:$F$204,0)),IF(AK2787="","番号なし",AK2787)))</f>
        <v/>
      </c>
      <c r="D2787" s="47" t="n"/>
      <c r="E2787" s="47" t="n"/>
      <c r="F2787" s="47" t="n"/>
      <c r="G2787" s="47" t="n"/>
      <c r="H2787" s="47" t="n"/>
      <c r="I2787" s="47" t="n"/>
      <c r="J2787" s="47" t="n"/>
      <c r="K2787" s="47" t="n"/>
      <c r="L2787" s="47" t="n"/>
      <c r="M2787" s="47" t="n"/>
      <c r="N2787" s="47" t="n"/>
      <c r="O2787" s="47" t="n"/>
      <c r="P2787" s="47" t="n"/>
      <c r="Q2787" s="47" t="n"/>
      <c r="R2787" s="47" t="n"/>
      <c r="S2787" s="47" t="n"/>
      <c r="T2787" s="47" t="n"/>
      <c r="U2787" s="53" t="n"/>
      <c r="V2787" s="53" t="n"/>
      <c r="W2787" s="47" t="n"/>
      <c r="X2787" s="47" t="n"/>
      <c r="Y2787" s="47" t="n"/>
      <c r="Z2787" s="47" t="n"/>
      <c r="AA2787" s="47" t="n"/>
      <c r="AB2787" s="47" t="n"/>
      <c r="AC2787" s="47" t="n"/>
      <c r="AD2787" s="47" t="n"/>
      <c r="AE2787" s="47" t="n"/>
      <c r="AF2787" s="20">
        <f>IF(A2787="","",YEAR(EDATE(A2787,-3)))</f>
        <v/>
      </c>
      <c r="AG2787" s="20">
        <f>IF(OR(B2787="",'経歴簿'!$C$4=""),"",IF(B2787&amp;""='経歴簿'!$C$4&amp;"",MAX($AG$4:AG2786)+1,""))</f>
        <v/>
      </c>
      <c r="AH2787" s="20">
        <f>IF(A2787="",0,IF(AND(OR('CSV抽出'!$C$4="",A2787&gt;='CSV抽出'!$C$4),OR('CSV抽出'!$C$5="",A2787&lt;='CSV抽出'!$C$5),OR('CSV抽出'!$C$6="すべて",'CSV抽出'!$C$6="",D2787='CSV抽出'!$C$6),OR('CSV抽出'!$C$7="",B2787&amp;""='CSV抽出'!$C$7&amp;"")),1,0))</f>
        <v/>
      </c>
      <c r="AI2787" s="20">
        <f>IF(AH2787=1,SUM($AH$5:AH2787),"")</f>
        <v/>
      </c>
      <c r="AJ2787" s="20">
        <f>IF(OR(S2787="",'報告書'!$C$4=""),"",IF(S2787&amp;""='報告書'!$C$4&amp;"",COUNTIF($S$5:S2787,'報告書'!$C$4),""))</f>
        <v/>
      </c>
      <c r="AK2787" s="20" t="n"/>
      <c r="AL2787" s="47" t="n"/>
      <c r="AM2787" s="47" t="n"/>
      <c r="AN2787" s="53" t="n"/>
      <c r="AO2787" s="47" t="n"/>
      <c r="AP2787" s="47" t="n"/>
      <c r="AQ2787" s="47" t="n"/>
      <c r="AR2787" s="47" t="n"/>
      <c r="AS2787" s="47" t="n"/>
      <c r="AT2787" s="47" t="n"/>
      <c r="AU2787" s="47" t="n"/>
      <c r="AV2787" s="47" t="n"/>
      <c r="AW2787" s="52" t="n"/>
    </row>
    <row r="2788">
      <c r="A2788" s="48" t="n"/>
      <c r="B2788" s="52" t="n"/>
      <c r="C2788" s="47">
        <f>IF(B2788="","",IFERROR(INDEX('隊員マスタ'!$B$5:$B$204,MATCH(B2788&amp;"",'隊員マスタ'!$F$5:$F$204,0)),IF(AK2788="","番号なし",AK2788)))</f>
        <v/>
      </c>
      <c r="D2788" s="47" t="n"/>
      <c r="E2788" s="47" t="n"/>
      <c r="F2788" s="47" t="n"/>
      <c r="G2788" s="47" t="n"/>
      <c r="H2788" s="47" t="n"/>
      <c r="I2788" s="47" t="n"/>
      <c r="J2788" s="47" t="n"/>
      <c r="K2788" s="47" t="n"/>
      <c r="L2788" s="47" t="n"/>
      <c r="M2788" s="47" t="n"/>
      <c r="N2788" s="47" t="n"/>
      <c r="O2788" s="47" t="n"/>
      <c r="P2788" s="47" t="n"/>
      <c r="Q2788" s="47" t="n"/>
      <c r="R2788" s="47" t="n"/>
      <c r="S2788" s="47" t="n"/>
      <c r="T2788" s="47" t="n"/>
      <c r="U2788" s="53" t="n"/>
      <c r="V2788" s="53" t="n"/>
      <c r="W2788" s="47" t="n"/>
      <c r="X2788" s="47" t="n"/>
      <c r="Y2788" s="47" t="n"/>
      <c r="Z2788" s="47" t="n"/>
      <c r="AA2788" s="47" t="n"/>
      <c r="AB2788" s="47" t="n"/>
      <c r="AC2788" s="47" t="n"/>
      <c r="AD2788" s="47" t="n"/>
      <c r="AE2788" s="47" t="n"/>
      <c r="AF2788" s="20">
        <f>IF(A2788="","",YEAR(EDATE(A2788,-3)))</f>
        <v/>
      </c>
      <c r="AG2788" s="20">
        <f>IF(OR(B2788="",'経歴簿'!$C$4=""),"",IF(B2788&amp;""='経歴簿'!$C$4&amp;"",MAX($AG$4:AG2787)+1,""))</f>
        <v/>
      </c>
      <c r="AH2788" s="20">
        <f>IF(A2788="",0,IF(AND(OR('CSV抽出'!$C$4="",A2788&gt;='CSV抽出'!$C$4),OR('CSV抽出'!$C$5="",A2788&lt;='CSV抽出'!$C$5),OR('CSV抽出'!$C$6="すべて",'CSV抽出'!$C$6="",D2788='CSV抽出'!$C$6),OR('CSV抽出'!$C$7="",B2788&amp;""='CSV抽出'!$C$7&amp;"")),1,0))</f>
        <v/>
      </c>
      <c r="AI2788" s="20">
        <f>IF(AH2788=1,SUM($AH$5:AH2788),"")</f>
        <v/>
      </c>
      <c r="AJ2788" s="20">
        <f>IF(OR(S2788="",'報告書'!$C$4=""),"",IF(S2788&amp;""='報告書'!$C$4&amp;"",COUNTIF($S$5:S2788,'報告書'!$C$4),""))</f>
        <v/>
      </c>
      <c r="AK2788" s="20" t="n"/>
      <c r="AL2788" s="47" t="n"/>
      <c r="AM2788" s="47" t="n"/>
      <c r="AN2788" s="53" t="n"/>
      <c r="AO2788" s="47" t="n"/>
      <c r="AP2788" s="47" t="n"/>
      <c r="AQ2788" s="47" t="n"/>
      <c r="AR2788" s="47" t="n"/>
      <c r="AS2788" s="47" t="n"/>
      <c r="AT2788" s="47" t="n"/>
      <c r="AU2788" s="47" t="n"/>
      <c r="AV2788" s="47" t="n"/>
      <c r="AW2788" s="52" t="n"/>
    </row>
    <row r="2789">
      <c r="A2789" s="48" t="n"/>
      <c r="B2789" s="52" t="n"/>
      <c r="C2789" s="47">
        <f>IF(B2789="","",IFERROR(INDEX('隊員マスタ'!$B$5:$B$204,MATCH(B2789&amp;"",'隊員マスタ'!$F$5:$F$204,0)),IF(AK2789="","番号なし",AK2789)))</f>
        <v/>
      </c>
      <c r="D2789" s="47" t="n"/>
      <c r="E2789" s="47" t="n"/>
      <c r="F2789" s="47" t="n"/>
      <c r="G2789" s="47" t="n"/>
      <c r="H2789" s="47" t="n"/>
      <c r="I2789" s="47" t="n"/>
      <c r="J2789" s="47" t="n"/>
      <c r="K2789" s="47" t="n"/>
      <c r="L2789" s="47" t="n"/>
      <c r="M2789" s="47" t="n"/>
      <c r="N2789" s="47" t="n"/>
      <c r="O2789" s="47" t="n"/>
      <c r="P2789" s="47" t="n"/>
      <c r="Q2789" s="47" t="n"/>
      <c r="R2789" s="47" t="n"/>
      <c r="S2789" s="47" t="n"/>
      <c r="T2789" s="47" t="n"/>
      <c r="U2789" s="53" t="n"/>
      <c r="V2789" s="53" t="n"/>
      <c r="W2789" s="47" t="n"/>
      <c r="X2789" s="47" t="n"/>
      <c r="Y2789" s="47" t="n"/>
      <c r="Z2789" s="47" t="n"/>
      <c r="AA2789" s="47" t="n"/>
      <c r="AB2789" s="47" t="n"/>
      <c r="AC2789" s="47" t="n"/>
      <c r="AD2789" s="47" t="n"/>
      <c r="AE2789" s="47" t="n"/>
      <c r="AF2789" s="20">
        <f>IF(A2789="","",YEAR(EDATE(A2789,-3)))</f>
        <v/>
      </c>
      <c r="AG2789" s="20">
        <f>IF(OR(B2789="",'経歴簿'!$C$4=""),"",IF(B2789&amp;""='経歴簿'!$C$4&amp;"",MAX($AG$4:AG2788)+1,""))</f>
        <v/>
      </c>
      <c r="AH2789" s="20">
        <f>IF(A2789="",0,IF(AND(OR('CSV抽出'!$C$4="",A2789&gt;='CSV抽出'!$C$4),OR('CSV抽出'!$C$5="",A2789&lt;='CSV抽出'!$C$5),OR('CSV抽出'!$C$6="すべて",'CSV抽出'!$C$6="",D2789='CSV抽出'!$C$6),OR('CSV抽出'!$C$7="",B2789&amp;""='CSV抽出'!$C$7&amp;"")),1,0))</f>
        <v/>
      </c>
      <c r="AI2789" s="20">
        <f>IF(AH2789=1,SUM($AH$5:AH2789),"")</f>
        <v/>
      </c>
      <c r="AJ2789" s="20">
        <f>IF(OR(S2789="",'報告書'!$C$4=""),"",IF(S2789&amp;""='報告書'!$C$4&amp;"",COUNTIF($S$5:S2789,'報告書'!$C$4),""))</f>
        <v/>
      </c>
      <c r="AK2789" s="20" t="n"/>
      <c r="AL2789" s="47" t="n"/>
      <c r="AM2789" s="47" t="n"/>
      <c r="AN2789" s="53" t="n"/>
      <c r="AO2789" s="47" t="n"/>
      <c r="AP2789" s="47" t="n"/>
      <c r="AQ2789" s="47" t="n"/>
      <c r="AR2789" s="47" t="n"/>
      <c r="AS2789" s="47" t="n"/>
      <c r="AT2789" s="47" t="n"/>
      <c r="AU2789" s="47" t="n"/>
      <c r="AV2789" s="47" t="n"/>
      <c r="AW2789" s="52" t="n"/>
    </row>
    <row r="2790">
      <c r="A2790" s="48" t="n"/>
      <c r="B2790" s="52" t="n"/>
      <c r="C2790" s="47">
        <f>IF(B2790="","",IFERROR(INDEX('隊員マスタ'!$B$5:$B$204,MATCH(B2790&amp;"",'隊員マスタ'!$F$5:$F$204,0)),IF(AK2790="","番号なし",AK2790)))</f>
        <v/>
      </c>
      <c r="D2790" s="47" t="n"/>
      <c r="E2790" s="47" t="n"/>
      <c r="F2790" s="47" t="n"/>
      <c r="G2790" s="47" t="n"/>
      <c r="H2790" s="47" t="n"/>
      <c r="I2790" s="47" t="n"/>
      <c r="J2790" s="47" t="n"/>
      <c r="K2790" s="47" t="n"/>
      <c r="L2790" s="47" t="n"/>
      <c r="M2790" s="47" t="n"/>
      <c r="N2790" s="47" t="n"/>
      <c r="O2790" s="47" t="n"/>
      <c r="P2790" s="47" t="n"/>
      <c r="Q2790" s="47" t="n"/>
      <c r="R2790" s="47" t="n"/>
      <c r="S2790" s="47" t="n"/>
      <c r="T2790" s="47" t="n"/>
      <c r="U2790" s="53" t="n"/>
      <c r="V2790" s="53" t="n"/>
      <c r="W2790" s="47" t="n"/>
      <c r="X2790" s="47" t="n"/>
      <c r="Y2790" s="47" t="n"/>
      <c r="Z2790" s="47" t="n"/>
      <c r="AA2790" s="47" t="n"/>
      <c r="AB2790" s="47" t="n"/>
      <c r="AC2790" s="47" t="n"/>
      <c r="AD2790" s="47" t="n"/>
      <c r="AE2790" s="47" t="n"/>
      <c r="AF2790" s="20">
        <f>IF(A2790="","",YEAR(EDATE(A2790,-3)))</f>
        <v/>
      </c>
      <c r="AG2790" s="20">
        <f>IF(OR(B2790="",'経歴簿'!$C$4=""),"",IF(B2790&amp;""='経歴簿'!$C$4&amp;"",MAX($AG$4:AG2789)+1,""))</f>
        <v/>
      </c>
      <c r="AH2790" s="20">
        <f>IF(A2790="",0,IF(AND(OR('CSV抽出'!$C$4="",A2790&gt;='CSV抽出'!$C$4),OR('CSV抽出'!$C$5="",A2790&lt;='CSV抽出'!$C$5),OR('CSV抽出'!$C$6="すべて",'CSV抽出'!$C$6="",D2790='CSV抽出'!$C$6),OR('CSV抽出'!$C$7="",B2790&amp;""='CSV抽出'!$C$7&amp;"")),1,0))</f>
        <v/>
      </c>
      <c r="AI2790" s="20">
        <f>IF(AH2790=1,SUM($AH$5:AH2790),"")</f>
        <v/>
      </c>
      <c r="AJ2790" s="20">
        <f>IF(OR(S2790="",'報告書'!$C$4=""),"",IF(S2790&amp;""='報告書'!$C$4&amp;"",COUNTIF($S$5:S2790,'報告書'!$C$4),""))</f>
        <v/>
      </c>
      <c r="AK2790" s="20" t="n"/>
      <c r="AL2790" s="47" t="n"/>
      <c r="AM2790" s="47" t="n"/>
      <c r="AN2790" s="53" t="n"/>
      <c r="AO2790" s="47" t="n"/>
      <c r="AP2790" s="47" t="n"/>
      <c r="AQ2790" s="47" t="n"/>
      <c r="AR2790" s="47" t="n"/>
      <c r="AS2790" s="47" t="n"/>
      <c r="AT2790" s="47" t="n"/>
      <c r="AU2790" s="47" t="n"/>
      <c r="AV2790" s="47" t="n"/>
      <c r="AW2790" s="52" t="n"/>
    </row>
    <row r="2791">
      <c r="A2791" s="48" t="n"/>
      <c r="B2791" s="52" t="n"/>
      <c r="C2791" s="47">
        <f>IF(B2791="","",IFERROR(INDEX('隊員マスタ'!$B$5:$B$204,MATCH(B2791&amp;"",'隊員マスタ'!$F$5:$F$204,0)),IF(AK2791="","番号なし",AK2791)))</f>
        <v/>
      </c>
      <c r="D2791" s="47" t="n"/>
      <c r="E2791" s="47" t="n"/>
      <c r="F2791" s="47" t="n"/>
      <c r="G2791" s="47" t="n"/>
      <c r="H2791" s="47" t="n"/>
      <c r="I2791" s="47" t="n"/>
      <c r="J2791" s="47" t="n"/>
      <c r="K2791" s="47" t="n"/>
      <c r="L2791" s="47" t="n"/>
      <c r="M2791" s="47" t="n"/>
      <c r="N2791" s="47" t="n"/>
      <c r="O2791" s="47" t="n"/>
      <c r="P2791" s="47" t="n"/>
      <c r="Q2791" s="47" t="n"/>
      <c r="R2791" s="47" t="n"/>
      <c r="S2791" s="47" t="n"/>
      <c r="T2791" s="47" t="n"/>
      <c r="U2791" s="53" t="n"/>
      <c r="V2791" s="53" t="n"/>
      <c r="W2791" s="47" t="n"/>
      <c r="X2791" s="47" t="n"/>
      <c r="Y2791" s="47" t="n"/>
      <c r="Z2791" s="47" t="n"/>
      <c r="AA2791" s="47" t="n"/>
      <c r="AB2791" s="47" t="n"/>
      <c r="AC2791" s="47" t="n"/>
      <c r="AD2791" s="47" t="n"/>
      <c r="AE2791" s="47" t="n"/>
      <c r="AF2791" s="20">
        <f>IF(A2791="","",YEAR(EDATE(A2791,-3)))</f>
        <v/>
      </c>
      <c r="AG2791" s="20">
        <f>IF(OR(B2791="",'経歴簿'!$C$4=""),"",IF(B2791&amp;""='経歴簿'!$C$4&amp;"",MAX($AG$4:AG2790)+1,""))</f>
        <v/>
      </c>
      <c r="AH2791" s="20">
        <f>IF(A2791="",0,IF(AND(OR('CSV抽出'!$C$4="",A2791&gt;='CSV抽出'!$C$4),OR('CSV抽出'!$C$5="",A2791&lt;='CSV抽出'!$C$5),OR('CSV抽出'!$C$6="すべて",'CSV抽出'!$C$6="",D2791='CSV抽出'!$C$6),OR('CSV抽出'!$C$7="",B2791&amp;""='CSV抽出'!$C$7&amp;"")),1,0))</f>
        <v/>
      </c>
      <c r="AI2791" s="20">
        <f>IF(AH2791=1,SUM($AH$5:AH2791),"")</f>
        <v/>
      </c>
      <c r="AJ2791" s="20">
        <f>IF(OR(S2791="",'報告書'!$C$4=""),"",IF(S2791&amp;""='報告書'!$C$4&amp;"",COUNTIF($S$5:S2791,'報告書'!$C$4),""))</f>
        <v/>
      </c>
      <c r="AK2791" s="20" t="n"/>
      <c r="AL2791" s="47" t="n"/>
      <c r="AM2791" s="47" t="n"/>
      <c r="AN2791" s="53" t="n"/>
      <c r="AO2791" s="47" t="n"/>
      <c r="AP2791" s="47" t="n"/>
      <c r="AQ2791" s="47" t="n"/>
      <c r="AR2791" s="47" t="n"/>
      <c r="AS2791" s="47" t="n"/>
      <c r="AT2791" s="47" t="n"/>
      <c r="AU2791" s="47" t="n"/>
      <c r="AV2791" s="47" t="n"/>
      <c r="AW2791" s="52" t="n"/>
    </row>
    <row r="2792">
      <c r="A2792" s="48" t="n"/>
      <c r="B2792" s="52" t="n"/>
      <c r="C2792" s="47">
        <f>IF(B2792="","",IFERROR(INDEX('隊員マスタ'!$B$5:$B$204,MATCH(B2792&amp;"",'隊員マスタ'!$F$5:$F$204,0)),IF(AK2792="","番号なし",AK2792)))</f>
        <v/>
      </c>
      <c r="D2792" s="47" t="n"/>
      <c r="E2792" s="47" t="n"/>
      <c r="F2792" s="47" t="n"/>
      <c r="G2792" s="47" t="n"/>
      <c r="H2792" s="47" t="n"/>
      <c r="I2792" s="47" t="n"/>
      <c r="J2792" s="47" t="n"/>
      <c r="K2792" s="47" t="n"/>
      <c r="L2792" s="47" t="n"/>
      <c r="M2792" s="47" t="n"/>
      <c r="N2792" s="47" t="n"/>
      <c r="O2792" s="47" t="n"/>
      <c r="P2792" s="47" t="n"/>
      <c r="Q2792" s="47" t="n"/>
      <c r="R2792" s="47" t="n"/>
      <c r="S2792" s="47" t="n"/>
      <c r="T2792" s="47" t="n"/>
      <c r="U2792" s="53" t="n"/>
      <c r="V2792" s="53" t="n"/>
      <c r="W2792" s="47" t="n"/>
      <c r="X2792" s="47" t="n"/>
      <c r="Y2792" s="47" t="n"/>
      <c r="Z2792" s="47" t="n"/>
      <c r="AA2792" s="47" t="n"/>
      <c r="AB2792" s="47" t="n"/>
      <c r="AC2792" s="47" t="n"/>
      <c r="AD2792" s="47" t="n"/>
      <c r="AE2792" s="47" t="n"/>
      <c r="AF2792" s="20">
        <f>IF(A2792="","",YEAR(EDATE(A2792,-3)))</f>
        <v/>
      </c>
      <c r="AG2792" s="20">
        <f>IF(OR(B2792="",'経歴簿'!$C$4=""),"",IF(B2792&amp;""='経歴簿'!$C$4&amp;"",MAX($AG$4:AG2791)+1,""))</f>
        <v/>
      </c>
      <c r="AH2792" s="20">
        <f>IF(A2792="",0,IF(AND(OR('CSV抽出'!$C$4="",A2792&gt;='CSV抽出'!$C$4),OR('CSV抽出'!$C$5="",A2792&lt;='CSV抽出'!$C$5),OR('CSV抽出'!$C$6="すべて",'CSV抽出'!$C$6="",D2792='CSV抽出'!$C$6),OR('CSV抽出'!$C$7="",B2792&amp;""='CSV抽出'!$C$7&amp;"")),1,0))</f>
        <v/>
      </c>
      <c r="AI2792" s="20">
        <f>IF(AH2792=1,SUM($AH$5:AH2792),"")</f>
        <v/>
      </c>
      <c r="AJ2792" s="20">
        <f>IF(OR(S2792="",'報告書'!$C$4=""),"",IF(S2792&amp;""='報告書'!$C$4&amp;"",COUNTIF($S$5:S2792,'報告書'!$C$4),""))</f>
        <v/>
      </c>
      <c r="AK2792" s="20" t="n"/>
      <c r="AL2792" s="47" t="n"/>
      <c r="AM2792" s="47" t="n"/>
      <c r="AN2792" s="53" t="n"/>
      <c r="AO2792" s="47" t="n"/>
      <c r="AP2792" s="47" t="n"/>
      <c r="AQ2792" s="47" t="n"/>
      <c r="AR2792" s="47" t="n"/>
      <c r="AS2792" s="47" t="n"/>
      <c r="AT2792" s="47" t="n"/>
      <c r="AU2792" s="47" t="n"/>
      <c r="AV2792" s="47" t="n"/>
      <c r="AW2792" s="52" t="n"/>
    </row>
    <row r="2793">
      <c r="A2793" s="48" t="n"/>
      <c r="B2793" s="52" t="n"/>
      <c r="C2793" s="47">
        <f>IF(B2793="","",IFERROR(INDEX('隊員マスタ'!$B$5:$B$204,MATCH(B2793&amp;"",'隊員マスタ'!$F$5:$F$204,0)),IF(AK2793="","番号なし",AK2793)))</f>
        <v/>
      </c>
      <c r="D2793" s="47" t="n"/>
      <c r="E2793" s="47" t="n"/>
      <c r="F2793" s="47" t="n"/>
      <c r="G2793" s="47" t="n"/>
      <c r="H2793" s="47" t="n"/>
      <c r="I2793" s="47" t="n"/>
      <c r="J2793" s="47" t="n"/>
      <c r="K2793" s="47" t="n"/>
      <c r="L2793" s="47" t="n"/>
      <c r="M2793" s="47" t="n"/>
      <c r="N2793" s="47" t="n"/>
      <c r="O2793" s="47" t="n"/>
      <c r="P2793" s="47" t="n"/>
      <c r="Q2793" s="47" t="n"/>
      <c r="R2793" s="47" t="n"/>
      <c r="S2793" s="47" t="n"/>
      <c r="T2793" s="47" t="n"/>
      <c r="U2793" s="53" t="n"/>
      <c r="V2793" s="53" t="n"/>
      <c r="W2793" s="47" t="n"/>
      <c r="X2793" s="47" t="n"/>
      <c r="Y2793" s="47" t="n"/>
      <c r="Z2793" s="47" t="n"/>
      <c r="AA2793" s="47" t="n"/>
      <c r="AB2793" s="47" t="n"/>
      <c r="AC2793" s="47" t="n"/>
      <c r="AD2793" s="47" t="n"/>
      <c r="AE2793" s="47" t="n"/>
      <c r="AF2793" s="20">
        <f>IF(A2793="","",YEAR(EDATE(A2793,-3)))</f>
        <v/>
      </c>
      <c r="AG2793" s="20">
        <f>IF(OR(B2793="",'経歴簿'!$C$4=""),"",IF(B2793&amp;""='経歴簿'!$C$4&amp;"",MAX($AG$4:AG2792)+1,""))</f>
        <v/>
      </c>
      <c r="AH2793" s="20">
        <f>IF(A2793="",0,IF(AND(OR('CSV抽出'!$C$4="",A2793&gt;='CSV抽出'!$C$4),OR('CSV抽出'!$C$5="",A2793&lt;='CSV抽出'!$C$5),OR('CSV抽出'!$C$6="すべて",'CSV抽出'!$C$6="",D2793='CSV抽出'!$C$6),OR('CSV抽出'!$C$7="",B2793&amp;""='CSV抽出'!$C$7&amp;"")),1,0))</f>
        <v/>
      </c>
      <c r="AI2793" s="20">
        <f>IF(AH2793=1,SUM($AH$5:AH2793),"")</f>
        <v/>
      </c>
      <c r="AJ2793" s="20">
        <f>IF(OR(S2793="",'報告書'!$C$4=""),"",IF(S2793&amp;""='報告書'!$C$4&amp;"",COUNTIF($S$5:S2793,'報告書'!$C$4),""))</f>
        <v/>
      </c>
      <c r="AK2793" s="20" t="n"/>
      <c r="AL2793" s="47" t="n"/>
      <c r="AM2793" s="47" t="n"/>
      <c r="AN2793" s="53" t="n"/>
      <c r="AO2793" s="47" t="n"/>
      <c r="AP2793" s="47" t="n"/>
      <c r="AQ2793" s="47" t="n"/>
      <c r="AR2793" s="47" t="n"/>
      <c r="AS2793" s="47" t="n"/>
      <c r="AT2793" s="47" t="n"/>
      <c r="AU2793" s="47" t="n"/>
      <c r="AV2793" s="47" t="n"/>
      <c r="AW2793" s="52" t="n"/>
    </row>
    <row r="2794">
      <c r="A2794" s="48" t="n"/>
      <c r="B2794" s="52" t="n"/>
      <c r="C2794" s="47">
        <f>IF(B2794="","",IFERROR(INDEX('隊員マスタ'!$B$5:$B$204,MATCH(B2794&amp;"",'隊員マスタ'!$F$5:$F$204,0)),IF(AK2794="","番号なし",AK2794)))</f>
        <v/>
      </c>
      <c r="D2794" s="47" t="n"/>
      <c r="E2794" s="47" t="n"/>
      <c r="F2794" s="47" t="n"/>
      <c r="G2794" s="47" t="n"/>
      <c r="H2794" s="47" t="n"/>
      <c r="I2794" s="47" t="n"/>
      <c r="J2794" s="47" t="n"/>
      <c r="K2794" s="47" t="n"/>
      <c r="L2794" s="47" t="n"/>
      <c r="M2794" s="47" t="n"/>
      <c r="N2794" s="47" t="n"/>
      <c r="O2794" s="47" t="n"/>
      <c r="P2794" s="47" t="n"/>
      <c r="Q2794" s="47" t="n"/>
      <c r="R2794" s="47" t="n"/>
      <c r="S2794" s="47" t="n"/>
      <c r="T2794" s="47" t="n"/>
      <c r="U2794" s="53" t="n"/>
      <c r="V2794" s="53" t="n"/>
      <c r="W2794" s="47" t="n"/>
      <c r="X2794" s="47" t="n"/>
      <c r="Y2794" s="47" t="n"/>
      <c r="Z2794" s="47" t="n"/>
      <c r="AA2794" s="47" t="n"/>
      <c r="AB2794" s="47" t="n"/>
      <c r="AC2794" s="47" t="n"/>
      <c r="AD2794" s="47" t="n"/>
      <c r="AE2794" s="47" t="n"/>
      <c r="AF2794" s="20">
        <f>IF(A2794="","",YEAR(EDATE(A2794,-3)))</f>
        <v/>
      </c>
      <c r="AG2794" s="20">
        <f>IF(OR(B2794="",'経歴簿'!$C$4=""),"",IF(B2794&amp;""='経歴簿'!$C$4&amp;"",MAX($AG$4:AG2793)+1,""))</f>
        <v/>
      </c>
      <c r="AH2794" s="20">
        <f>IF(A2794="",0,IF(AND(OR('CSV抽出'!$C$4="",A2794&gt;='CSV抽出'!$C$4),OR('CSV抽出'!$C$5="",A2794&lt;='CSV抽出'!$C$5),OR('CSV抽出'!$C$6="すべて",'CSV抽出'!$C$6="",D2794='CSV抽出'!$C$6),OR('CSV抽出'!$C$7="",B2794&amp;""='CSV抽出'!$C$7&amp;"")),1,0))</f>
        <v/>
      </c>
      <c r="AI2794" s="20">
        <f>IF(AH2794=1,SUM($AH$5:AH2794),"")</f>
        <v/>
      </c>
      <c r="AJ2794" s="20">
        <f>IF(OR(S2794="",'報告書'!$C$4=""),"",IF(S2794&amp;""='報告書'!$C$4&amp;"",COUNTIF($S$5:S2794,'報告書'!$C$4),""))</f>
        <v/>
      </c>
      <c r="AK2794" s="20" t="n"/>
      <c r="AL2794" s="47" t="n"/>
      <c r="AM2794" s="47" t="n"/>
      <c r="AN2794" s="53" t="n"/>
      <c r="AO2794" s="47" t="n"/>
      <c r="AP2794" s="47" t="n"/>
      <c r="AQ2794" s="47" t="n"/>
      <c r="AR2794" s="47" t="n"/>
      <c r="AS2794" s="47" t="n"/>
      <c r="AT2794" s="47" t="n"/>
      <c r="AU2794" s="47" t="n"/>
      <c r="AV2794" s="47" t="n"/>
      <c r="AW2794" s="52" t="n"/>
    </row>
    <row r="2795">
      <c r="A2795" s="48" t="n"/>
      <c r="B2795" s="52" t="n"/>
      <c r="C2795" s="47">
        <f>IF(B2795="","",IFERROR(INDEX('隊員マスタ'!$B$5:$B$204,MATCH(B2795&amp;"",'隊員マスタ'!$F$5:$F$204,0)),IF(AK2795="","番号なし",AK2795)))</f>
        <v/>
      </c>
      <c r="D2795" s="47" t="n"/>
      <c r="E2795" s="47" t="n"/>
      <c r="F2795" s="47" t="n"/>
      <c r="G2795" s="47" t="n"/>
      <c r="H2795" s="47" t="n"/>
      <c r="I2795" s="47" t="n"/>
      <c r="J2795" s="47" t="n"/>
      <c r="K2795" s="47" t="n"/>
      <c r="L2795" s="47" t="n"/>
      <c r="M2795" s="47" t="n"/>
      <c r="N2795" s="47" t="n"/>
      <c r="O2795" s="47" t="n"/>
      <c r="P2795" s="47" t="n"/>
      <c r="Q2795" s="47" t="n"/>
      <c r="R2795" s="47" t="n"/>
      <c r="S2795" s="47" t="n"/>
      <c r="T2795" s="47" t="n"/>
      <c r="U2795" s="53" t="n"/>
      <c r="V2795" s="53" t="n"/>
      <c r="W2795" s="47" t="n"/>
      <c r="X2795" s="47" t="n"/>
      <c r="Y2795" s="47" t="n"/>
      <c r="Z2795" s="47" t="n"/>
      <c r="AA2795" s="47" t="n"/>
      <c r="AB2795" s="47" t="n"/>
      <c r="AC2795" s="47" t="n"/>
      <c r="AD2795" s="47" t="n"/>
      <c r="AE2795" s="47" t="n"/>
      <c r="AF2795" s="20">
        <f>IF(A2795="","",YEAR(EDATE(A2795,-3)))</f>
        <v/>
      </c>
      <c r="AG2795" s="20">
        <f>IF(OR(B2795="",'経歴簿'!$C$4=""),"",IF(B2795&amp;""='経歴簿'!$C$4&amp;"",MAX($AG$4:AG2794)+1,""))</f>
        <v/>
      </c>
      <c r="AH2795" s="20">
        <f>IF(A2795="",0,IF(AND(OR('CSV抽出'!$C$4="",A2795&gt;='CSV抽出'!$C$4),OR('CSV抽出'!$C$5="",A2795&lt;='CSV抽出'!$C$5),OR('CSV抽出'!$C$6="すべて",'CSV抽出'!$C$6="",D2795='CSV抽出'!$C$6),OR('CSV抽出'!$C$7="",B2795&amp;""='CSV抽出'!$C$7&amp;"")),1,0))</f>
        <v/>
      </c>
      <c r="AI2795" s="20">
        <f>IF(AH2795=1,SUM($AH$5:AH2795),"")</f>
        <v/>
      </c>
      <c r="AJ2795" s="20">
        <f>IF(OR(S2795="",'報告書'!$C$4=""),"",IF(S2795&amp;""='報告書'!$C$4&amp;"",COUNTIF($S$5:S2795,'報告書'!$C$4),""))</f>
        <v/>
      </c>
      <c r="AK2795" s="20" t="n"/>
      <c r="AL2795" s="47" t="n"/>
      <c r="AM2795" s="47" t="n"/>
      <c r="AN2795" s="53" t="n"/>
      <c r="AO2795" s="47" t="n"/>
      <c r="AP2795" s="47" t="n"/>
      <c r="AQ2795" s="47" t="n"/>
      <c r="AR2795" s="47" t="n"/>
      <c r="AS2795" s="47" t="n"/>
      <c r="AT2795" s="47" t="n"/>
      <c r="AU2795" s="47" t="n"/>
      <c r="AV2795" s="47" t="n"/>
      <c r="AW2795" s="52" t="n"/>
    </row>
    <row r="2796">
      <c r="A2796" s="48" t="n"/>
      <c r="B2796" s="52" t="n"/>
      <c r="C2796" s="47">
        <f>IF(B2796="","",IFERROR(INDEX('隊員マスタ'!$B$5:$B$204,MATCH(B2796&amp;"",'隊員マスタ'!$F$5:$F$204,0)),IF(AK2796="","番号なし",AK2796)))</f>
        <v/>
      </c>
      <c r="D2796" s="47" t="n"/>
      <c r="E2796" s="47" t="n"/>
      <c r="F2796" s="47" t="n"/>
      <c r="G2796" s="47" t="n"/>
      <c r="H2796" s="47" t="n"/>
      <c r="I2796" s="47" t="n"/>
      <c r="J2796" s="47" t="n"/>
      <c r="K2796" s="47" t="n"/>
      <c r="L2796" s="47" t="n"/>
      <c r="M2796" s="47" t="n"/>
      <c r="N2796" s="47" t="n"/>
      <c r="O2796" s="47" t="n"/>
      <c r="P2796" s="47" t="n"/>
      <c r="Q2796" s="47" t="n"/>
      <c r="R2796" s="47" t="n"/>
      <c r="S2796" s="47" t="n"/>
      <c r="T2796" s="47" t="n"/>
      <c r="U2796" s="53" t="n"/>
      <c r="V2796" s="53" t="n"/>
      <c r="W2796" s="47" t="n"/>
      <c r="X2796" s="47" t="n"/>
      <c r="Y2796" s="47" t="n"/>
      <c r="Z2796" s="47" t="n"/>
      <c r="AA2796" s="47" t="n"/>
      <c r="AB2796" s="47" t="n"/>
      <c r="AC2796" s="47" t="n"/>
      <c r="AD2796" s="47" t="n"/>
      <c r="AE2796" s="47" t="n"/>
      <c r="AF2796" s="20">
        <f>IF(A2796="","",YEAR(EDATE(A2796,-3)))</f>
        <v/>
      </c>
      <c r="AG2796" s="20">
        <f>IF(OR(B2796="",'経歴簿'!$C$4=""),"",IF(B2796&amp;""='経歴簿'!$C$4&amp;"",MAX($AG$4:AG2795)+1,""))</f>
        <v/>
      </c>
      <c r="AH2796" s="20">
        <f>IF(A2796="",0,IF(AND(OR('CSV抽出'!$C$4="",A2796&gt;='CSV抽出'!$C$4),OR('CSV抽出'!$C$5="",A2796&lt;='CSV抽出'!$C$5),OR('CSV抽出'!$C$6="すべて",'CSV抽出'!$C$6="",D2796='CSV抽出'!$C$6),OR('CSV抽出'!$C$7="",B2796&amp;""='CSV抽出'!$C$7&amp;"")),1,0))</f>
        <v/>
      </c>
      <c r="AI2796" s="20">
        <f>IF(AH2796=1,SUM($AH$5:AH2796),"")</f>
        <v/>
      </c>
      <c r="AJ2796" s="20">
        <f>IF(OR(S2796="",'報告書'!$C$4=""),"",IF(S2796&amp;""='報告書'!$C$4&amp;"",COUNTIF($S$5:S2796,'報告書'!$C$4),""))</f>
        <v/>
      </c>
      <c r="AK2796" s="20" t="n"/>
      <c r="AL2796" s="47" t="n"/>
      <c r="AM2796" s="47" t="n"/>
      <c r="AN2796" s="53" t="n"/>
      <c r="AO2796" s="47" t="n"/>
      <c r="AP2796" s="47" t="n"/>
      <c r="AQ2796" s="47" t="n"/>
      <c r="AR2796" s="47" t="n"/>
      <c r="AS2796" s="47" t="n"/>
      <c r="AT2796" s="47" t="n"/>
      <c r="AU2796" s="47" t="n"/>
      <c r="AV2796" s="47" t="n"/>
      <c r="AW2796" s="52" t="n"/>
    </row>
    <row r="2797">
      <c r="A2797" s="48" t="n"/>
      <c r="B2797" s="52" t="n"/>
      <c r="C2797" s="47">
        <f>IF(B2797="","",IFERROR(INDEX('隊員マスタ'!$B$5:$B$204,MATCH(B2797&amp;"",'隊員マスタ'!$F$5:$F$204,0)),IF(AK2797="","番号なし",AK2797)))</f>
        <v/>
      </c>
      <c r="D2797" s="47" t="n"/>
      <c r="E2797" s="47" t="n"/>
      <c r="F2797" s="47" t="n"/>
      <c r="G2797" s="47" t="n"/>
      <c r="H2797" s="47" t="n"/>
      <c r="I2797" s="47" t="n"/>
      <c r="J2797" s="47" t="n"/>
      <c r="K2797" s="47" t="n"/>
      <c r="L2797" s="47" t="n"/>
      <c r="M2797" s="47" t="n"/>
      <c r="N2797" s="47" t="n"/>
      <c r="O2797" s="47" t="n"/>
      <c r="P2797" s="47" t="n"/>
      <c r="Q2797" s="47" t="n"/>
      <c r="R2797" s="47" t="n"/>
      <c r="S2797" s="47" t="n"/>
      <c r="T2797" s="47" t="n"/>
      <c r="U2797" s="53" t="n"/>
      <c r="V2797" s="53" t="n"/>
      <c r="W2797" s="47" t="n"/>
      <c r="X2797" s="47" t="n"/>
      <c r="Y2797" s="47" t="n"/>
      <c r="Z2797" s="47" t="n"/>
      <c r="AA2797" s="47" t="n"/>
      <c r="AB2797" s="47" t="n"/>
      <c r="AC2797" s="47" t="n"/>
      <c r="AD2797" s="47" t="n"/>
      <c r="AE2797" s="47" t="n"/>
      <c r="AF2797" s="20">
        <f>IF(A2797="","",YEAR(EDATE(A2797,-3)))</f>
        <v/>
      </c>
      <c r="AG2797" s="20">
        <f>IF(OR(B2797="",'経歴簿'!$C$4=""),"",IF(B2797&amp;""='経歴簿'!$C$4&amp;"",MAX($AG$4:AG2796)+1,""))</f>
        <v/>
      </c>
      <c r="AH2797" s="20">
        <f>IF(A2797="",0,IF(AND(OR('CSV抽出'!$C$4="",A2797&gt;='CSV抽出'!$C$4),OR('CSV抽出'!$C$5="",A2797&lt;='CSV抽出'!$C$5),OR('CSV抽出'!$C$6="すべて",'CSV抽出'!$C$6="",D2797='CSV抽出'!$C$6),OR('CSV抽出'!$C$7="",B2797&amp;""='CSV抽出'!$C$7&amp;"")),1,0))</f>
        <v/>
      </c>
      <c r="AI2797" s="20">
        <f>IF(AH2797=1,SUM($AH$5:AH2797),"")</f>
        <v/>
      </c>
      <c r="AJ2797" s="20">
        <f>IF(OR(S2797="",'報告書'!$C$4=""),"",IF(S2797&amp;""='報告書'!$C$4&amp;"",COUNTIF($S$5:S2797,'報告書'!$C$4),""))</f>
        <v/>
      </c>
      <c r="AK2797" s="20" t="n"/>
      <c r="AL2797" s="47" t="n"/>
      <c r="AM2797" s="47" t="n"/>
      <c r="AN2797" s="53" t="n"/>
      <c r="AO2797" s="47" t="n"/>
      <c r="AP2797" s="47" t="n"/>
      <c r="AQ2797" s="47" t="n"/>
      <c r="AR2797" s="47" t="n"/>
      <c r="AS2797" s="47" t="n"/>
      <c r="AT2797" s="47" t="n"/>
      <c r="AU2797" s="47" t="n"/>
      <c r="AV2797" s="47" t="n"/>
      <c r="AW2797" s="52" t="n"/>
    </row>
    <row r="2798">
      <c r="A2798" s="48" t="n"/>
      <c r="B2798" s="52" t="n"/>
      <c r="C2798" s="47">
        <f>IF(B2798="","",IFERROR(INDEX('隊員マスタ'!$B$5:$B$204,MATCH(B2798&amp;"",'隊員マスタ'!$F$5:$F$204,0)),IF(AK2798="","番号なし",AK2798)))</f>
        <v/>
      </c>
      <c r="D2798" s="47" t="n"/>
      <c r="E2798" s="47" t="n"/>
      <c r="F2798" s="47" t="n"/>
      <c r="G2798" s="47" t="n"/>
      <c r="H2798" s="47" t="n"/>
      <c r="I2798" s="47" t="n"/>
      <c r="J2798" s="47" t="n"/>
      <c r="K2798" s="47" t="n"/>
      <c r="L2798" s="47" t="n"/>
      <c r="M2798" s="47" t="n"/>
      <c r="N2798" s="47" t="n"/>
      <c r="O2798" s="47" t="n"/>
      <c r="P2798" s="47" t="n"/>
      <c r="Q2798" s="47" t="n"/>
      <c r="R2798" s="47" t="n"/>
      <c r="S2798" s="47" t="n"/>
      <c r="T2798" s="47" t="n"/>
      <c r="U2798" s="53" t="n"/>
      <c r="V2798" s="53" t="n"/>
      <c r="W2798" s="47" t="n"/>
      <c r="X2798" s="47" t="n"/>
      <c r="Y2798" s="47" t="n"/>
      <c r="Z2798" s="47" t="n"/>
      <c r="AA2798" s="47" t="n"/>
      <c r="AB2798" s="47" t="n"/>
      <c r="AC2798" s="47" t="n"/>
      <c r="AD2798" s="47" t="n"/>
      <c r="AE2798" s="47" t="n"/>
      <c r="AF2798" s="20">
        <f>IF(A2798="","",YEAR(EDATE(A2798,-3)))</f>
        <v/>
      </c>
      <c r="AG2798" s="20">
        <f>IF(OR(B2798="",'経歴簿'!$C$4=""),"",IF(B2798&amp;""='経歴簿'!$C$4&amp;"",MAX($AG$4:AG2797)+1,""))</f>
        <v/>
      </c>
      <c r="AH2798" s="20">
        <f>IF(A2798="",0,IF(AND(OR('CSV抽出'!$C$4="",A2798&gt;='CSV抽出'!$C$4),OR('CSV抽出'!$C$5="",A2798&lt;='CSV抽出'!$C$5),OR('CSV抽出'!$C$6="すべて",'CSV抽出'!$C$6="",D2798='CSV抽出'!$C$6),OR('CSV抽出'!$C$7="",B2798&amp;""='CSV抽出'!$C$7&amp;"")),1,0))</f>
        <v/>
      </c>
      <c r="AI2798" s="20">
        <f>IF(AH2798=1,SUM($AH$5:AH2798),"")</f>
        <v/>
      </c>
      <c r="AJ2798" s="20">
        <f>IF(OR(S2798="",'報告書'!$C$4=""),"",IF(S2798&amp;""='報告書'!$C$4&amp;"",COUNTIF($S$5:S2798,'報告書'!$C$4),""))</f>
        <v/>
      </c>
      <c r="AK2798" s="20" t="n"/>
      <c r="AL2798" s="47" t="n"/>
      <c r="AM2798" s="47" t="n"/>
      <c r="AN2798" s="53" t="n"/>
      <c r="AO2798" s="47" t="n"/>
      <c r="AP2798" s="47" t="n"/>
      <c r="AQ2798" s="47" t="n"/>
      <c r="AR2798" s="47" t="n"/>
      <c r="AS2798" s="47" t="n"/>
      <c r="AT2798" s="47" t="n"/>
      <c r="AU2798" s="47" t="n"/>
      <c r="AV2798" s="47" t="n"/>
      <c r="AW2798" s="52" t="n"/>
    </row>
    <row r="2799">
      <c r="A2799" s="48" t="n"/>
      <c r="B2799" s="52" t="n"/>
      <c r="C2799" s="47">
        <f>IF(B2799="","",IFERROR(INDEX('隊員マスタ'!$B$5:$B$204,MATCH(B2799&amp;"",'隊員マスタ'!$F$5:$F$204,0)),IF(AK2799="","番号なし",AK2799)))</f>
        <v/>
      </c>
      <c r="D2799" s="47" t="n"/>
      <c r="E2799" s="47" t="n"/>
      <c r="F2799" s="47" t="n"/>
      <c r="G2799" s="47" t="n"/>
      <c r="H2799" s="47" t="n"/>
      <c r="I2799" s="47" t="n"/>
      <c r="J2799" s="47" t="n"/>
      <c r="K2799" s="47" t="n"/>
      <c r="L2799" s="47" t="n"/>
      <c r="M2799" s="47" t="n"/>
      <c r="N2799" s="47" t="n"/>
      <c r="O2799" s="47" t="n"/>
      <c r="P2799" s="47" t="n"/>
      <c r="Q2799" s="47" t="n"/>
      <c r="R2799" s="47" t="n"/>
      <c r="S2799" s="47" t="n"/>
      <c r="T2799" s="47" t="n"/>
      <c r="U2799" s="53" t="n"/>
      <c r="V2799" s="53" t="n"/>
      <c r="W2799" s="47" t="n"/>
      <c r="X2799" s="47" t="n"/>
      <c r="Y2799" s="47" t="n"/>
      <c r="Z2799" s="47" t="n"/>
      <c r="AA2799" s="47" t="n"/>
      <c r="AB2799" s="47" t="n"/>
      <c r="AC2799" s="47" t="n"/>
      <c r="AD2799" s="47" t="n"/>
      <c r="AE2799" s="47" t="n"/>
      <c r="AF2799" s="20">
        <f>IF(A2799="","",YEAR(EDATE(A2799,-3)))</f>
        <v/>
      </c>
      <c r="AG2799" s="20">
        <f>IF(OR(B2799="",'経歴簿'!$C$4=""),"",IF(B2799&amp;""='経歴簿'!$C$4&amp;"",MAX($AG$4:AG2798)+1,""))</f>
        <v/>
      </c>
      <c r="AH2799" s="20">
        <f>IF(A2799="",0,IF(AND(OR('CSV抽出'!$C$4="",A2799&gt;='CSV抽出'!$C$4),OR('CSV抽出'!$C$5="",A2799&lt;='CSV抽出'!$C$5),OR('CSV抽出'!$C$6="すべて",'CSV抽出'!$C$6="",D2799='CSV抽出'!$C$6),OR('CSV抽出'!$C$7="",B2799&amp;""='CSV抽出'!$C$7&amp;"")),1,0))</f>
        <v/>
      </c>
      <c r="AI2799" s="20">
        <f>IF(AH2799=1,SUM($AH$5:AH2799),"")</f>
        <v/>
      </c>
      <c r="AJ2799" s="20">
        <f>IF(OR(S2799="",'報告書'!$C$4=""),"",IF(S2799&amp;""='報告書'!$C$4&amp;"",COUNTIF($S$5:S2799,'報告書'!$C$4),""))</f>
        <v/>
      </c>
      <c r="AK2799" s="20" t="n"/>
      <c r="AL2799" s="47" t="n"/>
      <c r="AM2799" s="47" t="n"/>
      <c r="AN2799" s="53" t="n"/>
      <c r="AO2799" s="47" t="n"/>
      <c r="AP2799" s="47" t="n"/>
      <c r="AQ2799" s="47" t="n"/>
      <c r="AR2799" s="47" t="n"/>
      <c r="AS2799" s="47" t="n"/>
      <c r="AT2799" s="47" t="n"/>
      <c r="AU2799" s="47" t="n"/>
      <c r="AV2799" s="47" t="n"/>
      <c r="AW2799" s="52" t="n"/>
    </row>
    <row r="2800">
      <c r="A2800" s="48" t="n"/>
      <c r="B2800" s="52" t="n"/>
      <c r="C2800" s="47">
        <f>IF(B2800="","",IFERROR(INDEX('隊員マスタ'!$B$5:$B$204,MATCH(B2800&amp;"",'隊員マスタ'!$F$5:$F$204,0)),IF(AK2800="","番号なし",AK2800)))</f>
        <v/>
      </c>
      <c r="D2800" s="47" t="n"/>
      <c r="E2800" s="47" t="n"/>
      <c r="F2800" s="47" t="n"/>
      <c r="G2800" s="47" t="n"/>
      <c r="H2800" s="47" t="n"/>
      <c r="I2800" s="47" t="n"/>
      <c r="J2800" s="47" t="n"/>
      <c r="K2800" s="47" t="n"/>
      <c r="L2800" s="47" t="n"/>
      <c r="M2800" s="47" t="n"/>
      <c r="N2800" s="47" t="n"/>
      <c r="O2800" s="47" t="n"/>
      <c r="P2800" s="47" t="n"/>
      <c r="Q2800" s="47" t="n"/>
      <c r="R2800" s="47" t="n"/>
      <c r="S2800" s="47" t="n"/>
      <c r="T2800" s="47" t="n"/>
      <c r="U2800" s="53" t="n"/>
      <c r="V2800" s="53" t="n"/>
      <c r="W2800" s="47" t="n"/>
      <c r="X2800" s="47" t="n"/>
      <c r="Y2800" s="47" t="n"/>
      <c r="Z2800" s="47" t="n"/>
      <c r="AA2800" s="47" t="n"/>
      <c r="AB2800" s="47" t="n"/>
      <c r="AC2800" s="47" t="n"/>
      <c r="AD2800" s="47" t="n"/>
      <c r="AE2800" s="47" t="n"/>
      <c r="AF2800" s="20">
        <f>IF(A2800="","",YEAR(EDATE(A2800,-3)))</f>
        <v/>
      </c>
      <c r="AG2800" s="20">
        <f>IF(OR(B2800="",'経歴簿'!$C$4=""),"",IF(B2800&amp;""='経歴簿'!$C$4&amp;"",MAX($AG$4:AG2799)+1,""))</f>
        <v/>
      </c>
      <c r="AH2800" s="20">
        <f>IF(A2800="",0,IF(AND(OR('CSV抽出'!$C$4="",A2800&gt;='CSV抽出'!$C$4),OR('CSV抽出'!$C$5="",A2800&lt;='CSV抽出'!$C$5),OR('CSV抽出'!$C$6="すべて",'CSV抽出'!$C$6="",D2800='CSV抽出'!$C$6),OR('CSV抽出'!$C$7="",B2800&amp;""='CSV抽出'!$C$7&amp;"")),1,0))</f>
        <v/>
      </c>
      <c r="AI2800" s="20">
        <f>IF(AH2800=1,SUM($AH$5:AH2800),"")</f>
        <v/>
      </c>
      <c r="AJ2800" s="20">
        <f>IF(OR(S2800="",'報告書'!$C$4=""),"",IF(S2800&amp;""='報告書'!$C$4&amp;"",COUNTIF($S$5:S2800,'報告書'!$C$4),""))</f>
        <v/>
      </c>
      <c r="AK2800" s="20" t="n"/>
      <c r="AL2800" s="47" t="n"/>
      <c r="AM2800" s="47" t="n"/>
      <c r="AN2800" s="53" t="n"/>
      <c r="AO2800" s="47" t="n"/>
      <c r="AP2800" s="47" t="n"/>
      <c r="AQ2800" s="47" t="n"/>
      <c r="AR2800" s="47" t="n"/>
      <c r="AS2800" s="47" t="n"/>
      <c r="AT2800" s="47" t="n"/>
      <c r="AU2800" s="47" t="n"/>
      <c r="AV2800" s="47" t="n"/>
      <c r="AW2800" s="52" t="n"/>
    </row>
    <row r="2801">
      <c r="A2801" s="48" t="n"/>
      <c r="B2801" s="52" t="n"/>
      <c r="C2801" s="47">
        <f>IF(B2801="","",IFERROR(INDEX('隊員マスタ'!$B$5:$B$204,MATCH(B2801&amp;"",'隊員マスタ'!$F$5:$F$204,0)),IF(AK2801="","番号なし",AK2801)))</f>
        <v/>
      </c>
      <c r="D2801" s="47" t="n"/>
      <c r="E2801" s="47" t="n"/>
      <c r="F2801" s="47" t="n"/>
      <c r="G2801" s="47" t="n"/>
      <c r="H2801" s="47" t="n"/>
      <c r="I2801" s="47" t="n"/>
      <c r="J2801" s="47" t="n"/>
      <c r="K2801" s="47" t="n"/>
      <c r="L2801" s="47" t="n"/>
      <c r="M2801" s="47" t="n"/>
      <c r="N2801" s="47" t="n"/>
      <c r="O2801" s="47" t="n"/>
      <c r="P2801" s="47" t="n"/>
      <c r="Q2801" s="47" t="n"/>
      <c r="R2801" s="47" t="n"/>
      <c r="S2801" s="47" t="n"/>
      <c r="T2801" s="47" t="n"/>
      <c r="U2801" s="53" t="n"/>
      <c r="V2801" s="53" t="n"/>
      <c r="W2801" s="47" t="n"/>
      <c r="X2801" s="47" t="n"/>
      <c r="Y2801" s="47" t="n"/>
      <c r="Z2801" s="47" t="n"/>
      <c r="AA2801" s="47" t="n"/>
      <c r="AB2801" s="47" t="n"/>
      <c r="AC2801" s="47" t="n"/>
      <c r="AD2801" s="47" t="n"/>
      <c r="AE2801" s="47" t="n"/>
      <c r="AF2801" s="20">
        <f>IF(A2801="","",YEAR(EDATE(A2801,-3)))</f>
        <v/>
      </c>
      <c r="AG2801" s="20">
        <f>IF(OR(B2801="",'経歴簿'!$C$4=""),"",IF(B2801&amp;""='経歴簿'!$C$4&amp;"",MAX($AG$4:AG2800)+1,""))</f>
        <v/>
      </c>
      <c r="AH2801" s="20">
        <f>IF(A2801="",0,IF(AND(OR('CSV抽出'!$C$4="",A2801&gt;='CSV抽出'!$C$4),OR('CSV抽出'!$C$5="",A2801&lt;='CSV抽出'!$C$5),OR('CSV抽出'!$C$6="すべて",'CSV抽出'!$C$6="",D2801='CSV抽出'!$C$6),OR('CSV抽出'!$C$7="",B2801&amp;""='CSV抽出'!$C$7&amp;"")),1,0))</f>
        <v/>
      </c>
      <c r="AI2801" s="20">
        <f>IF(AH2801=1,SUM($AH$5:AH2801),"")</f>
        <v/>
      </c>
      <c r="AJ2801" s="20">
        <f>IF(OR(S2801="",'報告書'!$C$4=""),"",IF(S2801&amp;""='報告書'!$C$4&amp;"",COUNTIF($S$5:S2801,'報告書'!$C$4),""))</f>
        <v/>
      </c>
      <c r="AK2801" s="20" t="n"/>
      <c r="AL2801" s="47" t="n"/>
      <c r="AM2801" s="47" t="n"/>
      <c r="AN2801" s="53" t="n"/>
      <c r="AO2801" s="47" t="n"/>
      <c r="AP2801" s="47" t="n"/>
      <c r="AQ2801" s="47" t="n"/>
      <c r="AR2801" s="47" t="n"/>
      <c r="AS2801" s="47" t="n"/>
      <c r="AT2801" s="47" t="n"/>
      <c r="AU2801" s="47" t="n"/>
      <c r="AV2801" s="47" t="n"/>
      <c r="AW2801" s="52" t="n"/>
    </row>
    <row r="2802">
      <c r="A2802" s="48" t="n"/>
      <c r="B2802" s="52" t="n"/>
      <c r="C2802" s="47">
        <f>IF(B2802="","",IFERROR(INDEX('隊員マスタ'!$B$5:$B$204,MATCH(B2802&amp;"",'隊員マスタ'!$F$5:$F$204,0)),IF(AK2802="","番号なし",AK2802)))</f>
        <v/>
      </c>
      <c r="D2802" s="47" t="n"/>
      <c r="E2802" s="47" t="n"/>
      <c r="F2802" s="47" t="n"/>
      <c r="G2802" s="47" t="n"/>
      <c r="H2802" s="47" t="n"/>
      <c r="I2802" s="47" t="n"/>
      <c r="J2802" s="47" t="n"/>
      <c r="K2802" s="47" t="n"/>
      <c r="L2802" s="47" t="n"/>
      <c r="M2802" s="47" t="n"/>
      <c r="N2802" s="47" t="n"/>
      <c r="O2802" s="47" t="n"/>
      <c r="P2802" s="47" t="n"/>
      <c r="Q2802" s="47" t="n"/>
      <c r="R2802" s="47" t="n"/>
      <c r="S2802" s="47" t="n"/>
      <c r="T2802" s="47" t="n"/>
      <c r="U2802" s="53" t="n"/>
      <c r="V2802" s="53" t="n"/>
      <c r="W2802" s="47" t="n"/>
      <c r="X2802" s="47" t="n"/>
      <c r="Y2802" s="47" t="n"/>
      <c r="Z2802" s="47" t="n"/>
      <c r="AA2802" s="47" t="n"/>
      <c r="AB2802" s="47" t="n"/>
      <c r="AC2802" s="47" t="n"/>
      <c r="AD2802" s="47" t="n"/>
      <c r="AE2802" s="47" t="n"/>
      <c r="AF2802" s="20">
        <f>IF(A2802="","",YEAR(EDATE(A2802,-3)))</f>
        <v/>
      </c>
      <c r="AG2802" s="20">
        <f>IF(OR(B2802="",'経歴簿'!$C$4=""),"",IF(B2802&amp;""='経歴簿'!$C$4&amp;"",MAX($AG$4:AG2801)+1,""))</f>
        <v/>
      </c>
      <c r="AH2802" s="20">
        <f>IF(A2802="",0,IF(AND(OR('CSV抽出'!$C$4="",A2802&gt;='CSV抽出'!$C$4),OR('CSV抽出'!$C$5="",A2802&lt;='CSV抽出'!$C$5),OR('CSV抽出'!$C$6="すべて",'CSV抽出'!$C$6="",D2802='CSV抽出'!$C$6),OR('CSV抽出'!$C$7="",B2802&amp;""='CSV抽出'!$C$7&amp;"")),1,0))</f>
        <v/>
      </c>
      <c r="AI2802" s="20">
        <f>IF(AH2802=1,SUM($AH$5:AH2802),"")</f>
        <v/>
      </c>
      <c r="AJ2802" s="20">
        <f>IF(OR(S2802="",'報告書'!$C$4=""),"",IF(S2802&amp;""='報告書'!$C$4&amp;"",COUNTIF($S$5:S2802,'報告書'!$C$4),""))</f>
        <v/>
      </c>
      <c r="AK2802" s="20" t="n"/>
      <c r="AL2802" s="47" t="n"/>
      <c r="AM2802" s="47" t="n"/>
      <c r="AN2802" s="53" t="n"/>
      <c r="AO2802" s="47" t="n"/>
      <c r="AP2802" s="47" t="n"/>
      <c r="AQ2802" s="47" t="n"/>
      <c r="AR2802" s="47" t="n"/>
      <c r="AS2802" s="47" t="n"/>
      <c r="AT2802" s="47" t="n"/>
      <c r="AU2802" s="47" t="n"/>
      <c r="AV2802" s="47" t="n"/>
      <c r="AW2802" s="52" t="n"/>
    </row>
    <row r="2803">
      <c r="A2803" s="48" t="n"/>
      <c r="B2803" s="52" t="n"/>
      <c r="C2803" s="47">
        <f>IF(B2803="","",IFERROR(INDEX('隊員マスタ'!$B$5:$B$204,MATCH(B2803&amp;"",'隊員マスタ'!$F$5:$F$204,0)),IF(AK2803="","番号なし",AK2803)))</f>
        <v/>
      </c>
      <c r="D2803" s="47" t="n"/>
      <c r="E2803" s="47" t="n"/>
      <c r="F2803" s="47" t="n"/>
      <c r="G2803" s="47" t="n"/>
      <c r="H2803" s="47" t="n"/>
      <c r="I2803" s="47" t="n"/>
      <c r="J2803" s="47" t="n"/>
      <c r="K2803" s="47" t="n"/>
      <c r="L2803" s="47" t="n"/>
      <c r="M2803" s="47" t="n"/>
      <c r="N2803" s="47" t="n"/>
      <c r="O2803" s="47" t="n"/>
      <c r="P2803" s="47" t="n"/>
      <c r="Q2803" s="47" t="n"/>
      <c r="R2803" s="47" t="n"/>
      <c r="S2803" s="47" t="n"/>
      <c r="T2803" s="47" t="n"/>
      <c r="U2803" s="53" t="n"/>
      <c r="V2803" s="53" t="n"/>
      <c r="W2803" s="47" t="n"/>
      <c r="X2803" s="47" t="n"/>
      <c r="Y2803" s="47" t="n"/>
      <c r="Z2803" s="47" t="n"/>
      <c r="AA2803" s="47" t="n"/>
      <c r="AB2803" s="47" t="n"/>
      <c r="AC2803" s="47" t="n"/>
      <c r="AD2803" s="47" t="n"/>
      <c r="AE2803" s="47" t="n"/>
      <c r="AF2803" s="20">
        <f>IF(A2803="","",YEAR(EDATE(A2803,-3)))</f>
        <v/>
      </c>
      <c r="AG2803" s="20">
        <f>IF(OR(B2803="",'経歴簿'!$C$4=""),"",IF(B2803&amp;""='経歴簿'!$C$4&amp;"",MAX($AG$4:AG2802)+1,""))</f>
        <v/>
      </c>
      <c r="AH2803" s="20">
        <f>IF(A2803="",0,IF(AND(OR('CSV抽出'!$C$4="",A2803&gt;='CSV抽出'!$C$4),OR('CSV抽出'!$C$5="",A2803&lt;='CSV抽出'!$C$5),OR('CSV抽出'!$C$6="すべて",'CSV抽出'!$C$6="",D2803='CSV抽出'!$C$6),OR('CSV抽出'!$C$7="",B2803&amp;""='CSV抽出'!$C$7&amp;"")),1,0))</f>
        <v/>
      </c>
      <c r="AI2803" s="20">
        <f>IF(AH2803=1,SUM($AH$5:AH2803),"")</f>
        <v/>
      </c>
      <c r="AJ2803" s="20">
        <f>IF(OR(S2803="",'報告書'!$C$4=""),"",IF(S2803&amp;""='報告書'!$C$4&amp;"",COUNTIF($S$5:S2803,'報告書'!$C$4),""))</f>
        <v/>
      </c>
      <c r="AK2803" s="20" t="n"/>
      <c r="AL2803" s="47" t="n"/>
      <c r="AM2803" s="47" t="n"/>
      <c r="AN2803" s="53" t="n"/>
      <c r="AO2803" s="47" t="n"/>
      <c r="AP2803" s="47" t="n"/>
      <c r="AQ2803" s="47" t="n"/>
      <c r="AR2803" s="47" t="n"/>
      <c r="AS2803" s="47" t="n"/>
      <c r="AT2803" s="47" t="n"/>
      <c r="AU2803" s="47" t="n"/>
      <c r="AV2803" s="47" t="n"/>
      <c r="AW2803" s="52" t="n"/>
    </row>
    <row r="2804">
      <c r="A2804" s="48" t="n"/>
      <c r="B2804" s="52" t="n"/>
      <c r="C2804" s="47">
        <f>IF(B2804="","",IFERROR(INDEX('隊員マスタ'!$B$5:$B$204,MATCH(B2804&amp;"",'隊員マスタ'!$F$5:$F$204,0)),IF(AK2804="","番号なし",AK2804)))</f>
        <v/>
      </c>
      <c r="D2804" s="47" t="n"/>
      <c r="E2804" s="47" t="n"/>
      <c r="F2804" s="47" t="n"/>
      <c r="G2804" s="47" t="n"/>
      <c r="H2804" s="47" t="n"/>
      <c r="I2804" s="47" t="n"/>
      <c r="J2804" s="47" t="n"/>
      <c r="K2804" s="47" t="n"/>
      <c r="L2804" s="47" t="n"/>
      <c r="M2804" s="47" t="n"/>
      <c r="N2804" s="47" t="n"/>
      <c r="O2804" s="47" t="n"/>
      <c r="P2804" s="47" t="n"/>
      <c r="Q2804" s="47" t="n"/>
      <c r="R2804" s="47" t="n"/>
      <c r="S2804" s="47" t="n"/>
      <c r="T2804" s="47" t="n"/>
      <c r="U2804" s="53" t="n"/>
      <c r="V2804" s="53" t="n"/>
      <c r="W2804" s="47" t="n"/>
      <c r="X2804" s="47" t="n"/>
      <c r="Y2804" s="47" t="n"/>
      <c r="Z2804" s="47" t="n"/>
      <c r="AA2804" s="47" t="n"/>
      <c r="AB2804" s="47" t="n"/>
      <c r="AC2804" s="47" t="n"/>
      <c r="AD2804" s="47" t="n"/>
      <c r="AE2804" s="47" t="n"/>
      <c r="AF2804" s="20">
        <f>IF(A2804="","",YEAR(EDATE(A2804,-3)))</f>
        <v/>
      </c>
      <c r="AG2804" s="20">
        <f>IF(OR(B2804="",'経歴簿'!$C$4=""),"",IF(B2804&amp;""='経歴簿'!$C$4&amp;"",MAX($AG$4:AG2803)+1,""))</f>
        <v/>
      </c>
      <c r="AH2804" s="20">
        <f>IF(A2804="",0,IF(AND(OR('CSV抽出'!$C$4="",A2804&gt;='CSV抽出'!$C$4),OR('CSV抽出'!$C$5="",A2804&lt;='CSV抽出'!$C$5),OR('CSV抽出'!$C$6="すべて",'CSV抽出'!$C$6="",D2804='CSV抽出'!$C$6),OR('CSV抽出'!$C$7="",B2804&amp;""='CSV抽出'!$C$7&amp;"")),1,0))</f>
        <v/>
      </c>
      <c r="AI2804" s="20">
        <f>IF(AH2804=1,SUM($AH$5:AH2804),"")</f>
        <v/>
      </c>
      <c r="AJ2804" s="20">
        <f>IF(OR(S2804="",'報告書'!$C$4=""),"",IF(S2804&amp;""='報告書'!$C$4&amp;"",COUNTIF($S$5:S2804,'報告書'!$C$4),""))</f>
        <v/>
      </c>
      <c r="AK2804" s="20" t="n"/>
      <c r="AL2804" s="47" t="n"/>
      <c r="AM2804" s="47" t="n"/>
      <c r="AN2804" s="53" t="n"/>
      <c r="AO2804" s="47" t="n"/>
      <c r="AP2804" s="47" t="n"/>
      <c r="AQ2804" s="47" t="n"/>
      <c r="AR2804" s="47" t="n"/>
      <c r="AS2804" s="47" t="n"/>
      <c r="AT2804" s="47" t="n"/>
      <c r="AU2804" s="47" t="n"/>
      <c r="AV2804" s="47" t="n"/>
      <c r="AW2804" s="52" t="n"/>
    </row>
    <row r="2805">
      <c r="A2805" s="48" t="n"/>
      <c r="B2805" s="52" t="n"/>
      <c r="C2805" s="47">
        <f>IF(B2805="","",IFERROR(INDEX('隊員マスタ'!$B$5:$B$204,MATCH(B2805&amp;"",'隊員マスタ'!$F$5:$F$204,0)),IF(AK2805="","番号なし",AK2805)))</f>
        <v/>
      </c>
      <c r="D2805" s="47" t="n"/>
      <c r="E2805" s="47" t="n"/>
      <c r="F2805" s="47" t="n"/>
      <c r="G2805" s="47" t="n"/>
      <c r="H2805" s="47" t="n"/>
      <c r="I2805" s="47" t="n"/>
      <c r="J2805" s="47" t="n"/>
      <c r="K2805" s="47" t="n"/>
      <c r="L2805" s="47" t="n"/>
      <c r="M2805" s="47" t="n"/>
      <c r="N2805" s="47" t="n"/>
      <c r="O2805" s="47" t="n"/>
      <c r="P2805" s="47" t="n"/>
      <c r="Q2805" s="47" t="n"/>
      <c r="R2805" s="47" t="n"/>
      <c r="S2805" s="47" t="n"/>
      <c r="T2805" s="47" t="n"/>
      <c r="U2805" s="53" t="n"/>
      <c r="V2805" s="53" t="n"/>
      <c r="W2805" s="47" t="n"/>
      <c r="X2805" s="47" t="n"/>
      <c r="Y2805" s="47" t="n"/>
      <c r="Z2805" s="47" t="n"/>
      <c r="AA2805" s="47" t="n"/>
      <c r="AB2805" s="47" t="n"/>
      <c r="AC2805" s="47" t="n"/>
      <c r="AD2805" s="47" t="n"/>
      <c r="AE2805" s="47" t="n"/>
      <c r="AF2805" s="20">
        <f>IF(A2805="","",YEAR(EDATE(A2805,-3)))</f>
        <v/>
      </c>
      <c r="AG2805" s="20">
        <f>IF(OR(B2805="",'経歴簿'!$C$4=""),"",IF(B2805&amp;""='経歴簿'!$C$4&amp;"",MAX($AG$4:AG2804)+1,""))</f>
        <v/>
      </c>
      <c r="AH2805" s="20">
        <f>IF(A2805="",0,IF(AND(OR('CSV抽出'!$C$4="",A2805&gt;='CSV抽出'!$C$4),OR('CSV抽出'!$C$5="",A2805&lt;='CSV抽出'!$C$5),OR('CSV抽出'!$C$6="すべて",'CSV抽出'!$C$6="",D2805='CSV抽出'!$C$6),OR('CSV抽出'!$C$7="",B2805&amp;""='CSV抽出'!$C$7&amp;"")),1,0))</f>
        <v/>
      </c>
      <c r="AI2805" s="20">
        <f>IF(AH2805=1,SUM($AH$5:AH2805),"")</f>
        <v/>
      </c>
      <c r="AJ2805" s="20">
        <f>IF(OR(S2805="",'報告書'!$C$4=""),"",IF(S2805&amp;""='報告書'!$C$4&amp;"",COUNTIF($S$5:S2805,'報告書'!$C$4),""))</f>
        <v/>
      </c>
      <c r="AK2805" s="20" t="n"/>
      <c r="AL2805" s="47" t="n"/>
      <c r="AM2805" s="47" t="n"/>
      <c r="AN2805" s="53" t="n"/>
      <c r="AO2805" s="47" t="n"/>
      <c r="AP2805" s="47" t="n"/>
      <c r="AQ2805" s="47" t="n"/>
      <c r="AR2805" s="47" t="n"/>
      <c r="AS2805" s="47" t="n"/>
      <c r="AT2805" s="47" t="n"/>
      <c r="AU2805" s="47" t="n"/>
      <c r="AV2805" s="47" t="n"/>
      <c r="AW2805" s="52" t="n"/>
    </row>
    <row r="2806">
      <c r="A2806" s="48" t="n"/>
      <c r="B2806" s="52" t="n"/>
      <c r="C2806" s="47">
        <f>IF(B2806="","",IFERROR(INDEX('隊員マスタ'!$B$5:$B$204,MATCH(B2806&amp;"",'隊員マスタ'!$F$5:$F$204,0)),IF(AK2806="","番号なし",AK2806)))</f>
        <v/>
      </c>
      <c r="D2806" s="47" t="n"/>
      <c r="E2806" s="47" t="n"/>
      <c r="F2806" s="47" t="n"/>
      <c r="G2806" s="47" t="n"/>
      <c r="H2806" s="47" t="n"/>
      <c r="I2806" s="47" t="n"/>
      <c r="J2806" s="47" t="n"/>
      <c r="K2806" s="47" t="n"/>
      <c r="L2806" s="47" t="n"/>
      <c r="M2806" s="47" t="n"/>
      <c r="N2806" s="47" t="n"/>
      <c r="O2806" s="47" t="n"/>
      <c r="P2806" s="47" t="n"/>
      <c r="Q2806" s="47" t="n"/>
      <c r="R2806" s="47" t="n"/>
      <c r="S2806" s="47" t="n"/>
      <c r="T2806" s="47" t="n"/>
      <c r="U2806" s="53" t="n"/>
      <c r="V2806" s="53" t="n"/>
      <c r="W2806" s="47" t="n"/>
      <c r="X2806" s="47" t="n"/>
      <c r="Y2806" s="47" t="n"/>
      <c r="Z2806" s="47" t="n"/>
      <c r="AA2806" s="47" t="n"/>
      <c r="AB2806" s="47" t="n"/>
      <c r="AC2806" s="47" t="n"/>
      <c r="AD2806" s="47" t="n"/>
      <c r="AE2806" s="47" t="n"/>
      <c r="AF2806" s="20">
        <f>IF(A2806="","",YEAR(EDATE(A2806,-3)))</f>
        <v/>
      </c>
      <c r="AG2806" s="20">
        <f>IF(OR(B2806="",'経歴簿'!$C$4=""),"",IF(B2806&amp;""='経歴簿'!$C$4&amp;"",MAX($AG$4:AG2805)+1,""))</f>
        <v/>
      </c>
      <c r="AH2806" s="20">
        <f>IF(A2806="",0,IF(AND(OR('CSV抽出'!$C$4="",A2806&gt;='CSV抽出'!$C$4),OR('CSV抽出'!$C$5="",A2806&lt;='CSV抽出'!$C$5),OR('CSV抽出'!$C$6="すべて",'CSV抽出'!$C$6="",D2806='CSV抽出'!$C$6),OR('CSV抽出'!$C$7="",B2806&amp;""='CSV抽出'!$C$7&amp;"")),1,0))</f>
        <v/>
      </c>
      <c r="AI2806" s="20">
        <f>IF(AH2806=1,SUM($AH$5:AH2806),"")</f>
        <v/>
      </c>
      <c r="AJ2806" s="20">
        <f>IF(OR(S2806="",'報告書'!$C$4=""),"",IF(S2806&amp;""='報告書'!$C$4&amp;"",COUNTIF($S$5:S2806,'報告書'!$C$4),""))</f>
        <v/>
      </c>
      <c r="AK2806" s="20" t="n"/>
      <c r="AL2806" s="47" t="n"/>
      <c r="AM2806" s="47" t="n"/>
      <c r="AN2806" s="53" t="n"/>
      <c r="AO2806" s="47" t="n"/>
      <c r="AP2806" s="47" t="n"/>
      <c r="AQ2806" s="47" t="n"/>
      <c r="AR2806" s="47" t="n"/>
      <c r="AS2806" s="47" t="n"/>
      <c r="AT2806" s="47" t="n"/>
      <c r="AU2806" s="47" t="n"/>
      <c r="AV2806" s="47" t="n"/>
      <c r="AW2806" s="52" t="n"/>
    </row>
    <row r="2807">
      <c r="A2807" s="48" t="n"/>
      <c r="B2807" s="52" t="n"/>
      <c r="C2807" s="47">
        <f>IF(B2807="","",IFERROR(INDEX('隊員マスタ'!$B$5:$B$204,MATCH(B2807&amp;"",'隊員マスタ'!$F$5:$F$204,0)),IF(AK2807="","番号なし",AK2807)))</f>
        <v/>
      </c>
      <c r="D2807" s="47" t="n"/>
      <c r="E2807" s="47" t="n"/>
      <c r="F2807" s="47" t="n"/>
      <c r="G2807" s="47" t="n"/>
      <c r="H2807" s="47" t="n"/>
      <c r="I2807" s="47" t="n"/>
      <c r="J2807" s="47" t="n"/>
      <c r="K2807" s="47" t="n"/>
      <c r="L2807" s="47" t="n"/>
      <c r="M2807" s="47" t="n"/>
      <c r="N2807" s="47" t="n"/>
      <c r="O2807" s="47" t="n"/>
      <c r="P2807" s="47" t="n"/>
      <c r="Q2807" s="47" t="n"/>
      <c r="R2807" s="47" t="n"/>
      <c r="S2807" s="47" t="n"/>
      <c r="T2807" s="47" t="n"/>
      <c r="U2807" s="53" t="n"/>
      <c r="V2807" s="53" t="n"/>
      <c r="W2807" s="47" t="n"/>
      <c r="X2807" s="47" t="n"/>
      <c r="Y2807" s="47" t="n"/>
      <c r="Z2807" s="47" t="n"/>
      <c r="AA2807" s="47" t="n"/>
      <c r="AB2807" s="47" t="n"/>
      <c r="AC2807" s="47" t="n"/>
      <c r="AD2807" s="47" t="n"/>
      <c r="AE2807" s="47" t="n"/>
      <c r="AF2807" s="20">
        <f>IF(A2807="","",YEAR(EDATE(A2807,-3)))</f>
        <v/>
      </c>
      <c r="AG2807" s="20">
        <f>IF(OR(B2807="",'経歴簿'!$C$4=""),"",IF(B2807&amp;""='経歴簿'!$C$4&amp;"",MAX($AG$4:AG2806)+1,""))</f>
        <v/>
      </c>
      <c r="AH2807" s="20">
        <f>IF(A2807="",0,IF(AND(OR('CSV抽出'!$C$4="",A2807&gt;='CSV抽出'!$C$4),OR('CSV抽出'!$C$5="",A2807&lt;='CSV抽出'!$C$5),OR('CSV抽出'!$C$6="すべて",'CSV抽出'!$C$6="",D2807='CSV抽出'!$C$6),OR('CSV抽出'!$C$7="",B2807&amp;""='CSV抽出'!$C$7&amp;"")),1,0))</f>
        <v/>
      </c>
      <c r="AI2807" s="20">
        <f>IF(AH2807=1,SUM($AH$5:AH2807),"")</f>
        <v/>
      </c>
      <c r="AJ2807" s="20">
        <f>IF(OR(S2807="",'報告書'!$C$4=""),"",IF(S2807&amp;""='報告書'!$C$4&amp;"",COUNTIF($S$5:S2807,'報告書'!$C$4),""))</f>
        <v/>
      </c>
      <c r="AK2807" s="20" t="n"/>
      <c r="AL2807" s="47" t="n"/>
      <c r="AM2807" s="47" t="n"/>
      <c r="AN2807" s="53" t="n"/>
      <c r="AO2807" s="47" t="n"/>
      <c r="AP2807" s="47" t="n"/>
      <c r="AQ2807" s="47" t="n"/>
      <c r="AR2807" s="47" t="n"/>
      <c r="AS2807" s="47" t="n"/>
      <c r="AT2807" s="47" t="n"/>
      <c r="AU2807" s="47" t="n"/>
      <c r="AV2807" s="47" t="n"/>
      <c r="AW2807" s="52" t="n"/>
    </row>
    <row r="2808">
      <c r="A2808" s="48" t="n"/>
      <c r="B2808" s="52" t="n"/>
      <c r="C2808" s="47">
        <f>IF(B2808="","",IFERROR(INDEX('隊員マスタ'!$B$5:$B$204,MATCH(B2808&amp;"",'隊員マスタ'!$F$5:$F$204,0)),IF(AK2808="","番号なし",AK2808)))</f>
        <v/>
      </c>
      <c r="D2808" s="47" t="n"/>
      <c r="E2808" s="47" t="n"/>
      <c r="F2808" s="47" t="n"/>
      <c r="G2808" s="47" t="n"/>
      <c r="H2808" s="47" t="n"/>
      <c r="I2808" s="47" t="n"/>
      <c r="J2808" s="47" t="n"/>
      <c r="K2808" s="47" t="n"/>
      <c r="L2808" s="47" t="n"/>
      <c r="M2808" s="47" t="n"/>
      <c r="N2808" s="47" t="n"/>
      <c r="O2808" s="47" t="n"/>
      <c r="P2808" s="47" t="n"/>
      <c r="Q2808" s="47" t="n"/>
      <c r="R2808" s="47" t="n"/>
      <c r="S2808" s="47" t="n"/>
      <c r="T2808" s="47" t="n"/>
      <c r="U2808" s="53" t="n"/>
      <c r="V2808" s="53" t="n"/>
      <c r="W2808" s="47" t="n"/>
      <c r="X2808" s="47" t="n"/>
      <c r="Y2808" s="47" t="n"/>
      <c r="Z2808" s="47" t="n"/>
      <c r="AA2808" s="47" t="n"/>
      <c r="AB2808" s="47" t="n"/>
      <c r="AC2808" s="47" t="n"/>
      <c r="AD2808" s="47" t="n"/>
      <c r="AE2808" s="47" t="n"/>
      <c r="AF2808" s="20">
        <f>IF(A2808="","",YEAR(EDATE(A2808,-3)))</f>
        <v/>
      </c>
      <c r="AG2808" s="20">
        <f>IF(OR(B2808="",'経歴簿'!$C$4=""),"",IF(B2808&amp;""='経歴簿'!$C$4&amp;"",MAX($AG$4:AG2807)+1,""))</f>
        <v/>
      </c>
      <c r="AH2808" s="20">
        <f>IF(A2808="",0,IF(AND(OR('CSV抽出'!$C$4="",A2808&gt;='CSV抽出'!$C$4),OR('CSV抽出'!$C$5="",A2808&lt;='CSV抽出'!$C$5),OR('CSV抽出'!$C$6="すべて",'CSV抽出'!$C$6="",D2808='CSV抽出'!$C$6),OR('CSV抽出'!$C$7="",B2808&amp;""='CSV抽出'!$C$7&amp;"")),1,0))</f>
        <v/>
      </c>
      <c r="AI2808" s="20">
        <f>IF(AH2808=1,SUM($AH$5:AH2808),"")</f>
        <v/>
      </c>
      <c r="AJ2808" s="20">
        <f>IF(OR(S2808="",'報告書'!$C$4=""),"",IF(S2808&amp;""='報告書'!$C$4&amp;"",COUNTIF($S$5:S2808,'報告書'!$C$4),""))</f>
        <v/>
      </c>
      <c r="AK2808" s="20" t="n"/>
      <c r="AL2808" s="47" t="n"/>
      <c r="AM2808" s="47" t="n"/>
      <c r="AN2808" s="53" t="n"/>
      <c r="AO2808" s="47" t="n"/>
      <c r="AP2808" s="47" t="n"/>
      <c r="AQ2808" s="47" t="n"/>
      <c r="AR2808" s="47" t="n"/>
      <c r="AS2808" s="47" t="n"/>
      <c r="AT2808" s="47" t="n"/>
      <c r="AU2808" s="47" t="n"/>
      <c r="AV2808" s="47" t="n"/>
      <c r="AW2808" s="52" t="n"/>
    </row>
    <row r="2809">
      <c r="A2809" s="48" t="n"/>
      <c r="B2809" s="52" t="n"/>
      <c r="C2809" s="47">
        <f>IF(B2809="","",IFERROR(INDEX('隊員マスタ'!$B$5:$B$204,MATCH(B2809&amp;"",'隊員マスタ'!$F$5:$F$204,0)),IF(AK2809="","番号なし",AK2809)))</f>
        <v/>
      </c>
      <c r="D2809" s="47" t="n"/>
      <c r="E2809" s="47" t="n"/>
      <c r="F2809" s="47" t="n"/>
      <c r="G2809" s="47" t="n"/>
      <c r="H2809" s="47" t="n"/>
      <c r="I2809" s="47" t="n"/>
      <c r="J2809" s="47" t="n"/>
      <c r="K2809" s="47" t="n"/>
      <c r="L2809" s="47" t="n"/>
      <c r="M2809" s="47" t="n"/>
      <c r="N2809" s="47" t="n"/>
      <c r="O2809" s="47" t="n"/>
      <c r="P2809" s="47" t="n"/>
      <c r="Q2809" s="47" t="n"/>
      <c r="R2809" s="47" t="n"/>
      <c r="S2809" s="47" t="n"/>
      <c r="T2809" s="47" t="n"/>
      <c r="U2809" s="53" t="n"/>
      <c r="V2809" s="53" t="n"/>
      <c r="W2809" s="47" t="n"/>
      <c r="X2809" s="47" t="n"/>
      <c r="Y2809" s="47" t="n"/>
      <c r="Z2809" s="47" t="n"/>
      <c r="AA2809" s="47" t="n"/>
      <c r="AB2809" s="47" t="n"/>
      <c r="AC2809" s="47" t="n"/>
      <c r="AD2809" s="47" t="n"/>
      <c r="AE2809" s="47" t="n"/>
      <c r="AF2809" s="20">
        <f>IF(A2809="","",YEAR(EDATE(A2809,-3)))</f>
        <v/>
      </c>
      <c r="AG2809" s="20">
        <f>IF(OR(B2809="",'経歴簿'!$C$4=""),"",IF(B2809&amp;""='経歴簿'!$C$4&amp;"",MAX($AG$4:AG2808)+1,""))</f>
        <v/>
      </c>
      <c r="AH2809" s="20">
        <f>IF(A2809="",0,IF(AND(OR('CSV抽出'!$C$4="",A2809&gt;='CSV抽出'!$C$4),OR('CSV抽出'!$C$5="",A2809&lt;='CSV抽出'!$C$5),OR('CSV抽出'!$C$6="すべて",'CSV抽出'!$C$6="",D2809='CSV抽出'!$C$6),OR('CSV抽出'!$C$7="",B2809&amp;""='CSV抽出'!$C$7&amp;"")),1,0))</f>
        <v/>
      </c>
      <c r="AI2809" s="20">
        <f>IF(AH2809=1,SUM($AH$5:AH2809),"")</f>
        <v/>
      </c>
      <c r="AJ2809" s="20">
        <f>IF(OR(S2809="",'報告書'!$C$4=""),"",IF(S2809&amp;""='報告書'!$C$4&amp;"",COUNTIF($S$5:S2809,'報告書'!$C$4),""))</f>
        <v/>
      </c>
      <c r="AK2809" s="20" t="n"/>
      <c r="AL2809" s="47" t="n"/>
      <c r="AM2809" s="47" t="n"/>
      <c r="AN2809" s="53" t="n"/>
      <c r="AO2809" s="47" t="n"/>
      <c r="AP2809" s="47" t="n"/>
      <c r="AQ2809" s="47" t="n"/>
      <c r="AR2809" s="47" t="n"/>
      <c r="AS2809" s="47" t="n"/>
      <c r="AT2809" s="47" t="n"/>
      <c r="AU2809" s="47" t="n"/>
      <c r="AV2809" s="47" t="n"/>
      <c r="AW2809" s="52" t="n"/>
    </row>
    <row r="2810">
      <c r="A2810" s="48" t="n"/>
      <c r="B2810" s="52" t="n"/>
      <c r="C2810" s="47">
        <f>IF(B2810="","",IFERROR(INDEX('隊員マスタ'!$B$5:$B$204,MATCH(B2810&amp;"",'隊員マスタ'!$F$5:$F$204,0)),IF(AK2810="","番号なし",AK2810)))</f>
        <v/>
      </c>
      <c r="D2810" s="47" t="n"/>
      <c r="E2810" s="47" t="n"/>
      <c r="F2810" s="47" t="n"/>
      <c r="G2810" s="47" t="n"/>
      <c r="H2810" s="47" t="n"/>
      <c r="I2810" s="47" t="n"/>
      <c r="J2810" s="47" t="n"/>
      <c r="K2810" s="47" t="n"/>
      <c r="L2810" s="47" t="n"/>
      <c r="M2810" s="47" t="n"/>
      <c r="N2810" s="47" t="n"/>
      <c r="O2810" s="47" t="n"/>
      <c r="P2810" s="47" t="n"/>
      <c r="Q2810" s="47" t="n"/>
      <c r="R2810" s="47" t="n"/>
      <c r="S2810" s="47" t="n"/>
      <c r="T2810" s="47" t="n"/>
      <c r="U2810" s="53" t="n"/>
      <c r="V2810" s="53" t="n"/>
      <c r="W2810" s="47" t="n"/>
      <c r="X2810" s="47" t="n"/>
      <c r="Y2810" s="47" t="n"/>
      <c r="Z2810" s="47" t="n"/>
      <c r="AA2810" s="47" t="n"/>
      <c r="AB2810" s="47" t="n"/>
      <c r="AC2810" s="47" t="n"/>
      <c r="AD2810" s="47" t="n"/>
      <c r="AE2810" s="47" t="n"/>
      <c r="AF2810" s="20">
        <f>IF(A2810="","",YEAR(EDATE(A2810,-3)))</f>
        <v/>
      </c>
      <c r="AG2810" s="20">
        <f>IF(OR(B2810="",'経歴簿'!$C$4=""),"",IF(B2810&amp;""='経歴簿'!$C$4&amp;"",MAX($AG$4:AG2809)+1,""))</f>
        <v/>
      </c>
      <c r="AH2810" s="20">
        <f>IF(A2810="",0,IF(AND(OR('CSV抽出'!$C$4="",A2810&gt;='CSV抽出'!$C$4),OR('CSV抽出'!$C$5="",A2810&lt;='CSV抽出'!$C$5),OR('CSV抽出'!$C$6="すべて",'CSV抽出'!$C$6="",D2810='CSV抽出'!$C$6),OR('CSV抽出'!$C$7="",B2810&amp;""='CSV抽出'!$C$7&amp;"")),1,0))</f>
        <v/>
      </c>
      <c r="AI2810" s="20">
        <f>IF(AH2810=1,SUM($AH$5:AH2810),"")</f>
        <v/>
      </c>
      <c r="AJ2810" s="20">
        <f>IF(OR(S2810="",'報告書'!$C$4=""),"",IF(S2810&amp;""='報告書'!$C$4&amp;"",COUNTIF($S$5:S2810,'報告書'!$C$4),""))</f>
        <v/>
      </c>
      <c r="AK2810" s="20" t="n"/>
      <c r="AL2810" s="47" t="n"/>
      <c r="AM2810" s="47" t="n"/>
      <c r="AN2810" s="53" t="n"/>
      <c r="AO2810" s="47" t="n"/>
      <c r="AP2810" s="47" t="n"/>
      <c r="AQ2810" s="47" t="n"/>
      <c r="AR2810" s="47" t="n"/>
      <c r="AS2810" s="47" t="n"/>
      <c r="AT2810" s="47" t="n"/>
      <c r="AU2810" s="47" t="n"/>
      <c r="AV2810" s="47" t="n"/>
      <c r="AW2810" s="52" t="n"/>
    </row>
    <row r="2811">
      <c r="A2811" s="48" t="n"/>
      <c r="B2811" s="52" t="n"/>
      <c r="C2811" s="47">
        <f>IF(B2811="","",IFERROR(INDEX('隊員マスタ'!$B$5:$B$204,MATCH(B2811&amp;"",'隊員マスタ'!$F$5:$F$204,0)),IF(AK2811="","番号なし",AK2811)))</f>
        <v/>
      </c>
      <c r="D2811" s="47" t="n"/>
      <c r="E2811" s="47" t="n"/>
      <c r="F2811" s="47" t="n"/>
      <c r="G2811" s="47" t="n"/>
      <c r="H2811" s="47" t="n"/>
      <c r="I2811" s="47" t="n"/>
      <c r="J2811" s="47" t="n"/>
      <c r="K2811" s="47" t="n"/>
      <c r="L2811" s="47" t="n"/>
      <c r="M2811" s="47" t="n"/>
      <c r="N2811" s="47" t="n"/>
      <c r="O2811" s="47" t="n"/>
      <c r="P2811" s="47" t="n"/>
      <c r="Q2811" s="47" t="n"/>
      <c r="R2811" s="47" t="n"/>
      <c r="S2811" s="47" t="n"/>
      <c r="T2811" s="47" t="n"/>
      <c r="U2811" s="53" t="n"/>
      <c r="V2811" s="53" t="n"/>
      <c r="W2811" s="47" t="n"/>
      <c r="X2811" s="47" t="n"/>
      <c r="Y2811" s="47" t="n"/>
      <c r="Z2811" s="47" t="n"/>
      <c r="AA2811" s="47" t="n"/>
      <c r="AB2811" s="47" t="n"/>
      <c r="AC2811" s="47" t="n"/>
      <c r="AD2811" s="47" t="n"/>
      <c r="AE2811" s="47" t="n"/>
      <c r="AF2811" s="20">
        <f>IF(A2811="","",YEAR(EDATE(A2811,-3)))</f>
        <v/>
      </c>
      <c r="AG2811" s="20">
        <f>IF(OR(B2811="",'経歴簿'!$C$4=""),"",IF(B2811&amp;""='経歴簿'!$C$4&amp;"",MAX($AG$4:AG2810)+1,""))</f>
        <v/>
      </c>
      <c r="AH2811" s="20">
        <f>IF(A2811="",0,IF(AND(OR('CSV抽出'!$C$4="",A2811&gt;='CSV抽出'!$C$4),OR('CSV抽出'!$C$5="",A2811&lt;='CSV抽出'!$C$5),OR('CSV抽出'!$C$6="すべて",'CSV抽出'!$C$6="",D2811='CSV抽出'!$C$6),OR('CSV抽出'!$C$7="",B2811&amp;""='CSV抽出'!$C$7&amp;"")),1,0))</f>
        <v/>
      </c>
      <c r="AI2811" s="20">
        <f>IF(AH2811=1,SUM($AH$5:AH2811),"")</f>
        <v/>
      </c>
      <c r="AJ2811" s="20">
        <f>IF(OR(S2811="",'報告書'!$C$4=""),"",IF(S2811&amp;""='報告書'!$C$4&amp;"",COUNTIF($S$5:S2811,'報告書'!$C$4),""))</f>
        <v/>
      </c>
      <c r="AK2811" s="20" t="n"/>
      <c r="AL2811" s="47" t="n"/>
      <c r="AM2811" s="47" t="n"/>
      <c r="AN2811" s="53" t="n"/>
      <c r="AO2811" s="47" t="n"/>
      <c r="AP2811" s="47" t="n"/>
      <c r="AQ2811" s="47" t="n"/>
      <c r="AR2811" s="47" t="n"/>
      <c r="AS2811" s="47" t="n"/>
      <c r="AT2811" s="47" t="n"/>
      <c r="AU2811" s="47" t="n"/>
      <c r="AV2811" s="47" t="n"/>
      <c r="AW2811" s="52" t="n"/>
    </row>
    <row r="2812">
      <c r="A2812" s="48" t="n"/>
      <c r="B2812" s="52" t="n"/>
      <c r="C2812" s="47">
        <f>IF(B2812="","",IFERROR(INDEX('隊員マスタ'!$B$5:$B$204,MATCH(B2812&amp;"",'隊員マスタ'!$F$5:$F$204,0)),IF(AK2812="","番号なし",AK2812)))</f>
        <v/>
      </c>
      <c r="D2812" s="47" t="n"/>
      <c r="E2812" s="47" t="n"/>
      <c r="F2812" s="47" t="n"/>
      <c r="G2812" s="47" t="n"/>
      <c r="H2812" s="47" t="n"/>
      <c r="I2812" s="47" t="n"/>
      <c r="J2812" s="47" t="n"/>
      <c r="K2812" s="47" t="n"/>
      <c r="L2812" s="47" t="n"/>
      <c r="M2812" s="47" t="n"/>
      <c r="N2812" s="47" t="n"/>
      <c r="O2812" s="47" t="n"/>
      <c r="P2812" s="47" t="n"/>
      <c r="Q2812" s="47" t="n"/>
      <c r="R2812" s="47" t="n"/>
      <c r="S2812" s="47" t="n"/>
      <c r="T2812" s="47" t="n"/>
      <c r="U2812" s="53" t="n"/>
      <c r="V2812" s="53" t="n"/>
      <c r="W2812" s="47" t="n"/>
      <c r="X2812" s="47" t="n"/>
      <c r="Y2812" s="47" t="n"/>
      <c r="Z2812" s="47" t="n"/>
      <c r="AA2812" s="47" t="n"/>
      <c r="AB2812" s="47" t="n"/>
      <c r="AC2812" s="47" t="n"/>
      <c r="AD2812" s="47" t="n"/>
      <c r="AE2812" s="47" t="n"/>
      <c r="AF2812" s="20">
        <f>IF(A2812="","",YEAR(EDATE(A2812,-3)))</f>
        <v/>
      </c>
      <c r="AG2812" s="20">
        <f>IF(OR(B2812="",'経歴簿'!$C$4=""),"",IF(B2812&amp;""='経歴簿'!$C$4&amp;"",MAX($AG$4:AG2811)+1,""))</f>
        <v/>
      </c>
      <c r="AH2812" s="20">
        <f>IF(A2812="",0,IF(AND(OR('CSV抽出'!$C$4="",A2812&gt;='CSV抽出'!$C$4),OR('CSV抽出'!$C$5="",A2812&lt;='CSV抽出'!$C$5),OR('CSV抽出'!$C$6="すべて",'CSV抽出'!$C$6="",D2812='CSV抽出'!$C$6),OR('CSV抽出'!$C$7="",B2812&amp;""='CSV抽出'!$C$7&amp;"")),1,0))</f>
        <v/>
      </c>
      <c r="AI2812" s="20">
        <f>IF(AH2812=1,SUM($AH$5:AH2812),"")</f>
        <v/>
      </c>
      <c r="AJ2812" s="20">
        <f>IF(OR(S2812="",'報告書'!$C$4=""),"",IF(S2812&amp;""='報告書'!$C$4&amp;"",COUNTIF($S$5:S2812,'報告書'!$C$4),""))</f>
        <v/>
      </c>
      <c r="AK2812" s="20" t="n"/>
      <c r="AL2812" s="47" t="n"/>
      <c r="AM2812" s="47" t="n"/>
      <c r="AN2812" s="53" t="n"/>
      <c r="AO2812" s="47" t="n"/>
      <c r="AP2812" s="47" t="n"/>
      <c r="AQ2812" s="47" t="n"/>
      <c r="AR2812" s="47" t="n"/>
      <c r="AS2812" s="47" t="n"/>
      <c r="AT2812" s="47" t="n"/>
      <c r="AU2812" s="47" t="n"/>
      <c r="AV2812" s="47" t="n"/>
      <c r="AW2812" s="52" t="n"/>
    </row>
    <row r="2813">
      <c r="A2813" s="48" t="n"/>
      <c r="B2813" s="52" t="n"/>
      <c r="C2813" s="47">
        <f>IF(B2813="","",IFERROR(INDEX('隊員マスタ'!$B$5:$B$204,MATCH(B2813&amp;"",'隊員マスタ'!$F$5:$F$204,0)),IF(AK2813="","番号なし",AK2813)))</f>
        <v/>
      </c>
      <c r="D2813" s="47" t="n"/>
      <c r="E2813" s="47" t="n"/>
      <c r="F2813" s="47" t="n"/>
      <c r="G2813" s="47" t="n"/>
      <c r="H2813" s="47" t="n"/>
      <c r="I2813" s="47" t="n"/>
      <c r="J2813" s="47" t="n"/>
      <c r="K2813" s="47" t="n"/>
      <c r="L2813" s="47" t="n"/>
      <c r="M2813" s="47" t="n"/>
      <c r="N2813" s="47" t="n"/>
      <c r="O2813" s="47" t="n"/>
      <c r="P2813" s="47" t="n"/>
      <c r="Q2813" s="47" t="n"/>
      <c r="R2813" s="47" t="n"/>
      <c r="S2813" s="47" t="n"/>
      <c r="T2813" s="47" t="n"/>
      <c r="U2813" s="53" t="n"/>
      <c r="V2813" s="53" t="n"/>
      <c r="W2813" s="47" t="n"/>
      <c r="X2813" s="47" t="n"/>
      <c r="Y2813" s="47" t="n"/>
      <c r="Z2813" s="47" t="n"/>
      <c r="AA2813" s="47" t="n"/>
      <c r="AB2813" s="47" t="n"/>
      <c r="AC2813" s="47" t="n"/>
      <c r="AD2813" s="47" t="n"/>
      <c r="AE2813" s="47" t="n"/>
      <c r="AF2813" s="20">
        <f>IF(A2813="","",YEAR(EDATE(A2813,-3)))</f>
        <v/>
      </c>
      <c r="AG2813" s="20">
        <f>IF(OR(B2813="",'経歴簿'!$C$4=""),"",IF(B2813&amp;""='経歴簿'!$C$4&amp;"",MAX($AG$4:AG2812)+1,""))</f>
        <v/>
      </c>
      <c r="AH2813" s="20">
        <f>IF(A2813="",0,IF(AND(OR('CSV抽出'!$C$4="",A2813&gt;='CSV抽出'!$C$4),OR('CSV抽出'!$C$5="",A2813&lt;='CSV抽出'!$C$5),OR('CSV抽出'!$C$6="すべて",'CSV抽出'!$C$6="",D2813='CSV抽出'!$C$6),OR('CSV抽出'!$C$7="",B2813&amp;""='CSV抽出'!$C$7&amp;"")),1,0))</f>
        <v/>
      </c>
      <c r="AI2813" s="20">
        <f>IF(AH2813=1,SUM($AH$5:AH2813),"")</f>
        <v/>
      </c>
      <c r="AJ2813" s="20">
        <f>IF(OR(S2813="",'報告書'!$C$4=""),"",IF(S2813&amp;""='報告書'!$C$4&amp;"",COUNTIF($S$5:S2813,'報告書'!$C$4),""))</f>
        <v/>
      </c>
      <c r="AK2813" s="20" t="n"/>
      <c r="AL2813" s="47" t="n"/>
      <c r="AM2813" s="47" t="n"/>
      <c r="AN2813" s="53" t="n"/>
      <c r="AO2813" s="47" t="n"/>
      <c r="AP2813" s="47" t="n"/>
      <c r="AQ2813" s="47" t="n"/>
      <c r="AR2813" s="47" t="n"/>
      <c r="AS2813" s="47" t="n"/>
      <c r="AT2813" s="47" t="n"/>
      <c r="AU2813" s="47" t="n"/>
      <c r="AV2813" s="47" t="n"/>
      <c r="AW2813" s="52" t="n"/>
    </row>
    <row r="2814">
      <c r="A2814" s="48" t="n"/>
      <c r="B2814" s="52" t="n"/>
      <c r="C2814" s="47">
        <f>IF(B2814="","",IFERROR(INDEX('隊員マスタ'!$B$5:$B$204,MATCH(B2814&amp;"",'隊員マスタ'!$F$5:$F$204,0)),IF(AK2814="","番号なし",AK2814)))</f>
        <v/>
      </c>
      <c r="D2814" s="47" t="n"/>
      <c r="E2814" s="47" t="n"/>
      <c r="F2814" s="47" t="n"/>
      <c r="G2814" s="47" t="n"/>
      <c r="H2814" s="47" t="n"/>
      <c r="I2814" s="47" t="n"/>
      <c r="J2814" s="47" t="n"/>
      <c r="K2814" s="47" t="n"/>
      <c r="L2814" s="47" t="n"/>
      <c r="M2814" s="47" t="n"/>
      <c r="N2814" s="47" t="n"/>
      <c r="O2814" s="47" t="n"/>
      <c r="P2814" s="47" t="n"/>
      <c r="Q2814" s="47" t="n"/>
      <c r="R2814" s="47" t="n"/>
      <c r="S2814" s="47" t="n"/>
      <c r="T2814" s="47" t="n"/>
      <c r="U2814" s="53" t="n"/>
      <c r="V2814" s="53" t="n"/>
      <c r="W2814" s="47" t="n"/>
      <c r="X2814" s="47" t="n"/>
      <c r="Y2814" s="47" t="n"/>
      <c r="Z2814" s="47" t="n"/>
      <c r="AA2814" s="47" t="n"/>
      <c r="AB2814" s="47" t="n"/>
      <c r="AC2814" s="47" t="n"/>
      <c r="AD2814" s="47" t="n"/>
      <c r="AE2814" s="47" t="n"/>
      <c r="AF2814" s="20">
        <f>IF(A2814="","",YEAR(EDATE(A2814,-3)))</f>
        <v/>
      </c>
      <c r="AG2814" s="20">
        <f>IF(OR(B2814="",'経歴簿'!$C$4=""),"",IF(B2814&amp;""='経歴簿'!$C$4&amp;"",MAX($AG$4:AG2813)+1,""))</f>
        <v/>
      </c>
      <c r="AH2814" s="20">
        <f>IF(A2814="",0,IF(AND(OR('CSV抽出'!$C$4="",A2814&gt;='CSV抽出'!$C$4),OR('CSV抽出'!$C$5="",A2814&lt;='CSV抽出'!$C$5),OR('CSV抽出'!$C$6="すべて",'CSV抽出'!$C$6="",D2814='CSV抽出'!$C$6),OR('CSV抽出'!$C$7="",B2814&amp;""='CSV抽出'!$C$7&amp;"")),1,0))</f>
        <v/>
      </c>
      <c r="AI2814" s="20">
        <f>IF(AH2814=1,SUM($AH$5:AH2814),"")</f>
        <v/>
      </c>
      <c r="AJ2814" s="20">
        <f>IF(OR(S2814="",'報告書'!$C$4=""),"",IF(S2814&amp;""='報告書'!$C$4&amp;"",COUNTIF($S$5:S2814,'報告書'!$C$4),""))</f>
        <v/>
      </c>
      <c r="AK2814" s="20" t="n"/>
      <c r="AL2814" s="47" t="n"/>
      <c r="AM2814" s="47" t="n"/>
      <c r="AN2814" s="53" t="n"/>
      <c r="AO2814" s="47" t="n"/>
      <c r="AP2814" s="47" t="n"/>
      <c r="AQ2814" s="47" t="n"/>
      <c r="AR2814" s="47" t="n"/>
      <c r="AS2814" s="47" t="n"/>
      <c r="AT2814" s="47" t="n"/>
      <c r="AU2814" s="47" t="n"/>
      <c r="AV2814" s="47" t="n"/>
      <c r="AW2814" s="52" t="n"/>
    </row>
    <row r="2815">
      <c r="A2815" s="48" t="n"/>
      <c r="B2815" s="52" t="n"/>
      <c r="C2815" s="47">
        <f>IF(B2815="","",IFERROR(INDEX('隊員マスタ'!$B$5:$B$204,MATCH(B2815&amp;"",'隊員マスタ'!$F$5:$F$204,0)),IF(AK2815="","番号なし",AK2815)))</f>
        <v/>
      </c>
      <c r="D2815" s="47" t="n"/>
      <c r="E2815" s="47" t="n"/>
      <c r="F2815" s="47" t="n"/>
      <c r="G2815" s="47" t="n"/>
      <c r="H2815" s="47" t="n"/>
      <c r="I2815" s="47" t="n"/>
      <c r="J2815" s="47" t="n"/>
      <c r="K2815" s="47" t="n"/>
      <c r="L2815" s="47" t="n"/>
      <c r="M2815" s="47" t="n"/>
      <c r="N2815" s="47" t="n"/>
      <c r="O2815" s="47" t="n"/>
      <c r="P2815" s="47" t="n"/>
      <c r="Q2815" s="47" t="n"/>
      <c r="R2815" s="47" t="n"/>
      <c r="S2815" s="47" t="n"/>
      <c r="T2815" s="47" t="n"/>
      <c r="U2815" s="53" t="n"/>
      <c r="V2815" s="53" t="n"/>
      <c r="W2815" s="47" t="n"/>
      <c r="X2815" s="47" t="n"/>
      <c r="Y2815" s="47" t="n"/>
      <c r="Z2815" s="47" t="n"/>
      <c r="AA2815" s="47" t="n"/>
      <c r="AB2815" s="47" t="n"/>
      <c r="AC2815" s="47" t="n"/>
      <c r="AD2815" s="47" t="n"/>
      <c r="AE2815" s="47" t="n"/>
      <c r="AF2815" s="20">
        <f>IF(A2815="","",YEAR(EDATE(A2815,-3)))</f>
        <v/>
      </c>
      <c r="AG2815" s="20">
        <f>IF(OR(B2815="",'経歴簿'!$C$4=""),"",IF(B2815&amp;""='経歴簿'!$C$4&amp;"",MAX($AG$4:AG2814)+1,""))</f>
        <v/>
      </c>
      <c r="AH2815" s="20">
        <f>IF(A2815="",0,IF(AND(OR('CSV抽出'!$C$4="",A2815&gt;='CSV抽出'!$C$4),OR('CSV抽出'!$C$5="",A2815&lt;='CSV抽出'!$C$5),OR('CSV抽出'!$C$6="すべて",'CSV抽出'!$C$6="",D2815='CSV抽出'!$C$6),OR('CSV抽出'!$C$7="",B2815&amp;""='CSV抽出'!$C$7&amp;"")),1,0))</f>
        <v/>
      </c>
      <c r="AI2815" s="20">
        <f>IF(AH2815=1,SUM($AH$5:AH2815),"")</f>
        <v/>
      </c>
      <c r="AJ2815" s="20">
        <f>IF(OR(S2815="",'報告書'!$C$4=""),"",IF(S2815&amp;""='報告書'!$C$4&amp;"",COUNTIF($S$5:S2815,'報告書'!$C$4),""))</f>
        <v/>
      </c>
      <c r="AK2815" s="20" t="n"/>
      <c r="AL2815" s="47" t="n"/>
      <c r="AM2815" s="47" t="n"/>
      <c r="AN2815" s="53" t="n"/>
      <c r="AO2815" s="47" t="n"/>
      <c r="AP2815" s="47" t="n"/>
      <c r="AQ2815" s="47" t="n"/>
      <c r="AR2815" s="47" t="n"/>
      <c r="AS2815" s="47" t="n"/>
      <c r="AT2815" s="47" t="n"/>
      <c r="AU2815" s="47" t="n"/>
      <c r="AV2815" s="47" t="n"/>
      <c r="AW2815" s="52" t="n"/>
    </row>
    <row r="2816">
      <c r="A2816" s="48" t="n"/>
      <c r="B2816" s="52" t="n"/>
      <c r="C2816" s="47">
        <f>IF(B2816="","",IFERROR(INDEX('隊員マスタ'!$B$5:$B$204,MATCH(B2816&amp;"",'隊員マスタ'!$F$5:$F$204,0)),IF(AK2816="","番号なし",AK2816)))</f>
        <v/>
      </c>
      <c r="D2816" s="47" t="n"/>
      <c r="E2816" s="47" t="n"/>
      <c r="F2816" s="47" t="n"/>
      <c r="G2816" s="47" t="n"/>
      <c r="H2816" s="47" t="n"/>
      <c r="I2816" s="47" t="n"/>
      <c r="J2816" s="47" t="n"/>
      <c r="K2816" s="47" t="n"/>
      <c r="L2816" s="47" t="n"/>
      <c r="M2816" s="47" t="n"/>
      <c r="N2816" s="47" t="n"/>
      <c r="O2816" s="47" t="n"/>
      <c r="P2816" s="47" t="n"/>
      <c r="Q2816" s="47" t="n"/>
      <c r="R2816" s="47" t="n"/>
      <c r="S2816" s="47" t="n"/>
      <c r="T2816" s="47" t="n"/>
      <c r="U2816" s="53" t="n"/>
      <c r="V2816" s="53" t="n"/>
      <c r="W2816" s="47" t="n"/>
      <c r="X2816" s="47" t="n"/>
      <c r="Y2816" s="47" t="n"/>
      <c r="Z2816" s="47" t="n"/>
      <c r="AA2816" s="47" t="n"/>
      <c r="AB2816" s="47" t="n"/>
      <c r="AC2816" s="47" t="n"/>
      <c r="AD2816" s="47" t="n"/>
      <c r="AE2816" s="47" t="n"/>
      <c r="AF2816" s="20">
        <f>IF(A2816="","",YEAR(EDATE(A2816,-3)))</f>
        <v/>
      </c>
      <c r="AG2816" s="20">
        <f>IF(OR(B2816="",'経歴簿'!$C$4=""),"",IF(B2816&amp;""='経歴簿'!$C$4&amp;"",MAX($AG$4:AG2815)+1,""))</f>
        <v/>
      </c>
      <c r="AH2816" s="20">
        <f>IF(A2816="",0,IF(AND(OR('CSV抽出'!$C$4="",A2816&gt;='CSV抽出'!$C$4),OR('CSV抽出'!$C$5="",A2816&lt;='CSV抽出'!$C$5),OR('CSV抽出'!$C$6="すべて",'CSV抽出'!$C$6="",D2816='CSV抽出'!$C$6),OR('CSV抽出'!$C$7="",B2816&amp;""='CSV抽出'!$C$7&amp;"")),1,0))</f>
        <v/>
      </c>
      <c r="AI2816" s="20">
        <f>IF(AH2816=1,SUM($AH$5:AH2816),"")</f>
        <v/>
      </c>
      <c r="AJ2816" s="20">
        <f>IF(OR(S2816="",'報告書'!$C$4=""),"",IF(S2816&amp;""='報告書'!$C$4&amp;"",COUNTIF($S$5:S2816,'報告書'!$C$4),""))</f>
        <v/>
      </c>
      <c r="AK2816" s="20" t="n"/>
      <c r="AL2816" s="47" t="n"/>
      <c r="AM2816" s="47" t="n"/>
      <c r="AN2816" s="53" t="n"/>
      <c r="AO2816" s="47" t="n"/>
      <c r="AP2816" s="47" t="n"/>
      <c r="AQ2816" s="47" t="n"/>
      <c r="AR2816" s="47" t="n"/>
      <c r="AS2816" s="47" t="n"/>
      <c r="AT2816" s="47" t="n"/>
      <c r="AU2816" s="47" t="n"/>
      <c r="AV2816" s="47" t="n"/>
      <c r="AW2816" s="52" t="n"/>
    </row>
    <row r="2817">
      <c r="A2817" s="48" t="n"/>
      <c r="B2817" s="52" t="n"/>
      <c r="C2817" s="47">
        <f>IF(B2817="","",IFERROR(INDEX('隊員マスタ'!$B$5:$B$204,MATCH(B2817&amp;"",'隊員マスタ'!$F$5:$F$204,0)),IF(AK2817="","番号なし",AK2817)))</f>
        <v/>
      </c>
      <c r="D2817" s="47" t="n"/>
      <c r="E2817" s="47" t="n"/>
      <c r="F2817" s="47" t="n"/>
      <c r="G2817" s="47" t="n"/>
      <c r="H2817" s="47" t="n"/>
      <c r="I2817" s="47" t="n"/>
      <c r="J2817" s="47" t="n"/>
      <c r="K2817" s="47" t="n"/>
      <c r="L2817" s="47" t="n"/>
      <c r="M2817" s="47" t="n"/>
      <c r="N2817" s="47" t="n"/>
      <c r="O2817" s="47" t="n"/>
      <c r="P2817" s="47" t="n"/>
      <c r="Q2817" s="47" t="n"/>
      <c r="R2817" s="47" t="n"/>
      <c r="S2817" s="47" t="n"/>
      <c r="T2817" s="47" t="n"/>
      <c r="U2817" s="53" t="n"/>
      <c r="V2817" s="53" t="n"/>
      <c r="W2817" s="47" t="n"/>
      <c r="X2817" s="47" t="n"/>
      <c r="Y2817" s="47" t="n"/>
      <c r="Z2817" s="47" t="n"/>
      <c r="AA2817" s="47" t="n"/>
      <c r="AB2817" s="47" t="n"/>
      <c r="AC2817" s="47" t="n"/>
      <c r="AD2817" s="47" t="n"/>
      <c r="AE2817" s="47" t="n"/>
      <c r="AF2817" s="20">
        <f>IF(A2817="","",YEAR(EDATE(A2817,-3)))</f>
        <v/>
      </c>
      <c r="AG2817" s="20">
        <f>IF(OR(B2817="",'経歴簿'!$C$4=""),"",IF(B2817&amp;""='経歴簿'!$C$4&amp;"",MAX($AG$4:AG2816)+1,""))</f>
        <v/>
      </c>
      <c r="AH2817" s="20">
        <f>IF(A2817="",0,IF(AND(OR('CSV抽出'!$C$4="",A2817&gt;='CSV抽出'!$C$4),OR('CSV抽出'!$C$5="",A2817&lt;='CSV抽出'!$C$5),OR('CSV抽出'!$C$6="すべて",'CSV抽出'!$C$6="",D2817='CSV抽出'!$C$6),OR('CSV抽出'!$C$7="",B2817&amp;""='CSV抽出'!$C$7&amp;"")),1,0))</f>
        <v/>
      </c>
      <c r="AI2817" s="20">
        <f>IF(AH2817=1,SUM($AH$5:AH2817),"")</f>
        <v/>
      </c>
      <c r="AJ2817" s="20">
        <f>IF(OR(S2817="",'報告書'!$C$4=""),"",IF(S2817&amp;""='報告書'!$C$4&amp;"",COUNTIF($S$5:S2817,'報告書'!$C$4),""))</f>
        <v/>
      </c>
      <c r="AK2817" s="20" t="n"/>
      <c r="AL2817" s="47" t="n"/>
      <c r="AM2817" s="47" t="n"/>
      <c r="AN2817" s="53" t="n"/>
      <c r="AO2817" s="47" t="n"/>
      <c r="AP2817" s="47" t="n"/>
      <c r="AQ2817" s="47" t="n"/>
      <c r="AR2817" s="47" t="n"/>
      <c r="AS2817" s="47" t="n"/>
      <c r="AT2817" s="47" t="n"/>
      <c r="AU2817" s="47" t="n"/>
      <c r="AV2817" s="47" t="n"/>
      <c r="AW2817" s="52" t="n"/>
    </row>
    <row r="2818">
      <c r="A2818" s="48" t="n"/>
      <c r="B2818" s="52" t="n"/>
      <c r="C2818" s="47">
        <f>IF(B2818="","",IFERROR(INDEX('隊員マスタ'!$B$5:$B$204,MATCH(B2818&amp;"",'隊員マスタ'!$F$5:$F$204,0)),IF(AK2818="","番号なし",AK2818)))</f>
        <v/>
      </c>
      <c r="D2818" s="47" t="n"/>
      <c r="E2818" s="47" t="n"/>
      <c r="F2818" s="47" t="n"/>
      <c r="G2818" s="47" t="n"/>
      <c r="H2818" s="47" t="n"/>
      <c r="I2818" s="47" t="n"/>
      <c r="J2818" s="47" t="n"/>
      <c r="K2818" s="47" t="n"/>
      <c r="L2818" s="47" t="n"/>
      <c r="M2818" s="47" t="n"/>
      <c r="N2818" s="47" t="n"/>
      <c r="O2818" s="47" t="n"/>
      <c r="P2818" s="47" t="n"/>
      <c r="Q2818" s="47" t="n"/>
      <c r="R2818" s="47" t="n"/>
      <c r="S2818" s="47" t="n"/>
      <c r="T2818" s="47" t="n"/>
      <c r="U2818" s="53" t="n"/>
      <c r="V2818" s="53" t="n"/>
      <c r="W2818" s="47" t="n"/>
      <c r="X2818" s="47" t="n"/>
      <c r="Y2818" s="47" t="n"/>
      <c r="Z2818" s="47" t="n"/>
      <c r="AA2818" s="47" t="n"/>
      <c r="AB2818" s="47" t="n"/>
      <c r="AC2818" s="47" t="n"/>
      <c r="AD2818" s="47" t="n"/>
      <c r="AE2818" s="47" t="n"/>
      <c r="AF2818" s="20">
        <f>IF(A2818="","",YEAR(EDATE(A2818,-3)))</f>
        <v/>
      </c>
      <c r="AG2818" s="20">
        <f>IF(OR(B2818="",'経歴簿'!$C$4=""),"",IF(B2818&amp;""='経歴簿'!$C$4&amp;"",MAX($AG$4:AG2817)+1,""))</f>
        <v/>
      </c>
      <c r="AH2818" s="20">
        <f>IF(A2818="",0,IF(AND(OR('CSV抽出'!$C$4="",A2818&gt;='CSV抽出'!$C$4),OR('CSV抽出'!$C$5="",A2818&lt;='CSV抽出'!$C$5),OR('CSV抽出'!$C$6="すべて",'CSV抽出'!$C$6="",D2818='CSV抽出'!$C$6),OR('CSV抽出'!$C$7="",B2818&amp;""='CSV抽出'!$C$7&amp;"")),1,0))</f>
        <v/>
      </c>
      <c r="AI2818" s="20">
        <f>IF(AH2818=1,SUM($AH$5:AH2818),"")</f>
        <v/>
      </c>
      <c r="AJ2818" s="20">
        <f>IF(OR(S2818="",'報告書'!$C$4=""),"",IF(S2818&amp;""='報告書'!$C$4&amp;"",COUNTIF($S$5:S2818,'報告書'!$C$4),""))</f>
        <v/>
      </c>
      <c r="AK2818" s="20" t="n"/>
      <c r="AL2818" s="47" t="n"/>
      <c r="AM2818" s="47" t="n"/>
      <c r="AN2818" s="53" t="n"/>
      <c r="AO2818" s="47" t="n"/>
      <c r="AP2818" s="47" t="n"/>
      <c r="AQ2818" s="47" t="n"/>
      <c r="AR2818" s="47" t="n"/>
      <c r="AS2818" s="47" t="n"/>
      <c r="AT2818" s="47" t="n"/>
      <c r="AU2818" s="47" t="n"/>
      <c r="AV2818" s="47" t="n"/>
      <c r="AW2818" s="52" t="n"/>
    </row>
    <row r="2819">
      <c r="A2819" s="48" t="n"/>
      <c r="B2819" s="52" t="n"/>
      <c r="C2819" s="47">
        <f>IF(B2819="","",IFERROR(INDEX('隊員マスタ'!$B$5:$B$204,MATCH(B2819&amp;"",'隊員マスタ'!$F$5:$F$204,0)),IF(AK2819="","番号なし",AK2819)))</f>
        <v/>
      </c>
      <c r="D2819" s="47" t="n"/>
      <c r="E2819" s="47" t="n"/>
      <c r="F2819" s="47" t="n"/>
      <c r="G2819" s="47" t="n"/>
      <c r="H2819" s="47" t="n"/>
      <c r="I2819" s="47" t="n"/>
      <c r="J2819" s="47" t="n"/>
      <c r="K2819" s="47" t="n"/>
      <c r="L2819" s="47" t="n"/>
      <c r="M2819" s="47" t="n"/>
      <c r="N2819" s="47" t="n"/>
      <c r="O2819" s="47" t="n"/>
      <c r="P2819" s="47" t="n"/>
      <c r="Q2819" s="47" t="n"/>
      <c r="R2819" s="47" t="n"/>
      <c r="S2819" s="47" t="n"/>
      <c r="T2819" s="47" t="n"/>
      <c r="U2819" s="53" t="n"/>
      <c r="V2819" s="53" t="n"/>
      <c r="W2819" s="47" t="n"/>
      <c r="X2819" s="47" t="n"/>
      <c r="Y2819" s="47" t="n"/>
      <c r="Z2819" s="47" t="n"/>
      <c r="AA2819" s="47" t="n"/>
      <c r="AB2819" s="47" t="n"/>
      <c r="AC2819" s="47" t="n"/>
      <c r="AD2819" s="47" t="n"/>
      <c r="AE2819" s="47" t="n"/>
      <c r="AF2819" s="20">
        <f>IF(A2819="","",YEAR(EDATE(A2819,-3)))</f>
        <v/>
      </c>
      <c r="AG2819" s="20">
        <f>IF(OR(B2819="",'経歴簿'!$C$4=""),"",IF(B2819&amp;""='経歴簿'!$C$4&amp;"",MAX($AG$4:AG2818)+1,""))</f>
        <v/>
      </c>
      <c r="AH2819" s="20">
        <f>IF(A2819="",0,IF(AND(OR('CSV抽出'!$C$4="",A2819&gt;='CSV抽出'!$C$4),OR('CSV抽出'!$C$5="",A2819&lt;='CSV抽出'!$C$5),OR('CSV抽出'!$C$6="すべて",'CSV抽出'!$C$6="",D2819='CSV抽出'!$C$6),OR('CSV抽出'!$C$7="",B2819&amp;""='CSV抽出'!$C$7&amp;"")),1,0))</f>
        <v/>
      </c>
      <c r="AI2819" s="20">
        <f>IF(AH2819=1,SUM($AH$5:AH2819),"")</f>
        <v/>
      </c>
      <c r="AJ2819" s="20">
        <f>IF(OR(S2819="",'報告書'!$C$4=""),"",IF(S2819&amp;""='報告書'!$C$4&amp;"",COUNTIF($S$5:S2819,'報告書'!$C$4),""))</f>
        <v/>
      </c>
      <c r="AK2819" s="20" t="n"/>
      <c r="AL2819" s="47" t="n"/>
      <c r="AM2819" s="47" t="n"/>
      <c r="AN2819" s="53" t="n"/>
      <c r="AO2819" s="47" t="n"/>
      <c r="AP2819" s="47" t="n"/>
      <c r="AQ2819" s="47" t="n"/>
      <c r="AR2819" s="47" t="n"/>
      <c r="AS2819" s="47" t="n"/>
      <c r="AT2819" s="47" t="n"/>
      <c r="AU2819" s="47" t="n"/>
      <c r="AV2819" s="47" t="n"/>
      <c r="AW2819" s="52" t="n"/>
    </row>
    <row r="2820">
      <c r="A2820" s="48" t="n"/>
      <c r="B2820" s="52" t="n"/>
      <c r="C2820" s="47">
        <f>IF(B2820="","",IFERROR(INDEX('隊員マスタ'!$B$5:$B$204,MATCH(B2820&amp;"",'隊員マスタ'!$F$5:$F$204,0)),IF(AK2820="","番号なし",AK2820)))</f>
        <v/>
      </c>
      <c r="D2820" s="47" t="n"/>
      <c r="E2820" s="47" t="n"/>
      <c r="F2820" s="47" t="n"/>
      <c r="G2820" s="47" t="n"/>
      <c r="H2820" s="47" t="n"/>
      <c r="I2820" s="47" t="n"/>
      <c r="J2820" s="47" t="n"/>
      <c r="K2820" s="47" t="n"/>
      <c r="L2820" s="47" t="n"/>
      <c r="M2820" s="47" t="n"/>
      <c r="N2820" s="47" t="n"/>
      <c r="O2820" s="47" t="n"/>
      <c r="P2820" s="47" t="n"/>
      <c r="Q2820" s="47" t="n"/>
      <c r="R2820" s="47" t="n"/>
      <c r="S2820" s="47" t="n"/>
      <c r="T2820" s="47" t="n"/>
      <c r="U2820" s="53" t="n"/>
      <c r="V2820" s="53" t="n"/>
      <c r="W2820" s="47" t="n"/>
      <c r="X2820" s="47" t="n"/>
      <c r="Y2820" s="47" t="n"/>
      <c r="Z2820" s="47" t="n"/>
      <c r="AA2820" s="47" t="n"/>
      <c r="AB2820" s="47" t="n"/>
      <c r="AC2820" s="47" t="n"/>
      <c r="AD2820" s="47" t="n"/>
      <c r="AE2820" s="47" t="n"/>
      <c r="AF2820" s="20">
        <f>IF(A2820="","",YEAR(EDATE(A2820,-3)))</f>
        <v/>
      </c>
      <c r="AG2820" s="20">
        <f>IF(OR(B2820="",'経歴簿'!$C$4=""),"",IF(B2820&amp;""='経歴簿'!$C$4&amp;"",MAX($AG$4:AG2819)+1,""))</f>
        <v/>
      </c>
      <c r="AH2820" s="20">
        <f>IF(A2820="",0,IF(AND(OR('CSV抽出'!$C$4="",A2820&gt;='CSV抽出'!$C$4),OR('CSV抽出'!$C$5="",A2820&lt;='CSV抽出'!$C$5),OR('CSV抽出'!$C$6="すべて",'CSV抽出'!$C$6="",D2820='CSV抽出'!$C$6),OR('CSV抽出'!$C$7="",B2820&amp;""='CSV抽出'!$C$7&amp;"")),1,0))</f>
        <v/>
      </c>
      <c r="AI2820" s="20">
        <f>IF(AH2820=1,SUM($AH$5:AH2820),"")</f>
        <v/>
      </c>
      <c r="AJ2820" s="20">
        <f>IF(OR(S2820="",'報告書'!$C$4=""),"",IF(S2820&amp;""='報告書'!$C$4&amp;"",COUNTIF($S$5:S2820,'報告書'!$C$4),""))</f>
        <v/>
      </c>
      <c r="AK2820" s="20" t="n"/>
      <c r="AL2820" s="47" t="n"/>
      <c r="AM2820" s="47" t="n"/>
      <c r="AN2820" s="53" t="n"/>
      <c r="AO2820" s="47" t="n"/>
      <c r="AP2820" s="47" t="n"/>
      <c r="AQ2820" s="47" t="n"/>
      <c r="AR2820" s="47" t="n"/>
      <c r="AS2820" s="47" t="n"/>
      <c r="AT2820" s="47" t="n"/>
      <c r="AU2820" s="47" t="n"/>
      <c r="AV2820" s="47" t="n"/>
      <c r="AW2820" s="52" t="n"/>
    </row>
    <row r="2821">
      <c r="A2821" s="48" t="n"/>
      <c r="B2821" s="52" t="n"/>
      <c r="C2821" s="47">
        <f>IF(B2821="","",IFERROR(INDEX('隊員マスタ'!$B$5:$B$204,MATCH(B2821&amp;"",'隊員マスタ'!$F$5:$F$204,0)),IF(AK2821="","番号なし",AK2821)))</f>
        <v/>
      </c>
      <c r="D2821" s="47" t="n"/>
      <c r="E2821" s="47" t="n"/>
      <c r="F2821" s="47" t="n"/>
      <c r="G2821" s="47" t="n"/>
      <c r="H2821" s="47" t="n"/>
      <c r="I2821" s="47" t="n"/>
      <c r="J2821" s="47" t="n"/>
      <c r="K2821" s="47" t="n"/>
      <c r="L2821" s="47" t="n"/>
      <c r="M2821" s="47" t="n"/>
      <c r="N2821" s="47" t="n"/>
      <c r="O2821" s="47" t="n"/>
      <c r="P2821" s="47" t="n"/>
      <c r="Q2821" s="47" t="n"/>
      <c r="R2821" s="47" t="n"/>
      <c r="S2821" s="47" t="n"/>
      <c r="T2821" s="47" t="n"/>
      <c r="U2821" s="53" t="n"/>
      <c r="V2821" s="53" t="n"/>
      <c r="W2821" s="47" t="n"/>
      <c r="X2821" s="47" t="n"/>
      <c r="Y2821" s="47" t="n"/>
      <c r="Z2821" s="47" t="n"/>
      <c r="AA2821" s="47" t="n"/>
      <c r="AB2821" s="47" t="n"/>
      <c r="AC2821" s="47" t="n"/>
      <c r="AD2821" s="47" t="n"/>
      <c r="AE2821" s="47" t="n"/>
      <c r="AF2821" s="20">
        <f>IF(A2821="","",YEAR(EDATE(A2821,-3)))</f>
        <v/>
      </c>
      <c r="AG2821" s="20">
        <f>IF(OR(B2821="",'経歴簿'!$C$4=""),"",IF(B2821&amp;""='経歴簿'!$C$4&amp;"",MAX($AG$4:AG2820)+1,""))</f>
        <v/>
      </c>
      <c r="AH2821" s="20">
        <f>IF(A2821="",0,IF(AND(OR('CSV抽出'!$C$4="",A2821&gt;='CSV抽出'!$C$4),OR('CSV抽出'!$C$5="",A2821&lt;='CSV抽出'!$C$5),OR('CSV抽出'!$C$6="すべて",'CSV抽出'!$C$6="",D2821='CSV抽出'!$C$6),OR('CSV抽出'!$C$7="",B2821&amp;""='CSV抽出'!$C$7&amp;"")),1,0))</f>
        <v/>
      </c>
      <c r="AI2821" s="20">
        <f>IF(AH2821=1,SUM($AH$5:AH2821),"")</f>
        <v/>
      </c>
      <c r="AJ2821" s="20">
        <f>IF(OR(S2821="",'報告書'!$C$4=""),"",IF(S2821&amp;""='報告書'!$C$4&amp;"",COUNTIF($S$5:S2821,'報告書'!$C$4),""))</f>
        <v/>
      </c>
      <c r="AK2821" s="20" t="n"/>
      <c r="AL2821" s="47" t="n"/>
      <c r="AM2821" s="47" t="n"/>
      <c r="AN2821" s="53" t="n"/>
      <c r="AO2821" s="47" t="n"/>
      <c r="AP2821" s="47" t="n"/>
      <c r="AQ2821" s="47" t="n"/>
      <c r="AR2821" s="47" t="n"/>
      <c r="AS2821" s="47" t="n"/>
      <c r="AT2821" s="47" t="n"/>
      <c r="AU2821" s="47" t="n"/>
      <c r="AV2821" s="47" t="n"/>
      <c r="AW2821" s="52" t="n"/>
    </row>
    <row r="2822">
      <c r="A2822" s="48" t="n"/>
      <c r="B2822" s="52" t="n"/>
      <c r="C2822" s="47">
        <f>IF(B2822="","",IFERROR(INDEX('隊員マスタ'!$B$5:$B$204,MATCH(B2822&amp;"",'隊員マスタ'!$F$5:$F$204,0)),IF(AK2822="","番号なし",AK2822)))</f>
        <v/>
      </c>
      <c r="D2822" s="47" t="n"/>
      <c r="E2822" s="47" t="n"/>
      <c r="F2822" s="47" t="n"/>
      <c r="G2822" s="47" t="n"/>
      <c r="H2822" s="47" t="n"/>
      <c r="I2822" s="47" t="n"/>
      <c r="J2822" s="47" t="n"/>
      <c r="K2822" s="47" t="n"/>
      <c r="L2822" s="47" t="n"/>
      <c r="M2822" s="47" t="n"/>
      <c r="N2822" s="47" t="n"/>
      <c r="O2822" s="47" t="n"/>
      <c r="P2822" s="47" t="n"/>
      <c r="Q2822" s="47" t="n"/>
      <c r="R2822" s="47" t="n"/>
      <c r="S2822" s="47" t="n"/>
      <c r="T2822" s="47" t="n"/>
      <c r="U2822" s="53" t="n"/>
      <c r="V2822" s="53" t="n"/>
      <c r="W2822" s="47" t="n"/>
      <c r="X2822" s="47" t="n"/>
      <c r="Y2822" s="47" t="n"/>
      <c r="Z2822" s="47" t="n"/>
      <c r="AA2822" s="47" t="n"/>
      <c r="AB2822" s="47" t="n"/>
      <c r="AC2822" s="47" t="n"/>
      <c r="AD2822" s="47" t="n"/>
      <c r="AE2822" s="47" t="n"/>
      <c r="AF2822" s="20">
        <f>IF(A2822="","",YEAR(EDATE(A2822,-3)))</f>
        <v/>
      </c>
      <c r="AG2822" s="20">
        <f>IF(OR(B2822="",'経歴簿'!$C$4=""),"",IF(B2822&amp;""='経歴簿'!$C$4&amp;"",MAX($AG$4:AG2821)+1,""))</f>
        <v/>
      </c>
      <c r="AH2822" s="20">
        <f>IF(A2822="",0,IF(AND(OR('CSV抽出'!$C$4="",A2822&gt;='CSV抽出'!$C$4),OR('CSV抽出'!$C$5="",A2822&lt;='CSV抽出'!$C$5),OR('CSV抽出'!$C$6="すべて",'CSV抽出'!$C$6="",D2822='CSV抽出'!$C$6),OR('CSV抽出'!$C$7="",B2822&amp;""='CSV抽出'!$C$7&amp;"")),1,0))</f>
        <v/>
      </c>
      <c r="AI2822" s="20">
        <f>IF(AH2822=1,SUM($AH$5:AH2822),"")</f>
        <v/>
      </c>
      <c r="AJ2822" s="20">
        <f>IF(OR(S2822="",'報告書'!$C$4=""),"",IF(S2822&amp;""='報告書'!$C$4&amp;"",COUNTIF($S$5:S2822,'報告書'!$C$4),""))</f>
        <v/>
      </c>
      <c r="AK2822" s="20" t="n"/>
      <c r="AL2822" s="47" t="n"/>
      <c r="AM2822" s="47" t="n"/>
      <c r="AN2822" s="53" t="n"/>
      <c r="AO2822" s="47" t="n"/>
      <c r="AP2822" s="47" t="n"/>
      <c r="AQ2822" s="47" t="n"/>
      <c r="AR2822" s="47" t="n"/>
      <c r="AS2822" s="47" t="n"/>
      <c r="AT2822" s="47" t="n"/>
      <c r="AU2822" s="47" t="n"/>
      <c r="AV2822" s="47" t="n"/>
      <c r="AW2822" s="52" t="n"/>
    </row>
    <row r="2823">
      <c r="A2823" s="48" t="n"/>
      <c r="B2823" s="52" t="n"/>
      <c r="C2823" s="47">
        <f>IF(B2823="","",IFERROR(INDEX('隊員マスタ'!$B$5:$B$204,MATCH(B2823&amp;"",'隊員マスタ'!$F$5:$F$204,0)),IF(AK2823="","番号なし",AK2823)))</f>
        <v/>
      </c>
      <c r="D2823" s="47" t="n"/>
      <c r="E2823" s="47" t="n"/>
      <c r="F2823" s="47" t="n"/>
      <c r="G2823" s="47" t="n"/>
      <c r="H2823" s="47" t="n"/>
      <c r="I2823" s="47" t="n"/>
      <c r="J2823" s="47" t="n"/>
      <c r="K2823" s="47" t="n"/>
      <c r="L2823" s="47" t="n"/>
      <c r="M2823" s="47" t="n"/>
      <c r="N2823" s="47" t="n"/>
      <c r="O2823" s="47" t="n"/>
      <c r="P2823" s="47" t="n"/>
      <c r="Q2823" s="47" t="n"/>
      <c r="R2823" s="47" t="n"/>
      <c r="S2823" s="47" t="n"/>
      <c r="T2823" s="47" t="n"/>
      <c r="U2823" s="53" t="n"/>
      <c r="V2823" s="53" t="n"/>
      <c r="W2823" s="47" t="n"/>
      <c r="X2823" s="47" t="n"/>
      <c r="Y2823" s="47" t="n"/>
      <c r="Z2823" s="47" t="n"/>
      <c r="AA2823" s="47" t="n"/>
      <c r="AB2823" s="47" t="n"/>
      <c r="AC2823" s="47" t="n"/>
      <c r="AD2823" s="47" t="n"/>
      <c r="AE2823" s="47" t="n"/>
      <c r="AF2823" s="20">
        <f>IF(A2823="","",YEAR(EDATE(A2823,-3)))</f>
        <v/>
      </c>
      <c r="AG2823" s="20">
        <f>IF(OR(B2823="",'経歴簿'!$C$4=""),"",IF(B2823&amp;""='経歴簿'!$C$4&amp;"",MAX($AG$4:AG2822)+1,""))</f>
        <v/>
      </c>
      <c r="AH2823" s="20">
        <f>IF(A2823="",0,IF(AND(OR('CSV抽出'!$C$4="",A2823&gt;='CSV抽出'!$C$4),OR('CSV抽出'!$C$5="",A2823&lt;='CSV抽出'!$C$5),OR('CSV抽出'!$C$6="すべて",'CSV抽出'!$C$6="",D2823='CSV抽出'!$C$6),OR('CSV抽出'!$C$7="",B2823&amp;""='CSV抽出'!$C$7&amp;"")),1,0))</f>
        <v/>
      </c>
      <c r="AI2823" s="20">
        <f>IF(AH2823=1,SUM($AH$5:AH2823),"")</f>
        <v/>
      </c>
      <c r="AJ2823" s="20">
        <f>IF(OR(S2823="",'報告書'!$C$4=""),"",IF(S2823&amp;""='報告書'!$C$4&amp;"",COUNTIF($S$5:S2823,'報告書'!$C$4),""))</f>
        <v/>
      </c>
      <c r="AK2823" s="20" t="n"/>
      <c r="AL2823" s="47" t="n"/>
      <c r="AM2823" s="47" t="n"/>
      <c r="AN2823" s="53" t="n"/>
      <c r="AO2823" s="47" t="n"/>
      <c r="AP2823" s="47" t="n"/>
      <c r="AQ2823" s="47" t="n"/>
      <c r="AR2823" s="47" t="n"/>
      <c r="AS2823" s="47" t="n"/>
      <c r="AT2823" s="47" t="n"/>
      <c r="AU2823" s="47" t="n"/>
      <c r="AV2823" s="47" t="n"/>
      <c r="AW2823" s="52" t="n"/>
    </row>
    <row r="2824">
      <c r="A2824" s="48" t="n"/>
      <c r="B2824" s="52" t="n"/>
      <c r="C2824" s="47">
        <f>IF(B2824="","",IFERROR(INDEX('隊員マスタ'!$B$5:$B$204,MATCH(B2824&amp;"",'隊員マスタ'!$F$5:$F$204,0)),IF(AK2824="","番号なし",AK2824)))</f>
        <v/>
      </c>
      <c r="D2824" s="47" t="n"/>
      <c r="E2824" s="47" t="n"/>
      <c r="F2824" s="47" t="n"/>
      <c r="G2824" s="47" t="n"/>
      <c r="H2824" s="47" t="n"/>
      <c r="I2824" s="47" t="n"/>
      <c r="J2824" s="47" t="n"/>
      <c r="K2824" s="47" t="n"/>
      <c r="L2824" s="47" t="n"/>
      <c r="M2824" s="47" t="n"/>
      <c r="N2824" s="47" t="n"/>
      <c r="O2824" s="47" t="n"/>
      <c r="P2824" s="47" t="n"/>
      <c r="Q2824" s="47" t="n"/>
      <c r="R2824" s="47" t="n"/>
      <c r="S2824" s="47" t="n"/>
      <c r="T2824" s="47" t="n"/>
      <c r="U2824" s="53" t="n"/>
      <c r="V2824" s="53" t="n"/>
      <c r="W2824" s="47" t="n"/>
      <c r="X2824" s="47" t="n"/>
      <c r="Y2824" s="47" t="n"/>
      <c r="Z2824" s="47" t="n"/>
      <c r="AA2824" s="47" t="n"/>
      <c r="AB2824" s="47" t="n"/>
      <c r="AC2824" s="47" t="n"/>
      <c r="AD2824" s="47" t="n"/>
      <c r="AE2824" s="47" t="n"/>
      <c r="AF2824" s="20">
        <f>IF(A2824="","",YEAR(EDATE(A2824,-3)))</f>
        <v/>
      </c>
      <c r="AG2824" s="20">
        <f>IF(OR(B2824="",'経歴簿'!$C$4=""),"",IF(B2824&amp;""='経歴簿'!$C$4&amp;"",MAX($AG$4:AG2823)+1,""))</f>
        <v/>
      </c>
      <c r="AH2824" s="20">
        <f>IF(A2824="",0,IF(AND(OR('CSV抽出'!$C$4="",A2824&gt;='CSV抽出'!$C$4),OR('CSV抽出'!$C$5="",A2824&lt;='CSV抽出'!$C$5),OR('CSV抽出'!$C$6="すべて",'CSV抽出'!$C$6="",D2824='CSV抽出'!$C$6),OR('CSV抽出'!$C$7="",B2824&amp;""='CSV抽出'!$C$7&amp;"")),1,0))</f>
        <v/>
      </c>
      <c r="AI2824" s="20">
        <f>IF(AH2824=1,SUM($AH$5:AH2824),"")</f>
        <v/>
      </c>
      <c r="AJ2824" s="20">
        <f>IF(OR(S2824="",'報告書'!$C$4=""),"",IF(S2824&amp;""='報告書'!$C$4&amp;"",COUNTIF($S$5:S2824,'報告書'!$C$4),""))</f>
        <v/>
      </c>
      <c r="AK2824" s="20" t="n"/>
      <c r="AL2824" s="47" t="n"/>
      <c r="AM2824" s="47" t="n"/>
      <c r="AN2824" s="53" t="n"/>
      <c r="AO2824" s="47" t="n"/>
      <c r="AP2824" s="47" t="n"/>
      <c r="AQ2824" s="47" t="n"/>
      <c r="AR2824" s="47" t="n"/>
      <c r="AS2824" s="47" t="n"/>
      <c r="AT2824" s="47" t="n"/>
      <c r="AU2824" s="47" t="n"/>
      <c r="AV2824" s="47" t="n"/>
      <c r="AW2824" s="52" t="n"/>
    </row>
    <row r="2825">
      <c r="A2825" s="48" t="n"/>
      <c r="B2825" s="52" t="n"/>
      <c r="C2825" s="47">
        <f>IF(B2825="","",IFERROR(INDEX('隊員マスタ'!$B$5:$B$204,MATCH(B2825&amp;"",'隊員マスタ'!$F$5:$F$204,0)),IF(AK2825="","番号なし",AK2825)))</f>
        <v/>
      </c>
      <c r="D2825" s="47" t="n"/>
      <c r="E2825" s="47" t="n"/>
      <c r="F2825" s="47" t="n"/>
      <c r="G2825" s="47" t="n"/>
      <c r="H2825" s="47" t="n"/>
      <c r="I2825" s="47" t="n"/>
      <c r="J2825" s="47" t="n"/>
      <c r="K2825" s="47" t="n"/>
      <c r="L2825" s="47" t="n"/>
      <c r="M2825" s="47" t="n"/>
      <c r="N2825" s="47" t="n"/>
      <c r="O2825" s="47" t="n"/>
      <c r="P2825" s="47" t="n"/>
      <c r="Q2825" s="47" t="n"/>
      <c r="R2825" s="47" t="n"/>
      <c r="S2825" s="47" t="n"/>
      <c r="T2825" s="47" t="n"/>
      <c r="U2825" s="53" t="n"/>
      <c r="V2825" s="53" t="n"/>
      <c r="W2825" s="47" t="n"/>
      <c r="X2825" s="47" t="n"/>
      <c r="Y2825" s="47" t="n"/>
      <c r="Z2825" s="47" t="n"/>
      <c r="AA2825" s="47" t="n"/>
      <c r="AB2825" s="47" t="n"/>
      <c r="AC2825" s="47" t="n"/>
      <c r="AD2825" s="47" t="n"/>
      <c r="AE2825" s="47" t="n"/>
      <c r="AF2825" s="20">
        <f>IF(A2825="","",YEAR(EDATE(A2825,-3)))</f>
        <v/>
      </c>
      <c r="AG2825" s="20">
        <f>IF(OR(B2825="",'経歴簿'!$C$4=""),"",IF(B2825&amp;""='経歴簿'!$C$4&amp;"",MAX($AG$4:AG2824)+1,""))</f>
        <v/>
      </c>
      <c r="AH2825" s="20">
        <f>IF(A2825="",0,IF(AND(OR('CSV抽出'!$C$4="",A2825&gt;='CSV抽出'!$C$4),OR('CSV抽出'!$C$5="",A2825&lt;='CSV抽出'!$C$5),OR('CSV抽出'!$C$6="すべて",'CSV抽出'!$C$6="",D2825='CSV抽出'!$C$6),OR('CSV抽出'!$C$7="",B2825&amp;""='CSV抽出'!$C$7&amp;"")),1,0))</f>
        <v/>
      </c>
      <c r="AI2825" s="20">
        <f>IF(AH2825=1,SUM($AH$5:AH2825),"")</f>
        <v/>
      </c>
      <c r="AJ2825" s="20">
        <f>IF(OR(S2825="",'報告書'!$C$4=""),"",IF(S2825&amp;""='報告書'!$C$4&amp;"",COUNTIF($S$5:S2825,'報告書'!$C$4),""))</f>
        <v/>
      </c>
      <c r="AK2825" s="20" t="n"/>
      <c r="AL2825" s="47" t="n"/>
      <c r="AM2825" s="47" t="n"/>
      <c r="AN2825" s="53" t="n"/>
      <c r="AO2825" s="47" t="n"/>
      <c r="AP2825" s="47" t="n"/>
      <c r="AQ2825" s="47" t="n"/>
      <c r="AR2825" s="47" t="n"/>
      <c r="AS2825" s="47" t="n"/>
      <c r="AT2825" s="47" t="n"/>
      <c r="AU2825" s="47" t="n"/>
      <c r="AV2825" s="47" t="n"/>
      <c r="AW2825" s="52" t="n"/>
    </row>
    <row r="2826">
      <c r="A2826" s="48" t="n"/>
      <c r="B2826" s="52" t="n"/>
      <c r="C2826" s="47">
        <f>IF(B2826="","",IFERROR(INDEX('隊員マスタ'!$B$5:$B$204,MATCH(B2826&amp;"",'隊員マスタ'!$F$5:$F$204,0)),IF(AK2826="","番号なし",AK2826)))</f>
        <v/>
      </c>
      <c r="D2826" s="47" t="n"/>
      <c r="E2826" s="47" t="n"/>
      <c r="F2826" s="47" t="n"/>
      <c r="G2826" s="47" t="n"/>
      <c r="H2826" s="47" t="n"/>
      <c r="I2826" s="47" t="n"/>
      <c r="J2826" s="47" t="n"/>
      <c r="K2826" s="47" t="n"/>
      <c r="L2826" s="47" t="n"/>
      <c r="M2826" s="47" t="n"/>
      <c r="N2826" s="47" t="n"/>
      <c r="O2826" s="47" t="n"/>
      <c r="P2826" s="47" t="n"/>
      <c r="Q2826" s="47" t="n"/>
      <c r="R2826" s="47" t="n"/>
      <c r="S2826" s="47" t="n"/>
      <c r="T2826" s="47" t="n"/>
      <c r="U2826" s="53" t="n"/>
      <c r="V2826" s="53" t="n"/>
      <c r="W2826" s="47" t="n"/>
      <c r="X2826" s="47" t="n"/>
      <c r="Y2826" s="47" t="n"/>
      <c r="Z2826" s="47" t="n"/>
      <c r="AA2826" s="47" t="n"/>
      <c r="AB2826" s="47" t="n"/>
      <c r="AC2826" s="47" t="n"/>
      <c r="AD2826" s="47" t="n"/>
      <c r="AE2826" s="47" t="n"/>
      <c r="AF2826" s="20">
        <f>IF(A2826="","",YEAR(EDATE(A2826,-3)))</f>
        <v/>
      </c>
      <c r="AG2826" s="20">
        <f>IF(OR(B2826="",'経歴簿'!$C$4=""),"",IF(B2826&amp;""='経歴簿'!$C$4&amp;"",MAX($AG$4:AG2825)+1,""))</f>
        <v/>
      </c>
      <c r="AH2826" s="20">
        <f>IF(A2826="",0,IF(AND(OR('CSV抽出'!$C$4="",A2826&gt;='CSV抽出'!$C$4),OR('CSV抽出'!$C$5="",A2826&lt;='CSV抽出'!$C$5),OR('CSV抽出'!$C$6="すべて",'CSV抽出'!$C$6="",D2826='CSV抽出'!$C$6),OR('CSV抽出'!$C$7="",B2826&amp;""='CSV抽出'!$C$7&amp;"")),1,0))</f>
        <v/>
      </c>
      <c r="AI2826" s="20">
        <f>IF(AH2826=1,SUM($AH$5:AH2826),"")</f>
        <v/>
      </c>
      <c r="AJ2826" s="20">
        <f>IF(OR(S2826="",'報告書'!$C$4=""),"",IF(S2826&amp;""='報告書'!$C$4&amp;"",COUNTIF($S$5:S2826,'報告書'!$C$4),""))</f>
        <v/>
      </c>
      <c r="AK2826" s="20" t="n"/>
      <c r="AL2826" s="47" t="n"/>
      <c r="AM2826" s="47" t="n"/>
      <c r="AN2826" s="53" t="n"/>
      <c r="AO2826" s="47" t="n"/>
      <c r="AP2826" s="47" t="n"/>
      <c r="AQ2826" s="47" t="n"/>
      <c r="AR2826" s="47" t="n"/>
      <c r="AS2826" s="47" t="n"/>
      <c r="AT2826" s="47" t="n"/>
      <c r="AU2826" s="47" t="n"/>
      <c r="AV2826" s="47" t="n"/>
      <c r="AW2826" s="52" t="n"/>
    </row>
    <row r="2827">
      <c r="A2827" s="48" t="n"/>
      <c r="B2827" s="52" t="n"/>
      <c r="C2827" s="47">
        <f>IF(B2827="","",IFERROR(INDEX('隊員マスタ'!$B$5:$B$204,MATCH(B2827&amp;"",'隊員マスタ'!$F$5:$F$204,0)),IF(AK2827="","番号なし",AK2827)))</f>
        <v/>
      </c>
      <c r="D2827" s="47" t="n"/>
      <c r="E2827" s="47" t="n"/>
      <c r="F2827" s="47" t="n"/>
      <c r="G2827" s="47" t="n"/>
      <c r="H2827" s="47" t="n"/>
      <c r="I2827" s="47" t="n"/>
      <c r="J2827" s="47" t="n"/>
      <c r="K2827" s="47" t="n"/>
      <c r="L2827" s="47" t="n"/>
      <c r="M2827" s="47" t="n"/>
      <c r="N2827" s="47" t="n"/>
      <c r="O2827" s="47" t="n"/>
      <c r="P2827" s="47" t="n"/>
      <c r="Q2827" s="47" t="n"/>
      <c r="R2827" s="47" t="n"/>
      <c r="S2827" s="47" t="n"/>
      <c r="T2827" s="47" t="n"/>
      <c r="U2827" s="53" t="n"/>
      <c r="V2827" s="53" t="n"/>
      <c r="W2827" s="47" t="n"/>
      <c r="X2827" s="47" t="n"/>
      <c r="Y2827" s="47" t="n"/>
      <c r="Z2827" s="47" t="n"/>
      <c r="AA2827" s="47" t="n"/>
      <c r="AB2827" s="47" t="n"/>
      <c r="AC2827" s="47" t="n"/>
      <c r="AD2827" s="47" t="n"/>
      <c r="AE2827" s="47" t="n"/>
      <c r="AF2827" s="20">
        <f>IF(A2827="","",YEAR(EDATE(A2827,-3)))</f>
        <v/>
      </c>
      <c r="AG2827" s="20">
        <f>IF(OR(B2827="",'経歴簿'!$C$4=""),"",IF(B2827&amp;""='経歴簿'!$C$4&amp;"",MAX($AG$4:AG2826)+1,""))</f>
        <v/>
      </c>
      <c r="AH2827" s="20">
        <f>IF(A2827="",0,IF(AND(OR('CSV抽出'!$C$4="",A2827&gt;='CSV抽出'!$C$4),OR('CSV抽出'!$C$5="",A2827&lt;='CSV抽出'!$C$5),OR('CSV抽出'!$C$6="すべて",'CSV抽出'!$C$6="",D2827='CSV抽出'!$C$6),OR('CSV抽出'!$C$7="",B2827&amp;""='CSV抽出'!$C$7&amp;"")),1,0))</f>
        <v/>
      </c>
      <c r="AI2827" s="20">
        <f>IF(AH2827=1,SUM($AH$5:AH2827),"")</f>
        <v/>
      </c>
      <c r="AJ2827" s="20">
        <f>IF(OR(S2827="",'報告書'!$C$4=""),"",IF(S2827&amp;""='報告書'!$C$4&amp;"",COUNTIF($S$5:S2827,'報告書'!$C$4),""))</f>
        <v/>
      </c>
      <c r="AK2827" s="20" t="n"/>
      <c r="AL2827" s="47" t="n"/>
      <c r="AM2827" s="47" t="n"/>
      <c r="AN2827" s="53" t="n"/>
      <c r="AO2827" s="47" t="n"/>
      <c r="AP2827" s="47" t="n"/>
      <c r="AQ2827" s="47" t="n"/>
      <c r="AR2827" s="47" t="n"/>
      <c r="AS2827" s="47" t="n"/>
      <c r="AT2827" s="47" t="n"/>
      <c r="AU2827" s="47" t="n"/>
      <c r="AV2827" s="47" t="n"/>
      <c r="AW2827" s="52" t="n"/>
    </row>
    <row r="2828">
      <c r="A2828" s="48" t="n"/>
      <c r="B2828" s="52" t="n"/>
      <c r="C2828" s="47">
        <f>IF(B2828="","",IFERROR(INDEX('隊員マスタ'!$B$5:$B$204,MATCH(B2828&amp;"",'隊員マスタ'!$F$5:$F$204,0)),IF(AK2828="","番号なし",AK2828)))</f>
        <v/>
      </c>
      <c r="D2828" s="47" t="n"/>
      <c r="E2828" s="47" t="n"/>
      <c r="F2828" s="47" t="n"/>
      <c r="G2828" s="47" t="n"/>
      <c r="H2828" s="47" t="n"/>
      <c r="I2828" s="47" t="n"/>
      <c r="J2828" s="47" t="n"/>
      <c r="K2828" s="47" t="n"/>
      <c r="L2828" s="47" t="n"/>
      <c r="M2828" s="47" t="n"/>
      <c r="N2828" s="47" t="n"/>
      <c r="O2828" s="47" t="n"/>
      <c r="P2828" s="47" t="n"/>
      <c r="Q2828" s="47" t="n"/>
      <c r="R2828" s="47" t="n"/>
      <c r="S2828" s="47" t="n"/>
      <c r="T2828" s="47" t="n"/>
      <c r="U2828" s="53" t="n"/>
      <c r="V2828" s="53" t="n"/>
      <c r="W2828" s="47" t="n"/>
      <c r="X2828" s="47" t="n"/>
      <c r="Y2828" s="47" t="n"/>
      <c r="Z2828" s="47" t="n"/>
      <c r="AA2828" s="47" t="n"/>
      <c r="AB2828" s="47" t="n"/>
      <c r="AC2828" s="47" t="n"/>
      <c r="AD2828" s="47" t="n"/>
      <c r="AE2828" s="47" t="n"/>
      <c r="AF2828" s="20">
        <f>IF(A2828="","",YEAR(EDATE(A2828,-3)))</f>
        <v/>
      </c>
      <c r="AG2828" s="20">
        <f>IF(OR(B2828="",'経歴簿'!$C$4=""),"",IF(B2828&amp;""='経歴簿'!$C$4&amp;"",MAX($AG$4:AG2827)+1,""))</f>
        <v/>
      </c>
      <c r="AH2828" s="20">
        <f>IF(A2828="",0,IF(AND(OR('CSV抽出'!$C$4="",A2828&gt;='CSV抽出'!$C$4),OR('CSV抽出'!$C$5="",A2828&lt;='CSV抽出'!$C$5),OR('CSV抽出'!$C$6="すべて",'CSV抽出'!$C$6="",D2828='CSV抽出'!$C$6),OR('CSV抽出'!$C$7="",B2828&amp;""='CSV抽出'!$C$7&amp;"")),1,0))</f>
        <v/>
      </c>
      <c r="AI2828" s="20">
        <f>IF(AH2828=1,SUM($AH$5:AH2828),"")</f>
        <v/>
      </c>
      <c r="AJ2828" s="20">
        <f>IF(OR(S2828="",'報告書'!$C$4=""),"",IF(S2828&amp;""='報告書'!$C$4&amp;"",COUNTIF($S$5:S2828,'報告書'!$C$4),""))</f>
        <v/>
      </c>
      <c r="AK2828" s="20" t="n"/>
      <c r="AL2828" s="47" t="n"/>
      <c r="AM2828" s="47" t="n"/>
      <c r="AN2828" s="53" t="n"/>
      <c r="AO2828" s="47" t="n"/>
      <c r="AP2828" s="47" t="n"/>
      <c r="AQ2828" s="47" t="n"/>
      <c r="AR2828" s="47" t="n"/>
      <c r="AS2828" s="47" t="n"/>
      <c r="AT2828" s="47" t="n"/>
      <c r="AU2828" s="47" t="n"/>
      <c r="AV2828" s="47" t="n"/>
      <c r="AW2828" s="52" t="n"/>
    </row>
    <row r="2829">
      <c r="A2829" s="48" t="n"/>
      <c r="B2829" s="52" t="n"/>
      <c r="C2829" s="47">
        <f>IF(B2829="","",IFERROR(INDEX('隊員マスタ'!$B$5:$B$204,MATCH(B2829&amp;"",'隊員マスタ'!$F$5:$F$204,0)),IF(AK2829="","番号なし",AK2829)))</f>
        <v/>
      </c>
      <c r="D2829" s="47" t="n"/>
      <c r="E2829" s="47" t="n"/>
      <c r="F2829" s="47" t="n"/>
      <c r="G2829" s="47" t="n"/>
      <c r="H2829" s="47" t="n"/>
      <c r="I2829" s="47" t="n"/>
      <c r="J2829" s="47" t="n"/>
      <c r="K2829" s="47" t="n"/>
      <c r="L2829" s="47" t="n"/>
      <c r="M2829" s="47" t="n"/>
      <c r="N2829" s="47" t="n"/>
      <c r="O2829" s="47" t="n"/>
      <c r="P2829" s="47" t="n"/>
      <c r="Q2829" s="47" t="n"/>
      <c r="R2829" s="47" t="n"/>
      <c r="S2829" s="47" t="n"/>
      <c r="T2829" s="47" t="n"/>
      <c r="U2829" s="53" t="n"/>
      <c r="V2829" s="53" t="n"/>
      <c r="W2829" s="47" t="n"/>
      <c r="X2829" s="47" t="n"/>
      <c r="Y2829" s="47" t="n"/>
      <c r="Z2829" s="47" t="n"/>
      <c r="AA2829" s="47" t="n"/>
      <c r="AB2829" s="47" t="n"/>
      <c r="AC2829" s="47" t="n"/>
      <c r="AD2829" s="47" t="n"/>
      <c r="AE2829" s="47" t="n"/>
      <c r="AF2829" s="20">
        <f>IF(A2829="","",YEAR(EDATE(A2829,-3)))</f>
        <v/>
      </c>
      <c r="AG2829" s="20">
        <f>IF(OR(B2829="",'経歴簿'!$C$4=""),"",IF(B2829&amp;""='経歴簿'!$C$4&amp;"",MAX($AG$4:AG2828)+1,""))</f>
        <v/>
      </c>
      <c r="AH2829" s="20">
        <f>IF(A2829="",0,IF(AND(OR('CSV抽出'!$C$4="",A2829&gt;='CSV抽出'!$C$4),OR('CSV抽出'!$C$5="",A2829&lt;='CSV抽出'!$C$5),OR('CSV抽出'!$C$6="すべて",'CSV抽出'!$C$6="",D2829='CSV抽出'!$C$6),OR('CSV抽出'!$C$7="",B2829&amp;""='CSV抽出'!$C$7&amp;"")),1,0))</f>
        <v/>
      </c>
      <c r="AI2829" s="20">
        <f>IF(AH2829=1,SUM($AH$5:AH2829),"")</f>
        <v/>
      </c>
      <c r="AJ2829" s="20">
        <f>IF(OR(S2829="",'報告書'!$C$4=""),"",IF(S2829&amp;""='報告書'!$C$4&amp;"",COUNTIF($S$5:S2829,'報告書'!$C$4),""))</f>
        <v/>
      </c>
      <c r="AK2829" s="20" t="n"/>
      <c r="AL2829" s="47" t="n"/>
      <c r="AM2829" s="47" t="n"/>
      <c r="AN2829" s="53" t="n"/>
      <c r="AO2829" s="47" t="n"/>
      <c r="AP2829" s="47" t="n"/>
      <c r="AQ2829" s="47" t="n"/>
      <c r="AR2829" s="47" t="n"/>
      <c r="AS2829" s="47" t="n"/>
      <c r="AT2829" s="47" t="n"/>
      <c r="AU2829" s="47" t="n"/>
      <c r="AV2829" s="47" t="n"/>
      <c r="AW2829" s="52" t="n"/>
    </row>
    <row r="2830">
      <c r="A2830" s="48" t="n"/>
      <c r="B2830" s="52" t="n"/>
      <c r="C2830" s="47">
        <f>IF(B2830="","",IFERROR(INDEX('隊員マスタ'!$B$5:$B$204,MATCH(B2830&amp;"",'隊員マスタ'!$F$5:$F$204,0)),IF(AK2830="","番号なし",AK2830)))</f>
        <v/>
      </c>
      <c r="D2830" s="47" t="n"/>
      <c r="E2830" s="47" t="n"/>
      <c r="F2830" s="47" t="n"/>
      <c r="G2830" s="47" t="n"/>
      <c r="H2830" s="47" t="n"/>
      <c r="I2830" s="47" t="n"/>
      <c r="J2830" s="47" t="n"/>
      <c r="K2830" s="47" t="n"/>
      <c r="L2830" s="47" t="n"/>
      <c r="M2830" s="47" t="n"/>
      <c r="N2830" s="47" t="n"/>
      <c r="O2830" s="47" t="n"/>
      <c r="P2830" s="47" t="n"/>
      <c r="Q2830" s="47" t="n"/>
      <c r="R2830" s="47" t="n"/>
      <c r="S2830" s="47" t="n"/>
      <c r="T2830" s="47" t="n"/>
      <c r="U2830" s="53" t="n"/>
      <c r="V2830" s="53" t="n"/>
      <c r="W2830" s="47" t="n"/>
      <c r="X2830" s="47" t="n"/>
      <c r="Y2830" s="47" t="n"/>
      <c r="Z2830" s="47" t="n"/>
      <c r="AA2830" s="47" t="n"/>
      <c r="AB2830" s="47" t="n"/>
      <c r="AC2830" s="47" t="n"/>
      <c r="AD2830" s="47" t="n"/>
      <c r="AE2830" s="47" t="n"/>
      <c r="AF2830" s="20">
        <f>IF(A2830="","",YEAR(EDATE(A2830,-3)))</f>
        <v/>
      </c>
      <c r="AG2830" s="20">
        <f>IF(OR(B2830="",'経歴簿'!$C$4=""),"",IF(B2830&amp;""='経歴簿'!$C$4&amp;"",MAX($AG$4:AG2829)+1,""))</f>
        <v/>
      </c>
      <c r="AH2830" s="20">
        <f>IF(A2830="",0,IF(AND(OR('CSV抽出'!$C$4="",A2830&gt;='CSV抽出'!$C$4),OR('CSV抽出'!$C$5="",A2830&lt;='CSV抽出'!$C$5),OR('CSV抽出'!$C$6="すべて",'CSV抽出'!$C$6="",D2830='CSV抽出'!$C$6),OR('CSV抽出'!$C$7="",B2830&amp;""='CSV抽出'!$C$7&amp;"")),1,0))</f>
        <v/>
      </c>
      <c r="AI2830" s="20">
        <f>IF(AH2830=1,SUM($AH$5:AH2830),"")</f>
        <v/>
      </c>
      <c r="AJ2830" s="20">
        <f>IF(OR(S2830="",'報告書'!$C$4=""),"",IF(S2830&amp;""='報告書'!$C$4&amp;"",COUNTIF($S$5:S2830,'報告書'!$C$4),""))</f>
        <v/>
      </c>
      <c r="AK2830" s="20" t="n"/>
      <c r="AL2830" s="47" t="n"/>
      <c r="AM2830" s="47" t="n"/>
      <c r="AN2830" s="53" t="n"/>
      <c r="AO2830" s="47" t="n"/>
      <c r="AP2830" s="47" t="n"/>
      <c r="AQ2830" s="47" t="n"/>
      <c r="AR2830" s="47" t="n"/>
      <c r="AS2830" s="47" t="n"/>
      <c r="AT2830" s="47" t="n"/>
      <c r="AU2830" s="47" t="n"/>
      <c r="AV2830" s="47" t="n"/>
      <c r="AW2830" s="52" t="n"/>
    </row>
    <row r="2831">
      <c r="A2831" s="48" t="n"/>
      <c r="B2831" s="52" t="n"/>
      <c r="C2831" s="47">
        <f>IF(B2831="","",IFERROR(INDEX('隊員マスタ'!$B$5:$B$204,MATCH(B2831&amp;"",'隊員マスタ'!$F$5:$F$204,0)),IF(AK2831="","番号なし",AK2831)))</f>
        <v/>
      </c>
      <c r="D2831" s="47" t="n"/>
      <c r="E2831" s="47" t="n"/>
      <c r="F2831" s="47" t="n"/>
      <c r="G2831" s="47" t="n"/>
      <c r="H2831" s="47" t="n"/>
      <c r="I2831" s="47" t="n"/>
      <c r="J2831" s="47" t="n"/>
      <c r="K2831" s="47" t="n"/>
      <c r="L2831" s="47" t="n"/>
      <c r="M2831" s="47" t="n"/>
      <c r="N2831" s="47" t="n"/>
      <c r="O2831" s="47" t="n"/>
      <c r="P2831" s="47" t="n"/>
      <c r="Q2831" s="47" t="n"/>
      <c r="R2831" s="47" t="n"/>
      <c r="S2831" s="47" t="n"/>
      <c r="T2831" s="47" t="n"/>
      <c r="U2831" s="53" t="n"/>
      <c r="V2831" s="53" t="n"/>
      <c r="W2831" s="47" t="n"/>
      <c r="X2831" s="47" t="n"/>
      <c r="Y2831" s="47" t="n"/>
      <c r="Z2831" s="47" t="n"/>
      <c r="AA2831" s="47" t="n"/>
      <c r="AB2831" s="47" t="n"/>
      <c r="AC2831" s="47" t="n"/>
      <c r="AD2831" s="47" t="n"/>
      <c r="AE2831" s="47" t="n"/>
      <c r="AF2831" s="20">
        <f>IF(A2831="","",YEAR(EDATE(A2831,-3)))</f>
        <v/>
      </c>
      <c r="AG2831" s="20">
        <f>IF(OR(B2831="",'経歴簿'!$C$4=""),"",IF(B2831&amp;""='経歴簿'!$C$4&amp;"",MAX($AG$4:AG2830)+1,""))</f>
        <v/>
      </c>
      <c r="AH2831" s="20">
        <f>IF(A2831="",0,IF(AND(OR('CSV抽出'!$C$4="",A2831&gt;='CSV抽出'!$C$4),OR('CSV抽出'!$C$5="",A2831&lt;='CSV抽出'!$C$5),OR('CSV抽出'!$C$6="すべて",'CSV抽出'!$C$6="",D2831='CSV抽出'!$C$6),OR('CSV抽出'!$C$7="",B2831&amp;""='CSV抽出'!$C$7&amp;"")),1,0))</f>
        <v/>
      </c>
      <c r="AI2831" s="20">
        <f>IF(AH2831=1,SUM($AH$5:AH2831),"")</f>
        <v/>
      </c>
      <c r="AJ2831" s="20">
        <f>IF(OR(S2831="",'報告書'!$C$4=""),"",IF(S2831&amp;""='報告書'!$C$4&amp;"",COUNTIF($S$5:S2831,'報告書'!$C$4),""))</f>
        <v/>
      </c>
      <c r="AK2831" s="20" t="n"/>
      <c r="AL2831" s="47" t="n"/>
      <c r="AM2831" s="47" t="n"/>
      <c r="AN2831" s="53" t="n"/>
      <c r="AO2831" s="47" t="n"/>
      <c r="AP2831" s="47" t="n"/>
      <c r="AQ2831" s="47" t="n"/>
      <c r="AR2831" s="47" t="n"/>
      <c r="AS2831" s="47" t="n"/>
      <c r="AT2831" s="47" t="n"/>
      <c r="AU2831" s="47" t="n"/>
      <c r="AV2831" s="47" t="n"/>
      <c r="AW2831" s="52" t="n"/>
    </row>
    <row r="2832">
      <c r="A2832" s="48" t="n"/>
      <c r="B2832" s="52" t="n"/>
      <c r="C2832" s="47">
        <f>IF(B2832="","",IFERROR(INDEX('隊員マスタ'!$B$5:$B$204,MATCH(B2832&amp;"",'隊員マスタ'!$F$5:$F$204,0)),IF(AK2832="","番号なし",AK2832)))</f>
        <v/>
      </c>
      <c r="D2832" s="47" t="n"/>
      <c r="E2832" s="47" t="n"/>
      <c r="F2832" s="47" t="n"/>
      <c r="G2832" s="47" t="n"/>
      <c r="H2832" s="47" t="n"/>
      <c r="I2832" s="47" t="n"/>
      <c r="J2832" s="47" t="n"/>
      <c r="K2832" s="47" t="n"/>
      <c r="L2832" s="47" t="n"/>
      <c r="M2832" s="47" t="n"/>
      <c r="N2832" s="47" t="n"/>
      <c r="O2832" s="47" t="n"/>
      <c r="P2832" s="47" t="n"/>
      <c r="Q2832" s="47" t="n"/>
      <c r="R2832" s="47" t="n"/>
      <c r="S2832" s="47" t="n"/>
      <c r="T2832" s="47" t="n"/>
      <c r="U2832" s="53" t="n"/>
      <c r="V2832" s="53" t="n"/>
      <c r="W2832" s="47" t="n"/>
      <c r="X2832" s="47" t="n"/>
      <c r="Y2832" s="47" t="n"/>
      <c r="Z2832" s="47" t="n"/>
      <c r="AA2832" s="47" t="n"/>
      <c r="AB2832" s="47" t="n"/>
      <c r="AC2832" s="47" t="n"/>
      <c r="AD2832" s="47" t="n"/>
      <c r="AE2832" s="47" t="n"/>
      <c r="AF2832" s="20">
        <f>IF(A2832="","",YEAR(EDATE(A2832,-3)))</f>
        <v/>
      </c>
      <c r="AG2832" s="20">
        <f>IF(OR(B2832="",'経歴簿'!$C$4=""),"",IF(B2832&amp;""='経歴簿'!$C$4&amp;"",MAX($AG$4:AG2831)+1,""))</f>
        <v/>
      </c>
      <c r="AH2832" s="20">
        <f>IF(A2832="",0,IF(AND(OR('CSV抽出'!$C$4="",A2832&gt;='CSV抽出'!$C$4),OR('CSV抽出'!$C$5="",A2832&lt;='CSV抽出'!$C$5),OR('CSV抽出'!$C$6="すべて",'CSV抽出'!$C$6="",D2832='CSV抽出'!$C$6),OR('CSV抽出'!$C$7="",B2832&amp;""='CSV抽出'!$C$7&amp;"")),1,0))</f>
        <v/>
      </c>
      <c r="AI2832" s="20">
        <f>IF(AH2832=1,SUM($AH$5:AH2832),"")</f>
        <v/>
      </c>
      <c r="AJ2832" s="20">
        <f>IF(OR(S2832="",'報告書'!$C$4=""),"",IF(S2832&amp;""='報告書'!$C$4&amp;"",COUNTIF($S$5:S2832,'報告書'!$C$4),""))</f>
        <v/>
      </c>
      <c r="AK2832" s="20" t="n"/>
      <c r="AL2832" s="47" t="n"/>
      <c r="AM2832" s="47" t="n"/>
      <c r="AN2832" s="53" t="n"/>
      <c r="AO2832" s="47" t="n"/>
      <c r="AP2832" s="47" t="n"/>
      <c r="AQ2832" s="47" t="n"/>
      <c r="AR2832" s="47" t="n"/>
      <c r="AS2832" s="47" t="n"/>
      <c r="AT2832" s="47" t="n"/>
      <c r="AU2832" s="47" t="n"/>
      <c r="AV2832" s="47" t="n"/>
      <c r="AW2832" s="52" t="n"/>
    </row>
    <row r="2833">
      <c r="A2833" s="48" t="n"/>
      <c r="B2833" s="52" t="n"/>
      <c r="C2833" s="47">
        <f>IF(B2833="","",IFERROR(INDEX('隊員マスタ'!$B$5:$B$204,MATCH(B2833&amp;"",'隊員マスタ'!$F$5:$F$204,0)),IF(AK2833="","番号なし",AK2833)))</f>
        <v/>
      </c>
      <c r="D2833" s="47" t="n"/>
      <c r="E2833" s="47" t="n"/>
      <c r="F2833" s="47" t="n"/>
      <c r="G2833" s="47" t="n"/>
      <c r="H2833" s="47" t="n"/>
      <c r="I2833" s="47" t="n"/>
      <c r="J2833" s="47" t="n"/>
      <c r="K2833" s="47" t="n"/>
      <c r="L2833" s="47" t="n"/>
      <c r="M2833" s="47" t="n"/>
      <c r="N2833" s="47" t="n"/>
      <c r="O2833" s="47" t="n"/>
      <c r="P2833" s="47" t="n"/>
      <c r="Q2833" s="47" t="n"/>
      <c r="R2833" s="47" t="n"/>
      <c r="S2833" s="47" t="n"/>
      <c r="T2833" s="47" t="n"/>
      <c r="U2833" s="53" t="n"/>
      <c r="V2833" s="53" t="n"/>
      <c r="W2833" s="47" t="n"/>
      <c r="X2833" s="47" t="n"/>
      <c r="Y2833" s="47" t="n"/>
      <c r="Z2833" s="47" t="n"/>
      <c r="AA2833" s="47" t="n"/>
      <c r="AB2833" s="47" t="n"/>
      <c r="AC2833" s="47" t="n"/>
      <c r="AD2833" s="47" t="n"/>
      <c r="AE2833" s="47" t="n"/>
      <c r="AF2833" s="20">
        <f>IF(A2833="","",YEAR(EDATE(A2833,-3)))</f>
        <v/>
      </c>
      <c r="AG2833" s="20">
        <f>IF(OR(B2833="",'経歴簿'!$C$4=""),"",IF(B2833&amp;""='経歴簿'!$C$4&amp;"",MAX($AG$4:AG2832)+1,""))</f>
        <v/>
      </c>
      <c r="AH2833" s="20">
        <f>IF(A2833="",0,IF(AND(OR('CSV抽出'!$C$4="",A2833&gt;='CSV抽出'!$C$4),OR('CSV抽出'!$C$5="",A2833&lt;='CSV抽出'!$C$5),OR('CSV抽出'!$C$6="すべて",'CSV抽出'!$C$6="",D2833='CSV抽出'!$C$6),OR('CSV抽出'!$C$7="",B2833&amp;""='CSV抽出'!$C$7&amp;"")),1,0))</f>
        <v/>
      </c>
      <c r="AI2833" s="20">
        <f>IF(AH2833=1,SUM($AH$5:AH2833),"")</f>
        <v/>
      </c>
      <c r="AJ2833" s="20">
        <f>IF(OR(S2833="",'報告書'!$C$4=""),"",IF(S2833&amp;""='報告書'!$C$4&amp;"",COUNTIF($S$5:S2833,'報告書'!$C$4),""))</f>
        <v/>
      </c>
      <c r="AK2833" s="20" t="n"/>
      <c r="AL2833" s="47" t="n"/>
      <c r="AM2833" s="47" t="n"/>
      <c r="AN2833" s="53" t="n"/>
      <c r="AO2833" s="47" t="n"/>
      <c r="AP2833" s="47" t="n"/>
      <c r="AQ2833" s="47" t="n"/>
      <c r="AR2833" s="47" t="n"/>
      <c r="AS2833" s="47" t="n"/>
      <c r="AT2833" s="47" t="n"/>
      <c r="AU2833" s="47" t="n"/>
      <c r="AV2833" s="47" t="n"/>
      <c r="AW2833" s="52" t="n"/>
    </row>
    <row r="2834">
      <c r="A2834" s="48" t="n"/>
      <c r="B2834" s="52" t="n"/>
      <c r="C2834" s="47">
        <f>IF(B2834="","",IFERROR(INDEX('隊員マスタ'!$B$5:$B$204,MATCH(B2834&amp;"",'隊員マスタ'!$F$5:$F$204,0)),IF(AK2834="","番号なし",AK2834)))</f>
        <v/>
      </c>
      <c r="D2834" s="47" t="n"/>
      <c r="E2834" s="47" t="n"/>
      <c r="F2834" s="47" t="n"/>
      <c r="G2834" s="47" t="n"/>
      <c r="H2834" s="47" t="n"/>
      <c r="I2834" s="47" t="n"/>
      <c r="J2834" s="47" t="n"/>
      <c r="K2834" s="47" t="n"/>
      <c r="L2834" s="47" t="n"/>
      <c r="M2834" s="47" t="n"/>
      <c r="N2834" s="47" t="n"/>
      <c r="O2834" s="47" t="n"/>
      <c r="P2834" s="47" t="n"/>
      <c r="Q2834" s="47" t="n"/>
      <c r="R2834" s="47" t="n"/>
      <c r="S2834" s="47" t="n"/>
      <c r="T2834" s="47" t="n"/>
      <c r="U2834" s="53" t="n"/>
      <c r="V2834" s="53" t="n"/>
      <c r="W2834" s="47" t="n"/>
      <c r="X2834" s="47" t="n"/>
      <c r="Y2834" s="47" t="n"/>
      <c r="Z2834" s="47" t="n"/>
      <c r="AA2834" s="47" t="n"/>
      <c r="AB2834" s="47" t="n"/>
      <c r="AC2834" s="47" t="n"/>
      <c r="AD2834" s="47" t="n"/>
      <c r="AE2834" s="47" t="n"/>
      <c r="AF2834" s="20">
        <f>IF(A2834="","",YEAR(EDATE(A2834,-3)))</f>
        <v/>
      </c>
      <c r="AG2834" s="20">
        <f>IF(OR(B2834="",'経歴簿'!$C$4=""),"",IF(B2834&amp;""='経歴簿'!$C$4&amp;"",MAX($AG$4:AG2833)+1,""))</f>
        <v/>
      </c>
      <c r="AH2834" s="20">
        <f>IF(A2834="",0,IF(AND(OR('CSV抽出'!$C$4="",A2834&gt;='CSV抽出'!$C$4),OR('CSV抽出'!$C$5="",A2834&lt;='CSV抽出'!$C$5),OR('CSV抽出'!$C$6="すべて",'CSV抽出'!$C$6="",D2834='CSV抽出'!$C$6),OR('CSV抽出'!$C$7="",B2834&amp;""='CSV抽出'!$C$7&amp;"")),1,0))</f>
        <v/>
      </c>
      <c r="AI2834" s="20">
        <f>IF(AH2834=1,SUM($AH$5:AH2834),"")</f>
        <v/>
      </c>
      <c r="AJ2834" s="20">
        <f>IF(OR(S2834="",'報告書'!$C$4=""),"",IF(S2834&amp;""='報告書'!$C$4&amp;"",COUNTIF($S$5:S2834,'報告書'!$C$4),""))</f>
        <v/>
      </c>
      <c r="AK2834" s="20" t="n"/>
      <c r="AL2834" s="47" t="n"/>
      <c r="AM2834" s="47" t="n"/>
      <c r="AN2834" s="53" t="n"/>
      <c r="AO2834" s="47" t="n"/>
      <c r="AP2834" s="47" t="n"/>
      <c r="AQ2834" s="47" t="n"/>
      <c r="AR2834" s="47" t="n"/>
      <c r="AS2834" s="47" t="n"/>
      <c r="AT2834" s="47" t="n"/>
      <c r="AU2834" s="47" t="n"/>
      <c r="AV2834" s="47" t="n"/>
      <c r="AW2834" s="52" t="n"/>
    </row>
    <row r="2835">
      <c r="A2835" s="48" t="n"/>
      <c r="B2835" s="52" t="n"/>
      <c r="C2835" s="47">
        <f>IF(B2835="","",IFERROR(INDEX('隊員マスタ'!$B$5:$B$204,MATCH(B2835&amp;"",'隊員マスタ'!$F$5:$F$204,0)),IF(AK2835="","番号なし",AK2835)))</f>
        <v/>
      </c>
      <c r="D2835" s="47" t="n"/>
      <c r="E2835" s="47" t="n"/>
      <c r="F2835" s="47" t="n"/>
      <c r="G2835" s="47" t="n"/>
      <c r="H2835" s="47" t="n"/>
      <c r="I2835" s="47" t="n"/>
      <c r="J2835" s="47" t="n"/>
      <c r="K2835" s="47" t="n"/>
      <c r="L2835" s="47" t="n"/>
      <c r="M2835" s="47" t="n"/>
      <c r="N2835" s="47" t="n"/>
      <c r="O2835" s="47" t="n"/>
      <c r="P2835" s="47" t="n"/>
      <c r="Q2835" s="47" t="n"/>
      <c r="R2835" s="47" t="n"/>
      <c r="S2835" s="47" t="n"/>
      <c r="T2835" s="47" t="n"/>
      <c r="U2835" s="53" t="n"/>
      <c r="V2835" s="53" t="n"/>
      <c r="W2835" s="47" t="n"/>
      <c r="X2835" s="47" t="n"/>
      <c r="Y2835" s="47" t="n"/>
      <c r="Z2835" s="47" t="n"/>
      <c r="AA2835" s="47" t="n"/>
      <c r="AB2835" s="47" t="n"/>
      <c r="AC2835" s="47" t="n"/>
      <c r="AD2835" s="47" t="n"/>
      <c r="AE2835" s="47" t="n"/>
      <c r="AF2835" s="20">
        <f>IF(A2835="","",YEAR(EDATE(A2835,-3)))</f>
        <v/>
      </c>
      <c r="AG2835" s="20">
        <f>IF(OR(B2835="",'経歴簿'!$C$4=""),"",IF(B2835&amp;""='経歴簿'!$C$4&amp;"",MAX($AG$4:AG2834)+1,""))</f>
        <v/>
      </c>
      <c r="AH2835" s="20">
        <f>IF(A2835="",0,IF(AND(OR('CSV抽出'!$C$4="",A2835&gt;='CSV抽出'!$C$4),OR('CSV抽出'!$C$5="",A2835&lt;='CSV抽出'!$C$5),OR('CSV抽出'!$C$6="すべて",'CSV抽出'!$C$6="",D2835='CSV抽出'!$C$6),OR('CSV抽出'!$C$7="",B2835&amp;""='CSV抽出'!$C$7&amp;"")),1,0))</f>
        <v/>
      </c>
      <c r="AI2835" s="20">
        <f>IF(AH2835=1,SUM($AH$5:AH2835),"")</f>
        <v/>
      </c>
      <c r="AJ2835" s="20">
        <f>IF(OR(S2835="",'報告書'!$C$4=""),"",IF(S2835&amp;""='報告書'!$C$4&amp;"",COUNTIF($S$5:S2835,'報告書'!$C$4),""))</f>
        <v/>
      </c>
      <c r="AK2835" s="20" t="n"/>
      <c r="AL2835" s="47" t="n"/>
      <c r="AM2835" s="47" t="n"/>
      <c r="AN2835" s="53" t="n"/>
      <c r="AO2835" s="47" t="n"/>
      <c r="AP2835" s="47" t="n"/>
      <c r="AQ2835" s="47" t="n"/>
      <c r="AR2835" s="47" t="n"/>
      <c r="AS2835" s="47" t="n"/>
      <c r="AT2835" s="47" t="n"/>
      <c r="AU2835" s="47" t="n"/>
      <c r="AV2835" s="47" t="n"/>
      <c r="AW2835" s="52" t="n"/>
    </row>
    <row r="2836">
      <c r="A2836" s="48" t="n"/>
      <c r="B2836" s="52" t="n"/>
      <c r="C2836" s="47">
        <f>IF(B2836="","",IFERROR(INDEX('隊員マスタ'!$B$5:$B$204,MATCH(B2836&amp;"",'隊員マスタ'!$F$5:$F$204,0)),IF(AK2836="","番号なし",AK2836)))</f>
        <v/>
      </c>
      <c r="D2836" s="47" t="n"/>
      <c r="E2836" s="47" t="n"/>
      <c r="F2836" s="47" t="n"/>
      <c r="G2836" s="47" t="n"/>
      <c r="H2836" s="47" t="n"/>
      <c r="I2836" s="47" t="n"/>
      <c r="J2836" s="47" t="n"/>
      <c r="K2836" s="47" t="n"/>
      <c r="L2836" s="47" t="n"/>
      <c r="M2836" s="47" t="n"/>
      <c r="N2836" s="47" t="n"/>
      <c r="O2836" s="47" t="n"/>
      <c r="P2836" s="47" t="n"/>
      <c r="Q2836" s="47" t="n"/>
      <c r="R2836" s="47" t="n"/>
      <c r="S2836" s="47" t="n"/>
      <c r="T2836" s="47" t="n"/>
      <c r="U2836" s="53" t="n"/>
      <c r="V2836" s="53" t="n"/>
      <c r="W2836" s="47" t="n"/>
      <c r="X2836" s="47" t="n"/>
      <c r="Y2836" s="47" t="n"/>
      <c r="Z2836" s="47" t="n"/>
      <c r="AA2836" s="47" t="n"/>
      <c r="AB2836" s="47" t="n"/>
      <c r="AC2836" s="47" t="n"/>
      <c r="AD2836" s="47" t="n"/>
      <c r="AE2836" s="47" t="n"/>
      <c r="AF2836" s="20">
        <f>IF(A2836="","",YEAR(EDATE(A2836,-3)))</f>
        <v/>
      </c>
      <c r="AG2836" s="20">
        <f>IF(OR(B2836="",'経歴簿'!$C$4=""),"",IF(B2836&amp;""='経歴簿'!$C$4&amp;"",MAX($AG$4:AG2835)+1,""))</f>
        <v/>
      </c>
      <c r="AH2836" s="20">
        <f>IF(A2836="",0,IF(AND(OR('CSV抽出'!$C$4="",A2836&gt;='CSV抽出'!$C$4),OR('CSV抽出'!$C$5="",A2836&lt;='CSV抽出'!$C$5),OR('CSV抽出'!$C$6="すべて",'CSV抽出'!$C$6="",D2836='CSV抽出'!$C$6),OR('CSV抽出'!$C$7="",B2836&amp;""='CSV抽出'!$C$7&amp;"")),1,0))</f>
        <v/>
      </c>
      <c r="AI2836" s="20">
        <f>IF(AH2836=1,SUM($AH$5:AH2836),"")</f>
        <v/>
      </c>
      <c r="AJ2836" s="20">
        <f>IF(OR(S2836="",'報告書'!$C$4=""),"",IF(S2836&amp;""='報告書'!$C$4&amp;"",COUNTIF($S$5:S2836,'報告書'!$C$4),""))</f>
        <v/>
      </c>
      <c r="AK2836" s="20" t="n"/>
      <c r="AL2836" s="47" t="n"/>
      <c r="AM2836" s="47" t="n"/>
      <c r="AN2836" s="53" t="n"/>
      <c r="AO2836" s="47" t="n"/>
      <c r="AP2836" s="47" t="n"/>
      <c r="AQ2836" s="47" t="n"/>
      <c r="AR2836" s="47" t="n"/>
      <c r="AS2836" s="47" t="n"/>
      <c r="AT2836" s="47" t="n"/>
      <c r="AU2836" s="47" t="n"/>
      <c r="AV2836" s="47" t="n"/>
      <c r="AW2836" s="52" t="n"/>
    </row>
    <row r="2837">
      <c r="A2837" s="48" t="n"/>
      <c r="B2837" s="52" t="n"/>
      <c r="C2837" s="47">
        <f>IF(B2837="","",IFERROR(INDEX('隊員マスタ'!$B$5:$B$204,MATCH(B2837&amp;"",'隊員マスタ'!$F$5:$F$204,0)),IF(AK2837="","番号なし",AK2837)))</f>
        <v/>
      </c>
      <c r="D2837" s="47" t="n"/>
      <c r="E2837" s="47" t="n"/>
      <c r="F2837" s="47" t="n"/>
      <c r="G2837" s="47" t="n"/>
      <c r="H2837" s="47" t="n"/>
      <c r="I2837" s="47" t="n"/>
      <c r="J2837" s="47" t="n"/>
      <c r="K2837" s="47" t="n"/>
      <c r="L2837" s="47" t="n"/>
      <c r="M2837" s="47" t="n"/>
      <c r="N2837" s="47" t="n"/>
      <c r="O2837" s="47" t="n"/>
      <c r="P2837" s="47" t="n"/>
      <c r="Q2837" s="47" t="n"/>
      <c r="R2837" s="47" t="n"/>
      <c r="S2837" s="47" t="n"/>
      <c r="T2837" s="47" t="n"/>
      <c r="U2837" s="53" t="n"/>
      <c r="V2837" s="53" t="n"/>
      <c r="W2837" s="47" t="n"/>
      <c r="X2837" s="47" t="n"/>
      <c r="Y2837" s="47" t="n"/>
      <c r="Z2837" s="47" t="n"/>
      <c r="AA2837" s="47" t="n"/>
      <c r="AB2837" s="47" t="n"/>
      <c r="AC2837" s="47" t="n"/>
      <c r="AD2837" s="47" t="n"/>
      <c r="AE2837" s="47" t="n"/>
      <c r="AF2837" s="20">
        <f>IF(A2837="","",YEAR(EDATE(A2837,-3)))</f>
        <v/>
      </c>
      <c r="AG2837" s="20">
        <f>IF(OR(B2837="",'経歴簿'!$C$4=""),"",IF(B2837&amp;""='経歴簿'!$C$4&amp;"",MAX($AG$4:AG2836)+1,""))</f>
        <v/>
      </c>
      <c r="AH2837" s="20">
        <f>IF(A2837="",0,IF(AND(OR('CSV抽出'!$C$4="",A2837&gt;='CSV抽出'!$C$4),OR('CSV抽出'!$C$5="",A2837&lt;='CSV抽出'!$C$5),OR('CSV抽出'!$C$6="すべて",'CSV抽出'!$C$6="",D2837='CSV抽出'!$C$6),OR('CSV抽出'!$C$7="",B2837&amp;""='CSV抽出'!$C$7&amp;"")),1,0))</f>
        <v/>
      </c>
      <c r="AI2837" s="20">
        <f>IF(AH2837=1,SUM($AH$5:AH2837),"")</f>
        <v/>
      </c>
      <c r="AJ2837" s="20">
        <f>IF(OR(S2837="",'報告書'!$C$4=""),"",IF(S2837&amp;""='報告書'!$C$4&amp;"",COUNTIF($S$5:S2837,'報告書'!$C$4),""))</f>
        <v/>
      </c>
      <c r="AK2837" s="20" t="n"/>
      <c r="AL2837" s="47" t="n"/>
      <c r="AM2837" s="47" t="n"/>
      <c r="AN2837" s="53" t="n"/>
      <c r="AO2837" s="47" t="n"/>
      <c r="AP2837" s="47" t="n"/>
      <c r="AQ2837" s="47" t="n"/>
      <c r="AR2837" s="47" t="n"/>
      <c r="AS2837" s="47" t="n"/>
      <c r="AT2837" s="47" t="n"/>
      <c r="AU2837" s="47" t="n"/>
      <c r="AV2837" s="47" t="n"/>
      <c r="AW2837" s="52" t="n"/>
    </row>
    <row r="2838">
      <c r="A2838" s="48" t="n"/>
      <c r="B2838" s="52" t="n"/>
      <c r="C2838" s="47">
        <f>IF(B2838="","",IFERROR(INDEX('隊員マスタ'!$B$5:$B$204,MATCH(B2838&amp;"",'隊員マスタ'!$F$5:$F$204,0)),IF(AK2838="","番号なし",AK2838)))</f>
        <v/>
      </c>
      <c r="D2838" s="47" t="n"/>
      <c r="E2838" s="47" t="n"/>
      <c r="F2838" s="47" t="n"/>
      <c r="G2838" s="47" t="n"/>
      <c r="H2838" s="47" t="n"/>
      <c r="I2838" s="47" t="n"/>
      <c r="J2838" s="47" t="n"/>
      <c r="K2838" s="47" t="n"/>
      <c r="L2838" s="47" t="n"/>
      <c r="M2838" s="47" t="n"/>
      <c r="N2838" s="47" t="n"/>
      <c r="O2838" s="47" t="n"/>
      <c r="P2838" s="47" t="n"/>
      <c r="Q2838" s="47" t="n"/>
      <c r="R2838" s="47" t="n"/>
      <c r="S2838" s="47" t="n"/>
      <c r="T2838" s="47" t="n"/>
      <c r="U2838" s="53" t="n"/>
      <c r="V2838" s="53" t="n"/>
      <c r="W2838" s="47" t="n"/>
      <c r="X2838" s="47" t="n"/>
      <c r="Y2838" s="47" t="n"/>
      <c r="Z2838" s="47" t="n"/>
      <c r="AA2838" s="47" t="n"/>
      <c r="AB2838" s="47" t="n"/>
      <c r="AC2838" s="47" t="n"/>
      <c r="AD2838" s="47" t="n"/>
      <c r="AE2838" s="47" t="n"/>
      <c r="AF2838" s="20">
        <f>IF(A2838="","",YEAR(EDATE(A2838,-3)))</f>
        <v/>
      </c>
      <c r="AG2838" s="20">
        <f>IF(OR(B2838="",'経歴簿'!$C$4=""),"",IF(B2838&amp;""='経歴簿'!$C$4&amp;"",MAX($AG$4:AG2837)+1,""))</f>
        <v/>
      </c>
      <c r="AH2838" s="20">
        <f>IF(A2838="",0,IF(AND(OR('CSV抽出'!$C$4="",A2838&gt;='CSV抽出'!$C$4),OR('CSV抽出'!$C$5="",A2838&lt;='CSV抽出'!$C$5),OR('CSV抽出'!$C$6="すべて",'CSV抽出'!$C$6="",D2838='CSV抽出'!$C$6),OR('CSV抽出'!$C$7="",B2838&amp;""='CSV抽出'!$C$7&amp;"")),1,0))</f>
        <v/>
      </c>
      <c r="AI2838" s="20">
        <f>IF(AH2838=1,SUM($AH$5:AH2838),"")</f>
        <v/>
      </c>
      <c r="AJ2838" s="20">
        <f>IF(OR(S2838="",'報告書'!$C$4=""),"",IF(S2838&amp;""='報告書'!$C$4&amp;"",COUNTIF($S$5:S2838,'報告書'!$C$4),""))</f>
        <v/>
      </c>
      <c r="AK2838" s="20" t="n"/>
      <c r="AL2838" s="47" t="n"/>
      <c r="AM2838" s="47" t="n"/>
      <c r="AN2838" s="53" t="n"/>
      <c r="AO2838" s="47" t="n"/>
      <c r="AP2838" s="47" t="n"/>
      <c r="AQ2838" s="47" t="n"/>
      <c r="AR2838" s="47" t="n"/>
      <c r="AS2838" s="47" t="n"/>
      <c r="AT2838" s="47" t="n"/>
      <c r="AU2838" s="47" t="n"/>
      <c r="AV2838" s="47" t="n"/>
      <c r="AW2838" s="52" t="n"/>
    </row>
    <row r="2839">
      <c r="A2839" s="48" t="n"/>
      <c r="B2839" s="52" t="n"/>
      <c r="C2839" s="47">
        <f>IF(B2839="","",IFERROR(INDEX('隊員マスタ'!$B$5:$B$204,MATCH(B2839&amp;"",'隊員マスタ'!$F$5:$F$204,0)),IF(AK2839="","番号なし",AK2839)))</f>
        <v/>
      </c>
      <c r="D2839" s="47" t="n"/>
      <c r="E2839" s="47" t="n"/>
      <c r="F2839" s="47" t="n"/>
      <c r="G2839" s="47" t="n"/>
      <c r="H2839" s="47" t="n"/>
      <c r="I2839" s="47" t="n"/>
      <c r="J2839" s="47" t="n"/>
      <c r="K2839" s="47" t="n"/>
      <c r="L2839" s="47" t="n"/>
      <c r="M2839" s="47" t="n"/>
      <c r="N2839" s="47" t="n"/>
      <c r="O2839" s="47" t="n"/>
      <c r="P2839" s="47" t="n"/>
      <c r="Q2839" s="47" t="n"/>
      <c r="R2839" s="47" t="n"/>
      <c r="S2839" s="47" t="n"/>
      <c r="T2839" s="47" t="n"/>
      <c r="U2839" s="53" t="n"/>
      <c r="V2839" s="53" t="n"/>
      <c r="W2839" s="47" t="n"/>
      <c r="X2839" s="47" t="n"/>
      <c r="Y2839" s="47" t="n"/>
      <c r="Z2839" s="47" t="n"/>
      <c r="AA2839" s="47" t="n"/>
      <c r="AB2839" s="47" t="n"/>
      <c r="AC2839" s="47" t="n"/>
      <c r="AD2839" s="47" t="n"/>
      <c r="AE2839" s="47" t="n"/>
      <c r="AF2839" s="20">
        <f>IF(A2839="","",YEAR(EDATE(A2839,-3)))</f>
        <v/>
      </c>
      <c r="AG2839" s="20">
        <f>IF(OR(B2839="",'経歴簿'!$C$4=""),"",IF(B2839&amp;""='経歴簿'!$C$4&amp;"",MAX($AG$4:AG2838)+1,""))</f>
        <v/>
      </c>
      <c r="AH2839" s="20">
        <f>IF(A2839="",0,IF(AND(OR('CSV抽出'!$C$4="",A2839&gt;='CSV抽出'!$C$4),OR('CSV抽出'!$C$5="",A2839&lt;='CSV抽出'!$C$5),OR('CSV抽出'!$C$6="すべて",'CSV抽出'!$C$6="",D2839='CSV抽出'!$C$6),OR('CSV抽出'!$C$7="",B2839&amp;""='CSV抽出'!$C$7&amp;"")),1,0))</f>
        <v/>
      </c>
      <c r="AI2839" s="20">
        <f>IF(AH2839=1,SUM($AH$5:AH2839),"")</f>
        <v/>
      </c>
      <c r="AJ2839" s="20">
        <f>IF(OR(S2839="",'報告書'!$C$4=""),"",IF(S2839&amp;""='報告書'!$C$4&amp;"",COUNTIF($S$5:S2839,'報告書'!$C$4),""))</f>
        <v/>
      </c>
      <c r="AK2839" s="20" t="n"/>
      <c r="AL2839" s="47" t="n"/>
      <c r="AM2839" s="47" t="n"/>
      <c r="AN2839" s="53" t="n"/>
      <c r="AO2839" s="47" t="n"/>
      <c r="AP2839" s="47" t="n"/>
      <c r="AQ2839" s="47" t="n"/>
      <c r="AR2839" s="47" t="n"/>
      <c r="AS2839" s="47" t="n"/>
      <c r="AT2839" s="47" t="n"/>
      <c r="AU2839" s="47" t="n"/>
      <c r="AV2839" s="47" t="n"/>
      <c r="AW2839" s="52" t="n"/>
    </row>
    <row r="2840">
      <c r="A2840" s="48" t="n"/>
      <c r="B2840" s="52" t="n"/>
      <c r="C2840" s="47">
        <f>IF(B2840="","",IFERROR(INDEX('隊員マスタ'!$B$5:$B$204,MATCH(B2840&amp;"",'隊員マスタ'!$F$5:$F$204,0)),IF(AK2840="","番号なし",AK2840)))</f>
        <v/>
      </c>
      <c r="D2840" s="47" t="n"/>
      <c r="E2840" s="47" t="n"/>
      <c r="F2840" s="47" t="n"/>
      <c r="G2840" s="47" t="n"/>
      <c r="H2840" s="47" t="n"/>
      <c r="I2840" s="47" t="n"/>
      <c r="J2840" s="47" t="n"/>
      <c r="K2840" s="47" t="n"/>
      <c r="L2840" s="47" t="n"/>
      <c r="M2840" s="47" t="n"/>
      <c r="N2840" s="47" t="n"/>
      <c r="O2840" s="47" t="n"/>
      <c r="P2840" s="47" t="n"/>
      <c r="Q2840" s="47" t="n"/>
      <c r="R2840" s="47" t="n"/>
      <c r="S2840" s="47" t="n"/>
      <c r="T2840" s="47" t="n"/>
      <c r="U2840" s="53" t="n"/>
      <c r="V2840" s="53" t="n"/>
      <c r="W2840" s="47" t="n"/>
      <c r="X2840" s="47" t="n"/>
      <c r="Y2840" s="47" t="n"/>
      <c r="Z2840" s="47" t="n"/>
      <c r="AA2840" s="47" t="n"/>
      <c r="AB2840" s="47" t="n"/>
      <c r="AC2840" s="47" t="n"/>
      <c r="AD2840" s="47" t="n"/>
      <c r="AE2840" s="47" t="n"/>
      <c r="AF2840" s="20">
        <f>IF(A2840="","",YEAR(EDATE(A2840,-3)))</f>
        <v/>
      </c>
      <c r="AG2840" s="20">
        <f>IF(OR(B2840="",'経歴簿'!$C$4=""),"",IF(B2840&amp;""='経歴簿'!$C$4&amp;"",MAX($AG$4:AG2839)+1,""))</f>
        <v/>
      </c>
      <c r="AH2840" s="20">
        <f>IF(A2840="",0,IF(AND(OR('CSV抽出'!$C$4="",A2840&gt;='CSV抽出'!$C$4),OR('CSV抽出'!$C$5="",A2840&lt;='CSV抽出'!$C$5),OR('CSV抽出'!$C$6="すべて",'CSV抽出'!$C$6="",D2840='CSV抽出'!$C$6),OR('CSV抽出'!$C$7="",B2840&amp;""='CSV抽出'!$C$7&amp;"")),1,0))</f>
        <v/>
      </c>
      <c r="AI2840" s="20">
        <f>IF(AH2840=1,SUM($AH$5:AH2840),"")</f>
        <v/>
      </c>
      <c r="AJ2840" s="20">
        <f>IF(OR(S2840="",'報告書'!$C$4=""),"",IF(S2840&amp;""='報告書'!$C$4&amp;"",COUNTIF($S$5:S2840,'報告書'!$C$4),""))</f>
        <v/>
      </c>
      <c r="AK2840" s="20" t="n"/>
      <c r="AL2840" s="47" t="n"/>
      <c r="AM2840" s="47" t="n"/>
      <c r="AN2840" s="53" t="n"/>
      <c r="AO2840" s="47" t="n"/>
      <c r="AP2840" s="47" t="n"/>
      <c r="AQ2840" s="47" t="n"/>
      <c r="AR2840" s="47" t="n"/>
      <c r="AS2840" s="47" t="n"/>
      <c r="AT2840" s="47" t="n"/>
      <c r="AU2840" s="47" t="n"/>
      <c r="AV2840" s="47" t="n"/>
      <c r="AW2840" s="52" t="n"/>
    </row>
    <row r="2841">
      <c r="A2841" s="48" t="n"/>
      <c r="B2841" s="52" t="n"/>
      <c r="C2841" s="47">
        <f>IF(B2841="","",IFERROR(INDEX('隊員マスタ'!$B$5:$B$204,MATCH(B2841&amp;"",'隊員マスタ'!$F$5:$F$204,0)),IF(AK2841="","番号なし",AK2841)))</f>
        <v/>
      </c>
      <c r="D2841" s="47" t="n"/>
      <c r="E2841" s="47" t="n"/>
      <c r="F2841" s="47" t="n"/>
      <c r="G2841" s="47" t="n"/>
      <c r="H2841" s="47" t="n"/>
      <c r="I2841" s="47" t="n"/>
      <c r="J2841" s="47" t="n"/>
      <c r="K2841" s="47" t="n"/>
      <c r="L2841" s="47" t="n"/>
      <c r="M2841" s="47" t="n"/>
      <c r="N2841" s="47" t="n"/>
      <c r="O2841" s="47" t="n"/>
      <c r="P2841" s="47" t="n"/>
      <c r="Q2841" s="47" t="n"/>
      <c r="R2841" s="47" t="n"/>
      <c r="S2841" s="47" t="n"/>
      <c r="T2841" s="47" t="n"/>
      <c r="U2841" s="53" t="n"/>
      <c r="V2841" s="53" t="n"/>
      <c r="W2841" s="47" t="n"/>
      <c r="X2841" s="47" t="n"/>
      <c r="Y2841" s="47" t="n"/>
      <c r="Z2841" s="47" t="n"/>
      <c r="AA2841" s="47" t="n"/>
      <c r="AB2841" s="47" t="n"/>
      <c r="AC2841" s="47" t="n"/>
      <c r="AD2841" s="47" t="n"/>
      <c r="AE2841" s="47" t="n"/>
      <c r="AF2841" s="20">
        <f>IF(A2841="","",YEAR(EDATE(A2841,-3)))</f>
        <v/>
      </c>
      <c r="AG2841" s="20">
        <f>IF(OR(B2841="",'経歴簿'!$C$4=""),"",IF(B2841&amp;""='経歴簿'!$C$4&amp;"",MAX($AG$4:AG2840)+1,""))</f>
        <v/>
      </c>
      <c r="AH2841" s="20">
        <f>IF(A2841="",0,IF(AND(OR('CSV抽出'!$C$4="",A2841&gt;='CSV抽出'!$C$4),OR('CSV抽出'!$C$5="",A2841&lt;='CSV抽出'!$C$5),OR('CSV抽出'!$C$6="すべて",'CSV抽出'!$C$6="",D2841='CSV抽出'!$C$6),OR('CSV抽出'!$C$7="",B2841&amp;""='CSV抽出'!$C$7&amp;"")),1,0))</f>
        <v/>
      </c>
      <c r="AI2841" s="20">
        <f>IF(AH2841=1,SUM($AH$5:AH2841),"")</f>
        <v/>
      </c>
      <c r="AJ2841" s="20">
        <f>IF(OR(S2841="",'報告書'!$C$4=""),"",IF(S2841&amp;""='報告書'!$C$4&amp;"",COUNTIF($S$5:S2841,'報告書'!$C$4),""))</f>
        <v/>
      </c>
      <c r="AK2841" s="20" t="n"/>
      <c r="AL2841" s="47" t="n"/>
      <c r="AM2841" s="47" t="n"/>
      <c r="AN2841" s="53" t="n"/>
      <c r="AO2841" s="47" t="n"/>
      <c r="AP2841" s="47" t="n"/>
      <c r="AQ2841" s="47" t="n"/>
      <c r="AR2841" s="47" t="n"/>
      <c r="AS2841" s="47" t="n"/>
      <c r="AT2841" s="47" t="n"/>
      <c r="AU2841" s="47" t="n"/>
      <c r="AV2841" s="47" t="n"/>
      <c r="AW2841" s="52" t="n"/>
    </row>
    <row r="2842">
      <c r="A2842" s="48" t="n"/>
      <c r="B2842" s="52" t="n"/>
      <c r="C2842" s="47">
        <f>IF(B2842="","",IFERROR(INDEX('隊員マスタ'!$B$5:$B$204,MATCH(B2842&amp;"",'隊員マスタ'!$F$5:$F$204,0)),IF(AK2842="","番号なし",AK2842)))</f>
        <v/>
      </c>
      <c r="D2842" s="47" t="n"/>
      <c r="E2842" s="47" t="n"/>
      <c r="F2842" s="47" t="n"/>
      <c r="G2842" s="47" t="n"/>
      <c r="H2842" s="47" t="n"/>
      <c r="I2842" s="47" t="n"/>
      <c r="J2842" s="47" t="n"/>
      <c r="K2842" s="47" t="n"/>
      <c r="L2842" s="47" t="n"/>
      <c r="M2842" s="47" t="n"/>
      <c r="N2842" s="47" t="n"/>
      <c r="O2842" s="47" t="n"/>
      <c r="P2842" s="47" t="n"/>
      <c r="Q2842" s="47" t="n"/>
      <c r="R2842" s="47" t="n"/>
      <c r="S2842" s="47" t="n"/>
      <c r="T2842" s="47" t="n"/>
      <c r="U2842" s="53" t="n"/>
      <c r="V2842" s="53" t="n"/>
      <c r="W2842" s="47" t="n"/>
      <c r="X2842" s="47" t="n"/>
      <c r="Y2842" s="47" t="n"/>
      <c r="Z2842" s="47" t="n"/>
      <c r="AA2842" s="47" t="n"/>
      <c r="AB2842" s="47" t="n"/>
      <c r="AC2842" s="47" t="n"/>
      <c r="AD2842" s="47" t="n"/>
      <c r="AE2842" s="47" t="n"/>
      <c r="AF2842" s="20">
        <f>IF(A2842="","",YEAR(EDATE(A2842,-3)))</f>
        <v/>
      </c>
      <c r="AG2842" s="20">
        <f>IF(OR(B2842="",'経歴簿'!$C$4=""),"",IF(B2842&amp;""='経歴簿'!$C$4&amp;"",MAX($AG$4:AG2841)+1,""))</f>
        <v/>
      </c>
      <c r="AH2842" s="20">
        <f>IF(A2842="",0,IF(AND(OR('CSV抽出'!$C$4="",A2842&gt;='CSV抽出'!$C$4),OR('CSV抽出'!$C$5="",A2842&lt;='CSV抽出'!$C$5),OR('CSV抽出'!$C$6="すべて",'CSV抽出'!$C$6="",D2842='CSV抽出'!$C$6),OR('CSV抽出'!$C$7="",B2842&amp;""='CSV抽出'!$C$7&amp;"")),1,0))</f>
        <v/>
      </c>
      <c r="AI2842" s="20">
        <f>IF(AH2842=1,SUM($AH$5:AH2842),"")</f>
        <v/>
      </c>
      <c r="AJ2842" s="20">
        <f>IF(OR(S2842="",'報告書'!$C$4=""),"",IF(S2842&amp;""='報告書'!$C$4&amp;"",COUNTIF($S$5:S2842,'報告書'!$C$4),""))</f>
        <v/>
      </c>
      <c r="AK2842" s="20" t="n"/>
      <c r="AL2842" s="47" t="n"/>
      <c r="AM2842" s="47" t="n"/>
      <c r="AN2842" s="53" t="n"/>
      <c r="AO2842" s="47" t="n"/>
      <c r="AP2842" s="47" t="n"/>
      <c r="AQ2842" s="47" t="n"/>
      <c r="AR2842" s="47" t="n"/>
      <c r="AS2842" s="47" t="n"/>
      <c r="AT2842" s="47" t="n"/>
      <c r="AU2842" s="47" t="n"/>
      <c r="AV2842" s="47" t="n"/>
      <c r="AW2842" s="52" t="n"/>
    </row>
    <row r="2843">
      <c r="A2843" s="48" t="n"/>
      <c r="B2843" s="52" t="n"/>
      <c r="C2843" s="47">
        <f>IF(B2843="","",IFERROR(INDEX('隊員マスタ'!$B$5:$B$204,MATCH(B2843&amp;"",'隊員マスタ'!$F$5:$F$204,0)),IF(AK2843="","番号なし",AK2843)))</f>
        <v/>
      </c>
      <c r="D2843" s="47" t="n"/>
      <c r="E2843" s="47" t="n"/>
      <c r="F2843" s="47" t="n"/>
      <c r="G2843" s="47" t="n"/>
      <c r="H2843" s="47" t="n"/>
      <c r="I2843" s="47" t="n"/>
      <c r="J2843" s="47" t="n"/>
      <c r="K2843" s="47" t="n"/>
      <c r="L2843" s="47" t="n"/>
      <c r="M2843" s="47" t="n"/>
      <c r="N2843" s="47" t="n"/>
      <c r="O2843" s="47" t="n"/>
      <c r="P2843" s="47" t="n"/>
      <c r="Q2843" s="47" t="n"/>
      <c r="R2843" s="47" t="n"/>
      <c r="S2843" s="47" t="n"/>
      <c r="T2843" s="47" t="n"/>
      <c r="U2843" s="53" t="n"/>
      <c r="V2843" s="53" t="n"/>
      <c r="W2843" s="47" t="n"/>
      <c r="X2843" s="47" t="n"/>
      <c r="Y2843" s="47" t="n"/>
      <c r="Z2843" s="47" t="n"/>
      <c r="AA2843" s="47" t="n"/>
      <c r="AB2843" s="47" t="n"/>
      <c r="AC2843" s="47" t="n"/>
      <c r="AD2843" s="47" t="n"/>
      <c r="AE2843" s="47" t="n"/>
      <c r="AF2843" s="20">
        <f>IF(A2843="","",YEAR(EDATE(A2843,-3)))</f>
        <v/>
      </c>
      <c r="AG2843" s="20">
        <f>IF(OR(B2843="",'経歴簿'!$C$4=""),"",IF(B2843&amp;""='経歴簿'!$C$4&amp;"",MAX($AG$4:AG2842)+1,""))</f>
        <v/>
      </c>
      <c r="AH2843" s="20">
        <f>IF(A2843="",0,IF(AND(OR('CSV抽出'!$C$4="",A2843&gt;='CSV抽出'!$C$4),OR('CSV抽出'!$C$5="",A2843&lt;='CSV抽出'!$C$5),OR('CSV抽出'!$C$6="すべて",'CSV抽出'!$C$6="",D2843='CSV抽出'!$C$6),OR('CSV抽出'!$C$7="",B2843&amp;""='CSV抽出'!$C$7&amp;"")),1,0))</f>
        <v/>
      </c>
      <c r="AI2843" s="20">
        <f>IF(AH2843=1,SUM($AH$5:AH2843),"")</f>
        <v/>
      </c>
      <c r="AJ2843" s="20">
        <f>IF(OR(S2843="",'報告書'!$C$4=""),"",IF(S2843&amp;""='報告書'!$C$4&amp;"",COUNTIF($S$5:S2843,'報告書'!$C$4),""))</f>
        <v/>
      </c>
      <c r="AK2843" s="20" t="n"/>
      <c r="AL2843" s="47" t="n"/>
      <c r="AM2843" s="47" t="n"/>
      <c r="AN2843" s="53" t="n"/>
      <c r="AO2843" s="47" t="n"/>
      <c r="AP2843" s="47" t="n"/>
      <c r="AQ2843" s="47" t="n"/>
      <c r="AR2843" s="47" t="n"/>
      <c r="AS2843" s="47" t="n"/>
      <c r="AT2843" s="47" t="n"/>
      <c r="AU2843" s="47" t="n"/>
      <c r="AV2843" s="47" t="n"/>
      <c r="AW2843" s="52" t="n"/>
    </row>
    <row r="2844">
      <c r="A2844" s="48" t="n"/>
      <c r="B2844" s="52" t="n"/>
      <c r="C2844" s="47">
        <f>IF(B2844="","",IFERROR(INDEX('隊員マスタ'!$B$5:$B$204,MATCH(B2844&amp;"",'隊員マスタ'!$F$5:$F$204,0)),IF(AK2844="","番号なし",AK2844)))</f>
        <v/>
      </c>
      <c r="D2844" s="47" t="n"/>
      <c r="E2844" s="47" t="n"/>
      <c r="F2844" s="47" t="n"/>
      <c r="G2844" s="47" t="n"/>
      <c r="H2844" s="47" t="n"/>
      <c r="I2844" s="47" t="n"/>
      <c r="J2844" s="47" t="n"/>
      <c r="K2844" s="47" t="n"/>
      <c r="L2844" s="47" t="n"/>
      <c r="M2844" s="47" t="n"/>
      <c r="N2844" s="47" t="n"/>
      <c r="O2844" s="47" t="n"/>
      <c r="P2844" s="47" t="n"/>
      <c r="Q2844" s="47" t="n"/>
      <c r="R2844" s="47" t="n"/>
      <c r="S2844" s="47" t="n"/>
      <c r="T2844" s="47" t="n"/>
      <c r="U2844" s="53" t="n"/>
      <c r="V2844" s="53" t="n"/>
      <c r="W2844" s="47" t="n"/>
      <c r="X2844" s="47" t="n"/>
      <c r="Y2844" s="47" t="n"/>
      <c r="Z2844" s="47" t="n"/>
      <c r="AA2844" s="47" t="n"/>
      <c r="AB2844" s="47" t="n"/>
      <c r="AC2844" s="47" t="n"/>
      <c r="AD2844" s="47" t="n"/>
      <c r="AE2844" s="47" t="n"/>
      <c r="AF2844" s="20">
        <f>IF(A2844="","",YEAR(EDATE(A2844,-3)))</f>
        <v/>
      </c>
      <c r="AG2844" s="20">
        <f>IF(OR(B2844="",'経歴簿'!$C$4=""),"",IF(B2844&amp;""='経歴簿'!$C$4&amp;"",MAX($AG$4:AG2843)+1,""))</f>
        <v/>
      </c>
      <c r="AH2844" s="20">
        <f>IF(A2844="",0,IF(AND(OR('CSV抽出'!$C$4="",A2844&gt;='CSV抽出'!$C$4),OR('CSV抽出'!$C$5="",A2844&lt;='CSV抽出'!$C$5),OR('CSV抽出'!$C$6="すべて",'CSV抽出'!$C$6="",D2844='CSV抽出'!$C$6),OR('CSV抽出'!$C$7="",B2844&amp;""='CSV抽出'!$C$7&amp;"")),1,0))</f>
        <v/>
      </c>
      <c r="AI2844" s="20">
        <f>IF(AH2844=1,SUM($AH$5:AH2844),"")</f>
        <v/>
      </c>
      <c r="AJ2844" s="20">
        <f>IF(OR(S2844="",'報告書'!$C$4=""),"",IF(S2844&amp;""='報告書'!$C$4&amp;"",COUNTIF($S$5:S2844,'報告書'!$C$4),""))</f>
        <v/>
      </c>
      <c r="AK2844" s="20" t="n"/>
      <c r="AL2844" s="47" t="n"/>
      <c r="AM2844" s="47" t="n"/>
      <c r="AN2844" s="53" t="n"/>
      <c r="AO2844" s="47" t="n"/>
      <c r="AP2844" s="47" t="n"/>
      <c r="AQ2844" s="47" t="n"/>
      <c r="AR2844" s="47" t="n"/>
      <c r="AS2844" s="47" t="n"/>
      <c r="AT2844" s="47" t="n"/>
      <c r="AU2844" s="47" t="n"/>
      <c r="AV2844" s="47" t="n"/>
      <c r="AW2844" s="52" t="n"/>
    </row>
    <row r="2845">
      <c r="A2845" s="48" t="n"/>
      <c r="B2845" s="52" t="n"/>
      <c r="C2845" s="47">
        <f>IF(B2845="","",IFERROR(INDEX('隊員マスタ'!$B$5:$B$204,MATCH(B2845&amp;"",'隊員マスタ'!$F$5:$F$204,0)),IF(AK2845="","番号なし",AK2845)))</f>
        <v/>
      </c>
      <c r="D2845" s="47" t="n"/>
      <c r="E2845" s="47" t="n"/>
      <c r="F2845" s="47" t="n"/>
      <c r="G2845" s="47" t="n"/>
      <c r="H2845" s="47" t="n"/>
      <c r="I2845" s="47" t="n"/>
      <c r="J2845" s="47" t="n"/>
      <c r="K2845" s="47" t="n"/>
      <c r="L2845" s="47" t="n"/>
      <c r="M2845" s="47" t="n"/>
      <c r="N2845" s="47" t="n"/>
      <c r="O2845" s="47" t="n"/>
      <c r="P2845" s="47" t="n"/>
      <c r="Q2845" s="47" t="n"/>
      <c r="R2845" s="47" t="n"/>
      <c r="S2845" s="47" t="n"/>
      <c r="T2845" s="47" t="n"/>
      <c r="U2845" s="53" t="n"/>
      <c r="V2845" s="53" t="n"/>
      <c r="W2845" s="47" t="n"/>
      <c r="X2845" s="47" t="n"/>
      <c r="Y2845" s="47" t="n"/>
      <c r="Z2845" s="47" t="n"/>
      <c r="AA2845" s="47" t="n"/>
      <c r="AB2845" s="47" t="n"/>
      <c r="AC2845" s="47" t="n"/>
      <c r="AD2845" s="47" t="n"/>
      <c r="AE2845" s="47" t="n"/>
      <c r="AF2845" s="20">
        <f>IF(A2845="","",YEAR(EDATE(A2845,-3)))</f>
        <v/>
      </c>
      <c r="AG2845" s="20">
        <f>IF(OR(B2845="",'経歴簿'!$C$4=""),"",IF(B2845&amp;""='経歴簿'!$C$4&amp;"",MAX($AG$4:AG2844)+1,""))</f>
        <v/>
      </c>
      <c r="AH2845" s="20">
        <f>IF(A2845="",0,IF(AND(OR('CSV抽出'!$C$4="",A2845&gt;='CSV抽出'!$C$4),OR('CSV抽出'!$C$5="",A2845&lt;='CSV抽出'!$C$5),OR('CSV抽出'!$C$6="すべて",'CSV抽出'!$C$6="",D2845='CSV抽出'!$C$6),OR('CSV抽出'!$C$7="",B2845&amp;""='CSV抽出'!$C$7&amp;"")),1,0))</f>
        <v/>
      </c>
      <c r="AI2845" s="20">
        <f>IF(AH2845=1,SUM($AH$5:AH2845),"")</f>
        <v/>
      </c>
      <c r="AJ2845" s="20">
        <f>IF(OR(S2845="",'報告書'!$C$4=""),"",IF(S2845&amp;""='報告書'!$C$4&amp;"",COUNTIF($S$5:S2845,'報告書'!$C$4),""))</f>
        <v/>
      </c>
      <c r="AK2845" s="20" t="n"/>
      <c r="AL2845" s="47" t="n"/>
      <c r="AM2845" s="47" t="n"/>
      <c r="AN2845" s="53" t="n"/>
      <c r="AO2845" s="47" t="n"/>
      <c r="AP2845" s="47" t="n"/>
      <c r="AQ2845" s="47" t="n"/>
      <c r="AR2845" s="47" t="n"/>
      <c r="AS2845" s="47" t="n"/>
      <c r="AT2845" s="47" t="n"/>
      <c r="AU2845" s="47" t="n"/>
      <c r="AV2845" s="47" t="n"/>
      <c r="AW2845" s="52" t="n"/>
    </row>
    <row r="2846">
      <c r="A2846" s="48" t="n"/>
      <c r="B2846" s="52" t="n"/>
      <c r="C2846" s="47">
        <f>IF(B2846="","",IFERROR(INDEX('隊員マスタ'!$B$5:$B$204,MATCH(B2846&amp;"",'隊員マスタ'!$F$5:$F$204,0)),IF(AK2846="","番号なし",AK2846)))</f>
        <v/>
      </c>
      <c r="D2846" s="47" t="n"/>
      <c r="E2846" s="47" t="n"/>
      <c r="F2846" s="47" t="n"/>
      <c r="G2846" s="47" t="n"/>
      <c r="H2846" s="47" t="n"/>
      <c r="I2846" s="47" t="n"/>
      <c r="J2846" s="47" t="n"/>
      <c r="K2846" s="47" t="n"/>
      <c r="L2846" s="47" t="n"/>
      <c r="M2846" s="47" t="n"/>
      <c r="N2846" s="47" t="n"/>
      <c r="O2846" s="47" t="n"/>
      <c r="P2846" s="47" t="n"/>
      <c r="Q2846" s="47" t="n"/>
      <c r="R2846" s="47" t="n"/>
      <c r="S2846" s="47" t="n"/>
      <c r="T2846" s="47" t="n"/>
      <c r="U2846" s="53" t="n"/>
      <c r="V2846" s="53" t="n"/>
      <c r="W2846" s="47" t="n"/>
      <c r="X2846" s="47" t="n"/>
      <c r="Y2846" s="47" t="n"/>
      <c r="Z2846" s="47" t="n"/>
      <c r="AA2846" s="47" t="n"/>
      <c r="AB2846" s="47" t="n"/>
      <c r="AC2846" s="47" t="n"/>
      <c r="AD2846" s="47" t="n"/>
      <c r="AE2846" s="47" t="n"/>
      <c r="AF2846" s="20">
        <f>IF(A2846="","",YEAR(EDATE(A2846,-3)))</f>
        <v/>
      </c>
      <c r="AG2846" s="20">
        <f>IF(OR(B2846="",'経歴簿'!$C$4=""),"",IF(B2846&amp;""='経歴簿'!$C$4&amp;"",MAX($AG$4:AG2845)+1,""))</f>
        <v/>
      </c>
      <c r="AH2846" s="20">
        <f>IF(A2846="",0,IF(AND(OR('CSV抽出'!$C$4="",A2846&gt;='CSV抽出'!$C$4),OR('CSV抽出'!$C$5="",A2846&lt;='CSV抽出'!$C$5),OR('CSV抽出'!$C$6="すべて",'CSV抽出'!$C$6="",D2846='CSV抽出'!$C$6),OR('CSV抽出'!$C$7="",B2846&amp;""='CSV抽出'!$C$7&amp;"")),1,0))</f>
        <v/>
      </c>
      <c r="AI2846" s="20">
        <f>IF(AH2846=1,SUM($AH$5:AH2846),"")</f>
        <v/>
      </c>
      <c r="AJ2846" s="20">
        <f>IF(OR(S2846="",'報告書'!$C$4=""),"",IF(S2846&amp;""='報告書'!$C$4&amp;"",COUNTIF($S$5:S2846,'報告書'!$C$4),""))</f>
        <v/>
      </c>
      <c r="AK2846" s="20" t="n"/>
      <c r="AL2846" s="47" t="n"/>
      <c r="AM2846" s="47" t="n"/>
      <c r="AN2846" s="53" t="n"/>
      <c r="AO2846" s="47" t="n"/>
      <c r="AP2846" s="47" t="n"/>
      <c r="AQ2846" s="47" t="n"/>
      <c r="AR2846" s="47" t="n"/>
      <c r="AS2846" s="47" t="n"/>
      <c r="AT2846" s="47" t="n"/>
      <c r="AU2846" s="47" t="n"/>
      <c r="AV2846" s="47" t="n"/>
      <c r="AW2846" s="52" t="n"/>
    </row>
    <row r="2847">
      <c r="A2847" s="48" t="n"/>
      <c r="B2847" s="52" t="n"/>
      <c r="C2847" s="47">
        <f>IF(B2847="","",IFERROR(INDEX('隊員マスタ'!$B$5:$B$204,MATCH(B2847&amp;"",'隊員マスタ'!$F$5:$F$204,0)),IF(AK2847="","番号なし",AK2847)))</f>
        <v/>
      </c>
      <c r="D2847" s="47" t="n"/>
      <c r="E2847" s="47" t="n"/>
      <c r="F2847" s="47" t="n"/>
      <c r="G2847" s="47" t="n"/>
      <c r="H2847" s="47" t="n"/>
      <c r="I2847" s="47" t="n"/>
      <c r="J2847" s="47" t="n"/>
      <c r="K2847" s="47" t="n"/>
      <c r="L2847" s="47" t="n"/>
      <c r="M2847" s="47" t="n"/>
      <c r="N2847" s="47" t="n"/>
      <c r="O2847" s="47" t="n"/>
      <c r="P2847" s="47" t="n"/>
      <c r="Q2847" s="47" t="n"/>
      <c r="R2847" s="47" t="n"/>
      <c r="S2847" s="47" t="n"/>
      <c r="T2847" s="47" t="n"/>
      <c r="U2847" s="53" t="n"/>
      <c r="V2847" s="53" t="n"/>
      <c r="W2847" s="47" t="n"/>
      <c r="X2847" s="47" t="n"/>
      <c r="Y2847" s="47" t="n"/>
      <c r="Z2847" s="47" t="n"/>
      <c r="AA2847" s="47" t="n"/>
      <c r="AB2847" s="47" t="n"/>
      <c r="AC2847" s="47" t="n"/>
      <c r="AD2847" s="47" t="n"/>
      <c r="AE2847" s="47" t="n"/>
      <c r="AF2847" s="20">
        <f>IF(A2847="","",YEAR(EDATE(A2847,-3)))</f>
        <v/>
      </c>
      <c r="AG2847" s="20">
        <f>IF(OR(B2847="",'経歴簿'!$C$4=""),"",IF(B2847&amp;""='経歴簿'!$C$4&amp;"",MAX($AG$4:AG2846)+1,""))</f>
        <v/>
      </c>
      <c r="AH2847" s="20">
        <f>IF(A2847="",0,IF(AND(OR('CSV抽出'!$C$4="",A2847&gt;='CSV抽出'!$C$4),OR('CSV抽出'!$C$5="",A2847&lt;='CSV抽出'!$C$5),OR('CSV抽出'!$C$6="すべて",'CSV抽出'!$C$6="",D2847='CSV抽出'!$C$6),OR('CSV抽出'!$C$7="",B2847&amp;""='CSV抽出'!$C$7&amp;"")),1,0))</f>
        <v/>
      </c>
      <c r="AI2847" s="20">
        <f>IF(AH2847=1,SUM($AH$5:AH2847),"")</f>
        <v/>
      </c>
      <c r="AJ2847" s="20">
        <f>IF(OR(S2847="",'報告書'!$C$4=""),"",IF(S2847&amp;""='報告書'!$C$4&amp;"",COUNTIF($S$5:S2847,'報告書'!$C$4),""))</f>
        <v/>
      </c>
      <c r="AK2847" s="20" t="n"/>
      <c r="AL2847" s="47" t="n"/>
      <c r="AM2847" s="47" t="n"/>
      <c r="AN2847" s="53" t="n"/>
      <c r="AO2847" s="47" t="n"/>
      <c r="AP2847" s="47" t="n"/>
      <c r="AQ2847" s="47" t="n"/>
      <c r="AR2847" s="47" t="n"/>
      <c r="AS2847" s="47" t="n"/>
      <c r="AT2847" s="47" t="n"/>
      <c r="AU2847" s="47" t="n"/>
      <c r="AV2847" s="47" t="n"/>
      <c r="AW2847" s="52" t="n"/>
    </row>
    <row r="2848">
      <c r="A2848" s="48" t="n"/>
      <c r="B2848" s="52" t="n"/>
      <c r="C2848" s="47">
        <f>IF(B2848="","",IFERROR(INDEX('隊員マスタ'!$B$5:$B$204,MATCH(B2848&amp;"",'隊員マスタ'!$F$5:$F$204,0)),IF(AK2848="","番号なし",AK2848)))</f>
        <v/>
      </c>
      <c r="D2848" s="47" t="n"/>
      <c r="E2848" s="47" t="n"/>
      <c r="F2848" s="47" t="n"/>
      <c r="G2848" s="47" t="n"/>
      <c r="H2848" s="47" t="n"/>
      <c r="I2848" s="47" t="n"/>
      <c r="J2848" s="47" t="n"/>
      <c r="K2848" s="47" t="n"/>
      <c r="L2848" s="47" t="n"/>
      <c r="M2848" s="47" t="n"/>
      <c r="N2848" s="47" t="n"/>
      <c r="O2848" s="47" t="n"/>
      <c r="P2848" s="47" t="n"/>
      <c r="Q2848" s="47" t="n"/>
      <c r="R2848" s="47" t="n"/>
      <c r="S2848" s="47" t="n"/>
      <c r="T2848" s="47" t="n"/>
      <c r="U2848" s="53" t="n"/>
      <c r="V2848" s="53" t="n"/>
      <c r="W2848" s="47" t="n"/>
      <c r="X2848" s="47" t="n"/>
      <c r="Y2848" s="47" t="n"/>
      <c r="Z2848" s="47" t="n"/>
      <c r="AA2848" s="47" t="n"/>
      <c r="AB2848" s="47" t="n"/>
      <c r="AC2848" s="47" t="n"/>
      <c r="AD2848" s="47" t="n"/>
      <c r="AE2848" s="47" t="n"/>
      <c r="AF2848" s="20">
        <f>IF(A2848="","",YEAR(EDATE(A2848,-3)))</f>
        <v/>
      </c>
      <c r="AG2848" s="20">
        <f>IF(OR(B2848="",'経歴簿'!$C$4=""),"",IF(B2848&amp;""='経歴簿'!$C$4&amp;"",MAX($AG$4:AG2847)+1,""))</f>
        <v/>
      </c>
      <c r="AH2848" s="20">
        <f>IF(A2848="",0,IF(AND(OR('CSV抽出'!$C$4="",A2848&gt;='CSV抽出'!$C$4),OR('CSV抽出'!$C$5="",A2848&lt;='CSV抽出'!$C$5),OR('CSV抽出'!$C$6="すべて",'CSV抽出'!$C$6="",D2848='CSV抽出'!$C$6),OR('CSV抽出'!$C$7="",B2848&amp;""='CSV抽出'!$C$7&amp;"")),1,0))</f>
        <v/>
      </c>
      <c r="AI2848" s="20">
        <f>IF(AH2848=1,SUM($AH$5:AH2848),"")</f>
        <v/>
      </c>
      <c r="AJ2848" s="20">
        <f>IF(OR(S2848="",'報告書'!$C$4=""),"",IF(S2848&amp;""='報告書'!$C$4&amp;"",COUNTIF($S$5:S2848,'報告書'!$C$4),""))</f>
        <v/>
      </c>
      <c r="AK2848" s="20" t="n"/>
      <c r="AL2848" s="47" t="n"/>
      <c r="AM2848" s="47" t="n"/>
      <c r="AN2848" s="53" t="n"/>
      <c r="AO2848" s="47" t="n"/>
      <c r="AP2848" s="47" t="n"/>
      <c r="AQ2848" s="47" t="n"/>
      <c r="AR2848" s="47" t="n"/>
      <c r="AS2848" s="47" t="n"/>
      <c r="AT2848" s="47" t="n"/>
      <c r="AU2848" s="47" t="n"/>
      <c r="AV2848" s="47" t="n"/>
      <c r="AW2848" s="52" t="n"/>
    </row>
    <row r="2849">
      <c r="A2849" s="48" t="n"/>
      <c r="B2849" s="52" t="n"/>
      <c r="C2849" s="47">
        <f>IF(B2849="","",IFERROR(INDEX('隊員マスタ'!$B$5:$B$204,MATCH(B2849&amp;"",'隊員マスタ'!$F$5:$F$204,0)),IF(AK2849="","番号なし",AK2849)))</f>
        <v/>
      </c>
      <c r="D2849" s="47" t="n"/>
      <c r="E2849" s="47" t="n"/>
      <c r="F2849" s="47" t="n"/>
      <c r="G2849" s="47" t="n"/>
      <c r="H2849" s="47" t="n"/>
      <c r="I2849" s="47" t="n"/>
      <c r="J2849" s="47" t="n"/>
      <c r="K2849" s="47" t="n"/>
      <c r="L2849" s="47" t="n"/>
      <c r="M2849" s="47" t="n"/>
      <c r="N2849" s="47" t="n"/>
      <c r="O2849" s="47" t="n"/>
      <c r="P2849" s="47" t="n"/>
      <c r="Q2849" s="47" t="n"/>
      <c r="R2849" s="47" t="n"/>
      <c r="S2849" s="47" t="n"/>
      <c r="T2849" s="47" t="n"/>
      <c r="U2849" s="53" t="n"/>
      <c r="V2849" s="53" t="n"/>
      <c r="W2849" s="47" t="n"/>
      <c r="X2849" s="47" t="n"/>
      <c r="Y2849" s="47" t="n"/>
      <c r="Z2849" s="47" t="n"/>
      <c r="AA2849" s="47" t="n"/>
      <c r="AB2849" s="47" t="n"/>
      <c r="AC2849" s="47" t="n"/>
      <c r="AD2849" s="47" t="n"/>
      <c r="AE2849" s="47" t="n"/>
      <c r="AF2849" s="20">
        <f>IF(A2849="","",YEAR(EDATE(A2849,-3)))</f>
        <v/>
      </c>
      <c r="AG2849" s="20">
        <f>IF(OR(B2849="",'経歴簿'!$C$4=""),"",IF(B2849&amp;""='経歴簿'!$C$4&amp;"",MAX($AG$4:AG2848)+1,""))</f>
        <v/>
      </c>
      <c r="AH2849" s="20">
        <f>IF(A2849="",0,IF(AND(OR('CSV抽出'!$C$4="",A2849&gt;='CSV抽出'!$C$4),OR('CSV抽出'!$C$5="",A2849&lt;='CSV抽出'!$C$5),OR('CSV抽出'!$C$6="すべて",'CSV抽出'!$C$6="",D2849='CSV抽出'!$C$6),OR('CSV抽出'!$C$7="",B2849&amp;""='CSV抽出'!$C$7&amp;"")),1,0))</f>
        <v/>
      </c>
      <c r="AI2849" s="20">
        <f>IF(AH2849=1,SUM($AH$5:AH2849),"")</f>
        <v/>
      </c>
      <c r="AJ2849" s="20">
        <f>IF(OR(S2849="",'報告書'!$C$4=""),"",IF(S2849&amp;""='報告書'!$C$4&amp;"",COUNTIF($S$5:S2849,'報告書'!$C$4),""))</f>
        <v/>
      </c>
      <c r="AK2849" s="20" t="n"/>
      <c r="AL2849" s="47" t="n"/>
      <c r="AM2849" s="47" t="n"/>
      <c r="AN2849" s="53" t="n"/>
      <c r="AO2849" s="47" t="n"/>
      <c r="AP2849" s="47" t="n"/>
      <c r="AQ2849" s="47" t="n"/>
      <c r="AR2849" s="47" t="n"/>
      <c r="AS2849" s="47" t="n"/>
      <c r="AT2849" s="47" t="n"/>
      <c r="AU2849" s="47" t="n"/>
      <c r="AV2849" s="47" t="n"/>
      <c r="AW2849" s="52" t="n"/>
    </row>
    <row r="2850">
      <c r="A2850" s="48" t="n"/>
      <c r="B2850" s="52" t="n"/>
      <c r="C2850" s="47">
        <f>IF(B2850="","",IFERROR(INDEX('隊員マスタ'!$B$5:$B$204,MATCH(B2850&amp;"",'隊員マスタ'!$F$5:$F$204,0)),IF(AK2850="","番号なし",AK2850)))</f>
        <v/>
      </c>
      <c r="D2850" s="47" t="n"/>
      <c r="E2850" s="47" t="n"/>
      <c r="F2850" s="47" t="n"/>
      <c r="G2850" s="47" t="n"/>
      <c r="H2850" s="47" t="n"/>
      <c r="I2850" s="47" t="n"/>
      <c r="J2850" s="47" t="n"/>
      <c r="K2850" s="47" t="n"/>
      <c r="L2850" s="47" t="n"/>
      <c r="M2850" s="47" t="n"/>
      <c r="N2850" s="47" t="n"/>
      <c r="O2850" s="47" t="n"/>
      <c r="P2850" s="47" t="n"/>
      <c r="Q2850" s="47" t="n"/>
      <c r="R2850" s="47" t="n"/>
      <c r="S2850" s="47" t="n"/>
      <c r="T2850" s="47" t="n"/>
      <c r="U2850" s="53" t="n"/>
      <c r="V2850" s="53" t="n"/>
      <c r="W2850" s="47" t="n"/>
      <c r="X2850" s="47" t="n"/>
      <c r="Y2850" s="47" t="n"/>
      <c r="Z2850" s="47" t="n"/>
      <c r="AA2850" s="47" t="n"/>
      <c r="AB2850" s="47" t="n"/>
      <c r="AC2850" s="47" t="n"/>
      <c r="AD2850" s="47" t="n"/>
      <c r="AE2850" s="47" t="n"/>
      <c r="AF2850" s="20">
        <f>IF(A2850="","",YEAR(EDATE(A2850,-3)))</f>
        <v/>
      </c>
      <c r="AG2850" s="20">
        <f>IF(OR(B2850="",'経歴簿'!$C$4=""),"",IF(B2850&amp;""='経歴簿'!$C$4&amp;"",MAX($AG$4:AG2849)+1,""))</f>
        <v/>
      </c>
      <c r="AH2850" s="20">
        <f>IF(A2850="",0,IF(AND(OR('CSV抽出'!$C$4="",A2850&gt;='CSV抽出'!$C$4),OR('CSV抽出'!$C$5="",A2850&lt;='CSV抽出'!$C$5),OR('CSV抽出'!$C$6="すべて",'CSV抽出'!$C$6="",D2850='CSV抽出'!$C$6),OR('CSV抽出'!$C$7="",B2850&amp;""='CSV抽出'!$C$7&amp;"")),1,0))</f>
        <v/>
      </c>
      <c r="AI2850" s="20">
        <f>IF(AH2850=1,SUM($AH$5:AH2850),"")</f>
        <v/>
      </c>
      <c r="AJ2850" s="20">
        <f>IF(OR(S2850="",'報告書'!$C$4=""),"",IF(S2850&amp;""='報告書'!$C$4&amp;"",COUNTIF($S$5:S2850,'報告書'!$C$4),""))</f>
        <v/>
      </c>
      <c r="AK2850" s="20" t="n"/>
      <c r="AL2850" s="47" t="n"/>
      <c r="AM2850" s="47" t="n"/>
      <c r="AN2850" s="53" t="n"/>
      <c r="AO2850" s="47" t="n"/>
      <c r="AP2850" s="47" t="n"/>
      <c r="AQ2850" s="47" t="n"/>
      <c r="AR2850" s="47" t="n"/>
      <c r="AS2850" s="47" t="n"/>
      <c r="AT2850" s="47" t="n"/>
      <c r="AU2850" s="47" t="n"/>
      <c r="AV2850" s="47" t="n"/>
      <c r="AW2850" s="52" t="n"/>
    </row>
    <row r="2851">
      <c r="A2851" s="48" t="n"/>
      <c r="B2851" s="52" t="n"/>
      <c r="C2851" s="47">
        <f>IF(B2851="","",IFERROR(INDEX('隊員マスタ'!$B$5:$B$204,MATCH(B2851&amp;"",'隊員マスタ'!$F$5:$F$204,0)),IF(AK2851="","番号なし",AK2851)))</f>
        <v/>
      </c>
      <c r="D2851" s="47" t="n"/>
      <c r="E2851" s="47" t="n"/>
      <c r="F2851" s="47" t="n"/>
      <c r="G2851" s="47" t="n"/>
      <c r="H2851" s="47" t="n"/>
      <c r="I2851" s="47" t="n"/>
      <c r="J2851" s="47" t="n"/>
      <c r="K2851" s="47" t="n"/>
      <c r="L2851" s="47" t="n"/>
      <c r="M2851" s="47" t="n"/>
      <c r="N2851" s="47" t="n"/>
      <c r="O2851" s="47" t="n"/>
      <c r="P2851" s="47" t="n"/>
      <c r="Q2851" s="47" t="n"/>
      <c r="R2851" s="47" t="n"/>
      <c r="S2851" s="47" t="n"/>
      <c r="T2851" s="47" t="n"/>
      <c r="U2851" s="53" t="n"/>
      <c r="V2851" s="53" t="n"/>
      <c r="W2851" s="47" t="n"/>
      <c r="X2851" s="47" t="n"/>
      <c r="Y2851" s="47" t="n"/>
      <c r="Z2851" s="47" t="n"/>
      <c r="AA2851" s="47" t="n"/>
      <c r="AB2851" s="47" t="n"/>
      <c r="AC2851" s="47" t="n"/>
      <c r="AD2851" s="47" t="n"/>
      <c r="AE2851" s="47" t="n"/>
      <c r="AF2851" s="20">
        <f>IF(A2851="","",YEAR(EDATE(A2851,-3)))</f>
        <v/>
      </c>
      <c r="AG2851" s="20">
        <f>IF(OR(B2851="",'経歴簿'!$C$4=""),"",IF(B2851&amp;""='経歴簿'!$C$4&amp;"",MAX($AG$4:AG2850)+1,""))</f>
        <v/>
      </c>
      <c r="AH2851" s="20">
        <f>IF(A2851="",0,IF(AND(OR('CSV抽出'!$C$4="",A2851&gt;='CSV抽出'!$C$4),OR('CSV抽出'!$C$5="",A2851&lt;='CSV抽出'!$C$5),OR('CSV抽出'!$C$6="すべて",'CSV抽出'!$C$6="",D2851='CSV抽出'!$C$6),OR('CSV抽出'!$C$7="",B2851&amp;""='CSV抽出'!$C$7&amp;"")),1,0))</f>
        <v/>
      </c>
      <c r="AI2851" s="20">
        <f>IF(AH2851=1,SUM($AH$5:AH2851),"")</f>
        <v/>
      </c>
      <c r="AJ2851" s="20">
        <f>IF(OR(S2851="",'報告書'!$C$4=""),"",IF(S2851&amp;""='報告書'!$C$4&amp;"",COUNTIF($S$5:S2851,'報告書'!$C$4),""))</f>
        <v/>
      </c>
      <c r="AK2851" s="20" t="n"/>
      <c r="AL2851" s="47" t="n"/>
      <c r="AM2851" s="47" t="n"/>
      <c r="AN2851" s="53" t="n"/>
      <c r="AO2851" s="47" t="n"/>
      <c r="AP2851" s="47" t="n"/>
      <c r="AQ2851" s="47" t="n"/>
      <c r="AR2851" s="47" t="n"/>
      <c r="AS2851" s="47" t="n"/>
      <c r="AT2851" s="47" t="n"/>
      <c r="AU2851" s="47" t="n"/>
      <c r="AV2851" s="47" t="n"/>
      <c r="AW2851" s="52" t="n"/>
    </row>
    <row r="2852">
      <c r="A2852" s="48" t="n"/>
      <c r="B2852" s="52" t="n"/>
      <c r="C2852" s="47">
        <f>IF(B2852="","",IFERROR(INDEX('隊員マスタ'!$B$5:$B$204,MATCH(B2852&amp;"",'隊員マスタ'!$F$5:$F$204,0)),IF(AK2852="","番号なし",AK2852)))</f>
        <v/>
      </c>
      <c r="D2852" s="47" t="n"/>
      <c r="E2852" s="47" t="n"/>
      <c r="F2852" s="47" t="n"/>
      <c r="G2852" s="47" t="n"/>
      <c r="H2852" s="47" t="n"/>
      <c r="I2852" s="47" t="n"/>
      <c r="J2852" s="47" t="n"/>
      <c r="K2852" s="47" t="n"/>
      <c r="L2852" s="47" t="n"/>
      <c r="M2852" s="47" t="n"/>
      <c r="N2852" s="47" t="n"/>
      <c r="O2852" s="47" t="n"/>
      <c r="P2852" s="47" t="n"/>
      <c r="Q2852" s="47" t="n"/>
      <c r="R2852" s="47" t="n"/>
      <c r="S2852" s="47" t="n"/>
      <c r="T2852" s="47" t="n"/>
      <c r="U2852" s="53" t="n"/>
      <c r="V2852" s="53" t="n"/>
      <c r="W2852" s="47" t="n"/>
      <c r="X2852" s="47" t="n"/>
      <c r="Y2852" s="47" t="n"/>
      <c r="Z2852" s="47" t="n"/>
      <c r="AA2852" s="47" t="n"/>
      <c r="AB2852" s="47" t="n"/>
      <c r="AC2852" s="47" t="n"/>
      <c r="AD2852" s="47" t="n"/>
      <c r="AE2852" s="47" t="n"/>
      <c r="AF2852" s="20">
        <f>IF(A2852="","",YEAR(EDATE(A2852,-3)))</f>
        <v/>
      </c>
      <c r="AG2852" s="20">
        <f>IF(OR(B2852="",'経歴簿'!$C$4=""),"",IF(B2852&amp;""='経歴簿'!$C$4&amp;"",MAX($AG$4:AG2851)+1,""))</f>
        <v/>
      </c>
      <c r="AH2852" s="20">
        <f>IF(A2852="",0,IF(AND(OR('CSV抽出'!$C$4="",A2852&gt;='CSV抽出'!$C$4),OR('CSV抽出'!$C$5="",A2852&lt;='CSV抽出'!$C$5),OR('CSV抽出'!$C$6="すべて",'CSV抽出'!$C$6="",D2852='CSV抽出'!$C$6),OR('CSV抽出'!$C$7="",B2852&amp;""='CSV抽出'!$C$7&amp;"")),1,0))</f>
        <v/>
      </c>
      <c r="AI2852" s="20">
        <f>IF(AH2852=1,SUM($AH$5:AH2852),"")</f>
        <v/>
      </c>
      <c r="AJ2852" s="20">
        <f>IF(OR(S2852="",'報告書'!$C$4=""),"",IF(S2852&amp;""='報告書'!$C$4&amp;"",COUNTIF($S$5:S2852,'報告書'!$C$4),""))</f>
        <v/>
      </c>
      <c r="AK2852" s="20" t="n"/>
      <c r="AL2852" s="47" t="n"/>
      <c r="AM2852" s="47" t="n"/>
      <c r="AN2852" s="53" t="n"/>
      <c r="AO2852" s="47" t="n"/>
      <c r="AP2852" s="47" t="n"/>
      <c r="AQ2852" s="47" t="n"/>
      <c r="AR2852" s="47" t="n"/>
      <c r="AS2852" s="47" t="n"/>
      <c r="AT2852" s="47" t="n"/>
      <c r="AU2852" s="47" t="n"/>
      <c r="AV2852" s="47" t="n"/>
      <c r="AW2852" s="52" t="n"/>
    </row>
    <row r="2853">
      <c r="A2853" s="48" t="n"/>
      <c r="B2853" s="52" t="n"/>
      <c r="C2853" s="47">
        <f>IF(B2853="","",IFERROR(INDEX('隊員マスタ'!$B$5:$B$204,MATCH(B2853&amp;"",'隊員マスタ'!$F$5:$F$204,0)),IF(AK2853="","番号なし",AK2853)))</f>
        <v/>
      </c>
      <c r="D2853" s="47" t="n"/>
      <c r="E2853" s="47" t="n"/>
      <c r="F2853" s="47" t="n"/>
      <c r="G2853" s="47" t="n"/>
      <c r="H2853" s="47" t="n"/>
      <c r="I2853" s="47" t="n"/>
      <c r="J2853" s="47" t="n"/>
      <c r="K2853" s="47" t="n"/>
      <c r="L2853" s="47" t="n"/>
      <c r="M2853" s="47" t="n"/>
      <c r="N2853" s="47" t="n"/>
      <c r="O2853" s="47" t="n"/>
      <c r="P2853" s="47" t="n"/>
      <c r="Q2853" s="47" t="n"/>
      <c r="R2853" s="47" t="n"/>
      <c r="S2853" s="47" t="n"/>
      <c r="T2853" s="47" t="n"/>
      <c r="U2853" s="53" t="n"/>
      <c r="V2853" s="53" t="n"/>
      <c r="W2853" s="47" t="n"/>
      <c r="X2853" s="47" t="n"/>
      <c r="Y2853" s="47" t="n"/>
      <c r="Z2853" s="47" t="n"/>
      <c r="AA2853" s="47" t="n"/>
      <c r="AB2853" s="47" t="n"/>
      <c r="AC2853" s="47" t="n"/>
      <c r="AD2853" s="47" t="n"/>
      <c r="AE2853" s="47" t="n"/>
      <c r="AF2853" s="20">
        <f>IF(A2853="","",YEAR(EDATE(A2853,-3)))</f>
        <v/>
      </c>
      <c r="AG2853" s="20">
        <f>IF(OR(B2853="",'経歴簿'!$C$4=""),"",IF(B2853&amp;""='経歴簿'!$C$4&amp;"",MAX($AG$4:AG2852)+1,""))</f>
        <v/>
      </c>
      <c r="AH2853" s="20">
        <f>IF(A2853="",0,IF(AND(OR('CSV抽出'!$C$4="",A2853&gt;='CSV抽出'!$C$4),OR('CSV抽出'!$C$5="",A2853&lt;='CSV抽出'!$C$5),OR('CSV抽出'!$C$6="すべて",'CSV抽出'!$C$6="",D2853='CSV抽出'!$C$6),OR('CSV抽出'!$C$7="",B2853&amp;""='CSV抽出'!$C$7&amp;"")),1,0))</f>
        <v/>
      </c>
      <c r="AI2853" s="20">
        <f>IF(AH2853=1,SUM($AH$5:AH2853),"")</f>
        <v/>
      </c>
      <c r="AJ2853" s="20">
        <f>IF(OR(S2853="",'報告書'!$C$4=""),"",IF(S2853&amp;""='報告書'!$C$4&amp;"",COUNTIF($S$5:S2853,'報告書'!$C$4),""))</f>
        <v/>
      </c>
      <c r="AK2853" s="20" t="n"/>
      <c r="AL2853" s="47" t="n"/>
      <c r="AM2853" s="47" t="n"/>
      <c r="AN2853" s="53" t="n"/>
      <c r="AO2853" s="47" t="n"/>
      <c r="AP2853" s="47" t="n"/>
      <c r="AQ2853" s="47" t="n"/>
      <c r="AR2853" s="47" t="n"/>
      <c r="AS2853" s="47" t="n"/>
      <c r="AT2853" s="47" t="n"/>
      <c r="AU2853" s="47" t="n"/>
      <c r="AV2853" s="47" t="n"/>
      <c r="AW2853" s="52" t="n"/>
    </row>
    <row r="2854">
      <c r="A2854" s="48" t="n"/>
      <c r="B2854" s="52" t="n"/>
      <c r="C2854" s="47">
        <f>IF(B2854="","",IFERROR(INDEX('隊員マスタ'!$B$5:$B$204,MATCH(B2854&amp;"",'隊員マスタ'!$F$5:$F$204,0)),IF(AK2854="","番号なし",AK2854)))</f>
        <v/>
      </c>
      <c r="D2854" s="47" t="n"/>
      <c r="E2854" s="47" t="n"/>
      <c r="F2854" s="47" t="n"/>
      <c r="G2854" s="47" t="n"/>
      <c r="H2854" s="47" t="n"/>
      <c r="I2854" s="47" t="n"/>
      <c r="J2854" s="47" t="n"/>
      <c r="K2854" s="47" t="n"/>
      <c r="L2854" s="47" t="n"/>
      <c r="M2854" s="47" t="n"/>
      <c r="N2854" s="47" t="n"/>
      <c r="O2854" s="47" t="n"/>
      <c r="P2854" s="47" t="n"/>
      <c r="Q2854" s="47" t="n"/>
      <c r="R2854" s="47" t="n"/>
      <c r="S2854" s="47" t="n"/>
      <c r="T2854" s="47" t="n"/>
      <c r="U2854" s="53" t="n"/>
      <c r="V2854" s="53" t="n"/>
      <c r="W2854" s="47" t="n"/>
      <c r="X2854" s="47" t="n"/>
      <c r="Y2854" s="47" t="n"/>
      <c r="Z2854" s="47" t="n"/>
      <c r="AA2854" s="47" t="n"/>
      <c r="AB2854" s="47" t="n"/>
      <c r="AC2854" s="47" t="n"/>
      <c r="AD2854" s="47" t="n"/>
      <c r="AE2854" s="47" t="n"/>
      <c r="AF2854" s="20">
        <f>IF(A2854="","",YEAR(EDATE(A2854,-3)))</f>
        <v/>
      </c>
      <c r="AG2854" s="20">
        <f>IF(OR(B2854="",'経歴簿'!$C$4=""),"",IF(B2854&amp;""='経歴簿'!$C$4&amp;"",MAX($AG$4:AG2853)+1,""))</f>
        <v/>
      </c>
      <c r="AH2854" s="20">
        <f>IF(A2854="",0,IF(AND(OR('CSV抽出'!$C$4="",A2854&gt;='CSV抽出'!$C$4),OR('CSV抽出'!$C$5="",A2854&lt;='CSV抽出'!$C$5),OR('CSV抽出'!$C$6="すべて",'CSV抽出'!$C$6="",D2854='CSV抽出'!$C$6),OR('CSV抽出'!$C$7="",B2854&amp;""='CSV抽出'!$C$7&amp;"")),1,0))</f>
        <v/>
      </c>
      <c r="AI2854" s="20">
        <f>IF(AH2854=1,SUM($AH$5:AH2854),"")</f>
        <v/>
      </c>
      <c r="AJ2854" s="20">
        <f>IF(OR(S2854="",'報告書'!$C$4=""),"",IF(S2854&amp;""='報告書'!$C$4&amp;"",COUNTIF($S$5:S2854,'報告書'!$C$4),""))</f>
        <v/>
      </c>
      <c r="AK2854" s="20" t="n"/>
      <c r="AL2854" s="47" t="n"/>
      <c r="AM2854" s="47" t="n"/>
      <c r="AN2854" s="53" t="n"/>
      <c r="AO2854" s="47" t="n"/>
      <c r="AP2854" s="47" t="n"/>
      <c r="AQ2854" s="47" t="n"/>
      <c r="AR2854" s="47" t="n"/>
      <c r="AS2854" s="47" t="n"/>
      <c r="AT2854" s="47" t="n"/>
      <c r="AU2854" s="47" t="n"/>
      <c r="AV2854" s="47" t="n"/>
      <c r="AW2854" s="52" t="n"/>
    </row>
    <row r="2855">
      <c r="A2855" s="48" t="n"/>
      <c r="B2855" s="52" t="n"/>
      <c r="C2855" s="47">
        <f>IF(B2855="","",IFERROR(INDEX('隊員マスタ'!$B$5:$B$204,MATCH(B2855&amp;"",'隊員マスタ'!$F$5:$F$204,0)),IF(AK2855="","番号なし",AK2855)))</f>
        <v/>
      </c>
      <c r="D2855" s="47" t="n"/>
      <c r="E2855" s="47" t="n"/>
      <c r="F2855" s="47" t="n"/>
      <c r="G2855" s="47" t="n"/>
      <c r="H2855" s="47" t="n"/>
      <c r="I2855" s="47" t="n"/>
      <c r="J2855" s="47" t="n"/>
      <c r="K2855" s="47" t="n"/>
      <c r="L2855" s="47" t="n"/>
      <c r="M2855" s="47" t="n"/>
      <c r="N2855" s="47" t="n"/>
      <c r="O2855" s="47" t="n"/>
      <c r="P2855" s="47" t="n"/>
      <c r="Q2855" s="47" t="n"/>
      <c r="R2855" s="47" t="n"/>
      <c r="S2855" s="47" t="n"/>
      <c r="T2855" s="47" t="n"/>
      <c r="U2855" s="53" t="n"/>
      <c r="V2855" s="53" t="n"/>
      <c r="W2855" s="47" t="n"/>
      <c r="X2855" s="47" t="n"/>
      <c r="Y2855" s="47" t="n"/>
      <c r="Z2855" s="47" t="n"/>
      <c r="AA2855" s="47" t="n"/>
      <c r="AB2855" s="47" t="n"/>
      <c r="AC2855" s="47" t="n"/>
      <c r="AD2855" s="47" t="n"/>
      <c r="AE2855" s="47" t="n"/>
      <c r="AF2855" s="20">
        <f>IF(A2855="","",YEAR(EDATE(A2855,-3)))</f>
        <v/>
      </c>
      <c r="AG2855" s="20">
        <f>IF(OR(B2855="",'経歴簿'!$C$4=""),"",IF(B2855&amp;""='経歴簿'!$C$4&amp;"",MAX($AG$4:AG2854)+1,""))</f>
        <v/>
      </c>
      <c r="AH2855" s="20">
        <f>IF(A2855="",0,IF(AND(OR('CSV抽出'!$C$4="",A2855&gt;='CSV抽出'!$C$4),OR('CSV抽出'!$C$5="",A2855&lt;='CSV抽出'!$C$5),OR('CSV抽出'!$C$6="すべて",'CSV抽出'!$C$6="",D2855='CSV抽出'!$C$6),OR('CSV抽出'!$C$7="",B2855&amp;""='CSV抽出'!$C$7&amp;"")),1,0))</f>
        <v/>
      </c>
      <c r="AI2855" s="20">
        <f>IF(AH2855=1,SUM($AH$5:AH2855),"")</f>
        <v/>
      </c>
      <c r="AJ2855" s="20">
        <f>IF(OR(S2855="",'報告書'!$C$4=""),"",IF(S2855&amp;""='報告書'!$C$4&amp;"",COUNTIF($S$5:S2855,'報告書'!$C$4),""))</f>
        <v/>
      </c>
      <c r="AK2855" s="20" t="n"/>
      <c r="AL2855" s="47" t="n"/>
      <c r="AM2855" s="47" t="n"/>
      <c r="AN2855" s="53" t="n"/>
      <c r="AO2855" s="47" t="n"/>
      <c r="AP2855" s="47" t="n"/>
      <c r="AQ2855" s="47" t="n"/>
      <c r="AR2855" s="47" t="n"/>
      <c r="AS2855" s="47" t="n"/>
      <c r="AT2855" s="47" t="n"/>
      <c r="AU2855" s="47" t="n"/>
      <c r="AV2855" s="47" t="n"/>
      <c r="AW2855" s="52" t="n"/>
    </row>
    <row r="2856">
      <c r="A2856" s="48" t="n"/>
      <c r="B2856" s="52" t="n"/>
      <c r="C2856" s="47">
        <f>IF(B2856="","",IFERROR(INDEX('隊員マスタ'!$B$5:$B$204,MATCH(B2856&amp;"",'隊員マスタ'!$F$5:$F$204,0)),IF(AK2856="","番号なし",AK2856)))</f>
        <v/>
      </c>
      <c r="D2856" s="47" t="n"/>
      <c r="E2856" s="47" t="n"/>
      <c r="F2856" s="47" t="n"/>
      <c r="G2856" s="47" t="n"/>
      <c r="H2856" s="47" t="n"/>
      <c r="I2856" s="47" t="n"/>
      <c r="J2856" s="47" t="n"/>
      <c r="K2856" s="47" t="n"/>
      <c r="L2856" s="47" t="n"/>
      <c r="M2856" s="47" t="n"/>
      <c r="N2856" s="47" t="n"/>
      <c r="O2856" s="47" t="n"/>
      <c r="P2856" s="47" t="n"/>
      <c r="Q2856" s="47" t="n"/>
      <c r="R2856" s="47" t="n"/>
      <c r="S2856" s="47" t="n"/>
      <c r="T2856" s="47" t="n"/>
      <c r="U2856" s="53" t="n"/>
      <c r="V2856" s="53" t="n"/>
      <c r="W2856" s="47" t="n"/>
      <c r="X2856" s="47" t="n"/>
      <c r="Y2856" s="47" t="n"/>
      <c r="Z2856" s="47" t="n"/>
      <c r="AA2856" s="47" t="n"/>
      <c r="AB2856" s="47" t="n"/>
      <c r="AC2856" s="47" t="n"/>
      <c r="AD2856" s="47" t="n"/>
      <c r="AE2856" s="47" t="n"/>
      <c r="AF2856" s="20">
        <f>IF(A2856="","",YEAR(EDATE(A2856,-3)))</f>
        <v/>
      </c>
      <c r="AG2856" s="20">
        <f>IF(OR(B2856="",'経歴簿'!$C$4=""),"",IF(B2856&amp;""='経歴簿'!$C$4&amp;"",MAX($AG$4:AG2855)+1,""))</f>
        <v/>
      </c>
      <c r="AH2856" s="20">
        <f>IF(A2856="",0,IF(AND(OR('CSV抽出'!$C$4="",A2856&gt;='CSV抽出'!$C$4),OR('CSV抽出'!$C$5="",A2856&lt;='CSV抽出'!$C$5),OR('CSV抽出'!$C$6="すべて",'CSV抽出'!$C$6="",D2856='CSV抽出'!$C$6),OR('CSV抽出'!$C$7="",B2856&amp;""='CSV抽出'!$C$7&amp;"")),1,0))</f>
        <v/>
      </c>
      <c r="AI2856" s="20">
        <f>IF(AH2856=1,SUM($AH$5:AH2856),"")</f>
        <v/>
      </c>
      <c r="AJ2856" s="20">
        <f>IF(OR(S2856="",'報告書'!$C$4=""),"",IF(S2856&amp;""='報告書'!$C$4&amp;"",COUNTIF($S$5:S2856,'報告書'!$C$4),""))</f>
        <v/>
      </c>
      <c r="AK2856" s="20" t="n"/>
      <c r="AL2856" s="47" t="n"/>
      <c r="AM2856" s="47" t="n"/>
      <c r="AN2856" s="53" t="n"/>
      <c r="AO2856" s="47" t="n"/>
      <c r="AP2856" s="47" t="n"/>
      <c r="AQ2856" s="47" t="n"/>
      <c r="AR2856" s="47" t="n"/>
      <c r="AS2856" s="47" t="n"/>
      <c r="AT2856" s="47" t="n"/>
      <c r="AU2856" s="47" t="n"/>
      <c r="AV2856" s="47" t="n"/>
      <c r="AW2856" s="52" t="n"/>
    </row>
    <row r="2857">
      <c r="A2857" s="48" t="n"/>
      <c r="B2857" s="52" t="n"/>
      <c r="C2857" s="47">
        <f>IF(B2857="","",IFERROR(INDEX('隊員マスタ'!$B$5:$B$204,MATCH(B2857&amp;"",'隊員マスタ'!$F$5:$F$204,0)),IF(AK2857="","番号なし",AK2857)))</f>
        <v/>
      </c>
      <c r="D2857" s="47" t="n"/>
      <c r="E2857" s="47" t="n"/>
      <c r="F2857" s="47" t="n"/>
      <c r="G2857" s="47" t="n"/>
      <c r="H2857" s="47" t="n"/>
      <c r="I2857" s="47" t="n"/>
      <c r="J2857" s="47" t="n"/>
      <c r="K2857" s="47" t="n"/>
      <c r="L2857" s="47" t="n"/>
      <c r="M2857" s="47" t="n"/>
      <c r="N2857" s="47" t="n"/>
      <c r="O2857" s="47" t="n"/>
      <c r="P2857" s="47" t="n"/>
      <c r="Q2857" s="47" t="n"/>
      <c r="R2857" s="47" t="n"/>
      <c r="S2857" s="47" t="n"/>
      <c r="T2857" s="47" t="n"/>
      <c r="U2857" s="53" t="n"/>
      <c r="V2857" s="53" t="n"/>
      <c r="W2857" s="47" t="n"/>
      <c r="X2857" s="47" t="n"/>
      <c r="Y2857" s="47" t="n"/>
      <c r="Z2857" s="47" t="n"/>
      <c r="AA2857" s="47" t="n"/>
      <c r="AB2857" s="47" t="n"/>
      <c r="AC2857" s="47" t="n"/>
      <c r="AD2857" s="47" t="n"/>
      <c r="AE2857" s="47" t="n"/>
      <c r="AF2857" s="20">
        <f>IF(A2857="","",YEAR(EDATE(A2857,-3)))</f>
        <v/>
      </c>
      <c r="AG2857" s="20">
        <f>IF(OR(B2857="",'経歴簿'!$C$4=""),"",IF(B2857&amp;""='経歴簿'!$C$4&amp;"",MAX($AG$4:AG2856)+1,""))</f>
        <v/>
      </c>
      <c r="AH2857" s="20">
        <f>IF(A2857="",0,IF(AND(OR('CSV抽出'!$C$4="",A2857&gt;='CSV抽出'!$C$4),OR('CSV抽出'!$C$5="",A2857&lt;='CSV抽出'!$C$5),OR('CSV抽出'!$C$6="すべて",'CSV抽出'!$C$6="",D2857='CSV抽出'!$C$6),OR('CSV抽出'!$C$7="",B2857&amp;""='CSV抽出'!$C$7&amp;"")),1,0))</f>
        <v/>
      </c>
      <c r="AI2857" s="20">
        <f>IF(AH2857=1,SUM($AH$5:AH2857),"")</f>
        <v/>
      </c>
      <c r="AJ2857" s="20">
        <f>IF(OR(S2857="",'報告書'!$C$4=""),"",IF(S2857&amp;""='報告書'!$C$4&amp;"",COUNTIF($S$5:S2857,'報告書'!$C$4),""))</f>
        <v/>
      </c>
      <c r="AK2857" s="20" t="n"/>
      <c r="AL2857" s="47" t="n"/>
      <c r="AM2857" s="47" t="n"/>
      <c r="AN2857" s="53" t="n"/>
      <c r="AO2857" s="47" t="n"/>
      <c r="AP2857" s="47" t="n"/>
      <c r="AQ2857" s="47" t="n"/>
      <c r="AR2857" s="47" t="n"/>
      <c r="AS2857" s="47" t="n"/>
      <c r="AT2857" s="47" t="n"/>
      <c r="AU2857" s="47" t="n"/>
      <c r="AV2857" s="47" t="n"/>
      <c r="AW2857" s="52" t="n"/>
    </row>
    <row r="2858">
      <c r="A2858" s="48" t="n"/>
      <c r="B2858" s="52" t="n"/>
      <c r="C2858" s="47">
        <f>IF(B2858="","",IFERROR(INDEX('隊員マスタ'!$B$5:$B$204,MATCH(B2858&amp;"",'隊員マスタ'!$F$5:$F$204,0)),IF(AK2858="","番号なし",AK2858)))</f>
        <v/>
      </c>
      <c r="D2858" s="47" t="n"/>
      <c r="E2858" s="47" t="n"/>
      <c r="F2858" s="47" t="n"/>
      <c r="G2858" s="47" t="n"/>
      <c r="H2858" s="47" t="n"/>
      <c r="I2858" s="47" t="n"/>
      <c r="J2858" s="47" t="n"/>
      <c r="K2858" s="47" t="n"/>
      <c r="L2858" s="47" t="n"/>
      <c r="M2858" s="47" t="n"/>
      <c r="N2858" s="47" t="n"/>
      <c r="O2858" s="47" t="n"/>
      <c r="P2858" s="47" t="n"/>
      <c r="Q2858" s="47" t="n"/>
      <c r="R2858" s="47" t="n"/>
      <c r="S2858" s="47" t="n"/>
      <c r="T2858" s="47" t="n"/>
      <c r="U2858" s="53" t="n"/>
      <c r="V2858" s="53" t="n"/>
      <c r="W2858" s="47" t="n"/>
      <c r="X2858" s="47" t="n"/>
      <c r="Y2858" s="47" t="n"/>
      <c r="Z2858" s="47" t="n"/>
      <c r="AA2858" s="47" t="n"/>
      <c r="AB2858" s="47" t="n"/>
      <c r="AC2858" s="47" t="n"/>
      <c r="AD2858" s="47" t="n"/>
      <c r="AE2858" s="47" t="n"/>
      <c r="AF2858" s="20">
        <f>IF(A2858="","",YEAR(EDATE(A2858,-3)))</f>
        <v/>
      </c>
      <c r="AG2858" s="20">
        <f>IF(OR(B2858="",'経歴簿'!$C$4=""),"",IF(B2858&amp;""='経歴簿'!$C$4&amp;"",MAX($AG$4:AG2857)+1,""))</f>
        <v/>
      </c>
      <c r="AH2858" s="20">
        <f>IF(A2858="",0,IF(AND(OR('CSV抽出'!$C$4="",A2858&gt;='CSV抽出'!$C$4),OR('CSV抽出'!$C$5="",A2858&lt;='CSV抽出'!$C$5),OR('CSV抽出'!$C$6="すべて",'CSV抽出'!$C$6="",D2858='CSV抽出'!$C$6),OR('CSV抽出'!$C$7="",B2858&amp;""='CSV抽出'!$C$7&amp;"")),1,0))</f>
        <v/>
      </c>
      <c r="AI2858" s="20">
        <f>IF(AH2858=1,SUM($AH$5:AH2858),"")</f>
        <v/>
      </c>
      <c r="AJ2858" s="20">
        <f>IF(OR(S2858="",'報告書'!$C$4=""),"",IF(S2858&amp;""='報告書'!$C$4&amp;"",COUNTIF($S$5:S2858,'報告書'!$C$4),""))</f>
        <v/>
      </c>
      <c r="AK2858" s="20" t="n"/>
      <c r="AL2858" s="47" t="n"/>
      <c r="AM2858" s="47" t="n"/>
      <c r="AN2858" s="53" t="n"/>
      <c r="AO2858" s="47" t="n"/>
      <c r="AP2858" s="47" t="n"/>
      <c r="AQ2858" s="47" t="n"/>
      <c r="AR2858" s="47" t="n"/>
      <c r="AS2858" s="47" t="n"/>
      <c r="AT2858" s="47" t="n"/>
      <c r="AU2858" s="47" t="n"/>
      <c r="AV2858" s="47" t="n"/>
      <c r="AW2858" s="52" t="n"/>
    </row>
    <row r="2859">
      <c r="A2859" s="48" t="n"/>
      <c r="B2859" s="52" t="n"/>
      <c r="C2859" s="47">
        <f>IF(B2859="","",IFERROR(INDEX('隊員マスタ'!$B$5:$B$204,MATCH(B2859&amp;"",'隊員マスタ'!$F$5:$F$204,0)),IF(AK2859="","番号なし",AK2859)))</f>
        <v/>
      </c>
      <c r="D2859" s="47" t="n"/>
      <c r="E2859" s="47" t="n"/>
      <c r="F2859" s="47" t="n"/>
      <c r="G2859" s="47" t="n"/>
      <c r="H2859" s="47" t="n"/>
      <c r="I2859" s="47" t="n"/>
      <c r="J2859" s="47" t="n"/>
      <c r="K2859" s="47" t="n"/>
      <c r="L2859" s="47" t="n"/>
      <c r="M2859" s="47" t="n"/>
      <c r="N2859" s="47" t="n"/>
      <c r="O2859" s="47" t="n"/>
      <c r="P2859" s="47" t="n"/>
      <c r="Q2859" s="47" t="n"/>
      <c r="R2859" s="47" t="n"/>
      <c r="S2859" s="47" t="n"/>
      <c r="T2859" s="47" t="n"/>
      <c r="U2859" s="53" t="n"/>
      <c r="V2859" s="53" t="n"/>
      <c r="W2859" s="47" t="n"/>
      <c r="X2859" s="47" t="n"/>
      <c r="Y2859" s="47" t="n"/>
      <c r="Z2859" s="47" t="n"/>
      <c r="AA2859" s="47" t="n"/>
      <c r="AB2859" s="47" t="n"/>
      <c r="AC2859" s="47" t="n"/>
      <c r="AD2859" s="47" t="n"/>
      <c r="AE2859" s="47" t="n"/>
      <c r="AF2859" s="20">
        <f>IF(A2859="","",YEAR(EDATE(A2859,-3)))</f>
        <v/>
      </c>
      <c r="AG2859" s="20">
        <f>IF(OR(B2859="",'経歴簿'!$C$4=""),"",IF(B2859&amp;""='経歴簿'!$C$4&amp;"",MAX($AG$4:AG2858)+1,""))</f>
        <v/>
      </c>
      <c r="AH2859" s="20">
        <f>IF(A2859="",0,IF(AND(OR('CSV抽出'!$C$4="",A2859&gt;='CSV抽出'!$C$4),OR('CSV抽出'!$C$5="",A2859&lt;='CSV抽出'!$C$5),OR('CSV抽出'!$C$6="すべて",'CSV抽出'!$C$6="",D2859='CSV抽出'!$C$6),OR('CSV抽出'!$C$7="",B2859&amp;""='CSV抽出'!$C$7&amp;"")),1,0))</f>
        <v/>
      </c>
      <c r="AI2859" s="20">
        <f>IF(AH2859=1,SUM($AH$5:AH2859),"")</f>
        <v/>
      </c>
      <c r="AJ2859" s="20">
        <f>IF(OR(S2859="",'報告書'!$C$4=""),"",IF(S2859&amp;""='報告書'!$C$4&amp;"",COUNTIF($S$5:S2859,'報告書'!$C$4),""))</f>
        <v/>
      </c>
      <c r="AK2859" s="20" t="n"/>
      <c r="AL2859" s="47" t="n"/>
      <c r="AM2859" s="47" t="n"/>
      <c r="AN2859" s="53" t="n"/>
      <c r="AO2859" s="47" t="n"/>
      <c r="AP2859" s="47" t="n"/>
      <c r="AQ2859" s="47" t="n"/>
      <c r="AR2859" s="47" t="n"/>
      <c r="AS2859" s="47" t="n"/>
      <c r="AT2859" s="47" t="n"/>
      <c r="AU2859" s="47" t="n"/>
      <c r="AV2859" s="47" t="n"/>
      <c r="AW2859" s="52" t="n"/>
    </row>
    <row r="2860">
      <c r="A2860" s="48" t="n"/>
      <c r="B2860" s="52" t="n"/>
      <c r="C2860" s="47">
        <f>IF(B2860="","",IFERROR(INDEX('隊員マスタ'!$B$5:$B$204,MATCH(B2860&amp;"",'隊員マスタ'!$F$5:$F$204,0)),IF(AK2860="","番号なし",AK2860)))</f>
        <v/>
      </c>
      <c r="D2860" s="47" t="n"/>
      <c r="E2860" s="47" t="n"/>
      <c r="F2860" s="47" t="n"/>
      <c r="G2860" s="47" t="n"/>
      <c r="H2860" s="47" t="n"/>
      <c r="I2860" s="47" t="n"/>
      <c r="J2860" s="47" t="n"/>
      <c r="K2860" s="47" t="n"/>
      <c r="L2860" s="47" t="n"/>
      <c r="M2860" s="47" t="n"/>
      <c r="N2860" s="47" t="n"/>
      <c r="O2860" s="47" t="n"/>
      <c r="P2860" s="47" t="n"/>
      <c r="Q2860" s="47" t="n"/>
      <c r="R2860" s="47" t="n"/>
      <c r="S2860" s="47" t="n"/>
      <c r="T2860" s="47" t="n"/>
      <c r="U2860" s="53" t="n"/>
      <c r="V2860" s="53" t="n"/>
      <c r="W2860" s="47" t="n"/>
      <c r="X2860" s="47" t="n"/>
      <c r="Y2860" s="47" t="n"/>
      <c r="Z2860" s="47" t="n"/>
      <c r="AA2860" s="47" t="n"/>
      <c r="AB2860" s="47" t="n"/>
      <c r="AC2860" s="47" t="n"/>
      <c r="AD2860" s="47" t="n"/>
      <c r="AE2860" s="47" t="n"/>
      <c r="AF2860" s="20">
        <f>IF(A2860="","",YEAR(EDATE(A2860,-3)))</f>
        <v/>
      </c>
      <c r="AG2860" s="20">
        <f>IF(OR(B2860="",'経歴簿'!$C$4=""),"",IF(B2860&amp;""='経歴簿'!$C$4&amp;"",MAX($AG$4:AG2859)+1,""))</f>
        <v/>
      </c>
      <c r="AH2860" s="20">
        <f>IF(A2860="",0,IF(AND(OR('CSV抽出'!$C$4="",A2860&gt;='CSV抽出'!$C$4),OR('CSV抽出'!$C$5="",A2860&lt;='CSV抽出'!$C$5),OR('CSV抽出'!$C$6="すべて",'CSV抽出'!$C$6="",D2860='CSV抽出'!$C$6),OR('CSV抽出'!$C$7="",B2860&amp;""='CSV抽出'!$C$7&amp;"")),1,0))</f>
        <v/>
      </c>
      <c r="AI2860" s="20">
        <f>IF(AH2860=1,SUM($AH$5:AH2860),"")</f>
        <v/>
      </c>
      <c r="AJ2860" s="20">
        <f>IF(OR(S2860="",'報告書'!$C$4=""),"",IF(S2860&amp;""='報告書'!$C$4&amp;"",COUNTIF($S$5:S2860,'報告書'!$C$4),""))</f>
        <v/>
      </c>
      <c r="AK2860" s="20" t="n"/>
      <c r="AL2860" s="47" t="n"/>
      <c r="AM2860" s="47" t="n"/>
      <c r="AN2860" s="53" t="n"/>
      <c r="AO2860" s="47" t="n"/>
      <c r="AP2860" s="47" t="n"/>
      <c r="AQ2860" s="47" t="n"/>
      <c r="AR2860" s="47" t="n"/>
      <c r="AS2860" s="47" t="n"/>
      <c r="AT2860" s="47" t="n"/>
      <c r="AU2860" s="47" t="n"/>
      <c r="AV2860" s="47" t="n"/>
      <c r="AW2860" s="52" t="n"/>
    </row>
    <row r="2861">
      <c r="A2861" s="48" t="n"/>
      <c r="B2861" s="52" t="n"/>
      <c r="C2861" s="47">
        <f>IF(B2861="","",IFERROR(INDEX('隊員マスタ'!$B$5:$B$204,MATCH(B2861&amp;"",'隊員マスタ'!$F$5:$F$204,0)),IF(AK2861="","番号なし",AK2861)))</f>
        <v/>
      </c>
      <c r="D2861" s="47" t="n"/>
      <c r="E2861" s="47" t="n"/>
      <c r="F2861" s="47" t="n"/>
      <c r="G2861" s="47" t="n"/>
      <c r="H2861" s="47" t="n"/>
      <c r="I2861" s="47" t="n"/>
      <c r="J2861" s="47" t="n"/>
      <c r="K2861" s="47" t="n"/>
      <c r="L2861" s="47" t="n"/>
      <c r="M2861" s="47" t="n"/>
      <c r="N2861" s="47" t="n"/>
      <c r="O2861" s="47" t="n"/>
      <c r="P2861" s="47" t="n"/>
      <c r="Q2861" s="47" t="n"/>
      <c r="R2861" s="47" t="n"/>
      <c r="S2861" s="47" t="n"/>
      <c r="T2861" s="47" t="n"/>
      <c r="U2861" s="53" t="n"/>
      <c r="V2861" s="53" t="n"/>
      <c r="W2861" s="47" t="n"/>
      <c r="X2861" s="47" t="n"/>
      <c r="Y2861" s="47" t="n"/>
      <c r="Z2861" s="47" t="n"/>
      <c r="AA2861" s="47" t="n"/>
      <c r="AB2861" s="47" t="n"/>
      <c r="AC2861" s="47" t="n"/>
      <c r="AD2861" s="47" t="n"/>
      <c r="AE2861" s="47" t="n"/>
      <c r="AF2861" s="20">
        <f>IF(A2861="","",YEAR(EDATE(A2861,-3)))</f>
        <v/>
      </c>
      <c r="AG2861" s="20">
        <f>IF(OR(B2861="",'経歴簿'!$C$4=""),"",IF(B2861&amp;""='経歴簿'!$C$4&amp;"",MAX($AG$4:AG2860)+1,""))</f>
        <v/>
      </c>
      <c r="AH2861" s="20">
        <f>IF(A2861="",0,IF(AND(OR('CSV抽出'!$C$4="",A2861&gt;='CSV抽出'!$C$4),OR('CSV抽出'!$C$5="",A2861&lt;='CSV抽出'!$C$5),OR('CSV抽出'!$C$6="すべて",'CSV抽出'!$C$6="",D2861='CSV抽出'!$C$6),OR('CSV抽出'!$C$7="",B2861&amp;""='CSV抽出'!$C$7&amp;"")),1,0))</f>
        <v/>
      </c>
      <c r="AI2861" s="20">
        <f>IF(AH2861=1,SUM($AH$5:AH2861),"")</f>
        <v/>
      </c>
      <c r="AJ2861" s="20">
        <f>IF(OR(S2861="",'報告書'!$C$4=""),"",IF(S2861&amp;""='報告書'!$C$4&amp;"",COUNTIF($S$5:S2861,'報告書'!$C$4),""))</f>
        <v/>
      </c>
      <c r="AK2861" s="20" t="n"/>
      <c r="AL2861" s="47" t="n"/>
      <c r="AM2861" s="47" t="n"/>
      <c r="AN2861" s="53" t="n"/>
      <c r="AO2861" s="47" t="n"/>
      <c r="AP2861" s="47" t="n"/>
      <c r="AQ2861" s="47" t="n"/>
      <c r="AR2861" s="47" t="n"/>
      <c r="AS2861" s="47" t="n"/>
      <c r="AT2861" s="47" t="n"/>
      <c r="AU2861" s="47" t="n"/>
      <c r="AV2861" s="47" t="n"/>
      <c r="AW2861" s="52" t="n"/>
    </row>
    <row r="2862">
      <c r="A2862" s="48" t="n"/>
      <c r="B2862" s="52" t="n"/>
      <c r="C2862" s="47">
        <f>IF(B2862="","",IFERROR(INDEX('隊員マスタ'!$B$5:$B$204,MATCH(B2862&amp;"",'隊員マスタ'!$F$5:$F$204,0)),IF(AK2862="","番号なし",AK2862)))</f>
        <v/>
      </c>
      <c r="D2862" s="47" t="n"/>
      <c r="E2862" s="47" t="n"/>
      <c r="F2862" s="47" t="n"/>
      <c r="G2862" s="47" t="n"/>
      <c r="H2862" s="47" t="n"/>
      <c r="I2862" s="47" t="n"/>
      <c r="J2862" s="47" t="n"/>
      <c r="K2862" s="47" t="n"/>
      <c r="L2862" s="47" t="n"/>
      <c r="M2862" s="47" t="n"/>
      <c r="N2862" s="47" t="n"/>
      <c r="O2862" s="47" t="n"/>
      <c r="P2862" s="47" t="n"/>
      <c r="Q2862" s="47" t="n"/>
      <c r="R2862" s="47" t="n"/>
      <c r="S2862" s="47" t="n"/>
      <c r="T2862" s="47" t="n"/>
      <c r="U2862" s="53" t="n"/>
      <c r="V2862" s="53" t="n"/>
      <c r="W2862" s="47" t="n"/>
      <c r="X2862" s="47" t="n"/>
      <c r="Y2862" s="47" t="n"/>
      <c r="Z2862" s="47" t="n"/>
      <c r="AA2862" s="47" t="n"/>
      <c r="AB2862" s="47" t="n"/>
      <c r="AC2862" s="47" t="n"/>
      <c r="AD2862" s="47" t="n"/>
      <c r="AE2862" s="47" t="n"/>
      <c r="AF2862" s="20">
        <f>IF(A2862="","",YEAR(EDATE(A2862,-3)))</f>
        <v/>
      </c>
      <c r="AG2862" s="20">
        <f>IF(OR(B2862="",'経歴簿'!$C$4=""),"",IF(B2862&amp;""='経歴簿'!$C$4&amp;"",MAX($AG$4:AG2861)+1,""))</f>
        <v/>
      </c>
      <c r="AH2862" s="20">
        <f>IF(A2862="",0,IF(AND(OR('CSV抽出'!$C$4="",A2862&gt;='CSV抽出'!$C$4),OR('CSV抽出'!$C$5="",A2862&lt;='CSV抽出'!$C$5),OR('CSV抽出'!$C$6="すべて",'CSV抽出'!$C$6="",D2862='CSV抽出'!$C$6),OR('CSV抽出'!$C$7="",B2862&amp;""='CSV抽出'!$C$7&amp;"")),1,0))</f>
        <v/>
      </c>
      <c r="AI2862" s="20">
        <f>IF(AH2862=1,SUM($AH$5:AH2862),"")</f>
        <v/>
      </c>
      <c r="AJ2862" s="20">
        <f>IF(OR(S2862="",'報告書'!$C$4=""),"",IF(S2862&amp;""='報告書'!$C$4&amp;"",COUNTIF($S$5:S2862,'報告書'!$C$4),""))</f>
        <v/>
      </c>
      <c r="AK2862" s="20" t="n"/>
      <c r="AL2862" s="47" t="n"/>
      <c r="AM2862" s="47" t="n"/>
      <c r="AN2862" s="53" t="n"/>
      <c r="AO2862" s="47" t="n"/>
      <c r="AP2862" s="47" t="n"/>
      <c r="AQ2862" s="47" t="n"/>
      <c r="AR2862" s="47" t="n"/>
      <c r="AS2862" s="47" t="n"/>
      <c r="AT2862" s="47" t="n"/>
      <c r="AU2862" s="47" t="n"/>
      <c r="AV2862" s="47" t="n"/>
      <c r="AW2862" s="52" t="n"/>
    </row>
    <row r="2863">
      <c r="A2863" s="48" t="n"/>
      <c r="B2863" s="52" t="n"/>
      <c r="C2863" s="47">
        <f>IF(B2863="","",IFERROR(INDEX('隊員マスタ'!$B$5:$B$204,MATCH(B2863&amp;"",'隊員マスタ'!$F$5:$F$204,0)),IF(AK2863="","番号なし",AK2863)))</f>
        <v/>
      </c>
      <c r="D2863" s="47" t="n"/>
      <c r="E2863" s="47" t="n"/>
      <c r="F2863" s="47" t="n"/>
      <c r="G2863" s="47" t="n"/>
      <c r="H2863" s="47" t="n"/>
      <c r="I2863" s="47" t="n"/>
      <c r="J2863" s="47" t="n"/>
      <c r="K2863" s="47" t="n"/>
      <c r="L2863" s="47" t="n"/>
      <c r="M2863" s="47" t="n"/>
      <c r="N2863" s="47" t="n"/>
      <c r="O2863" s="47" t="n"/>
      <c r="P2863" s="47" t="n"/>
      <c r="Q2863" s="47" t="n"/>
      <c r="R2863" s="47" t="n"/>
      <c r="S2863" s="47" t="n"/>
      <c r="T2863" s="47" t="n"/>
      <c r="U2863" s="53" t="n"/>
      <c r="V2863" s="53" t="n"/>
      <c r="W2863" s="47" t="n"/>
      <c r="X2863" s="47" t="n"/>
      <c r="Y2863" s="47" t="n"/>
      <c r="Z2863" s="47" t="n"/>
      <c r="AA2863" s="47" t="n"/>
      <c r="AB2863" s="47" t="n"/>
      <c r="AC2863" s="47" t="n"/>
      <c r="AD2863" s="47" t="n"/>
      <c r="AE2863" s="47" t="n"/>
      <c r="AF2863" s="20">
        <f>IF(A2863="","",YEAR(EDATE(A2863,-3)))</f>
        <v/>
      </c>
      <c r="AG2863" s="20">
        <f>IF(OR(B2863="",'経歴簿'!$C$4=""),"",IF(B2863&amp;""='経歴簿'!$C$4&amp;"",MAX($AG$4:AG2862)+1,""))</f>
        <v/>
      </c>
      <c r="AH2863" s="20">
        <f>IF(A2863="",0,IF(AND(OR('CSV抽出'!$C$4="",A2863&gt;='CSV抽出'!$C$4),OR('CSV抽出'!$C$5="",A2863&lt;='CSV抽出'!$C$5),OR('CSV抽出'!$C$6="すべて",'CSV抽出'!$C$6="",D2863='CSV抽出'!$C$6),OR('CSV抽出'!$C$7="",B2863&amp;""='CSV抽出'!$C$7&amp;"")),1,0))</f>
        <v/>
      </c>
      <c r="AI2863" s="20">
        <f>IF(AH2863=1,SUM($AH$5:AH2863),"")</f>
        <v/>
      </c>
      <c r="AJ2863" s="20">
        <f>IF(OR(S2863="",'報告書'!$C$4=""),"",IF(S2863&amp;""='報告書'!$C$4&amp;"",COUNTIF($S$5:S2863,'報告書'!$C$4),""))</f>
        <v/>
      </c>
      <c r="AK2863" s="20" t="n"/>
      <c r="AL2863" s="47" t="n"/>
      <c r="AM2863" s="47" t="n"/>
      <c r="AN2863" s="53" t="n"/>
      <c r="AO2863" s="47" t="n"/>
      <c r="AP2863" s="47" t="n"/>
      <c r="AQ2863" s="47" t="n"/>
      <c r="AR2863" s="47" t="n"/>
      <c r="AS2863" s="47" t="n"/>
      <c r="AT2863" s="47" t="n"/>
      <c r="AU2863" s="47" t="n"/>
      <c r="AV2863" s="47" t="n"/>
      <c r="AW2863" s="52" t="n"/>
    </row>
    <row r="2864">
      <c r="A2864" s="48" t="n"/>
      <c r="B2864" s="52" t="n"/>
      <c r="C2864" s="47">
        <f>IF(B2864="","",IFERROR(INDEX('隊員マスタ'!$B$5:$B$204,MATCH(B2864&amp;"",'隊員マスタ'!$F$5:$F$204,0)),IF(AK2864="","番号なし",AK2864)))</f>
        <v/>
      </c>
      <c r="D2864" s="47" t="n"/>
      <c r="E2864" s="47" t="n"/>
      <c r="F2864" s="47" t="n"/>
      <c r="G2864" s="47" t="n"/>
      <c r="H2864" s="47" t="n"/>
      <c r="I2864" s="47" t="n"/>
      <c r="J2864" s="47" t="n"/>
      <c r="K2864" s="47" t="n"/>
      <c r="L2864" s="47" t="n"/>
      <c r="M2864" s="47" t="n"/>
      <c r="N2864" s="47" t="n"/>
      <c r="O2864" s="47" t="n"/>
      <c r="P2864" s="47" t="n"/>
      <c r="Q2864" s="47" t="n"/>
      <c r="R2864" s="47" t="n"/>
      <c r="S2864" s="47" t="n"/>
      <c r="T2864" s="47" t="n"/>
      <c r="U2864" s="53" t="n"/>
      <c r="V2864" s="53" t="n"/>
      <c r="W2864" s="47" t="n"/>
      <c r="X2864" s="47" t="n"/>
      <c r="Y2864" s="47" t="n"/>
      <c r="Z2864" s="47" t="n"/>
      <c r="AA2864" s="47" t="n"/>
      <c r="AB2864" s="47" t="n"/>
      <c r="AC2864" s="47" t="n"/>
      <c r="AD2864" s="47" t="n"/>
      <c r="AE2864" s="47" t="n"/>
      <c r="AF2864" s="20">
        <f>IF(A2864="","",YEAR(EDATE(A2864,-3)))</f>
        <v/>
      </c>
      <c r="AG2864" s="20">
        <f>IF(OR(B2864="",'経歴簿'!$C$4=""),"",IF(B2864&amp;""='経歴簿'!$C$4&amp;"",MAX($AG$4:AG2863)+1,""))</f>
        <v/>
      </c>
      <c r="AH2864" s="20">
        <f>IF(A2864="",0,IF(AND(OR('CSV抽出'!$C$4="",A2864&gt;='CSV抽出'!$C$4),OR('CSV抽出'!$C$5="",A2864&lt;='CSV抽出'!$C$5),OR('CSV抽出'!$C$6="すべて",'CSV抽出'!$C$6="",D2864='CSV抽出'!$C$6),OR('CSV抽出'!$C$7="",B2864&amp;""='CSV抽出'!$C$7&amp;"")),1,0))</f>
        <v/>
      </c>
      <c r="AI2864" s="20">
        <f>IF(AH2864=1,SUM($AH$5:AH2864),"")</f>
        <v/>
      </c>
      <c r="AJ2864" s="20">
        <f>IF(OR(S2864="",'報告書'!$C$4=""),"",IF(S2864&amp;""='報告書'!$C$4&amp;"",COUNTIF($S$5:S2864,'報告書'!$C$4),""))</f>
        <v/>
      </c>
      <c r="AK2864" s="20" t="n"/>
      <c r="AL2864" s="47" t="n"/>
      <c r="AM2864" s="47" t="n"/>
      <c r="AN2864" s="53" t="n"/>
      <c r="AO2864" s="47" t="n"/>
      <c r="AP2864" s="47" t="n"/>
      <c r="AQ2864" s="47" t="n"/>
      <c r="AR2864" s="47" t="n"/>
      <c r="AS2864" s="47" t="n"/>
      <c r="AT2864" s="47" t="n"/>
      <c r="AU2864" s="47" t="n"/>
      <c r="AV2864" s="47" t="n"/>
      <c r="AW2864" s="52" t="n"/>
    </row>
    <row r="2865">
      <c r="A2865" s="48" t="n"/>
      <c r="B2865" s="52" t="n"/>
      <c r="C2865" s="47">
        <f>IF(B2865="","",IFERROR(INDEX('隊員マスタ'!$B$5:$B$204,MATCH(B2865&amp;"",'隊員マスタ'!$F$5:$F$204,0)),IF(AK2865="","番号なし",AK2865)))</f>
        <v/>
      </c>
      <c r="D2865" s="47" t="n"/>
      <c r="E2865" s="47" t="n"/>
      <c r="F2865" s="47" t="n"/>
      <c r="G2865" s="47" t="n"/>
      <c r="H2865" s="47" t="n"/>
      <c r="I2865" s="47" t="n"/>
      <c r="J2865" s="47" t="n"/>
      <c r="K2865" s="47" t="n"/>
      <c r="L2865" s="47" t="n"/>
      <c r="M2865" s="47" t="n"/>
      <c r="N2865" s="47" t="n"/>
      <c r="O2865" s="47" t="n"/>
      <c r="P2865" s="47" t="n"/>
      <c r="Q2865" s="47" t="n"/>
      <c r="R2865" s="47" t="n"/>
      <c r="S2865" s="47" t="n"/>
      <c r="T2865" s="47" t="n"/>
      <c r="U2865" s="53" t="n"/>
      <c r="V2865" s="53" t="n"/>
      <c r="W2865" s="47" t="n"/>
      <c r="X2865" s="47" t="n"/>
      <c r="Y2865" s="47" t="n"/>
      <c r="Z2865" s="47" t="n"/>
      <c r="AA2865" s="47" t="n"/>
      <c r="AB2865" s="47" t="n"/>
      <c r="AC2865" s="47" t="n"/>
      <c r="AD2865" s="47" t="n"/>
      <c r="AE2865" s="47" t="n"/>
      <c r="AF2865" s="20">
        <f>IF(A2865="","",YEAR(EDATE(A2865,-3)))</f>
        <v/>
      </c>
      <c r="AG2865" s="20">
        <f>IF(OR(B2865="",'経歴簿'!$C$4=""),"",IF(B2865&amp;""='経歴簿'!$C$4&amp;"",MAX($AG$4:AG2864)+1,""))</f>
        <v/>
      </c>
      <c r="AH2865" s="20">
        <f>IF(A2865="",0,IF(AND(OR('CSV抽出'!$C$4="",A2865&gt;='CSV抽出'!$C$4),OR('CSV抽出'!$C$5="",A2865&lt;='CSV抽出'!$C$5),OR('CSV抽出'!$C$6="すべて",'CSV抽出'!$C$6="",D2865='CSV抽出'!$C$6),OR('CSV抽出'!$C$7="",B2865&amp;""='CSV抽出'!$C$7&amp;"")),1,0))</f>
        <v/>
      </c>
      <c r="AI2865" s="20">
        <f>IF(AH2865=1,SUM($AH$5:AH2865),"")</f>
        <v/>
      </c>
      <c r="AJ2865" s="20">
        <f>IF(OR(S2865="",'報告書'!$C$4=""),"",IF(S2865&amp;""='報告書'!$C$4&amp;"",COUNTIF($S$5:S2865,'報告書'!$C$4),""))</f>
        <v/>
      </c>
      <c r="AK2865" s="20" t="n"/>
      <c r="AL2865" s="47" t="n"/>
      <c r="AM2865" s="47" t="n"/>
      <c r="AN2865" s="53" t="n"/>
      <c r="AO2865" s="47" t="n"/>
      <c r="AP2865" s="47" t="n"/>
      <c r="AQ2865" s="47" t="n"/>
      <c r="AR2865" s="47" t="n"/>
      <c r="AS2865" s="47" t="n"/>
      <c r="AT2865" s="47" t="n"/>
      <c r="AU2865" s="47" t="n"/>
      <c r="AV2865" s="47" t="n"/>
      <c r="AW2865" s="52" t="n"/>
    </row>
    <row r="2866">
      <c r="A2866" s="48" t="n"/>
      <c r="B2866" s="52" t="n"/>
      <c r="C2866" s="47">
        <f>IF(B2866="","",IFERROR(INDEX('隊員マスタ'!$B$5:$B$204,MATCH(B2866&amp;"",'隊員マスタ'!$F$5:$F$204,0)),IF(AK2866="","番号なし",AK2866)))</f>
        <v/>
      </c>
      <c r="D2866" s="47" t="n"/>
      <c r="E2866" s="47" t="n"/>
      <c r="F2866" s="47" t="n"/>
      <c r="G2866" s="47" t="n"/>
      <c r="H2866" s="47" t="n"/>
      <c r="I2866" s="47" t="n"/>
      <c r="J2866" s="47" t="n"/>
      <c r="K2866" s="47" t="n"/>
      <c r="L2866" s="47" t="n"/>
      <c r="M2866" s="47" t="n"/>
      <c r="N2866" s="47" t="n"/>
      <c r="O2866" s="47" t="n"/>
      <c r="P2866" s="47" t="n"/>
      <c r="Q2866" s="47" t="n"/>
      <c r="R2866" s="47" t="n"/>
      <c r="S2866" s="47" t="n"/>
      <c r="T2866" s="47" t="n"/>
      <c r="U2866" s="53" t="n"/>
      <c r="V2866" s="53" t="n"/>
      <c r="W2866" s="47" t="n"/>
      <c r="X2866" s="47" t="n"/>
      <c r="Y2866" s="47" t="n"/>
      <c r="Z2866" s="47" t="n"/>
      <c r="AA2866" s="47" t="n"/>
      <c r="AB2866" s="47" t="n"/>
      <c r="AC2866" s="47" t="n"/>
      <c r="AD2866" s="47" t="n"/>
      <c r="AE2866" s="47" t="n"/>
      <c r="AF2866" s="20">
        <f>IF(A2866="","",YEAR(EDATE(A2866,-3)))</f>
        <v/>
      </c>
      <c r="AG2866" s="20">
        <f>IF(OR(B2866="",'経歴簿'!$C$4=""),"",IF(B2866&amp;""='経歴簿'!$C$4&amp;"",MAX($AG$4:AG2865)+1,""))</f>
        <v/>
      </c>
      <c r="AH2866" s="20">
        <f>IF(A2866="",0,IF(AND(OR('CSV抽出'!$C$4="",A2866&gt;='CSV抽出'!$C$4),OR('CSV抽出'!$C$5="",A2866&lt;='CSV抽出'!$C$5),OR('CSV抽出'!$C$6="すべて",'CSV抽出'!$C$6="",D2866='CSV抽出'!$C$6),OR('CSV抽出'!$C$7="",B2866&amp;""='CSV抽出'!$C$7&amp;"")),1,0))</f>
        <v/>
      </c>
      <c r="AI2866" s="20">
        <f>IF(AH2866=1,SUM($AH$5:AH2866),"")</f>
        <v/>
      </c>
      <c r="AJ2866" s="20">
        <f>IF(OR(S2866="",'報告書'!$C$4=""),"",IF(S2866&amp;""='報告書'!$C$4&amp;"",COUNTIF($S$5:S2866,'報告書'!$C$4),""))</f>
        <v/>
      </c>
      <c r="AK2866" s="20" t="n"/>
      <c r="AL2866" s="47" t="n"/>
      <c r="AM2866" s="47" t="n"/>
      <c r="AN2866" s="53" t="n"/>
      <c r="AO2866" s="47" t="n"/>
      <c r="AP2866" s="47" t="n"/>
      <c r="AQ2866" s="47" t="n"/>
      <c r="AR2866" s="47" t="n"/>
      <c r="AS2866" s="47" t="n"/>
      <c r="AT2866" s="47" t="n"/>
      <c r="AU2866" s="47" t="n"/>
      <c r="AV2866" s="47" t="n"/>
      <c r="AW2866" s="52" t="n"/>
    </row>
    <row r="2867">
      <c r="A2867" s="48" t="n"/>
      <c r="B2867" s="52" t="n"/>
      <c r="C2867" s="47">
        <f>IF(B2867="","",IFERROR(INDEX('隊員マスタ'!$B$5:$B$204,MATCH(B2867&amp;"",'隊員マスタ'!$F$5:$F$204,0)),IF(AK2867="","番号なし",AK2867)))</f>
        <v/>
      </c>
      <c r="D2867" s="47" t="n"/>
      <c r="E2867" s="47" t="n"/>
      <c r="F2867" s="47" t="n"/>
      <c r="G2867" s="47" t="n"/>
      <c r="H2867" s="47" t="n"/>
      <c r="I2867" s="47" t="n"/>
      <c r="J2867" s="47" t="n"/>
      <c r="K2867" s="47" t="n"/>
      <c r="L2867" s="47" t="n"/>
      <c r="M2867" s="47" t="n"/>
      <c r="N2867" s="47" t="n"/>
      <c r="O2867" s="47" t="n"/>
      <c r="P2867" s="47" t="n"/>
      <c r="Q2867" s="47" t="n"/>
      <c r="R2867" s="47" t="n"/>
      <c r="S2867" s="47" t="n"/>
      <c r="T2867" s="47" t="n"/>
      <c r="U2867" s="53" t="n"/>
      <c r="V2867" s="53" t="n"/>
      <c r="W2867" s="47" t="n"/>
      <c r="X2867" s="47" t="n"/>
      <c r="Y2867" s="47" t="n"/>
      <c r="Z2867" s="47" t="n"/>
      <c r="AA2867" s="47" t="n"/>
      <c r="AB2867" s="47" t="n"/>
      <c r="AC2867" s="47" t="n"/>
      <c r="AD2867" s="47" t="n"/>
      <c r="AE2867" s="47" t="n"/>
      <c r="AF2867" s="20">
        <f>IF(A2867="","",YEAR(EDATE(A2867,-3)))</f>
        <v/>
      </c>
      <c r="AG2867" s="20">
        <f>IF(OR(B2867="",'経歴簿'!$C$4=""),"",IF(B2867&amp;""='経歴簿'!$C$4&amp;"",MAX($AG$4:AG2866)+1,""))</f>
        <v/>
      </c>
      <c r="AH2867" s="20">
        <f>IF(A2867="",0,IF(AND(OR('CSV抽出'!$C$4="",A2867&gt;='CSV抽出'!$C$4),OR('CSV抽出'!$C$5="",A2867&lt;='CSV抽出'!$C$5),OR('CSV抽出'!$C$6="すべて",'CSV抽出'!$C$6="",D2867='CSV抽出'!$C$6),OR('CSV抽出'!$C$7="",B2867&amp;""='CSV抽出'!$C$7&amp;"")),1,0))</f>
        <v/>
      </c>
      <c r="AI2867" s="20">
        <f>IF(AH2867=1,SUM($AH$5:AH2867),"")</f>
        <v/>
      </c>
      <c r="AJ2867" s="20">
        <f>IF(OR(S2867="",'報告書'!$C$4=""),"",IF(S2867&amp;""='報告書'!$C$4&amp;"",COUNTIF($S$5:S2867,'報告書'!$C$4),""))</f>
        <v/>
      </c>
      <c r="AK2867" s="20" t="n"/>
      <c r="AL2867" s="47" t="n"/>
      <c r="AM2867" s="47" t="n"/>
      <c r="AN2867" s="53" t="n"/>
      <c r="AO2867" s="47" t="n"/>
      <c r="AP2867" s="47" t="n"/>
      <c r="AQ2867" s="47" t="n"/>
      <c r="AR2867" s="47" t="n"/>
      <c r="AS2867" s="47" t="n"/>
      <c r="AT2867" s="47" t="n"/>
      <c r="AU2867" s="47" t="n"/>
      <c r="AV2867" s="47" t="n"/>
      <c r="AW2867" s="52" t="n"/>
    </row>
    <row r="2868">
      <c r="A2868" s="48" t="n"/>
      <c r="B2868" s="52" t="n"/>
      <c r="C2868" s="47">
        <f>IF(B2868="","",IFERROR(INDEX('隊員マスタ'!$B$5:$B$204,MATCH(B2868&amp;"",'隊員マスタ'!$F$5:$F$204,0)),IF(AK2868="","番号なし",AK2868)))</f>
        <v/>
      </c>
      <c r="D2868" s="47" t="n"/>
      <c r="E2868" s="47" t="n"/>
      <c r="F2868" s="47" t="n"/>
      <c r="G2868" s="47" t="n"/>
      <c r="H2868" s="47" t="n"/>
      <c r="I2868" s="47" t="n"/>
      <c r="J2868" s="47" t="n"/>
      <c r="K2868" s="47" t="n"/>
      <c r="L2868" s="47" t="n"/>
      <c r="M2868" s="47" t="n"/>
      <c r="N2868" s="47" t="n"/>
      <c r="O2868" s="47" t="n"/>
      <c r="P2868" s="47" t="n"/>
      <c r="Q2868" s="47" t="n"/>
      <c r="R2868" s="47" t="n"/>
      <c r="S2868" s="47" t="n"/>
      <c r="T2868" s="47" t="n"/>
      <c r="U2868" s="53" t="n"/>
      <c r="V2868" s="53" t="n"/>
      <c r="W2868" s="47" t="n"/>
      <c r="X2868" s="47" t="n"/>
      <c r="Y2868" s="47" t="n"/>
      <c r="Z2868" s="47" t="n"/>
      <c r="AA2868" s="47" t="n"/>
      <c r="AB2868" s="47" t="n"/>
      <c r="AC2868" s="47" t="n"/>
      <c r="AD2868" s="47" t="n"/>
      <c r="AE2868" s="47" t="n"/>
      <c r="AF2868" s="20">
        <f>IF(A2868="","",YEAR(EDATE(A2868,-3)))</f>
        <v/>
      </c>
      <c r="AG2868" s="20">
        <f>IF(OR(B2868="",'経歴簿'!$C$4=""),"",IF(B2868&amp;""='経歴簿'!$C$4&amp;"",MAX($AG$4:AG2867)+1,""))</f>
        <v/>
      </c>
      <c r="AH2868" s="20">
        <f>IF(A2868="",0,IF(AND(OR('CSV抽出'!$C$4="",A2868&gt;='CSV抽出'!$C$4),OR('CSV抽出'!$C$5="",A2868&lt;='CSV抽出'!$C$5),OR('CSV抽出'!$C$6="すべて",'CSV抽出'!$C$6="",D2868='CSV抽出'!$C$6),OR('CSV抽出'!$C$7="",B2868&amp;""='CSV抽出'!$C$7&amp;"")),1,0))</f>
        <v/>
      </c>
      <c r="AI2868" s="20">
        <f>IF(AH2868=1,SUM($AH$5:AH2868),"")</f>
        <v/>
      </c>
      <c r="AJ2868" s="20">
        <f>IF(OR(S2868="",'報告書'!$C$4=""),"",IF(S2868&amp;""='報告書'!$C$4&amp;"",COUNTIF($S$5:S2868,'報告書'!$C$4),""))</f>
        <v/>
      </c>
      <c r="AK2868" s="20" t="n"/>
      <c r="AL2868" s="47" t="n"/>
      <c r="AM2868" s="47" t="n"/>
      <c r="AN2868" s="53" t="n"/>
      <c r="AO2868" s="47" t="n"/>
      <c r="AP2868" s="47" t="n"/>
      <c r="AQ2868" s="47" t="n"/>
      <c r="AR2868" s="47" t="n"/>
      <c r="AS2868" s="47" t="n"/>
      <c r="AT2868" s="47" t="n"/>
      <c r="AU2868" s="47" t="n"/>
      <c r="AV2868" s="47" t="n"/>
      <c r="AW2868" s="52" t="n"/>
    </row>
    <row r="2869">
      <c r="A2869" s="48" t="n"/>
      <c r="B2869" s="52" t="n"/>
      <c r="C2869" s="47">
        <f>IF(B2869="","",IFERROR(INDEX('隊員マスタ'!$B$5:$B$204,MATCH(B2869&amp;"",'隊員マスタ'!$F$5:$F$204,0)),IF(AK2869="","番号なし",AK2869)))</f>
        <v/>
      </c>
      <c r="D2869" s="47" t="n"/>
      <c r="E2869" s="47" t="n"/>
      <c r="F2869" s="47" t="n"/>
      <c r="G2869" s="47" t="n"/>
      <c r="H2869" s="47" t="n"/>
      <c r="I2869" s="47" t="n"/>
      <c r="J2869" s="47" t="n"/>
      <c r="K2869" s="47" t="n"/>
      <c r="L2869" s="47" t="n"/>
      <c r="M2869" s="47" t="n"/>
      <c r="N2869" s="47" t="n"/>
      <c r="O2869" s="47" t="n"/>
      <c r="P2869" s="47" t="n"/>
      <c r="Q2869" s="47" t="n"/>
      <c r="R2869" s="47" t="n"/>
      <c r="S2869" s="47" t="n"/>
      <c r="T2869" s="47" t="n"/>
      <c r="U2869" s="53" t="n"/>
      <c r="V2869" s="53" t="n"/>
      <c r="W2869" s="47" t="n"/>
      <c r="X2869" s="47" t="n"/>
      <c r="Y2869" s="47" t="n"/>
      <c r="Z2869" s="47" t="n"/>
      <c r="AA2869" s="47" t="n"/>
      <c r="AB2869" s="47" t="n"/>
      <c r="AC2869" s="47" t="n"/>
      <c r="AD2869" s="47" t="n"/>
      <c r="AE2869" s="47" t="n"/>
      <c r="AF2869" s="20">
        <f>IF(A2869="","",YEAR(EDATE(A2869,-3)))</f>
        <v/>
      </c>
      <c r="AG2869" s="20">
        <f>IF(OR(B2869="",'経歴簿'!$C$4=""),"",IF(B2869&amp;""='経歴簿'!$C$4&amp;"",MAX($AG$4:AG2868)+1,""))</f>
        <v/>
      </c>
      <c r="AH2869" s="20">
        <f>IF(A2869="",0,IF(AND(OR('CSV抽出'!$C$4="",A2869&gt;='CSV抽出'!$C$4),OR('CSV抽出'!$C$5="",A2869&lt;='CSV抽出'!$C$5),OR('CSV抽出'!$C$6="すべて",'CSV抽出'!$C$6="",D2869='CSV抽出'!$C$6),OR('CSV抽出'!$C$7="",B2869&amp;""='CSV抽出'!$C$7&amp;"")),1,0))</f>
        <v/>
      </c>
      <c r="AI2869" s="20">
        <f>IF(AH2869=1,SUM($AH$5:AH2869),"")</f>
        <v/>
      </c>
      <c r="AJ2869" s="20">
        <f>IF(OR(S2869="",'報告書'!$C$4=""),"",IF(S2869&amp;""='報告書'!$C$4&amp;"",COUNTIF($S$5:S2869,'報告書'!$C$4),""))</f>
        <v/>
      </c>
      <c r="AK2869" s="20" t="n"/>
      <c r="AL2869" s="47" t="n"/>
      <c r="AM2869" s="47" t="n"/>
      <c r="AN2869" s="53" t="n"/>
      <c r="AO2869" s="47" t="n"/>
      <c r="AP2869" s="47" t="n"/>
      <c r="AQ2869" s="47" t="n"/>
      <c r="AR2869" s="47" t="n"/>
      <c r="AS2869" s="47" t="n"/>
      <c r="AT2869" s="47" t="n"/>
      <c r="AU2869" s="47" t="n"/>
      <c r="AV2869" s="47" t="n"/>
      <c r="AW2869" s="52" t="n"/>
    </row>
    <row r="2870">
      <c r="A2870" s="48" t="n"/>
      <c r="B2870" s="52" t="n"/>
      <c r="C2870" s="47">
        <f>IF(B2870="","",IFERROR(INDEX('隊員マスタ'!$B$5:$B$204,MATCH(B2870&amp;"",'隊員マスタ'!$F$5:$F$204,0)),IF(AK2870="","番号なし",AK2870)))</f>
        <v/>
      </c>
      <c r="D2870" s="47" t="n"/>
      <c r="E2870" s="47" t="n"/>
      <c r="F2870" s="47" t="n"/>
      <c r="G2870" s="47" t="n"/>
      <c r="H2870" s="47" t="n"/>
      <c r="I2870" s="47" t="n"/>
      <c r="J2870" s="47" t="n"/>
      <c r="K2870" s="47" t="n"/>
      <c r="L2870" s="47" t="n"/>
      <c r="M2870" s="47" t="n"/>
      <c r="N2870" s="47" t="n"/>
      <c r="O2870" s="47" t="n"/>
      <c r="P2870" s="47" t="n"/>
      <c r="Q2870" s="47" t="n"/>
      <c r="R2870" s="47" t="n"/>
      <c r="S2870" s="47" t="n"/>
      <c r="T2870" s="47" t="n"/>
      <c r="U2870" s="53" t="n"/>
      <c r="V2870" s="53" t="n"/>
      <c r="W2870" s="47" t="n"/>
      <c r="X2870" s="47" t="n"/>
      <c r="Y2870" s="47" t="n"/>
      <c r="Z2870" s="47" t="n"/>
      <c r="AA2870" s="47" t="n"/>
      <c r="AB2870" s="47" t="n"/>
      <c r="AC2870" s="47" t="n"/>
      <c r="AD2870" s="47" t="n"/>
      <c r="AE2870" s="47" t="n"/>
      <c r="AF2870" s="20">
        <f>IF(A2870="","",YEAR(EDATE(A2870,-3)))</f>
        <v/>
      </c>
      <c r="AG2870" s="20">
        <f>IF(OR(B2870="",'経歴簿'!$C$4=""),"",IF(B2870&amp;""='経歴簿'!$C$4&amp;"",MAX($AG$4:AG2869)+1,""))</f>
        <v/>
      </c>
      <c r="AH2870" s="20">
        <f>IF(A2870="",0,IF(AND(OR('CSV抽出'!$C$4="",A2870&gt;='CSV抽出'!$C$4),OR('CSV抽出'!$C$5="",A2870&lt;='CSV抽出'!$C$5),OR('CSV抽出'!$C$6="すべて",'CSV抽出'!$C$6="",D2870='CSV抽出'!$C$6),OR('CSV抽出'!$C$7="",B2870&amp;""='CSV抽出'!$C$7&amp;"")),1,0))</f>
        <v/>
      </c>
      <c r="AI2870" s="20">
        <f>IF(AH2870=1,SUM($AH$5:AH2870),"")</f>
        <v/>
      </c>
      <c r="AJ2870" s="20">
        <f>IF(OR(S2870="",'報告書'!$C$4=""),"",IF(S2870&amp;""='報告書'!$C$4&amp;"",COUNTIF($S$5:S2870,'報告書'!$C$4),""))</f>
        <v/>
      </c>
      <c r="AK2870" s="20" t="n"/>
      <c r="AL2870" s="47" t="n"/>
      <c r="AM2870" s="47" t="n"/>
      <c r="AN2870" s="53" t="n"/>
      <c r="AO2870" s="47" t="n"/>
      <c r="AP2870" s="47" t="n"/>
      <c r="AQ2870" s="47" t="n"/>
      <c r="AR2870" s="47" t="n"/>
      <c r="AS2870" s="47" t="n"/>
      <c r="AT2870" s="47" t="n"/>
      <c r="AU2870" s="47" t="n"/>
      <c r="AV2870" s="47" t="n"/>
      <c r="AW2870" s="52" t="n"/>
    </row>
    <row r="2871">
      <c r="A2871" s="48" t="n"/>
      <c r="B2871" s="52" t="n"/>
      <c r="C2871" s="47">
        <f>IF(B2871="","",IFERROR(INDEX('隊員マスタ'!$B$5:$B$204,MATCH(B2871&amp;"",'隊員マスタ'!$F$5:$F$204,0)),IF(AK2871="","番号なし",AK2871)))</f>
        <v/>
      </c>
      <c r="D2871" s="47" t="n"/>
      <c r="E2871" s="47" t="n"/>
      <c r="F2871" s="47" t="n"/>
      <c r="G2871" s="47" t="n"/>
      <c r="H2871" s="47" t="n"/>
      <c r="I2871" s="47" t="n"/>
      <c r="J2871" s="47" t="n"/>
      <c r="K2871" s="47" t="n"/>
      <c r="L2871" s="47" t="n"/>
      <c r="M2871" s="47" t="n"/>
      <c r="N2871" s="47" t="n"/>
      <c r="O2871" s="47" t="n"/>
      <c r="P2871" s="47" t="n"/>
      <c r="Q2871" s="47" t="n"/>
      <c r="R2871" s="47" t="n"/>
      <c r="S2871" s="47" t="n"/>
      <c r="T2871" s="47" t="n"/>
      <c r="U2871" s="53" t="n"/>
      <c r="V2871" s="53" t="n"/>
      <c r="W2871" s="47" t="n"/>
      <c r="X2871" s="47" t="n"/>
      <c r="Y2871" s="47" t="n"/>
      <c r="Z2871" s="47" t="n"/>
      <c r="AA2871" s="47" t="n"/>
      <c r="AB2871" s="47" t="n"/>
      <c r="AC2871" s="47" t="n"/>
      <c r="AD2871" s="47" t="n"/>
      <c r="AE2871" s="47" t="n"/>
      <c r="AF2871" s="20">
        <f>IF(A2871="","",YEAR(EDATE(A2871,-3)))</f>
        <v/>
      </c>
      <c r="AG2871" s="20">
        <f>IF(OR(B2871="",'経歴簿'!$C$4=""),"",IF(B2871&amp;""='経歴簿'!$C$4&amp;"",MAX($AG$4:AG2870)+1,""))</f>
        <v/>
      </c>
      <c r="AH2871" s="20">
        <f>IF(A2871="",0,IF(AND(OR('CSV抽出'!$C$4="",A2871&gt;='CSV抽出'!$C$4),OR('CSV抽出'!$C$5="",A2871&lt;='CSV抽出'!$C$5),OR('CSV抽出'!$C$6="すべて",'CSV抽出'!$C$6="",D2871='CSV抽出'!$C$6),OR('CSV抽出'!$C$7="",B2871&amp;""='CSV抽出'!$C$7&amp;"")),1,0))</f>
        <v/>
      </c>
      <c r="AI2871" s="20">
        <f>IF(AH2871=1,SUM($AH$5:AH2871),"")</f>
        <v/>
      </c>
      <c r="AJ2871" s="20">
        <f>IF(OR(S2871="",'報告書'!$C$4=""),"",IF(S2871&amp;""='報告書'!$C$4&amp;"",COUNTIF($S$5:S2871,'報告書'!$C$4),""))</f>
        <v/>
      </c>
      <c r="AK2871" s="20" t="n"/>
      <c r="AL2871" s="47" t="n"/>
      <c r="AM2871" s="47" t="n"/>
      <c r="AN2871" s="53" t="n"/>
      <c r="AO2871" s="47" t="n"/>
      <c r="AP2871" s="47" t="n"/>
      <c r="AQ2871" s="47" t="n"/>
      <c r="AR2871" s="47" t="n"/>
      <c r="AS2871" s="47" t="n"/>
      <c r="AT2871" s="47" t="n"/>
      <c r="AU2871" s="47" t="n"/>
      <c r="AV2871" s="47" t="n"/>
      <c r="AW2871" s="52" t="n"/>
    </row>
    <row r="2872">
      <c r="A2872" s="48" t="n"/>
      <c r="B2872" s="52" t="n"/>
      <c r="C2872" s="47">
        <f>IF(B2872="","",IFERROR(INDEX('隊員マスタ'!$B$5:$B$204,MATCH(B2872&amp;"",'隊員マスタ'!$F$5:$F$204,0)),IF(AK2872="","番号なし",AK2872)))</f>
        <v/>
      </c>
      <c r="D2872" s="47" t="n"/>
      <c r="E2872" s="47" t="n"/>
      <c r="F2872" s="47" t="n"/>
      <c r="G2872" s="47" t="n"/>
      <c r="H2872" s="47" t="n"/>
      <c r="I2872" s="47" t="n"/>
      <c r="J2872" s="47" t="n"/>
      <c r="K2872" s="47" t="n"/>
      <c r="L2872" s="47" t="n"/>
      <c r="M2872" s="47" t="n"/>
      <c r="N2872" s="47" t="n"/>
      <c r="O2872" s="47" t="n"/>
      <c r="P2872" s="47" t="n"/>
      <c r="Q2872" s="47" t="n"/>
      <c r="R2872" s="47" t="n"/>
      <c r="S2872" s="47" t="n"/>
      <c r="T2872" s="47" t="n"/>
      <c r="U2872" s="53" t="n"/>
      <c r="V2872" s="53" t="n"/>
      <c r="W2872" s="47" t="n"/>
      <c r="X2872" s="47" t="n"/>
      <c r="Y2872" s="47" t="n"/>
      <c r="Z2872" s="47" t="n"/>
      <c r="AA2872" s="47" t="n"/>
      <c r="AB2872" s="47" t="n"/>
      <c r="AC2872" s="47" t="n"/>
      <c r="AD2872" s="47" t="n"/>
      <c r="AE2872" s="47" t="n"/>
      <c r="AF2872" s="20">
        <f>IF(A2872="","",YEAR(EDATE(A2872,-3)))</f>
        <v/>
      </c>
      <c r="AG2872" s="20">
        <f>IF(OR(B2872="",'経歴簿'!$C$4=""),"",IF(B2872&amp;""='経歴簿'!$C$4&amp;"",MAX($AG$4:AG2871)+1,""))</f>
        <v/>
      </c>
      <c r="AH2872" s="20">
        <f>IF(A2872="",0,IF(AND(OR('CSV抽出'!$C$4="",A2872&gt;='CSV抽出'!$C$4),OR('CSV抽出'!$C$5="",A2872&lt;='CSV抽出'!$C$5),OR('CSV抽出'!$C$6="すべて",'CSV抽出'!$C$6="",D2872='CSV抽出'!$C$6),OR('CSV抽出'!$C$7="",B2872&amp;""='CSV抽出'!$C$7&amp;"")),1,0))</f>
        <v/>
      </c>
      <c r="AI2872" s="20">
        <f>IF(AH2872=1,SUM($AH$5:AH2872),"")</f>
        <v/>
      </c>
      <c r="AJ2872" s="20">
        <f>IF(OR(S2872="",'報告書'!$C$4=""),"",IF(S2872&amp;""='報告書'!$C$4&amp;"",COUNTIF($S$5:S2872,'報告書'!$C$4),""))</f>
        <v/>
      </c>
      <c r="AK2872" s="20" t="n"/>
      <c r="AL2872" s="47" t="n"/>
      <c r="AM2872" s="47" t="n"/>
      <c r="AN2872" s="53" t="n"/>
      <c r="AO2872" s="47" t="n"/>
      <c r="AP2872" s="47" t="n"/>
      <c r="AQ2872" s="47" t="n"/>
      <c r="AR2872" s="47" t="n"/>
      <c r="AS2872" s="47" t="n"/>
      <c r="AT2872" s="47" t="n"/>
      <c r="AU2872" s="47" t="n"/>
      <c r="AV2872" s="47" t="n"/>
      <c r="AW2872" s="52" t="n"/>
    </row>
    <row r="2873">
      <c r="A2873" s="48" t="n"/>
      <c r="B2873" s="52" t="n"/>
      <c r="C2873" s="47">
        <f>IF(B2873="","",IFERROR(INDEX('隊員マスタ'!$B$5:$B$204,MATCH(B2873&amp;"",'隊員マスタ'!$F$5:$F$204,0)),IF(AK2873="","番号なし",AK2873)))</f>
        <v/>
      </c>
      <c r="D2873" s="47" t="n"/>
      <c r="E2873" s="47" t="n"/>
      <c r="F2873" s="47" t="n"/>
      <c r="G2873" s="47" t="n"/>
      <c r="H2873" s="47" t="n"/>
      <c r="I2873" s="47" t="n"/>
      <c r="J2873" s="47" t="n"/>
      <c r="K2873" s="47" t="n"/>
      <c r="L2873" s="47" t="n"/>
      <c r="M2873" s="47" t="n"/>
      <c r="N2873" s="47" t="n"/>
      <c r="O2873" s="47" t="n"/>
      <c r="P2873" s="47" t="n"/>
      <c r="Q2873" s="47" t="n"/>
      <c r="R2873" s="47" t="n"/>
      <c r="S2873" s="47" t="n"/>
      <c r="T2873" s="47" t="n"/>
      <c r="U2873" s="53" t="n"/>
      <c r="V2873" s="53" t="n"/>
      <c r="W2873" s="47" t="n"/>
      <c r="X2873" s="47" t="n"/>
      <c r="Y2873" s="47" t="n"/>
      <c r="Z2873" s="47" t="n"/>
      <c r="AA2873" s="47" t="n"/>
      <c r="AB2873" s="47" t="n"/>
      <c r="AC2873" s="47" t="n"/>
      <c r="AD2873" s="47" t="n"/>
      <c r="AE2873" s="47" t="n"/>
      <c r="AF2873" s="20">
        <f>IF(A2873="","",YEAR(EDATE(A2873,-3)))</f>
        <v/>
      </c>
      <c r="AG2873" s="20">
        <f>IF(OR(B2873="",'経歴簿'!$C$4=""),"",IF(B2873&amp;""='経歴簿'!$C$4&amp;"",MAX($AG$4:AG2872)+1,""))</f>
        <v/>
      </c>
      <c r="AH2873" s="20">
        <f>IF(A2873="",0,IF(AND(OR('CSV抽出'!$C$4="",A2873&gt;='CSV抽出'!$C$4),OR('CSV抽出'!$C$5="",A2873&lt;='CSV抽出'!$C$5),OR('CSV抽出'!$C$6="すべて",'CSV抽出'!$C$6="",D2873='CSV抽出'!$C$6),OR('CSV抽出'!$C$7="",B2873&amp;""='CSV抽出'!$C$7&amp;"")),1,0))</f>
        <v/>
      </c>
      <c r="AI2873" s="20">
        <f>IF(AH2873=1,SUM($AH$5:AH2873),"")</f>
        <v/>
      </c>
      <c r="AJ2873" s="20">
        <f>IF(OR(S2873="",'報告書'!$C$4=""),"",IF(S2873&amp;""='報告書'!$C$4&amp;"",COUNTIF($S$5:S2873,'報告書'!$C$4),""))</f>
        <v/>
      </c>
      <c r="AK2873" s="20" t="n"/>
      <c r="AL2873" s="47" t="n"/>
      <c r="AM2873" s="47" t="n"/>
      <c r="AN2873" s="53" t="n"/>
      <c r="AO2873" s="47" t="n"/>
      <c r="AP2873" s="47" t="n"/>
      <c r="AQ2873" s="47" t="n"/>
      <c r="AR2873" s="47" t="n"/>
      <c r="AS2873" s="47" t="n"/>
      <c r="AT2873" s="47" t="n"/>
      <c r="AU2873" s="47" t="n"/>
      <c r="AV2873" s="47" t="n"/>
      <c r="AW2873" s="52" t="n"/>
    </row>
    <row r="2874">
      <c r="A2874" s="48" t="n"/>
      <c r="B2874" s="52" t="n"/>
      <c r="C2874" s="47">
        <f>IF(B2874="","",IFERROR(INDEX('隊員マスタ'!$B$5:$B$204,MATCH(B2874&amp;"",'隊員マスタ'!$F$5:$F$204,0)),IF(AK2874="","番号なし",AK2874)))</f>
        <v/>
      </c>
      <c r="D2874" s="47" t="n"/>
      <c r="E2874" s="47" t="n"/>
      <c r="F2874" s="47" t="n"/>
      <c r="G2874" s="47" t="n"/>
      <c r="H2874" s="47" t="n"/>
      <c r="I2874" s="47" t="n"/>
      <c r="J2874" s="47" t="n"/>
      <c r="K2874" s="47" t="n"/>
      <c r="L2874" s="47" t="n"/>
      <c r="M2874" s="47" t="n"/>
      <c r="N2874" s="47" t="n"/>
      <c r="O2874" s="47" t="n"/>
      <c r="P2874" s="47" t="n"/>
      <c r="Q2874" s="47" t="n"/>
      <c r="R2874" s="47" t="n"/>
      <c r="S2874" s="47" t="n"/>
      <c r="T2874" s="47" t="n"/>
      <c r="U2874" s="53" t="n"/>
      <c r="V2874" s="53" t="n"/>
      <c r="W2874" s="47" t="n"/>
      <c r="X2874" s="47" t="n"/>
      <c r="Y2874" s="47" t="n"/>
      <c r="Z2874" s="47" t="n"/>
      <c r="AA2874" s="47" t="n"/>
      <c r="AB2874" s="47" t="n"/>
      <c r="AC2874" s="47" t="n"/>
      <c r="AD2874" s="47" t="n"/>
      <c r="AE2874" s="47" t="n"/>
      <c r="AF2874" s="20">
        <f>IF(A2874="","",YEAR(EDATE(A2874,-3)))</f>
        <v/>
      </c>
      <c r="AG2874" s="20">
        <f>IF(OR(B2874="",'経歴簿'!$C$4=""),"",IF(B2874&amp;""='経歴簿'!$C$4&amp;"",MAX($AG$4:AG2873)+1,""))</f>
        <v/>
      </c>
      <c r="AH2874" s="20">
        <f>IF(A2874="",0,IF(AND(OR('CSV抽出'!$C$4="",A2874&gt;='CSV抽出'!$C$4),OR('CSV抽出'!$C$5="",A2874&lt;='CSV抽出'!$C$5),OR('CSV抽出'!$C$6="すべて",'CSV抽出'!$C$6="",D2874='CSV抽出'!$C$6),OR('CSV抽出'!$C$7="",B2874&amp;""='CSV抽出'!$C$7&amp;"")),1,0))</f>
        <v/>
      </c>
      <c r="AI2874" s="20">
        <f>IF(AH2874=1,SUM($AH$5:AH2874),"")</f>
        <v/>
      </c>
      <c r="AJ2874" s="20">
        <f>IF(OR(S2874="",'報告書'!$C$4=""),"",IF(S2874&amp;""='報告書'!$C$4&amp;"",COUNTIF($S$5:S2874,'報告書'!$C$4),""))</f>
        <v/>
      </c>
      <c r="AK2874" s="20" t="n"/>
      <c r="AL2874" s="47" t="n"/>
      <c r="AM2874" s="47" t="n"/>
      <c r="AN2874" s="53" t="n"/>
      <c r="AO2874" s="47" t="n"/>
      <c r="AP2874" s="47" t="n"/>
      <c r="AQ2874" s="47" t="n"/>
      <c r="AR2874" s="47" t="n"/>
      <c r="AS2874" s="47" t="n"/>
      <c r="AT2874" s="47" t="n"/>
      <c r="AU2874" s="47" t="n"/>
      <c r="AV2874" s="47" t="n"/>
      <c r="AW2874" s="52" t="n"/>
    </row>
    <row r="2875">
      <c r="A2875" s="48" t="n"/>
      <c r="B2875" s="52" t="n"/>
      <c r="C2875" s="47">
        <f>IF(B2875="","",IFERROR(INDEX('隊員マスタ'!$B$5:$B$204,MATCH(B2875&amp;"",'隊員マスタ'!$F$5:$F$204,0)),IF(AK2875="","番号なし",AK2875)))</f>
        <v/>
      </c>
      <c r="D2875" s="47" t="n"/>
      <c r="E2875" s="47" t="n"/>
      <c r="F2875" s="47" t="n"/>
      <c r="G2875" s="47" t="n"/>
      <c r="H2875" s="47" t="n"/>
      <c r="I2875" s="47" t="n"/>
      <c r="J2875" s="47" t="n"/>
      <c r="K2875" s="47" t="n"/>
      <c r="L2875" s="47" t="n"/>
      <c r="M2875" s="47" t="n"/>
      <c r="N2875" s="47" t="n"/>
      <c r="O2875" s="47" t="n"/>
      <c r="P2875" s="47" t="n"/>
      <c r="Q2875" s="47" t="n"/>
      <c r="R2875" s="47" t="n"/>
      <c r="S2875" s="47" t="n"/>
      <c r="T2875" s="47" t="n"/>
      <c r="U2875" s="53" t="n"/>
      <c r="V2875" s="53" t="n"/>
      <c r="W2875" s="47" t="n"/>
      <c r="X2875" s="47" t="n"/>
      <c r="Y2875" s="47" t="n"/>
      <c r="Z2875" s="47" t="n"/>
      <c r="AA2875" s="47" t="n"/>
      <c r="AB2875" s="47" t="n"/>
      <c r="AC2875" s="47" t="n"/>
      <c r="AD2875" s="47" t="n"/>
      <c r="AE2875" s="47" t="n"/>
      <c r="AF2875" s="20">
        <f>IF(A2875="","",YEAR(EDATE(A2875,-3)))</f>
        <v/>
      </c>
      <c r="AG2875" s="20">
        <f>IF(OR(B2875="",'経歴簿'!$C$4=""),"",IF(B2875&amp;""='経歴簿'!$C$4&amp;"",MAX($AG$4:AG2874)+1,""))</f>
        <v/>
      </c>
      <c r="AH2875" s="20">
        <f>IF(A2875="",0,IF(AND(OR('CSV抽出'!$C$4="",A2875&gt;='CSV抽出'!$C$4),OR('CSV抽出'!$C$5="",A2875&lt;='CSV抽出'!$C$5),OR('CSV抽出'!$C$6="すべて",'CSV抽出'!$C$6="",D2875='CSV抽出'!$C$6),OR('CSV抽出'!$C$7="",B2875&amp;""='CSV抽出'!$C$7&amp;"")),1,0))</f>
        <v/>
      </c>
      <c r="AI2875" s="20">
        <f>IF(AH2875=1,SUM($AH$5:AH2875),"")</f>
        <v/>
      </c>
      <c r="AJ2875" s="20">
        <f>IF(OR(S2875="",'報告書'!$C$4=""),"",IF(S2875&amp;""='報告書'!$C$4&amp;"",COUNTIF($S$5:S2875,'報告書'!$C$4),""))</f>
        <v/>
      </c>
      <c r="AK2875" s="20" t="n"/>
      <c r="AL2875" s="47" t="n"/>
      <c r="AM2875" s="47" t="n"/>
      <c r="AN2875" s="53" t="n"/>
      <c r="AO2875" s="47" t="n"/>
      <c r="AP2875" s="47" t="n"/>
      <c r="AQ2875" s="47" t="n"/>
      <c r="AR2875" s="47" t="n"/>
      <c r="AS2875" s="47" t="n"/>
      <c r="AT2875" s="47" t="n"/>
      <c r="AU2875" s="47" t="n"/>
      <c r="AV2875" s="47" t="n"/>
      <c r="AW2875" s="52" t="n"/>
    </row>
    <row r="2876">
      <c r="A2876" s="48" t="n"/>
      <c r="B2876" s="52" t="n"/>
      <c r="C2876" s="47">
        <f>IF(B2876="","",IFERROR(INDEX('隊員マスタ'!$B$5:$B$204,MATCH(B2876&amp;"",'隊員マスタ'!$F$5:$F$204,0)),IF(AK2876="","番号なし",AK2876)))</f>
        <v/>
      </c>
      <c r="D2876" s="47" t="n"/>
      <c r="E2876" s="47" t="n"/>
      <c r="F2876" s="47" t="n"/>
      <c r="G2876" s="47" t="n"/>
      <c r="H2876" s="47" t="n"/>
      <c r="I2876" s="47" t="n"/>
      <c r="J2876" s="47" t="n"/>
      <c r="K2876" s="47" t="n"/>
      <c r="L2876" s="47" t="n"/>
      <c r="M2876" s="47" t="n"/>
      <c r="N2876" s="47" t="n"/>
      <c r="O2876" s="47" t="n"/>
      <c r="P2876" s="47" t="n"/>
      <c r="Q2876" s="47" t="n"/>
      <c r="R2876" s="47" t="n"/>
      <c r="S2876" s="47" t="n"/>
      <c r="T2876" s="47" t="n"/>
      <c r="U2876" s="53" t="n"/>
      <c r="V2876" s="53" t="n"/>
      <c r="W2876" s="47" t="n"/>
      <c r="X2876" s="47" t="n"/>
      <c r="Y2876" s="47" t="n"/>
      <c r="Z2876" s="47" t="n"/>
      <c r="AA2876" s="47" t="n"/>
      <c r="AB2876" s="47" t="n"/>
      <c r="AC2876" s="47" t="n"/>
      <c r="AD2876" s="47" t="n"/>
      <c r="AE2876" s="47" t="n"/>
      <c r="AF2876" s="20">
        <f>IF(A2876="","",YEAR(EDATE(A2876,-3)))</f>
        <v/>
      </c>
      <c r="AG2876" s="20">
        <f>IF(OR(B2876="",'経歴簿'!$C$4=""),"",IF(B2876&amp;""='経歴簿'!$C$4&amp;"",MAX($AG$4:AG2875)+1,""))</f>
        <v/>
      </c>
      <c r="AH2876" s="20">
        <f>IF(A2876="",0,IF(AND(OR('CSV抽出'!$C$4="",A2876&gt;='CSV抽出'!$C$4),OR('CSV抽出'!$C$5="",A2876&lt;='CSV抽出'!$C$5),OR('CSV抽出'!$C$6="すべて",'CSV抽出'!$C$6="",D2876='CSV抽出'!$C$6),OR('CSV抽出'!$C$7="",B2876&amp;""='CSV抽出'!$C$7&amp;"")),1,0))</f>
        <v/>
      </c>
      <c r="AI2876" s="20">
        <f>IF(AH2876=1,SUM($AH$5:AH2876),"")</f>
        <v/>
      </c>
      <c r="AJ2876" s="20">
        <f>IF(OR(S2876="",'報告書'!$C$4=""),"",IF(S2876&amp;""='報告書'!$C$4&amp;"",COUNTIF($S$5:S2876,'報告書'!$C$4),""))</f>
        <v/>
      </c>
      <c r="AK2876" s="20" t="n"/>
      <c r="AL2876" s="47" t="n"/>
      <c r="AM2876" s="47" t="n"/>
      <c r="AN2876" s="53" t="n"/>
      <c r="AO2876" s="47" t="n"/>
      <c r="AP2876" s="47" t="n"/>
      <c r="AQ2876" s="47" t="n"/>
      <c r="AR2876" s="47" t="n"/>
      <c r="AS2876" s="47" t="n"/>
      <c r="AT2876" s="47" t="n"/>
      <c r="AU2876" s="47" t="n"/>
      <c r="AV2876" s="47" t="n"/>
      <c r="AW2876" s="52" t="n"/>
    </row>
    <row r="2877">
      <c r="A2877" s="48" t="n"/>
      <c r="B2877" s="52" t="n"/>
      <c r="C2877" s="47">
        <f>IF(B2877="","",IFERROR(INDEX('隊員マスタ'!$B$5:$B$204,MATCH(B2877&amp;"",'隊員マスタ'!$F$5:$F$204,0)),IF(AK2877="","番号なし",AK2877)))</f>
        <v/>
      </c>
      <c r="D2877" s="47" t="n"/>
      <c r="E2877" s="47" t="n"/>
      <c r="F2877" s="47" t="n"/>
      <c r="G2877" s="47" t="n"/>
      <c r="H2877" s="47" t="n"/>
      <c r="I2877" s="47" t="n"/>
      <c r="J2877" s="47" t="n"/>
      <c r="K2877" s="47" t="n"/>
      <c r="L2877" s="47" t="n"/>
      <c r="M2877" s="47" t="n"/>
      <c r="N2877" s="47" t="n"/>
      <c r="O2877" s="47" t="n"/>
      <c r="P2877" s="47" t="n"/>
      <c r="Q2877" s="47" t="n"/>
      <c r="R2877" s="47" t="n"/>
      <c r="S2877" s="47" t="n"/>
      <c r="T2877" s="47" t="n"/>
      <c r="U2877" s="53" t="n"/>
      <c r="V2877" s="53" t="n"/>
      <c r="W2877" s="47" t="n"/>
      <c r="X2877" s="47" t="n"/>
      <c r="Y2877" s="47" t="n"/>
      <c r="Z2877" s="47" t="n"/>
      <c r="AA2877" s="47" t="n"/>
      <c r="AB2877" s="47" t="n"/>
      <c r="AC2877" s="47" t="n"/>
      <c r="AD2877" s="47" t="n"/>
      <c r="AE2877" s="47" t="n"/>
      <c r="AF2877" s="20">
        <f>IF(A2877="","",YEAR(EDATE(A2877,-3)))</f>
        <v/>
      </c>
      <c r="AG2877" s="20">
        <f>IF(OR(B2877="",'経歴簿'!$C$4=""),"",IF(B2877&amp;""='経歴簿'!$C$4&amp;"",MAX($AG$4:AG2876)+1,""))</f>
        <v/>
      </c>
      <c r="AH2877" s="20">
        <f>IF(A2877="",0,IF(AND(OR('CSV抽出'!$C$4="",A2877&gt;='CSV抽出'!$C$4),OR('CSV抽出'!$C$5="",A2877&lt;='CSV抽出'!$C$5),OR('CSV抽出'!$C$6="すべて",'CSV抽出'!$C$6="",D2877='CSV抽出'!$C$6),OR('CSV抽出'!$C$7="",B2877&amp;""='CSV抽出'!$C$7&amp;"")),1,0))</f>
        <v/>
      </c>
      <c r="AI2877" s="20">
        <f>IF(AH2877=1,SUM($AH$5:AH2877),"")</f>
        <v/>
      </c>
      <c r="AJ2877" s="20">
        <f>IF(OR(S2877="",'報告書'!$C$4=""),"",IF(S2877&amp;""='報告書'!$C$4&amp;"",COUNTIF($S$5:S2877,'報告書'!$C$4),""))</f>
        <v/>
      </c>
      <c r="AK2877" s="20" t="n"/>
      <c r="AL2877" s="47" t="n"/>
      <c r="AM2877" s="47" t="n"/>
      <c r="AN2877" s="53" t="n"/>
      <c r="AO2877" s="47" t="n"/>
      <c r="AP2877" s="47" t="n"/>
      <c r="AQ2877" s="47" t="n"/>
      <c r="AR2877" s="47" t="n"/>
      <c r="AS2877" s="47" t="n"/>
      <c r="AT2877" s="47" t="n"/>
      <c r="AU2877" s="47" t="n"/>
      <c r="AV2877" s="47" t="n"/>
      <c r="AW2877" s="52" t="n"/>
    </row>
    <row r="2878">
      <c r="A2878" s="48" t="n"/>
      <c r="B2878" s="52" t="n"/>
      <c r="C2878" s="47">
        <f>IF(B2878="","",IFERROR(INDEX('隊員マスタ'!$B$5:$B$204,MATCH(B2878&amp;"",'隊員マスタ'!$F$5:$F$204,0)),IF(AK2878="","番号なし",AK2878)))</f>
        <v/>
      </c>
      <c r="D2878" s="47" t="n"/>
      <c r="E2878" s="47" t="n"/>
      <c r="F2878" s="47" t="n"/>
      <c r="G2878" s="47" t="n"/>
      <c r="H2878" s="47" t="n"/>
      <c r="I2878" s="47" t="n"/>
      <c r="J2878" s="47" t="n"/>
      <c r="K2878" s="47" t="n"/>
      <c r="L2878" s="47" t="n"/>
      <c r="M2878" s="47" t="n"/>
      <c r="N2878" s="47" t="n"/>
      <c r="O2878" s="47" t="n"/>
      <c r="P2878" s="47" t="n"/>
      <c r="Q2878" s="47" t="n"/>
      <c r="R2878" s="47" t="n"/>
      <c r="S2878" s="47" t="n"/>
      <c r="T2878" s="47" t="n"/>
      <c r="U2878" s="53" t="n"/>
      <c r="V2878" s="53" t="n"/>
      <c r="W2878" s="47" t="n"/>
      <c r="X2878" s="47" t="n"/>
      <c r="Y2878" s="47" t="n"/>
      <c r="Z2878" s="47" t="n"/>
      <c r="AA2878" s="47" t="n"/>
      <c r="AB2878" s="47" t="n"/>
      <c r="AC2878" s="47" t="n"/>
      <c r="AD2878" s="47" t="n"/>
      <c r="AE2878" s="47" t="n"/>
      <c r="AF2878" s="20">
        <f>IF(A2878="","",YEAR(EDATE(A2878,-3)))</f>
        <v/>
      </c>
      <c r="AG2878" s="20">
        <f>IF(OR(B2878="",'経歴簿'!$C$4=""),"",IF(B2878&amp;""='経歴簿'!$C$4&amp;"",MAX($AG$4:AG2877)+1,""))</f>
        <v/>
      </c>
      <c r="AH2878" s="20">
        <f>IF(A2878="",0,IF(AND(OR('CSV抽出'!$C$4="",A2878&gt;='CSV抽出'!$C$4),OR('CSV抽出'!$C$5="",A2878&lt;='CSV抽出'!$C$5),OR('CSV抽出'!$C$6="すべて",'CSV抽出'!$C$6="",D2878='CSV抽出'!$C$6),OR('CSV抽出'!$C$7="",B2878&amp;""='CSV抽出'!$C$7&amp;"")),1,0))</f>
        <v/>
      </c>
      <c r="AI2878" s="20">
        <f>IF(AH2878=1,SUM($AH$5:AH2878),"")</f>
        <v/>
      </c>
      <c r="AJ2878" s="20">
        <f>IF(OR(S2878="",'報告書'!$C$4=""),"",IF(S2878&amp;""='報告書'!$C$4&amp;"",COUNTIF($S$5:S2878,'報告書'!$C$4),""))</f>
        <v/>
      </c>
      <c r="AK2878" s="20" t="n"/>
      <c r="AL2878" s="47" t="n"/>
      <c r="AM2878" s="47" t="n"/>
      <c r="AN2878" s="53" t="n"/>
      <c r="AO2878" s="47" t="n"/>
      <c r="AP2878" s="47" t="n"/>
      <c r="AQ2878" s="47" t="n"/>
      <c r="AR2878" s="47" t="n"/>
      <c r="AS2878" s="47" t="n"/>
      <c r="AT2878" s="47" t="n"/>
      <c r="AU2878" s="47" t="n"/>
      <c r="AV2878" s="47" t="n"/>
      <c r="AW2878" s="52" t="n"/>
    </row>
    <row r="2879">
      <c r="A2879" s="48" t="n"/>
      <c r="B2879" s="52" t="n"/>
      <c r="C2879" s="47">
        <f>IF(B2879="","",IFERROR(INDEX('隊員マスタ'!$B$5:$B$204,MATCH(B2879&amp;"",'隊員マスタ'!$F$5:$F$204,0)),IF(AK2879="","番号なし",AK2879)))</f>
        <v/>
      </c>
      <c r="D2879" s="47" t="n"/>
      <c r="E2879" s="47" t="n"/>
      <c r="F2879" s="47" t="n"/>
      <c r="G2879" s="47" t="n"/>
      <c r="H2879" s="47" t="n"/>
      <c r="I2879" s="47" t="n"/>
      <c r="J2879" s="47" t="n"/>
      <c r="K2879" s="47" t="n"/>
      <c r="L2879" s="47" t="n"/>
      <c r="M2879" s="47" t="n"/>
      <c r="N2879" s="47" t="n"/>
      <c r="O2879" s="47" t="n"/>
      <c r="P2879" s="47" t="n"/>
      <c r="Q2879" s="47" t="n"/>
      <c r="R2879" s="47" t="n"/>
      <c r="S2879" s="47" t="n"/>
      <c r="T2879" s="47" t="n"/>
      <c r="U2879" s="53" t="n"/>
      <c r="V2879" s="53" t="n"/>
      <c r="W2879" s="47" t="n"/>
      <c r="X2879" s="47" t="n"/>
      <c r="Y2879" s="47" t="n"/>
      <c r="Z2879" s="47" t="n"/>
      <c r="AA2879" s="47" t="n"/>
      <c r="AB2879" s="47" t="n"/>
      <c r="AC2879" s="47" t="n"/>
      <c r="AD2879" s="47" t="n"/>
      <c r="AE2879" s="47" t="n"/>
      <c r="AF2879" s="20">
        <f>IF(A2879="","",YEAR(EDATE(A2879,-3)))</f>
        <v/>
      </c>
      <c r="AG2879" s="20">
        <f>IF(OR(B2879="",'経歴簿'!$C$4=""),"",IF(B2879&amp;""='経歴簿'!$C$4&amp;"",MAX($AG$4:AG2878)+1,""))</f>
        <v/>
      </c>
      <c r="AH2879" s="20">
        <f>IF(A2879="",0,IF(AND(OR('CSV抽出'!$C$4="",A2879&gt;='CSV抽出'!$C$4),OR('CSV抽出'!$C$5="",A2879&lt;='CSV抽出'!$C$5),OR('CSV抽出'!$C$6="すべて",'CSV抽出'!$C$6="",D2879='CSV抽出'!$C$6),OR('CSV抽出'!$C$7="",B2879&amp;""='CSV抽出'!$C$7&amp;"")),1,0))</f>
        <v/>
      </c>
      <c r="AI2879" s="20">
        <f>IF(AH2879=1,SUM($AH$5:AH2879),"")</f>
        <v/>
      </c>
      <c r="AJ2879" s="20">
        <f>IF(OR(S2879="",'報告書'!$C$4=""),"",IF(S2879&amp;""='報告書'!$C$4&amp;"",COUNTIF($S$5:S2879,'報告書'!$C$4),""))</f>
        <v/>
      </c>
      <c r="AK2879" s="20" t="n"/>
      <c r="AL2879" s="47" t="n"/>
      <c r="AM2879" s="47" t="n"/>
      <c r="AN2879" s="53" t="n"/>
      <c r="AO2879" s="47" t="n"/>
      <c r="AP2879" s="47" t="n"/>
      <c r="AQ2879" s="47" t="n"/>
      <c r="AR2879" s="47" t="n"/>
      <c r="AS2879" s="47" t="n"/>
      <c r="AT2879" s="47" t="n"/>
      <c r="AU2879" s="47" t="n"/>
      <c r="AV2879" s="47" t="n"/>
      <c r="AW2879" s="52" t="n"/>
    </row>
    <row r="2880">
      <c r="A2880" s="48" t="n"/>
      <c r="B2880" s="52" t="n"/>
      <c r="C2880" s="47">
        <f>IF(B2880="","",IFERROR(INDEX('隊員マスタ'!$B$5:$B$204,MATCH(B2880&amp;"",'隊員マスタ'!$F$5:$F$204,0)),IF(AK2880="","番号なし",AK2880)))</f>
        <v/>
      </c>
      <c r="D2880" s="47" t="n"/>
      <c r="E2880" s="47" t="n"/>
      <c r="F2880" s="47" t="n"/>
      <c r="G2880" s="47" t="n"/>
      <c r="H2880" s="47" t="n"/>
      <c r="I2880" s="47" t="n"/>
      <c r="J2880" s="47" t="n"/>
      <c r="K2880" s="47" t="n"/>
      <c r="L2880" s="47" t="n"/>
      <c r="M2880" s="47" t="n"/>
      <c r="N2880" s="47" t="n"/>
      <c r="O2880" s="47" t="n"/>
      <c r="P2880" s="47" t="n"/>
      <c r="Q2880" s="47" t="n"/>
      <c r="R2880" s="47" t="n"/>
      <c r="S2880" s="47" t="n"/>
      <c r="T2880" s="47" t="n"/>
      <c r="U2880" s="53" t="n"/>
      <c r="V2880" s="53" t="n"/>
      <c r="W2880" s="47" t="n"/>
      <c r="X2880" s="47" t="n"/>
      <c r="Y2880" s="47" t="n"/>
      <c r="Z2880" s="47" t="n"/>
      <c r="AA2880" s="47" t="n"/>
      <c r="AB2880" s="47" t="n"/>
      <c r="AC2880" s="47" t="n"/>
      <c r="AD2880" s="47" t="n"/>
      <c r="AE2880" s="47" t="n"/>
      <c r="AF2880" s="20">
        <f>IF(A2880="","",YEAR(EDATE(A2880,-3)))</f>
        <v/>
      </c>
      <c r="AG2880" s="20">
        <f>IF(OR(B2880="",'経歴簿'!$C$4=""),"",IF(B2880&amp;""='経歴簿'!$C$4&amp;"",MAX($AG$4:AG2879)+1,""))</f>
        <v/>
      </c>
      <c r="AH2880" s="20">
        <f>IF(A2880="",0,IF(AND(OR('CSV抽出'!$C$4="",A2880&gt;='CSV抽出'!$C$4),OR('CSV抽出'!$C$5="",A2880&lt;='CSV抽出'!$C$5),OR('CSV抽出'!$C$6="すべて",'CSV抽出'!$C$6="",D2880='CSV抽出'!$C$6),OR('CSV抽出'!$C$7="",B2880&amp;""='CSV抽出'!$C$7&amp;"")),1,0))</f>
        <v/>
      </c>
      <c r="AI2880" s="20">
        <f>IF(AH2880=1,SUM($AH$5:AH2880),"")</f>
        <v/>
      </c>
      <c r="AJ2880" s="20">
        <f>IF(OR(S2880="",'報告書'!$C$4=""),"",IF(S2880&amp;""='報告書'!$C$4&amp;"",COUNTIF($S$5:S2880,'報告書'!$C$4),""))</f>
        <v/>
      </c>
      <c r="AK2880" s="20" t="n"/>
      <c r="AL2880" s="47" t="n"/>
      <c r="AM2880" s="47" t="n"/>
      <c r="AN2880" s="53" t="n"/>
      <c r="AO2880" s="47" t="n"/>
      <c r="AP2880" s="47" t="n"/>
      <c r="AQ2880" s="47" t="n"/>
      <c r="AR2880" s="47" t="n"/>
      <c r="AS2880" s="47" t="n"/>
      <c r="AT2880" s="47" t="n"/>
      <c r="AU2880" s="47" t="n"/>
      <c r="AV2880" s="47" t="n"/>
      <c r="AW2880" s="52" t="n"/>
    </row>
    <row r="2881">
      <c r="A2881" s="48" t="n"/>
      <c r="B2881" s="52" t="n"/>
      <c r="C2881" s="47">
        <f>IF(B2881="","",IFERROR(INDEX('隊員マスタ'!$B$5:$B$204,MATCH(B2881&amp;"",'隊員マスタ'!$F$5:$F$204,0)),IF(AK2881="","番号なし",AK2881)))</f>
        <v/>
      </c>
      <c r="D2881" s="47" t="n"/>
      <c r="E2881" s="47" t="n"/>
      <c r="F2881" s="47" t="n"/>
      <c r="G2881" s="47" t="n"/>
      <c r="H2881" s="47" t="n"/>
      <c r="I2881" s="47" t="n"/>
      <c r="J2881" s="47" t="n"/>
      <c r="K2881" s="47" t="n"/>
      <c r="L2881" s="47" t="n"/>
      <c r="M2881" s="47" t="n"/>
      <c r="N2881" s="47" t="n"/>
      <c r="O2881" s="47" t="n"/>
      <c r="P2881" s="47" t="n"/>
      <c r="Q2881" s="47" t="n"/>
      <c r="R2881" s="47" t="n"/>
      <c r="S2881" s="47" t="n"/>
      <c r="T2881" s="47" t="n"/>
      <c r="U2881" s="53" t="n"/>
      <c r="V2881" s="53" t="n"/>
      <c r="W2881" s="47" t="n"/>
      <c r="X2881" s="47" t="n"/>
      <c r="Y2881" s="47" t="n"/>
      <c r="Z2881" s="47" t="n"/>
      <c r="AA2881" s="47" t="n"/>
      <c r="AB2881" s="47" t="n"/>
      <c r="AC2881" s="47" t="n"/>
      <c r="AD2881" s="47" t="n"/>
      <c r="AE2881" s="47" t="n"/>
      <c r="AF2881" s="20">
        <f>IF(A2881="","",YEAR(EDATE(A2881,-3)))</f>
        <v/>
      </c>
      <c r="AG2881" s="20">
        <f>IF(OR(B2881="",'経歴簿'!$C$4=""),"",IF(B2881&amp;""='経歴簿'!$C$4&amp;"",MAX($AG$4:AG2880)+1,""))</f>
        <v/>
      </c>
      <c r="AH2881" s="20">
        <f>IF(A2881="",0,IF(AND(OR('CSV抽出'!$C$4="",A2881&gt;='CSV抽出'!$C$4),OR('CSV抽出'!$C$5="",A2881&lt;='CSV抽出'!$C$5),OR('CSV抽出'!$C$6="すべて",'CSV抽出'!$C$6="",D2881='CSV抽出'!$C$6),OR('CSV抽出'!$C$7="",B2881&amp;""='CSV抽出'!$C$7&amp;"")),1,0))</f>
        <v/>
      </c>
      <c r="AI2881" s="20">
        <f>IF(AH2881=1,SUM($AH$5:AH2881),"")</f>
        <v/>
      </c>
      <c r="AJ2881" s="20">
        <f>IF(OR(S2881="",'報告書'!$C$4=""),"",IF(S2881&amp;""='報告書'!$C$4&amp;"",COUNTIF($S$5:S2881,'報告書'!$C$4),""))</f>
        <v/>
      </c>
      <c r="AK2881" s="20" t="n"/>
      <c r="AL2881" s="47" t="n"/>
      <c r="AM2881" s="47" t="n"/>
      <c r="AN2881" s="53" t="n"/>
      <c r="AO2881" s="47" t="n"/>
      <c r="AP2881" s="47" t="n"/>
      <c r="AQ2881" s="47" t="n"/>
      <c r="AR2881" s="47" t="n"/>
      <c r="AS2881" s="47" t="n"/>
      <c r="AT2881" s="47" t="n"/>
      <c r="AU2881" s="47" t="n"/>
      <c r="AV2881" s="47" t="n"/>
      <c r="AW2881" s="52" t="n"/>
    </row>
    <row r="2882">
      <c r="A2882" s="48" t="n"/>
      <c r="B2882" s="52" t="n"/>
      <c r="C2882" s="47">
        <f>IF(B2882="","",IFERROR(INDEX('隊員マスタ'!$B$5:$B$204,MATCH(B2882&amp;"",'隊員マスタ'!$F$5:$F$204,0)),IF(AK2882="","番号なし",AK2882)))</f>
        <v/>
      </c>
      <c r="D2882" s="47" t="n"/>
      <c r="E2882" s="47" t="n"/>
      <c r="F2882" s="47" t="n"/>
      <c r="G2882" s="47" t="n"/>
      <c r="H2882" s="47" t="n"/>
      <c r="I2882" s="47" t="n"/>
      <c r="J2882" s="47" t="n"/>
      <c r="K2882" s="47" t="n"/>
      <c r="L2882" s="47" t="n"/>
      <c r="M2882" s="47" t="n"/>
      <c r="N2882" s="47" t="n"/>
      <c r="O2882" s="47" t="n"/>
      <c r="P2882" s="47" t="n"/>
      <c r="Q2882" s="47" t="n"/>
      <c r="R2882" s="47" t="n"/>
      <c r="S2882" s="47" t="n"/>
      <c r="T2882" s="47" t="n"/>
      <c r="U2882" s="53" t="n"/>
      <c r="V2882" s="53" t="n"/>
      <c r="W2882" s="47" t="n"/>
      <c r="X2882" s="47" t="n"/>
      <c r="Y2882" s="47" t="n"/>
      <c r="Z2882" s="47" t="n"/>
      <c r="AA2882" s="47" t="n"/>
      <c r="AB2882" s="47" t="n"/>
      <c r="AC2882" s="47" t="n"/>
      <c r="AD2882" s="47" t="n"/>
      <c r="AE2882" s="47" t="n"/>
      <c r="AF2882" s="20">
        <f>IF(A2882="","",YEAR(EDATE(A2882,-3)))</f>
        <v/>
      </c>
      <c r="AG2882" s="20">
        <f>IF(OR(B2882="",'経歴簿'!$C$4=""),"",IF(B2882&amp;""='経歴簿'!$C$4&amp;"",MAX($AG$4:AG2881)+1,""))</f>
        <v/>
      </c>
      <c r="AH2882" s="20">
        <f>IF(A2882="",0,IF(AND(OR('CSV抽出'!$C$4="",A2882&gt;='CSV抽出'!$C$4),OR('CSV抽出'!$C$5="",A2882&lt;='CSV抽出'!$C$5),OR('CSV抽出'!$C$6="すべて",'CSV抽出'!$C$6="",D2882='CSV抽出'!$C$6),OR('CSV抽出'!$C$7="",B2882&amp;""='CSV抽出'!$C$7&amp;"")),1,0))</f>
        <v/>
      </c>
      <c r="AI2882" s="20">
        <f>IF(AH2882=1,SUM($AH$5:AH2882),"")</f>
        <v/>
      </c>
      <c r="AJ2882" s="20">
        <f>IF(OR(S2882="",'報告書'!$C$4=""),"",IF(S2882&amp;""='報告書'!$C$4&amp;"",COUNTIF($S$5:S2882,'報告書'!$C$4),""))</f>
        <v/>
      </c>
      <c r="AK2882" s="20" t="n"/>
      <c r="AL2882" s="47" t="n"/>
      <c r="AM2882" s="47" t="n"/>
      <c r="AN2882" s="53" t="n"/>
      <c r="AO2882" s="47" t="n"/>
      <c r="AP2882" s="47" t="n"/>
      <c r="AQ2882" s="47" t="n"/>
      <c r="AR2882" s="47" t="n"/>
      <c r="AS2882" s="47" t="n"/>
      <c r="AT2882" s="47" t="n"/>
      <c r="AU2882" s="47" t="n"/>
      <c r="AV2882" s="47" t="n"/>
      <c r="AW2882" s="52" t="n"/>
    </row>
    <row r="2883">
      <c r="A2883" s="48" t="n"/>
      <c r="B2883" s="52" t="n"/>
      <c r="C2883" s="47">
        <f>IF(B2883="","",IFERROR(INDEX('隊員マスタ'!$B$5:$B$204,MATCH(B2883&amp;"",'隊員マスタ'!$F$5:$F$204,0)),IF(AK2883="","番号なし",AK2883)))</f>
        <v/>
      </c>
      <c r="D2883" s="47" t="n"/>
      <c r="E2883" s="47" t="n"/>
      <c r="F2883" s="47" t="n"/>
      <c r="G2883" s="47" t="n"/>
      <c r="H2883" s="47" t="n"/>
      <c r="I2883" s="47" t="n"/>
      <c r="J2883" s="47" t="n"/>
      <c r="K2883" s="47" t="n"/>
      <c r="L2883" s="47" t="n"/>
      <c r="M2883" s="47" t="n"/>
      <c r="N2883" s="47" t="n"/>
      <c r="O2883" s="47" t="n"/>
      <c r="P2883" s="47" t="n"/>
      <c r="Q2883" s="47" t="n"/>
      <c r="R2883" s="47" t="n"/>
      <c r="S2883" s="47" t="n"/>
      <c r="T2883" s="47" t="n"/>
      <c r="U2883" s="53" t="n"/>
      <c r="V2883" s="53" t="n"/>
      <c r="W2883" s="47" t="n"/>
      <c r="X2883" s="47" t="n"/>
      <c r="Y2883" s="47" t="n"/>
      <c r="Z2883" s="47" t="n"/>
      <c r="AA2883" s="47" t="n"/>
      <c r="AB2883" s="47" t="n"/>
      <c r="AC2883" s="47" t="n"/>
      <c r="AD2883" s="47" t="n"/>
      <c r="AE2883" s="47" t="n"/>
      <c r="AF2883" s="20">
        <f>IF(A2883="","",YEAR(EDATE(A2883,-3)))</f>
        <v/>
      </c>
      <c r="AG2883" s="20">
        <f>IF(OR(B2883="",'経歴簿'!$C$4=""),"",IF(B2883&amp;""='経歴簿'!$C$4&amp;"",MAX($AG$4:AG2882)+1,""))</f>
        <v/>
      </c>
      <c r="AH2883" s="20">
        <f>IF(A2883="",0,IF(AND(OR('CSV抽出'!$C$4="",A2883&gt;='CSV抽出'!$C$4),OR('CSV抽出'!$C$5="",A2883&lt;='CSV抽出'!$C$5),OR('CSV抽出'!$C$6="すべて",'CSV抽出'!$C$6="",D2883='CSV抽出'!$C$6),OR('CSV抽出'!$C$7="",B2883&amp;""='CSV抽出'!$C$7&amp;"")),1,0))</f>
        <v/>
      </c>
      <c r="AI2883" s="20">
        <f>IF(AH2883=1,SUM($AH$5:AH2883),"")</f>
        <v/>
      </c>
      <c r="AJ2883" s="20">
        <f>IF(OR(S2883="",'報告書'!$C$4=""),"",IF(S2883&amp;""='報告書'!$C$4&amp;"",COUNTIF($S$5:S2883,'報告書'!$C$4),""))</f>
        <v/>
      </c>
      <c r="AK2883" s="20" t="n"/>
      <c r="AL2883" s="47" t="n"/>
      <c r="AM2883" s="47" t="n"/>
      <c r="AN2883" s="53" t="n"/>
      <c r="AO2883" s="47" t="n"/>
      <c r="AP2883" s="47" t="n"/>
      <c r="AQ2883" s="47" t="n"/>
      <c r="AR2883" s="47" t="n"/>
      <c r="AS2883" s="47" t="n"/>
      <c r="AT2883" s="47" t="n"/>
      <c r="AU2883" s="47" t="n"/>
      <c r="AV2883" s="47" t="n"/>
      <c r="AW2883" s="52" t="n"/>
    </row>
    <row r="2884">
      <c r="A2884" s="48" t="n"/>
      <c r="B2884" s="52" t="n"/>
      <c r="C2884" s="47">
        <f>IF(B2884="","",IFERROR(INDEX('隊員マスタ'!$B$5:$B$204,MATCH(B2884&amp;"",'隊員マスタ'!$F$5:$F$204,0)),IF(AK2884="","番号なし",AK2884)))</f>
        <v/>
      </c>
      <c r="D2884" s="47" t="n"/>
      <c r="E2884" s="47" t="n"/>
      <c r="F2884" s="47" t="n"/>
      <c r="G2884" s="47" t="n"/>
      <c r="H2884" s="47" t="n"/>
      <c r="I2884" s="47" t="n"/>
      <c r="J2884" s="47" t="n"/>
      <c r="K2884" s="47" t="n"/>
      <c r="L2884" s="47" t="n"/>
      <c r="M2884" s="47" t="n"/>
      <c r="N2884" s="47" t="n"/>
      <c r="O2884" s="47" t="n"/>
      <c r="P2884" s="47" t="n"/>
      <c r="Q2884" s="47" t="n"/>
      <c r="R2884" s="47" t="n"/>
      <c r="S2884" s="47" t="n"/>
      <c r="T2884" s="47" t="n"/>
      <c r="U2884" s="53" t="n"/>
      <c r="V2884" s="53" t="n"/>
      <c r="W2884" s="47" t="n"/>
      <c r="X2884" s="47" t="n"/>
      <c r="Y2884" s="47" t="n"/>
      <c r="Z2884" s="47" t="n"/>
      <c r="AA2884" s="47" t="n"/>
      <c r="AB2884" s="47" t="n"/>
      <c r="AC2884" s="47" t="n"/>
      <c r="AD2884" s="47" t="n"/>
      <c r="AE2884" s="47" t="n"/>
      <c r="AF2884" s="20">
        <f>IF(A2884="","",YEAR(EDATE(A2884,-3)))</f>
        <v/>
      </c>
      <c r="AG2884" s="20">
        <f>IF(OR(B2884="",'経歴簿'!$C$4=""),"",IF(B2884&amp;""='経歴簿'!$C$4&amp;"",MAX($AG$4:AG2883)+1,""))</f>
        <v/>
      </c>
      <c r="AH2884" s="20">
        <f>IF(A2884="",0,IF(AND(OR('CSV抽出'!$C$4="",A2884&gt;='CSV抽出'!$C$4),OR('CSV抽出'!$C$5="",A2884&lt;='CSV抽出'!$C$5),OR('CSV抽出'!$C$6="すべて",'CSV抽出'!$C$6="",D2884='CSV抽出'!$C$6),OR('CSV抽出'!$C$7="",B2884&amp;""='CSV抽出'!$C$7&amp;"")),1,0))</f>
        <v/>
      </c>
      <c r="AI2884" s="20">
        <f>IF(AH2884=1,SUM($AH$5:AH2884),"")</f>
        <v/>
      </c>
      <c r="AJ2884" s="20">
        <f>IF(OR(S2884="",'報告書'!$C$4=""),"",IF(S2884&amp;""='報告書'!$C$4&amp;"",COUNTIF($S$5:S2884,'報告書'!$C$4),""))</f>
        <v/>
      </c>
      <c r="AK2884" s="20" t="n"/>
      <c r="AL2884" s="47" t="n"/>
      <c r="AM2884" s="47" t="n"/>
      <c r="AN2884" s="53" t="n"/>
      <c r="AO2884" s="47" t="n"/>
      <c r="AP2884" s="47" t="n"/>
      <c r="AQ2884" s="47" t="n"/>
      <c r="AR2884" s="47" t="n"/>
      <c r="AS2884" s="47" t="n"/>
      <c r="AT2884" s="47" t="n"/>
      <c r="AU2884" s="47" t="n"/>
      <c r="AV2884" s="47" t="n"/>
      <c r="AW2884" s="52" t="n"/>
    </row>
    <row r="2885">
      <c r="A2885" s="48" t="n"/>
      <c r="B2885" s="52" t="n"/>
      <c r="C2885" s="47">
        <f>IF(B2885="","",IFERROR(INDEX('隊員マスタ'!$B$5:$B$204,MATCH(B2885&amp;"",'隊員マスタ'!$F$5:$F$204,0)),IF(AK2885="","番号なし",AK2885)))</f>
        <v/>
      </c>
      <c r="D2885" s="47" t="n"/>
      <c r="E2885" s="47" t="n"/>
      <c r="F2885" s="47" t="n"/>
      <c r="G2885" s="47" t="n"/>
      <c r="H2885" s="47" t="n"/>
      <c r="I2885" s="47" t="n"/>
      <c r="J2885" s="47" t="n"/>
      <c r="K2885" s="47" t="n"/>
      <c r="L2885" s="47" t="n"/>
      <c r="M2885" s="47" t="n"/>
      <c r="N2885" s="47" t="n"/>
      <c r="O2885" s="47" t="n"/>
      <c r="P2885" s="47" t="n"/>
      <c r="Q2885" s="47" t="n"/>
      <c r="R2885" s="47" t="n"/>
      <c r="S2885" s="47" t="n"/>
      <c r="T2885" s="47" t="n"/>
      <c r="U2885" s="53" t="n"/>
      <c r="V2885" s="53" t="n"/>
      <c r="W2885" s="47" t="n"/>
      <c r="X2885" s="47" t="n"/>
      <c r="Y2885" s="47" t="n"/>
      <c r="Z2885" s="47" t="n"/>
      <c r="AA2885" s="47" t="n"/>
      <c r="AB2885" s="47" t="n"/>
      <c r="AC2885" s="47" t="n"/>
      <c r="AD2885" s="47" t="n"/>
      <c r="AE2885" s="47" t="n"/>
      <c r="AF2885" s="20">
        <f>IF(A2885="","",YEAR(EDATE(A2885,-3)))</f>
        <v/>
      </c>
      <c r="AG2885" s="20">
        <f>IF(OR(B2885="",'経歴簿'!$C$4=""),"",IF(B2885&amp;""='経歴簿'!$C$4&amp;"",MAX($AG$4:AG2884)+1,""))</f>
        <v/>
      </c>
      <c r="AH2885" s="20">
        <f>IF(A2885="",0,IF(AND(OR('CSV抽出'!$C$4="",A2885&gt;='CSV抽出'!$C$4),OR('CSV抽出'!$C$5="",A2885&lt;='CSV抽出'!$C$5),OR('CSV抽出'!$C$6="すべて",'CSV抽出'!$C$6="",D2885='CSV抽出'!$C$6),OR('CSV抽出'!$C$7="",B2885&amp;""='CSV抽出'!$C$7&amp;"")),1,0))</f>
        <v/>
      </c>
      <c r="AI2885" s="20">
        <f>IF(AH2885=1,SUM($AH$5:AH2885),"")</f>
        <v/>
      </c>
      <c r="AJ2885" s="20">
        <f>IF(OR(S2885="",'報告書'!$C$4=""),"",IF(S2885&amp;""='報告書'!$C$4&amp;"",COUNTIF($S$5:S2885,'報告書'!$C$4),""))</f>
        <v/>
      </c>
      <c r="AK2885" s="20" t="n"/>
      <c r="AL2885" s="47" t="n"/>
      <c r="AM2885" s="47" t="n"/>
      <c r="AN2885" s="53" t="n"/>
      <c r="AO2885" s="47" t="n"/>
      <c r="AP2885" s="47" t="n"/>
      <c r="AQ2885" s="47" t="n"/>
      <c r="AR2885" s="47" t="n"/>
      <c r="AS2885" s="47" t="n"/>
      <c r="AT2885" s="47" t="n"/>
      <c r="AU2885" s="47" t="n"/>
      <c r="AV2885" s="47" t="n"/>
      <c r="AW2885" s="52" t="n"/>
    </row>
    <row r="2886">
      <c r="A2886" s="48" t="n"/>
      <c r="B2886" s="52" t="n"/>
      <c r="C2886" s="47">
        <f>IF(B2886="","",IFERROR(INDEX('隊員マスタ'!$B$5:$B$204,MATCH(B2886&amp;"",'隊員マスタ'!$F$5:$F$204,0)),IF(AK2886="","番号なし",AK2886)))</f>
        <v/>
      </c>
      <c r="D2886" s="47" t="n"/>
      <c r="E2886" s="47" t="n"/>
      <c r="F2886" s="47" t="n"/>
      <c r="G2886" s="47" t="n"/>
      <c r="H2886" s="47" t="n"/>
      <c r="I2886" s="47" t="n"/>
      <c r="J2886" s="47" t="n"/>
      <c r="K2886" s="47" t="n"/>
      <c r="L2886" s="47" t="n"/>
      <c r="M2886" s="47" t="n"/>
      <c r="N2886" s="47" t="n"/>
      <c r="O2886" s="47" t="n"/>
      <c r="P2886" s="47" t="n"/>
      <c r="Q2886" s="47" t="n"/>
      <c r="R2886" s="47" t="n"/>
      <c r="S2886" s="47" t="n"/>
      <c r="T2886" s="47" t="n"/>
      <c r="U2886" s="53" t="n"/>
      <c r="V2886" s="53" t="n"/>
      <c r="W2886" s="47" t="n"/>
      <c r="X2886" s="47" t="n"/>
      <c r="Y2886" s="47" t="n"/>
      <c r="Z2886" s="47" t="n"/>
      <c r="AA2886" s="47" t="n"/>
      <c r="AB2886" s="47" t="n"/>
      <c r="AC2886" s="47" t="n"/>
      <c r="AD2886" s="47" t="n"/>
      <c r="AE2886" s="47" t="n"/>
      <c r="AF2886" s="20">
        <f>IF(A2886="","",YEAR(EDATE(A2886,-3)))</f>
        <v/>
      </c>
      <c r="AG2886" s="20">
        <f>IF(OR(B2886="",'経歴簿'!$C$4=""),"",IF(B2886&amp;""='経歴簿'!$C$4&amp;"",MAX($AG$4:AG2885)+1,""))</f>
        <v/>
      </c>
      <c r="AH2886" s="20">
        <f>IF(A2886="",0,IF(AND(OR('CSV抽出'!$C$4="",A2886&gt;='CSV抽出'!$C$4),OR('CSV抽出'!$C$5="",A2886&lt;='CSV抽出'!$C$5),OR('CSV抽出'!$C$6="すべて",'CSV抽出'!$C$6="",D2886='CSV抽出'!$C$6),OR('CSV抽出'!$C$7="",B2886&amp;""='CSV抽出'!$C$7&amp;"")),1,0))</f>
        <v/>
      </c>
      <c r="AI2886" s="20">
        <f>IF(AH2886=1,SUM($AH$5:AH2886),"")</f>
        <v/>
      </c>
      <c r="AJ2886" s="20">
        <f>IF(OR(S2886="",'報告書'!$C$4=""),"",IF(S2886&amp;""='報告書'!$C$4&amp;"",COUNTIF($S$5:S2886,'報告書'!$C$4),""))</f>
        <v/>
      </c>
      <c r="AK2886" s="20" t="n"/>
      <c r="AL2886" s="47" t="n"/>
      <c r="AM2886" s="47" t="n"/>
      <c r="AN2886" s="53" t="n"/>
      <c r="AO2886" s="47" t="n"/>
      <c r="AP2886" s="47" t="n"/>
      <c r="AQ2886" s="47" t="n"/>
      <c r="AR2886" s="47" t="n"/>
      <c r="AS2886" s="47" t="n"/>
      <c r="AT2886" s="47" t="n"/>
      <c r="AU2886" s="47" t="n"/>
      <c r="AV2886" s="47" t="n"/>
      <c r="AW2886" s="52" t="n"/>
    </row>
    <row r="2887">
      <c r="A2887" s="48" t="n"/>
      <c r="B2887" s="52" t="n"/>
      <c r="C2887" s="47">
        <f>IF(B2887="","",IFERROR(INDEX('隊員マスタ'!$B$5:$B$204,MATCH(B2887&amp;"",'隊員マスタ'!$F$5:$F$204,0)),IF(AK2887="","番号なし",AK2887)))</f>
        <v/>
      </c>
      <c r="D2887" s="47" t="n"/>
      <c r="E2887" s="47" t="n"/>
      <c r="F2887" s="47" t="n"/>
      <c r="G2887" s="47" t="n"/>
      <c r="H2887" s="47" t="n"/>
      <c r="I2887" s="47" t="n"/>
      <c r="J2887" s="47" t="n"/>
      <c r="K2887" s="47" t="n"/>
      <c r="L2887" s="47" t="n"/>
      <c r="M2887" s="47" t="n"/>
      <c r="N2887" s="47" t="n"/>
      <c r="O2887" s="47" t="n"/>
      <c r="P2887" s="47" t="n"/>
      <c r="Q2887" s="47" t="n"/>
      <c r="R2887" s="47" t="n"/>
      <c r="S2887" s="47" t="n"/>
      <c r="T2887" s="47" t="n"/>
      <c r="U2887" s="53" t="n"/>
      <c r="V2887" s="53" t="n"/>
      <c r="W2887" s="47" t="n"/>
      <c r="X2887" s="47" t="n"/>
      <c r="Y2887" s="47" t="n"/>
      <c r="Z2887" s="47" t="n"/>
      <c r="AA2887" s="47" t="n"/>
      <c r="AB2887" s="47" t="n"/>
      <c r="AC2887" s="47" t="n"/>
      <c r="AD2887" s="47" t="n"/>
      <c r="AE2887" s="47" t="n"/>
      <c r="AF2887" s="20">
        <f>IF(A2887="","",YEAR(EDATE(A2887,-3)))</f>
        <v/>
      </c>
      <c r="AG2887" s="20">
        <f>IF(OR(B2887="",'経歴簿'!$C$4=""),"",IF(B2887&amp;""='経歴簿'!$C$4&amp;"",MAX($AG$4:AG2886)+1,""))</f>
        <v/>
      </c>
      <c r="AH2887" s="20">
        <f>IF(A2887="",0,IF(AND(OR('CSV抽出'!$C$4="",A2887&gt;='CSV抽出'!$C$4),OR('CSV抽出'!$C$5="",A2887&lt;='CSV抽出'!$C$5),OR('CSV抽出'!$C$6="すべて",'CSV抽出'!$C$6="",D2887='CSV抽出'!$C$6),OR('CSV抽出'!$C$7="",B2887&amp;""='CSV抽出'!$C$7&amp;"")),1,0))</f>
        <v/>
      </c>
      <c r="AI2887" s="20">
        <f>IF(AH2887=1,SUM($AH$5:AH2887),"")</f>
        <v/>
      </c>
      <c r="AJ2887" s="20">
        <f>IF(OR(S2887="",'報告書'!$C$4=""),"",IF(S2887&amp;""='報告書'!$C$4&amp;"",COUNTIF($S$5:S2887,'報告書'!$C$4),""))</f>
        <v/>
      </c>
      <c r="AK2887" s="20" t="n"/>
      <c r="AL2887" s="47" t="n"/>
      <c r="AM2887" s="47" t="n"/>
      <c r="AN2887" s="53" t="n"/>
      <c r="AO2887" s="47" t="n"/>
      <c r="AP2887" s="47" t="n"/>
      <c r="AQ2887" s="47" t="n"/>
      <c r="AR2887" s="47" t="n"/>
      <c r="AS2887" s="47" t="n"/>
      <c r="AT2887" s="47" t="n"/>
      <c r="AU2887" s="47" t="n"/>
      <c r="AV2887" s="47" t="n"/>
      <c r="AW2887" s="52" t="n"/>
    </row>
    <row r="2888">
      <c r="A2888" s="48" t="n"/>
      <c r="B2888" s="52" t="n"/>
      <c r="C2888" s="47">
        <f>IF(B2888="","",IFERROR(INDEX('隊員マスタ'!$B$5:$B$204,MATCH(B2888&amp;"",'隊員マスタ'!$F$5:$F$204,0)),IF(AK2888="","番号なし",AK2888)))</f>
        <v/>
      </c>
      <c r="D2888" s="47" t="n"/>
      <c r="E2888" s="47" t="n"/>
      <c r="F2888" s="47" t="n"/>
      <c r="G2888" s="47" t="n"/>
      <c r="H2888" s="47" t="n"/>
      <c r="I2888" s="47" t="n"/>
      <c r="J2888" s="47" t="n"/>
      <c r="K2888" s="47" t="n"/>
      <c r="L2888" s="47" t="n"/>
      <c r="M2888" s="47" t="n"/>
      <c r="N2888" s="47" t="n"/>
      <c r="O2888" s="47" t="n"/>
      <c r="P2888" s="47" t="n"/>
      <c r="Q2888" s="47" t="n"/>
      <c r="R2888" s="47" t="n"/>
      <c r="S2888" s="47" t="n"/>
      <c r="T2888" s="47" t="n"/>
      <c r="U2888" s="53" t="n"/>
      <c r="V2888" s="53" t="n"/>
      <c r="W2888" s="47" t="n"/>
      <c r="X2888" s="47" t="n"/>
      <c r="Y2888" s="47" t="n"/>
      <c r="Z2888" s="47" t="n"/>
      <c r="AA2888" s="47" t="n"/>
      <c r="AB2888" s="47" t="n"/>
      <c r="AC2888" s="47" t="n"/>
      <c r="AD2888" s="47" t="n"/>
      <c r="AE2888" s="47" t="n"/>
      <c r="AF2888" s="20">
        <f>IF(A2888="","",YEAR(EDATE(A2888,-3)))</f>
        <v/>
      </c>
      <c r="AG2888" s="20">
        <f>IF(OR(B2888="",'経歴簿'!$C$4=""),"",IF(B2888&amp;""='経歴簿'!$C$4&amp;"",MAX($AG$4:AG2887)+1,""))</f>
        <v/>
      </c>
      <c r="AH2888" s="20">
        <f>IF(A2888="",0,IF(AND(OR('CSV抽出'!$C$4="",A2888&gt;='CSV抽出'!$C$4),OR('CSV抽出'!$C$5="",A2888&lt;='CSV抽出'!$C$5),OR('CSV抽出'!$C$6="すべて",'CSV抽出'!$C$6="",D2888='CSV抽出'!$C$6),OR('CSV抽出'!$C$7="",B2888&amp;""='CSV抽出'!$C$7&amp;"")),1,0))</f>
        <v/>
      </c>
      <c r="AI2888" s="20">
        <f>IF(AH2888=1,SUM($AH$5:AH2888),"")</f>
        <v/>
      </c>
      <c r="AJ2888" s="20">
        <f>IF(OR(S2888="",'報告書'!$C$4=""),"",IF(S2888&amp;""='報告書'!$C$4&amp;"",COUNTIF($S$5:S2888,'報告書'!$C$4),""))</f>
        <v/>
      </c>
      <c r="AK2888" s="20" t="n"/>
      <c r="AL2888" s="47" t="n"/>
      <c r="AM2888" s="47" t="n"/>
      <c r="AN2888" s="53" t="n"/>
      <c r="AO2888" s="47" t="n"/>
      <c r="AP2888" s="47" t="n"/>
      <c r="AQ2888" s="47" t="n"/>
      <c r="AR2888" s="47" t="n"/>
      <c r="AS2888" s="47" t="n"/>
      <c r="AT2888" s="47" t="n"/>
      <c r="AU2888" s="47" t="n"/>
      <c r="AV2888" s="47" t="n"/>
      <c r="AW2888" s="52" t="n"/>
    </row>
    <row r="2889">
      <c r="A2889" s="48" t="n"/>
      <c r="B2889" s="52" t="n"/>
      <c r="C2889" s="47">
        <f>IF(B2889="","",IFERROR(INDEX('隊員マスタ'!$B$5:$B$204,MATCH(B2889&amp;"",'隊員マスタ'!$F$5:$F$204,0)),IF(AK2889="","番号なし",AK2889)))</f>
        <v/>
      </c>
      <c r="D2889" s="47" t="n"/>
      <c r="E2889" s="47" t="n"/>
      <c r="F2889" s="47" t="n"/>
      <c r="G2889" s="47" t="n"/>
      <c r="H2889" s="47" t="n"/>
      <c r="I2889" s="47" t="n"/>
      <c r="J2889" s="47" t="n"/>
      <c r="K2889" s="47" t="n"/>
      <c r="L2889" s="47" t="n"/>
      <c r="M2889" s="47" t="n"/>
      <c r="N2889" s="47" t="n"/>
      <c r="O2889" s="47" t="n"/>
      <c r="P2889" s="47" t="n"/>
      <c r="Q2889" s="47" t="n"/>
      <c r="R2889" s="47" t="n"/>
      <c r="S2889" s="47" t="n"/>
      <c r="T2889" s="47" t="n"/>
      <c r="U2889" s="53" t="n"/>
      <c r="V2889" s="53" t="n"/>
      <c r="W2889" s="47" t="n"/>
      <c r="X2889" s="47" t="n"/>
      <c r="Y2889" s="47" t="n"/>
      <c r="Z2889" s="47" t="n"/>
      <c r="AA2889" s="47" t="n"/>
      <c r="AB2889" s="47" t="n"/>
      <c r="AC2889" s="47" t="n"/>
      <c r="AD2889" s="47" t="n"/>
      <c r="AE2889" s="47" t="n"/>
      <c r="AF2889" s="20">
        <f>IF(A2889="","",YEAR(EDATE(A2889,-3)))</f>
        <v/>
      </c>
      <c r="AG2889" s="20">
        <f>IF(OR(B2889="",'経歴簿'!$C$4=""),"",IF(B2889&amp;""='経歴簿'!$C$4&amp;"",MAX($AG$4:AG2888)+1,""))</f>
        <v/>
      </c>
      <c r="AH2889" s="20">
        <f>IF(A2889="",0,IF(AND(OR('CSV抽出'!$C$4="",A2889&gt;='CSV抽出'!$C$4),OR('CSV抽出'!$C$5="",A2889&lt;='CSV抽出'!$C$5),OR('CSV抽出'!$C$6="すべて",'CSV抽出'!$C$6="",D2889='CSV抽出'!$C$6),OR('CSV抽出'!$C$7="",B2889&amp;""='CSV抽出'!$C$7&amp;"")),1,0))</f>
        <v/>
      </c>
      <c r="AI2889" s="20">
        <f>IF(AH2889=1,SUM($AH$5:AH2889),"")</f>
        <v/>
      </c>
      <c r="AJ2889" s="20">
        <f>IF(OR(S2889="",'報告書'!$C$4=""),"",IF(S2889&amp;""='報告書'!$C$4&amp;"",COUNTIF($S$5:S2889,'報告書'!$C$4),""))</f>
        <v/>
      </c>
      <c r="AK2889" s="20" t="n"/>
      <c r="AL2889" s="47" t="n"/>
      <c r="AM2889" s="47" t="n"/>
      <c r="AN2889" s="53" t="n"/>
      <c r="AO2889" s="47" t="n"/>
      <c r="AP2889" s="47" t="n"/>
      <c r="AQ2889" s="47" t="n"/>
      <c r="AR2889" s="47" t="n"/>
      <c r="AS2889" s="47" t="n"/>
      <c r="AT2889" s="47" t="n"/>
      <c r="AU2889" s="47" t="n"/>
      <c r="AV2889" s="47" t="n"/>
      <c r="AW2889" s="52" t="n"/>
    </row>
    <row r="2890">
      <c r="A2890" s="48" t="n"/>
      <c r="B2890" s="52" t="n"/>
      <c r="C2890" s="47">
        <f>IF(B2890="","",IFERROR(INDEX('隊員マスタ'!$B$5:$B$204,MATCH(B2890&amp;"",'隊員マスタ'!$F$5:$F$204,0)),IF(AK2890="","番号なし",AK2890)))</f>
        <v/>
      </c>
      <c r="D2890" s="47" t="n"/>
      <c r="E2890" s="47" t="n"/>
      <c r="F2890" s="47" t="n"/>
      <c r="G2890" s="47" t="n"/>
      <c r="H2890" s="47" t="n"/>
      <c r="I2890" s="47" t="n"/>
      <c r="J2890" s="47" t="n"/>
      <c r="K2890" s="47" t="n"/>
      <c r="L2890" s="47" t="n"/>
      <c r="M2890" s="47" t="n"/>
      <c r="N2890" s="47" t="n"/>
      <c r="O2890" s="47" t="n"/>
      <c r="P2890" s="47" t="n"/>
      <c r="Q2890" s="47" t="n"/>
      <c r="R2890" s="47" t="n"/>
      <c r="S2890" s="47" t="n"/>
      <c r="T2890" s="47" t="n"/>
      <c r="U2890" s="53" t="n"/>
      <c r="V2890" s="53" t="n"/>
      <c r="W2890" s="47" t="n"/>
      <c r="X2890" s="47" t="n"/>
      <c r="Y2890" s="47" t="n"/>
      <c r="Z2890" s="47" t="n"/>
      <c r="AA2890" s="47" t="n"/>
      <c r="AB2890" s="47" t="n"/>
      <c r="AC2890" s="47" t="n"/>
      <c r="AD2890" s="47" t="n"/>
      <c r="AE2890" s="47" t="n"/>
      <c r="AF2890" s="20">
        <f>IF(A2890="","",YEAR(EDATE(A2890,-3)))</f>
        <v/>
      </c>
      <c r="AG2890" s="20">
        <f>IF(OR(B2890="",'経歴簿'!$C$4=""),"",IF(B2890&amp;""='経歴簿'!$C$4&amp;"",MAX($AG$4:AG2889)+1,""))</f>
        <v/>
      </c>
      <c r="AH2890" s="20">
        <f>IF(A2890="",0,IF(AND(OR('CSV抽出'!$C$4="",A2890&gt;='CSV抽出'!$C$4),OR('CSV抽出'!$C$5="",A2890&lt;='CSV抽出'!$C$5),OR('CSV抽出'!$C$6="すべて",'CSV抽出'!$C$6="",D2890='CSV抽出'!$C$6),OR('CSV抽出'!$C$7="",B2890&amp;""='CSV抽出'!$C$7&amp;"")),1,0))</f>
        <v/>
      </c>
      <c r="AI2890" s="20">
        <f>IF(AH2890=1,SUM($AH$5:AH2890),"")</f>
        <v/>
      </c>
      <c r="AJ2890" s="20">
        <f>IF(OR(S2890="",'報告書'!$C$4=""),"",IF(S2890&amp;""='報告書'!$C$4&amp;"",COUNTIF($S$5:S2890,'報告書'!$C$4),""))</f>
        <v/>
      </c>
      <c r="AK2890" s="20" t="n"/>
      <c r="AL2890" s="47" t="n"/>
      <c r="AM2890" s="47" t="n"/>
      <c r="AN2890" s="53" t="n"/>
      <c r="AO2890" s="47" t="n"/>
      <c r="AP2890" s="47" t="n"/>
      <c r="AQ2890" s="47" t="n"/>
      <c r="AR2890" s="47" t="n"/>
      <c r="AS2890" s="47" t="n"/>
      <c r="AT2890" s="47" t="n"/>
      <c r="AU2890" s="47" t="n"/>
      <c r="AV2890" s="47" t="n"/>
      <c r="AW2890" s="52" t="n"/>
    </row>
    <row r="2891">
      <c r="A2891" s="48" t="n"/>
      <c r="B2891" s="52" t="n"/>
      <c r="C2891" s="47">
        <f>IF(B2891="","",IFERROR(INDEX('隊員マスタ'!$B$5:$B$204,MATCH(B2891&amp;"",'隊員マスタ'!$F$5:$F$204,0)),IF(AK2891="","番号なし",AK2891)))</f>
        <v/>
      </c>
      <c r="D2891" s="47" t="n"/>
      <c r="E2891" s="47" t="n"/>
      <c r="F2891" s="47" t="n"/>
      <c r="G2891" s="47" t="n"/>
      <c r="H2891" s="47" t="n"/>
      <c r="I2891" s="47" t="n"/>
      <c r="J2891" s="47" t="n"/>
      <c r="K2891" s="47" t="n"/>
      <c r="L2891" s="47" t="n"/>
      <c r="M2891" s="47" t="n"/>
      <c r="N2891" s="47" t="n"/>
      <c r="O2891" s="47" t="n"/>
      <c r="P2891" s="47" t="n"/>
      <c r="Q2891" s="47" t="n"/>
      <c r="R2891" s="47" t="n"/>
      <c r="S2891" s="47" t="n"/>
      <c r="T2891" s="47" t="n"/>
      <c r="U2891" s="53" t="n"/>
      <c r="V2891" s="53" t="n"/>
      <c r="W2891" s="47" t="n"/>
      <c r="X2891" s="47" t="n"/>
      <c r="Y2891" s="47" t="n"/>
      <c r="Z2891" s="47" t="n"/>
      <c r="AA2891" s="47" t="n"/>
      <c r="AB2891" s="47" t="n"/>
      <c r="AC2891" s="47" t="n"/>
      <c r="AD2891" s="47" t="n"/>
      <c r="AE2891" s="47" t="n"/>
      <c r="AF2891" s="20">
        <f>IF(A2891="","",YEAR(EDATE(A2891,-3)))</f>
        <v/>
      </c>
      <c r="AG2891" s="20">
        <f>IF(OR(B2891="",'経歴簿'!$C$4=""),"",IF(B2891&amp;""='経歴簿'!$C$4&amp;"",MAX($AG$4:AG2890)+1,""))</f>
        <v/>
      </c>
      <c r="AH2891" s="20">
        <f>IF(A2891="",0,IF(AND(OR('CSV抽出'!$C$4="",A2891&gt;='CSV抽出'!$C$4),OR('CSV抽出'!$C$5="",A2891&lt;='CSV抽出'!$C$5),OR('CSV抽出'!$C$6="すべて",'CSV抽出'!$C$6="",D2891='CSV抽出'!$C$6),OR('CSV抽出'!$C$7="",B2891&amp;""='CSV抽出'!$C$7&amp;"")),1,0))</f>
        <v/>
      </c>
      <c r="AI2891" s="20">
        <f>IF(AH2891=1,SUM($AH$5:AH2891),"")</f>
        <v/>
      </c>
      <c r="AJ2891" s="20">
        <f>IF(OR(S2891="",'報告書'!$C$4=""),"",IF(S2891&amp;""='報告書'!$C$4&amp;"",COUNTIF($S$5:S2891,'報告書'!$C$4),""))</f>
        <v/>
      </c>
      <c r="AK2891" s="20" t="n"/>
      <c r="AL2891" s="47" t="n"/>
      <c r="AM2891" s="47" t="n"/>
      <c r="AN2891" s="53" t="n"/>
      <c r="AO2891" s="47" t="n"/>
      <c r="AP2891" s="47" t="n"/>
      <c r="AQ2891" s="47" t="n"/>
      <c r="AR2891" s="47" t="n"/>
      <c r="AS2891" s="47" t="n"/>
      <c r="AT2891" s="47" t="n"/>
      <c r="AU2891" s="47" t="n"/>
      <c r="AV2891" s="47" t="n"/>
      <c r="AW2891" s="52" t="n"/>
    </row>
    <row r="2892">
      <c r="A2892" s="48" t="n"/>
      <c r="B2892" s="52" t="n"/>
      <c r="C2892" s="47">
        <f>IF(B2892="","",IFERROR(INDEX('隊員マスタ'!$B$5:$B$204,MATCH(B2892&amp;"",'隊員マスタ'!$F$5:$F$204,0)),IF(AK2892="","番号なし",AK2892)))</f>
        <v/>
      </c>
      <c r="D2892" s="47" t="n"/>
      <c r="E2892" s="47" t="n"/>
      <c r="F2892" s="47" t="n"/>
      <c r="G2892" s="47" t="n"/>
      <c r="H2892" s="47" t="n"/>
      <c r="I2892" s="47" t="n"/>
      <c r="J2892" s="47" t="n"/>
      <c r="K2892" s="47" t="n"/>
      <c r="L2892" s="47" t="n"/>
      <c r="M2892" s="47" t="n"/>
      <c r="N2892" s="47" t="n"/>
      <c r="O2892" s="47" t="n"/>
      <c r="P2892" s="47" t="n"/>
      <c r="Q2892" s="47" t="n"/>
      <c r="R2892" s="47" t="n"/>
      <c r="S2892" s="47" t="n"/>
      <c r="T2892" s="47" t="n"/>
      <c r="U2892" s="53" t="n"/>
      <c r="V2892" s="53" t="n"/>
      <c r="W2892" s="47" t="n"/>
      <c r="X2892" s="47" t="n"/>
      <c r="Y2892" s="47" t="n"/>
      <c r="Z2892" s="47" t="n"/>
      <c r="AA2892" s="47" t="n"/>
      <c r="AB2892" s="47" t="n"/>
      <c r="AC2892" s="47" t="n"/>
      <c r="AD2892" s="47" t="n"/>
      <c r="AE2892" s="47" t="n"/>
      <c r="AF2892" s="20">
        <f>IF(A2892="","",YEAR(EDATE(A2892,-3)))</f>
        <v/>
      </c>
      <c r="AG2892" s="20">
        <f>IF(OR(B2892="",'経歴簿'!$C$4=""),"",IF(B2892&amp;""='経歴簿'!$C$4&amp;"",MAX($AG$4:AG2891)+1,""))</f>
        <v/>
      </c>
      <c r="AH2892" s="20">
        <f>IF(A2892="",0,IF(AND(OR('CSV抽出'!$C$4="",A2892&gt;='CSV抽出'!$C$4),OR('CSV抽出'!$C$5="",A2892&lt;='CSV抽出'!$C$5),OR('CSV抽出'!$C$6="すべて",'CSV抽出'!$C$6="",D2892='CSV抽出'!$C$6),OR('CSV抽出'!$C$7="",B2892&amp;""='CSV抽出'!$C$7&amp;"")),1,0))</f>
        <v/>
      </c>
      <c r="AI2892" s="20">
        <f>IF(AH2892=1,SUM($AH$5:AH2892),"")</f>
        <v/>
      </c>
      <c r="AJ2892" s="20">
        <f>IF(OR(S2892="",'報告書'!$C$4=""),"",IF(S2892&amp;""='報告書'!$C$4&amp;"",COUNTIF($S$5:S2892,'報告書'!$C$4),""))</f>
        <v/>
      </c>
      <c r="AK2892" s="20" t="n"/>
      <c r="AL2892" s="47" t="n"/>
      <c r="AM2892" s="47" t="n"/>
      <c r="AN2892" s="53" t="n"/>
      <c r="AO2892" s="47" t="n"/>
      <c r="AP2892" s="47" t="n"/>
      <c r="AQ2892" s="47" t="n"/>
      <c r="AR2892" s="47" t="n"/>
      <c r="AS2892" s="47" t="n"/>
      <c r="AT2892" s="47" t="n"/>
      <c r="AU2892" s="47" t="n"/>
      <c r="AV2892" s="47" t="n"/>
      <c r="AW2892" s="52" t="n"/>
    </row>
    <row r="2893">
      <c r="A2893" s="48" t="n"/>
      <c r="B2893" s="52" t="n"/>
      <c r="C2893" s="47">
        <f>IF(B2893="","",IFERROR(INDEX('隊員マスタ'!$B$5:$B$204,MATCH(B2893&amp;"",'隊員マスタ'!$F$5:$F$204,0)),IF(AK2893="","番号なし",AK2893)))</f>
        <v/>
      </c>
      <c r="D2893" s="47" t="n"/>
      <c r="E2893" s="47" t="n"/>
      <c r="F2893" s="47" t="n"/>
      <c r="G2893" s="47" t="n"/>
      <c r="H2893" s="47" t="n"/>
      <c r="I2893" s="47" t="n"/>
      <c r="J2893" s="47" t="n"/>
      <c r="K2893" s="47" t="n"/>
      <c r="L2893" s="47" t="n"/>
      <c r="M2893" s="47" t="n"/>
      <c r="N2893" s="47" t="n"/>
      <c r="O2893" s="47" t="n"/>
      <c r="P2893" s="47" t="n"/>
      <c r="Q2893" s="47" t="n"/>
      <c r="R2893" s="47" t="n"/>
      <c r="S2893" s="47" t="n"/>
      <c r="T2893" s="47" t="n"/>
      <c r="U2893" s="53" t="n"/>
      <c r="V2893" s="53" t="n"/>
      <c r="W2893" s="47" t="n"/>
      <c r="X2893" s="47" t="n"/>
      <c r="Y2893" s="47" t="n"/>
      <c r="Z2893" s="47" t="n"/>
      <c r="AA2893" s="47" t="n"/>
      <c r="AB2893" s="47" t="n"/>
      <c r="AC2893" s="47" t="n"/>
      <c r="AD2893" s="47" t="n"/>
      <c r="AE2893" s="47" t="n"/>
      <c r="AF2893" s="20">
        <f>IF(A2893="","",YEAR(EDATE(A2893,-3)))</f>
        <v/>
      </c>
      <c r="AG2893" s="20">
        <f>IF(OR(B2893="",'経歴簿'!$C$4=""),"",IF(B2893&amp;""='経歴簿'!$C$4&amp;"",MAX($AG$4:AG2892)+1,""))</f>
        <v/>
      </c>
      <c r="AH2893" s="20">
        <f>IF(A2893="",0,IF(AND(OR('CSV抽出'!$C$4="",A2893&gt;='CSV抽出'!$C$4),OR('CSV抽出'!$C$5="",A2893&lt;='CSV抽出'!$C$5),OR('CSV抽出'!$C$6="すべて",'CSV抽出'!$C$6="",D2893='CSV抽出'!$C$6),OR('CSV抽出'!$C$7="",B2893&amp;""='CSV抽出'!$C$7&amp;"")),1,0))</f>
        <v/>
      </c>
      <c r="AI2893" s="20">
        <f>IF(AH2893=1,SUM($AH$5:AH2893),"")</f>
        <v/>
      </c>
      <c r="AJ2893" s="20">
        <f>IF(OR(S2893="",'報告書'!$C$4=""),"",IF(S2893&amp;""='報告書'!$C$4&amp;"",COUNTIF($S$5:S2893,'報告書'!$C$4),""))</f>
        <v/>
      </c>
      <c r="AK2893" s="20" t="n"/>
      <c r="AL2893" s="47" t="n"/>
      <c r="AM2893" s="47" t="n"/>
      <c r="AN2893" s="53" t="n"/>
      <c r="AO2893" s="47" t="n"/>
      <c r="AP2893" s="47" t="n"/>
      <c r="AQ2893" s="47" t="n"/>
      <c r="AR2893" s="47" t="n"/>
      <c r="AS2893" s="47" t="n"/>
      <c r="AT2893" s="47" t="n"/>
      <c r="AU2893" s="47" t="n"/>
      <c r="AV2893" s="47" t="n"/>
      <c r="AW2893" s="52" t="n"/>
    </row>
    <row r="2894">
      <c r="A2894" s="48" t="n"/>
      <c r="B2894" s="52" t="n"/>
      <c r="C2894" s="47">
        <f>IF(B2894="","",IFERROR(INDEX('隊員マスタ'!$B$5:$B$204,MATCH(B2894&amp;"",'隊員マスタ'!$F$5:$F$204,0)),IF(AK2894="","番号なし",AK2894)))</f>
        <v/>
      </c>
      <c r="D2894" s="47" t="n"/>
      <c r="E2894" s="47" t="n"/>
      <c r="F2894" s="47" t="n"/>
      <c r="G2894" s="47" t="n"/>
      <c r="H2894" s="47" t="n"/>
      <c r="I2894" s="47" t="n"/>
      <c r="J2894" s="47" t="n"/>
      <c r="K2894" s="47" t="n"/>
      <c r="L2894" s="47" t="n"/>
      <c r="M2894" s="47" t="n"/>
      <c r="N2894" s="47" t="n"/>
      <c r="O2894" s="47" t="n"/>
      <c r="P2894" s="47" t="n"/>
      <c r="Q2894" s="47" t="n"/>
      <c r="R2894" s="47" t="n"/>
      <c r="S2894" s="47" t="n"/>
      <c r="T2894" s="47" t="n"/>
      <c r="U2894" s="53" t="n"/>
      <c r="V2894" s="53" t="n"/>
      <c r="W2894" s="47" t="n"/>
      <c r="X2894" s="47" t="n"/>
      <c r="Y2894" s="47" t="n"/>
      <c r="Z2894" s="47" t="n"/>
      <c r="AA2894" s="47" t="n"/>
      <c r="AB2894" s="47" t="n"/>
      <c r="AC2894" s="47" t="n"/>
      <c r="AD2894" s="47" t="n"/>
      <c r="AE2894" s="47" t="n"/>
      <c r="AF2894" s="20">
        <f>IF(A2894="","",YEAR(EDATE(A2894,-3)))</f>
        <v/>
      </c>
      <c r="AG2894" s="20">
        <f>IF(OR(B2894="",'経歴簿'!$C$4=""),"",IF(B2894&amp;""='経歴簿'!$C$4&amp;"",MAX($AG$4:AG2893)+1,""))</f>
        <v/>
      </c>
      <c r="AH2894" s="20">
        <f>IF(A2894="",0,IF(AND(OR('CSV抽出'!$C$4="",A2894&gt;='CSV抽出'!$C$4),OR('CSV抽出'!$C$5="",A2894&lt;='CSV抽出'!$C$5),OR('CSV抽出'!$C$6="すべて",'CSV抽出'!$C$6="",D2894='CSV抽出'!$C$6),OR('CSV抽出'!$C$7="",B2894&amp;""='CSV抽出'!$C$7&amp;"")),1,0))</f>
        <v/>
      </c>
      <c r="AI2894" s="20">
        <f>IF(AH2894=1,SUM($AH$5:AH2894),"")</f>
        <v/>
      </c>
      <c r="AJ2894" s="20">
        <f>IF(OR(S2894="",'報告書'!$C$4=""),"",IF(S2894&amp;""='報告書'!$C$4&amp;"",COUNTIF($S$5:S2894,'報告書'!$C$4),""))</f>
        <v/>
      </c>
      <c r="AK2894" s="20" t="n"/>
      <c r="AL2894" s="47" t="n"/>
      <c r="AM2894" s="47" t="n"/>
      <c r="AN2894" s="53" t="n"/>
      <c r="AO2894" s="47" t="n"/>
      <c r="AP2894" s="47" t="n"/>
      <c r="AQ2894" s="47" t="n"/>
      <c r="AR2894" s="47" t="n"/>
      <c r="AS2894" s="47" t="n"/>
      <c r="AT2894" s="47" t="n"/>
      <c r="AU2894" s="47" t="n"/>
      <c r="AV2894" s="47" t="n"/>
      <c r="AW2894" s="52" t="n"/>
    </row>
    <row r="2895">
      <c r="A2895" s="48" t="n"/>
      <c r="B2895" s="52" t="n"/>
      <c r="C2895" s="47">
        <f>IF(B2895="","",IFERROR(INDEX('隊員マスタ'!$B$5:$B$204,MATCH(B2895&amp;"",'隊員マスタ'!$F$5:$F$204,0)),IF(AK2895="","番号なし",AK2895)))</f>
        <v/>
      </c>
      <c r="D2895" s="47" t="n"/>
      <c r="E2895" s="47" t="n"/>
      <c r="F2895" s="47" t="n"/>
      <c r="G2895" s="47" t="n"/>
      <c r="H2895" s="47" t="n"/>
      <c r="I2895" s="47" t="n"/>
      <c r="J2895" s="47" t="n"/>
      <c r="K2895" s="47" t="n"/>
      <c r="L2895" s="47" t="n"/>
      <c r="M2895" s="47" t="n"/>
      <c r="N2895" s="47" t="n"/>
      <c r="O2895" s="47" t="n"/>
      <c r="P2895" s="47" t="n"/>
      <c r="Q2895" s="47" t="n"/>
      <c r="R2895" s="47" t="n"/>
      <c r="S2895" s="47" t="n"/>
      <c r="T2895" s="47" t="n"/>
      <c r="U2895" s="53" t="n"/>
      <c r="V2895" s="53" t="n"/>
      <c r="W2895" s="47" t="n"/>
      <c r="X2895" s="47" t="n"/>
      <c r="Y2895" s="47" t="n"/>
      <c r="Z2895" s="47" t="n"/>
      <c r="AA2895" s="47" t="n"/>
      <c r="AB2895" s="47" t="n"/>
      <c r="AC2895" s="47" t="n"/>
      <c r="AD2895" s="47" t="n"/>
      <c r="AE2895" s="47" t="n"/>
      <c r="AF2895" s="20">
        <f>IF(A2895="","",YEAR(EDATE(A2895,-3)))</f>
        <v/>
      </c>
      <c r="AG2895" s="20">
        <f>IF(OR(B2895="",'経歴簿'!$C$4=""),"",IF(B2895&amp;""='経歴簿'!$C$4&amp;"",MAX($AG$4:AG2894)+1,""))</f>
        <v/>
      </c>
      <c r="AH2895" s="20">
        <f>IF(A2895="",0,IF(AND(OR('CSV抽出'!$C$4="",A2895&gt;='CSV抽出'!$C$4),OR('CSV抽出'!$C$5="",A2895&lt;='CSV抽出'!$C$5),OR('CSV抽出'!$C$6="すべて",'CSV抽出'!$C$6="",D2895='CSV抽出'!$C$6),OR('CSV抽出'!$C$7="",B2895&amp;""='CSV抽出'!$C$7&amp;"")),1,0))</f>
        <v/>
      </c>
      <c r="AI2895" s="20">
        <f>IF(AH2895=1,SUM($AH$5:AH2895),"")</f>
        <v/>
      </c>
      <c r="AJ2895" s="20">
        <f>IF(OR(S2895="",'報告書'!$C$4=""),"",IF(S2895&amp;""='報告書'!$C$4&amp;"",COUNTIF($S$5:S2895,'報告書'!$C$4),""))</f>
        <v/>
      </c>
      <c r="AK2895" s="20" t="n"/>
      <c r="AL2895" s="47" t="n"/>
      <c r="AM2895" s="47" t="n"/>
      <c r="AN2895" s="53" t="n"/>
      <c r="AO2895" s="47" t="n"/>
      <c r="AP2895" s="47" t="n"/>
      <c r="AQ2895" s="47" t="n"/>
      <c r="AR2895" s="47" t="n"/>
      <c r="AS2895" s="47" t="n"/>
      <c r="AT2895" s="47" t="n"/>
      <c r="AU2895" s="47" t="n"/>
      <c r="AV2895" s="47" t="n"/>
      <c r="AW2895" s="52" t="n"/>
    </row>
    <row r="2896">
      <c r="A2896" s="48" t="n"/>
      <c r="B2896" s="52" t="n"/>
      <c r="C2896" s="47">
        <f>IF(B2896="","",IFERROR(INDEX('隊員マスタ'!$B$5:$B$204,MATCH(B2896&amp;"",'隊員マスタ'!$F$5:$F$204,0)),IF(AK2896="","番号なし",AK2896)))</f>
        <v/>
      </c>
      <c r="D2896" s="47" t="n"/>
      <c r="E2896" s="47" t="n"/>
      <c r="F2896" s="47" t="n"/>
      <c r="G2896" s="47" t="n"/>
      <c r="H2896" s="47" t="n"/>
      <c r="I2896" s="47" t="n"/>
      <c r="J2896" s="47" t="n"/>
      <c r="K2896" s="47" t="n"/>
      <c r="L2896" s="47" t="n"/>
      <c r="M2896" s="47" t="n"/>
      <c r="N2896" s="47" t="n"/>
      <c r="O2896" s="47" t="n"/>
      <c r="P2896" s="47" t="n"/>
      <c r="Q2896" s="47" t="n"/>
      <c r="R2896" s="47" t="n"/>
      <c r="S2896" s="47" t="n"/>
      <c r="T2896" s="47" t="n"/>
      <c r="U2896" s="53" t="n"/>
      <c r="V2896" s="53" t="n"/>
      <c r="W2896" s="47" t="n"/>
      <c r="X2896" s="47" t="n"/>
      <c r="Y2896" s="47" t="n"/>
      <c r="Z2896" s="47" t="n"/>
      <c r="AA2896" s="47" t="n"/>
      <c r="AB2896" s="47" t="n"/>
      <c r="AC2896" s="47" t="n"/>
      <c r="AD2896" s="47" t="n"/>
      <c r="AE2896" s="47" t="n"/>
      <c r="AF2896" s="20">
        <f>IF(A2896="","",YEAR(EDATE(A2896,-3)))</f>
        <v/>
      </c>
      <c r="AG2896" s="20">
        <f>IF(OR(B2896="",'経歴簿'!$C$4=""),"",IF(B2896&amp;""='経歴簿'!$C$4&amp;"",MAX($AG$4:AG2895)+1,""))</f>
        <v/>
      </c>
      <c r="AH2896" s="20">
        <f>IF(A2896="",0,IF(AND(OR('CSV抽出'!$C$4="",A2896&gt;='CSV抽出'!$C$4),OR('CSV抽出'!$C$5="",A2896&lt;='CSV抽出'!$C$5),OR('CSV抽出'!$C$6="すべて",'CSV抽出'!$C$6="",D2896='CSV抽出'!$C$6),OR('CSV抽出'!$C$7="",B2896&amp;""='CSV抽出'!$C$7&amp;"")),1,0))</f>
        <v/>
      </c>
      <c r="AI2896" s="20">
        <f>IF(AH2896=1,SUM($AH$5:AH2896),"")</f>
        <v/>
      </c>
      <c r="AJ2896" s="20">
        <f>IF(OR(S2896="",'報告書'!$C$4=""),"",IF(S2896&amp;""='報告書'!$C$4&amp;"",COUNTIF($S$5:S2896,'報告書'!$C$4),""))</f>
        <v/>
      </c>
      <c r="AK2896" s="20" t="n"/>
      <c r="AL2896" s="47" t="n"/>
      <c r="AM2896" s="47" t="n"/>
      <c r="AN2896" s="53" t="n"/>
      <c r="AO2896" s="47" t="n"/>
      <c r="AP2896" s="47" t="n"/>
      <c r="AQ2896" s="47" t="n"/>
      <c r="AR2896" s="47" t="n"/>
      <c r="AS2896" s="47" t="n"/>
      <c r="AT2896" s="47" t="n"/>
      <c r="AU2896" s="47" t="n"/>
      <c r="AV2896" s="47" t="n"/>
      <c r="AW2896" s="52" t="n"/>
    </row>
    <row r="2897">
      <c r="A2897" s="48" t="n"/>
      <c r="B2897" s="52" t="n"/>
      <c r="C2897" s="47">
        <f>IF(B2897="","",IFERROR(INDEX('隊員マスタ'!$B$5:$B$204,MATCH(B2897&amp;"",'隊員マスタ'!$F$5:$F$204,0)),IF(AK2897="","番号なし",AK2897)))</f>
        <v/>
      </c>
      <c r="D2897" s="47" t="n"/>
      <c r="E2897" s="47" t="n"/>
      <c r="F2897" s="47" t="n"/>
      <c r="G2897" s="47" t="n"/>
      <c r="H2897" s="47" t="n"/>
      <c r="I2897" s="47" t="n"/>
      <c r="J2897" s="47" t="n"/>
      <c r="K2897" s="47" t="n"/>
      <c r="L2897" s="47" t="n"/>
      <c r="M2897" s="47" t="n"/>
      <c r="N2897" s="47" t="n"/>
      <c r="O2897" s="47" t="n"/>
      <c r="P2897" s="47" t="n"/>
      <c r="Q2897" s="47" t="n"/>
      <c r="R2897" s="47" t="n"/>
      <c r="S2897" s="47" t="n"/>
      <c r="T2897" s="47" t="n"/>
      <c r="U2897" s="53" t="n"/>
      <c r="V2897" s="53" t="n"/>
      <c r="W2897" s="47" t="n"/>
      <c r="X2897" s="47" t="n"/>
      <c r="Y2897" s="47" t="n"/>
      <c r="Z2897" s="47" t="n"/>
      <c r="AA2897" s="47" t="n"/>
      <c r="AB2897" s="47" t="n"/>
      <c r="AC2897" s="47" t="n"/>
      <c r="AD2897" s="47" t="n"/>
      <c r="AE2897" s="47" t="n"/>
      <c r="AF2897" s="20">
        <f>IF(A2897="","",YEAR(EDATE(A2897,-3)))</f>
        <v/>
      </c>
      <c r="AG2897" s="20">
        <f>IF(OR(B2897="",'経歴簿'!$C$4=""),"",IF(B2897&amp;""='経歴簿'!$C$4&amp;"",MAX($AG$4:AG2896)+1,""))</f>
        <v/>
      </c>
      <c r="AH2897" s="20">
        <f>IF(A2897="",0,IF(AND(OR('CSV抽出'!$C$4="",A2897&gt;='CSV抽出'!$C$4),OR('CSV抽出'!$C$5="",A2897&lt;='CSV抽出'!$C$5),OR('CSV抽出'!$C$6="すべて",'CSV抽出'!$C$6="",D2897='CSV抽出'!$C$6),OR('CSV抽出'!$C$7="",B2897&amp;""='CSV抽出'!$C$7&amp;"")),1,0))</f>
        <v/>
      </c>
      <c r="AI2897" s="20">
        <f>IF(AH2897=1,SUM($AH$5:AH2897),"")</f>
        <v/>
      </c>
      <c r="AJ2897" s="20">
        <f>IF(OR(S2897="",'報告書'!$C$4=""),"",IF(S2897&amp;""='報告書'!$C$4&amp;"",COUNTIF($S$5:S2897,'報告書'!$C$4),""))</f>
        <v/>
      </c>
      <c r="AK2897" s="20" t="n"/>
      <c r="AL2897" s="47" t="n"/>
      <c r="AM2897" s="47" t="n"/>
      <c r="AN2897" s="53" t="n"/>
      <c r="AO2897" s="47" t="n"/>
      <c r="AP2897" s="47" t="n"/>
      <c r="AQ2897" s="47" t="n"/>
      <c r="AR2897" s="47" t="n"/>
      <c r="AS2897" s="47" t="n"/>
      <c r="AT2897" s="47" t="n"/>
      <c r="AU2897" s="47" t="n"/>
      <c r="AV2897" s="47" t="n"/>
      <c r="AW2897" s="52" t="n"/>
    </row>
    <row r="2898">
      <c r="A2898" s="48" t="n"/>
      <c r="B2898" s="52" t="n"/>
      <c r="C2898" s="47">
        <f>IF(B2898="","",IFERROR(INDEX('隊員マスタ'!$B$5:$B$204,MATCH(B2898&amp;"",'隊員マスタ'!$F$5:$F$204,0)),IF(AK2898="","番号なし",AK2898)))</f>
        <v/>
      </c>
      <c r="D2898" s="47" t="n"/>
      <c r="E2898" s="47" t="n"/>
      <c r="F2898" s="47" t="n"/>
      <c r="G2898" s="47" t="n"/>
      <c r="H2898" s="47" t="n"/>
      <c r="I2898" s="47" t="n"/>
      <c r="J2898" s="47" t="n"/>
      <c r="K2898" s="47" t="n"/>
      <c r="L2898" s="47" t="n"/>
      <c r="M2898" s="47" t="n"/>
      <c r="N2898" s="47" t="n"/>
      <c r="O2898" s="47" t="n"/>
      <c r="P2898" s="47" t="n"/>
      <c r="Q2898" s="47" t="n"/>
      <c r="R2898" s="47" t="n"/>
      <c r="S2898" s="47" t="n"/>
      <c r="T2898" s="47" t="n"/>
      <c r="U2898" s="53" t="n"/>
      <c r="V2898" s="53" t="n"/>
      <c r="W2898" s="47" t="n"/>
      <c r="X2898" s="47" t="n"/>
      <c r="Y2898" s="47" t="n"/>
      <c r="Z2898" s="47" t="n"/>
      <c r="AA2898" s="47" t="n"/>
      <c r="AB2898" s="47" t="n"/>
      <c r="AC2898" s="47" t="n"/>
      <c r="AD2898" s="47" t="n"/>
      <c r="AE2898" s="47" t="n"/>
      <c r="AF2898" s="20">
        <f>IF(A2898="","",YEAR(EDATE(A2898,-3)))</f>
        <v/>
      </c>
      <c r="AG2898" s="20">
        <f>IF(OR(B2898="",'経歴簿'!$C$4=""),"",IF(B2898&amp;""='経歴簿'!$C$4&amp;"",MAX($AG$4:AG2897)+1,""))</f>
        <v/>
      </c>
      <c r="AH2898" s="20">
        <f>IF(A2898="",0,IF(AND(OR('CSV抽出'!$C$4="",A2898&gt;='CSV抽出'!$C$4),OR('CSV抽出'!$C$5="",A2898&lt;='CSV抽出'!$C$5),OR('CSV抽出'!$C$6="すべて",'CSV抽出'!$C$6="",D2898='CSV抽出'!$C$6),OR('CSV抽出'!$C$7="",B2898&amp;""='CSV抽出'!$C$7&amp;"")),1,0))</f>
        <v/>
      </c>
      <c r="AI2898" s="20">
        <f>IF(AH2898=1,SUM($AH$5:AH2898),"")</f>
        <v/>
      </c>
      <c r="AJ2898" s="20">
        <f>IF(OR(S2898="",'報告書'!$C$4=""),"",IF(S2898&amp;""='報告書'!$C$4&amp;"",COUNTIF($S$5:S2898,'報告書'!$C$4),""))</f>
        <v/>
      </c>
      <c r="AK2898" s="20" t="n"/>
      <c r="AL2898" s="47" t="n"/>
      <c r="AM2898" s="47" t="n"/>
      <c r="AN2898" s="53" t="n"/>
      <c r="AO2898" s="47" t="n"/>
      <c r="AP2898" s="47" t="n"/>
      <c r="AQ2898" s="47" t="n"/>
      <c r="AR2898" s="47" t="n"/>
      <c r="AS2898" s="47" t="n"/>
      <c r="AT2898" s="47" t="n"/>
      <c r="AU2898" s="47" t="n"/>
      <c r="AV2898" s="47" t="n"/>
      <c r="AW2898" s="52" t="n"/>
    </row>
    <row r="2899">
      <c r="A2899" s="48" t="n"/>
      <c r="B2899" s="52" t="n"/>
      <c r="C2899" s="47">
        <f>IF(B2899="","",IFERROR(INDEX('隊員マスタ'!$B$5:$B$204,MATCH(B2899&amp;"",'隊員マスタ'!$F$5:$F$204,0)),IF(AK2899="","番号なし",AK2899)))</f>
        <v/>
      </c>
      <c r="D2899" s="47" t="n"/>
      <c r="E2899" s="47" t="n"/>
      <c r="F2899" s="47" t="n"/>
      <c r="G2899" s="47" t="n"/>
      <c r="H2899" s="47" t="n"/>
      <c r="I2899" s="47" t="n"/>
      <c r="J2899" s="47" t="n"/>
      <c r="K2899" s="47" t="n"/>
      <c r="L2899" s="47" t="n"/>
      <c r="M2899" s="47" t="n"/>
      <c r="N2899" s="47" t="n"/>
      <c r="O2899" s="47" t="n"/>
      <c r="P2899" s="47" t="n"/>
      <c r="Q2899" s="47" t="n"/>
      <c r="R2899" s="47" t="n"/>
      <c r="S2899" s="47" t="n"/>
      <c r="T2899" s="47" t="n"/>
      <c r="U2899" s="53" t="n"/>
      <c r="V2899" s="53" t="n"/>
      <c r="W2899" s="47" t="n"/>
      <c r="X2899" s="47" t="n"/>
      <c r="Y2899" s="47" t="n"/>
      <c r="Z2899" s="47" t="n"/>
      <c r="AA2899" s="47" t="n"/>
      <c r="AB2899" s="47" t="n"/>
      <c r="AC2899" s="47" t="n"/>
      <c r="AD2899" s="47" t="n"/>
      <c r="AE2899" s="47" t="n"/>
      <c r="AF2899" s="20">
        <f>IF(A2899="","",YEAR(EDATE(A2899,-3)))</f>
        <v/>
      </c>
      <c r="AG2899" s="20">
        <f>IF(OR(B2899="",'経歴簿'!$C$4=""),"",IF(B2899&amp;""='経歴簿'!$C$4&amp;"",MAX($AG$4:AG2898)+1,""))</f>
        <v/>
      </c>
      <c r="AH2899" s="20">
        <f>IF(A2899="",0,IF(AND(OR('CSV抽出'!$C$4="",A2899&gt;='CSV抽出'!$C$4),OR('CSV抽出'!$C$5="",A2899&lt;='CSV抽出'!$C$5),OR('CSV抽出'!$C$6="すべて",'CSV抽出'!$C$6="",D2899='CSV抽出'!$C$6),OR('CSV抽出'!$C$7="",B2899&amp;""='CSV抽出'!$C$7&amp;"")),1,0))</f>
        <v/>
      </c>
      <c r="AI2899" s="20">
        <f>IF(AH2899=1,SUM($AH$5:AH2899),"")</f>
        <v/>
      </c>
      <c r="AJ2899" s="20">
        <f>IF(OR(S2899="",'報告書'!$C$4=""),"",IF(S2899&amp;""='報告書'!$C$4&amp;"",COUNTIF($S$5:S2899,'報告書'!$C$4),""))</f>
        <v/>
      </c>
      <c r="AK2899" s="20" t="n"/>
      <c r="AL2899" s="47" t="n"/>
      <c r="AM2899" s="47" t="n"/>
      <c r="AN2899" s="53" t="n"/>
      <c r="AO2899" s="47" t="n"/>
      <c r="AP2899" s="47" t="n"/>
      <c r="AQ2899" s="47" t="n"/>
      <c r="AR2899" s="47" t="n"/>
      <c r="AS2899" s="47" t="n"/>
      <c r="AT2899" s="47" t="n"/>
      <c r="AU2899" s="47" t="n"/>
      <c r="AV2899" s="47" t="n"/>
      <c r="AW2899" s="52" t="n"/>
    </row>
    <row r="2900">
      <c r="A2900" s="48" t="n"/>
      <c r="B2900" s="52" t="n"/>
      <c r="C2900" s="47">
        <f>IF(B2900="","",IFERROR(INDEX('隊員マスタ'!$B$5:$B$204,MATCH(B2900&amp;"",'隊員マスタ'!$F$5:$F$204,0)),IF(AK2900="","番号なし",AK2900)))</f>
        <v/>
      </c>
      <c r="D2900" s="47" t="n"/>
      <c r="E2900" s="47" t="n"/>
      <c r="F2900" s="47" t="n"/>
      <c r="G2900" s="47" t="n"/>
      <c r="H2900" s="47" t="n"/>
      <c r="I2900" s="47" t="n"/>
      <c r="J2900" s="47" t="n"/>
      <c r="K2900" s="47" t="n"/>
      <c r="L2900" s="47" t="n"/>
      <c r="M2900" s="47" t="n"/>
      <c r="N2900" s="47" t="n"/>
      <c r="O2900" s="47" t="n"/>
      <c r="P2900" s="47" t="n"/>
      <c r="Q2900" s="47" t="n"/>
      <c r="R2900" s="47" t="n"/>
      <c r="S2900" s="47" t="n"/>
      <c r="T2900" s="47" t="n"/>
      <c r="U2900" s="53" t="n"/>
      <c r="V2900" s="53" t="n"/>
      <c r="W2900" s="47" t="n"/>
      <c r="X2900" s="47" t="n"/>
      <c r="Y2900" s="47" t="n"/>
      <c r="Z2900" s="47" t="n"/>
      <c r="AA2900" s="47" t="n"/>
      <c r="AB2900" s="47" t="n"/>
      <c r="AC2900" s="47" t="n"/>
      <c r="AD2900" s="47" t="n"/>
      <c r="AE2900" s="47" t="n"/>
      <c r="AF2900" s="20">
        <f>IF(A2900="","",YEAR(EDATE(A2900,-3)))</f>
        <v/>
      </c>
      <c r="AG2900" s="20">
        <f>IF(OR(B2900="",'経歴簿'!$C$4=""),"",IF(B2900&amp;""='経歴簿'!$C$4&amp;"",MAX($AG$4:AG2899)+1,""))</f>
        <v/>
      </c>
      <c r="AH2900" s="20">
        <f>IF(A2900="",0,IF(AND(OR('CSV抽出'!$C$4="",A2900&gt;='CSV抽出'!$C$4),OR('CSV抽出'!$C$5="",A2900&lt;='CSV抽出'!$C$5),OR('CSV抽出'!$C$6="すべて",'CSV抽出'!$C$6="",D2900='CSV抽出'!$C$6),OR('CSV抽出'!$C$7="",B2900&amp;""='CSV抽出'!$C$7&amp;"")),1,0))</f>
        <v/>
      </c>
      <c r="AI2900" s="20">
        <f>IF(AH2900=1,SUM($AH$5:AH2900),"")</f>
        <v/>
      </c>
      <c r="AJ2900" s="20">
        <f>IF(OR(S2900="",'報告書'!$C$4=""),"",IF(S2900&amp;""='報告書'!$C$4&amp;"",COUNTIF($S$5:S2900,'報告書'!$C$4),""))</f>
        <v/>
      </c>
      <c r="AK2900" s="20" t="n"/>
      <c r="AL2900" s="47" t="n"/>
      <c r="AM2900" s="47" t="n"/>
      <c r="AN2900" s="53" t="n"/>
      <c r="AO2900" s="47" t="n"/>
      <c r="AP2900" s="47" t="n"/>
      <c r="AQ2900" s="47" t="n"/>
      <c r="AR2900" s="47" t="n"/>
      <c r="AS2900" s="47" t="n"/>
      <c r="AT2900" s="47" t="n"/>
      <c r="AU2900" s="47" t="n"/>
      <c r="AV2900" s="47" t="n"/>
      <c r="AW2900" s="52" t="n"/>
    </row>
    <row r="2901">
      <c r="A2901" s="48" t="n"/>
      <c r="B2901" s="52" t="n"/>
      <c r="C2901" s="47">
        <f>IF(B2901="","",IFERROR(INDEX('隊員マスタ'!$B$5:$B$204,MATCH(B2901&amp;"",'隊員マスタ'!$F$5:$F$204,0)),IF(AK2901="","番号なし",AK2901)))</f>
        <v/>
      </c>
      <c r="D2901" s="47" t="n"/>
      <c r="E2901" s="47" t="n"/>
      <c r="F2901" s="47" t="n"/>
      <c r="G2901" s="47" t="n"/>
      <c r="H2901" s="47" t="n"/>
      <c r="I2901" s="47" t="n"/>
      <c r="J2901" s="47" t="n"/>
      <c r="K2901" s="47" t="n"/>
      <c r="L2901" s="47" t="n"/>
      <c r="M2901" s="47" t="n"/>
      <c r="N2901" s="47" t="n"/>
      <c r="O2901" s="47" t="n"/>
      <c r="P2901" s="47" t="n"/>
      <c r="Q2901" s="47" t="n"/>
      <c r="R2901" s="47" t="n"/>
      <c r="S2901" s="47" t="n"/>
      <c r="T2901" s="47" t="n"/>
      <c r="U2901" s="53" t="n"/>
      <c r="V2901" s="53" t="n"/>
      <c r="W2901" s="47" t="n"/>
      <c r="X2901" s="47" t="n"/>
      <c r="Y2901" s="47" t="n"/>
      <c r="Z2901" s="47" t="n"/>
      <c r="AA2901" s="47" t="n"/>
      <c r="AB2901" s="47" t="n"/>
      <c r="AC2901" s="47" t="n"/>
      <c r="AD2901" s="47" t="n"/>
      <c r="AE2901" s="47" t="n"/>
      <c r="AF2901" s="20">
        <f>IF(A2901="","",YEAR(EDATE(A2901,-3)))</f>
        <v/>
      </c>
      <c r="AG2901" s="20">
        <f>IF(OR(B2901="",'経歴簿'!$C$4=""),"",IF(B2901&amp;""='経歴簿'!$C$4&amp;"",MAX($AG$4:AG2900)+1,""))</f>
        <v/>
      </c>
      <c r="AH2901" s="20">
        <f>IF(A2901="",0,IF(AND(OR('CSV抽出'!$C$4="",A2901&gt;='CSV抽出'!$C$4),OR('CSV抽出'!$C$5="",A2901&lt;='CSV抽出'!$C$5),OR('CSV抽出'!$C$6="すべて",'CSV抽出'!$C$6="",D2901='CSV抽出'!$C$6),OR('CSV抽出'!$C$7="",B2901&amp;""='CSV抽出'!$C$7&amp;"")),1,0))</f>
        <v/>
      </c>
      <c r="AI2901" s="20">
        <f>IF(AH2901=1,SUM($AH$5:AH2901),"")</f>
        <v/>
      </c>
      <c r="AJ2901" s="20">
        <f>IF(OR(S2901="",'報告書'!$C$4=""),"",IF(S2901&amp;""='報告書'!$C$4&amp;"",COUNTIF($S$5:S2901,'報告書'!$C$4),""))</f>
        <v/>
      </c>
      <c r="AK2901" s="20" t="n"/>
      <c r="AL2901" s="47" t="n"/>
      <c r="AM2901" s="47" t="n"/>
      <c r="AN2901" s="53" t="n"/>
      <c r="AO2901" s="47" t="n"/>
      <c r="AP2901" s="47" t="n"/>
      <c r="AQ2901" s="47" t="n"/>
      <c r="AR2901" s="47" t="n"/>
      <c r="AS2901" s="47" t="n"/>
      <c r="AT2901" s="47" t="n"/>
      <c r="AU2901" s="47" t="n"/>
      <c r="AV2901" s="47" t="n"/>
      <c r="AW2901" s="52" t="n"/>
    </row>
    <row r="2902">
      <c r="A2902" s="48" t="n"/>
      <c r="B2902" s="52" t="n"/>
      <c r="C2902" s="47">
        <f>IF(B2902="","",IFERROR(INDEX('隊員マスタ'!$B$5:$B$204,MATCH(B2902&amp;"",'隊員マスタ'!$F$5:$F$204,0)),IF(AK2902="","番号なし",AK2902)))</f>
        <v/>
      </c>
      <c r="D2902" s="47" t="n"/>
      <c r="E2902" s="47" t="n"/>
      <c r="F2902" s="47" t="n"/>
      <c r="G2902" s="47" t="n"/>
      <c r="H2902" s="47" t="n"/>
      <c r="I2902" s="47" t="n"/>
      <c r="J2902" s="47" t="n"/>
      <c r="K2902" s="47" t="n"/>
      <c r="L2902" s="47" t="n"/>
      <c r="M2902" s="47" t="n"/>
      <c r="N2902" s="47" t="n"/>
      <c r="O2902" s="47" t="n"/>
      <c r="P2902" s="47" t="n"/>
      <c r="Q2902" s="47" t="n"/>
      <c r="R2902" s="47" t="n"/>
      <c r="S2902" s="47" t="n"/>
      <c r="T2902" s="47" t="n"/>
      <c r="U2902" s="53" t="n"/>
      <c r="V2902" s="53" t="n"/>
      <c r="W2902" s="47" t="n"/>
      <c r="X2902" s="47" t="n"/>
      <c r="Y2902" s="47" t="n"/>
      <c r="Z2902" s="47" t="n"/>
      <c r="AA2902" s="47" t="n"/>
      <c r="AB2902" s="47" t="n"/>
      <c r="AC2902" s="47" t="n"/>
      <c r="AD2902" s="47" t="n"/>
      <c r="AE2902" s="47" t="n"/>
      <c r="AF2902" s="20">
        <f>IF(A2902="","",YEAR(EDATE(A2902,-3)))</f>
        <v/>
      </c>
      <c r="AG2902" s="20">
        <f>IF(OR(B2902="",'経歴簿'!$C$4=""),"",IF(B2902&amp;""='経歴簿'!$C$4&amp;"",MAX($AG$4:AG2901)+1,""))</f>
        <v/>
      </c>
      <c r="AH2902" s="20">
        <f>IF(A2902="",0,IF(AND(OR('CSV抽出'!$C$4="",A2902&gt;='CSV抽出'!$C$4),OR('CSV抽出'!$C$5="",A2902&lt;='CSV抽出'!$C$5),OR('CSV抽出'!$C$6="すべて",'CSV抽出'!$C$6="",D2902='CSV抽出'!$C$6),OR('CSV抽出'!$C$7="",B2902&amp;""='CSV抽出'!$C$7&amp;"")),1,0))</f>
        <v/>
      </c>
      <c r="AI2902" s="20">
        <f>IF(AH2902=1,SUM($AH$5:AH2902),"")</f>
        <v/>
      </c>
      <c r="AJ2902" s="20">
        <f>IF(OR(S2902="",'報告書'!$C$4=""),"",IF(S2902&amp;""='報告書'!$C$4&amp;"",COUNTIF($S$5:S2902,'報告書'!$C$4),""))</f>
        <v/>
      </c>
      <c r="AK2902" s="20" t="n"/>
      <c r="AL2902" s="47" t="n"/>
      <c r="AM2902" s="47" t="n"/>
      <c r="AN2902" s="53" t="n"/>
      <c r="AO2902" s="47" t="n"/>
      <c r="AP2902" s="47" t="n"/>
      <c r="AQ2902" s="47" t="n"/>
      <c r="AR2902" s="47" t="n"/>
      <c r="AS2902" s="47" t="n"/>
      <c r="AT2902" s="47" t="n"/>
      <c r="AU2902" s="47" t="n"/>
      <c r="AV2902" s="47" t="n"/>
      <c r="AW2902" s="52" t="n"/>
    </row>
    <row r="2903">
      <c r="A2903" s="48" t="n"/>
      <c r="B2903" s="52" t="n"/>
      <c r="C2903" s="47">
        <f>IF(B2903="","",IFERROR(INDEX('隊員マスタ'!$B$5:$B$204,MATCH(B2903&amp;"",'隊員マスタ'!$F$5:$F$204,0)),IF(AK2903="","番号なし",AK2903)))</f>
        <v/>
      </c>
      <c r="D2903" s="47" t="n"/>
      <c r="E2903" s="47" t="n"/>
      <c r="F2903" s="47" t="n"/>
      <c r="G2903" s="47" t="n"/>
      <c r="H2903" s="47" t="n"/>
      <c r="I2903" s="47" t="n"/>
      <c r="J2903" s="47" t="n"/>
      <c r="K2903" s="47" t="n"/>
      <c r="L2903" s="47" t="n"/>
      <c r="M2903" s="47" t="n"/>
      <c r="N2903" s="47" t="n"/>
      <c r="O2903" s="47" t="n"/>
      <c r="P2903" s="47" t="n"/>
      <c r="Q2903" s="47" t="n"/>
      <c r="R2903" s="47" t="n"/>
      <c r="S2903" s="47" t="n"/>
      <c r="T2903" s="47" t="n"/>
      <c r="U2903" s="53" t="n"/>
      <c r="V2903" s="53" t="n"/>
      <c r="W2903" s="47" t="n"/>
      <c r="X2903" s="47" t="n"/>
      <c r="Y2903" s="47" t="n"/>
      <c r="Z2903" s="47" t="n"/>
      <c r="AA2903" s="47" t="n"/>
      <c r="AB2903" s="47" t="n"/>
      <c r="AC2903" s="47" t="n"/>
      <c r="AD2903" s="47" t="n"/>
      <c r="AE2903" s="47" t="n"/>
      <c r="AF2903" s="20">
        <f>IF(A2903="","",YEAR(EDATE(A2903,-3)))</f>
        <v/>
      </c>
      <c r="AG2903" s="20">
        <f>IF(OR(B2903="",'経歴簿'!$C$4=""),"",IF(B2903&amp;""='経歴簿'!$C$4&amp;"",MAX($AG$4:AG2902)+1,""))</f>
        <v/>
      </c>
      <c r="AH2903" s="20">
        <f>IF(A2903="",0,IF(AND(OR('CSV抽出'!$C$4="",A2903&gt;='CSV抽出'!$C$4),OR('CSV抽出'!$C$5="",A2903&lt;='CSV抽出'!$C$5),OR('CSV抽出'!$C$6="すべて",'CSV抽出'!$C$6="",D2903='CSV抽出'!$C$6),OR('CSV抽出'!$C$7="",B2903&amp;""='CSV抽出'!$C$7&amp;"")),1,0))</f>
        <v/>
      </c>
      <c r="AI2903" s="20">
        <f>IF(AH2903=1,SUM($AH$5:AH2903),"")</f>
        <v/>
      </c>
      <c r="AJ2903" s="20">
        <f>IF(OR(S2903="",'報告書'!$C$4=""),"",IF(S2903&amp;""='報告書'!$C$4&amp;"",COUNTIF($S$5:S2903,'報告書'!$C$4),""))</f>
        <v/>
      </c>
      <c r="AK2903" s="20" t="n"/>
      <c r="AL2903" s="47" t="n"/>
      <c r="AM2903" s="47" t="n"/>
      <c r="AN2903" s="53" t="n"/>
      <c r="AO2903" s="47" t="n"/>
      <c r="AP2903" s="47" t="n"/>
      <c r="AQ2903" s="47" t="n"/>
      <c r="AR2903" s="47" t="n"/>
      <c r="AS2903" s="47" t="n"/>
      <c r="AT2903" s="47" t="n"/>
      <c r="AU2903" s="47" t="n"/>
      <c r="AV2903" s="47" t="n"/>
      <c r="AW2903" s="52" t="n"/>
    </row>
    <row r="2904">
      <c r="A2904" s="48" t="n"/>
      <c r="B2904" s="52" t="n"/>
      <c r="C2904" s="47">
        <f>IF(B2904="","",IFERROR(INDEX('隊員マスタ'!$B$5:$B$204,MATCH(B2904&amp;"",'隊員マスタ'!$F$5:$F$204,0)),IF(AK2904="","番号なし",AK2904)))</f>
        <v/>
      </c>
      <c r="D2904" s="47" t="n"/>
      <c r="E2904" s="47" t="n"/>
      <c r="F2904" s="47" t="n"/>
      <c r="G2904" s="47" t="n"/>
      <c r="H2904" s="47" t="n"/>
      <c r="I2904" s="47" t="n"/>
      <c r="J2904" s="47" t="n"/>
      <c r="K2904" s="47" t="n"/>
      <c r="L2904" s="47" t="n"/>
      <c r="M2904" s="47" t="n"/>
      <c r="N2904" s="47" t="n"/>
      <c r="O2904" s="47" t="n"/>
      <c r="P2904" s="47" t="n"/>
      <c r="Q2904" s="47" t="n"/>
      <c r="R2904" s="47" t="n"/>
      <c r="S2904" s="47" t="n"/>
      <c r="T2904" s="47" t="n"/>
      <c r="U2904" s="53" t="n"/>
      <c r="V2904" s="53" t="n"/>
      <c r="W2904" s="47" t="n"/>
      <c r="X2904" s="47" t="n"/>
      <c r="Y2904" s="47" t="n"/>
      <c r="Z2904" s="47" t="n"/>
      <c r="AA2904" s="47" t="n"/>
      <c r="AB2904" s="47" t="n"/>
      <c r="AC2904" s="47" t="n"/>
      <c r="AD2904" s="47" t="n"/>
      <c r="AE2904" s="47" t="n"/>
      <c r="AF2904" s="20">
        <f>IF(A2904="","",YEAR(EDATE(A2904,-3)))</f>
        <v/>
      </c>
      <c r="AG2904" s="20">
        <f>IF(OR(B2904="",'経歴簿'!$C$4=""),"",IF(B2904&amp;""='経歴簿'!$C$4&amp;"",MAX($AG$4:AG2903)+1,""))</f>
        <v/>
      </c>
      <c r="AH2904" s="20">
        <f>IF(A2904="",0,IF(AND(OR('CSV抽出'!$C$4="",A2904&gt;='CSV抽出'!$C$4),OR('CSV抽出'!$C$5="",A2904&lt;='CSV抽出'!$C$5),OR('CSV抽出'!$C$6="すべて",'CSV抽出'!$C$6="",D2904='CSV抽出'!$C$6),OR('CSV抽出'!$C$7="",B2904&amp;""='CSV抽出'!$C$7&amp;"")),1,0))</f>
        <v/>
      </c>
      <c r="AI2904" s="20">
        <f>IF(AH2904=1,SUM($AH$5:AH2904),"")</f>
        <v/>
      </c>
      <c r="AJ2904" s="20">
        <f>IF(OR(S2904="",'報告書'!$C$4=""),"",IF(S2904&amp;""='報告書'!$C$4&amp;"",COUNTIF($S$5:S2904,'報告書'!$C$4),""))</f>
        <v/>
      </c>
      <c r="AK2904" s="20" t="n"/>
      <c r="AL2904" s="47" t="n"/>
      <c r="AM2904" s="47" t="n"/>
      <c r="AN2904" s="53" t="n"/>
      <c r="AO2904" s="47" t="n"/>
      <c r="AP2904" s="47" t="n"/>
      <c r="AQ2904" s="47" t="n"/>
      <c r="AR2904" s="47" t="n"/>
      <c r="AS2904" s="47" t="n"/>
      <c r="AT2904" s="47" t="n"/>
      <c r="AU2904" s="47" t="n"/>
      <c r="AV2904" s="47" t="n"/>
      <c r="AW2904" s="52" t="n"/>
    </row>
    <row r="2905">
      <c r="A2905" s="48" t="n"/>
      <c r="B2905" s="52" t="n"/>
      <c r="C2905" s="47">
        <f>IF(B2905="","",IFERROR(INDEX('隊員マスタ'!$B$5:$B$204,MATCH(B2905&amp;"",'隊員マスタ'!$F$5:$F$204,0)),IF(AK2905="","番号なし",AK2905)))</f>
        <v/>
      </c>
      <c r="D2905" s="47" t="n"/>
      <c r="E2905" s="47" t="n"/>
      <c r="F2905" s="47" t="n"/>
      <c r="G2905" s="47" t="n"/>
      <c r="H2905" s="47" t="n"/>
      <c r="I2905" s="47" t="n"/>
      <c r="J2905" s="47" t="n"/>
      <c r="K2905" s="47" t="n"/>
      <c r="L2905" s="47" t="n"/>
      <c r="M2905" s="47" t="n"/>
      <c r="N2905" s="47" t="n"/>
      <c r="O2905" s="47" t="n"/>
      <c r="P2905" s="47" t="n"/>
      <c r="Q2905" s="47" t="n"/>
      <c r="R2905" s="47" t="n"/>
      <c r="S2905" s="47" t="n"/>
      <c r="T2905" s="47" t="n"/>
      <c r="U2905" s="53" t="n"/>
      <c r="V2905" s="53" t="n"/>
      <c r="W2905" s="47" t="n"/>
      <c r="X2905" s="47" t="n"/>
      <c r="Y2905" s="47" t="n"/>
      <c r="Z2905" s="47" t="n"/>
      <c r="AA2905" s="47" t="n"/>
      <c r="AB2905" s="47" t="n"/>
      <c r="AC2905" s="47" t="n"/>
      <c r="AD2905" s="47" t="n"/>
      <c r="AE2905" s="47" t="n"/>
      <c r="AF2905" s="20">
        <f>IF(A2905="","",YEAR(EDATE(A2905,-3)))</f>
        <v/>
      </c>
      <c r="AG2905" s="20">
        <f>IF(OR(B2905="",'経歴簿'!$C$4=""),"",IF(B2905&amp;""='経歴簿'!$C$4&amp;"",MAX($AG$4:AG2904)+1,""))</f>
        <v/>
      </c>
      <c r="AH2905" s="20">
        <f>IF(A2905="",0,IF(AND(OR('CSV抽出'!$C$4="",A2905&gt;='CSV抽出'!$C$4),OR('CSV抽出'!$C$5="",A2905&lt;='CSV抽出'!$C$5),OR('CSV抽出'!$C$6="すべて",'CSV抽出'!$C$6="",D2905='CSV抽出'!$C$6),OR('CSV抽出'!$C$7="",B2905&amp;""='CSV抽出'!$C$7&amp;"")),1,0))</f>
        <v/>
      </c>
      <c r="AI2905" s="20">
        <f>IF(AH2905=1,SUM($AH$5:AH2905),"")</f>
        <v/>
      </c>
      <c r="AJ2905" s="20">
        <f>IF(OR(S2905="",'報告書'!$C$4=""),"",IF(S2905&amp;""='報告書'!$C$4&amp;"",COUNTIF($S$5:S2905,'報告書'!$C$4),""))</f>
        <v/>
      </c>
      <c r="AK2905" s="20" t="n"/>
      <c r="AL2905" s="47" t="n"/>
      <c r="AM2905" s="47" t="n"/>
      <c r="AN2905" s="53" t="n"/>
      <c r="AO2905" s="47" t="n"/>
      <c r="AP2905" s="47" t="n"/>
      <c r="AQ2905" s="47" t="n"/>
      <c r="AR2905" s="47" t="n"/>
      <c r="AS2905" s="47" t="n"/>
      <c r="AT2905" s="47" t="n"/>
      <c r="AU2905" s="47" t="n"/>
      <c r="AV2905" s="47" t="n"/>
      <c r="AW2905" s="52" t="n"/>
    </row>
    <row r="2906">
      <c r="A2906" s="48" t="n"/>
      <c r="B2906" s="52" t="n"/>
      <c r="C2906" s="47">
        <f>IF(B2906="","",IFERROR(INDEX('隊員マスタ'!$B$5:$B$204,MATCH(B2906&amp;"",'隊員マスタ'!$F$5:$F$204,0)),IF(AK2906="","番号なし",AK2906)))</f>
        <v/>
      </c>
      <c r="D2906" s="47" t="n"/>
      <c r="E2906" s="47" t="n"/>
      <c r="F2906" s="47" t="n"/>
      <c r="G2906" s="47" t="n"/>
      <c r="H2906" s="47" t="n"/>
      <c r="I2906" s="47" t="n"/>
      <c r="J2906" s="47" t="n"/>
      <c r="K2906" s="47" t="n"/>
      <c r="L2906" s="47" t="n"/>
      <c r="M2906" s="47" t="n"/>
      <c r="N2906" s="47" t="n"/>
      <c r="O2906" s="47" t="n"/>
      <c r="P2906" s="47" t="n"/>
      <c r="Q2906" s="47" t="n"/>
      <c r="R2906" s="47" t="n"/>
      <c r="S2906" s="47" t="n"/>
      <c r="T2906" s="47" t="n"/>
      <c r="U2906" s="53" t="n"/>
      <c r="V2906" s="53" t="n"/>
      <c r="W2906" s="47" t="n"/>
      <c r="X2906" s="47" t="n"/>
      <c r="Y2906" s="47" t="n"/>
      <c r="Z2906" s="47" t="n"/>
      <c r="AA2906" s="47" t="n"/>
      <c r="AB2906" s="47" t="n"/>
      <c r="AC2906" s="47" t="n"/>
      <c r="AD2906" s="47" t="n"/>
      <c r="AE2906" s="47" t="n"/>
      <c r="AF2906" s="20">
        <f>IF(A2906="","",YEAR(EDATE(A2906,-3)))</f>
        <v/>
      </c>
      <c r="AG2906" s="20">
        <f>IF(OR(B2906="",'経歴簿'!$C$4=""),"",IF(B2906&amp;""='経歴簿'!$C$4&amp;"",MAX($AG$4:AG2905)+1,""))</f>
        <v/>
      </c>
      <c r="AH2906" s="20">
        <f>IF(A2906="",0,IF(AND(OR('CSV抽出'!$C$4="",A2906&gt;='CSV抽出'!$C$4),OR('CSV抽出'!$C$5="",A2906&lt;='CSV抽出'!$C$5),OR('CSV抽出'!$C$6="すべて",'CSV抽出'!$C$6="",D2906='CSV抽出'!$C$6),OR('CSV抽出'!$C$7="",B2906&amp;""='CSV抽出'!$C$7&amp;"")),1,0))</f>
        <v/>
      </c>
      <c r="AI2906" s="20">
        <f>IF(AH2906=1,SUM($AH$5:AH2906),"")</f>
        <v/>
      </c>
      <c r="AJ2906" s="20">
        <f>IF(OR(S2906="",'報告書'!$C$4=""),"",IF(S2906&amp;""='報告書'!$C$4&amp;"",COUNTIF($S$5:S2906,'報告書'!$C$4),""))</f>
        <v/>
      </c>
      <c r="AK2906" s="20" t="n"/>
      <c r="AL2906" s="47" t="n"/>
      <c r="AM2906" s="47" t="n"/>
      <c r="AN2906" s="53" t="n"/>
      <c r="AO2906" s="47" t="n"/>
      <c r="AP2906" s="47" t="n"/>
      <c r="AQ2906" s="47" t="n"/>
      <c r="AR2906" s="47" t="n"/>
      <c r="AS2906" s="47" t="n"/>
      <c r="AT2906" s="47" t="n"/>
      <c r="AU2906" s="47" t="n"/>
      <c r="AV2906" s="47" t="n"/>
      <c r="AW2906" s="52" t="n"/>
    </row>
    <row r="2907">
      <c r="A2907" s="48" t="n"/>
      <c r="B2907" s="52" t="n"/>
      <c r="C2907" s="47">
        <f>IF(B2907="","",IFERROR(INDEX('隊員マスタ'!$B$5:$B$204,MATCH(B2907&amp;"",'隊員マスタ'!$F$5:$F$204,0)),IF(AK2907="","番号なし",AK2907)))</f>
        <v/>
      </c>
      <c r="D2907" s="47" t="n"/>
      <c r="E2907" s="47" t="n"/>
      <c r="F2907" s="47" t="n"/>
      <c r="G2907" s="47" t="n"/>
      <c r="H2907" s="47" t="n"/>
      <c r="I2907" s="47" t="n"/>
      <c r="J2907" s="47" t="n"/>
      <c r="K2907" s="47" t="n"/>
      <c r="L2907" s="47" t="n"/>
      <c r="M2907" s="47" t="n"/>
      <c r="N2907" s="47" t="n"/>
      <c r="O2907" s="47" t="n"/>
      <c r="P2907" s="47" t="n"/>
      <c r="Q2907" s="47" t="n"/>
      <c r="R2907" s="47" t="n"/>
      <c r="S2907" s="47" t="n"/>
      <c r="T2907" s="47" t="n"/>
      <c r="U2907" s="53" t="n"/>
      <c r="V2907" s="53" t="n"/>
      <c r="W2907" s="47" t="n"/>
      <c r="X2907" s="47" t="n"/>
      <c r="Y2907" s="47" t="n"/>
      <c r="Z2907" s="47" t="n"/>
      <c r="AA2907" s="47" t="n"/>
      <c r="AB2907" s="47" t="n"/>
      <c r="AC2907" s="47" t="n"/>
      <c r="AD2907" s="47" t="n"/>
      <c r="AE2907" s="47" t="n"/>
      <c r="AF2907" s="20">
        <f>IF(A2907="","",YEAR(EDATE(A2907,-3)))</f>
        <v/>
      </c>
      <c r="AG2907" s="20">
        <f>IF(OR(B2907="",'経歴簿'!$C$4=""),"",IF(B2907&amp;""='経歴簿'!$C$4&amp;"",MAX($AG$4:AG2906)+1,""))</f>
        <v/>
      </c>
      <c r="AH2907" s="20">
        <f>IF(A2907="",0,IF(AND(OR('CSV抽出'!$C$4="",A2907&gt;='CSV抽出'!$C$4),OR('CSV抽出'!$C$5="",A2907&lt;='CSV抽出'!$C$5),OR('CSV抽出'!$C$6="すべて",'CSV抽出'!$C$6="",D2907='CSV抽出'!$C$6),OR('CSV抽出'!$C$7="",B2907&amp;""='CSV抽出'!$C$7&amp;"")),1,0))</f>
        <v/>
      </c>
      <c r="AI2907" s="20">
        <f>IF(AH2907=1,SUM($AH$5:AH2907),"")</f>
        <v/>
      </c>
      <c r="AJ2907" s="20">
        <f>IF(OR(S2907="",'報告書'!$C$4=""),"",IF(S2907&amp;""='報告書'!$C$4&amp;"",COUNTIF($S$5:S2907,'報告書'!$C$4),""))</f>
        <v/>
      </c>
      <c r="AK2907" s="20" t="n"/>
      <c r="AL2907" s="47" t="n"/>
      <c r="AM2907" s="47" t="n"/>
      <c r="AN2907" s="53" t="n"/>
      <c r="AO2907" s="47" t="n"/>
      <c r="AP2907" s="47" t="n"/>
      <c r="AQ2907" s="47" t="n"/>
      <c r="AR2907" s="47" t="n"/>
      <c r="AS2907" s="47" t="n"/>
      <c r="AT2907" s="47" t="n"/>
      <c r="AU2907" s="47" t="n"/>
      <c r="AV2907" s="47" t="n"/>
      <c r="AW2907" s="52" t="n"/>
    </row>
    <row r="2908">
      <c r="A2908" s="48" t="n"/>
      <c r="B2908" s="52" t="n"/>
      <c r="C2908" s="47">
        <f>IF(B2908="","",IFERROR(INDEX('隊員マスタ'!$B$5:$B$204,MATCH(B2908&amp;"",'隊員マスタ'!$F$5:$F$204,0)),IF(AK2908="","番号なし",AK2908)))</f>
        <v/>
      </c>
      <c r="D2908" s="47" t="n"/>
      <c r="E2908" s="47" t="n"/>
      <c r="F2908" s="47" t="n"/>
      <c r="G2908" s="47" t="n"/>
      <c r="H2908" s="47" t="n"/>
      <c r="I2908" s="47" t="n"/>
      <c r="J2908" s="47" t="n"/>
      <c r="K2908" s="47" t="n"/>
      <c r="L2908" s="47" t="n"/>
      <c r="M2908" s="47" t="n"/>
      <c r="N2908" s="47" t="n"/>
      <c r="O2908" s="47" t="n"/>
      <c r="P2908" s="47" t="n"/>
      <c r="Q2908" s="47" t="n"/>
      <c r="R2908" s="47" t="n"/>
      <c r="S2908" s="47" t="n"/>
      <c r="T2908" s="47" t="n"/>
      <c r="U2908" s="53" t="n"/>
      <c r="V2908" s="53" t="n"/>
      <c r="W2908" s="47" t="n"/>
      <c r="X2908" s="47" t="n"/>
      <c r="Y2908" s="47" t="n"/>
      <c r="Z2908" s="47" t="n"/>
      <c r="AA2908" s="47" t="n"/>
      <c r="AB2908" s="47" t="n"/>
      <c r="AC2908" s="47" t="n"/>
      <c r="AD2908" s="47" t="n"/>
      <c r="AE2908" s="47" t="n"/>
      <c r="AF2908" s="20">
        <f>IF(A2908="","",YEAR(EDATE(A2908,-3)))</f>
        <v/>
      </c>
      <c r="AG2908" s="20">
        <f>IF(OR(B2908="",'経歴簿'!$C$4=""),"",IF(B2908&amp;""='経歴簿'!$C$4&amp;"",MAX($AG$4:AG2907)+1,""))</f>
        <v/>
      </c>
      <c r="AH2908" s="20">
        <f>IF(A2908="",0,IF(AND(OR('CSV抽出'!$C$4="",A2908&gt;='CSV抽出'!$C$4),OR('CSV抽出'!$C$5="",A2908&lt;='CSV抽出'!$C$5),OR('CSV抽出'!$C$6="すべて",'CSV抽出'!$C$6="",D2908='CSV抽出'!$C$6),OR('CSV抽出'!$C$7="",B2908&amp;""='CSV抽出'!$C$7&amp;"")),1,0))</f>
        <v/>
      </c>
      <c r="AI2908" s="20">
        <f>IF(AH2908=1,SUM($AH$5:AH2908),"")</f>
        <v/>
      </c>
      <c r="AJ2908" s="20">
        <f>IF(OR(S2908="",'報告書'!$C$4=""),"",IF(S2908&amp;""='報告書'!$C$4&amp;"",COUNTIF($S$5:S2908,'報告書'!$C$4),""))</f>
        <v/>
      </c>
      <c r="AK2908" s="20" t="n"/>
      <c r="AL2908" s="47" t="n"/>
      <c r="AM2908" s="47" t="n"/>
      <c r="AN2908" s="53" t="n"/>
      <c r="AO2908" s="47" t="n"/>
      <c r="AP2908" s="47" t="n"/>
      <c r="AQ2908" s="47" t="n"/>
      <c r="AR2908" s="47" t="n"/>
      <c r="AS2908" s="47" t="n"/>
      <c r="AT2908" s="47" t="n"/>
      <c r="AU2908" s="47" t="n"/>
      <c r="AV2908" s="47" t="n"/>
      <c r="AW2908" s="52" t="n"/>
    </row>
    <row r="2909">
      <c r="A2909" s="48" t="n"/>
      <c r="B2909" s="52" t="n"/>
      <c r="C2909" s="47">
        <f>IF(B2909="","",IFERROR(INDEX('隊員マスタ'!$B$5:$B$204,MATCH(B2909&amp;"",'隊員マスタ'!$F$5:$F$204,0)),IF(AK2909="","番号なし",AK2909)))</f>
        <v/>
      </c>
      <c r="D2909" s="47" t="n"/>
      <c r="E2909" s="47" t="n"/>
      <c r="F2909" s="47" t="n"/>
      <c r="G2909" s="47" t="n"/>
      <c r="H2909" s="47" t="n"/>
      <c r="I2909" s="47" t="n"/>
      <c r="J2909" s="47" t="n"/>
      <c r="K2909" s="47" t="n"/>
      <c r="L2909" s="47" t="n"/>
      <c r="M2909" s="47" t="n"/>
      <c r="N2909" s="47" t="n"/>
      <c r="O2909" s="47" t="n"/>
      <c r="P2909" s="47" t="n"/>
      <c r="Q2909" s="47" t="n"/>
      <c r="R2909" s="47" t="n"/>
      <c r="S2909" s="47" t="n"/>
      <c r="T2909" s="47" t="n"/>
      <c r="U2909" s="53" t="n"/>
      <c r="V2909" s="53" t="n"/>
      <c r="W2909" s="47" t="n"/>
      <c r="X2909" s="47" t="n"/>
      <c r="Y2909" s="47" t="n"/>
      <c r="Z2909" s="47" t="n"/>
      <c r="AA2909" s="47" t="n"/>
      <c r="AB2909" s="47" t="n"/>
      <c r="AC2909" s="47" t="n"/>
      <c r="AD2909" s="47" t="n"/>
      <c r="AE2909" s="47" t="n"/>
      <c r="AF2909" s="20">
        <f>IF(A2909="","",YEAR(EDATE(A2909,-3)))</f>
        <v/>
      </c>
      <c r="AG2909" s="20">
        <f>IF(OR(B2909="",'経歴簿'!$C$4=""),"",IF(B2909&amp;""='経歴簿'!$C$4&amp;"",MAX($AG$4:AG2908)+1,""))</f>
        <v/>
      </c>
      <c r="AH2909" s="20">
        <f>IF(A2909="",0,IF(AND(OR('CSV抽出'!$C$4="",A2909&gt;='CSV抽出'!$C$4),OR('CSV抽出'!$C$5="",A2909&lt;='CSV抽出'!$C$5),OR('CSV抽出'!$C$6="すべて",'CSV抽出'!$C$6="",D2909='CSV抽出'!$C$6),OR('CSV抽出'!$C$7="",B2909&amp;""='CSV抽出'!$C$7&amp;"")),1,0))</f>
        <v/>
      </c>
      <c r="AI2909" s="20">
        <f>IF(AH2909=1,SUM($AH$5:AH2909),"")</f>
        <v/>
      </c>
      <c r="AJ2909" s="20">
        <f>IF(OR(S2909="",'報告書'!$C$4=""),"",IF(S2909&amp;""='報告書'!$C$4&amp;"",COUNTIF($S$5:S2909,'報告書'!$C$4),""))</f>
        <v/>
      </c>
      <c r="AK2909" s="20" t="n"/>
      <c r="AL2909" s="47" t="n"/>
      <c r="AM2909" s="47" t="n"/>
      <c r="AN2909" s="53" t="n"/>
      <c r="AO2909" s="47" t="n"/>
      <c r="AP2909" s="47" t="n"/>
      <c r="AQ2909" s="47" t="n"/>
      <c r="AR2909" s="47" t="n"/>
      <c r="AS2909" s="47" t="n"/>
      <c r="AT2909" s="47" t="n"/>
      <c r="AU2909" s="47" t="n"/>
      <c r="AV2909" s="47" t="n"/>
      <c r="AW2909" s="52" t="n"/>
    </row>
    <row r="2910">
      <c r="A2910" s="48" t="n"/>
      <c r="B2910" s="52" t="n"/>
      <c r="C2910" s="47">
        <f>IF(B2910="","",IFERROR(INDEX('隊員マスタ'!$B$5:$B$204,MATCH(B2910&amp;"",'隊員マスタ'!$F$5:$F$204,0)),IF(AK2910="","番号なし",AK2910)))</f>
        <v/>
      </c>
      <c r="D2910" s="47" t="n"/>
      <c r="E2910" s="47" t="n"/>
      <c r="F2910" s="47" t="n"/>
      <c r="G2910" s="47" t="n"/>
      <c r="H2910" s="47" t="n"/>
      <c r="I2910" s="47" t="n"/>
      <c r="J2910" s="47" t="n"/>
      <c r="K2910" s="47" t="n"/>
      <c r="L2910" s="47" t="n"/>
      <c r="M2910" s="47" t="n"/>
      <c r="N2910" s="47" t="n"/>
      <c r="O2910" s="47" t="n"/>
      <c r="P2910" s="47" t="n"/>
      <c r="Q2910" s="47" t="n"/>
      <c r="R2910" s="47" t="n"/>
      <c r="S2910" s="47" t="n"/>
      <c r="T2910" s="47" t="n"/>
      <c r="U2910" s="53" t="n"/>
      <c r="V2910" s="53" t="n"/>
      <c r="W2910" s="47" t="n"/>
      <c r="X2910" s="47" t="n"/>
      <c r="Y2910" s="47" t="n"/>
      <c r="Z2910" s="47" t="n"/>
      <c r="AA2910" s="47" t="n"/>
      <c r="AB2910" s="47" t="n"/>
      <c r="AC2910" s="47" t="n"/>
      <c r="AD2910" s="47" t="n"/>
      <c r="AE2910" s="47" t="n"/>
      <c r="AF2910" s="20">
        <f>IF(A2910="","",YEAR(EDATE(A2910,-3)))</f>
        <v/>
      </c>
      <c r="AG2910" s="20">
        <f>IF(OR(B2910="",'経歴簿'!$C$4=""),"",IF(B2910&amp;""='経歴簿'!$C$4&amp;"",MAX($AG$4:AG2909)+1,""))</f>
        <v/>
      </c>
      <c r="AH2910" s="20">
        <f>IF(A2910="",0,IF(AND(OR('CSV抽出'!$C$4="",A2910&gt;='CSV抽出'!$C$4),OR('CSV抽出'!$C$5="",A2910&lt;='CSV抽出'!$C$5),OR('CSV抽出'!$C$6="すべて",'CSV抽出'!$C$6="",D2910='CSV抽出'!$C$6),OR('CSV抽出'!$C$7="",B2910&amp;""='CSV抽出'!$C$7&amp;"")),1,0))</f>
        <v/>
      </c>
      <c r="AI2910" s="20">
        <f>IF(AH2910=1,SUM($AH$5:AH2910),"")</f>
        <v/>
      </c>
      <c r="AJ2910" s="20">
        <f>IF(OR(S2910="",'報告書'!$C$4=""),"",IF(S2910&amp;""='報告書'!$C$4&amp;"",COUNTIF($S$5:S2910,'報告書'!$C$4),""))</f>
        <v/>
      </c>
      <c r="AK2910" s="20" t="n"/>
      <c r="AL2910" s="47" t="n"/>
      <c r="AM2910" s="47" t="n"/>
      <c r="AN2910" s="53" t="n"/>
      <c r="AO2910" s="47" t="n"/>
      <c r="AP2910" s="47" t="n"/>
      <c r="AQ2910" s="47" t="n"/>
      <c r="AR2910" s="47" t="n"/>
      <c r="AS2910" s="47" t="n"/>
      <c r="AT2910" s="47" t="n"/>
      <c r="AU2910" s="47" t="n"/>
      <c r="AV2910" s="47" t="n"/>
      <c r="AW2910" s="52" t="n"/>
    </row>
    <row r="2911">
      <c r="A2911" s="48" t="n"/>
      <c r="B2911" s="52" t="n"/>
      <c r="C2911" s="47">
        <f>IF(B2911="","",IFERROR(INDEX('隊員マスタ'!$B$5:$B$204,MATCH(B2911&amp;"",'隊員マスタ'!$F$5:$F$204,0)),IF(AK2911="","番号なし",AK2911)))</f>
        <v/>
      </c>
      <c r="D2911" s="47" t="n"/>
      <c r="E2911" s="47" t="n"/>
      <c r="F2911" s="47" t="n"/>
      <c r="G2911" s="47" t="n"/>
      <c r="H2911" s="47" t="n"/>
      <c r="I2911" s="47" t="n"/>
      <c r="J2911" s="47" t="n"/>
      <c r="K2911" s="47" t="n"/>
      <c r="L2911" s="47" t="n"/>
      <c r="M2911" s="47" t="n"/>
      <c r="N2911" s="47" t="n"/>
      <c r="O2911" s="47" t="n"/>
      <c r="P2911" s="47" t="n"/>
      <c r="Q2911" s="47" t="n"/>
      <c r="R2911" s="47" t="n"/>
      <c r="S2911" s="47" t="n"/>
      <c r="T2911" s="47" t="n"/>
      <c r="U2911" s="53" t="n"/>
      <c r="V2911" s="53" t="n"/>
      <c r="W2911" s="47" t="n"/>
      <c r="X2911" s="47" t="n"/>
      <c r="Y2911" s="47" t="n"/>
      <c r="Z2911" s="47" t="n"/>
      <c r="AA2911" s="47" t="n"/>
      <c r="AB2911" s="47" t="n"/>
      <c r="AC2911" s="47" t="n"/>
      <c r="AD2911" s="47" t="n"/>
      <c r="AE2911" s="47" t="n"/>
      <c r="AF2911" s="20">
        <f>IF(A2911="","",YEAR(EDATE(A2911,-3)))</f>
        <v/>
      </c>
      <c r="AG2911" s="20">
        <f>IF(OR(B2911="",'経歴簿'!$C$4=""),"",IF(B2911&amp;""='経歴簿'!$C$4&amp;"",MAX($AG$4:AG2910)+1,""))</f>
        <v/>
      </c>
      <c r="AH2911" s="20">
        <f>IF(A2911="",0,IF(AND(OR('CSV抽出'!$C$4="",A2911&gt;='CSV抽出'!$C$4),OR('CSV抽出'!$C$5="",A2911&lt;='CSV抽出'!$C$5),OR('CSV抽出'!$C$6="すべて",'CSV抽出'!$C$6="",D2911='CSV抽出'!$C$6),OR('CSV抽出'!$C$7="",B2911&amp;""='CSV抽出'!$C$7&amp;"")),1,0))</f>
        <v/>
      </c>
      <c r="AI2911" s="20">
        <f>IF(AH2911=1,SUM($AH$5:AH2911),"")</f>
        <v/>
      </c>
      <c r="AJ2911" s="20">
        <f>IF(OR(S2911="",'報告書'!$C$4=""),"",IF(S2911&amp;""='報告書'!$C$4&amp;"",COUNTIF($S$5:S2911,'報告書'!$C$4),""))</f>
        <v/>
      </c>
      <c r="AK2911" s="20" t="n"/>
      <c r="AL2911" s="47" t="n"/>
      <c r="AM2911" s="47" t="n"/>
      <c r="AN2911" s="53" t="n"/>
      <c r="AO2911" s="47" t="n"/>
      <c r="AP2911" s="47" t="n"/>
      <c r="AQ2911" s="47" t="n"/>
      <c r="AR2911" s="47" t="n"/>
      <c r="AS2911" s="47" t="n"/>
      <c r="AT2911" s="47" t="n"/>
      <c r="AU2911" s="47" t="n"/>
      <c r="AV2911" s="47" t="n"/>
      <c r="AW2911" s="52" t="n"/>
    </row>
    <row r="2912">
      <c r="A2912" s="48" t="n"/>
      <c r="B2912" s="52" t="n"/>
      <c r="C2912" s="47">
        <f>IF(B2912="","",IFERROR(INDEX('隊員マスタ'!$B$5:$B$204,MATCH(B2912&amp;"",'隊員マスタ'!$F$5:$F$204,0)),IF(AK2912="","番号なし",AK2912)))</f>
        <v/>
      </c>
      <c r="D2912" s="47" t="n"/>
      <c r="E2912" s="47" t="n"/>
      <c r="F2912" s="47" t="n"/>
      <c r="G2912" s="47" t="n"/>
      <c r="H2912" s="47" t="n"/>
      <c r="I2912" s="47" t="n"/>
      <c r="J2912" s="47" t="n"/>
      <c r="K2912" s="47" t="n"/>
      <c r="L2912" s="47" t="n"/>
      <c r="M2912" s="47" t="n"/>
      <c r="N2912" s="47" t="n"/>
      <c r="O2912" s="47" t="n"/>
      <c r="P2912" s="47" t="n"/>
      <c r="Q2912" s="47" t="n"/>
      <c r="R2912" s="47" t="n"/>
      <c r="S2912" s="47" t="n"/>
      <c r="T2912" s="47" t="n"/>
      <c r="U2912" s="53" t="n"/>
      <c r="V2912" s="53" t="n"/>
      <c r="W2912" s="47" t="n"/>
      <c r="X2912" s="47" t="n"/>
      <c r="Y2912" s="47" t="n"/>
      <c r="Z2912" s="47" t="n"/>
      <c r="AA2912" s="47" t="n"/>
      <c r="AB2912" s="47" t="n"/>
      <c r="AC2912" s="47" t="n"/>
      <c r="AD2912" s="47" t="n"/>
      <c r="AE2912" s="47" t="n"/>
      <c r="AF2912" s="20">
        <f>IF(A2912="","",YEAR(EDATE(A2912,-3)))</f>
        <v/>
      </c>
      <c r="AG2912" s="20">
        <f>IF(OR(B2912="",'経歴簿'!$C$4=""),"",IF(B2912&amp;""='経歴簿'!$C$4&amp;"",MAX($AG$4:AG2911)+1,""))</f>
        <v/>
      </c>
      <c r="AH2912" s="20">
        <f>IF(A2912="",0,IF(AND(OR('CSV抽出'!$C$4="",A2912&gt;='CSV抽出'!$C$4),OR('CSV抽出'!$C$5="",A2912&lt;='CSV抽出'!$C$5),OR('CSV抽出'!$C$6="すべて",'CSV抽出'!$C$6="",D2912='CSV抽出'!$C$6),OR('CSV抽出'!$C$7="",B2912&amp;""='CSV抽出'!$C$7&amp;"")),1,0))</f>
        <v/>
      </c>
      <c r="AI2912" s="20">
        <f>IF(AH2912=1,SUM($AH$5:AH2912),"")</f>
        <v/>
      </c>
      <c r="AJ2912" s="20">
        <f>IF(OR(S2912="",'報告書'!$C$4=""),"",IF(S2912&amp;""='報告書'!$C$4&amp;"",COUNTIF($S$5:S2912,'報告書'!$C$4),""))</f>
        <v/>
      </c>
      <c r="AK2912" s="20" t="n"/>
      <c r="AL2912" s="47" t="n"/>
      <c r="AM2912" s="47" t="n"/>
      <c r="AN2912" s="53" t="n"/>
      <c r="AO2912" s="47" t="n"/>
      <c r="AP2912" s="47" t="n"/>
      <c r="AQ2912" s="47" t="n"/>
      <c r="AR2912" s="47" t="n"/>
      <c r="AS2912" s="47" t="n"/>
      <c r="AT2912" s="47" t="n"/>
      <c r="AU2912" s="47" t="n"/>
      <c r="AV2912" s="47" t="n"/>
      <c r="AW2912" s="52" t="n"/>
    </row>
    <row r="2913">
      <c r="A2913" s="48" t="n"/>
      <c r="B2913" s="52" t="n"/>
      <c r="C2913" s="47">
        <f>IF(B2913="","",IFERROR(INDEX('隊員マスタ'!$B$5:$B$204,MATCH(B2913&amp;"",'隊員マスタ'!$F$5:$F$204,0)),IF(AK2913="","番号なし",AK2913)))</f>
        <v/>
      </c>
      <c r="D2913" s="47" t="n"/>
      <c r="E2913" s="47" t="n"/>
      <c r="F2913" s="47" t="n"/>
      <c r="G2913" s="47" t="n"/>
      <c r="H2913" s="47" t="n"/>
      <c r="I2913" s="47" t="n"/>
      <c r="J2913" s="47" t="n"/>
      <c r="K2913" s="47" t="n"/>
      <c r="L2913" s="47" t="n"/>
      <c r="M2913" s="47" t="n"/>
      <c r="N2913" s="47" t="n"/>
      <c r="O2913" s="47" t="n"/>
      <c r="P2913" s="47" t="n"/>
      <c r="Q2913" s="47" t="n"/>
      <c r="R2913" s="47" t="n"/>
      <c r="S2913" s="47" t="n"/>
      <c r="T2913" s="47" t="n"/>
      <c r="U2913" s="53" t="n"/>
      <c r="V2913" s="53" t="n"/>
      <c r="W2913" s="47" t="n"/>
      <c r="X2913" s="47" t="n"/>
      <c r="Y2913" s="47" t="n"/>
      <c r="Z2913" s="47" t="n"/>
      <c r="AA2913" s="47" t="n"/>
      <c r="AB2913" s="47" t="n"/>
      <c r="AC2913" s="47" t="n"/>
      <c r="AD2913" s="47" t="n"/>
      <c r="AE2913" s="47" t="n"/>
      <c r="AF2913" s="20">
        <f>IF(A2913="","",YEAR(EDATE(A2913,-3)))</f>
        <v/>
      </c>
      <c r="AG2913" s="20">
        <f>IF(OR(B2913="",'経歴簿'!$C$4=""),"",IF(B2913&amp;""='経歴簿'!$C$4&amp;"",MAX($AG$4:AG2912)+1,""))</f>
        <v/>
      </c>
      <c r="AH2913" s="20">
        <f>IF(A2913="",0,IF(AND(OR('CSV抽出'!$C$4="",A2913&gt;='CSV抽出'!$C$4),OR('CSV抽出'!$C$5="",A2913&lt;='CSV抽出'!$C$5),OR('CSV抽出'!$C$6="すべて",'CSV抽出'!$C$6="",D2913='CSV抽出'!$C$6),OR('CSV抽出'!$C$7="",B2913&amp;""='CSV抽出'!$C$7&amp;"")),1,0))</f>
        <v/>
      </c>
      <c r="AI2913" s="20">
        <f>IF(AH2913=1,SUM($AH$5:AH2913),"")</f>
        <v/>
      </c>
      <c r="AJ2913" s="20">
        <f>IF(OR(S2913="",'報告書'!$C$4=""),"",IF(S2913&amp;""='報告書'!$C$4&amp;"",COUNTIF($S$5:S2913,'報告書'!$C$4),""))</f>
        <v/>
      </c>
      <c r="AK2913" s="20" t="n"/>
      <c r="AL2913" s="47" t="n"/>
      <c r="AM2913" s="47" t="n"/>
      <c r="AN2913" s="53" t="n"/>
      <c r="AO2913" s="47" t="n"/>
      <c r="AP2913" s="47" t="n"/>
      <c r="AQ2913" s="47" t="n"/>
      <c r="AR2913" s="47" t="n"/>
      <c r="AS2913" s="47" t="n"/>
      <c r="AT2913" s="47" t="n"/>
      <c r="AU2913" s="47" t="n"/>
      <c r="AV2913" s="47" t="n"/>
      <c r="AW2913" s="52" t="n"/>
    </row>
    <row r="2914">
      <c r="A2914" s="48" t="n"/>
      <c r="B2914" s="52" t="n"/>
      <c r="C2914" s="47">
        <f>IF(B2914="","",IFERROR(INDEX('隊員マスタ'!$B$5:$B$204,MATCH(B2914&amp;"",'隊員マスタ'!$F$5:$F$204,0)),IF(AK2914="","番号なし",AK2914)))</f>
        <v/>
      </c>
      <c r="D2914" s="47" t="n"/>
      <c r="E2914" s="47" t="n"/>
      <c r="F2914" s="47" t="n"/>
      <c r="G2914" s="47" t="n"/>
      <c r="H2914" s="47" t="n"/>
      <c r="I2914" s="47" t="n"/>
      <c r="J2914" s="47" t="n"/>
      <c r="K2914" s="47" t="n"/>
      <c r="L2914" s="47" t="n"/>
      <c r="M2914" s="47" t="n"/>
      <c r="N2914" s="47" t="n"/>
      <c r="O2914" s="47" t="n"/>
      <c r="P2914" s="47" t="n"/>
      <c r="Q2914" s="47" t="n"/>
      <c r="R2914" s="47" t="n"/>
      <c r="S2914" s="47" t="n"/>
      <c r="T2914" s="47" t="n"/>
      <c r="U2914" s="53" t="n"/>
      <c r="V2914" s="53" t="n"/>
      <c r="W2914" s="47" t="n"/>
      <c r="X2914" s="47" t="n"/>
      <c r="Y2914" s="47" t="n"/>
      <c r="Z2914" s="47" t="n"/>
      <c r="AA2914" s="47" t="n"/>
      <c r="AB2914" s="47" t="n"/>
      <c r="AC2914" s="47" t="n"/>
      <c r="AD2914" s="47" t="n"/>
      <c r="AE2914" s="47" t="n"/>
      <c r="AF2914" s="20">
        <f>IF(A2914="","",YEAR(EDATE(A2914,-3)))</f>
        <v/>
      </c>
      <c r="AG2914" s="20">
        <f>IF(OR(B2914="",'経歴簿'!$C$4=""),"",IF(B2914&amp;""='経歴簿'!$C$4&amp;"",MAX($AG$4:AG2913)+1,""))</f>
        <v/>
      </c>
      <c r="AH2914" s="20">
        <f>IF(A2914="",0,IF(AND(OR('CSV抽出'!$C$4="",A2914&gt;='CSV抽出'!$C$4),OR('CSV抽出'!$C$5="",A2914&lt;='CSV抽出'!$C$5),OR('CSV抽出'!$C$6="すべて",'CSV抽出'!$C$6="",D2914='CSV抽出'!$C$6),OR('CSV抽出'!$C$7="",B2914&amp;""='CSV抽出'!$C$7&amp;"")),1,0))</f>
        <v/>
      </c>
      <c r="AI2914" s="20">
        <f>IF(AH2914=1,SUM($AH$5:AH2914),"")</f>
        <v/>
      </c>
      <c r="AJ2914" s="20">
        <f>IF(OR(S2914="",'報告書'!$C$4=""),"",IF(S2914&amp;""='報告書'!$C$4&amp;"",COUNTIF($S$5:S2914,'報告書'!$C$4),""))</f>
        <v/>
      </c>
      <c r="AK2914" s="20" t="n"/>
      <c r="AL2914" s="47" t="n"/>
      <c r="AM2914" s="47" t="n"/>
      <c r="AN2914" s="53" t="n"/>
      <c r="AO2914" s="47" t="n"/>
      <c r="AP2914" s="47" t="n"/>
      <c r="AQ2914" s="47" t="n"/>
      <c r="AR2914" s="47" t="n"/>
      <c r="AS2914" s="47" t="n"/>
      <c r="AT2914" s="47" t="n"/>
      <c r="AU2914" s="47" t="n"/>
      <c r="AV2914" s="47" t="n"/>
      <c r="AW2914" s="52" t="n"/>
    </row>
    <row r="2915">
      <c r="A2915" s="48" t="n"/>
      <c r="B2915" s="52" t="n"/>
      <c r="C2915" s="47">
        <f>IF(B2915="","",IFERROR(INDEX('隊員マスタ'!$B$5:$B$204,MATCH(B2915&amp;"",'隊員マスタ'!$F$5:$F$204,0)),IF(AK2915="","番号なし",AK2915)))</f>
        <v/>
      </c>
      <c r="D2915" s="47" t="n"/>
      <c r="E2915" s="47" t="n"/>
      <c r="F2915" s="47" t="n"/>
      <c r="G2915" s="47" t="n"/>
      <c r="H2915" s="47" t="n"/>
      <c r="I2915" s="47" t="n"/>
      <c r="J2915" s="47" t="n"/>
      <c r="K2915" s="47" t="n"/>
      <c r="L2915" s="47" t="n"/>
      <c r="M2915" s="47" t="n"/>
      <c r="N2915" s="47" t="n"/>
      <c r="O2915" s="47" t="n"/>
      <c r="P2915" s="47" t="n"/>
      <c r="Q2915" s="47" t="n"/>
      <c r="R2915" s="47" t="n"/>
      <c r="S2915" s="47" t="n"/>
      <c r="T2915" s="47" t="n"/>
      <c r="U2915" s="53" t="n"/>
      <c r="V2915" s="53" t="n"/>
      <c r="W2915" s="47" t="n"/>
      <c r="X2915" s="47" t="n"/>
      <c r="Y2915" s="47" t="n"/>
      <c r="Z2915" s="47" t="n"/>
      <c r="AA2915" s="47" t="n"/>
      <c r="AB2915" s="47" t="n"/>
      <c r="AC2915" s="47" t="n"/>
      <c r="AD2915" s="47" t="n"/>
      <c r="AE2915" s="47" t="n"/>
      <c r="AF2915" s="20">
        <f>IF(A2915="","",YEAR(EDATE(A2915,-3)))</f>
        <v/>
      </c>
      <c r="AG2915" s="20">
        <f>IF(OR(B2915="",'経歴簿'!$C$4=""),"",IF(B2915&amp;""='経歴簿'!$C$4&amp;"",MAX($AG$4:AG2914)+1,""))</f>
        <v/>
      </c>
      <c r="AH2915" s="20">
        <f>IF(A2915="",0,IF(AND(OR('CSV抽出'!$C$4="",A2915&gt;='CSV抽出'!$C$4),OR('CSV抽出'!$C$5="",A2915&lt;='CSV抽出'!$C$5),OR('CSV抽出'!$C$6="すべて",'CSV抽出'!$C$6="",D2915='CSV抽出'!$C$6),OR('CSV抽出'!$C$7="",B2915&amp;""='CSV抽出'!$C$7&amp;"")),1,0))</f>
        <v/>
      </c>
      <c r="AI2915" s="20">
        <f>IF(AH2915=1,SUM($AH$5:AH2915),"")</f>
        <v/>
      </c>
      <c r="AJ2915" s="20">
        <f>IF(OR(S2915="",'報告書'!$C$4=""),"",IF(S2915&amp;""='報告書'!$C$4&amp;"",COUNTIF($S$5:S2915,'報告書'!$C$4),""))</f>
        <v/>
      </c>
      <c r="AK2915" s="20" t="n"/>
      <c r="AL2915" s="47" t="n"/>
      <c r="AM2915" s="47" t="n"/>
      <c r="AN2915" s="53" t="n"/>
      <c r="AO2915" s="47" t="n"/>
      <c r="AP2915" s="47" t="n"/>
      <c r="AQ2915" s="47" t="n"/>
      <c r="AR2915" s="47" t="n"/>
      <c r="AS2915" s="47" t="n"/>
      <c r="AT2915" s="47" t="n"/>
      <c r="AU2915" s="47" t="n"/>
      <c r="AV2915" s="47" t="n"/>
      <c r="AW2915" s="52" t="n"/>
    </row>
    <row r="2916">
      <c r="A2916" s="48" t="n"/>
      <c r="B2916" s="52" t="n"/>
      <c r="C2916" s="47">
        <f>IF(B2916="","",IFERROR(INDEX('隊員マスタ'!$B$5:$B$204,MATCH(B2916&amp;"",'隊員マスタ'!$F$5:$F$204,0)),IF(AK2916="","番号なし",AK2916)))</f>
        <v/>
      </c>
      <c r="D2916" s="47" t="n"/>
      <c r="E2916" s="47" t="n"/>
      <c r="F2916" s="47" t="n"/>
      <c r="G2916" s="47" t="n"/>
      <c r="H2916" s="47" t="n"/>
      <c r="I2916" s="47" t="n"/>
      <c r="J2916" s="47" t="n"/>
      <c r="K2916" s="47" t="n"/>
      <c r="L2916" s="47" t="n"/>
      <c r="M2916" s="47" t="n"/>
      <c r="N2916" s="47" t="n"/>
      <c r="O2916" s="47" t="n"/>
      <c r="P2916" s="47" t="n"/>
      <c r="Q2916" s="47" t="n"/>
      <c r="R2916" s="47" t="n"/>
      <c r="S2916" s="47" t="n"/>
      <c r="T2916" s="47" t="n"/>
      <c r="U2916" s="53" t="n"/>
      <c r="V2916" s="53" t="n"/>
      <c r="W2916" s="47" t="n"/>
      <c r="X2916" s="47" t="n"/>
      <c r="Y2916" s="47" t="n"/>
      <c r="Z2916" s="47" t="n"/>
      <c r="AA2916" s="47" t="n"/>
      <c r="AB2916" s="47" t="n"/>
      <c r="AC2916" s="47" t="n"/>
      <c r="AD2916" s="47" t="n"/>
      <c r="AE2916" s="47" t="n"/>
      <c r="AF2916" s="20">
        <f>IF(A2916="","",YEAR(EDATE(A2916,-3)))</f>
        <v/>
      </c>
      <c r="AG2916" s="20">
        <f>IF(OR(B2916="",'経歴簿'!$C$4=""),"",IF(B2916&amp;""='経歴簿'!$C$4&amp;"",MAX($AG$4:AG2915)+1,""))</f>
        <v/>
      </c>
      <c r="AH2916" s="20">
        <f>IF(A2916="",0,IF(AND(OR('CSV抽出'!$C$4="",A2916&gt;='CSV抽出'!$C$4),OR('CSV抽出'!$C$5="",A2916&lt;='CSV抽出'!$C$5),OR('CSV抽出'!$C$6="すべて",'CSV抽出'!$C$6="",D2916='CSV抽出'!$C$6),OR('CSV抽出'!$C$7="",B2916&amp;""='CSV抽出'!$C$7&amp;"")),1,0))</f>
        <v/>
      </c>
      <c r="AI2916" s="20">
        <f>IF(AH2916=1,SUM($AH$5:AH2916),"")</f>
        <v/>
      </c>
      <c r="AJ2916" s="20">
        <f>IF(OR(S2916="",'報告書'!$C$4=""),"",IF(S2916&amp;""='報告書'!$C$4&amp;"",COUNTIF($S$5:S2916,'報告書'!$C$4),""))</f>
        <v/>
      </c>
      <c r="AK2916" s="20" t="n"/>
      <c r="AL2916" s="47" t="n"/>
      <c r="AM2916" s="47" t="n"/>
      <c r="AN2916" s="53" t="n"/>
      <c r="AO2916" s="47" t="n"/>
      <c r="AP2916" s="47" t="n"/>
      <c r="AQ2916" s="47" t="n"/>
      <c r="AR2916" s="47" t="n"/>
      <c r="AS2916" s="47" t="n"/>
      <c r="AT2916" s="47" t="n"/>
      <c r="AU2916" s="47" t="n"/>
      <c r="AV2916" s="47" t="n"/>
      <c r="AW2916" s="52" t="n"/>
    </row>
    <row r="2917">
      <c r="A2917" s="48" t="n"/>
      <c r="B2917" s="52" t="n"/>
      <c r="C2917" s="47">
        <f>IF(B2917="","",IFERROR(INDEX('隊員マスタ'!$B$5:$B$204,MATCH(B2917&amp;"",'隊員マスタ'!$F$5:$F$204,0)),IF(AK2917="","番号なし",AK2917)))</f>
        <v/>
      </c>
      <c r="D2917" s="47" t="n"/>
      <c r="E2917" s="47" t="n"/>
      <c r="F2917" s="47" t="n"/>
      <c r="G2917" s="47" t="n"/>
      <c r="H2917" s="47" t="n"/>
      <c r="I2917" s="47" t="n"/>
      <c r="J2917" s="47" t="n"/>
      <c r="K2917" s="47" t="n"/>
      <c r="L2917" s="47" t="n"/>
      <c r="M2917" s="47" t="n"/>
      <c r="N2917" s="47" t="n"/>
      <c r="O2917" s="47" t="n"/>
      <c r="P2917" s="47" t="n"/>
      <c r="Q2917" s="47" t="n"/>
      <c r="R2917" s="47" t="n"/>
      <c r="S2917" s="47" t="n"/>
      <c r="T2917" s="47" t="n"/>
      <c r="U2917" s="53" t="n"/>
      <c r="V2917" s="53" t="n"/>
      <c r="W2917" s="47" t="n"/>
      <c r="X2917" s="47" t="n"/>
      <c r="Y2917" s="47" t="n"/>
      <c r="Z2917" s="47" t="n"/>
      <c r="AA2917" s="47" t="n"/>
      <c r="AB2917" s="47" t="n"/>
      <c r="AC2917" s="47" t="n"/>
      <c r="AD2917" s="47" t="n"/>
      <c r="AE2917" s="47" t="n"/>
      <c r="AF2917" s="20">
        <f>IF(A2917="","",YEAR(EDATE(A2917,-3)))</f>
        <v/>
      </c>
      <c r="AG2917" s="20">
        <f>IF(OR(B2917="",'経歴簿'!$C$4=""),"",IF(B2917&amp;""='経歴簿'!$C$4&amp;"",MAX($AG$4:AG2916)+1,""))</f>
        <v/>
      </c>
      <c r="AH2917" s="20">
        <f>IF(A2917="",0,IF(AND(OR('CSV抽出'!$C$4="",A2917&gt;='CSV抽出'!$C$4),OR('CSV抽出'!$C$5="",A2917&lt;='CSV抽出'!$C$5),OR('CSV抽出'!$C$6="すべて",'CSV抽出'!$C$6="",D2917='CSV抽出'!$C$6),OR('CSV抽出'!$C$7="",B2917&amp;""='CSV抽出'!$C$7&amp;"")),1,0))</f>
        <v/>
      </c>
      <c r="AI2917" s="20">
        <f>IF(AH2917=1,SUM($AH$5:AH2917),"")</f>
        <v/>
      </c>
      <c r="AJ2917" s="20">
        <f>IF(OR(S2917="",'報告書'!$C$4=""),"",IF(S2917&amp;""='報告書'!$C$4&amp;"",COUNTIF($S$5:S2917,'報告書'!$C$4),""))</f>
        <v/>
      </c>
      <c r="AK2917" s="20" t="n"/>
      <c r="AL2917" s="47" t="n"/>
      <c r="AM2917" s="47" t="n"/>
      <c r="AN2917" s="53" t="n"/>
      <c r="AO2917" s="47" t="n"/>
      <c r="AP2917" s="47" t="n"/>
      <c r="AQ2917" s="47" t="n"/>
      <c r="AR2917" s="47" t="n"/>
      <c r="AS2917" s="47" t="n"/>
      <c r="AT2917" s="47" t="n"/>
      <c r="AU2917" s="47" t="n"/>
      <c r="AV2917" s="47" t="n"/>
      <c r="AW2917" s="52" t="n"/>
    </row>
    <row r="2918">
      <c r="A2918" s="48" t="n"/>
      <c r="B2918" s="52" t="n"/>
      <c r="C2918" s="47">
        <f>IF(B2918="","",IFERROR(INDEX('隊員マスタ'!$B$5:$B$204,MATCH(B2918&amp;"",'隊員マスタ'!$F$5:$F$204,0)),IF(AK2918="","番号なし",AK2918)))</f>
        <v/>
      </c>
      <c r="D2918" s="47" t="n"/>
      <c r="E2918" s="47" t="n"/>
      <c r="F2918" s="47" t="n"/>
      <c r="G2918" s="47" t="n"/>
      <c r="H2918" s="47" t="n"/>
      <c r="I2918" s="47" t="n"/>
      <c r="J2918" s="47" t="n"/>
      <c r="K2918" s="47" t="n"/>
      <c r="L2918" s="47" t="n"/>
      <c r="M2918" s="47" t="n"/>
      <c r="N2918" s="47" t="n"/>
      <c r="O2918" s="47" t="n"/>
      <c r="P2918" s="47" t="n"/>
      <c r="Q2918" s="47" t="n"/>
      <c r="R2918" s="47" t="n"/>
      <c r="S2918" s="47" t="n"/>
      <c r="T2918" s="47" t="n"/>
      <c r="U2918" s="53" t="n"/>
      <c r="V2918" s="53" t="n"/>
      <c r="W2918" s="47" t="n"/>
      <c r="X2918" s="47" t="n"/>
      <c r="Y2918" s="47" t="n"/>
      <c r="Z2918" s="47" t="n"/>
      <c r="AA2918" s="47" t="n"/>
      <c r="AB2918" s="47" t="n"/>
      <c r="AC2918" s="47" t="n"/>
      <c r="AD2918" s="47" t="n"/>
      <c r="AE2918" s="47" t="n"/>
      <c r="AF2918" s="20">
        <f>IF(A2918="","",YEAR(EDATE(A2918,-3)))</f>
        <v/>
      </c>
      <c r="AG2918" s="20">
        <f>IF(OR(B2918="",'経歴簿'!$C$4=""),"",IF(B2918&amp;""='経歴簿'!$C$4&amp;"",MAX($AG$4:AG2917)+1,""))</f>
        <v/>
      </c>
      <c r="AH2918" s="20">
        <f>IF(A2918="",0,IF(AND(OR('CSV抽出'!$C$4="",A2918&gt;='CSV抽出'!$C$4),OR('CSV抽出'!$C$5="",A2918&lt;='CSV抽出'!$C$5),OR('CSV抽出'!$C$6="すべて",'CSV抽出'!$C$6="",D2918='CSV抽出'!$C$6),OR('CSV抽出'!$C$7="",B2918&amp;""='CSV抽出'!$C$7&amp;"")),1,0))</f>
        <v/>
      </c>
      <c r="AI2918" s="20">
        <f>IF(AH2918=1,SUM($AH$5:AH2918),"")</f>
        <v/>
      </c>
      <c r="AJ2918" s="20">
        <f>IF(OR(S2918="",'報告書'!$C$4=""),"",IF(S2918&amp;""='報告書'!$C$4&amp;"",COUNTIF($S$5:S2918,'報告書'!$C$4),""))</f>
        <v/>
      </c>
      <c r="AK2918" s="20" t="n"/>
      <c r="AL2918" s="47" t="n"/>
      <c r="AM2918" s="47" t="n"/>
      <c r="AN2918" s="53" t="n"/>
      <c r="AO2918" s="47" t="n"/>
      <c r="AP2918" s="47" t="n"/>
      <c r="AQ2918" s="47" t="n"/>
      <c r="AR2918" s="47" t="n"/>
      <c r="AS2918" s="47" t="n"/>
      <c r="AT2918" s="47" t="n"/>
      <c r="AU2918" s="47" t="n"/>
      <c r="AV2918" s="47" t="n"/>
      <c r="AW2918" s="52" t="n"/>
    </row>
    <row r="2919">
      <c r="A2919" s="48" t="n"/>
      <c r="B2919" s="52" t="n"/>
      <c r="C2919" s="47">
        <f>IF(B2919="","",IFERROR(INDEX('隊員マスタ'!$B$5:$B$204,MATCH(B2919&amp;"",'隊員マスタ'!$F$5:$F$204,0)),IF(AK2919="","番号なし",AK2919)))</f>
        <v/>
      </c>
      <c r="D2919" s="47" t="n"/>
      <c r="E2919" s="47" t="n"/>
      <c r="F2919" s="47" t="n"/>
      <c r="G2919" s="47" t="n"/>
      <c r="H2919" s="47" t="n"/>
      <c r="I2919" s="47" t="n"/>
      <c r="J2919" s="47" t="n"/>
      <c r="K2919" s="47" t="n"/>
      <c r="L2919" s="47" t="n"/>
      <c r="M2919" s="47" t="n"/>
      <c r="N2919" s="47" t="n"/>
      <c r="O2919" s="47" t="n"/>
      <c r="P2919" s="47" t="n"/>
      <c r="Q2919" s="47" t="n"/>
      <c r="R2919" s="47" t="n"/>
      <c r="S2919" s="47" t="n"/>
      <c r="T2919" s="47" t="n"/>
      <c r="U2919" s="53" t="n"/>
      <c r="V2919" s="53" t="n"/>
      <c r="W2919" s="47" t="n"/>
      <c r="X2919" s="47" t="n"/>
      <c r="Y2919" s="47" t="n"/>
      <c r="Z2919" s="47" t="n"/>
      <c r="AA2919" s="47" t="n"/>
      <c r="AB2919" s="47" t="n"/>
      <c r="AC2919" s="47" t="n"/>
      <c r="AD2919" s="47" t="n"/>
      <c r="AE2919" s="47" t="n"/>
      <c r="AF2919" s="20">
        <f>IF(A2919="","",YEAR(EDATE(A2919,-3)))</f>
        <v/>
      </c>
      <c r="AG2919" s="20">
        <f>IF(OR(B2919="",'経歴簿'!$C$4=""),"",IF(B2919&amp;""='経歴簿'!$C$4&amp;"",MAX($AG$4:AG2918)+1,""))</f>
        <v/>
      </c>
      <c r="AH2919" s="20">
        <f>IF(A2919="",0,IF(AND(OR('CSV抽出'!$C$4="",A2919&gt;='CSV抽出'!$C$4),OR('CSV抽出'!$C$5="",A2919&lt;='CSV抽出'!$C$5),OR('CSV抽出'!$C$6="すべて",'CSV抽出'!$C$6="",D2919='CSV抽出'!$C$6),OR('CSV抽出'!$C$7="",B2919&amp;""='CSV抽出'!$C$7&amp;"")),1,0))</f>
        <v/>
      </c>
      <c r="AI2919" s="20">
        <f>IF(AH2919=1,SUM($AH$5:AH2919),"")</f>
        <v/>
      </c>
      <c r="AJ2919" s="20">
        <f>IF(OR(S2919="",'報告書'!$C$4=""),"",IF(S2919&amp;""='報告書'!$C$4&amp;"",COUNTIF($S$5:S2919,'報告書'!$C$4),""))</f>
        <v/>
      </c>
      <c r="AK2919" s="20" t="n"/>
      <c r="AL2919" s="47" t="n"/>
      <c r="AM2919" s="47" t="n"/>
      <c r="AN2919" s="53" t="n"/>
      <c r="AO2919" s="47" t="n"/>
      <c r="AP2919" s="47" t="n"/>
      <c r="AQ2919" s="47" t="n"/>
      <c r="AR2919" s="47" t="n"/>
      <c r="AS2919" s="47" t="n"/>
      <c r="AT2919" s="47" t="n"/>
      <c r="AU2919" s="47" t="n"/>
      <c r="AV2919" s="47" t="n"/>
      <c r="AW2919" s="52" t="n"/>
    </row>
    <row r="2920">
      <c r="A2920" s="48" t="n"/>
      <c r="B2920" s="52" t="n"/>
      <c r="C2920" s="47">
        <f>IF(B2920="","",IFERROR(INDEX('隊員マスタ'!$B$5:$B$204,MATCH(B2920&amp;"",'隊員マスタ'!$F$5:$F$204,0)),IF(AK2920="","番号なし",AK2920)))</f>
        <v/>
      </c>
      <c r="D2920" s="47" t="n"/>
      <c r="E2920" s="47" t="n"/>
      <c r="F2920" s="47" t="n"/>
      <c r="G2920" s="47" t="n"/>
      <c r="H2920" s="47" t="n"/>
      <c r="I2920" s="47" t="n"/>
      <c r="J2920" s="47" t="n"/>
      <c r="K2920" s="47" t="n"/>
      <c r="L2920" s="47" t="n"/>
      <c r="M2920" s="47" t="n"/>
      <c r="N2920" s="47" t="n"/>
      <c r="O2920" s="47" t="n"/>
      <c r="P2920" s="47" t="n"/>
      <c r="Q2920" s="47" t="n"/>
      <c r="R2920" s="47" t="n"/>
      <c r="S2920" s="47" t="n"/>
      <c r="T2920" s="47" t="n"/>
      <c r="U2920" s="53" t="n"/>
      <c r="V2920" s="53" t="n"/>
      <c r="W2920" s="47" t="n"/>
      <c r="X2920" s="47" t="n"/>
      <c r="Y2920" s="47" t="n"/>
      <c r="Z2920" s="47" t="n"/>
      <c r="AA2920" s="47" t="n"/>
      <c r="AB2920" s="47" t="n"/>
      <c r="AC2920" s="47" t="n"/>
      <c r="AD2920" s="47" t="n"/>
      <c r="AE2920" s="47" t="n"/>
      <c r="AF2920" s="20">
        <f>IF(A2920="","",YEAR(EDATE(A2920,-3)))</f>
        <v/>
      </c>
      <c r="AG2920" s="20">
        <f>IF(OR(B2920="",'経歴簿'!$C$4=""),"",IF(B2920&amp;""='経歴簿'!$C$4&amp;"",MAX($AG$4:AG2919)+1,""))</f>
        <v/>
      </c>
      <c r="AH2920" s="20">
        <f>IF(A2920="",0,IF(AND(OR('CSV抽出'!$C$4="",A2920&gt;='CSV抽出'!$C$4),OR('CSV抽出'!$C$5="",A2920&lt;='CSV抽出'!$C$5),OR('CSV抽出'!$C$6="すべて",'CSV抽出'!$C$6="",D2920='CSV抽出'!$C$6),OR('CSV抽出'!$C$7="",B2920&amp;""='CSV抽出'!$C$7&amp;"")),1,0))</f>
        <v/>
      </c>
      <c r="AI2920" s="20">
        <f>IF(AH2920=1,SUM($AH$5:AH2920),"")</f>
        <v/>
      </c>
      <c r="AJ2920" s="20">
        <f>IF(OR(S2920="",'報告書'!$C$4=""),"",IF(S2920&amp;""='報告書'!$C$4&amp;"",COUNTIF($S$5:S2920,'報告書'!$C$4),""))</f>
        <v/>
      </c>
      <c r="AK2920" s="20" t="n"/>
      <c r="AL2920" s="47" t="n"/>
      <c r="AM2920" s="47" t="n"/>
      <c r="AN2920" s="53" t="n"/>
      <c r="AO2920" s="47" t="n"/>
      <c r="AP2920" s="47" t="n"/>
      <c r="AQ2920" s="47" t="n"/>
      <c r="AR2920" s="47" t="n"/>
      <c r="AS2920" s="47" t="n"/>
      <c r="AT2920" s="47" t="n"/>
      <c r="AU2920" s="47" t="n"/>
      <c r="AV2920" s="47" t="n"/>
      <c r="AW2920" s="52" t="n"/>
    </row>
    <row r="2921">
      <c r="A2921" s="48" t="n"/>
      <c r="B2921" s="52" t="n"/>
      <c r="C2921" s="47">
        <f>IF(B2921="","",IFERROR(INDEX('隊員マスタ'!$B$5:$B$204,MATCH(B2921&amp;"",'隊員マスタ'!$F$5:$F$204,0)),IF(AK2921="","番号なし",AK2921)))</f>
        <v/>
      </c>
      <c r="D2921" s="47" t="n"/>
      <c r="E2921" s="47" t="n"/>
      <c r="F2921" s="47" t="n"/>
      <c r="G2921" s="47" t="n"/>
      <c r="H2921" s="47" t="n"/>
      <c r="I2921" s="47" t="n"/>
      <c r="J2921" s="47" t="n"/>
      <c r="K2921" s="47" t="n"/>
      <c r="L2921" s="47" t="n"/>
      <c r="M2921" s="47" t="n"/>
      <c r="N2921" s="47" t="n"/>
      <c r="O2921" s="47" t="n"/>
      <c r="P2921" s="47" t="n"/>
      <c r="Q2921" s="47" t="n"/>
      <c r="R2921" s="47" t="n"/>
      <c r="S2921" s="47" t="n"/>
      <c r="T2921" s="47" t="n"/>
      <c r="U2921" s="53" t="n"/>
      <c r="V2921" s="53" t="n"/>
      <c r="W2921" s="47" t="n"/>
      <c r="X2921" s="47" t="n"/>
      <c r="Y2921" s="47" t="n"/>
      <c r="Z2921" s="47" t="n"/>
      <c r="AA2921" s="47" t="n"/>
      <c r="AB2921" s="47" t="n"/>
      <c r="AC2921" s="47" t="n"/>
      <c r="AD2921" s="47" t="n"/>
      <c r="AE2921" s="47" t="n"/>
      <c r="AF2921" s="20">
        <f>IF(A2921="","",YEAR(EDATE(A2921,-3)))</f>
        <v/>
      </c>
      <c r="AG2921" s="20">
        <f>IF(OR(B2921="",'経歴簿'!$C$4=""),"",IF(B2921&amp;""='経歴簿'!$C$4&amp;"",MAX($AG$4:AG2920)+1,""))</f>
        <v/>
      </c>
      <c r="AH2921" s="20">
        <f>IF(A2921="",0,IF(AND(OR('CSV抽出'!$C$4="",A2921&gt;='CSV抽出'!$C$4),OR('CSV抽出'!$C$5="",A2921&lt;='CSV抽出'!$C$5),OR('CSV抽出'!$C$6="すべて",'CSV抽出'!$C$6="",D2921='CSV抽出'!$C$6),OR('CSV抽出'!$C$7="",B2921&amp;""='CSV抽出'!$C$7&amp;"")),1,0))</f>
        <v/>
      </c>
      <c r="AI2921" s="20">
        <f>IF(AH2921=1,SUM($AH$5:AH2921),"")</f>
        <v/>
      </c>
      <c r="AJ2921" s="20">
        <f>IF(OR(S2921="",'報告書'!$C$4=""),"",IF(S2921&amp;""='報告書'!$C$4&amp;"",COUNTIF($S$5:S2921,'報告書'!$C$4),""))</f>
        <v/>
      </c>
      <c r="AK2921" s="20" t="n"/>
      <c r="AL2921" s="47" t="n"/>
      <c r="AM2921" s="47" t="n"/>
      <c r="AN2921" s="53" t="n"/>
      <c r="AO2921" s="47" t="n"/>
      <c r="AP2921" s="47" t="n"/>
      <c r="AQ2921" s="47" t="n"/>
      <c r="AR2921" s="47" t="n"/>
      <c r="AS2921" s="47" t="n"/>
      <c r="AT2921" s="47" t="n"/>
      <c r="AU2921" s="47" t="n"/>
      <c r="AV2921" s="47" t="n"/>
      <c r="AW2921" s="52" t="n"/>
    </row>
    <row r="2922">
      <c r="A2922" s="48" t="n"/>
      <c r="B2922" s="52" t="n"/>
      <c r="C2922" s="47">
        <f>IF(B2922="","",IFERROR(INDEX('隊員マスタ'!$B$5:$B$204,MATCH(B2922&amp;"",'隊員マスタ'!$F$5:$F$204,0)),IF(AK2922="","番号なし",AK2922)))</f>
        <v/>
      </c>
      <c r="D2922" s="47" t="n"/>
      <c r="E2922" s="47" t="n"/>
      <c r="F2922" s="47" t="n"/>
      <c r="G2922" s="47" t="n"/>
      <c r="H2922" s="47" t="n"/>
      <c r="I2922" s="47" t="n"/>
      <c r="J2922" s="47" t="n"/>
      <c r="K2922" s="47" t="n"/>
      <c r="L2922" s="47" t="n"/>
      <c r="M2922" s="47" t="n"/>
      <c r="N2922" s="47" t="n"/>
      <c r="O2922" s="47" t="n"/>
      <c r="P2922" s="47" t="n"/>
      <c r="Q2922" s="47" t="n"/>
      <c r="R2922" s="47" t="n"/>
      <c r="S2922" s="47" t="n"/>
      <c r="T2922" s="47" t="n"/>
      <c r="U2922" s="53" t="n"/>
      <c r="V2922" s="53" t="n"/>
      <c r="W2922" s="47" t="n"/>
      <c r="X2922" s="47" t="n"/>
      <c r="Y2922" s="47" t="n"/>
      <c r="Z2922" s="47" t="n"/>
      <c r="AA2922" s="47" t="n"/>
      <c r="AB2922" s="47" t="n"/>
      <c r="AC2922" s="47" t="n"/>
      <c r="AD2922" s="47" t="n"/>
      <c r="AE2922" s="47" t="n"/>
      <c r="AF2922" s="20">
        <f>IF(A2922="","",YEAR(EDATE(A2922,-3)))</f>
        <v/>
      </c>
      <c r="AG2922" s="20">
        <f>IF(OR(B2922="",'経歴簿'!$C$4=""),"",IF(B2922&amp;""='経歴簿'!$C$4&amp;"",MAX($AG$4:AG2921)+1,""))</f>
        <v/>
      </c>
      <c r="AH2922" s="20">
        <f>IF(A2922="",0,IF(AND(OR('CSV抽出'!$C$4="",A2922&gt;='CSV抽出'!$C$4),OR('CSV抽出'!$C$5="",A2922&lt;='CSV抽出'!$C$5),OR('CSV抽出'!$C$6="すべて",'CSV抽出'!$C$6="",D2922='CSV抽出'!$C$6),OR('CSV抽出'!$C$7="",B2922&amp;""='CSV抽出'!$C$7&amp;"")),1,0))</f>
        <v/>
      </c>
      <c r="AI2922" s="20">
        <f>IF(AH2922=1,SUM($AH$5:AH2922),"")</f>
        <v/>
      </c>
      <c r="AJ2922" s="20">
        <f>IF(OR(S2922="",'報告書'!$C$4=""),"",IF(S2922&amp;""='報告書'!$C$4&amp;"",COUNTIF($S$5:S2922,'報告書'!$C$4),""))</f>
        <v/>
      </c>
      <c r="AK2922" s="20" t="n"/>
      <c r="AL2922" s="47" t="n"/>
      <c r="AM2922" s="47" t="n"/>
      <c r="AN2922" s="53" t="n"/>
      <c r="AO2922" s="47" t="n"/>
      <c r="AP2922" s="47" t="n"/>
      <c r="AQ2922" s="47" t="n"/>
      <c r="AR2922" s="47" t="n"/>
      <c r="AS2922" s="47" t="n"/>
      <c r="AT2922" s="47" t="n"/>
      <c r="AU2922" s="47" t="n"/>
      <c r="AV2922" s="47" t="n"/>
      <c r="AW2922" s="52" t="n"/>
    </row>
    <row r="2923">
      <c r="A2923" s="48" t="n"/>
      <c r="B2923" s="52" t="n"/>
      <c r="C2923" s="47">
        <f>IF(B2923="","",IFERROR(INDEX('隊員マスタ'!$B$5:$B$204,MATCH(B2923&amp;"",'隊員マスタ'!$F$5:$F$204,0)),IF(AK2923="","番号なし",AK2923)))</f>
        <v/>
      </c>
      <c r="D2923" s="47" t="n"/>
      <c r="E2923" s="47" t="n"/>
      <c r="F2923" s="47" t="n"/>
      <c r="G2923" s="47" t="n"/>
      <c r="H2923" s="47" t="n"/>
      <c r="I2923" s="47" t="n"/>
      <c r="J2923" s="47" t="n"/>
      <c r="K2923" s="47" t="n"/>
      <c r="L2923" s="47" t="n"/>
      <c r="M2923" s="47" t="n"/>
      <c r="N2923" s="47" t="n"/>
      <c r="O2923" s="47" t="n"/>
      <c r="P2923" s="47" t="n"/>
      <c r="Q2923" s="47" t="n"/>
      <c r="R2923" s="47" t="n"/>
      <c r="S2923" s="47" t="n"/>
      <c r="T2923" s="47" t="n"/>
      <c r="U2923" s="53" t="n"/>
      <c r="V2923" s="53" t="n"/>
      <c r="W2923" s="47" t="n"/>
      <c r="X2923" s="47" t="n"/>
      <c r="Y2923" s="47" t="n"/>
      <c r="Z2923" s="47" t="n"/>
      <c r="AA2923" s="47" t="n"/>
      <c r="AB2923" s="47" t="n"/>
      <c r="AC2923" s="47" t="n"/>
      <c r="AD2923" s="47" t="n"/>
      <c r="AE2923" s="47" t="n"/>
      <c r="AF2923" s="20">
        <f>IF(A2923="","",YEAR(EDATE(A2923,-3)))</f>
        <v/>
      </c>
      <c r="AG2923" s="20">
        <f>IF(OR(B2923="",'経歴簿'!$C$4=""),"",IF(B2923&amp;""='経歴簿'!$C$4&amp;"",MAX($AG$4:AG2922)+1,""))</f>
        <v/>
      </c>
      <c r="AH2923" s="20">
        <f>IF(A2923="",0,IF(AND(OR('CSV抽出'!$C$4="",A2923&gt;='CSV抽出'!$C$4),OR('CSV抽出'!$C$5="",A2923&lt;='CSV抽出'!$C$5),OR('CSV抽出'!$C$6="すべて",'CSV抽出'!$C$6="",D2923='CSV抽出'!$C$6),OR('CSV抽出'!$C$7="",B2923&amp;""='CSV抽出'!$C$7&amp;"")),1,0))</f>
        <v/>
      </c>
      <c r="AI2923" s="20">
        <f>IF(AH2923=1,SUM($AH$5:AH2923),"")</f>
        <v/>
      </c>
      <c r="AJ2923" s="20">
        <f>IF(OR(S2923="",'報告書'!$C$4=""),"",IF(S2923&amp;""='報告書'!$C$4&amp;"",COUNTIF($S$5:S2923,'報告書'!$C$4),""))</f>
        <v/>
      </c>
      <c r="AK2923" s="20" t="n"/>
      <c r="AL2923" s="47" t="n"/>
      <c r="AM2923" s="47" t="n"/>
      <c r="AN2923" s="53" t="n"/>
      <c r="AO2923" s="47" t="n"/>
      <c r="AP2923" s="47" t="n"/>
      <c r="AQ2923" s="47" t="n"/>
      <c r="AR2923" s="47" t="n"/>
      <c r="AS2923" s="47" t="n"/>
      <c r="AT2923" s="47" t="n"/>
      <c r="AU2923" s="47" t="n"/>
      <c r="AV2923" s="47" t="n"/>
      <c r="AW2923" s="52" t="n"/>
    </row>
    <row r="2924">
      <c r="A2924" s="48" t="n"/>
      <c r="B2924" s="52" t="n"/>
      <c r="C2924" s="47">
        <f>IF(B2924="","",IFERROR(INDEX('隊員マスタ'!$B$5:$B$204,MATCH(B2924&amp;"",'隊員マスタ'!$F$5:$F$204,0)),IF(AK2924="","番号なし",AK2924)))</f>
        <v/>
      </c>
      <c r="D2924" s="47" t="n"/>
      <c r="E2924" s="47" t="n"/>
      <c r="F2924" s="47" t="n"/>
      <c r="G2924" s="47" t="n"/>
      <c r="H2924" s="47" t="n"/>
      <c r="I2924" s="47" t="n"/>
      <c r="J2924" s="47" t="n"/>
      <c r="K2924" s="47" t="n"/>
      <c r="L2924" s="47" t="n"/>
      <c r="M2924" s="47" t="n"/>
      <c r="N2924" s="47" t="n"/>
      <c r="O2924" s="47" t="n"/>
      <c r="P2924" s="47" t="n"/>
      <c r="Q2924" s="47" t="n"/>
      <c r="R2924" s="47" t="n"/>
      <c r="S2924" s="47" t="n"/>
      <c r="T2924" s="47" t="n"/>
      <c r="U2924" s="53" t="n"/>
      <c r="V2924" s="53" t="n"/>
      <c r="W2924" s="47" t="n"/>
      <c r="X2924" s="47" t="n"/>
      <c r="Y2924" s="47" t="n"/>
      <c r="Z2924" s="47" t="n"/>
      <c r="AA2924" s="47" t="n"/>
      <c r="AB2924" s="47" t="n"/>
      <c r="AC2924" s="47" t="n"/>
      <c r="AD2924" s="47" t="n"/>
      <c r="AE2924" s="47" t="n"/>
      <c r="AF2924" s="20">
        <f>IF(A2924="","",YEAR(EDATE(A2924,-3)))</f>
        <v/>
      </c>
      <c r="AG2924" s="20">
        <f>IF(OR(B2924="",'経歴簿'!$C$4=""),"",IF(B2924&amp;""='経歴簿'!$C$4&amp;"",MAX($AG$4:AG2923)+1,""))</f>
        <v/>
      </c>
      <c r="AH2924" s="20">
        <f>IF(A2924="",0,IF(AND(OR('CSV抽出'!$C$4="",A2924&gt;='CSV抽出'!$C$4),OR('CSV抽出'!$C$5="",A2924&lt;='CSV抽出'!$C$5),OR('CSV抽出'!$C$6="すべて",'CSV抽出'!$C$6="",D2924='CSV抽出'!$C$6),OR('CSV抽出'!$C$7="",B2924&amp;""='CSV抽出'!$C$7&amp;"")),1,0))</f>
        <v/>
      </c>
      <c r="AI2924" s="20">
        <f>IF(AH2924=1,SUM($AH$5:AH2924),"")</f>
        <v/>
      </c>
      <c r="AJ2924" s="20">
        <f>IF(OR(S2924="",'報告書'!$C$4=""),"",IF(S2924&amp;""='報告書'!$C$4&amp;"",COUNTIF($S$5:S2924,'報告書'!$C$4),""))</f>
        <v/>
      </c>
      <c r="AK2924" s="20" t="n"/>
      <c r="AL2924" s="47" t="n"/>
      <c r="AM2924" s="47" t="n"/>
      <c r="AN2924" s="53" t="n"/>
      <c r="AO2924" s="47" t="n"/>
      <c r="AP2924" s="47" t="n"/>
      <c r="AQ2924" s="47" t="n"/>
      <c r="AR2924" s="47" t="n"/>
      <c r="AS2924" s="47" t="n"/>
      <c r="AT2924" s="47" t="n"/>
      <c r="AU2924" s="47" t="n"/>
      <c r="AV2924" s="47" t="n"/>
      <c r="AW2924" s="52" t="n"/>
    </row>
    <row r="2925">
      <c r="A2925" s="48" t="n"/>
      <c r="B2925" s="52" t="n"/>
      <c r="C2925" s="47">
        <f>IF(B2925="","",IFERROR(INDEX('隊員マスタ'!$B$5:$B$204,MATCH(B2925&amp;"",'隊員マスタ'!$F$5:$F$204,0)),IF(AK2925="","番号なし",AK2925)))</f>
        <v/>
      </c>
      <c r="D2925" s="47" t="n"/>
      <c r="E2925" s="47" t="n"/>
      <c r="F2925" s="47" t="n"/>
      <c r="G2925" s="47" t="n"/>
      <c r="H2925" s="47" t="n"/>
      <c r="I2925" s="47" t="n"/>
      <c r="J2925" s="47" t="n"/>
      <c r="K2925" s="47" t="n"/>
      <c r="L2925" s="47" t="n"/>
      <c r="M2925" s="47" t="n"/>
      <c r="N2925" s="47" t="n"/>
      <c r="O2925" s="47" t="n"/>
      <c r="P2925" s="47" t="n"/>
      <c r="Q2925" s="47" t="n"/>
      <c r="R2925" s="47" t="n"/>
      <c r="S2925" s="47" t="n"/>
      <c r="T2925" s="47" t="n"/>
      <c r="U2925" s="53" t="n"/>
      <c r="V2925" s="53" t="n"/>
      <c r="W2925" s="47" t="n"/>
      <c r="X2925" s="47" t="n"/>
      <c r="Y2925" s="47" t="n"/>
      <c r="Z2925" s="47" t="n"/>
      <c r="AA2925" s="47" t="n"/>
      <c r="AB2925" s="47" t="n"/>
      <c r="AC2925" s="47" t="n"/>
      <c r="AD2925" s="47" t="n"/>
      <c r="AE2925" s="47" t="n"/>
      <c r="AF2925" s="20">
        <f>IF(A2925="","",YEAR(EDATE(A2925,-3)))</f>
        <v/>
      </c>
      <c r="AG2925" s="20">
        <f>IF(OR(B2925="",'経歴簿'!$C$4=""),"",IF(B2925&amp;""='経歴簿'!$C$4&amp;"",MAX($AG$4:AG2924)+1,""))</f>
        <v/>
      </c>
      <c r="AH2925" s="20">
        <f>IF(A2925="",0,IF(AND(OR('CSV抽出'!$C$4="",A2925&gt;='CSV抽出'!$C$4),OR('CSV抽出'!$C$5="",A2925&lt;='CSV抽出'!$C$5),OR('CSV抽出'!$C$6="すべて",'CSV抽出'!$C$6="",D2925='CSV抽出'!$C$6),OR('CSV抽出'!$C$7="",B2925&amp;""='CSV抽出'!$C$7&amp;"")),1,0))</f>
        <v/>
      </c>
      <c r="AI2925" s="20">
        <f>IF(AH2925=1,SUM($AH$5:AH2925),"")</f>
        <v/>
      </c>
      <c r="AJ2925" s="20">
        <f>IF(OR(S2925="",'報告書'!$C$4=""),"",IF(S2925&amp;""='報告書'!$C$4&amp;"",COUNTIF($S$5:S2925,'報告書'!$C$4),""))</f>
        <v/>
      </c>
      <c r="AK2925" s="20" t="n"/>
      <c r="AL2925" s="47" t="n"/>
      <c r="AM2925" s="47" t="n"/>
      <c r="AN2925" s="53" t="n"/>
      <c r="AO2925" s="47" t="n"/>
      <c r="AP2925" s="47" t="n"/>
      <c r="AQ2925" s="47" t="n"/>
      <c r="AR2925" s="47" t="n"/>
      <c r="AS2925" s="47" t="n"/>
      <c r="AT2925" s="47" t="n"/>
      <c r="AU2925" s="47" t="n"/>
      <c r="AV2925" s="47" t="n"/>
      <c r="AW2925" s="52" t="n"/>
    </row>
    <row r="2926">
      <c r="A2926" s="48" t="n"/>
      <c r="B2926" s="52" t="n"/>
      <c r="C2926" s="47">
        <f>IF(B2926="","",IFERROR(INDEX('隊員マスタ'!$B$5:$B$204,MATCH(B2926&amp;"",'隊員マスタ'!$F$5:$F$204,0)),IF(AK2926="","番号なし",AK2926)))</f>
        <v/>
      </c>
      <c r="D2926" s="47" t="n"/>
      <c r="E2926" s="47" t="n"/>
      <c r="F2926" s="47" t="n"/>
      <c r="G2926" s="47" t="n"/>
      <c r="H2926" s="47" t="n"/>
      <c r="I2926" s="47" t="n"/>
      <c r="J2926" s="47" t="n"/>
      <c r="K2926" s="47" t="n"/>
      <c r="L2926" s="47" t="n"/>
      <c r="M2926" s="47" t="n"/>
      <c r="N2926" s="47" t="n"/>
      <c r="O2926" s="47" t="n"/>
      <c r="P2926" s="47" t="n"/>
      <c r="Q2926" s="47" t="n"/>
      <c r="R2926" s="47" t="n"/>
      <c r="S2926" s="47" t="n"/>
      <c r="T2926" s="47" t="n"/>
      <c r="U2926" s="53" t="n"/>
      <c r="V2926" s="53" t="n"/>
      <c r="W2926" s="47" t="n"/>
      <c r="X2926" s="47" t="n"/>
      <c r="Y2926" s="47" t="n"/>
      <c r="Z2926" s="47" t="n"/>
      <c r="AA2926" s="47" t="n"/>
      <c r="AB2926" s="47" t="n"/>
      <c r="AC2926" s="47" t="n"/>
      <c r="AD2926" s="47" t="n"/>
      <c r="AE2926" s="47" t="n"/>
      <c r="AF2926" s="20">
        <f>IF(A2926="","",YEAR(EDATE(A2926,-3)))</f>
        <v/>
      </c>
      <c r="AG2926" s="20">
        <f>IF(OR(B2926="",'経歴簿'!$C$4=""),"",IF(B2926&amp;""='経歴簿'!$C$4&amp;"",MAX($AG$4:AG2925)+1,""))</f>
        <v/>
      </c>
      <c r="AH2926" s="20">
        <f>IF(A2926="",0,IF(AND(OR('CSV抽出'!$C$4="",A2926&gt;='CSV抽出'!$C$4),OR('CSV抽出'!$C$5="",A2926&lt;='CSV抽出'!$C$5),OR('CSV抽出'!$C$6="すべて",'CSV抽出'!$C$6="",D2926='CSV抽出'!$C$6),OR('CSV抽出'!$C$7="",B2926&amp;""='CSV抽出'!$C$7&amp;"")),1,0))</f>
        <v/>
      </c>
      <c r="AI2926" s="20">
        <f>IF(AH2926=1,SUM($AH$5:AH2926),"")</f>
        <v/>
      </c>
      <c r="AJ2926" s="20">
        <f>IF(OR(S2926="",'報告書'!$C$4=""),"",IF(S2926&amp;""='報告書'!$C$4&amp;"",COUNTIF($S$5:S2926,'報告書'!$C$4),""))</f>
        <v/>
      </c>
      <c r="AK2926" s="20" t="n"/>
      <c r="AL2926" s="47" t="n"/>
      <c r="AM2926" s="47" t="n"/>
      <c r="AN2926" s="53" t="n"/>
      <c r="AO2926" s="47" t="n"/>
      <c r="AP2926" s="47" t="n"/>
      <c r="AQ2926" s="47" t="n"/>
      <c r="AR2926" s="47" t="n"/>
      <c r="AS2926" s="47" t="n"/>
      <c r="AT2926" s="47" t="n"/>
      <c r="AU2926" s="47" t="n"/>
      <c r="AV2926" s="47" t="n"/>
      <c r="AW2926" s="52" t="n"/>
    </row>
    <row r="2927">
      <c r="A2927" s="48" t="n"/>
      <c r="B2927" s="52" t="n"/>
      <c r="C2927" s="47">
        <f>IF(B2927="","",IFERROR(INDEX('隊員マスタ'!$B$5:$B$204,MATCH(B2927&amp;"",'隊員マスタ'!$F$5:$F$204,0)),IF(AK2927="","番号なし",AK2927)))</f>
        <v/>
      </c>
      <c r="D2927" s="47" t="n"/>
      <c r="E2927" s="47" t="n"/>
      <c r="F2927" s="47" t="n"/>
      <c r="G2927" s="47" t="n"/>
      <c r="H2927" s="47" t="n"/>
      <c r="I2927" s="47" t="n"/>
      <c r="J2927" s="47" t="n"/>
      <c r="K2927" s="47" t="n"/>
      <c r="L2927" s="47" t="n"/>
      <c r="M2927" s="47" t="n"/>
      <c r="N2927" s="47" t="n"/>
      <c r="O2927" s="47" t="n"/>
      <c r="P2927" s="47" t="n"/>
      <c r="Q2927" s="47" t="n"/>
      <c r="R2927" s="47" t="n"/>
      <c r="S2927" s="47" t="n"/>
      <c r="T2927" s="47" t="n"/>
      <c r="U2927" s="53" t="n"/>
      <c r="V2927" s="53" t="n"/>
      <c r="W2927" s="47" t="n"/>
      <c r="X2927" s="47" t="n"/>
      <c r="Y2927" s="47" t="n"/>
      <c r="Z2927" s="47" t="n"/>
      <c r="AA2927" s="47" t="n"/>
      <c r="AB2927" s="47" t="n"/>
      <c r="AC2927" s="47" t="n"/>
      <c r="AD2927" s="47" t="n"/>
      <c r="AE2927" s="47" t="n"/>
      <c r="AF2927" s="20">
        <f>IF(A2927="","",YEAR(EDATE(A2927,-3)))</f>
        <v/>
      </c>
      <c r="AG2927" s="20">
        <f>IF(OR(B2927="",'経歴簿'!$C$4=""),"",IF(B2927&amp;""='経歴簿'!$C$4&amp;"",MAX($AG$4:AG2926)+1,""))</f>
        <v/>
      </c>
      <c r="AH2927" s="20">
        <f>IF(A2927="",0,IF(AND(OR('CSV抽出'!$C$4="",A2927&gt;='CSV抽出'!$C$4),OR('CSV抽出'!$C$5="",A2927&lt;='CSV抽出'!$C$5),OR('CSV抽出'!$C$6="すべて",'CSV抽出'!$C$6="",D2927='CSV抽出'!$C$6),OR('CSV抽出'!$C$7="",B2927&amp;""='CSV抽出'!$C$7&amp;"")),1,0))</f>
        <v/>
      </c>
      <c r="AI2927" s="20">
        <f>IF(AH2927=1,SUM($AH$5:AH2927),"")</f>
        <v/>
      </c>
      <c r="AJ2927" s="20">
        <f>IF(OR(S2927="",'報告書'!$C$4=""),"",IF(S2927&amp;""='報告書'!$C$4&amp;"",COUNTIF($S$5:S2927,'報告書'!$C$4),""))</f>
        <v/>
      </c>
      <c r="AK2927" s="20" t="n"/>
      <c r="AL2927" s="47" t="n"/>
      <c r="AM2927" s="47" t="n"/>
      <c r="AN2927" s="53" t="n"/>
      <c r="AO2927" s="47" t="n"/>
      <c r="AP2927" s="47" t="n"/>
      <c r="AQ2927" s="47" t="n"/>
      <c r="AR2927" s="47" t="n"/>
      <c r="AS2927" s="47" t="n"/>
      <c r="AT2927" s="47" t="n"/>
      <c r="AU2927" s="47" t="n"/>
      <c r="AV2927" s="47" t="n"/>
      <c r="AW2927" s="52" t="n"/>
    </row>
    <row r="2928">
      <c r="A2928" s="48" t="n"/>
      <c r="B2928" s="52" t="n"/>
      <c r="C2928" s="47">
        <f>IF(B2928="","",IFERROR(INDEX('隊員マスタ'!$B$5:$B$204,MATCH(B2928&amp;"",'隊員マスタ'!$F$5:$F$204,0)),IF(AK2928="","番号なし",AK2928)))</f>
        <v/>
      </c>
      <c r="D2928" s="47" t="n"/>
      <c r="E2928" s="47" t="n"/>
      <c r="F2928" s="47" t="n"/>
      <c r="G2928" s="47" t="n"/>
      <c r="H2928" s="47" t="n"/>
      <c r="I2928" s="47" t="n"/>
      <c r="J2928" s="47" t="n"/>
      <c r="K2928" s="47" t="n"/>
      <c r="L2928" s="47" t="n"/>
      <c r="M2928" s="47" t="n"/>
      <c r="N2928" s="47" t="n"/>
      <c r="O2928" s="47" t="n"/>
      <c r="P2928" s="47" t="n"/>
      <c r="Q2928" s="47" t="n"/>
      <c r="R2928" s="47" t="n"/>
      <c r="S2928" s="47" t="n"/>
      <c r="T2928" s="47" t="n"/>
      <c r="U2928" s="53" t="n"/>
      <c r="V2928" s="53" t="n"/>
      <c r="W2928" s="47" t="n"/>
      <c r="X2928" s="47" t="n"/>
      <c r="Y2928" s="47" t="n"/>
      <c r="Z2928" s="47" t="n"/>
      <c r="AA2928" s="47" t="n"/>
      <c r="AB2928" s="47" t="n"/>
      <c r="AC2928" s="47" t="n"/>
      <c r="AD2928" s="47" t="n"/>
      <c r="AE2928" s="47" t="n"/>
      <c r="AF2928" s="20">
        <f>IF(A2928="","",YEAR(EDATE(A2928,-3)))</f>
        <v/>
      </c>
      <c r="AG2928" s="20">
        <f>IF(OR(B2928="",'経歴簿'!$C$4=""),"",IF(B2928&amp;""='経歴簿'!$C$4&amp;"",MAX($AG$4:AG2927)+1,""))</f>
        <v/>
      </c>
      <c r="AH2928" s="20">
        <f>IF(A2928="",0,IF(AND(OR('CSV抽出'!$C$4="",A2928&gt;='CSV抽出'!$C$4),OR('CSV抽出'!$C$5="",A2928&lt;='CSV抽出'!$C$5),OR('CSV抽出'!$C$6="すべて",'CSV抽出'!$C$6="",D2928='CSV抽出'!$C$6),OR('CSV抽出'!$C$7="",B2928&amp;""='CSV抽出'!$C$7&amp;"")),1,0))</f>
        <v/>
      </c>
      <c r="AI2928" s="20">
        <f>IF(AH2928=1,SUM($AH$5:AH2928),"")</f>
        <v/>
      </c>
      <c r="AJ2928" s="20">
        <f>IF(OR(S2928="",'報告書'!$C$4=""),"",IF(S2928&amp;""='報告書'!$C$4&amp;"",COUNTIF($S$5:S2928,'報告書'!$C$4),""))</f>
        <v/>
      </c>
      <c r="AK2928" s="20" t="n"/>
      <c r="AL2928" s="47" t="n"/>
      <c r="AM2928" s="47" t="n"/>
      <c r="AN2928" s="53" t="n"/>
      <c r="AO2928" s="47" t="n"/>
      <c r="AP2928" s="47" t="n"/>
      <c r="AQ2928" s="47" t="n"/>
      <c r="AR2928" s="47" t="n"/>
      <c r="AS2928" s="47" t="n"/>
      <c r="AT2928" s="47" t="n"/>
      <c r="AU2928" s="47" t="n"/>
      <c r="AV2928" s="47" t="n"/>
      <c r="AW2928" s="52" t="n"/>
    </row>
    <row r="2929">
      <c r="A2929" s="48" t="n"/>
      <c r="B2929" s="52" t="n"/>
      <c r="C2929" s="47">
        <f>IF(B2929="","",IFERROR(INDEX('隊員マスタ'!$B$5:$B$204,MATCH(B2929&amp;"",'隊員マスタ'!$F$5:$F$204,0)),IF(AK2929="","番号なし",AK2929)))</f>
        <v/>
      </c>
      <c r="D2929" s="47" t="n"/>
      <c r="E2929" s="47" t="n"/>
      <c r="F2929" s="47" t="n"/>
      <c r="G2929" s="47" t="n"/>
      <c r="H2929" s="47" t="n"/>
      <c r="I2929" s="47" t="n"/>
      <c r="J2929" s="47" t="n"/>
      <c r="K2929" s="47" t="n"/>
      <c r="L2929" s="47" t="n"/>
      <c r="M2929" s="47" t="n"/>
      <c r="N2929" s="47" t="n"/>
      <c r="O2929" s="47" t="n"/>
      <c r="P2929" s="47" t="n"/>
      <c r="Q2929" s="47" t="n"/>
      <c r="R2929" s="47" t="n"/>
      <c r="S2929" s="47" t="n"/>
      <c r="T2929" s="47" t="n"/>
      <c r="U2929" s="53" t="n"/>
      <c r="V2929" s="53" t="n"/>
      <c r="W2929" s="47" t="n"/>
      <c r="X2929" s="47" t="n"/>
      <c r="Y2929" s="47" t="n"/>
      <c r="Z2929" s="47" t="n"/>
      <c r="AA2929" s="47" t="n"/>
      <c r="AB2929" s="47" t="n"/>
      <c r="AC2929" s="47" t="n"/>
      <c r="AD2929" s="47" t="n"/>
      <c r="AE2929" s="47" t="n"/>
      <c r="AF2929" s="20">
        <f>IF(A2929="","",YEAR(EDATE(A2929,-3)))</f>
        <v/>
      </c>
      <c r="AG2929" s="20">
        <f>IF(OR(B2929="",'経歴簿'!$C$4=""),"",IF(B2929&amp;""='経歴簿'!$C$4&amp;"",MAX($AG$4:AG2928)+1,""))</f>
        <v/>
      </c>
      <c r="AH2929" s="20">
        <f>IF(A2929="",0,IF(AND(OR('CSV抽出'!$C$4="",A2929&gt;='CSV抽出'!$C$4),OR('CSV抽出'!$C$5="",A2929&lt;='CSV抽出'!$C$5),OR('CSV抽出'!$C$6="すべて",'CSV抽出'!$C$6="",D2929='CSV抽出'!$C$6),OR('CSV抽出'!$C$7="",B2929&amp;""='CSV抽出'!$C$7&amp;"")),1,0))</f>
        <v/>
      </c>
      <c r="AI2929" s="20">
        <f>IF(AH2929=1,SUM($AH$5:AH2929),"")</f>
        <v/>
      </c>
      <c r="AJ2929" s="20">
        <f>IF(OR(S2929="",'報告書'!$C$4=""),"",IF(S2929&amp;""='報告書'!$C$4&amp;"",COUNTIF($S$5:S2929,'報告書'!$C$4),""))</f>
        <v/>
      </c>
      <c r="AK2929" s="20" t="n"/>
      <c r="AL2929" s="47" t="n"/>
      <c r="AM2929" s="47" t="n"/>
      <c r="AN2929" s="53" t="n"/>
      <c r="AO2929" s="47" t="n"/>
      <c r="AP2929" s="47" t="n"/>
      <c r="AQ2929" s="47" t="n"/>
      <c r="AR2929" s="47" t="n"/>
      <c r="AS2929" s="47" t="n"/>
      <c r="AT2929" s="47" t="n"/>
      <c r="AU2929" s="47" t="n"/>
      <c r="AV2929" s="47" t="n"/>
      <c r="AW2929" s="52" t="n"/>
    </row>
    <row r="2930">
      <c r="A2930" s="48" t="n"/>
      <c r="B2930" s="52" t="n"/>
      <c r="C2930" s="47">
        <f>IF(B2930="","",IFERROR(INDEX('隊員マスタ'!$B$5:$B$204,MATCH(B2930&amp;"",'隊員マスタ'!$F$5:$F$204,0)),IF(AK2930="","番号なし",AK2930)))</f>
        <v/>
      </c>
      <c r="D2930" s="47" t="n"/>
      <c r="E2930" s="47" t="n"/>
      <c r="F2930" s="47" t="n"/>
      <c r="G2930" s="47" t="n"/>
      <c r="H2930" s="47" t="n"/>
      <c r="I2930" s="47" t="n"/>
      <c r="J2930" s="47" t="n"/>
      <c r="K2930" s="47" t="n"/>
      <c r="L2930" s="47" t="n"/>
      <c r="M2930" s="47" t="n"/>
      <c r="N2930" s="47" t="n"/>
      <c r="O2930" s="47" t="n"/>
      <c r="P2930" s="47" t="n"/>
      <c r="Q2930" s="47" t="n"/>
      <c r="R2930" s="47" t="n"/>
      <c r="S2930" s="47" t="n"/>
      <c r="T2930" s="47" t="n"/>
      <c r="U2930" s="53" t="n"/>
      <c r="V2930" s="53" t="n"/>
      <c r="W2930" s="47" t="n"/>
      <c r="X2930" s="47" t="n"/>
      <c r="Y2930" s="47" t="n"/>
      <c r="Z2930" s="47" t="n"/>
      <c r="AA2930" s="47" t="n"/>
      <c r="AB2930" s="47" t="n"/>
      <c r="AC2930" s="47" t="n"/>
      <c r="AD2930" s="47" t="n"/>
      <c r="AE2930" s="47" t="n"/>
      <c r="AF2930" s="20">
        <f>IF(A2930="","",YEAR(EDATE(A2930,-3)))</f>
        <v/>
      </c>
      <c r="AG2930" s="20">
        <f>IF(OR(B2930="",'経歴簿'!$C$4=""),"",IF(B2930&amp;""='経歴簿'!$C$4&amp;"",MAX($AG$4:AG2929)+1,""))</f>
        <v/>
      </c>
      <c r="AH2930" s="20">
        <f>IF(A2930="",0,IF(AND(OR('CSV抽出'!$C$4="",A2930&gt;='CSV抽出'!$C$4),OR('CSV抽出'!$C$5="",A2930&lt;='CSV抽出'!$C$5),OR('CSV抽出'!$C$6="すべて",'CSV抽出'!$C$6="",D2930='CSV抽出'!$C$6),OR('CSV抽出'!$C$7="",B2930&amp;""='CSV抽出'!$C$7&amp;"")),1,0))</f>
        <v/>
      </c>
      <c r="AI2930" s="20">
        <f>IF(AH2930=1,SUM($AH$5:AH2930),"")</f>
        <v/>
      </c>
      <c r="AJ2930" s="20">
        <f>IF(OR(S2930="",'報告書'!$C$4=""),"",IF(S2930&amp;""='報告書'!$C$4&amp;"",COUNTIF($S$5:S2930,'報告書'!$C$4),""))</f>
        <v/>
      </c>
      <c r="AK2930" s="20" t="n"/>
      <c r="AL2930" s="47" t="n"/>
      <c r="AM2930" s="47" t="n"/>
      <c r="AN2930" s="53" t="n"/>
      <c r="AO2930" s="47" t="n"/>
      <c r="AP2930" s="47" t="n"/>
      <c r="AQ2930" s="47" t="n"/>
      <c r="AR2930" s="47" t="n"/>
      <c r="AS2930" s="47" t="n"/>
      <c r="AT2930" s="47" t="n"/>
      <c r="AU2930" s="47" t="n"/>
      <c r="AV2930" s="47" t="n"/>
      <c r="AW2930" s="52" t="n"/>
    </row>
    <row r="2931">
      <c r="A2931" s="48" t="n"/>
      <c r="B2931" s="52" t="n"/>
      <c r="C2931" s="47">
        <f>IF(B2931="","",IFERROR(INDEX('隊員マスタ'!$B$5:$B$204,MATCH(B2931&amp;"",'隊員マスタ'!$F$5:$F$204,0)),IF(AK2931="","番号なし",AK2931)))</f>
        <v/>
      </c>
      <c r="D2931" s="47" t="n"/>
      <c r="E2931" s="47" t="n"/>
      <c r="F2931" s="47" t="n"/>
      <c r="G2931" s="47" t="n"/>
      <c r="H2931" s="47" t="n"/>
      <c r="I2931" s="47" t="n"/>
      <c r="J2931" s="47" t="n"/>
      <c r="K2931" s="47" t="n"/>
      <c r="L2931" s="47" t="n"/>
      <c r="M2931" s="47" t="n"/>
      <c r="N2931" s="47" t="n"/>
      <c r="O2931" s="47" t="n"/>
      <c r="P2931" s="47" t="n"/>
      <c r="Q2931" s="47" t="n"/>
      <c r="R2931" s="47" t="n"/>
      <c r="S2931" s="47" t="n"/>
      <c r="T2931" s="47" t="n"/>
      <c r="U2931" s="53" t="n"/>
      <c r="V2931" s="53" t="n"/>
      <c r="W2931" s="47" t="n"/>
      <c r="X2931" s="47" t="n"/>
      <c r="Y2931" s="47" t="n"/>
      <c r="Z2931" s="47" t="n"/>
      <c r="AA2931" s="47" t="n"/>
      <c r="AB2931" s="47" t="n"/>
      <c r="AC2931" s="47" t="n"/>
      <c r="AD2931" s="47" t="n"/>
      <c r="AE2931" s="47" t="n"/>
      <c r="AF2931" s="20">
        <f>IF(A2931="","",YEAR(EDATE(A2931,-3)))</f>
        <v/>
      </c>
      <c r="AG2931" s="20">
        <f>IF(OR(B2931="",'経歴簿'!$C$4=""),"",IF(B2931&amp;""='経歴簿'!$C$4&amp;"",MAX($AG$4:AG2930)+1,""))</f>
        <v/>
      </c>
      <c r="AH2931" s="20">
        <f>IF(A2931="",0,IF(AND(OR('CSV抽出'!$C$4="",A2931&gt;='CSV抽出'!$C$4),OR('CSV抽出'!$C$5="",A2931&lt;='CSV抽出'!$C$5),OR('CSV抽出'!$C$6="すべて",'CSV抽出'!$C$6="",D2931='CSV抽出'!$C$6),OR('CSV抽出'!$C$7="",B2931&amp;""='CSV抽出'!$C$7&amp;"")),1,0))</f>
        <v/>
      </c>
      <c r="AI2931" s="20">
        <f>IF(AH2931=1,SUM($AH$5:AH2931),"")</f>
        <v/>
      </c>
      <c r="AJ2931" s="20">
        <f>IF(OR(S2931="",'報告書'!$C$4=""),"",IF(S2931&amp;""='報告書'!$C$4&amp;"",COUNTIF($S$5:S2931,'報告書'!$C$4),""))</f>
        <v/>
      </c>
      <c r="AK2931" s="20" t="n"/>
      <c r="AL2931" s="47" t="n"/>
      <c r="AM2931" s="47" t="n"/>
      <c r="AN2931" s="53" t="n"/>
      <c r="AO2931" s="47" t="n"/>
      <c r="AP2931" s="47" t="n"/>
      <c r="AQ2931" s="47" t="n"/>
      <c r="AR2931" s="47" t="n"/>
      <c r="AS2931" s="47" t="n"/>
      <c r="AT2931" s="47" t="n"/>
      <c r="AU2931" s="47" t="n"/>
      <c r="AV2931" s="47" t="n"/>
      <c r="AW2931" s="52" t="n"/>
    </row>
    <row r="2932">
      <c r="A2932" s="48" t="n"/>
      <c r="B2932" s="52" t="n"/>
      <c r="C2932" s="47">
        <f>IF(B2932="","",IFERROR(INDEX('隊員マスタ'!$B$5:$B$204,MATCH(B2932&amp;"",'隊員マスタ'!$F$5:$F$204,0)),IF(AK2932="","番号なし",AK2932)))</f>
        <v/>
      </c>
      <c r="D2932" s="47" t="n"/>
      <c r="E2932" s="47" t="n"/>
      <c r="F2932" s="47" t="n"/>
      <c r="G2932" s="47" t="n"/>
      <c r="H2932" s="47" t="n"/>
      <c r="I2932" s="47" t="n"/>
      <c r="J2932" s="47" t="n"/>
      <c r="K2932" s="47" t="n"/>
      <c r="L2932" s="47" t="n"/>
      <c r="M2932" s="47" t="n"/>
      <c r="N2932" s="47" t="n"/>
      <c r="O2932" s="47" t="n"/>
      <c r="P2932" s="47" t="n"/>
      <c r="Q2932" s="47" t="n"/>
      <c r="R2932" s="47" t="n"/>
      <c r="S2932" s="47" t="n"/>
      <c r="T2932" s="47" t="n"/>
      <c r="U2932" s="53" t="n"/>
      <c r="V2932" s="53" t="n"/>
      <c r="W2932" s="47" t="n"/>
      <c r="X2932" s="47" t="n"/>
      <c r="Y2932" s="47" t="n"/>
      <c r="Z2932" s="47" t="n"/>
      <c r="AA2932" s="47" t="n"/>
      <c r="AB2932" s="47" t="n"/>
      <c r="AC2932" s="47" t="n"/>
      <c r="AD2932" s="47" t="n"/>
      <c r="AE2932" s="47" t="n"/>
      <c r="AF2932" s="20">
        <f>IF(A2932="","",YEAR(EDATE(A2932,-3)))</f>
        <v/>
      </c>
      <c r="AG2932" s="20">
        <f>IF(OR(B2932="",'経歴簿'!$C$4=""),"",IF(B2932&amp;""='経歴簿'!$C$4&amp;"",MAX($AG$4:AG2931)+1,""))</f>
        <v/>
      </c>
      <c r="AH2932" s="20">
        <f>IF(A2932="",0,IF(AND(OR('CSV抽出'!$C$4="",A2932&gt;='CSV抽出'!$C$4),OR('CSV抽出'!$C$5="",A2932&lt;='CSV抽出'!$C$5),OR('CSV抽出'!$C$6="すべて",'CSV抽出'!$C$6="",D2932='CSV抽出'!$C$6),OR('CSV抽出'!$C$7="",B2932&amp;""='CSV抽出'!$C$7&amp;"")),1,0))</f>
        <v/>
      </c>
      <c r="AI2932" s="20">
        <f>IF(AH2932=1,SUM($AH$5:AH2932),"")</f>
        <v/>
      </c>
      <c r="AJ2932" s="20">
        <f>IF(OR(S2932="",'報告書'!$C$4=""),"",IF(S2932&amp;""='報告書'!$C$4&amp;"",COUNTIF($S$5:S2932,'報告書'!$C$4),""))</f>
        <v/>
      </c>
      <c r="AK2932" s="20" t="n"/>
      <c r="AL2932" s="47" t="n"/>
      <c r="AM2932" s="47" t="n"/>
      <c r="AN2932" s="53" t="n"/>
      <c r="AO2932" s="47" t="n"/>
      <c r="AP2932" s="47" t="n"/>
      <c r="AQ2932" s="47" t="n"/>
      <c r="AR2932" s="47" t="n"/>
      <c r="AS2932" s="47" t="n"/>
      <c r="AT2932" s="47" t="n"/>
      <c r="AU2932" s="47" t="n"/>
      <c r="AV2932" s="47" t="n"/>
      <c r="AW2932" s="52" t="n"/>
    </row>
    <row r="2933">
      <c r="A2933" s="48" t="n"/>
      <c r="B2933" s="52" t="n"/>
      <c r="C2933" s="47">
        <f>IF(B2933="","",IFERROR(INDEX('隊員マスタ'!$B$5:$B$204,MATCH(B2933&amp;"",'隊員マスタ'!$F$5:$F$204,0)),IF(AK2933="","番号なし",AK2933)))</f>
        <v/>
      </c>
      <c r="D2933" s="47" t="n"/>
      <c r="E2933" s="47" t="n"/>
      <c r="F2933" s="47" t="n"/>
      <c r="G2933" s="47" t="n"/>
      <c r="H2933" s="47" t="n"/>
      <c r="I2933" s="47" t="n"/>
      <c r="J2933" s="47" t="n"/>
      <c r="K2933" s="47" t="n"/>
      <c r="L2933" s="47" t="n"/>
      <c r="M2933" s="47" t="n"/>
      <c r="N2933" s="47" t="n"/>
      <c r="O2933" s="47" t="n"/>
      <c r="P2933" s="47" t="n"/>
      <c r="Q2933" s="47" t="n"/>
      <c r="R2933" s="47" t="n"/>
      <c r="S2933" s="47" t="n"/>
      <c r="T2933" s="47" t="n"/>
      <c r="U2933" s="53" t="n"/>
      <c r="V2933" s="53" t="n"/>
      <c r="W2933" s="47" t="n"/>
      <c r="X2933" s="47" t="n"/>
      <c r="Y2933" s="47" t="n"/>
      <c r="Z2933" s="47" t="n"/>
      <c r="AA2933" s="47" t="n"/>
      <c r="AB2933" s="47" t="n"/>
      <c r="AC2933" s="47" t="n"/>
      <c r="AD2933" s="47" t="n"/>
      <c r="AE2933" s="47" t="n"/>
      <c r="AF2933" s="20">
        <f>IF(A2933="","",YEAR(EDATE(A2933,-3)))</f>
        <v/>
      </c>
      <c r="AG2933" s="20">
        <f>IF(OR(B2933="",'経歴簿'!$C$4=""),"",IF(B2933&amp;""='経歴簿'!$C$4&amp;"",MAX($AG$4:AG2932)+1,""))</f>
        <v/>
      </c>
      <c r="AH2933" s="20">
        <f>IF(A2933="",0,IF(AND(OR('CSV抽出'!$C$4="",A2933&gt;='CSV抽出'!$C$4),OR('CSV抽出'!$C$5="",A2933&lt;='CSV抽出'!$C$5),OR('CSV抽出'!$C$6="すべて",'CSV抽出'!$C$6="",D2933='CSV抽出'!$C$6),OR('CSV抽出'!$C$7="",B2933&amp;""='CSV抽出'!$C$7&amp;"")),1,0))</f>
        <v/>
      </c>
      <c r="AI2933" s="20">
        <f>IF(AH2933=1,SUM($AH$5:AH2933),"")</f>
        <v/>
      </c>
      <c r="AJ2933" s="20">
        <f>IF(OR(S2933="",'報告書'!$C$4=""),"",IF(S2933&amp;""='報告書'!$C$4&amp;"",COUNTIF($S$5:S2933,'報告書'!$C$4),""))</f>
        <v/>
      </c>
      <c r="AK2933" s="20" t="n"/>
      <c r="AL2933" s="47" t="n"/>
      <c r="AM2933" s="47" t="n"/>
      <c r="AN2933" s="53" t="n"/>
      <c r="AO2933" s="47" t="n"/>
      <c r="AP2933" s="47" t="n"/>
      <c r="AQ2933" s="47" t="n"/>
      <c r="AR2933" s="47" t="n"/>
      <c r="AS2933" s="47" t="n"/>
      <c r="AT2933" s="47" t="n"/>
      <c r="AU2933" s="47" t="n"/>
      <c r="AV2933" s="47" t="n"/>
      <c r="AW2933" s="52" t="n"/>
    </row>
    <row r="2934">
      <c r="A2934" s="48" t="n"/>
      <c r="B2934" s="52" t="n"/>
      <c r="C2934" s="47">
        <f>IF(B2934="","",IFERROR(INDEX('隊員マスタ'!$B$5:$B$204,MATCH(B2934&amp;"",'隊員マスタ'!$F$5:$F$204,0)),IF(AK2934="","番号なし",AK2934)))</f>
        <v/>
      </c>
      <c r="D2934" s="47" t="n"/>
      <c r="E2934" s="47" t="n"/>
      <c r="F2934" s="47" t="n"/>
      <c r="G2934" s="47" t="n"/>
      <c r="H2934" s="47" t="n"/>
      <c r="I2934" s="47" t="n"/>
      <c r="J2934" s="47" t="n"/>
      <c r="K2934" s="47" t="n"/>
      <c r="L2934" s="47" t="n"/>
      <c r="M2934" s="47" t="n"/>
      <c r="N2934" s="47" t="n"/>
      <c r="O2934" s="47" t="n"/>
      <c r="P2934" s="47" t="n"/>
      <c r="Q2934" s="47" t="n"/>
      <c r="R2934" s="47" t="n"/>
      <c r="S2934" s="47" t="n"/>
      <c r="T2934" s="47" t="n"/>
      <c r="U2934" s="53" t="n"/>
      <c r="V2934" s="53" t="n"/>
      <c r="W2934" s="47" t="n"/>
      <c r="X2934" s="47" t="n"/>
      <c r="Y2934" s="47" t="n"/>
      <c r="Z2934" s="47" t="n"/>
      <c r="AA2934" s="47" t="n"/>
      <c r="AB2934" s="47" t="n"/>
      <c r="AC2934" s="47" t="n"/>
      <c r="AD2934" s="47" t="n"/>
      <c r="AE2934" s="47" t="n"/>
      <c r="AF2934" s="20">
        <f>IF(A2934="","",YEAR(EDATE(A2934,-3)))</f>
        <v/>
      </c>
      <c r="AG2934" s="20">
        <f>IF(OR(B2934="",'経歴簿'!$C$4=""),"",IF(B2934&amp;""='経歴簿'!$C$4&amp;"",MAX($AG$4:AG2933)+1,""))</f>
        <v/>
      </c>
      <c r="AH2934" s="20">
        <f>IF(A2934="",0,IF(AND(OR('CSV抽出'!$C$4="",A2934&gt;='CSV抽出'!$C$4),OR('CSV抽出'!$C$5="",A2934&lt;='CSV抽出'!$C$5),OR('CSV抽出'!$C$6="すべて",'CSV抽出'!$C$6="",D2934='CSV抽出'!$C$6),OR('CSV抽出'!$C$7="",B2934&amp;""='CSV抽出'!$C$7&amp;"")),1,0))</f>
        <v/>
      </c>
      <c r="AI2934" s="20">
        <f>IF(AH2934=1,SUM($AH$5:AH2934),"")</f>
        <v/>
      </c>
      <c r="AJ2934" s="20">
        <f>IF(OR(S2934="",'報告書'!$C$4=""),"",IF(S2934&amp;""='報告書'!$C$4&amp;"",COUNTIF($S$5:S2934,'報告書'!$C$4),""))</f>
        <v/>
      </c>
      <c r="AK2934" s="20" t="n"/>
      <c r="AL2934" s="47" t="n"/>
      <c r="AM2934" s="47" t="n"/>
      <c r="AN2934" s="53" t="n"/>
      <c r="AO2934" s="47" t="n"/>
      <c r="AP2934" s="47" t="n"/>
      <c r="AQ2934" s="47" t="n"/>
      <c r="AR2934" s="47" t="n"/>
      <c r="AS2934" s="47" t="n"/>
      <c r="AT2934" s="47" t="n"/>
      <c r="AU2934" s="47" t="n"/>
      <c r="AV2934" s="47" t="n"/>
      <c r="AW2934" s="52" t="n"/>
    </row>
    <row r="2935">
      <c r="A2935" s="48" t="n"/>
      <c r="B2935" s="52" t="n"/>
      <c r="C2935" s="47">
        <f>IF(B2935="","",IFERROR(INDEX('隊員マスタ'!$B$5:$B$204,MATCH(B2935&amp;"",'隊員マスタ'!$F$5:$F$204,0)),IF(AK2935="","番号なし",AK2935)))</f>
        <v/>
      </c>
      <c r="D2935" s="47" t="n"/>
      <c r="E2935" s="47" t="n"/>
      <c r="F2935" s="47" t="n"/>
      <c r="G2935" s="47" t="n"/>
      <c r="H2935" s="47" t="n"/>
      <c r="I2935" s="47" t="n"/>
      <c r="J2935" s="47" t="n"/>
      <c r="K2935" s="47" t="n"/>
      <c r="L2935" s="47" t="n"/>
      <c r="M2935" s="47" t="n"/>
      <c r="N2935" s="47" t="n"/>
      <c r="O2935" s="47" t="n"/>
      <c r="P2935" s="47" t="n"/>
      <c r="Q2935" s="47" t="n"/>
      <c r="R2935" s="47" t="n"/>
      <c r="S2935" s="47" t="n"/>
      <c r="T2935" s="47" t="n"/>
      <c r="U2935" s="53" t="n"/>
      <c r="V2935" s="53" t="n"/>
      <c r="W2935" s="47" t="n"/>
      <c r="X2935" s="47" t="n"/>
      <c r="Y2935" s="47" t="n"/>
      <c r="Z2935" s="47" t="n"/>
      <c r="AA2935" s="47" t="n"/>
      <c r="AB2935" s="47" t="n"/>
      <c r="AC2935" s="47" t="n"/>
      <c r="AD2935" s="47" t="n"/>
      <c r="AE2935" s="47" t="n"/>
      <c r="AF2935" s="20">
        <f>IF(A2935="","",YEAR(EDATE(A2935,-3)))</f>
        <v/>
      </c>
      <c r="AG2935" s="20">
        <f>IF(OR(B2935="",'経歴簿'!$C$4=""),"",IF(B2935&amp;""='経歴簿'!$C$4&amp;"",MAX($AG$4:AG2934)+1,""))</f>
        <v/>
      </c>
      <c r="AH2935" s="20">
        <f>IF(A2935="",0,IF(AND(OR('CSV抽出'!$C$4="",A2935&gt;='CSV抽出'!$C$4),OR('CSV抽出'!$C$5="",A2935&lt;='CSV抽出'!$C$5),OR('CSV抽出'!$C$6="すべて",'CSV抽出'!$C$6="",D2935='CSV抽出'!$C$6),OR('CSV抽出'!$C$7="",B2935&amp;""='CSV抽出'!$C$7&amp;"")),1,0))</f>
        <v/>
      </c>
      <c r="AI2935" s="20">
        <f>IF(AH2935=1,SUM($AH$5:AH2935),"")</f>
        <v/>
      </c>
      <c r="AJ2935" s="20">
        <f>IF(OR(S2935="",'報告書'!$C$4=""),"",IF(S2935&amp;""='報告書'!$C$4&amp;"",COUNTIF($S$5:S2935,'報告書'!$C$4),""))</f>
        <v/>
      </c>
      <c r="AK2935" s="20" t="n"/>
      <c r="AL2935" s="47" t="n"/>
      <c r="AM2935" s="47" t="n"/>
      <c r="AN2935" s="53" t="n"/>
      <c r="AO2935" s="47" t="n"/>
      <c r="AP2935" s="47" t="n"/>
      <c r="AQ2935" s="47" t="n"/>
      <c r="AR2935" s="47" t="n"/>
      <c r="AS2935" s="47" t="n"/>
      <c r="AT2935" s="47" t="n"/>
      <c r="AU2935" s="47" t="n"/>
      <c r="AV2935" s="47" t="n"/>
      <c r="AW2935" s="52" t="n"/>
    </row>
    <row r="2936">
      <c r="A2936" s="48" t="n"/>
      <c r="B2936" s="52" t="n"/>
      <c r="C2936" s="47">
        <f>IF(B2936="","",IFERROR(INDEX('隊員マスタ'!$B$5:$B$204,MATCH(B2936&amp;"",'隊員マスタ'!$F$5:$F$204,0)),IF(AK2936="","番号なし",AK2936)))</f>
        <v/>
      </c>
      <c r="D2936" s="47" t="n"/>
      <c r="E2936" s="47" t="n"/>
      <c r="F2936" s="47" t="n"/>
      <c r="G2936" s="47" t="n"/>
      <c r="H2936" s="47" t="n"/>
      <c r="I2936" s="47" t="n"/>
      <c r="J2936" s="47" t="n"/>
      <c r="K2936" s="47" t="n"/>
      <c r="L2936" s="47" t="n"/>
      <c r="M2936" s="47" t="n"/>
      <c r="N2936" s="47" t="n"/>
      <c r="O2936" s="47" t="n"/>
      <c r="P2936" s="47" t="n"/>
      <c r="Q2936" s="47" t="n"/>
      <c r="R2936" s="47" t="n"/>
      <c r="S2936" s="47" t="n"/>
      <c r="T2936" s="47" t="n"/>
      <c r="U2936" s="53" t="n"/>
      <c r="V2936" s="53" t="n"/>
      <c r="W2936" s="47" t="n"/>
      <c r="X2936" s="47" t="n"/>
      <c r="Y2936" s="47" t="n"/>
      <c r="Z2936" s="47" t="n"/>
      <c r="AA2936" s="47" t="n"/>
      <c r="AB2936" s="47" t="n"/>
      <c r="AC2936" s="47" t="n"/>
      <c r="AD2936" s="47" t="n"/>
      <c r="AE2936" s="47" t="n"/>
      <c r="AF2936" s="20">
        <f>IF(A2936="","",YEAR(EDATE(A2936,-3)))</f>
        <v/>
      </c>
      <c r="AG2936" s="20">
        <f>IF(OR(B2936="",'経歴簿'!$C$4=""),"",IF(B2936&amp;""='経歴簿'!$C$4&amp;"",MAX($AG$4:AG2935)+1,""))</f>
        <v/>
      </c>
      <c r="AH2936" s="20">
        <f>IF(A2936="",0,IF(AND(OR('CSV抽出'!$C$4="",A2936&gt;='CSV抽出'!$C$4),OR('CSV抽出'!$C$5="",A2936&lt;='CSV抽出'!$C$5),OR('CSV抽出'!$C$6="すべて",'CSV抽出'!$C$6="",D2936='CSV抽出'!$C$6),OR('CSV抽出'!$C$7="",B2936&amp;""='CSV抽出'!$C$7&amp;"")),1,0))</f>
        <v/>
      </c>
      <c r="AI2936" s="20">
        <f>IF(AH2936=1,SUM($AH$5:AH2936),"")</f>
        <v/>
      </c>
      <c r="AJ2936" s="20">
        <f>IF(OR(S2936="",'報告書'!$C$4=""),"",IF(S2936&amp;""='報告書'!$C$4&amp;"",COUNTIF($S$5:S2936,'報告書'!$C$4),""))</f>
        <v/>
      </c>
      <c r="AK2936" s="20" t="n"/>
      <c r="AL2936" s="47" t="n"/>
      <c r="AM2936" s="47" t="n"/>
      <c r="AN2936" s="53" t="n"/>
      <c r="AO2936" s="47" t="n"/>
      <c r="AP2936" s="47" t="n"/>
      <c r="AQ2936" s="47" t="n"/>
      <c r="AR2936" s="47" t="n"/>
      <c r="AS2936" s="47" t="n"/>
      <c r="AT2936" s="47" t="n"/>
      <c r="AU2936" s="47" t="n"/>
      <c r="AV2936" s="47" t="n"/>
      <c r="AW2936" s="52" t="n"/>
    </row>
    <row r="2937">
      <c r="A2937" s="48" t="n"/>
      <c r="B2937" s="52" t="n"/>
      <c r="C2937" s="47">
        <f>IF(B2937="","",IFERROR(INDEX('隊員マスタ'!$B$5:$B$204,MATCH(B2937&amp;"",'隊員マスタ'!$F$5:$F$204,0)),IF(AK2937="","番号なし",AK2937)))</f>
        <v/>
      </c>
      <c r="D2937" s="47" t="n"/>
      <c r="E2937" s="47" t="n"/>
      <c r="F2937" s="47" t="n"/>
      <c r="G2937" s="47" t="n"/>
      <c r="H2937" s="47" t="n"/>
      <c r="I2937" s="47" t="n"/>
      <c r="J2937" s="47" t="n"/>
      <c r="K2937" s="47" t="n"/>
      <c r="L2937" s="47" t="n"/>
      <c r="M2937" s="47" t="n"/>
      <c r="N2937" s="47" t="n"/>
      <c r="O2937" s="47" t="n"/>
      <c r="P2937" s="47" t="n"/>
      <c r="Q2937" s="47" t="n"/>
      <c r="R2937" s="47" t="n"/>
      <c r="S2937" s="47" t="n"/>
      <c r="T2937" s="47" t="n"/>
      <c r="U2937" s="53" t="n"/>
      <c r="V2937" s="53" t="n"/>
      <c r="W2937" s="47" t="n"/>
      <c r="X2937" s="47" t="n"/>
      <c r="Y2937" s="47" t="n"/>
      <c r="Z2937" s="47" t="n"/>
      <c r="AA2937" s="47" t="n"/>
      <c r="AB2937" s="47" t="n"/>
      <c r="AC2937" s="47" t="n"/>
      <c r="AD2937" s="47" t="n"/>
      <c r="AE2937" s="47" t="n"/>
      <c r="AF2937" s="20">
        <f>IF(A2937="","",YEAR(EDATE(A2937,-3)))</f>
        <v/>
      </c>
      <c r="AG2937" s="20">
        <f>IF(OR(B2937="",'経歴簿'!$C$4=""),"",IF(B2937&amp;""='経歴簿'!$C$4&amp;"",MAX($AG$4:AG2936)+1,""))</f>
        <v/>
      </c>
      <c r="AH2937" s="20">
        <f>IF(A2937="",0,IF(AND(OR('CSV抽出'!$C$4="",A2937&gt;='CSV抽出'!$C$4),OR('CSV抽出'!$C$5="",A2937&lt;='CSV抽出'!$C$5),OR('CSV抽出'!$C$6="すべて",'CSV抽出'!$C$6="",D2937='CSV抽出'!$C$6),OR('CSV抽出'!$C$7="",B2937&amp;""='CSV抽出'!$C$7&amp;"")),1,0))</f>
        <v/>
      </c>
      <c r="AI2937" s="20">
        <f>IF(AH2937=1,SUM($AH$5:AH2937),"")</f>
        <v/>
      </c>
      <c r="AJ2937" s="20">
        <f>IF(OR(S2937="",'報告書'!$C$4=""),"",IF(S2937&amp;""='報告書'!$C$4&amp;"",COUNTIF($S$5:S2937,'報告書'!$C$4),""))</f>
        <v/>
      </c>
      <c r="AK2937" s="20" t="n"/>
      <c r="AL2937" s="47" t="n"/>
      <c r="AM2937" s="47" t="n"/>
      <c r="AN2937" s="53" t="n"/>
      <c r="AO2937" s="47" t="n"/>
      <c r="AP2937" s="47" t="n"/>
      <c r="AQ2937" s="47" t="n"/>
      <c r="AR2937" s="47" t="n"/>
      <c r="AS2937" s="47" t="n"/>
      <c r="AT2937" s="47" t="n"/>
      <c r="AU2937" s="47" t="n"/>
      <c r="AV2937" s="47" t="n"/>
      <c r="AW2937" s="52" t="n"/>
    </row>
    <row r="2938">
      <c r="A2938" s="48" t="n"/>
      <c r="B2938" s="52" t="n"/>
      <c r="C2938" s="47">
        <f>IF(B2938="","",IFERROR(INDEX('隊員マスタ'!$B$5:$B$204,MATCH(B2938&amp;"",'隊員マスタ'!$F$5:$F$204,0)),IF(AK2938="","番号なし",AK2938)))</f>
        <v/>
      </c>
      <c r="D2938" s="47" t="n"/>
      <c r="E2938" s="47" t="n"/>
      <c r="F2938" s="47" t="n"/>
      <c r="G2938" s="47" t="n"/>
      <c r="H2938" s="47" t="n"/>
      <c r="I2938" s="47" t="n"/>
      <c r="J2938" s="47" t="n"/>
      <c r="K2938" s="47" t="n"/>
      <c r="L2938" s="47" t="n"/>
      <c r="M2938" s="47" t="n"/>
      <c r="N2938" s="47" t="n"/>
      <c r="O2938" s="47" t="n"/>
      <c r="P2938" s="47" t="n"/>
      <c r="Q2938" s="47" t="n"/>
      <c r="R2938" s="47" t="n"/>
      <c r="S2938" s="47" t="n"/>
      <c r="T2938" s="47" t="n"/>
      <c r="U2938" s="53" t="n"/>
      <c r="V2938" s="53" t="n"/>
      <c r="W2938" s="47" t="n"/>
      <c r="X2938" s="47" t="n"/>
      <c r="Y2938" s="47" t="n"/>
      <c r="Z2938" s="47" t="n"/>
      <c r="AA2938" s="47" t="n"/>
      <c r="AB2938" s="47" t="n"/>
      <c r="AC2938" s="47" t="n"/>
      <c r="AD2938" s="47" t="n"/>
      <c r="AE2938" s="47" t="n"/>
      <c r="AF2938" s="20">
        <f>IF(A2938="","",YEAR(EDATE(A2938,-3)))</f>
        <v/>
      </c>
      <c r="AG2938" s="20">
        <f>IF(OR(B2938="",'経歴簿'!$C$4=""),"",IF(B2938&amp;""='経歴簿'!$C$4&amp;"",MAX($AG$4:AG2937)+1,""))</f>
        <v/>
      </c>
      <c r="AH2938" s="20">
        <f>IF(A2938="",0,IF(AND(OR('CSV抽出'!$C$4="",A2938&gt;='CSV抽出'!$C$4),OR('CSV抽出'!$C$5="",A2938&lt;='CSV抽出'!$C$5),OR('CSV抽出'!$C$6="すべて",'CSV抽出'!$C$6="",D2938='CSV抽出'!$C$6),OR('CSV抽出'!$C$7="",B2938&amp;""='CSV抽出'!$C$7&amp;"")),1,0))</f>
        <v/>
      </c>
      <c r="AI2938" s="20">
        <f>IF(AH2938=1,SUM($AH$5:AH2938),"")</f>
        <v/>
      </c>
      <c r="AJ2938" s="20">
        <f>IF(OR(S2938="",'報告書'!$C$4=""),"",IF(S2938&amp;""='報告書'!$C$4&amp;"",COUNTIF($S$5:S2938,'報告書'!$C$4),""))</f>
        <v/>
      </c>
      <c r="AK2938" s="20" t="n"/>
      <c r="AL2938" s="47" t="n"/>
      <c r="AM2938" s="47" t="n"/>
      <c r="AN2938" s="53" t="n"/>
      <c r="AO2938" s="47" t="n"/>
      <c r="AP2938" s="47" t="n"/>
      <c r="AQ2938" s="47" t="n"/>
      <c r="AR2938" s="47" t="n"/>
      <c r="AS2938" s="47" t="n"/>
      <c r="AT2938" s="47" t="n"/>
      <c r="AU2938" s="47" t="n"/>
      <c r="AV2938" s="47" t="n"/>
      <c r="AW2938" s="52" t="n"/>
    </row>
    <row r="2939">
      <c r="A2939" s="48" t="n"/>
      <c r="B2939" s="52" t="n"/>
      <c r="C2939" s="47">
        <f>IF(B2939="","",IFERROR(INDEX('隊員マスタ'!$B$5:$B$204,MATCH(B2939&amp;"",'隊員マスタ'!$F$5:$F$204,0)),IF(AK2939="","番号なし",AK2939)))</f>
        <v/>
      </c>
      <c r="D2939" s="47" t="n"/>
      <c r="E2939" s="47" t="n"/>
      <c r="F2939" s="47" t="n"/>
      <c r="G2939" s="47" t="n"/>
      <c r="H2939" s="47" t="n"/>
      <c r="I2939" s="47" t="n"/>
      <c r="J2939" s="47" t="n"/>
      <c r="K2939" s="47" t="n"/>
      <c r="L2939" s="47" t="n"/>
      <c r="M2939" s="47" t="n"/>
      <c r="N2939" s="47" t="n"/>
      <c r="O2939" s="47" t="n"/>
      <c r="P2939" s="47" t="n"/>
      <c r="Q2939" s="47" t="n"/>
      <c r="R2939" s="47" t="n"/>
      <c r="S2939" s="47" t="n"/>
      <c r="T2939" s="47" t="n"/>
      <c r="U2939" s="53" t="n"/>
      <c r="V2939" s="53" t="n"/>
      <c r="W2939" s="47" t="n"/>
      <c r="X2939" s="47" t="n"/>
      <c r="Y2939" s="47" t="n"/>
      <c r="Z2939" s="47" t="n"/>
      <c r="AA2939" s="47" t="n"/>
      <c r="AB2939" s="47" t="n"/>
      <c r="AC2939" s="47" t="n"/>
      <c r="AD2939" s="47" t="n"/>
      <c r="AE2939" s="47" t="n"/>
      <c r="AF2939" s="20">
        <f>IF(A2939="","",YEAR(EDATE(A2939,-3)))</f>
        <v/>
      </c>
      <c r="AG2939" s="20">
        <f>IF(OR(B2939="",'経歴簿'!$C$4=""),"",IF(B2939&amp;""='経歴簿'!$C$4&amp;"",MAX($AG$4:AG2938)+1,""))</f>
        <v/>
      </c>
      <c r="AH2939" s="20">
        <f>IF(A2939="",0,IF(AND(OR('CSV抽出'!$C$4="",A2939&gt;='CSV抽出'!$C$4),OR('CSV抽出'!$C$5="",A2939&lt;='CSV抽出'!$C$5),OR('CSV抽出'!$C$6="すべて",'CSV抽出'!$C$6="",D2939='CSV抽出'!$C$6),OR('CSV抽出'!$C$7="",B2939&amp;""='CSV抽出'!$C$7&amp;"")),1,0))</f>
        <v/>
      </c>
      <c r="AI2939" s="20">
        <f>IF(AH2939=1,SUM($AH$5:AH2939),"")</f>
        <v/>
      </c>
      <c r="AJ2939" s="20">
        <f>IF(OR(S2939="",'報告書'!$C$4=""),"",IF(S2939&amp;""='報告書'!$C$4&amp;"",COUNTIF($S$5:S2939,'報告書'!$C$4),""))</f>
        <v/>
      </c>
      <c r="AK2939" s="20" t="n"/>
      <c r="AL2939" s="47" t="n"/>
      <c r="AM2939" s="47" t="n"/>
      <c r="AN2939" s="53" t="n"/>
      <c r="AO2939" s="47" t="n"/>
      <c r="AP2939" s="47" t="n"/>
      <c r="AQ2939" s="47" t="n"/>
      <c r="AR2939" s="47" t="n"/>
      <c r="AS2939" s="47" t="n"/>
      <c r="AT2939" s="47" t="n"/>
      <c r="AU2939" s="47" t="n"/>
      <c r="AV2939" s="47" t="n"/>
      <c r="AW2939" s="52" t="n"/>
    </row>
    <row r="2940">
      <c r="A2940" s="48" t="n"/>
      <c r="B2940" s="52" t="n"/>
      <c r="C2940" s="47">
        <f>IF(B2940="","",IFERROR(INDEX('隊員マスタ'!$B$5:$B$204,MATCH(B2940&amp;"",'隊員マスタ'!$F$5:$F$204,0)),IF(AK2940="","番号なし",AK2940)))</f>
        <v/>
      </c>
      <c r="D2940" s="47" t="n"/>
      <c r="E2940" s="47" t="n"/>
      <c r="F2940" s="47" t="n"/>
      <c r="G2940" s="47" t="n"/>
      <c r="H2940" s="47" t="n"/>
      <c r="I2940" s="47" t="n"/>
      <c r="J2940" s="47" t="n"/>
      <c r="K2940" s="47" t="n"/>
      <c r="L2940" s="47" t="n"/>
      <c r="M2940" s="47" t="n"/>
      <c r="N2940" s="47" t="n"/>
      <c r="O2940" s="47" t="n"/>
      <c r="P2940" s="47" t="n"/>
      <c r="Q2940" s="47" t="n"/>
      <c r="R2940" s="47" t="n"/>
      <c r="S2940" s="47" t="n"/>
      <c r="T2940" s="47" t="n"/>
      <c r="U2940" s="53" t="n"/>
      <c r="V2940" s="53" t="n"/>
      <c r="W2940" s="47" t="n"/>
      <c r="X2940" s="47" t="n"/>
      <c r="Y2940" s="47" t="n"/>
      <c r="Z2940" s="47" t="n"/>
      <c r="AA2940" s="47" t="n"/>
      <c r="AB2940" s="47" t="n"/>
      <c r="AC2940" s="47" t="n"/>
      <c r="AD2940" s="47" t="n"/>
      <c r="AE2940" s="47" t="n"/>
      <c r="AF2940" s="20">
        <f>IF(A2940="","",YEAR(EDATE(A2940,-3)))</f>
        <v/>
      </c>
      <c r="AG2940" s="20">
        <f>IF(OR(B2940="",'経歴簿'!$C$4=""),"",IF(B2940&amp;""='経歴簿'!$C$4&amp;"",MAX($AG$4:AG2939)+1,""))</f>
        <v/>
      </c>
      <c r="AH2940" s="20">
        <f>IF(A2940="",0,IF(AND(OR('CSV抽出'!$C$4="",A2940&gt;='CSV抽出'!$C$4),OR('CSV抽出'!$C$5="",A2940&lt;='CSV抽出'!$C$5),OR('CSV抽出'!$C$6="すべて",'CSV抽出'!$C$6="",D2940='CSV抽出'!$C$6),OR('CSV抽出'!$C$7="",B2940&amp;""='CSV抽出'!$C$7&amp;"")),1,0))</f>
        <v/>
      </c>
      <c r="AI2940" s="20">
        <f>IF(AH2940=1,SUM($AH$5:AH2940),"")</f>
        <v/>
      </c>
      <c r="AJ2940" s="20">
        <f>IF(OR(S2940="",'報告書'!$C$4=""),"",IF(S2940&amp;""='報告書'!$C$4&amp;"",COUNTIF($S$5:S2940,'報告書'!$C$4),""))</f>
        <v/>
      </c>
      <c r="AK2940" s="20" t="n"/>
      <c r="AL2940" s="47" t="n"/>
      <c r="AM2940" s="47" t="n"/>
      <c r="AN2940" s="53" t="n"/>
      <c r="AO2940" s="47" t="n"/>
      <c r="AP2940" s="47" t="n"/>
      <c r="AQ2940" s="47" t="n"/>
      <c r="AR2940" s="47" t="n"/>
      <c r="AS2940" s="47" t="n"/>
      <c r="AT2940" s="47" t="n"/>
      <c r="AU2940" s="47" t="n"/>
      <c r="AV2940" s="47" t="n"/>
      <c r="AW2940" s="52" t="n"/>
    </row>
    <row r="2941">
      <c r="A2941" s="48" t="n"/>
      <c r="B2941" s="52" t="n"/>
      <c r="C2941" s="47">
        <f>IF(B2941="","",IFERROR(INDEX('隊員マスタ'!$B$5:$B$204,MATCH(B2941&amp;"",'隊員マスタ'!$F$5:$F$204,0)),IF(AK2941="","番号なし",AK2941)))</f>
        <v/>
      </c>
      <c r="D2941" s="47" t="n"/>
      <c r="E2941" s="47" t="n"/>
      <c r="F2941" s="47" t="n"/>
      <c r="G2941" s="47" t="n"/>
      <c r="H2941" s="47" t="n"/>
      <c r="I2941" s="47" t="n"/>
      <c r="J2941" s="47" t="n"/>
      <c r="K2941" s="47" t="n"/>
      <c r="L2941" s="47" t="n"/>
      <c r="M2941" s="47" t="n"/>
      <c r="N2941" s="47" t="n"/>
      <c r="O2941" s="47" t="n"/>
      <c r="P2941" s="47" t="n"/>
      <c r="Q2941" s="47" t="n"/>
      <c r="R2941" s="47" t="n"/>
      <c r="S2941" s="47" t="n"/>
      <c r="T2941" s="47" t="n"/>
      <c r="U2941" s="53" t="n"/>
      <c r="V2941" s="53" t="n"/>
      <c r="W2941" s="47" t="n"/>
      <c r="X2941" s="47" t="n"/>
      <c r="Y2941" s="47" t="n"/>
      <c r="Z2941" s="47" t="n"/>
      <c r="AA2941" s="47" t="n"/>
      <c r="AB2941" s="47" t="n"/>
      <c r="AC2941" s="47" t="n"/>
      <c r="AD2941" s="47" t="n"/>
      <c r="AE2941" s="47" t="n"/>
      <c r="AF2941" s="20">
        <f>IF(A2941="","",YEAR(EDATE(A2941,-3)))</f>
        <v/>
      </c>
      <c r="AG2941" s="20">
        <f>IF(OR(B2941="",'経歴簿'!$C$4=""),"",IF(B2941&amp;""='経歴簿'!$C$4&amp;"",MAX($AG$4:AG2940)+1,""))</f>
        <v/>
      </c>
      <c r="AH2941" s="20">
        <f>IF(A2941="",0,IF(AND(OR('CSV抽出'!$C$4="",A2941&gt;='CSV抽出'!$C$4),OR('CSV抽出'!$C$5="",A2941&lt;='CSV抽出'!$C$5),OR('CSV抽出'!$C$6="すべて",'CSV抽出'!$C$6="",D2941='CSV抽出'!$C$6),OR('CSV抽出'!$C$7="",B2941&amp;""='CSV抽出'!$C$7&amp;"")),1,0))</f>
        <v/>
      </c>
      <c r="AI2941" s="20">
        <f>IF(AH2941=1,SUM($AH$5:AH2941),"")</f>
        <v/>
      </c>
      <c r="AJ2941" s="20">
        <f>IF(OR(S2941="",'報告書'!$C$4=""),"",IF(S2941&amp;""='報告書'!$C$4&amp;"",COUNTIF($S$5:S2941,'報告書'!$C$4),""))</f>
        <v/>
      </c>
      <c r="AK2941" s="20" t="n"/>
      <c r="AL2941" s="47" t="n"/>
      <c r="AM2941" s="47" t="n"/>
      <c r="AN2941" s="53" t="n"/>
      <c r="AO2941" s="47" t="n"/>
      <c r="AP2941" s="47" t="n"/>
      <c r="AQ2941" s="47" t="n"/>
      <c r="AR2941" s="47" t="n"/>
      <c r="AS2941" s="47" t="n"/>
      <c r="AT2941" s="47" t="n"/>
      <c r="AU2941" s="47" t="n"/>
      <c r="AV2941" s="47" t="n"/>
      <c r="AW2941" s="52" t="n"/>
    </row>
    <row r="2942">
      <c r="A2942" s="48" t="n"/>
      <c r="B2942" s="52" t="n"/>
      <c r="C2942" s="47">
        <f>IF(B2942="","",IFERROR(INDEX('隊員マスタ'!$B$5:$B$204,MATCH(B2942&amp;"",'隊員マスタ'!$F$5:$F$204,0)),IF(AK2942="","番号なし",AK2942)))</f>
        <v/>
      </c>
      <c r="D2942" s="47" t="n"/>
      <c r="E2942" s="47" t="n"/>
      <c r="F2942" s="47" t="n"/>
      <c r="G2942" s="47" t="n"/>
      <c r="H2942" s="47" t="n"/>
      <c r="I2942" s="47" t="n"/>
      <c r="J2942" s="47" t="n"/>
      <c r="K2942" s="47" t="n"/>
      <c r="L2942" s="47" t="n"/>
      <c r="M2942" s="47" t="n"/>
      <c r="N2942" s="47" t="n"/>
      <c r="O2942" s="47" t="n"/>
      <c r="P2942" s="47" t="n"/>
      <c r="Q2942" s="47" t="n"/>
      <c r="R2942" s="47" t="n"/>
      <c r="S2942" s="47" t="n"/>
      <c r="T2942" s="47" t="n"/>
      <c r="U2942" s="53" t="n"/>
      <c r="V2942" s="53" t="n"/>
      <c r="W2942" s="47" t="n"/>
      <c r="X2942" s="47" t="n"/>
      <c r="Y2942" s="47" t="n"/>
      <c r="Z2942" s="47" t="n"/>
      <c r="AA2942" s="47" t="n"/>
      <c r="AB2942" s="47" t="n"/>
      <c r="AC2942" s="47" t="n"/>
      <c r="AD2942" s="47" t="n"/>
      <c r="AE2942" s="47" t="n"/>
      <c r="AF2942" s="20">
        <f>IF(A2942="","",YEAR(EDATE(A2942,-3)))</f>
        <v/>
      </c>
      <c r="AG2942" s="20">
        <f>IF(OR(B2942="",'経歴簿'!$C$4=""),"",IF(B2942&amp;""='経歴簿'!$C$4&amp;"",MAX($AG$4:AG2941)+1,""))</f>
        <v/>
      </c>
      <c r="AH2942" s="20">
        <f>IF(A2942="",0,IF(AND(OR('CSV抽出'!$C$4="",A2942&gt;='CSV抽出'!$C$4),OR('CSV抽出'!$C$5="",A2942&lt;='CSV抽出'!$C$5),OR('CSV抽出'!$C$6="すべて",'CSV抽出'!$C$6="",D2942='CSV抽出'!$C$6),OR('CSV抽出'!$C$7="",B2942&amp;""='CSV抽出'!$C$7&amp;"")),1,0))</f>
        <v/>
      </c>
      <c r="AI2942" s="20">
        <f>IF(AH2942=1,SUM($AH$5:AH2942),"")</f>
        <v/>
      </c>
      <c r="AJ2942" s="20">
        <f>IF(OR(S2942="",'報告書'!$C$4=""),"",IF(S2942&amp;""='報告書'!$C$4&amp;"",COUNTIF($S$5:S2942,'報告書'!$C$4),""))</f>
        <v/>
      </c>
      <c r="AK2942" s="20" t="n"/>
      <c r="AL2942" s="47" t="n"/>
      <c r="AM2942" s="47" t="n"/>
      <c r="AN2942" s="53" t="n"/>
      <c r="AO2942" s="47" t="n"/>
      <c r="AP2942" s="47" t="n"/>
      <c r="AQ2942" s="47" t="n"/>
      <c r="AR2942" s="47" t="n"/>
      <c r="AS2942" s="47" t="n"/>
      <c r="AT2942" s="47" t="n"/>
      <c r="AU2942" s="47" t="n"/>
      <c r="AV2942" s="47" t="n"/>
      <c r="AW2942" s="52" t="n"/>
    </row>
    <row r="2943">
      <c r="A2943" s="48" t="n"/>
      <c r="B2943" s="52" t="n"/>
      <c r="C2943" s="47">
        <f>IF(B2943="","",IFERROR(INDEX('隊員マスタ'!$B$5:$B$204,MATCH(B2943&amp;"",'隊員マスタ'!$F$5:$F$204,0)),IF(AK2943="","番号なし",AK2943)))</f>
        <v/>
      </c>
      <c r="D2943" s="47" t="n"/>
      <c r="E2943" s="47" t="n"/>
      <c r="F2943" s="47" t="n"/>
      <c r="G2943" s="47" t="n"/>
      <c r="H2943" s="47" t="n"/>
      <c r="I2943" s="47" t="n"/>
      <c r="J2943" s="47" t="n"/>
      <c r="K2943" s="47" t="n"/>
      <c r="L2943" s="47" t="n"/>
      <c r="M2943" s="47" t="n"/>
      <c r="N2943" s="47" t="n"/>
      <c r="O2943" s="47" t="n"/>
      <c r="P2943" s="47" t="n"/>
      <c r="Q2943" s="47" t="n"/>
      <c r="R2943" s="47" t="n"/>
      <c r="S2943" s="47" t="n"/>
      <c r="T2943" s="47" t="n"/>
      <c r="U2943" s="53" t="n"/>
      <c r="V2943" s="53" t="n"/>
      <c r="W2943" s="47" t="n"/>
      <c r="X2943" s="47" t="n"/>
      <c r="Y2943" s="47" t="n"/>
      <c r="Z2943" s="47" t="n"/>
      <c r="AA2943" s="47" t="n"/>
      <c r="AB2943" s="47" t="n"/>
      <c r="AC2943" s="47" t="n"/>
      <c r="AD2943" s="47" t="n"/>
      <c r="AE2943" s="47" t="n"/>
      <c r="AF2943" s="20">
        <f>IF(A2943="","",YEAR(EDATE(A2943,-3)))</f>
        <v/>
      </c>
      <c r="AG2943" s="20">
        <f>IF(OR(B2943="",'経歴簿'!$C$4=""),"",IF(B2943&amp;""='経歴簿'!$C$4&amp;"",MAX($AG$4:AG2942)+1,""))</f>
        <v/>
      </c>
      <c r="AH2943" s="20">
        <f>IF(A2943="",0,IF(AND(OR('CSV抽出'!$C$4="",A2943&gt;='CSV抽出'!$C$4),OR('CSV抽出'!$C$5="",A2943&lt;='CSV抽出'!$C$5),OR('CSV抽出'!$C$6="すべて",'CSV抽出'!$C$6="",D2943='CSV抽出'!$C$6),OR('CSV抽出'!$C$7="",B2943&amp;""='CSV抽出'!$C$7&amp;"")),1,0))</f>
        <v/>
      </c>
      <c r="AI2943" s="20">
        <f>IF(AH2943=1,SUM($AH$5:AH2943),"")</f>
        <v/>
      </c>
      <c r="AJ2943" s="20">
        <f>IF(OR(S2943="",'報告書'!$C$4=""),"",IF(S2943&amp;""='報告書'!$C$4&amp;"",COUNTIF($S$5:S2943,'報告書'!$C$4),""))</f>
        <v/>
      </c>
      <c r="AK2943" s="20" t="n"/>
      <c r="AL2943" s="47" t="n"/>
      <c r="AM2943" s="47" t="n"/>
      <c r="AN2943" s="53" t="n"/>
      <c r="AO2943" s="47" t="n"/>
      <c r="AP2943" s="47" t="n"/>
      <c r="AQ2943" s="47" t="n"/>
      <c r="AR2943" s="47" t="n"/>
      <c r="AS2943" s="47" t="n"/>
      <c r="AT2943" s="47" t="n"/>
      <c r="AU2943" s="47" t="n"/>
      <c r="AV2943" s="47" t="n"/>
      <c r="AW2943" s="52" t="n"/>
    </row>
    <row r="2944">
      <c r="A2944" s="48" t="n"/>
      <c r="B2944" s="52" t="n"/>
      <c r="C2944" s="47">
        <f>IF(B2944="","",IFERROR(INDEX('隊員マスタ'!$B$5:$B$204,MATCH(B2944&amp;"",'隊員マスタ'!$F$5:$F$204,0)),IF(AK2944="","番号なし",AK2944)))</f>
        <v/>
      </c>
      <c r="D2944" s="47" t="n"/>
      <c r="E2944" s="47" t="n"/>
      <c r="F2944" s="47" t="n"/>
      <c r="G2944" s="47" t="n"/>
      <c r="H2944" s="47" t="n"/>
      <c r="I2944" s="47" t="n"/>
      <c r="J2944" s="47" t="n"/>
      <c r="K2944" s="47" t="n"/>
      <c r="L2944" s="47" t="n"/>
      <c r="M2944" s="47" t="n"/>
      <c r="N2944" s="47" t="n"/>
      <c r="O2944" s="47" t="n"/>
      <c r="P2944" s="47" t="n"/>
      <c r="Q2944" s="47" t="n"/>
      <c r="R2944" s="47" t="n"/>
      <c r="S2944" s="47" t="n"/>
      <c r="T2944" s="47" t="n"/>
      <c r="U2944" s="53" t="n"/>
      <c r="V2944" s="53" t="n"/>
      <c r="W2944" s="47" t="n"/>
      <c r="X2944" s="47" t="n"/>
      <c r="Y2944" s="47" t="n"/>
      <c r="Z2944" s="47" t="n"/>
      <c r="AA2944" s="47" t="n"/>
      <c r="AB2944" s="47" t="n"/>
      <c r="AC2944" s="47" t="n"/>
      <c r="AD2944" s="47" t="n"/>
      <c r="AE2944" s="47" t="n"/>
      <c r="AF2944" s="20">
        <f>IF(A2944="","",YEAR(EDATE(A2944,-3)))</f>
        <v/>
      </c>
      <c r="AG2944" s="20">
        <f>IF(OR(B2944="",'経歴簿'!$C$4=""),"",IF(B2944&amp;""='経歴簿'!$C$4&amp;"",MAX($AG$4:AG2943)+1,""))</f>
        <v/>
      </c>
      <c r="AH2944" s="20">
        <f>IF(A2944="",0,IF(AND(OR('CSV抽出'!$C$4="",A2944&gt;='CSV抽出'!$C$4),OR('CSV抽出'!$C$5="",A2944&lt;='CSV抽出'!$C$5),OR('CSV抽出'!$C$6="すべて",'CSV抽出'!$C$6="",D2944='CSV抽出'!$C$6),OR('CSV抽出'!$C$7="",B2944&amp;""='CSV抽出'!$C$7&amp;"")),1,0))</f>
        <v/>
      </c>
      <c r="AI2944" s="20">
        <f>IF(AH2944=1,SUM($AH$5:AH2944),"")</f>
        <v/>
      </c>
      <c r="AJ2944" s="20">
        <f>IF(OR(S2944="",'報告書'!$C$4=""),"",IF(S2944&amp;""='報告書'!$C$4&amp;"",COUNTIF($S$5:S2944,'報告書'!$C$4),""))</f>
        <v/>
      </c>
      <c r="AK2944" s="20" t="n"/>
      <c r="AL2944" s="47" t="n"/>
      <c r="AM2944" s="47" t="n"/>
      <c r="AN2944" s="53" t="n"/>
      <c r="AO2944" s="47" t="n"/>
      <c r="AP2944" s="47" t="n"/>
      <c r="AQ2944" s="47" t="n"/>
      <c r="AR2944" s="47" t="n"/>
      <c r="AS2944" s="47" t="n"/>
      <c r="AT2944" s="47" t="n"/>
      <c r="AU2944" s="47" t="n"/>
      <c r="AV2944" s="47" t="n"/>
      <c r="AW2944" s="52" t="n"/>
    </row>
    <row r="2945">
      <c r="A2945" s="48" t="n"/>
      <c r="B2945" s="52" t="n"/>
      <c r="C2945" s="47">
        <f>IF(B2945="","",IFERROR(INDEX('隊員マスタ'!$B$5:$B$204,MATCH(B2945&amp;"",'隊員マスタ'!$F$5:$F$204,0)),IF(AK2945="","番号なし",AK2945)))</f>
        <v/>
      </c>
      <c r="D2945" s="47" t="n"/>
      <c r="E2945" s="47" t="n"/>
      <c r="F2945" s="47" t="n"/>
      <c r="G2945" s="47" t="n"/>
      <c r="H2945" s="47" t="n"/>
      <c r="I2945" s="47" t="n"/>
      <c r="J2945" s="47" t="n"/>
      <c r="K2945" s="47" t="n"/>
      <c r="L2945" s="47" t="n"/>
      <c r="M2945" s="47" t="n"/>
      <c r="N2945" s="47" t="n"/>
      <c r="O2945" s="47" t="n"/>
      <c r="P2945" s="47" t="n"/>
      <c r="Q2945" s="47" t="n"/>
      <c r="R2945" s="47" t="n"/>
      <c r="S2945" s="47" t="n"/>
      <c r="T2945" s="47" t="n"/>
      <c r="U2945" s="53" t="n"/>
      <c r="V2945" s="53" t="n"/>
      <c r="W2945" s="47" t="n"/>
      <c r="X2945" s="47" t="n"/>
      <c r="Y2945" s="47" t="n"/>
      <c r="Z2945" s="47" t="n"/>
      <c r="AA2945" s="47" t="n"/>
      <c r="AB2945" s="47" t="n"/>
      <c r="AC2945" s="47" t="n"/>
      <c r="AD2945" s="47" t="n"/>
      <c r="AE2945" s="47" t="n"/>
      <c r="AF2945" s="20">
        <f>IF(A2945="","",YEAR(EDATE(A2945,-3)))</f>
        <v/>
      </c>
      <c r="AG2945" s="20">
        <f>IF(OR(B2945="",'経歴簿'!$C$4=""),"",IF(B2945&amp;""='経歴簿'!$C$4&amp;"",MAX($AG$4:AG2944)+1,""))</f>
        <v/>
      </c>
      <c r="AH2945" s="20">
        <f>IF(A2945="",0,IF(AND(OR('CSV抽出'!$C$4="",A2945&gt;='CSV抽出'!$C$4),OR('CSV抽出'!$C$5="",A2945&lt;='CSV抽出'!$C$5),OR('CSV抽出'!$C$6="すべて",'CSV抽出'!$C$6="",D2945='CSV抽出'!$C$6),OR('CSV抽出'!$C$7="",B2945&amp;""='CSV抽出'!$C$7&amp;"")),1,0))</f>
        <v/>
      </c>
      <c r="AI2945" s="20">
        <f>IF(AH2945=1,SUM($AH$5:AH2945),"")</f>
        <v/>
      </c>
      <c r="AJ2945" s="20">
        <f>IF(OR(S2945="",'報告書'!$C$4=""),"",IF(S2945&amp;""='報告書'!$C$4&amp;"",COUNTIF($S$5:S2945,'報告書'!$C$4),""))</f>
        <v/>
      </c>
      <c r="AK2945" s="20" t="n"/>
      <c r="AL2945" s="47" t="n"/>
      <c r="AM2945" s="47" t="n"/>
      <c r="AN2945" s="53" t="n"/>
      <c r="AO2945" s="47" t="n"/>
      <c r="AP2945" s="47" t="n"/>
      <c r="AQ2945" s="47" t="n"/>
      <c r="AR2945" s="47" t="n"/>
      <c r="AS2945" s="47" t="n"/>
      <c r="AT2945" s="47" t="n"/>
      <c r="AU2945" s="47" t="n"/>
      <c r="AV2945" s="47" t="n"/>
      <c r="AW2945" s="52" t="n"/>
    </row>
    <row r="2946">
      <c r="A2946" s="48" t="n"/>
      <c r="B2946" s="52" t="n"/>
      <c r="C2946" s="47">
        <f>IF(B2946="","",IFERROR(INDEX('隊員マスタ'!$B$5:$B$204,MATCH(B2946&amp;"",'隊員マスタ'!$F$5:$F$204,0)),IF(AK2946="","番号なし",AK2946)))</f>
        <v/>
      </c>
      <c r="D2946" s="47" t="n"/>
      <c r="E2946" s="47" t="n"/>
      <c r="F2946" s="47" t="n"/>
      <c r="G2946" s="47" t="n"/>
      <c r="H2946" s="47" t="n"/>
      <c r="I2946" s="47" t="n"/>
      <c r="J2946" s="47" t="n"/>
      <c r="K2946" s="47" t="n"/>
      <c r="L2946" s="47" t="n"/>
      <c r="M2946" s="47" t="n"/>
      <c r="N2946" s="47" t="n"/>
      <c r="O2946" s="47" t="n"/>
      <c r="P2946" s="47" t="n"/>
      <c r="Q2946" s="47" t="n"/>
      <c r="R2946" s="47" t="n"/>
      <c r="S2946" s="47" t="n"/>
      <c r="T2946" s="47" t="n"/>
      <c r="U2946" s="53" t="n"/>
      <c r="V2946" s="53" t="n"/>
      <c r="W2946" s="47" t="n"/>
      <c r="X2946" s="47" t="n"/>
      <c r="Y2946" s="47" t="n"/>
      <c r="Z2946" s="47" t="n"/>
      <c r="AA2946" s="47" t="n"/>
      <c r="AB2946" s="47" t="n"/>
      <c r="AC2946" s="47" t="n"/>
      <c r="AD2946" s="47" t="n"/>
      <c r="AE2946" s="47" t="n"/>
      <c r="AF2946" s="20">
        <f>IF(A2946="","",YEAR(EDATE(A2946,-3)))</f>
        <v/>
      </c>
      <c r="AG2946" s="20">
        <f>IF(OR(B2946="",'経歴簿'!$C$4=""),"",IF(B2946&amp;""='経歴簿'!$C$4&amp;"",MAX($AG$4:AG2945)+1,""))</f>
        <v/>
      </c>
      <c r="AH2946" s="20">
        <f>IF(A2946="",0,IF(AND(OR('CSV抽出'!$C$4="",A2946&gt;='CSV抽出'!$C$4),OR('CSV抽出'!$C$5="",A2946&lt;='CSV抽出'!$C$5),OR('CSV抽出'!$C$6="すべて",'CSV抽出'!$C$6="",D2946='CSV抽出'!$C$6),OR('CSV抽出'!$C$7="",B2946&amp;""='CSV抽出'!$C$7&amp;"")),1,0))</f>
        <v/>
      </c>
      <c r="AI2946" s="20">
        <f>IF(AH2946=1,SUM($AH$5:AH2946),"")</f>
        <v/>
      </c>
      <c r="AJ2946" s="20">
        <f>IF(OR(S2946="",'報告書'!$C$4=""),"",IF(S2946&amp;""='報告書'!$C$4&amp;"",COUNTIF($S$5:S2946,'報告書'!$C$4),""))</f>
        <v/>
      </c>
      <c r="AK2946" s="20" t="n"/>
      <c r="AL2946" s="47" t="n"/>
      <c r="AM2946" s="47" t="n"/>
      <c r="AN2946" s="53" t="n"/>
      <c r="AO2946" s="47" t="n"/>
      <c r="AP2946" s="47" t="n"/>
      <c r="AQ2946" s="47" t="n"/>
      <c r="AR2946" s="47" t="n"/>
      <c r="AS2946" s="47" t="n"/>
      <c r="AT2946" s="47" t="n"/>
      <c r="AU2946" s="47" t="n"/>
      <c r="AV2946" s="47" t="n"/>
      <c r="AW2946" s="52" t="n"/>
    </row>
    <row r="2947">
      <c r="A2947" s="48" t="n"/>
      <c r="B2947" s="52" t="n"/>
      <c r="C2947" s="47">
        <f>IF(B2947="","",IFERROR(INDEX('隊員マスタ'!$B$5:$B$204,MATCH(B2947&amp;"",'隊員マスタ'!$F$5:$F$204,0)),IF(AK2947="","番号なし",AK2947)))</f>
        <v/>
      </c>
      <c r="D2947" s="47" t="n"/>
      <c r="E2947" s="47" t="n"/>
      <c r="F2947" s="47" t="n"/>
      <c r="G2947" s="47" t="n"/>
      <c r="H2947" s="47" t="n"/>
      <c r="I2947" s="47" t="n"/>
      <c r="J2947" s="47" t="n"/>
      <c r="K2947" s="47" t="n"/>
      <c r="L2947" s="47" t="n"/>
      <c r="M2947" s="47" t="n"/>
      <c r="N2947" s="47" t="n"/>
      <c r="O2947" s="47" t="n"/>
      <c r="P2947" s="47" t="n"/>
      <c r="Q2947" s="47" t="n"/>
      <c r="R2947" s="47" t="n"/>
      <c r="S2947" s="47" t="n"/>
      <c r="T2947" s="47" t="n"/>
      <c r="U2947" s="53" t="n"/>
      <c r="V2947" s="53" t="n"/>
      <c r="W2947" s="47" t="n"/>
      <c r="X2947" s="47" t="n"/>
      <c r="Y2947" s="47" t="n"/>
      <c r="Z2947" s="47" t="n"/>
      <c r="AA2947" s="47" t="n"/>
      <c r="AB2947" s="47" t="n"/>
      <c r="AC2947" s="47" t="n"/>
      <c r="AD2947" s="47" t="n"/>
      <c r="AE2947" s="47" t="n"/>
      <c r="AF2947" s="20">
        <f>IF(A2947="","",YEAR(EDATE(A2947,-3)))</f>
        <v/>
      </c>
      <c r="AG2947" s="20">
        <f>IF(OR(B2947="",'経歴簿'!$C$4=""),"",IF(B2947&amp;""='経歴簿'!$C$4&amp;"",MAX($AG$4:AG2946)+1,""))</f>
        <v/>
      </c>
      <c r="AH2947" s="20">
        <f>IF(A2947="",0,IF(AND(OR('CSV抽出'!$C$4="",A2947&gt;='CSV抽出'!$C$4),OR('CSV抽出'!$C$5="",A2947&lt;='CSV抽出'!$C$5),OR('CSV抽出'!$C$6="すべて",'CSV抽出'!$C$6="",D2947='CSV抽出'!$C$6),OR('CSV抽出'!$C$7="",B2947&amp;""='CSV抽出'!$C$7&amp;"")),1,0))</f>
        <v/>
      </c>
      <c r="AI2947" s="20">
        <f>IF(AH2947=1,SUM($AH$5:AH2947),"")</f>
        <v/>
      </c>
      <c r="AJ2947" s="20">
        <f>IF(OR(S2947="",'報告書'!$C$4=""),"",IF(S2947&amp;""='報告書'!$C$4&amp;"",COUNTIF($S$5:S2947,'報告書'!$C$4),""))</f>
        <v/>
      </c>
      <c r="AK2947" s="20" t="n"/>
      <c r="AL2947" s="47" t="n"/>
      <c r="AM2947" s="47" t="n"/>
      <c r="AN2947" s="53" t="n"/>
      <c r="AO2947" s="47" t="n"/>
      <c r="AP2947" s="47" t="n"/>
      <c r="AQ2947" s="47" t="n"/>
      <c r="AR2947" s="47" t="n"/>
      <c r="AS2947" s="47" t="n"/>
      <c r="AT2947" s="47" t="n"/>
      <c r="AU2947" s="47" t="n"/>
      <c r="AV2947" s="47" t="n"/>
      <c r="AW2947" s="52" t="n"/>
    </row>
    <row r="2948">
      <c r="A2948" s="48" t="n"/>
      <c r="B2948" s="52" t="n"/>
      <c r="C2948" s="47">
        <f>IF(B2948="","",IFERROR(INDEX('隊員マスタ'!$B$5:$B$204,MATCH(B2948&amp;"",'隊員マスタ'!$F$5:$F$204,0)),IF(AK2948="","番号なし",AK2948)))</f>
        <v/>
      </c>
      <c r="D2948" s="47" t="n"/>
      <c r="E2948" s="47" t="n"/>
      <c r="F2948" s="47" t="n"/>
      <c r="G2948" s="47" t="n"/>
      <c r="H2948" s="47" t="n"/>
      <c r="I2948" s="47" t="n"/>
      <c r="J2948" s="47" t="n"/>
      <c r="K2948" s="47" t="n"/>
      <c r="L2948" s="47" t="n"/>
      <c r="M2948" s="47" t="n"/>
      <c r="N2948" s="47" t="n"/>
      <c r="O2948" s="47" t="n"/>
      <c r="P2948" s="47" t="n"/>
      <c r="Q2948" s="47" t="n"/>
      <c r="R2948" s="47" t="n"/>
      <c r="S2948" s="47" t="n"/>
      <c r="T2948" s="47" t="n"/>
      <c r="U2948" s="53" t="n"/>
      <c r="V2948" s="53" t="n"/>
      <c r="W2948" s="47" t="n"/>
      <c r="X2948" s="47" t="n"/>
      <c r="Y2948" s="47" t="n"/>
      <c r="Z2948" s="47" t="n"/>
      <c r="AA2948" s="47" t="n"/>
      <c r="AB2948" s="47" t="n"/>
      <c r="AC2948" s="47" t="n"/>
      <c r="AD2948" s="47" t="n"/>
      <c r="AE2948" s="47" t="n"/>
      <c r="AF2948" s="20">
        <f>IF(A2948="","",YEAR(EDATE(A2948,-3)))</f>
        <v/>
      </c>
      <c r="AG2948" s="20">
        <f>IF(OR(B2948="",'経歴簿'!$C$4=""),"",IF(B2948&amp;""='経歴簿'!$C$4&amp;"",MAX($AG$4:AG2947)+1,""))</f>
        <v/>
      </c>
      <c r="AH2948" s="20">
        <f>IF(A2948="",0,IF(AND(OR('CSV抽出'!$C$4="",A2948&gt;='CSV抽出'!$C$4),OR('CSV抽出'!$C$5="",A2948&lt;='CSV抽出'!$C$5),OR('CSV抽出'!$C$6="すべて",'CSV抽出'!$C$6="",D2948='CSV抽出'!$C$6),OR('CSV抽出'!$C$7="",B2948&amp;""='CSV抽出'!$C$7&amp;"")),1,0))</f>
        <v/>
      </c>
      <c r="AI2948" s="20">
        <f>IF(AH2948=1,SUM($AH$5:AH2948),"")</f>
        <v/>
      </c>
      <c r="AJ2948" s="20">
        <f>IF(OR(S2948="",'報告書'!$C$4=""),"",IF(S2948&amp;""='報告書'!$C$4&amp;"",COUNTIF($S$5:S2948,'報告書'!$C$4),""))</f>
        <v/>
      </c>
      <c r="AK2948" s="20" t="n"/>
      <c r="AL2948" s="47" t="n"/>
      <c r="AM2948" s="47" t="n"/>
      <c r="AN2948" s="53" t="n"/>
      <c r="AO2948" s="47" t="n"/>
      <c r="AP2948" s="47" t="n"/>
      <c r="AQ2948" s="47" t="n"/>
      <c r="AR2948" s="47" t="n"/>
      <c r="AS2948" s="47" t="n"/>
      <c r="AT2948" s="47" t="n"/>
      <c r="AU2948" s="47" t="n"/>
      <c r="AV2948" s="47" t="n"/>
      <c r="AW2948" s="52" t="n"/>
    </row>
    <row r="2949">
      <c r="A2949" s="48" t="n"/>
      <c r="B2949" s="52" t="n"/>
      <c r="C2949" s="47">
        <f>IF(B2949="","",IFERROR(INDEX('隊員マスタ'!$B$5:$B$204,MATCH(B2949&amp;"",'隊員マスタ'!$F$5:$F$204,0)),IF(AK2949="","番号なし",AK2949)))</f>
        <v/>
      </c>
      <c r="D2949" s="47" t="n"/>
      <c r="E2949" s="47" t="n"/>
      <c r="F2949" s="47" t="n"/>
      <c r="G2949" s="47" t="n"/>
      <c r="H2949" s="47" t="n"/>
      <c r="I2949" s="47" t="n"/>
      <c r="J2949" s="47" t="n"/>
      <c r="K2949" s="47" t="n"/>
      <c r="L2949" s="47" t="n"/>
      <c r="M2949" s="47" t="n"/>
      <c r="N2949" s="47" t="n"/>
      <c r="O2949" s="47" t="n"/>
      <c r="P2949" s="47" t="n"/>
      <c r="Q2949" s="47" t="n"/>
      <c r="R2949" s="47" t="n"/>
      <c r="S2949" s="47" t="n"/>
      <c r="T2949" s="47" t="n"/>
      <c r="U2949" s="53" t="n"/>
      <c r="V2949" s="53" t="n"/>
      <c r="W2949" s="47" t="n"/>
      <c r="X2949" s="47" t="n"/>
      <c r="Y2949" s="47" t="n"/>
      <c r="Z2949" s="47" t="n"/>
      <c r="AA2949" s="47" t="n"/>
      <c r="AB2949" s="47" t="n"/>
      <c r="AC2949" s="47" t="n"/>
      <c r="AD2949" s="47" t="n"/>
      <c r="AE2949" s="47" t="n"/>
      <c r="AF2949" s="20">
        <f>IF(A2949="","",YEAR(EDATE(A2949,-3)))</f>
        <v/>
      </c>
      <c r="AG2949" s="20">
        <f>IF(OR(B2949="",'経歴簿'!$C$4=""),"",IF(B2949&amp;""='経歴簿'!$C$4&amp;"",MAX($AG$4:AG2948)+1,""))</f>
        <v/>
      </c>
      <c r="AH2949" s="20">
        <f>IF(A2949="",0,IF(AND(OR('CSV抽出'!$C$4="",A2949&gt;='CSV抽出'!$C$4),OR('CSV抽出'!$C$5="",A2949&lt;='CSV抽出'!$C$5),OR('CSV抽出'!$C$6="すべて",'CSV抽出'!$C$6="",D2949='CSV抽出'!$C$6),OR('CSV抽出'!$C$7="",B2949&amp;""='CSV抽出'!$C$7&amp;"")),1,0))</f>
        <v/>
      </c>
      <c r="AI2949" s="20">
        <f>IF(AH2949=1,SUM($AH$5:AH2949),"")</f>
        <v/>
      </c>
      <c r="AJ2949" s="20">
        <f>IF(OR(S2949="",'報告書'!$C$4=""),"",IF(S2949&amp;""='報告書'!$C$4&amp;"",COUNTIF($S$5:S2949,'報告書'!$C$4),""))</f>
        <v/>
      </c>
      <c r="AK2949" s="20" t="n"/>
      <c r="AL2949" s="47" t="n"/>
      <c r="AM2949" s="47" t="n"/>
      <c r="AN2949" s="53" t="n"/>
      <c r="AO2949" s="47" t="n"/>
      <c r="AP2949" s="47" t="n"/>
      <c r="AQ2949" s="47" t="n"/>
      <c r="AR2949" s="47" t="n"/>
      <c r="AS2949" s="47" t="n"/>
      <c r="AT2949" s="47" t="n"/>
      <c r="AU2949" s="47" t="n"/>
      <c r="AV2949" s="47" t="n"/>
      <c r="AW2949" s="52" t="n"/>
    </row>
    <row r="2950">
      <c r="A2950" s="48" t="n"/>
      <c r="B2950" s="52" t="n"/>
      <c r="C2950" s="47">
        <f>IF(B2950="","",IFERROR(INDEX('隊員マスタ'!$B$5:$B$204,MATCH(B2950&amp;"",'隊員マスタ'!$F$5:$F$204,0)),IF(AK2950="","番号なし",AK2950)))</f>
        <v/>
      </c>
      <c r="D2950" s="47" t="n"/>
      <c r="E2950" s="47" t="n"/>
      <c r="F2950" s="47" t="n"/>
      <c r="G2950" s="47" t="n"/>
      <c r="H2950" s="47" t="n"/>
      <c r="I2950" s="47" t="n"/>
      <c r="J2950" s="47" t="n"/>
      <c r="K2950" s="47" t="n"/>
      <c r="L2950" s="47" t="n"/>
      <c r="M2950" s="47" t="n"/>
      <c r="N2950" s="47" t="n"/>
      <c r="O2950" s="47" t="n"/>
      <c r="P2950" s="47" t="n"/>
      <c r="Q2950" s="47" t="n"/>
      <c r="R2950" s="47" t="n"/>
      <c r="S2950" s="47" t="n"/>
      <c r="T2950" s="47" t="n"/>
      <c r="U2950" s="53" t="n"/>
      <c r="V2950" s="53" t="n"/>
      <c r="W2950" s="47" t="n"/>
      <c r="X2950" s="47" t="n"/>
      <c r="Y2950" s="47" t="n"/>
      <c r="Z2950" s="47" t="n"/>
      <c r="AA2950" s="47" t="n"/>
      <c r="AB2950" s="47" t="n"/>
      <c r="AC2950" s="47" t="n"/>
      <c r="AD2950" s="47" t="n"/>
      <c r="AE2950" s="47" t="n"/>
      <c r="AF2950" s="20">
        <f>IF(A2950="","",YEAR(EDATE(A2950,-3)))</f>
        <v/>
      </c>
      <c r="AG2950" s="20">
        <f>IF(OR(B2950="",'経歴簿'!$C$4=""),"",IF(B2950&amp;""='経歴簿'!$C$4&amp;"",MAX($AG$4:AG2949)+1,""))</f>
        <v/>
      </c>
      <c r="AH2950" s="20">
        <f>IF(A2950="",0,IF(AND(OR('CSV抽出'!$C$4="",A2950&gt;='CSV抽出'!$C$4),OR('CSV抽出'!$C$5="",A2950&lt;='CSV抽出'!$C$5),OR('CSV抽出'!$C$6="すべて",'CSV抽出'!$C$6="",D2950='CSV抽出'!$C$6),OR('CSV抽出'!$C$7="",B2950&amp;""='CSV抽出'!$C$7&amp;"")),1,0))</f>
        <v/>
      </c>
      <c r="AI2950" s="20">
        <f>IF(AH2950=1,SUM($AH$5:AH2950),"")</f>
        <v/>
      </c>
      <c r="AJ2950" s="20">
        <f>IF(OR(S2950="",'報告書'!$C$4=""),"",IF(S2950&amp;""='報告書'!$C$4&amp;"",COUNTIF($S$5:S2950,'報告書'!$C$4),""))</f>
        <v/>
      </c>
      <c r="AK2950" s="20" t="n"/>
      <c r="AL2950" s="47" t="n"/>
      <c r="AM2950" s="47" t="n"/>
      <c r="AN2950" s="53" t="n"/>
      <c r="AO2950" s="47" t="n"/>
      <c r="AP2950" s="47" t="n"/>
      <c r="AQ2950" s="47" t="n"/>
      <c r="AR2950" s="47" t="n"/>
      <c r="AS2950" s="47" t="n"/>
      <c r="AT2950" s="47" t="n"/>
      <c r="AU2950" s="47" t="n"/>
      <c r="AV2950" s="47" t="n"/>
      <c r="AW2950" s="52" t="n"/>
    </row>
    <row r="2951">
      <c r="A2951" s="48" t="n"/>
      <c r="B2951" s="52" t="n"/>
      <c r="C2951" s="47">
        <f>IF(B2951="","",IFERROR(INDEX('隊員マスタ'!$B$5:$B$204,MATCH(B2951&amp;"",'隊員マスタ'!$F$5:$F$204,0)),IF(AK2951="","番号なし",AK2951)))</f>
        <v/>
      </c>
      <c r="D2951" s="47" t="n"/>
      <c r="E2951" s="47" t="n"/>
      <c r="F2951" s="47" t="n"/>
      <c r="G2951" s="47" t="n"/>
      <c r="H2951" s="47" t="n"/>
      <c r="I2951" s="47" t="n"/>
      <c r="J2951" s="47" t="n"/>
      <c r="K2951" s="47" t="n"/>
      <c r="L2951" s="47" t="n"/>
      <c r="M2951" s="47" t="n"/>
      <c r="N2951" s="47" t="n"/>
      <c r="O2951" s="47" t="n"/>
      <c r="P2951" s="47" t="n"/>
      <c r="Q2951" s="47" t="n"/>
      <c r="R2951" s="47" t="n"/>
      <c r="S2951" s="47" t="n"/>
      <c r="T2951" s="47" t="n"/>
      <c r="U2951" s="53" t="n"/>
      <c r="V2951" s="53" t="n"/>
      <c r="W2951" s="47" t="n"/>
      <c r="X2951" s="47" t="n"/>
      <c r="Y2951" s="47" t="n"/>
      <c r="Z2951" s="47" t="n"/>
      <c r="AA2951" s="47" t="n"/>
      <c r="AB2951" s="47" t="n"/>
      <c r="AC2951" s="47" t="n"/>
      <c r="AD2951" s="47" t="n"/>
      <c r="AE2951" s="47" t="n"/>
      <c r="AF2951" s="20">
        <f>IF(A2951="","",YEAR(EDATE(A2951,-3)))</f>
        <v/>
      </c>
      <c r="AG2951" s="20">
        <f>IF(OR(B2951="",'経歴簿'!$C$4=""),"",IF(B2951&amp;""='経歴簿'!$C$4&amp;"",MAX($AG$4:AG2950)+1,""))</f>
        <v/>
      </c>
      <c r="AH2951" s="20">
        <f>IF(A2951="",0,IF(AND(OR('CSV抽出'!$C$4="",A2951&gt;='CSV抽出'!$C$4),OR('CSV抽出'!$C$5="",A2951&lt;='CSV抽出'!$C$5),OR('CSV抽出'!$C$6="すべて",'CSV抽出'!$C$6="",D2951='CSV抽出'!$C$6),OR('CSV抽出'!$C$7="",B2951&amp;""='CSV抽出'!$C$7&amp;"")),1,0))</f>
        <v/>
      </c>
      <c r="AI2951" s="20">
        <f>IF(AH2951=1,SUM($AH$5:AH2951),"")</f>
        <v/>
      </c>
      <c r="AJ2951" s="20">
        <f>IF(OR(S2951="",'報告書'!$C$4=""),"",IF(S2951&amp;""='報告書'!$C$4&amp;"",COUNTIF($S$5:S2951,'報告書'!$C$4),""))</f>
        <v/>
      </c>
      <c r="AK2951" s="20" t="n"/>
      <c r="AL2951" s="47" t="n"/>
      <c r="AM2951" s="47" t="n"/>
      <c r="AN2951" s="53" t="n"/>
      <c r="AO2951" s="47" t="n"/>
      <c r="AP2951" s="47" t="n"/>
      <c r="AQ2951" s="47" t="n"/>
      <c r="AR2951" s="47" t="n"/>
      <c r="AS2951" s="47" t="n"/>
      <c r="AT2951" s="47" t="n"/>
      <c r="AU2951" s="47" t="n"/>
      <c r="AV2951" s="47" t="n"/>
      <c r="AW2951" s="52" t="n"/>
    </row>
    <row r="2952">
      <c r="A2952" s="48" t="n"/>
      <c r="B2952" s="52" t="n"/>
      <c r="C2952" s="47">
        <f>IF(B2952="","",IFERROR(INDEX('隊員マスタ'!$B$5:$B$204,MATCH(B2952&amp;"",'隊員マスタ'!$F$5:$F$204,0)),IF(AK2952="","番号なし",AK2952)))</f>
        <v/>
      </c>
      <c r="D2952" s="47" t="n"/>
      <c r="E2952" s="47" t="n"/>
      <c r="F2952" s="47" t="n"/>
      <c r="G2952" s="47" t="n"/>
      <c r="H2952" s="47" t="n"/>
      <c r="I2952" s="47" t="n"/>
      <c r="J2952" s="47" t="n"/>
      <c r="K2952" s="47" t="n"/>
      <c r="L2952" s="47" t="n"/>
      <c r="M2952" s="47" t="n"/>
      <c r="N2952" s="47" t="n"/>
      <c r="O2952" s="47" t="n"/>
      <c r="P2952" s="47" t="n"/>
      <c r="Q2952" s="47" t="n"/>
      <c r="R2952" s="47" t="n"/>
      <c r="S2952" s="47" t="n"/>
      <c r="T2952" s="47" t="n"/>
      <c r="U2952" s="53" t="n"/>
      <c r="V2952" s="53" t="n"/>
      <c r="W2952" s="47" t="n"/>
      <c r="X2952" s="47" t="n"/>
      <c r="Y2952" s="47" t="n"/>
      <c r="Z2952" s="47" t="n"/>
      <c r="AA2952" s="47" t="n"/>
      <c r="AB2952" s="47" t="n"/>
      <c r="AC2952" s="47" t="n"/>
      <c r="AD2952" s="47" t="n"/>
      <c r="AE2952" s="47" t="n"/>
      <c r="AF2952" s="20">
        <f>IF(A2952="","",YEAR(EDATE(A2952,-3)))</f>
        <v/>
      </c>
      <c r="AG2952" s="20">
        <f>IF(OR(B2952="",'経歴簿'!$C$4=""),"",IF(B2952&amp;""='経歴簿'!$C$4&amp;"",MAX($AG$4:AG2951)+1,""))</f>
        <v/>
      </c>
      <c r="AH2952" s="20">
        <f>IF(A2952="",0,IF(AND(OR('CSV抽出'!$C$4="",A2952&gt;='CSV抽出'!$C$4),OR('CSV抽出'!$C$5="",A2952&lt;='CSV抽出'!$C$5),OR('CSV抽出'!$C$6="すべて",'CSV抽出'!$C$6="",D2952='CSV抽出'!$C$6),OR('CSV抽出'!$C$7="",B2952&amp;""='CSV抽出'!$C$7&amp;"")),1,0))</f>
        <v/>
      </c>
      <c r="AI2952" s="20">
        <f>IF(AH2952=1,SUM($AH$5:AH2952),"")</f>
        <v/>
      </c>
      <c r="AJ2952" s="20">
        <f>IF(OR(S2952="",'報告書'!$C$4=""),"",IF(S2952&amp;""='報告書'!$C$4&amp;"",COUNTIF($S$5:S2952,'報告書'!$C$4),""))</f>
        <v/>
      </c>
      <c r="AK2952" s="20" t="n"/>
      <c r="AL2952" s="47" t="n"/>
      <c r="AM2952" s="47" t="n"/>
      <c r="AN2952" s="53" t="n"/>
      <c r="AO2952" s="47" t="n"/>
      <c r="AP2952" s="47" t="n"/>
      <c r="AQ2952" s="47" t="n"/>
      <c r="AR2952" s="47" t="n"/>
      <c r="AS2952" s="47" t="n"/>
      <c r="AT2952" s="47" t="n"/>
      <c r="AU2952" s="47" t="n"/>
      <c r="AV2952" s="47" t="n"/>
      <c r="AW2952" s="52" t="n"/>
    </row>
    <row r="2953">
      <c r="A2953" s="48" t="n"/>
      <c r="B2953" s="52" t="n"/>
      <c r="C2953" s="47">
        <f>IF(B2953="","",IFERROR(INDEX('隊員マスタ'!$B$5:$B$204,MATCH(B2953&amp;"",'隊員マスタ'!$F$5:$F$204,0)),IF(AK2953="","番号なし",AK2953)))</f>
        <v/>
      </c>
      <c r="D2953" s="47" t="n"/>
      <c r="E2953" s="47" t="n"/>
      <c r="F2953" s="47" t="n"/>
      <c r="G2953" s="47" t="n"/>
      <c r="H2953" s="47" t="n"/>
      <c r="I2953" s="47" t="n"/>
      <c r="J2953" s="47" t="n"/>
      <c r="K2953" s="47" t="n"/>
      <c r="L2953" s="47" t="n"/>
      <c r="M2953" s="47" t="n"/>
      <c r="N2953" s="47" t="n"/>
      <c r="O2953" s="47" t="n"/>
      <c r="P2953" s="47" t="n"/>
      <c r="Q2953" s="47" t="n"/>
      <c r="R2953" s="47" t="n"/>
      <c r="S2953" s="47" t="n"/>
      <c r="T2953" s="47" t="n"/>
      <c r="U2953" s="53" t="n"/>
      <c r="V2953" s="53" t="n"/>
      <c r="W2953" s="47" t="n"/>
      <c r="X2953" s="47" t="n"/>
      <c r="Y2953" s="47" t="n"/>
      <c r="Z2953" s="47" t="n"/>
      <c r="AA2953" s="47" t="n"/>
      <c r="AB2953" s="47" t="n"/>
      <c r="AC2953" s="47" t="n"/>
      <c r="AD2953" s="47" t="n"/>
      <c r="AE2953" s="47" t="n"/>
      <c r="AF2953" s="20">
        <f>IF(A2953="","",YEAR(EDATE(A2953,-3)))</f>
        <v/>
      </c>
      <c r="AG2953" s="20">
        <f>IF(OR(B2953="",'経歴簿'!$C$4=""),"",IF(B2953&amp;""='経歴簿'!$C$4&amp;"",MAX($AG$4:AG2952)+1,""))</f>
        <v/>
      </c>
      <c r="AH2953" s="20">
        <f>IF(A2953="",0,IF(AND(OR('CSV抽出'!$C$4="",A2953&gt;='CSV抽出'!$C$4),OR('CSV抽出'!$C$5="",A2953&lt;='CSV抽出'!$C$5),OR('CSV抽出'!$C$6="すべて",'CSV抽出'!$C$6="",D2953='CSV抽出'!$C$6),OR('CSV抽出'!$C$7="",B2953&amp;""='CSV抽出'!$C$7&amp;"")),1,0))</f>
        <v/>
      </c>
      <c r="AI2953" s="20">
        <f>IF(AH2953=1,SUM($AH$5:AH2953),"")</f>
        <v/>
      </c>
      <c r="AJ2953" s="20">
        <f>IF(OR(S2953="",'報告書'!$C$4=""),"",IF(S2953&amp;""='報告書'!$C$4&amp;"",COUNTIF($S$5:S2953,'報告書'!$C$4),""))</f>
        <v/>
      </c>
      <c r="AK2953" s="20" t="n"/>
      <c r="AL2953" s="47" t="n"/>
      <c r="AM2953" s="47" t="n"/>
      <c r="AN2953" s="53" t="n"/>
      <c r="AO2953" s="47" t="n"/>
      <c r="AP2953" s="47" t="n"/>
      <c r="AQ2953" s="47" t="n"/>
      <c r="AR2953" s="47" t="n"/>
      <c r="AS2953" s="47" t="n"/>
      <c r="AT2953" s="47" t="n"/>
      <c r="AU2953" s="47" t="n"/>
      <c r="AV2953" s="47" t="n"/>
      <c r="AW2953" s="52" t="n"/>
    </row>
    <row r="2954">
      <c r="A2954" s="48" t="n"/>
      <c r="B2954" s="52" t="n"/>
      <c r="C2954" s="47">
        <f>IF(B2954="","",IFERROR(INDEX('隊員マスタ'!$B$5:$B$204,MATCH(B2954&amp;"",'隊員マスタ'!$F$5:$F$204,0)),IF(AK2954="","番号なし",AK2954)))</f>
        <v/>
      </c>
      <c r="D2954" s="47" t="n"/>
      <c r="E2954" s="47" t="n"/>
      <c r="F2954" s="47" t="n"/>
      <c r="G2954" s="47" t="n"/>
      <c r="H2954" s="47" t="n"/>
      <c r="I2954" s="47" t="n"/>
      <c r="J2954" s="47" t="n"/>
      <c r="K2954" s="47" t="n"/>
      <c r="L2954" s="47" t="n"/>
      <c r="M2954" s="47" t="n"/>
      <c r="N2954" s="47" t="n"/>
      <c r="O2954" s="47" t="n"/>
      <c r="P2954" s="47" t="n"/>
      <c r="Q2954" s="47" t="n"/>
      <c r="R2954" s="47" t="n"/>
      <c r="S2954" s="47" t="n"/>
      <c r="T2954" s="47" t="n"/>
      <c r="U2954" s="53" t="n"/>
      <c r="V2954" s="53" t="n"/>
      <c r="W2954" s="47" t="n"/>
      <c r="X2954" s="47" t="n"/>
      <c r="Y2954" s="47" t="n"/>
      <c r="Z2954" s="47" t="n"/>
      <c r="AA2954" s="47" t="n"/>
      <c r="AB2954" s="47" t="n"/>
      <c r="AC2954" s="47" t="n"/>
      <c r="AD2954" s="47" t="n"/>
      <c r="AE2954" s="47" t="n"/>
      <c r="AF2954" s="20">
        <f>IF(A2954="","",YEAR(EDATE(A2954,-3)))</f>
        <v/>
      </c>
      <c r="AG2954" s="20">
        <f>IF(OR(B2954="",'経歴簿'!$C$4=""),"",IF(B2954&amp;""='経歴簿'!$C$4&amp;"",MAX($AG$4:AG2953)+1,""))</f>
        <v/>
      </c>
      <c r="AH2954" s="20">
        <f>IF(A2954="",0,IF(AND(OR('CSV抽出'!$C$4="",A2954&gt;='CSV抽出'!$C$4),OR('CSV抽出'!$C$5="",A2954&lt;='CSV抽出'!$C$5),OR('CSV抽出'!$C$6="すべて",'CSV抽出'!$C$6="",D2954='CSV抽出'!$C$6),OR('CSV抽出'!$C$7="",B2954&amp;""='CSV抽出'!$C$7&amp;"")),1,0))</f>
        <v/>
      </c>
      <c r="AI2954" s="20">
        <f>IF(AH2954=1,SUM($AH$5:AH2954),"")</f>
        <v/>
      </c>
      <c r="AJ2954" s="20">
        <f>IF(OR(S2954="",'報告書'!$C$4=""),"",IF(S2954&amp;""='報告書'!$C$4&amp;"",COUNTIF($S$5:S2954,'報告書'!$C$4),""))</f>
        <v/>
      </c>
      <c r="AK2954" s="20" t="n"/>
      <c r="AL2954" s="47" t="n"/>
      <c r="AM2954" s="47" t="n"/>
      <c r="AN2954" s="53" t="n"/>
      <c r="AO2954" s="47" t="n"/>
      <c r="AP2954" s="47" t="n"/>
      <c r="AQ2954" s="47" t="n"/>
      <c r="AR2954" s="47" t="n"/>
      <c r="AS2954" s="47" t="n"/>
      <c r="AT2954" s="47" t="n"/>
      <c r="AU2954" s="47" t="n"/>
      <c r="AV2954" s="47" t="n"/>
      <c r="AW2954" s="52" t="n"/>
    </row>
    <row r="2955">
      <c r="A2955" s="48" t="n"/>
      <c r="B2955" s="52" t="n"/>
      <c r="C2955" s="47">
        <f>IF(B2955="","",IFERROR(INDEX('隊員マスタ'!$B$5:$B$204,MATCH(B2955&amp;"",'隊員マスタ'!$F$5:$F$204,0)),IF(AK2955="","番号なし",AK2955)))</f>
        <v/>
      </c>
      <c r="D2955" s="47" t="n"/>
      <c r="E2955" s="47" t="n"/>
      <c r="F2955" s="47" t="n"/>
      <c r="G2955" s="47" t="n"/>
      <c r="H2955" s="47" t="n"/>
      <c r="I2955" s="47" t="n"/>
      <c r="J2955" s="47" t="n"/>
      <c r="K2955" s="47" t="n"/>
      <c r="L2955" s="47" t="n"/>
      <c r="M2955" s="47" t="n"/>
      <c r="N2955" s="47" t="n"/>
      <c r="O2955" s="47" t="n"/>
      <c r="P2955" s="47" t="n"/>
      <c r="Q2955" s="47" t="n"/>
      <c r="R2955" s="47" t="n"/>
      <c r="S2955" s="47" t="n"/>
      <c r="T2955" s="47" t="n"/>
      <c r="U2955" s="53" t="n"/>
      <c r="V2955" s="53" t="n"/>
      <c r="W2955" s="47" t="n"/>
      <c r="X2955" s="47" t="n"/>
      <c r="Y2955" s="47" t="n"/>
      <c r="Z2955" s="47" t="n"/>
      <c r="AA2955" s="47" t="n"/>
      <c r="AB2955" s="47" t="n"/>
      <c r="AC2955" s="47" t="n"/>
      <c r="AD2955" s="47" t="n"/>
      <c r="AE2955" s="47" t="n"/>
      <c r="AF2955" s="20">
        <f>IF(A2955="","",YEAR(EDATE(A2955,-3)))</f>
        <v/>
      </c>
      <c r="AG2955" s="20">
        <f>IF(OR(B2955="",'経歴簿'!$C$4=""),"",IF(B2955&amp;""='経歴簿'!$C$4&amp;"",MAX($AG$4:AG2954)+1,""))</f>
        <v/>
      </c>
      <c r="AH2955" s="20">
        <f>IF(A2955="",0,IF(AND(OR('CSV抽出'!$C$4="",A2955&gt;='CSV抽出'!$C$4),OR('CSV抽出'!$C$5="",A2955&lt;='CSV抽出'!$C$5),OR('CSV抽出'!$C$6="すべて",'CSV抽出'!$C$6="",D2955='CSV抽出'!$C$6),OR('CSV抽出'!$C$7="",B2955&amp;""='CSV抽出'!$C$7&amp;"")),1,0))</f>
        <v/>
      </c>
      <c r="AI2955" s="20">
        <f>IF(AH2955=1,SUM($AH$5:AH2955),"")</f>
        <v/>
      </c>
      <c r="AJ2955" s="20">
        <f>IF(OR(S2955="",'報告書'!$C$4=""),"",IF(S2955&amp;""='報告書'!$C$4&amp;"",COUNTIF($S$5:S2955,'報告書'!$C$4),""))</f>
        <v/>
      </c>
      <c r="AK2955" s="20" t="n"/>
      <c r="AL2955" s="47" t="n"/>
      <c r="AM2955" s="47" t="n"/>
      <c r="AN2955" s="53" t="n"/>
      <c r="AO2955" s="47" t="n"/>
      <c r="AP2955" s="47" t="n"/>
      <c r="AQ2955" s="47" t="n"/>
      <c r="AR2955" s="47" t="n"/>
      <c r="AS2955" s="47" t="n"/>
      <c r="AT2955" s="47" t="n"/>
      <c r="AU2955" s="47" t="n"/>
      <c r="AV2955" s="47" t="n"/>
      <c r="AW2955" s="52" t="n"/>
    </row>
    <row r="2956">
      <c r="A2956" s="48" t="n"/>
      <c r="B2956" s="52" t="n"/>
      <c r="C2956" s="47">
        <f>IF(B2956="","",IFERROR(INDEX('隊員マスタ'!$B$5:$B$204,MATCH(B2956&amp;"",'隊員マスタ'!$F$5:$F$204,0)),IF(AK2956="","番号なし",AK2956)))</f>
        <v/>
      </c>
      <c r="D2956" s="47" t="n"/>
      <c r="E2956" s="47" t="n"/>
      <c r="F2956" s="47" t="n"/>
      <c r="G2956" s="47" t="n"/>
      <c r="H2956" s="47" t="n"/>
      <c r="I2956" s="47" t="n"/>
      <c r="J2956" s="47" t="n"/>
      <c r="K2956" s="47" t="n"/>
      <c r="L2956" s="47" t="n"/>
      <c r="M2956" s="47" t="n"/>
      <c r="N2956" s="47" t="n"/>
      <c r="O2956" s="47" t="n"/>
      <c r="P2956" s="47" t="n"/>
      <c r="Q2956" s="47" t="n"/>
      <c r="R2956" s="47" t="n"/>
      <c r="S2956" s="47" t="n"/>
      <c r="T2956" s="47" t="n"/>
      <c r="U2956" s="53" t="n"/>
      <c r="V2956" s="53" t="n"/>
      <c r="W2956" s="47" t="n"/>
      <c r="X2956" s="47" t="n"/>
      <c r="Y2956" s="47" t="n"/>
      <c r="Z2956" s="47" t="n"/>
      <c r="AA2956" s="47" t="n"/>
      <c r="AB2956" s="47" t="n"/>
      <c r="AC2956" s="47" t="n"/>
      <c r="AD2956" s="47" t="n"/>
      <c r="AE2956" s="47" t="n"/>
      <c r="AF2956" s="20">
        <f>IF(A2956="","",YEAR(EDATE(A2956,-3)))</f>
        <v/>
      </c>
      <c r="AG2956" s="20">
        <f>IF(OR(B2956="",'経歴簿'!$C$4=""),"",IF(B2956&amp;""='経歴簿'!$C$4&amp;"",MAX($AG$4:AG2955)+1,""))</f>
        <v/>
      </c>
      <c r="AH2956" s="20">
        <f>IF(A2956="",0,IF(AND(OR('CSV抽出'!$C$4="",A2956&gt;='CSV抽出'!$C$4),OR('CSV抽出'!$C$5="",A2956&lt;='CSV抽出'!$C$5),OR('CSV抽出'!$C$6="すべて",'CSV抽出'!$C$6="",D2956='CSV抽出'!$C$6),OR('CSV抽出'!$C$7="",B2956&amp;""='CSV抽出'!$C$7&amp;"")),1,0))</f>
        <v/>
      </c>
      <c r="AI2956" s="20">
        <f>IF(AH2956=1,SUM($AH$5:AH2956),"")</f>
        <v/>
      </c>
      <c r="AJ2956" s="20">
        <f>IF(OR(S2956="",'報告書'!$C$4=""),"",IF(S2956&amp;""='報告書'!$C$4&amp;"",COUNTIF($S$5:S2956,'報告書'!$C$4),""))</f>
        <v/>
      </c>
      <c r="AK2956" s="20" t="n"/>
      <c r="AL2956" s="47" t="n"/>
      <c r="AM2956" s="47" t="n"/>
      <c r="AN2956" s="53" t="n"/>
      <c r="AO2956" s="47" t="n"/>
      <c r="AP2956" s="47" t="n"/>
      <c r="AQ2956" s="47" t="n"/>
      <c r="AR2956" s="47" t="n"/>
      <c r="AS2956" s="47" t="n"/>
      <c r="AT2956" s="47" t="n"/>
      <c r="AU2956" s="47" t="n"/>
      <c r="AV2956" s="47" t="n"/>
      <c r="AW2956" s="52" t="n"/>
    </row>
    <row r="2957">
      <c r="A2957" s="48" t="n"/>
      <c r="B2957" s="52" t="n"/>
      <c r="C2957" s="47">
        <f>IF(B2957="","",IFERROR(INDEX('隊員マスタ'!$B$5:$B$204,MATCH(B2957&amp;"",'隊員マスタ'!$F$5:$F$204,0)),IF(AK2957="","番号なし",AK2957)))</f>
        <v/>
      </c>
      <c r="D2957" s="47" t="n"/>
      <c r="E2957" s="47" t="n"/>
      <c r="F2957" s="47" t="n"/>
      <c r="G2957" s="47" t="n"/>
      <c r="H2957" s="47" t="n"/>
      <c r="I2957" s="47" t="n"/>
      <c r="J2957" s="47" t="n"/>
      <c r="K2957" s="47" t="n"/>
      <c r="L2957" s="47" t="n"/>
      <c r="M2957" s="47" t="n"/>
      <c r="N2957" s="47" t="n"/>
      <c r="O2957" s="47" t="n"/>
      <c r="P2957" s="47" t="n"/>
      <c r="Q2957" s="47" t="n"/>
      <c r="R2957" s="47" t="n"/>
      <c r="S2957" s="47" t="n"/>
      <c r="T2957" s="47" t="n"/>
      <c r="U2957" s="53" t="n"/>
      <c r="V2957" s="53" t="n"/>
      <c r="W2957" s="47" t="n"/>
      <c r="X2957" s="47" t="n"/>
      <c r="Y2957" s="47" t="n"/>
      <c r="Z2957" s="47" t="n"/>
      <c r="AA2957" s="47" t="n"/>
      <c r="AB2957" s="47" t="n"/>
      <c r="AC2957" s="47" t="n"/>
      <c r="AD2957" s="47" t="n"/>
      <c r="AE2957" s="47" t="n"/>
      <c r="AF2957" s="20">
        <f>IF(A2957="","",YEAR(EDATE(A2957,-3)))</f>
        <v/>
      </c>
      <c r="AG2957" s="20">
        <f>IF(OR(B2957="",'経歴簿'!$C$4=""),"",IF(B2957&amp;""='経歴簿'!$C$4&amp;"",MAX($AG$4:AG2956)+1,""))</f>
        <v/>
      </c>
      <c r="AH2957" s="20">
        <f>IF(A2957="",0,IF(AND(OR('CSV抽出'!$C$4="",A2957&gt;='CSV抽出'!$C$4),OR('CSV抽出'!$C$5="",A2957&lt;='CSV抽出'!$C$5),OR('CSV抽出'!$C$6="すべて",'CSV抽出'!$C$6="",D2957='CSV抽出'!$C$6),OR('CSV抽出'!$C$7="",B2957&amp;""='CSV抽出'!$C$7&amp;"")),1,0))</f>
        <v/>
      </c>
      <c r="AI2957" s="20">
        <f>IF(AH2957=1,SUM($AH$5:AH2957),"")</f>
        <v/>
      </c>
      <c r="AJ2957" s="20">
        <f>IF(OR(S2957="",'報告書'!$C$4=""),"",IF(S2957&amp;""='報告書'!$C$4&amp;"",COUNTIF($S$5:S2957,'報告書'!$C$4),""))</f>
        <v/>
      </c>
      <c r="AK2957" s="20" t="n"/>
      <c r="AL2957" s="47" t="n"/>
      <c r="AM2957" s="47" t="n"/>
      <c r="AN2957" s="53" t="n"/>
      <c r="AO2957" s="47" t="n"/>
      <c r="AP2957" s="47" t="n"/>
      <c r="AQ2957" s="47" t="n"/>
      <c r="AR2957" s="47" t="n"/>
      <c r="AS2957" s="47" t="n"/>
      <c r="AT2957" s="47" t="n"/>
      <c r="AU2957" s="47" t="n"/>
      <c r="AV2957" s="47" t="n"/>
      <c r="AW2957" s="52" t="n"/>
    </row>
    <row r="2958">
      <c r="A2958" s="48" t="n"/>
      <c r="B2958" s="52" t="n"/>
      <c r="C2958" s="47">
        <f>IF(B2958="","",IFERROR(INDEX('隊員マスタ'!$B$5:$B$204,MATCH(B2958&amp;"",'隊員マスタ'!$F$5:$F$204,0)),IF(AK2958="","番号なし",AK2958)))</f>
        <v/>
      </c>
      <c r="D2958" s="47" t="n"/>
      <c r="E2958" s="47" t="n"/>
      <c r="F2958" s="47" t="n"/>
      <c r="G2958" s="47" t="n"/>
      <c r="H2958" s="47" t="n"/>
      <c r="I2958" s="47" t="n"/>
      <c r="J2958" s="47" t="n"/>
      <c r="K2958" s="47" t="n"/>
      <c r="L2958" s="47" t="n"/>
      <c r="M2958" s="47" t="n"/>
      <c r="N2958" s="47" t="n"/>
      <c r="O2958" s="47" t="n"/>
      <c r="P2958" s="47" t="n"/>
      <c r="Q2958" s="47" t="n"/>
      <c r="R2958" s="47" t="n"/>
      <c r="S2958" s="47" t="n"/>
      <c r="T2958" s="47" t="n"/>
      <c r="U2958" s="53" t="n"/>
      <c r="V2958" s="53" t="n"/>
      <c r="W2958" s="47" t="n"/>
      <c r="X2958" s="47" t="n"/>
      <c r="Y2958" s="47" t="n"/>
      <c r="Z2958" s="47" t="n"/>
      <c r="AA2958" s="47" t="n"/>
      <c r="AB2958" s="47" t="n"/>
      <c r="AC2958" s="47" t="n"/>
      <c r="AD2958" s="47" t="n"/>
      <c r="AE2958" s="47" t="n"/>
      <c r="AF2958" s="20">
        <f>IF(A2958="","",YEAR(EDATE(A2958,-3)))</f>
        <v/>
      </c>
      <c r="AG2958" s="20">
        <f>IF(OR(B2958="",'経歴簿'!$C$4=""),"",IF(B2958&amp;""='経歴簿'!$C$4&amp;"",MAX($AG$4:AG2957)+1,""))</f>
        <v/>
      </c>
      <c r="AH2958" s="20">
        <f>IF(A2958="",0,IF(AND(OR('CSV抽出'!$C$4="",A2958&gt;='CSV抽出'!$C$4),OR('CSV抽出'!$C$5="",A2958&lt;='CSV抽出'!$C$5),OR('CSV抽出'!$C$6="すべて",'CSV抽出'!$C$6="",D2958='CSV抽出'!$C$6),OR('CSV抽出'!$C$7="",B2958&amp;""='CSV抽出'!$C$7&amp;"")),1,0))</f>
        <v/>
      </c>
      <c r="AI2958" s="20">
        <f>IF(AH2958=1,SUM($AH$5:AH2958),"")</f>
        <v/>
      </c>
      <c r="AJ2958" s="20">
        <f>IF(OR(S2958="",'報告書'!$C$4=""),"",IF(S2958&amp;""='報告書'!$C$4&amp;"",COUNTIF($S$5:S2958,'報告書'!$C$4),""))</f>
        <v/>
      </c>
      <c r="AK2958" s="20" t="n"/>
      <c r="AL2958" s="47" t="n"/>
      <c r="AM2958" s="47" t="n"/>
      <c r="AN2958" s="53" t="n"/>
      <c r="AO2958" s="47" t="n"/>
      <c r="AP2958" s="47" t="n"/>
      <c r="AQ2958" s="47" t="n"/>
      <c r="AR2958" s="47" t="n"/>
      <c r="AS2958" s="47" t="n"/>
      <c r="AT2958" s="47" t="n"/>
      <c r="AU2958" s="47" t="n"/>
      <c r="AV2958" s="47" t="n"/>
      <c r="AW2958" s="52" t="n"/>
    </row>
    <row r="2959">
      <c r="A2959" s="48" t="n"/>
      <c r="B2959" s="52" t="n"/>
      <c r="C2959" s="47">
        <f>IF(B2959="","",IFERROR(INDEX('隊員マスタ'!$B$5:$B$204,MATCH(B2959&amp;"",'隊員マスタ'!$F$5:$F$204,0)),IF(AK2959="","番号なし",AK2959)))</f>
        <v/>
      </c>
      <c r="D2959" s="47" t="n"/>
      <c r="E2959" s="47" t="n"/>
      <c r="F2959" s="47" t="n"/>
      <c r="G2959" s="47" t="n"/>
      <c r="H2959" s="47" t="n"/>
      <c r="I2959" s="47" t="n"/>
      <c r="J2959" s="47" t="n"/>
      <c r="K2959" s="47" t="n"/>
      <c r="L2959" s="47" t="n"/>
      <c r="M2959" s="47" t="n"/>
      <c r="N2959" s="47" t="n"/>
      <c r="O2959" s="47" t="n"/>
      <c r="P2959" s="47" t="n"/>
      <c r="Q2959" s="47" t="n"/>
      <c r="R2959" s="47" t="n"/>
      <c r="S2959" s="47" t="n"/>
      <c r="T2959" s="47" t="n"/>
      <c r="U2959" s="53" t="n"/>
      <c r="V2959" s="53" t="n"/>
      <c r="W2959" s="47" t="n"/>
      <c r="X2959" s="47" t="n"/>
      <c r="Y2959" s="47" t="n"/>
      <c r="Z2959" s="47" t="n"/>
      <c r="AA2959" s="47" t="n"/>
      <c r="AB2959" s="47" t="n"/>
      <c r="AC2959" s="47" t="n"/>
      <c r="AD2959" s="47" t="n"/>
      <c r="AE2959" s="47" t="n"/>
      <c r="AF2959" s="20">
        <f>IF(A2959="","",YEAR(EDATE(A2959,-3)))</f>
        <v/>
      </c>
      <c r="AG2959" s="20">
        <f>IF(OR(B2959="",'経歴簿'!$C$4=""),"",IF(B2959&amp;""='経歴簿'!$C$4&amp;"",MAX($AG$4:AG2958)+1,""))</f>
        <v/>
      </c>
      <c r="AH2959" s="20">
        <f>IF(A2959="",0,IF(AND(OR('CSV抽出'!$C$4="",A2959&gt;='CSV抽出'!$C$4),OR('CSV抽出'!$C$5="",A2959&lt;='CSV抽出'!$C$5),OR('CSV抽出'!$C$6="すべて",'CSV抽出'!$C$6="",D2959='CSV抽出'!$C$6),OR('CSV抽出'!$C$7="",B2959&amp;""='CSV抽出'!$C$7&amp;"")),1,0))</f>
        <v/>
      </c>
      <c r="AI2959" s="20">
        <f>IF(AH2959=1,SUM($AH$5:AH2959),"")</f>
        <v/>
      </c>
      <c r="AJ2959" s="20">
        <f>IF(OR(S2959="",'報告書'!$C$4=""),"",IF(S2959&amp;""='報告書'!$C$4&amp;"",COUNTIF($S$5:S2959,'報告書'!$C$4),""))</f>
        <v/>
      </c>
      <c r="AK2959" s="20" t="n"/>
      <c r="AL2959" s="47" t="n"/>
      <c r="AM2959" s="47" t="n"/>
      <c r="AN2959" s="53" t="n"/>
      <c r="AO2959" s="47" t="n"/>
      <c r="AP2959" s="47" t="n"/>
      <c r="AQ2959" s="47" t="n"/>
      <c r="AR2959" s="47" t="n"/>
      <c r="AS2959" s="47" t="n"/>
      <c r="AT2959" s="47" t="n"/>
      <c r="AU2959" s="47" t="n"/>
      <c r="AV2959" s="47" t="n"/>
      <c r="AW2959" s="52" t="n"/>
    </row>
    <row r="2960">
      <c r="A2960" s="48" t="n"/>
      <c r="B2960" s="52" t="n"/>
      <c r="C2960" s="47">
        <f>IF(B2960="","",IFERROR(INDEX('隊員マスタ'!$B$5:$B$204,MATCH(B2960&amp;"",'隊員マスタ'!$F$5:$F$204,0)),IF(AK2960="","番号なし",AK2960)))</f>
        <v/>
      </c>
      <c r="D2960" s="47" t="n"/>
      <c r="E2960" s="47" t="n"/>
      <c r="F2960" s="47" t="n"/>
      <c r="G2960" s="47" t="n"/>
      <c r="H2960" s="47" t="n"/>
      <c r="I2960" s="47" t="n"/>
      <c r="J2960" s="47" t="n"/>
      <c r="K2960" s="47" t="n"/>
      <c r="L2960" s="47" t="n"/>
      <c r="M2960" s="47" t="n"/>
      <c r="N2960" s="47" t="n"/>
      <c r="O2960" s="47" t="n"/>
      <c r="P2960" s="47" t="n"/>
      <c r="Q2960" s="47" t="n"/>
      <c r="R2960" s="47" t="n"/>
      <c r="S2960" s="47" t="n"/>
      <c r="T2960" s="47" t="n"/>
      <c r="U2960" s="53" t="n"/>
      <c r="V2960" s="53" t="n"/>
      <c r="W2960" s="47" t="n"/>
      <c r="X2960" s="47" t="n"/>
      <c r="Y2960" s="47" t="n"/>
      <c r="Z2960" s="47" t="n"/>
      <c r="AA2960" s="47" t="n"/>
      <c r="AB2960" s="47" t="n"/>
      <c r="AC2960" s="47" t="n"/>
      <c r="AD2960" s="47" t="n"/>
      <c r="AE2960" s="47" t="n"/>
      <c r="AF2960" s="20">
        <f>IF(A2960="","",YEAR(EDATE(A2960,-3)))</f>
        <v/>
      </c>
      <c r="AG2960" s="20">
        <f>IF(OR(B2960="",'経歴簿'!$C$4=""),"",IF(B2960&amp;""='経歴簿'!$C$4&amp;"",MAX($AG$4:AG2959)+1,""))</f>
        <v/>
      </c>
      <c r="AH2960" s="20">
        <f>IF(A2960="",0,IF(AND(OR('CSV抽出'!$C$4="",A2960&gt;='CSV抽出'!$C$4),OR('CSV抽出'!$C$5="",A2960&lt;='CSV抽出'!$C$5),OR('CSV抽出'!$C$6="すべて",'CSV抽出'!$C$6="",D2960='CSV抽出'!$C$6),OR('CSV抽出'!$C$7="",B2960&amp;""='CSV抽出'!$C$7&amp;"")),1,0))</f>
        <v/>
      </c>
      <c r="AI2960" s="20">
        <f>IF(AH2960=1,SUM($AH$5:AH2960),"")</f>
        <v/>
      </c>
      <c r="AJ2960" s="20">
        <f>IF(OR(S2960="",'報告書'!$C$4=""),"",IF(S2960&amp;""='報告書'!$C$4&amp;"",COUNTIF($S$5:S2960,'報告書'!$C$4),""))</f>
        <v/>
      </c>
      <c r="AK2960" s="20" t="n"/>
      <c r="AL2960" s="47" t="n"/>
      <c r="AM2960" s="47" t="n"/>
      <c r="AN2960" s="53" t="n"/>
      <c r="AO2960" s="47" t="n"/>
      <c r="AP2960" s="47" t="n"/>
      <c r="AQ2960" s="47" t="n"/>
      <c r="AR2960" s="47" t="n"/>
      <c r="AS2960" s="47" t="n"/>
      <c r="AT2960" s="47" t="n"/>
      <c r="AU2960" s="47" t="n"/>
      <c r="AV2960" s="47" t="n"/>
      <c r="AW2960" s="52" t="n"/>
    </row>
    <row r="2961">
      <c r="A2961" s="48" t="n"/>
      <c r="B2961" s="52" t="n"/>
      <c r="C2961" s="47">
        <f>IF(B2961="","",IFERROR(INDEX('隊員マスタ'!$B$5:$B$204,MATCH(B2961&amp;"",'隊員マスタ'!$F$5:$F$204,0)),IF(AK2961="","番号なし",AK2961)))</f>
        <v/>
      </c>
      <c r="D2961" s="47" t="n"/>
      <c r="E2961" s="47" t="n"/>
      <c r="F2961" s="47" t="n"/>
      <c r="G2961" s="47" t="n"/>
      <c r="H2961" s="47" t="n"/>
      <c r="I2961" s="47" t="n"/>
      <c r="J2961" s="47" t="n"/>
      <c r="K2961" s="47" t="n"/>
      <c r="L2961" s="47" t="n"/>
      <c r="M2961" s="47" t="n"/>
      <c r="N2961" s="47" t="n"/>
      <c r="O2961" s="47" t="n"/>
      <c r="P2961" s="47" t="n"/>
      <c r="Q2961" s="47" t="n"/>
      <c r="R2961" s="47" t="n"/>
      <c r="S2961" s="47" t="n"/>
      <c r="T2961" s="47" t="n"/>
      <c r="U2961" s="53" t="n"/>
      <c r="V2961" s="53" t="n"/>
      <c r="W2961" s="47" t="n"/>
      <c r="X2961" s="47" t="n"/>
      <c r="Y2961" s="47" t="n"/>
      <c r="Z2961" s="47" t="n"/>
      <c r="AA2961" s="47" t="n"/>
      <c r="AB2961" s="47" t="n"/>
      <c r="AC2961" s="47" t="n"/>
      <c r="AD2961" s="47" t="n"/>
      <c r="AE2961" s="47" t="n"/>
      <c r="AF2961" s="20">
        <f>IF(A2961="","",YEAR(EDATE(A2961,-3)))</f>
        <v/>
      </c>
      <c r="AG2961" s="20">
        <f>IF(OR(B2961="",'経歴簿'!$C$4=""),"",IF(B2961&amp;""='経歴簿'!$C$4&amp;"",MAX($AG$4:AG2960)+1,""))</f>
        <v/>
      </c>
      <c r="AH2961" s="20">
        <f>IF(A2961="",0,IF(AND(OR('CSV抽出'!$C$4="",A2961&gt;='CSV抽出'!$C$4),OR('CSV抽出'!$C$5="",A2961&lt;='CSV抽出'!$C$5),OR('CSV抽出'!$C$6="すべて",'CSV抽出'!$C$6="",D2961='CSV抽出'!$C$6),OR('CSV抽出'!$C$7="",B2961&amp;""='CSV抽出'!$C$7&amp;"")),1,0))</f>
        <v/>
      </c>
      <c r="AI2961" s="20">
        <f>IF(AH2961=1,SUM($AH$5:AH2961),"")</f>
        <v/>
      </c>
      <c r="AJ2961" s="20">
        <f>IF(OR(S2961="",'報告書'!$C$4=""),"",IF(S2961&amp;""='報告書'!$C$4&amp;"",COUNTIF($S$5:S2961,'報告書'!$C$4),""))</f>
        <v/>
      </c>
      <c r="AK2961" s="20" t="n"/>
      <c r="AL2961" s="47" t="n"/>
      <c r="AM2961" s="47" t="n"/>
      <c r="AN2961" s="53" t="n"/>
      <c r="AO2961" s="47" t="n"/>
      <c r="AP2961" s="47" t="n"/>
      <c r="AQ2961" s="47" t="n"/>
      <c r="AR2961" s="47" t="n"/>
      <c r="AS2961" s="47" t="n"/>
      <c r="AT2961" s="47" t="n"/>
      <c r="AU2961" s="47" t="n"/>
      <c r="AV2961" s="47" t="n"/>
      <c r="AW2961" s="52" t="n"/>
    </row>
    <row r="2962">
      <c r="A2962" s="48" t="n"/>
      <c r="B2962" s="52" t="n"/>
      <c r="C2962" s="47">
        <f>IF(B2962="","",IFERROR(INDEX('隊員マスタ'!$B$5:$B$204,MATCH(B2962&amp;"",'隊員マスタ'!$F$5:$F$204,0)),IF(AK2962="","番号なし",AK2962)))</f>
        <v/>
      </c>
      <c r="D2962" s="47" t="n"/>
      <c r="E2962" s="47" t="n"/>
      <c r="F2962" s="47" t="n"/>
      <c r="G2962" s="47" t="n"/>
      <c r="H2962" s="47" t="n"/>
      <c r="I2962" s="47" t="n"/>
      <c r="J2962" s="47" t="n"/>
      <c r="K2962" s="47" t="n"/>
      <c r="L2962" s="47" t="n"/>
      <c r="M2962" s="47" t="n"/>
      <c r="N2962" s="47" t="n"/>
      <c r="O2962" s="47" t="n"/>
      <c r="P2962" s="47" t="n"/>
      <c r="Q2962" s="47" t="n"/>
      <c r="R2962" s="47" t="n"/>
      <c r="S2962" s="47" t="n"/>
      <c r="T2962" s="47" t="n"/>
      <c r="U2962" s="53" t="n"/>
      <c r="V2962" s="53" t="n"/>
      <c r="W2962" s="47" t="n"/>
      <c r="X2962" s="47" t="n"/>
      <c r="Y2962" s="47" t="n"/>
      <c r="Z2962" s="47" t="n"/>
      <c r="AA2962" s="47" t="n"/>
      <c r="AB2962" s="47" t="n"/>
      <c r="AC2962" s="47" t="n"/>
      <c r="AD2962" s="47" t="n"/>
      <c r="AE2962" s="47" t="n"/>
      <c r="AF2962" s="20">
        <f>IF(A2962="","",YEAR(EDATE(A2962,-3)))</f>
        <v/>
      </c>
      <c r="AG2962" s="20">
        <f>IF(OR(B2962="",'経歴簿'!$C$4=""),"",IF(B2962&amp;""='経歴簿'!$C$4&amp;"",MAX($AG$4:AG2961)+1,""))</f>
        <v/>
      </c>
      <c r="AH2962" s="20">
        <f>IF(A2962="",0,IF(AND(OR('CSV抽出'!$C$4="",A2962&gt;='CSV抽出'!$C$4),OR('CSV抽出'!$C$5="",A2962&lt;='CSV抽出'!$C$5),OR('CSV抽出'!$C$6="すべて",'CSV抽出'!$C$6="",D2962='CSV抽出'!$C$6),OR('CSV抽出'!$C$7="",B2962&amp;""='CSV抽出'!$C$7&amp;"")),1,0))</f>
        <v/>
      </c>
      <c r="AI2962" s="20">
        <f>IF(AH2962=1,SUM($AH$5:AH2962),"")</f>
        <v/>
      </c>
      <c r="AJ2962" s="20">
        <f>IF(OR(S2962="",'報告書'!$C$4=""),"",IF(S2962&amp;""='報告書'!$C$4&amp;"",COUNTIF($S$5:S2962,'報告書'!$C$4),""))</f>
        <v/>
      </c>
      <c r="AK2962" s="20" t="n"/>
      <c r="AL2962" s="47" t="n"/>
      <c r="AM2962" s="47" t="n"/>
      <c r="AN2962" s="53" t="n"/>
      <c r="AO2962" s="47" t="n"/>
      <c r="AP2962" s="47" t="n"/>
      <c r="AQ2962" s="47" t="n"/>
      <c r="AR2962" s="47" t="n"/>
      <c r="AS2962" s="47" t="n"/>
      <c r="AT2962" s="47" t="n"/>
      <c r="AU2962" s="47" t="n"/>
      <c r="AV2962" s="47" t="n"/>
      <c r="AW2962" s="52" t="n"/>
    </row>
    <row r="2963">
      <c r="A2963" s="48" t="n"/>
      <c r="B2963" s="52" t="n"/>
      <c r="C2963" s="47">
        <f>IF(B2963="","",IFERROR(INDEX('隊員マスタ'!$B$5:$B$204,MATCH(B2963&amp;"",'隊員マスタ'!$F$5:$F$204,0)),IF(AK2963="","番号なし",AK2963)))</f>
        <v/>
      </c>
      <c r="D2963" s="47" t="n"/>
      <c r="E2963" s="47" t="n"/>
      <c r="F2963" s="47" t="n"/>
      <c r="G2963" s="47" t="n"/>
      <c r="H2963" s="47" t="n"/>
      <c r="I2963" s="47" t="n"/>
      <c r="J2963" s="47" t="n"/>
      <c r="K2963" s="47" t="n"/>
      <c r="L2963" s="47" t="n"/>
      <c r="M2963" s="47" t="n"/>
      <c r="N2963" s="47" t="n"/>
      <c r="O2963" s="47" t="n"/>
      <c r="P2963" s="47" t="n"/>
      <c r="Q2963" s="47" t="n"/>
      <c r="R2963" s="47" t="n"/>
      <c r="S2963" s="47" t="n"/>
      <c r="T2963" s="47" t="n"/>
      <c r="U2963" s="53" t="n"/>
      <c r="V2963" s="53" t="n"/>
      <c r="W2963" s="47" t="n"/>
      <c r="X2963" s="47" t="n"/>
      <c r="Y2963" s="47" t="n"/>
      <c r="Z2963" s="47" t="n"/>
      <c r="AA2963" s="47" t="n"/>
      <c r="AB2963" s="47" t="n"/>
      <c r="AC2963" s="47" t="n"/>
      <c r="AD2963" s="47" t="n"/>
      <c r="AE2963" s="47" t="n"/>
      <c r="AF2963" s="20">
        <f>IF(A2963="","",YEAR(EDATE(A2963,-3)))</f>
        <v/>
      </c>
      <c r="AG2963" s="20">
        <f>IF(OR(B2963="",'経歴簿'!$C$4=""),"",IF(B2963&amp;""='経歴簿'!$C$4&amp;"",MAX($AG$4:AG2962)+1,""))</f>
        <v/>
      </c>
      <c r="AH2963" s="20">
        <f>IF(A2963="",0,IF(AND(OR('CSV抽出'!$C$4="",A2963&gt;='CSV抽出'!$C$4),OR('CSV抽出'!$C$5="",A2963&lt;='CSV抽出'!$C$5),OR('CSV抽出'!$C$6="すべて",'CSV抽出'!$C$6="",D2963='CSV抽出'!$C$6),OR('CSV抽出'!$C$7="",B2963&amp;""='CSV抽出'!$C$7&amp;"")),1,0))</f>
        <v/>
      </c>
      <c r="AI2963" s="20">
        <f>IF(AH2963=1,SUM($AH$5:AH2963),"")</f>
        <v/>
      </c>
      <c r="AJ2963" s="20">
        <f>IF(OR(S2963="",'報告書'!$C$4=""),"",IF(S2963&amp;""='報告書'!$C$4&amp;"",COUNTIF($S$5:S2963,'報告書'!$C$4),""))</f>
        <v/>
      </c>
      <c r="AK2963" s="20" t="n"/>
      <c r="AL2963" s="47" t="n"/>
      <c r="AM2963" s="47" t="n"/>
      <c r="AN2963" s="53" t="n"/>
      <c r="AO2963" s="47" t="n"/>
      <c r="AP2963" s="47" t="n"/>
      <c r="AQ2963" s="47" t="n"/>
      <c r="AR2963" s="47" t="n"/>
      <c r="AS2963" s="47" t="n"/>
      <c r="AT2963" s="47" t="n"/>
      <c r="AU2963" s="47" t="n"/>
      <c r="AV2963" s="47" t="n"/>
      <c r="AW2963" s="52" t="n"/>
    </row>
    <row r="2964">
      <c r="A2964" s="48" t="n"/>
      <c r="B2964" s="52" t="n"/>
      <c r="C2964" s="47">
        <f>IF(B2964="","",IFERROR(INDEX('隊員マスタ'!$B$5:$B$204,MATCH(B2964&amp;"",'隊員マスタ'!$F$5:$F$204,0)),IF(AK2964="","番号なし",AK2964)))</f>
        <v/>
      </c>
      <c r="D2964" s="47" t="n"/>
      <c r="E2964" s="47" t="n"/>
      <c r="F2964" s="47" t="n"/>
      <c r="G2964" s="47" t="n"/>
      <c r="H2964" s="47" t="n"/>
      <c r="I2964" s="47" t="n"/>
      <c r="J2964" s="47" t="n"/>
      <c r="K2964" s="47" t="n"/>
      <c r="L2964" s="47" t="n"/>
      <c r="M2964" s="47" t="n"/>
      <c r="N2964" s="47" t="n"/>
      <c r="O2964" s="47" t="n"/>
      <c r="P2964" s="47" t="n"/>
      <c r="Q2964" s="47" t="n"/>
      <c r="R2964" s="47" t="n"/>
      <c r="S2964" s="47" t="n"/>
      <c r="T2964" s="47" t="n"/>
      <c r="U2964" s="53" t="n"/>
      <c r="V2964" s="53" t="n"/>
      <c r="W2964" s="47" t="n"/>
      <c r="X2964" s="47" t="n"/>
      <c r="Y2964" s="47" t="n"/>
      <c r="Z2964" s="47" t="n"/>
      <c r="AA2964" s="47" t="n"/>
      <c r="AB2964" s="47" t="n"/>
      <c r="AC2964" s="47" t="n"/>
      <c r="AD2964" s="47" t="n"/>
      <c r="AE2964" s="47" t="n"/>
      <c r="AF2964" s="20">
        <f>IF(A2964="","",YEAR(EDATE(A2964,-3)))</f>
        <v/>
      </c>
      <c r="AG2964" s="20">
        <f>IF(OR(B2964="",'経歴簿'!$C$4=""),"",IF(B2964&amp;""='経歴簿'!$C$4&amp;"",MAX($AG$4:AG2963)+1,""))</f>
        <v/>
      </c>
      <c r="AH2964" s="20">
        <f>IF(A2964="",0,IF(AND(OR('CSV抽出'!$C$4="",A2964&gt;='CSV抽出'!$C$4),OR('CSV抽出'!$C$5="",A2964&lt;='CSV抽出'!$C$5),OR('CSV抽出'!$C$6="すべて",'CSV抽出'!$C$6="",D2964='CSV抽出'!$C$6),OR('CSV抽出'!$C$7="",B2964&amp;""='CSV抽出'!$C$7&amp;"")),1,0))</f>
        <v/>
      </c>
      <c r="AI2964" s="20">
        <f>IF(AH2964=1,SUM($AH$5:AH2964),"")</f>
        <v/>
      </c>
      <c r="AJ2964" s="20">
        <f>IF(OR(S2964="",'報告書'!$C$4=""),"",IF(S2964&amp;""='報告書'!$C$4&amp;"",COUNTIF($S$5:S2964,'報告書'!$C$4),""))</f>
        <v/>
      </c>
      <c r="AK2964" s="20" t="n"/>
      <c r="AL2964" s="47" t="n"/>
      <c r="AM2964" s="47" t="n"/>
      <c r="AN2964" s="53" t="n"/>
      <c r="AO2964" s="47" t="n"/>
      <c r="AP2964" s="47" t="n"/>
      <c r="AQ2964" s="47" t="n"/>
      <c r="AR2964" s="47" t="n"/>
      <c r="AS2964" s="47" t="n"/>
      <c r="AT2964" s="47" t="n"/>
      <c r="AU2964" s="47" t="n"/>
      <c r="AV2964" s="47" t="n"/>
      <c r="AW2964" s="52" t="n"/>
    </row>
    <row r="2965">
      <c r="A2965" s="48" t="n"/>
      <c r="B2965" s="52" t="n"/>
      <c r="C2965" s="47">
        <f>IF(B2965="","",IFERROR(INDEX('隊員マスタ'!$B$5:$B$204,MATCH(B2965&amp;"",'隊員マスタ'!$F$5:$F$204,0)),IF(AK2965="","番号なし",AK2965)))</f>
        <v/>
      </c>
      <c r="D2965" s="47" t="n"/>
      <c r="E2965" s="47" t="n"/>
      <c r="F2965" s="47" t="n"/>
      <c r="G2965" s="47" t="n"/>
      <c r="H2965" s="47" t="n"/>
      <c r="I2965" s="47" t="n"/>
      <c r="J2965" s="47" t="n"/>
      <c r="K2965" s="47" t="n"/>
      <c r="L2965" s="47" t="n"/>
      <c r="M2965" s="47" t="n"/>
      <c r="N2965" s="47" t="n"/>
      <c r="O2965" s="47" t="n"/>
      <c r="P2965" s="47" t="n"/>
      <c r="Q2965" s="47" t="n"/>
      <c r="R2965" s="47" t="n"/>
      <c r="S2965" s="47" t="n"/>
      <c r="T2965" s="47" t="n"/>
      <c r="U2965" s="53" t="n"/>
      <c r="V2965" s="53" t="n"/>
      <c r="W2965" s="47" t="n"/>
      <c r="X2965" s="47" t="n"/>
      <c r="Y2965" s="47" t="n"/>
      <c r="Z2965" s="47" t="n"/>
      <c r="AA2965" s="47" t="n"/>
      <c r="AB2965" s="47" t="n"/>
      <c r="AC2965" s="47" t="n"/>
      <c r="AD2965" s="47" t="n"/>
      <c r="AE2965" s="47" t="n"/>
      <c r="AF2965" s="20">
        <f>IF(A2965="","",YEAR(EDATE(A2965,-3)))</f>
        <v/>
      </c>
      <c r="AG2965" s="20">
        <f>IF(OR(B2965="",'経歴簿'!$C$4=""),"",IF(B2965&amp;""='経歴簿'!$C$4&amp;"",MAX($AG$4:AG2964)+1,""))</f>
        <v/>
      </c>
      <c r="AH2965" s="20">
        <f>IF(A2965="",0,IF(AND(OR('CSV抽出'!$C$4="",A2965&gt;='CSV抽出'!$C$4),OR('CSV抽出'!$C$5="",A2965&lt;='CSV抽出'!$C$5),OR('CSV抽出'!$C$6="すべて",'CSV抽出'!$C$6="",D2965='CSV抽出'!$C$6),OR('CSV抽出'!$C$7="",B2965&amp;""='CSV抽出'!$C$7&amp;"")),1,0))</f>
        <v/>
      </c>
      <c r="AI2965" s="20">
        <f>IF(AH2965=1,SUM($AH$5:AH2965),"")</f>
        <v/>
      </c>
      <c r="AJ2965" s="20">
        <f>IF(OR(S2965="",'報告書'!$C$4=""),"",IF(S2965&amp;""='報告書'!$C$4&amp;"",COUNTIF($S$5:S2965,'報告書'!$C$4),""))</f>
        <v/>
      </c>
      <c r="AK2965" s="20" t="n"/>
      <c r="AL2965" s="47" t="n"/>
      <c r="AM2965" s="47" t="n"/>
      <c r="AN2965" s="53" t="n"/>
      <c r="AO2965" s="47" t="n"/>
      <c r="AP2965" s="47" t="n"/>
      <c r="AQ2965" s="47" t="n"/>
      <c r="AR2965" s="47" t="n"/>
      <c r="AS2965" s="47" t="n"/>
      <c r="AT2965" s="47" t="n"/>
      <c r="AU2965" s="47" t="n"/>
      <c r="AV2965" s="47" t="n"/>
      <c r="AW2965" s="52" t="n"/>
    </row>
    <row r="2966">
      <c r="A2966" s="48" t="n"/>
      <c r="B2966" s="52" t="n"/>
      <c r="C2966" s="47">
        <f>IF(B2966="","",IFERROR(INDEX('隊員マスタ'!$B$5:$B$204,MATCH(B2966&amp;"",'隊員マスタ'!$F$5:$F$204,0)),IF(AK2966="","番号なし",AK2966)))</f>
        <v/>
      </c>
      <c r="D2966" s="47" t="n"/>
      <c r="E2966" s="47" t="n"/>
      <c r="F2966" s="47" t="n"/>
      <c r="G2966" s="47" t="n"/>
      <c r="H2966" s="47" t="n"/>
      <c r="I2966" s="47" t="n"/>
      <c r="J2966" s="47" t="n"/>
      <c r="K2966" s="47" t="n"/>
      <c r="L2966" s="47" t="n"/>
      <c r="M2966" s="47" t="n"/>
      <c r="N2966" s="47" t="n"/>
      <c r="O2966" s="47" t="n"/>
      <c r="P2966" s="47" t="n"/>
      <c r="Q2966" s="47" t="n"/>
      <c r="R2966" s="47" t="n"/>
      <c r="S2966" s="47" t="n"/>
      <c r="T2966" s="47" t="n"/>
      <c r="U2966" s="53" t="n"/>
      <c r="V2966" s="53" t="n"/>
      <c r="W2966" s="47" t="n"/>
      <c r="X2966" s="47" t="n"/>
      <c r="Y2966" s="47" t="n"/>
      <c r="Z2966" s="47" t="n"/>
      <c r="AA2966" s="47" t="n"/>
      <c r="AB2966" s="47" t="n"/>
      <c r="AC2966" s="47" t="n"/>
      <c r="AD2966" s="47" t="n"/>
      <c r="AE2966" s="47" t="n"/>
      <c r="AF2966" s="20">
        <f>IF(A2966="","",YEAR(EDATE(A2966,-3)))</f>
        <v/>
      </c>
      <c r="AG2966" s="20">
        <f>IF(OR(B2966="",'経歴簿'!$C$4=""),"",IF(B2966&amp;""='経歴簿'!$C$4&amp;"",MAX($AG$4:AG2965)+1,""))</f>
        <v/>
      </c>
      <c r="AH2966" s="20">
        <f>IF(A2966="",0,IF(AND(OR('CSV抽出'!$C$4="",A2966&gt;='CSV抽出'!$C$4),OR('CSV抽出'!$C$5="",A2966&lt;='CSV抽出'!$C$5),OR('CSV抽出'!$C$6="すべて",'CSV抽出'!$C$6="",D2966='CSV抽出'!$C$6),OR('CSV抽出'!$C$7="",B2966&amp;""='CSV抽出'!$C$7&amp;"")),1,0))</f>
        <v/>
      </c>
      <c r="AI2966" s="20">
        <f>IF(AH2966=1,SUM($AH$5:AH2966),"")</f>
        <v/>
      </c>
      <c r="AJ2966" s="20">
        <f>IF(OR(S2966="",'報告書'!$C$4=""),"",IF(S2966&amp;""='報告書'!$C$4&amp;"",COUNTIF($S$5:S2966,'報告書'!$C$4),""))</f>
        <v/>
      </c>
      <c r="AK2966" s="20" t="n"/>
      <c r="AL2966" s="47" t="n"/>
      <c r="AM2966" s="47" t="n"/>
      <c r="AN2966" s="53" t="n"/>
      <c r="AO2966" s="47" t="n"/>
      <c r="AP2966" s="47" t="n"/>
      <c r="AQ2966" s="47" t="n"/>
      <c r="AR2966" s="47" t="n"/>
      <c r="AS2966" s="47" t="n"/>
      <c r="AT2966" s="47" t="n"/>
      <c r="AU2966" s="47" t="n"/>
      <c r="AV2966" s="47" t="n"/>
      <c r="AW2966" s="52" t="n"/>
    </row>
    <row r="2967">
      <c r="A2967" s="48" t="n"/>
      <c r="B2967" s="52" t="n"/>
      <c r="C2967" s="47">
        <f>IF(B2967="","",IFERROR(INDEX('隊員マスタ'!$B$5:$B$204,MATCH(B2967&amp;"",'隊員マスタ'!$F$5:$F$204,0)),IF(AK2967="","番号なし",AK2967)))</f>
        <v/>
      </c>
      <c r="D2967" s="47" t="n"/>
      <c r="E2967" s="47" t="n"/>
      <c r="F2967" s="47" t="n"/>
      <c r="G2967" s="47" t="n"/>
      <c r="H2967" s="47" t="n"/>
      <c r="I2967" s="47" t="n"/>
      <c r="J2967" s="47" t="n"/>
      <c r="K2967" s="47" t="n"/>
      <c r="L2967" s="47" t="n"/>
      <c r="M2967" s="47" t="n"/>
      <c r="N2967" s="47" t="n"/>
      <c r="O2967" s="47" t="n"/>
      <c r="P2967" s="47" t="n"/>
      <c r="Q2967" s="47" t="n"/>
      <c r="R2967" s="47" t="n"/>
      <c r="S2967" s="47" t="n"/>
      <c r="T2967" s="47" t="n"/>
      <c r="U2967" s="53" t="n"/>
      <c r="V2967" s="53" t="n"/>
      <c r="W2967" s="47" t="n"/>
      <c r="X2967" s="47" t="n"/>
      <c r="Y2967" s="47" t="n"/>
      <c r="Z2967" s="47" t="n"/>
      <c r="AA2967" s="47" t="n"/>
      <c r="AB2967" s="47" t="n"/>
      <c r="AC2967" s="47" t="n"/>
      <c r="AD2967" s="47" t="n"/>
      <c r="AE2967" s="47" t="n"/>
      <c r="AF2967" s="20">
        <f>IF(A2967="","",YEAR(EDATE(A2967,-3)))</f>
        <v/>
      </c>
      <c r="AG2967" s="20">
        <f>IF(OR(B2967="",'経歴簿'!$C$4=""),"",IF(B2967&amp;""='経歴簿'!$C$4&amp;"",MAX($AG$4:AG2966)+1,""))</f>
        <v/>
      </c>
      <c r="AH2967" s="20">
        <f>IF(A2967="",0,IF(AND(OR('CSV抽出'!$C$4="",A2967&gt;='CSV抽出'!$C$4),OR('CSV抽出'!$C$5="",A2967&lt;='CSV抽出'!$C$5),OR('CSV抽出'!$C$6="すべて",'CSV抽出'!$C$6="",D2967='CSV抽出'!$C$6),OR('CSV抽出'!$C$7="",B2967&amp;""='CSV抽出'!$C$7&amp;"")),1,0))</f>
        <v/>
      </c>
      <c r="AI2967" s="20">
        <f>IF(AH2967=1,SUM($AH$5:AH2967),"")</f>
        <v/>
      </c>
      <c r="AJ2967" s="20">
        <f>IF(OR(S2967="",'報告書'!$C$4=""),"",IF(S2967&amp;""='報告書'!$C$4&amp;"",COUNTIF($S$5:S2967,'報告書'!$C$4),""))</f>
        <v/>
      </c>
      <c r="AK2967" s="20" t="n"/>
      <c r="AL2967" s="47" t="n"/>
      <c r="AM2967" s="47" t="n"/>
      <c r="AN2967" s="53" t="n"/>
      <c r="AO2967" s="47" t="n"/>
      <c r="AP2967" s="47" t="n"/>
      <c r="AQ2967" s="47" t="n"/>
      <c r="AR2967" s="47" t="n"/>
      <c r="AS2967" s="47" t="n"/>
      <c r="AT2967" s="47" t="n"/>
      <c r="AU2967" s="47" t="n"/>
      <c r="AV2967" s="47" t="n"/>
      <c r="AW2967" s="52" t="n"/>
    </row>
    <row r="2968">
      <c r="A2968" s="48" t="n"/>
      <c r="B2968" s="52" t="n"/>
      <c r="C2968" s="47">
        <f>IF(B2968="","",IFERROR(INDEX('隊員マスタ'!$B$5:$B$204,MATCH(B2968&amp;"",'隊員マスタ'!$F$5:$F$204,0)),IF(AK2968="","番号なし",AK2968)))</f>
        <v/>
      </c>
      <c r="D2968" s="47" t="n"/>
      <c r="E2968" s="47" t="n"/>
      <c r="F2968" s="47" t="n"/>
      <c r="G2968" s="47" t="n"/>
      <c r="H2968" s="47" t="n"/>
      <c r="I2968" s="47" t="n"/>
      <c r="J2968" s="47" t="n"/>
      <c r="K2968" s="47" t="n"/>
      <c r="L2968" s="47" t="n"/>
      <c r="M2968" s="47" t="n"/>
      <c r="N2968" s="47" t="n"/>
      <c r="O2968" s="47" t="n"/>
      <c r="P2968" s="47" t="n"/>
      <c r="Q2968" s="47" t="n"/>
      <c r="R2968" s="47" t="n"/>
      <c r="S2968" s="47" t="n"/>
      <c r="T2968" s="47" t="n"/>
      <c r="U2968" s="53" t="n"/>
      <c r="V2968" s="53" t="n"/>
      <c r="W2968" s="47" t="n"/>
      <c r="X2968" s="47" t="n"/>
      <c r="Y2968" s="47" t="n"/>
      <c r="Z2968" s="47" t="n"/>
      <c r="AA2968" s="47" t="n"/>
      <c r="AB2968" s="47" t="n"/>
      <c r="AC2968" s="47" t="n"/>
      <c r="AD2968" s="47" t="n"/>
      <c r="AE2968" s="47" t="n"/>
      <c r="AF2968" s="20">
        <f>IF(A2968="","",YEAR(EDATE(A2968,-3)))</f>
        <v/>
      </c>
      <c r="AG2968" s="20">
        <f>IF(OR(B2968="",'経歴簿'!$C$4=""),"",IF(B2968&amp;""='経歴簿'!$C$4&amp;"",MAX($AG$4:AG2967)+1,""))</f>
        <v/>
      </c>
      <c r="AH2968" s="20">
        <f>IF(A2968="",0,IF(AND(OR('CSV抽出'!$C$4="",A2968&gt;='CSV抽出'!$C$4),OR('CSV抽出'!$C$5="",A2968&lt;='CSV抽出'!$C$5),OR('CSV抽出'!$C$6="すべて",'CSV抽出'!$C$6="",D2968='CSV抽出'!$C$6),OR('CSV抽出'!$C$7="",B2968&amp;""='CSV抽出'!$C$7&amp;"")),1,0))</f>
        <v/>
      </c>
      <c r="AI2968" s="20">
        <f>IF(AH2968=1,SUM($AH$5:AH2968),"")</f>
        <v/>
      </c>
      <c r="AJ2968" s="20">
        <f>IF(OR(S2968="",'報告書'!$C$4=""),"",IF(S2968&amp;""='報告書'!$C$4&amp;"",COUNTIF($S$5:S2968,'報告書'!$C$4),""))</f>
        <v/>
      </c>
      <c r="AK2968" s="20" t="n"/>
      <c r="AL2968" s="47" t="n"/>
      <c r="AM2968" s="47" t="n"/>
      <c r="AN2968" s="53" t="n"/>
      <c r="AO2968" s="47" t="n"/>
      <c r="AP2968" s="47" t="n"/>
      <c r="AQ2968" s="47" t="n"/>
      <c r="AR2968" s="47" t="n"/>
      <c r="AS2968" s="47" t="n"/>
      <c r="AT2968" s="47" t="n"/>
      <c r="AU2968" s="47" t="n"/>
      <c r="AV2968" s="47" t="n"/>
      <c r="AW2968" s="52" t="n"/>
    </row>
    <row r="2969">
      <c r="A2969" s="48" t="n"/>
      <c r="B2969" s="52" t="n"/>
      <c r="C2969" s="47">
        <f>IF(B2969="","",IFERROR(INDEX('隊員マスタ'!$B$5:$B$204,MATCH(B2969&amp;"",'隊員マスタ'!$F$5:$F$204,0)),IF(AK2969="","番号なし",AK2969)))</f>
        <v/>
      </c>
      <c r="D2969" s="47" t="n"/>
      <c r="E2969" s="47" t="n"/>
      <c r="F2969" s="47" t="n"/>
      <c r="G2969" s="47" t="n"/>
      <c r="H2969" s="47" t="n"/>
      <c r="I2969" s="47" t="n"/>
      <c r="J2969" s="47" t="n"/>
      <c r="K2969" s="47" t="n"/>
      <c r="L2969" s="47" t="n"/>
      <c r="M2969" s="47" t="n"/>
      <c r="N2969" s="47" t="n"/>
      <c r="O2969" s="47" t="n"/>
      <c r="P2969" s="47" t="n"/>
      <c r="Q2969" s="47" t="n"/>
      <c r="R2969" s="47" t="n"/>
      <c r="S2969" s="47" t="n"/>
      <c r="T2969" s="47" t="n"/>
      <c r="U2969" s="53" t="n"/>
      <c r="V2969" s="53" t="n"/>
      <c r="W2969" s="47" t="n"/>
      <c r="X2969" s="47" t="n"/>
      <c r="Y2969" s="47" t="n"/>
      <c r="Z2969" s="47" t="n"/>
      <c r="AA2969" s="47" t="n"/>
      <c r="AB2969" s="47" t="n"/>
      <c r="AC2969" s="47" t="n"/>
      <c r="AD2969" s="47" t="n"/>
      <c r="AE2969" s="47" t="n"/>
      <c r="AF2969" s="20">
        <f>IF(A2969="","",YEAR(EDATE(A2969,-3)))</f>
        <v/>
      </c>
      <c r="AG2969" s="20">
        <f>IF(OR(B2969="",'経歴簿'!$C$4=""),"",IF(B2969&amp;""='経歴簿'!$C$4&amp;"",MAX($AG$4:AG2968)+1,""))</f>
        <v/>
      </c>
      <c r="AH2969" s="20">
        <f>IF(A2969="",0,IF(AND(OR('CSV抽出'!$C$4="",A2969&gt;='CSV抽出'!$C$4),OR('CSV抽出'!$C$5="",A2969&lt;='CSV抽出'!$C$5),OR('CSV抽出'!$C$6="すべて",'CSV抽出'!$C$6="",D2969='CSV抽出'!$C$6),OR('CSV抽出'!$C$7="",B2969&amp;""='CSV抽出'!$C$7&amp;"")),1,0))</f>
        <v/>
      </c>
      <c r="AI2969" s="20">
        <f>IF(AH2969=1,SUM($AH$5:AH2969),"")</f>
        <v/>
      </c>
      <c r="AJ2969" s="20">
        <f>IF(OR(S2969="",'報告書'!$C$4=""),"",IF(S2969&amp;""='報告書'!$C$4&amp;"",COUNTIF($S$5:S2969,'報告書'!$C$4),""))</f>
        <v/>
      </c>
      <c r="AK2969" s="20" t="n"/>
      <c r="AL2969" s="47" t="n"/>
      <c r="AM2969" s="47" t="n"/>
      <c r="AN2969" s="53" t="n"/>
      <c r="AO2969" s="47" t="n"/>
      <c r="AP2969" s="47" t="n"/>
      <c r="AQ2969" s="47" t="n"/>
      <c r="AR2969" s="47" t="n"/>
      <c r="AS2969" s="47" t="n"/>
      <c r="AT2969" s="47" t="n"/>
      <c r="AU2969" s="47" t="n"/>
      <c r="AV2969" s="47" t="n"/>
      <c r="AW2969" s="52" t="n"/>
    </row>
    <row r="2970">
      <c r="A2970" s="48" t="n"/>
      <c r="B2970" s="52" t="n"/>
      <c r="C2970" s="47">
        <f>IF(B2970="","",IFERROR(INDEX('隊員マスタ'!$B$5:$B$204,MATCH(B2970&amp;"",'隊員マスタ'!$F$5:$F$204,0)),IF(AK2970="","番号なし",AK2970)))</f>
        <v/>
      </c>
      <c r="D2970" s="47" t="n"/>
      <c r="E2970" s="47" t="n"/>
      <c r="F2970" s="47" t="n"/>
      <c r="G2970" s="47" t="n"/>
      <c r="H2970" s="47" t="n"/>
      <c r="I2970" s="47" t="n"/>
      <c r="J2970" s="47" t="n"/>
      <c r="K2970" s="47" t="n"/>
      <c r="L2970" s="47" t="n"/>
      <c r="M2970" s="47" t="n"/>
      <c r="N2970" s="47" t="n"/>
      <c r="O2970" s="47" t="n"/>
      <c r="P2970" s="47" t="n"/>
      <c r="Q2970" s="47" t="n"/>
      <c r="R2970" s="47" t="n"/>
      <c r="S2970" s="47" t="n"/>
      <c r="T2970" s="47" t="n"/>
      <c r="U2970" s="53" t="n"/>
      <c r="V2970" s="53" t="n"/>
      <c r="W2970" s="47" t="n"/>
      <c r="X2970" s="47" t="n"/>
      <c r="Y2970" s="47" t="n"/>
      <c r="Z2970" s="47" t="n"/>
      <c r="AA2970" s="47" t="n"/>
      <c r="AB2970" s="47" t="n"/>
      <c r="AC2970" s="47" t="n"/>
      <c r="AD2970" s="47" t="n"/>
      <c r="AE2970" s="47" t="n"/>
      <c r="AF2970" s="20">
        <f>IF(A2970="","",YEAR(EDATE(A2970,-3)))</f>
        <v/>
      </c>
      <c r="AG2970" s="20">
        <f>IF(OR(B2970="",'経歴簿'!$C$4=""),"",IF(B2970&amp;""='経歴簿'!$C$4&amp;"",MAX($AG$4:AG2969)+1,""))</f>
        <v/>
      </c>
      <c r="AH2970" s="20">
        <f>IF(A2970="",0,IF(AND(OR('CSV抽出'!$C$4="",A2970&gt;='CSV抽出'!$C$4),OR('CSV抽出'!$C$5="",A2970&lt;='CSV抽出'!$C$5),OR('CSV抽出'!$C$6="すべて",'CSV抽出'!$C$6="",D2970='CSV抽出'!$C$6),OR('CSV抽出'!$C$7="",B2970&amp;""='CSV抽出'!$C$7&amp;"")),1,0))</f>
        <v/>
      </c>
      <c r="AI2970" s="20">
        <f>IF(AH2970=1,SUM($AH$5:AH2970),"")</f>
        <v/>
      </c>
      <c r="AJ2970" s="20">
        <f>IF(OR(S2970="",'報告書'!$C$4=""),"",IF(S2970&amp;""='報告書'!$C$4&amp;"",COUNTIF($S$5:S2970,'報告書'!$C$4),""))</f>
        <v/>
      </c>
      <c r="AK2970" s="20" t="n"/>
      <c r="AL2970" s="47" t="n"/>
      <c r="AM2970" s="47" t="n"/>
      <c r="AN2970" s="53" t="n"/>
      <c r="AO2970" s="47" t="n"/>
      <c r="AP2970" s="47" t="n"/>
      <c r="AQ2970" s="47" t="n"/>
      <c r="AR2970" s="47" t="n"/>
      <c r="AS2970" s="47" t="n"/>
      <c r="AT2970" s="47" t="n"/>
      <c r="AU2970" s="47" t="n"/>
      <c r="AV2970" s="47" t="n"/>
      <c r="AW2970" s="52" t="n"/>
    </row>
    <row r="2971">
      <c r="A2971" s="48" t="n"/>
      <c r="B2971" s="52" t="n"/>
      <c r="C2971" s="47">
        <f>IF(B2971="","",IFERROR(INDEX('隊員マスタ'!$B$5:$B$204,MATCH(B2971&amp;"",'隊員マスタ'!$F$5:$F$204,0)),IF(AK2971="","番号なし",AK2971)))</f>
        <v/>
      </c>
      <c r="D2971" s="47" t="n"/>
      <c r="E2971" s="47" t="n"/>
      <c r="F2971" s="47" t="n"/>
      <c r="G2971" s="47" t="n"/>
      <c r="H2971" s="47" t="n"/>
      <c r="I2971" s="47" t="n"/>
      <c r="J2971" s="47" t="n"/>
      <c r="K2971" s="47" t="n"/>
      <c r="L2971" s="47" t="n"/>
      <c r="M2971" s="47" t="n"/>
      <c r="N2971" s="47" t="n"/>
      <c r="O2971" s="47" t="n"/>
      <c r="P2971" s="47" t="n"/>
      <c r="Q2971" s="47" t="n"/>
      <c r="R2971" s="47" t="n"/>
      <c r="S2971" s="47" t="n"/>
      <c r="T2971" s="47" t="n"/>
      <c r="U2971" s="53" t="n"/>
      <c r="V2971" s="53" t="n"/>
      <c r="W2971" s="47" t="n"/>
      <c r="X2971" s="47" t="n"/>
      <c r="Y2971" s="47" t="n"/>
      <c r="Z2971" s="47" t="n"/>
      <c r="AA2971" s="47" t="n"/>
      <c r="AB2971" s="47" t="n"/>
      <c r="AC2971" s="47" t="n"/>
      <c r="AD2971" s="47" t="n"/>
      <c r="AE2971" s="47" t="n"/>
      <c r="AF2971" s="20">
        <f>IF(A2971="","",YEAR(EDATE(A2971,-3)))</f>
        <v/>
      </c>
      <c r="AG2971" s="20">
        <f>IF(OR(B2971="",'経歴簿'!$C$4=""),"",IF(B2971&amp;""='経歴簿'!$C$4&amp;"",MAX($AG$4:AG2970)+1,""))</f>
        <v/>
      </c>
      <c r="AH2971" s="20">
        <f>IF(A2971="",0,IF(AND(OR('CSV抽出'!$C$4="",A2971&gt;='CSV抽出'!$C$4),OR('CSV抽出'!$C$5="",A2971&lt;='CSV抽出'!$C$5),OR('CSV抽出'!$C$6="すべて",'CSV抽出'!$C$6="",D2971='CSV抽出'!$C$6),OR('CSV抽出'!$C$7="",B2971&amp;""='CSV抽出'!$C$7&amp;"")),1,0))</f>
        <v/>
      </c>
      <c r="AI2971" s="20">
        <f>IF(AH2971=1,SUM($AH$5:AH2971),"")</f>
        <v/>
      </c>
      <c r="AJ2971" s="20">
        <f>IF(OR(S2971="",'報告書'!$C$4=""),"",IF(S2971&amp;""='報告書'!$C$4&amp;"",COUNTIF($S$5:S2971,'報告書'!$C$4),""))</f>
        <v/>
      </c>
      <c r="AK2971" s="20" t="n"/>
      <c r="AL2971" s="47" t="n"/>
      <c r="AM2971" s="47" t="n"/>
      <c r="AN2971" s="53" t="n"/>
      <c r="AO2971" s="47" t="n"/>
      <c r="AP2971" s="47" t="n"/>
      <c r="AQ2971" s="47" t="n"/>
      <c r="AR2971" s="47" t="n"/>
      <c r="AS2971" s="47" t="n"/>
      <c r="AT2971" s="47" t="n"/>
      <c r="AU2971" s="47" t="n"/>
      <c r="AV2971" s="47" t="n"/>
      <c r="AW2971" s="52" t="n"/>
    </row>
    <row r="2972">
      <c r="A2972" s="48" t="n"/>
      <c r="B2972" s="52" t="n"/>
      <c r="C2972" s="47">
        <f>IF(B2972="","",IFERROR(INDEX('隊員マスタ'!$B$5:$B$204,MATCH(B2972&amp;"",'隊員マスタ'!$F$5:$F$204,0)),IF(AK2972="","番号なし",AK2972)))</f>
        <v/>
      </c>
      <c r="D2972" s="47" t="n"/>
      <c r="E2972" s="47" t="n"/>
      <c r="F2972" s="47" t="n"/>
      <c r="G2972" s="47" t="n"/>
      <c r="H2972" s="47" t="n"/>
      <c r="I2972" s="47" t="n"/>
      <c r="J2972" s="47" t="n"/>
      <c r="K2972" s="47" t="n"/>
      <c r="L2972" s="47" t="n"/>
      <c r="M2972" s="47" t="n"/>
      <c r="N2972" s="47" t="n"/>
      <c r="O2972" s="47" t="n"/>
      <c r="P2972" s="47" t="n"/>
      <c r="Q2972" s="47" t="n"/>
      <c r="R2972" s="47" t="n"/>
      <c r="S2972" s="47" t="n"/>
      <c r="T2972" s="47" t="n"/>
      <c r="U2972" s="53" t="n"/>
      <c r="V2972" s="53" t="n"/>
      <c r="W2972" s="47" t="n"/>
      <c r="X2972" s="47" t="n"/>
      <c r="Y2972" s="47" t="n"/>
      <c r="Z2972" s="47" t="n"/>
      <c r="AA2972" s="47" t="n"/>
      <c r="AB2972" s="47" t="n"/>
      <c r="AC2972" s="47" t="n"/>
      <c r="AD2972" s="47" t="n"/>
      <c r="AE2972" s="47" t="n"/>
      <c r="AF2972" s="20">
        <f>IF(A2972="","",YEAR(EDATE(A2972,-3)))</f>
        <v/>
      </c>
      <c r="AG2972" s="20">
        <f>IF(OR(B2972="",'経歴簿'!$C$4=""),"",IF(B2972&amp;""='経歴簿'!$C$4&amp;"",MAX($AG$4:AG2971)+1,""))</f>
        <v/>
      </c>
      <c r="AH2972" s="20">
        <f>IF(A2972="",0,IF(AND(OR('CSV抽出'!$C$4="",A2972&gt;='CSV抽出'!$C$4),OR('CSV抽出'!$C$5="",A2972&lt;='CSV抽出'!$C$5),OR('CSV抽出'!$C$6="すべて",'CSV抽出'!$C$6="",D2972='CSV抽出'!$C$6),OR('CSV抽出'!$C$7="",B2972&amp;""='CSV抽出'!$C$7&amp;"")),1,0))</f>
        <v/>
      </c>
      <c r="AI2972" s="20">
        <f>IF(AH2972=1,SUM($AH$5:AH2972),"")</f>
        <v/>
      </c>
      <c r="AJ2972" s="20">
        <f>IF(OR(S2972="",'報告書'!$C$4=""),"",IF(S2972&amp;""='報告書'!$C$4&amp;"",COUNTIF($S$5:S2972,'報告書'!$C$4),""))</f>
        <v/>
      </c>
      <c r="AK2972" s="20" t="n"/>
      <c r="AL2972" s="47" t="n"/>
      <c r="AM2972" s="47" t="n"/>
      <c r="AN2972" s="53" t="n"/>
      <c r="AO2972" s="47" t="n"/>
      <c r="AP2972" s="47" t="n"/>
      <c r="AQ2972" s="47" t="n"/>
      <c r="AR2972" s="47" t="n"/>
      <c r="AS2972" s="47" t="n"/>
      <c r="AT2972" s="47" t="n"/>
      <c r="AU2972" s="47" t="n"/>
      <c r="AV2972" s="47" t="n"/>
      <c r="AW2972" s="52" t="n"/>
    </row>
    <row r="2973">
      <c r="A2973" s="48" t="n"/>
      <c r="B2973" s="52" t="n"/>
      <c r="C2973" s="47">
        <f>IF(B2973="","",IFERROR(INDEX('隊員マスタ'!$B$5:$B$204,MATCH(B2973&amp;"",'隊員マスタ'!$F$5:$F$204,0)),IF(AK2973="","番号なし",AK2973)))</f>
        <v/>
      </c>
      <c r="D2973" s="47" t="n"/>
      <c r="E2973" s="47" t="n"/>
      <c r="F2973" s="47" t="n"/>
      <c r="G2973" s="47" t="n"/>
      <c r="H2973" s="47" t="n"/>
      <c r="I2973" s="47" t="n"/>
      <c r="J2973" s="47" t="n"/>
      <c r="K2973" s="47" t="n"/>
      <c r="L2973" s="47" t="n"/>
      <c r="M2973" s="47" t="n"/>
      <c r="N2973" s="47" t="n"/>
      <c r="O2973" s="47" t="n"/>
      <c r="P2973" s="47" t="n"/>
      <c r="Q2973" s="47" t="n"/>
      <c r="R2973" s="47" t="n"/>
      <c r="S2973" s="47" t="n"/>
      <c r="T2973" s="47" t="n"/>
      <c r="U2973" s="53" t="n"/>
      <c r="V2973" s="53" t="n"/>
      <c r="W2973" s="47" t="n"/>
      <c r="X2973" s="47" t="n"/>
      <c r="Y2973" s="47" t="n"/>
      <c r="Z2973" s="47" t="n"/>
      <c r="AA2973" s="47" t="n"/>
      <c r="AB2973" s="47" t="n"/>
      <c r="AC2973" s="47" t="n"/>
      <c r="AD2973" s="47" t="n"/>
      <c r="AE2973" s="47" t="n"/>
      <c r="AF2973" s="20">
        <f>IF(A2973="","",YEAR(EDATE(A2973,-3)))</f>
        <v/>
      </c>
      <c r="AG2973" s="20">
        <f>IF(OR(B2973="",'経歴簿'!$C$4=""),"",IF(B2973&amp;""='経歴簿'!$C$4&amp;"",MAX($AG$4:AG2972)+1,""))</f>
        <v/>
      </c>
      <c r="AH2973" s="20">
        <f>IF(A2973="",0,IF(AND(OR('CSV抽出'!$C$4="",A2973&gt;='CSV抽出'!$C$4),OR('CSV抽出'!$C$5="",A2973&lt;='CSV抽出'!$C$5),OR('CSV抽出'!$C$6="すべて",'CSV抽出'!$C$6="",D2973='CSV抽出'!$C$6),OR('CSV抽出'!$C$7="",B2973&amp;""='CSV抽出'!$C$7&amp;"")),1,0))</f>
        <v/>
      </c>
      <c r="AI2973" s="20">
        <f>IF(AH2973=1,SUM($AH$5:AH2973),"")</f>
        <v/>
      </c>
      <c r="AJ2973" s="20">
        <f>IF(OR(S2973="",'報告書'!$C$4=""),"",IF(S2973&amp;""='報告書'!$C$4&amp;"",COUNTIF($S$5:S2973,'報告書'!$C$4),""))</f>
        <v/>
      </c>
      <c r="AK2973" s="20" t="n"/>
      <c r="AL2973" s="47" t="n"/>
      <c r="AM2973" s="47" t="n"/>
      <c r="AN2973" s="53" t="n"/>
      <c r="AO2973" s="47" t="n"/>
      <c r="AP2973" s="47" t="n"/>
      <c r="AQ2973" s="47" t="n"/>
      <c r="AR2973" s="47" t="n"/>
      <c r="AS2973" s="47" t="n"/>
      <c r="AT2973" s="47" t="n"/>
      <c r="AU2973" s="47" t="n"/>
      <c r="AV2973" s="47" t="n"/>
      <c r="AW2973" s="52" t="n"/>
    </row>
    <row r="2974">
      <c r="A2974" s="48" t="n"/>
      <c r="B2974" s="52" t="n"/>
      <c r="C2974" s="47">
        <f>IF(B2974="","",IFERROR(INDEX('隊員マスタ'!$B$5:$B$204,MATCH(B2974&amp;"",'隊員マスタ'!$F$5:$F$204,0)),IF(AK2974="","番号なし",AK2974)))</f>
        <v/>
      </c>
      <c r="D2974" s="47" t="n"/>
      <c r="E2974" s="47" t="n"/>
      <c r="F2974" s="47" t="n"/>
      <c r="G2974" s="47" t="n"/>
      <c r="H2974" s="47" t="n"/>
      <c r="I2974" s="47" t="n"/>
      <c r="J2974" s="47" t="n"/>
      <c r="K2974" s="47" t="n"/>
      <c r="L2974" s="47" t="n"/>
      <c r="M2974" s="47" t="n"/>
      <c r="N2974" s="47" t="n"/>
      <c r="O2974" s="47" t="n"/>
      <c r="P2974" s="47" t="n"/>
      <c r="Q2974" s="47" t="n"/>
      <c r="R2974" s="47" t="n"/>
      <c r="S2974" s="47" t="n"/>
      <c r="T2974" s="47" t="n"/>
      <c r="U2974" s="53" t="n"/>
      <c r="V2974" s="53" t="n"/>
      <c r="W2974" s="47" t="n"/>
      <c r="X2974" s="47" t="n"/>
      <c r="Y2974" s="47" t="n"/>
      <c r="Z2974" s="47" t="n"/>
      <c r="AA2974" s="47" t="n"/>
      <c r="AB2974" s="47" t="n"/>
      <c r="AC2974" s="47" t="n"/>
      <c r="AD2974" s="47" t="n"/>
      <c r="AE2974" s="47" t="n"/>
      <c r="AF2974" s="20">
        <f>IF(A2974="","",YEAR(EDATE(A2974,-3)))</f>
        <v/>
      </c>
      <c r="AG2974" s="20">
        <f>IF(OR(B2974="",'経歴簿'!$C$4=""),"",IF(B2974&amp;""='経歴簿'!$C$4&amp;"",MAX($AG$4:AG2973)+1,""))</f>
        <v/>
      </c>
      <c r="AH2974" s="20">
        <f>IF(A2974="",0,IF(AND(OR('CSV抽出'!$C$4="",A2974&gt;='CSV抽出'!$C$4),OR('CSV抽出'!$C$5="",A2974&lt;='CSV抽出'!$C$5),OR('CSV抽出'!$C$6="すべて",'CSV抽出'!$C$6="",D2974='CSV抽出'!$C$6),OR('CSV抽出'!$C$7="",B2974&amp;""='CSV抽出'!$C$7&amp;"")),1,0))</f>
        <v/>
      </c>
      <c r="AI2974" s="20">
        <f>IF(AH2974=1,SUM($AH$5:AH2974),"")</f>
        <v/>
      </c>
      <c r="AJ2974" s="20">
        <f>IF(OR(S2974="",'報告書'!$C$4=""),"",IF(S2974&amp;""='報告書'!$C$4&amp;"",COUNTIF($S$5:S2974,'報告書'!$C$4),""))</f>
        <v/>
      </c>
      <c r="AK2974" s="20" t="n"/>
      <c r="AL2974" s="47" t="n"/>
      <c r="AM2974" s="47" t="n"/>
      <c r="AN2974" s="53" t="n"/>
      <c r="AO2974" s="47" t="n"/>
      <c r="AP2974" s="47" t="n"/>
      <c r="AQ2974" s="47" t="n"/>
      <c r="AR2974" s="47" t="n"/>
      <c r="AS2974" s="47" t="n"/>
      <c r="AT2974" s="47" t="n"/>
      <c r="AU2974" s="47" t="n"/>
      <c r="AV2974" s="47" t="n"/>
      <c r="AW2974" s="52" t="n"/>
    </row>
    <row r="2975">
      <c r="A2975" s="48" t="n"/>
      <c r="B2975" s="52" t="n"/>
      <c r="C2975" s="47">
        <f>IF(B2975="","",IFERROR(INDEX('隊員マスタ'!$B$5:$B$204,MATCH(B2975&amp;"",'隊員マスタ'!$F$5:$F$204,0)),IF(AK2975="","番号なし",AK2975)))</f>
        <v/>
      </c>
      <c r="D2975" s="47" t="n"/>
      <c r="E2975" s="47" t="n"/>
      <c r="F2975" s="47" t="n"/>
      <c r="G2975" s="47" t="n"/>
      <c r="H2975" s="47" t="n"/>
      <c r="I2975" s="47" t="n"/>
      <c r="J2975" s="47" t="n"/>
      <c r="K2975" s="47" t="n"/>
      <c r="L2975" s="47" t="n"/>
      <c r="M2975" s="47" t="n"/>
      <c r="N2975" s="47" t="n"/>
      <c r="O2975" s="47" t="n"/>
      <c r="P2975" s="47" t="n"/>
      <c r="Q2975" s="47" t="n"/>
      <c r="R2975" s="47" t="n"/>
      <c r="S2975" s="47" t="n"/>
      <c r="T2975" s="47" t="n"/>
      <c r="U2975" s="53" t="n"/>
      <c r="V2975" s="53" t="n"/>
      <c r="W2975" s="47" t="n"/>
      <c r="X2975" s="47" t="n"/>
      <c r="Y2975" s="47" t="n"/>
      <c r="Z2975" s="47" t="n"/>
      <c r="AA2975" s="47" t="n"/>
      <c r="AB2975" s="47" t="n"/>
      <c r="AC2975" s="47" t="n"/>
      <c r="AD2975" s="47" t="n"/>
      <c r="AE2975" s="47" t="n"/>
      <c r="AF2975" s="20">
        <f>IF(A2975="","",YEAR(EDATE(A2975,-3)))</f>
        <v/>
      </c>
      <c r="AG2975" s="20">
        <f>IF(OR(B2975="",'経歴簿'!$C$4=""),"",IF(B2975&amp;""='経歴簿'!$C$4&amp;"",MAX($AG$4:AG2974)+1,""))</f>
        <v/>
      </c>
      <c r="AH2975" s="20">
        <f>IF(A2975="",0,IF(AND(OR('CSV抽出'!$C$4="",A2975&gt;='CSV抽出'!$C$4),OR('CSV抽出'!$C$5="",A2975&lt;='CSV抽出'!$C$5),OR('CSV抽出'!$C$6="すべて",'CSV抽出'!$C$6="",D2975='CSV抽出'!$C$6),OR('CSV抽出'!$C$7="",B2975&amp;""='CSV抽出'!$C$7&amp;"")),1,0))</f>
        <v/>
      </c>
      <c r="AI2975" s="20">
        <f>IF(AH2975=1,SUM($AH$5:AH2975),"")</f>
        <v/>
      </c>
      <c r="AJ2975" s="20">
        <f>IF(OR(S2975="",'報告書'!$C$4=""),"",IF(S2975&amp;""='報告書'!$C$4&amp;"",COUNTIF($S$5:S2975,'報告書'!$C$4),""))</f>
        <v/>
      </c>
      <c r="AK2975" s="20" t="n"/>
      <c r="AL2975" s="47" t="n"/>
      <c r="AM2975" s="47" t="n"/>
      <c r="AN2975" s="53" t="n"/>
      <c r="AO2975" s="47" t="n"/>
      <c r="AP2975" s="47" t="n"/>
      <c r="AQ2975" s="47" t="n"/>
      <c r="AR2975" s="47" t="n"/>
      <c r="AS2975" s="47" t="n"/>
      <c r="AT2975" s="47" t="n"/>
      <c r="AU2975" s="47" t="n"/>
      <c r="AV2975" s="47" t="n"/>
      <c r="AW2975" s="52" t="n"/>
    </row>
    <row r="2976">
      <c r="A2976" s="48" t="n"/>
      <c r="B2976" s="52" t="n"/>
      <c r="C2976" s="47">
        <f>IF(B2976="","",IFERROR(INDEX('隊員マスタ'!$B$5:$B$204,MATCH(B2976&amp;"",'隊員マスタ'!$F$5:$F$204,0)),IF(AK2976="","番号なし",AK2976)))</f>
        <v/>
      </c>
      <c r="D2976" s="47" t="n"/>
      <c r="E2976" s="47" t="n"/>
      <c r="F2976" s="47" t="n"/>
      <c r="G2976" s="47" t="n"/>
      <c r="H2976" s="47" t="n"/>
      <c r="I2976" s="47" t="n"/>
      <c r="J2976" s="47" t="n"/>
      <c r="K2976" s="47" t="n"/>
      <c r="L2976" s="47" t="n"/>
      <c r="M2976" s="47" t="n"/>
      <c r="N2976" s="47" t="n"/>
      <c r="O2976" s="47" t="n"/>
      <c r="P2976" s="47" t="n"/>
      <c r="Q2976" s="47" t="n"/>
      <c r="R2976" s="47" t="n"/>
      <c r="S2976" s="47" t="n"/>
      <c r="T2976" s="47" t="n"/>
      <c r="U2976" s="53" t="n"/>
      <c r="V2976" s="53" t="n"/>
      <c r="W2976" s="47" t="n"/>
      <c r="X2976" s="47" t="n"/>
      <c r="Y2976" s="47" t="n"/>
      <c r="Z2976" s="47" t="n"/>
      <c r="AA2976" s="47" t="n"/>
      <c r="AB2976" s="47" t="n"/>
      <c r="AC2976" s="47" t="n"/>
      <c r="AD2976" s="47" t="n"/>
      <c r="AE2976" s="47" t="n"/>
      <c r="AF2976" s="20">
        <f>IF(A2976="","",YEAR(EDATE(A2976,-3)))</f>
        <v/>
      </c>
      <c r="AG2976" s="20">
        <f>IF(OR(B2976="",'経歴簿'!$C$4=""),"",IF(B2976&amp;""='経歴簿'!$C$4&amp;"",MAX($AG$4:AG2975)+1,""))</f>
        <v/>
      </c>
      <c r="AH2976" s="20">
        <f>IF(A2976="",0,IF(AND(OR('CSV抽出'!$C$4="",A2976&gt;='CSV抽出'!$C$4),OR('CSV抽出'!$C$5="",A2976&lt;='CSV抽出'!$C$5),OR('CSV抽出'!$C$6="すべて",'CSV抽出'!$C$6="",D2976='CSV抽出'!$C$6),OR('CSV抽出'!$C$7="",B2976&amp;""='CSV抽出'!$C$7&amp;"")),1,0))</f>
        <v/>
      </c>
      <c r="AI2976" s="20">
        <f>IF(AH2976=1,SUM($AH$5:AH2976),"")</f>
        <v/>
      </c>
      <c r="AJ2976" s="20">
        <f>IF(OR(S2976="",'報告書'!$C$4=""),"",IF(S2976&amp;""='報告書'!$C$4&amp;"",COUNTIF($S$5:S2976,'報告書'!$C$4),""))</f>
        <v/>
      </c>
      <c r="AK2976" s="20" t="n"/>
      <c r="AL2976" s="47" t="n"/>
      <c r="AM2976" s="47" t="n"/>
      <c r="AN2976" s="53" t="n"/>
      <c r="AO2976" s="47" t="n"/>
      <c r="AP2976" s="47" t="n"/>
      <c r="AQ2976" s="47" t="n"/>
      <c r="AR2976" s="47" t="n"/>
      <c r="AS2976" s="47" t="n"/>
      <c r="AT2976" s="47" t="n"/>
      <c r="AU2976" s="47" t="n"/>
      <c r="AV2976" s="47" t="n"/>
      <c r="AW2976" s="52" t="n"/>
    </row>
    <row r="2977">
      <c r="A2977" s="48" t="n"/>
      <c r="B2977" s="52" t="n"/>
      <c r="C2977" s="47">
        <f>IF(B2977="","",IFERROR(INDEX('隊員マスタ'!$B$5:$B$204,MATCH(B2977&amp;"",'隊員マスタ'!$F$5:$F$204,0)),IF(AK2977="","番号なし",AK2977)))</f>
        <v/>
      </c>
      <c r="D2977" s="47" t="n"/>
      <c r="E2977" s="47" t="n"/>
      <c r="F2977" s="47" t="n"/>
      <c r="G2977" s="47" t="n"/>
      <c r="H2977" s="47" t="n"/>
      <c r="I2977" s="47" t="n"/>
      <c r="J2977" s="47" t="n"/>
      <c r="K2977" s="47" t="n"/>
      <c r="L2977" s="47" t="n"/>
      <c r="M2977" s="47" t="n"/>
      <c r="N2977" s="47" t="n"/>
      <c r="O2977" s="47" t="n"/>
      <c r="P2977" s="47" t="n"/>
      <c r="Q2977" s="47" t="n"/>
      <c r="R2977" s="47" t="n"/>
      <c r="S2977" s="47" t="n"/>
      <c r="T2977" s="47" t="n"/>
      <c r="U2977" s="53" t="n"/>
      <c r="V2977" s="53" t="n"/>
      <c r="W2977" s="47" t="n"/>
      <c r="X2977" s="47" t="n"/>
      <c r="Y2977" s="47" t="n"/>
      <c r="Z2977" s="47" t="n"/>
      <c r="AA2977" s="47" t="n"/>
      <c r="AB2977" s="47" t="n"/>
      <c r="AC2977" s="47" t="n"/>
      <c r="AD2977" s="47" t="n"/>
      <c r="AE2977" s="47" t="n"/>
      <c r="AF2977" s="20">
        <f>IF(A2977="","",YEAR(EDATE(A2977,-3)))</f>
        <v/>
      </c>
      <c r="AG2977" s="20">
        <f>IF(OR(B2977="",'経歴簿'!$C$4=""),"",IF(B2977&amp;""='経歴簿'!$C$4&amp;"",MAX($AG$4:AG2976)+1,""))</f>
        <v/>
      </c>
      <c r="AH2977" s="20">
        <f>IF(A2977="",0,IF(AND(OR('CSV抽出'!$C$4="",A2977&gt;='CSV抽出'!$C$4),OR('CSV抽出'!$C$5="",A2977&lt;='CSV抽出'!$C$5),OR('CSV抽出'!$C$6="すべて",'CSV抽出'!$C$6="",D2977='CSV抽出'!$C$6),OR('CSV抽出'!$C$7="",B2977&amp;""='CSV抽出'!$C$7&amp;"")),1,0))</f>
        <v/>
      </c>
      <c r="AI2977" s="20">
        <f>IF(AH2977=1,SUM($AH$5:AH2977),"")</f>
        <v/>
      </c>
      <c r="AJ2977" s="20">
        <f>IF(OR(S2977="",'報告書'!$C$4=""),"",IF(S2977&amp;""='報告書'!$C$4&amp;"",COUNTIF($S$5:S2977,'報告書'!$C$4),""))</f>
        <v/>
      </c>
      <c r="AK2977" s="20" t="n"/>
      <c r="AL2977" s="47" t="n"/>
      <c r="AM2977" s="47" t="n"/>
      <c r="AN2977" s="53" t="n"/>
      <c r="AO2977" s="47" t="n"/>
      <c r="AP2977" s="47" t="n"/>
      <c r="AQ2977" s="47" t="n"/>
      <c r="AR2977" s="47" t="n"/>
      <c r="AS2977" s="47" t="n"/>
      <c r="AT2977" s="47" t="n"/>
      <c r="AU2977" s="47" t="n"/>
      <c r="AV2977" s="47" t="n"/>
      <c r="AW2977" s="52" t="n"/>
    </row>
    <row r="2978">
      <c r="A2978" s="48" t="n"/>
      <c r="B2978" s="52" t="n"/>
      <c r="C2978" s="47">
        <f>IF(B2978="","",IFERROR(INDEX('隊員マスタ'!$B$5:$B$204,MATCH(B2978&amp;"",'隊員マスタ'!$F$5:$F$204,0)),IF(AK2978="","番号なし",AK2978)))</f>
        <v/>
      </c>
      <c r="D2978" s="47" t="n"/>
      <c r="E2978" s="47" t="n"/>
      <c r="F2978" s="47" t="n"/>
      <c r="G2978" s="47" t="n"/>
      <c r="H2978" s="47" t="n"/>
      <c r="I2978" s="47" t="n"/>
      <c r="J2978" s="47" t="n"/>
      <c r="K2978" s="47" t="n"/>
      <c r="L2978" s="47" t="n"/>
      <c r="M2978" s="47" t="n"/>
      <c r="N2978" s="47" t="n"/>
      <c r="O2978" s="47" t="n"/>
      <c r="P2978" s="47" t="n"/>
      <c r="Q2978" s="47" t="n"/>
      <c r="R2978" s="47" t="n"/>
      <c r="S2978" s="47" t="n"/>
      <c r="T2978" s="47" t="n"/>
      <c r="U2978" s="53" t="n"/>
      <c r="V2978" s="53" t="n"/>
      <c r="W2978" s="47" t="n"/>
      <c r="X2978" s="47" t="n"/>
      <c r="Y2978" s="47" t="n"/>
      <c r="Z2978" s="47" t="n"/>
      <c r="AA2978" s="47" t="n"/>
      <c r="AB2978" s="47" t="n"/>
      <c r="AC2978" s="47" t="n"/>
      <c r="AD2978" s="47" t="n"/>
      <c r="AE2978" s="47" t="n"/>
      <c r="AF2978" s="20">
        <f>IF(A2978="","",YEAR(EDATE(A2978,-3)))</f>
        <v/>
      </c>
      <c r="AG2978" s="20">
        <f>IF(OR(B2978="",'経歴簿'!$C$4=""),"",IF(B2978&amp;""='経歴簿'!$C$4&amp;"",MAX($AG$4:AG2977)+1,""))</f>
        <v/>
      </c>
      <c r="AH2978" s="20">
        <f>IF(A2978="",0,IF(AND(OR('CSV抽出'!$C$4="",A2978&gt;='CSV抽出'!$C$4),OR('CSV抽出'!$C$5="",A2978&lt;='CSV抽出'!$C$5),OR('CSV抽出'!$C$6="すべて",'CSV抽出'!$C$6="",D2978='CSV抽出'!$C$6),OR('CSV抽出'!$C$7="",B2978&amp;""='CSV抽出'!$C$7&amp;"")),1,0))</f>
        <v/>
      </c>
      <c r="AI2978" s="20">
        <f>IF(AH2978=1,SUM($AH$5:AH2978),"")</f>
        <v/>
      </c>
      <c r="AJ2978" s="20">
        <f>IF(OR(S2978="",'報告書'!$C$4=""),"",IF(S2978&amp;""='報告書'!$C$4&amp;"",COUNTIF($S$5:S2978,'報告書'!$C$4),""))</f>
        <v/>
      </c>
      <c r="AK2978" s="20" t="n"/>
      <c r="AL2978" s="47" t="n"/>
      <c r="AM2978" s="47" t="n"/>
      <c r="AN2978" s="53" t="n"/>
      <c r="AO2978" s="47" t="n"/>
      <c r="AP2978" s="47" t="n"/>
      <c r="AQ2978" s="47" t="n"/>
      <c r="AR2978" s="47" t="n"/>
      <c r="AS2978" s="47" t="n"/>
      <c r="AT2978" s="47" t="n"/>
      <c r="AU2978" s="47" t="n"/>
      <c r="AV2978" s="47" t="n"/>
      <c r="AW2978" s="52" t="n"/>
    </row>
    <row r="2979">
      <c r="A2979" s="48" t="n"/>
      <c r="B2979" s="52" t="n"/>
      <c r="C2979" s="47">
        <f>IF(B2979="","",IFERROR(INDEX('隊員マスタ'!$B$5:$B$204,MATCH(B2979&amp;"",'隊員マスタ'!$F$5:$F$204,0)),IF(AK2979="","番号なし",AK2979)))</f>
        <v/>
      </c>
      <c r="D2979" s="47" t="n"/>
      <c r="E2979" s="47" t="n"/>
      <c r="F2979" s="47" t="n"/>
      <c r="G2979" s="47" t="n"/>
      <c r="H2979" s="47" t="n"/>
      <c r="I2979" s="47" t="n"/>
      <c r="J2979" s="47" t="n"/>
      <c r="K2979" s="47" t="n"/>
      <c r="L2979" s="47" t="n"/>
      <c r="M2979" s="47" t="n"/>
      <c r="N2979" s="47" t="n"/>
      <c r="O2979" s="47" t="n"/>
      <c r="P2979" s="47" t="n"/>
      <c r="Q2979" s="47" t="n"/>
      <c r="R2979" s="47" t="n"/>
      <c r="S2979" s="47" t="n"/>
      <c r="T2979" s="47" t="n"/>
      <c r="U2979" s="53" t="n"/>
      <c r="V2979" s="53" t="n"/>
      <c r="W2979" s="47" t="n"/>
      <c r="X2979" s="47" t="n"/>
      <c r="Y2979" s="47" t="n"/>
      <c r="Z2979" s="47" t="n"/>
      <c r="AA2979" s="47" t="n"/>
      <c r="AB2979" s="47" t="n"/>
      <c r="AC2979" s="47" t="n"/>
      <c r="AD2979" s="47" t="n"/>
      <c r="AE2979" s="47" t="n"/>
      <c r="AF2979" s="20">
        <f>IF(A2979="","",YEAR(EDATE(A2979,-3)))</f>
        <v/>
      </c>
      <c r="AG2979" s="20">
        <f>IF(OR(B2979="",'経歴簿'!$C$4=""),"",IF(B2979&amp;""='経歴簿'!$C$4&amp;"",MAX($AG$4:AG2978)+1,""))</f>
        <v/>
      </c>
      <c r="AH2979" s="20">
        <f>IF(A2979="",0,IF(AND(OR('CSV抽出'!$C$4="",A2979&gt;='CSV抽出'!$C$4),OR('CSV抽出'!$C$5="",A2979&lt;='CSV抽出'!$C$5),OR('CSV抽出'!$C$6="すべて",'CSV抽出'!$C$6="",D2979='CSV抽出'!$C$6),OR('CSV抽出'!$C$7="",B2979&amp;""='CSV抽出'!$C$7&amp;"")),1,0))</f>
        <v/>
      </c>
      <c r="AI2979" s="20">
        <f>IF(AH2979=1,SUM($AH$5:AH2979),"")</f>
        <v/>
      </c>
      <c r="AJ2979" s="20">
        <f>IF(OR(S2979="",'報告書'!$C$4=""),"",IF(S2979&amp;""='報告書'!$C$4&amp;"",COUNTIF($S$5:S2979,'報告書'!$C$4),""))</f>
        <v/>
      </c>
      <c r="AK2979" s="20" t="n"/>
      <c r="AL2979" s="47" t="n"/>
      <c r="AM2979" s="47" t="n"/>
      <c r="AN2979" s="53" t="n"/>
      <c r="AO2979" s="47" t="n"/>
      <c r="AP2979" s="47" t="n"/>
      <c r="AQ2979" s="47" t="n"/>
      <c r="AR2979" s="47" t="n"/>
      <c r="AS2979" s="47" t="n"/>
      <c r="AT2979" s="47" t="n"/>
      <c r="AU2979" s="47" t="n"/>
      <c r="AV2979" s="47" t="n"/>
      <c r="AW2979" s="52" t="n"/>
    </row>
    <row r="2980">
      <c r="A2980" s="48" t="n"/>
      <c r="B2980" s="52" t="n"/>
      <c r="C2980" s="47">
        <f>IF(B2980="","",IFERROR(INDEX('隊員マスタ'!$B$5:$B$204,MATCH(B2980&amp;"",'隊員マスタ'!$F$5:$F$204,0)),IF(AK2980="","番号なし",AK2980)))</f>
        <v/>
      </c>
      <c r="D2980" s="47" t="n"/>
      <c r="E2980" s="47" t="n"/>
      <c r="F2980" s="47" t="n"/>
      <c r="G2980" s="47" t="n"/>
      <c r="H2980" s="47" t="n"/>
      <c r="I2980" s="47" t="n"/>
      <c r="J2980" s="47" t="n"/>
      <c r="K2980" s="47" t="n"/>
      <c r="L2980" s="47" t="n"/>
      <c r="M2980" s="47" t="n"/>
      <c r="N2980" s="47" t="n"/>
      <c r="O2980" s="47" t="n"/>
      <c r="P2980" s="47" t="n"/>
      <c r="Q2980" s="47" t="n"/>
      <c r="R2980" s="47" t="n"/>
      <c r="S2980" s="47" t="n"/>
      <c r="T2980" s="47" t="n"/>
      <c r="U2980" s="53" t="n"/>
      <c r="V2980" s="53" t="n"/>
      <c r="W2980" s="47" t="n"/>
      <c r="X2980" s="47" t="n"/>
      <c r="Y2980" s="47" t="n"/>
      <c r="Z2980" s="47" t="n"/>
      <c r="AA2980" s="47" t="n"/>
      <c r="AB2980" s="47" t="n"/>
      <c r="AC2980" s="47" t="n"/>
      <c r="AD2980" s="47" t="n"/>
      <c r="AE2980" s="47" t="n"/>
      <c r="AF2980" s="20">
        <f>IF(A2980="","",YEAR(EDATE(A2980,-3)))</f>
        <v/>
      </c>
      <c r="AG2980" s="20">
        <f>IF(OR(B2980="",'経歴簿'!$C$4=""),"",IF(B2980&amp;""='経歴簿'!$C$4&amp;"",MAX($AG$4:AG2979)+1,""))</f>
        <v/>
      </c>
      <c r="AH2980" s="20">
        <f>IF(A2980="",0,IF(AND(OR('CSV抽出'!$C$4="",A2980&gt;='CSV抽出'!$C$4),OR('CSV抽出'!$C$5="",A2980&lt;='CSV抽出'!$C$5),OR('CSV抽出'!$C$6="すべて",'CSV抽出'!$C$6="",D2980='CSV抽出'!$C$6),OR('CSV抽出'!$C$7="",B2980&amp;""='CSV抽出'!$C$7&amp;"")),1,0))</f>
        <v/>
      </c>
      <c r="AI2980" s="20">
        <f>IF(AH2980=1,SUM($AH$5:AH2980),"")</f>
        <v/>
      </c>
      <c r="AJ2980" s="20">
        <f>IF(OR(S2980="",'報告書'!$C$4=""),"",IF(S2980&amp;""='報告書'!$C$4&amp;"",COUNTIF($S$5:S2980,'報告書'!$C$4),""))</f>
        <v/>
      </c>
      <c r="AK2980" s="20" t="n"/>
      <c r="AL2980" s="47" t="n"/>
      <c r="AM2980" s="47" t="n"/>
      <c r="AN2980" s="53" t="n"/>
      <c r="AO2980" s="47" t="n"/>
      <c r="AP2980" s="47" t="n"/>
      <c r="AQ2980" s="47" t="n"/>
      <c r="AR2980" s="47" t="n"/>
      <c r="AS2980" s="47" t="n"/>
      <c r="AT2980" s="47" t="n"/>
      <c r="AU2980" s="47" t="n"/>
      <c r="AV2980" s="47" t="n"/>
      <c r="AW2980" s="52" t="n"/>
    </row>
    <row r="2981">
      <c r="A2981" s="48" t="n"/>
      <c r="B2981" s="52" t="n"/>
      <c r="C2981" s="47">
        <f>IF(B2981="","",IFERROR(INDEX('隊員マスタ'!$B$5:$B$204,MATCH(B2981&amp;"",'隊員マスタ'!$F$5:$F$204,0)),IF(AK2981="","番号なし",AK2981)))</f>
        <v/>
      </c>
      <c r="D2981" s="47" t="n"/>
      <c r="E2981" s="47" t="n"/>
      <c r="F2981" s="47" t="n"/>
      <c r="G2981" s="47" t="n"/>
      <c r="H2981" s="47" t="n"/>
      <c r="I2981" s="47" t="n"/>
      <c r="J2981" s="47" t="n"/>
      <c r="K2981" s="47" t="n"/>
      <c r="L2981" s="47" t="n"/>
      <c r="M2981" s="47" t="n"/>
      <c r="N2981" s="47" t="n"/>
      <c r="O2981" s="47" t="n"/>
      <c r="P2981" s="47" t="n"/>
      <c r="Q2981" s="47" t="n"/>
      <c r="R2981" s="47" t="n"/>
      <c r="S2981" s="47" t="n"/>
      <c r="T2981" s="47" t="n"/>
      <c r="U2981" s="53" t="n"/>
      <c r="V2981" s="53" t="n"/>
      <c r="W2981" s="47" t="n"/>
      <c r="X2981" s="47" t="n"/>
      <c r="Y2981" s="47" t="n"/>
      <c r="Z2981" s="47" t="n"/>
      <c r="AA2981" s="47" t="n"/>
      <c r="AB2981" s="47" t="n"/>
      <c r="AC2981" s="47" t="n"/>
      <c r="AD2981" s="47" t="n"/>
      <c r="AE2981" s="47" t="n"/>
      <c r="AF2981" s="20">
        <f>IF(A2981="","",YEAR(EDATE(A2981,-3)))</f>
        <v/>
      </c>
      <c r="AG2981" s="20">
        <f>IF(OR(B2981="",'経歴簿'!$C$4=""),"",IF(B2981&amp;""='経歴簿'!$C$4&amp;"",MAX($AG$4:AG2980)+1,""))</f>
        <v/>
      </c>
      <c r="AH2981" s="20">
        <f>IF(A2981="",0,IF(AND(OR('CSV抽出'!$C$4="",A2981&gt;='CSV抽出'!$C$4),OR('CSV抽出'!$C$5="",A2981&lt;='CSV抽出'!$C$5),OR('CSV抽出'!$C$6="すべて",'CSV抽出'!$C$6="",D2981='CSV抽出'!$C$6),OR('CSV抽出'!$C$7="",B2981&amp;""='CSV抽出'!$C$7&amp;"")),1,0))</f>
        <v/>
      </c>
      <c r="AI2981" s="20">
        <f>IF(AH2981=1,SUM($AH$5:AH2981),"")</f>
        <v/>
      </c>
      <c r="AJ2981" s="20">
        <f>IF(OR(S2981="",'報告書'!$C$4=""),"",IF(S2981&amp;""='報告書'!$C$4&amp;"",COUNTIF($S$5:S2981,'報告書'!$C$4),""))</f>
        <v/>
      </c>
      <c r="AK2981" s="20" t="n"/>
      <c r="AL2981" s="47" t="n"/>
      <c r="AM2981" s="47" t="n"/>
      <c r="AN2981" s="53" t="n"/>
      <c r="AO2981" s="47" t="n"/>
      <c r="AP2981" s="47" t="n"/>
      <c r="AQ2981" s="47" t="n"/>
      <c r="AR2981" s="47" t="n"/>
      <c r="AS2981" s="47" t="n"/>
      <c r="AT2981" s="47" t="n"/>
      <c r="AU2981" s="47" t="n"/>
      <c r="AV2981" s="47" t="n"/>
      <c r="AW2981" s="52" t="n"/>
    </row>
    <row r="2982">
      <c r="A2982" s="48" t="n"/>
      <c r="B2982" s="52" t="n"/>
      <c r="C2982" s="47">
        <f>IF(B2982="","",IFERROR(INDEX('隊員マスタ'!$B$5:$B$204,MATCH(B2982&amp;"",'隊員マスタ'!$F$5:$F$204,0)),IF(AK2982="","番号なし",AK2982)))</f>
        <v/>
      </c>
      <c r="D2982" s="47" t="n"/>
      <c r="E2982" s="47" t="n"/>
      <c r="F2982" s="47" t="n"/>
      <c r="G2982" s="47" t="n"/>
      <c r="H2982" s="47" t="n"/>
      <c r="I2982" s="47" t="n"/>
      <c r="J2982" s="47" t="n"/>
      <c r="K2982" s="47" t="n"/>
      <c r="L2982" s="47" t="n"/>
      <c r="M2982" s="47" t="n"/>
      <c r="N2982" s="47" t="n"/>
      <c r="O2982" s="47" t="n"/>
      <c r="P2982" s="47" t="n"/>
      <c r="Q2982" s="47" t="n"/>
      <c r="R2982" s="47" t="n"/>
      <c r="S2982" s="47" t="n"/>
      <c r="T2982" s="47" t="n"/>
      <c r="U2982" s="53" t="n"/>
      <c r="V2982" s="53" t="n"/>
      <c r="W2982" s="47" t="n"/>
      <c r="X2982" s="47" t="n"/>
      <c r="Y2982" s="47" t="n"/>
      <c r="Z2982" s="47" t="n"/>
      <c r="AA2982" s="47" t="n"/>
      <c r="AB2982" s="47" t="n"/>
      <c r="AC2982" s="47" t="n"/>
      <c r="AD2982" s="47" t="n"/>
      <c r="AE2982" s="47" t="n"/>
      <c r="AF2982" s="20">
        <f>IF(A2982="","",YEAR(EDATE(A2982,-3)))</f>
        <v/>
      </c>
      <c r="AG2982" s="20">
        <f>IF(OR(B2982="",'経歴簿'!$C$4=""),"",IF(B2982&amp;""='経歴簿'!$C$4&amp;"",MAX($AG$4:AG2981)+1,""))</f>
        <v/>
      </c>
      <c r="AH2982" s="20">
        <f>IF(A2982="",0,IF(AND(OR('CSV抽出'!$C$4="",A2982&gt;='CSV抽出'!$C$4),OR('CSV抽出'!$C$5="",A2982&lt;='CSV抽出'!$C$5),OR('CSV抽出'!$C$6="すべて",'CSV抽出'!$C$6="",D2982='CSV抽出'!$C$6),OR('CSV抽出'!$C$7="",B2982&amp;""='CSV抽出'!$C$7&amp;"")),1,0))</f>
        <v/>
      </c>
      <c r="AI2982" s="20">
        <f>IF(AH2982=1,SUM($AH$5:AH2982),"")</f>
        <v/>
      </c>
      <c r="AJ2982" s="20">
        <f>IF(OR(S2982="",'報告書'!$C$4=""),"",IF(S2982&amp;""='報告書'!$C$4&amp;"",COUNTIF($S$5:S2982,'報告書'!$C$4),""))</f>
        <v/>
      </c>
      <c r="AK2982" s="20" t="n"/>
      <c r="AL2982" s="47" t="n"/>
      <c r="AM2982" s="47" t="n"/>
      <c r="AN2982" s="53" t="n"/>
      <c r="AO2982" s="47" t="n"/>
      <c r="AP2982" s="47" t="n"/>
      <c r="AQ2982" s="47" t="n"/>
      <c r="AR2982" s="47" t="n"/>
      <c r="AS2982" s="47" t="n"/>
      <c r="AT2982" s="47" t="n"/>
      <c r="AU2982" s="47" t="n"/>
      <c r="AV2982" s="47" t="n"/>
      <c r="AW2982" s="52" t="n"/>
    </row>
    <row r="2983">
      <c r="A2983" s="48" t="n"/>
      <c r="B2983" s="52" t="n"/>
      <c r="C2983" s="47">
        <f>IF(B2983="","",IFERROR(INDEX('隊員マスタ'!$B$5:$B$204,MATCH(B2983&amp;"",'隊員マスタ'!$F$5:$F$204,0)),IF(AK2983="","番号なし",AK2983)))</f>
        <v/>
      </c>
      <c r="D2983" s="47" t="n"/>
      <c r="E2983" s="47" t="n"/>
      <c r="F2983" s="47" t="n"/>
      <c r="G2983" s="47" t="n"/>
      <c r="H2983" s="47" t="n"/>
      <c r="I2983" s="47" t="n"/>
      <c r="J2983" s="47" t="n"/>
      <c r="K2983" s="47" t="n"/>
      <c r="L2983" s="47" t="n"/>
      <c r="M2983" s="47" t="n"/>
      <c r="N2983" s="47" t="n"/>
      <c r="O2983" s="47" t="n"/>
      <c r="P2983" s="47" t="n"/>
      <c r="Q2983" s="47" t="n"/>
      <c r="R2983" s="47" t="n"/>
      <c r="S2983" s="47" t="n"/>
      <c r="T2983" s="47" t="n"/>
      <c r="U2983" s="53" t="n"/>
      <c r="V2983" s="53" t="n"/>
      <c r="W2983" s="47" t="n"/>
      <c r="X2983" s="47" t="n"/>
      <c r="Y2983" s="47" t="n"/>
      <c r="Z2983" s="47" t="n"/>
      <c r="AA2983" s="47" t="n"/>
      <c r="AB2983" s="47" t="n"/>
      <c r="AC2983" s="47" t="n"/>
      <c r="AD2983" s="47" t="n"/>
      <c r="AE2983" s="47" t="n"/>
      <c r="AF2983" s="20">
        <f>IF(A2983="","",YEAR(EDATE(A2983,-3)))</f>
        <v/>
      </c>
      <c r="AG2983" s="20">
        <f>IF(OR(B2983="",'経歴簿'!$C$4=""),"",IF(B2983&amp;""='経歴簿'!$C$4&amp;"",MAX($AG$4:AG2982)+1,""))</f>
        <v/>
      </c>
      <c r="AH2983" s="20">
        <f>IF(A2983="",0,IF(AND(OR('CSV抽出'!$C$4="",A2983&gt;='CSV抽出'!$C$4),OR('CSV抽出'!$C$5="",A2983&lt;='CSV抽出'!$C$5),OR('CSV抽出'!$C$6="すべて",'CSV抽出'!$C$6="",D2983='CSV抽出'!$C$6),OR('CSV抽出'!$C$7="",B2983&amp;""='CSV抽出'!$C$7&amp;"")),1,0))</f>
        <v/>
      </c>
      <c r="AI2983" s="20">
        <f>IF(AH2983=1,SUM($AH$5:AH2983),"")</f>
        <v/>
      </c>
      <c r="AJ2983" s="20">
        <f>IF(OR(S2983="",'報告書'!$C$4=""),"",IF(S2983&amp;""='報告書'!$C$4&amp;"",COUNTIF($S$5:S2983,'報告書'!$C$4),""))</f>
        <v/>
      </c>
      <c r="AK2983" s="20" t="n"/>
      <c r="AL2983" s="47" t="n"/>
      <c r="AM2983" s="47" t="n"/>
      <c r="AN2983" s="53" t="n"/>
      <c r="AO2983" s="47" t="n"/>
      <c r="AP2983" s="47" t="n"/>
      <c r="AQ2983" s="47" t="n"/>
      <c r="AR2983" s="47" t="n"/>
      <c r="AS2983" s="47" t="n"/>
      <c r="AT2983" s="47" t="n"/>
      <c r="AU2983" s="47" t="n"/>
      <c r="AV2983" s="47" t="n"/>
      <c r="AW2983" s="52" t="n"/>
    </row>
    <row r="2984">
      <c r="A2984" s="48" t="n"/>
      <c r="B2984" s="52" t="n"/>
      <c r="C2984" s="47">
        <f>IF(B2984="","",IFERROR(INDEX('隊員マスタ'!$B$5:$B$204,MATCH(B2984&amp;"",'隊員マスタ'!$F$5:$F$204,0)),IF(AK2984="","番号なし",AK2984)))</f>
        <v/>
      </c>
      <c r="D2984" s="47" t="n"/>
      <c r="E2984" s="47" t="n"/>
      <c r="F2984" s="47" t="n"/>
      <c r="G2984" s="47" t="n"/>
      <c r="H2984" s="47" t="n"/>
      <c r="I2984" s="47" t="n"/>
      <c r="J2984" s="47" t="n"/>
      <c r="K2984" s="47" t="n"/>
      <c r="L2984" s="47" t="n"/>
      <c r="M2984" s="47" t="n"/>
      <c r="N2984" s="47" t="n"/>
      <c r="O2984" s="47" t="n"/>
      <c r="P2984" s="47" t="n"/>
      <c r="Q2984" s="47" t="n"/>
      <c r="R2984" s="47" t="n"/>
      <c r="S2984" s="47" t="n"/>
      <c r="T2984" s="47" t="n"/>
      <c r="U2984" s="53" t="n"/>
      <c r="V2984" s="53" t="n"/>
      <c r="W2984" s="47" t="n"/>
      <c r="X2984" s="47" t="n"/>
      <c r="Y2984" s="47" t="n"/>
      <c r="Z2984" s="47" t="n"/>
      <c r="AA2984" s="47" t="n"/>
      <c r="AB2984" s="47" t="n"/>
      <c r="AC2984" s="47" t="n"/>
      <c r="AD2984" s="47" t="n"/>
      <c r="AE2984" s="47" t="n"/>
      <c r="AF2984" s="20">
        <f>IF(A2984="","",YEAR(EDATE(A2984,-3)))</f>
        <v/>
      </c>
      <c r="AG2984" s="20">
        <f>IF(OR(B2984="",'経歴簿'!$C$4=""),"",IF(B2984&amp;""='経歴簿'!$C$4&amp;"",MAX($AG$4:AG2983)+1,""))</f>
        <v/>
      </c>
      <c r="AH2984" s="20">
        <f>IF(A2984="",0,IF(AND(OR('CSV抽出'!$C$4="",A2984&gt;='CSV抽出'!$C$4),OR('CSV抽出'!$C$5="",A2984&lt;='CSV抽出'!$C$5),OR('CSV抽出'!$C$6="すべて",'CSV抽出'!$C$6="",D2984='CSV抽出'!$C$6),OR('CSV抽出'!$C$7="",B2984&amp;""='CSV抽出'!$C$7&amp;"")),1,0))</f>
        <v/>
      </c>
      <c r="AI2984" s="20">
        <f>IF(AH2984=1,SUM($AH$5:AH2984),"")</f>
        <v/>
      </c>
      <c r="AJ2984" s="20">
        <f>IF(OR(S2984="",'報告書'!$C$4=""),"",IF(S2984&amp;""='報告書'!$C$4&amp;"",COUNTIF($S$5:S2984,'報告書'!$C$4),""))</f>
        <v/>
      </c>
      <c r="AK2984" s="20" t="n"/>
      <c r="AL2984" s="47" t="n"/>
      <c r="AM2984" s="47" t="n"/>
      <c r="AN2984" s="53" t="n"/>
      <c r="AO2984" s="47" t="n"/>
      <c r="AP2984" s="47" t="n"/>
      <c r="AQ2984" s="47" t="n"/>
      <c r="AR2984" s="47" t="n"/>
      <c r="AS2984" s="47" t="n"/>
      <c r="AT2984" s="47" t="n"/>
      <c r="AU2984" s="47" t="n"/>
      <c r="AV2984" s="47" t="n"/>
      <c r="AW2984" s="52" t="n"/>
    </row>
    <row r="2985">
      <c r="A2985" s="48" t="n"/>
      <c r="B2985" s="52" t="n"/>
      <c r="C2985" s="47">
        <f>IF(B2985="","",IFERROR(INDEX('隊員マスタ'!$B$5:$B$204,MATCH(B2985&amp;"",'隊員マスタ'!$F$5:$F$204,0)),IF(AK2985="","番号なし",AK2985)))</f>
        <v/>
      </c>
      <c r="D2985" s="47" t="n"/>
      <c r="E2985" s="47" t="n"/>
      <c r="F2985" s="47" t="n"/>
      <c r="G2985" s="47" t="n"/>
      <c r="H2985" s="47" t="n"/>
      <c r="I2985" s="47" t="n"/>
      <c r="J2985" s="47" t="n"/>
      <c r="K2985" s="47" t="n"/>
      <c r="L2985" s="47" t="n"/>
      <c r="M2985" s="47" t="n"/>
      <c r="N2985" s="47" t="n"/>
      <c r="O2985" s="47" t="n"/>
      <c r="P2985" s="47" t="n"/>
      <c r="Q2985" s="47" t="n"/>
      <c r="R2985" s="47" t="n"/>
      <c r="S2985" s="47" t="n"/>
      <c r="T2985" s="47" t="n"/>
      <c r="U2985" s="53" t="n"/>
      <c r="V2985" s="53" t="n"/>
      <c r="W2985" s="47" t="n"/>
      <c r="X2985" s="47" t="n"/>
      <c r="Y2985" s="47" t="n"/>
      <c r="Z2985" s="47" t="n"/>
      <c r="AA2985" s="47" t="n"/>
      <c r="AB2985" s="47" t="n"/>
      <c r="AC2985" s="47" t="n"/>
      <c r="AD2985" s="47" t="n"/>
      <c r="AE2985" s="47" t="n"/>
      <c r="AF2985" s="20">
        <f>IF(A2985="","",YEAR(EDATE(A2985,-3)))</f>
        <v/>
      </c>
      <c r="AG2985" s="20">
        <f>IF(OR(B2985="",'経歴簿'!$C$4=""),"",IF(B2985&amp;""='経歴簿'!$C$4&amp;"",MAX($AG$4:AG2984)+1,""))</f>
        <v/>
      </c>
      <c r="AH2985" s="20">
        <f>IF(A2985="",0,IF(AND(OR('CSV抽出'!$C$4="",A2985&gt;='CSV抽出'!$C$4),OR('CSV抽出'!$C$5="",A2985&lt;='CSV抽出'!$C$5),OR('CSV抽出'!$C$6="すべて",'CSV抽出'!$C$6="",D2985='CSV抽出'!$C$6),OR('CSV抽出'!$C$7="",B2985&amp;""='CSV抽出'!$C$7&amp;"")),1,0))</f>
        <v/>
      </c>
      <c r="AI2985" s="20">
        <f>IF(AH2985=1,SUM($AH$5:AH2985),"")</f>
        <v/>
      </c>
      <c r="AJ2985" s="20">
        <f>IF(OR(S2985="",'報告書'!$C$4=""),"",IF(S2985&amp;""='報告書'!$C$4&amp;"",COUNTIF($S$5:S2985,'報告書'!$C$4),""))</f>
        <v/>
      </c>
      <c r="AK2985" s="20" t="n"/>
      <c r="AL2985" s="47" t="n"/>
      <c r="AM2985" s="47" t="n"/>
      <c r="AN2985" s="53" t="n"/>
      <c r="AO2985" s="47" t="n"/>
      <c r="AP2985" s="47" t="n"/>
      <c r="AQ2985" s="47" t="n"/>
      <c r="AR2985" s="47" t="n"/>
      <c r="AS2985" s="47" t="n"/>
      <c r="AT2985" s="47" t="n"/>
      <c r="AU2985" s="47" t="n"/>
      <c r="AV2985" s="47" t="n"/>
      <c r="AW2985" s="52" t="n"/>
    </row>
    <row r="2986">
      <c r="A2986" s="48" t="n"/>
      <c r="B2986" s="52" t="n"/>
      <c r="C2986" s="47">
        <f>IF(B2986="","",IFERROR(INDEX('隊員マスタ'!$B$5:$B$204,MATCH(B2986&amp;"",'隊員マスタ'!$F$5:$F$204,0)),IF(AK2986="","番号なし",AK2986)))</f>
        <v/>
      </c>
      <c r="D2986" s="47" t="n"/>
      <c r="E2986" s="47" t="n"/>
      <c r="F2986" s="47" t="n"/>
      <c r="G2986" s="47" t="n"/>
      <c r="H2986" s="47" t="n"/>
      <c r="I2986" s="47" t="n"/>
      <c r="J2986" s="47" t="n"/>
      <c r="K2986" s="47" t="n"/>
      <c r="L2986" s="47" t="n"/>
      <c r="M2986" s="47" t="n"/>
      <c r="N2986" s="47" t="n"/>
      <c r="O2986" s="47" t="n"/>
      <c r="P2986" s="47" t="n"/>
      <c r="Q2986" s="47" t="n"/>
      <c r="R2986" s="47" t="n"/>
      <c r="S2986" s="47" t="n"/>
      <c r="T2986" s="47" t="n"/>
      <c r="U2986" s="53" t="n"/>
      <c r="V2986" s="53" t="n"/>
      <c r="W2986" s="47" t="n"/>
      <c r="X2986" s="47" t="n"/>
      <c r="Y2986" s="47" t="n"/>
      <c r="Z2986" s="47" t="n"/>
      <c r="AA2986" s="47" t="n"/>
      <c r="AB2986" s="47" t="n"/>
      <c r="AC2986" s="47" t="n"/>
      <c r="AD2986" s="47" t="n"/>
      <c r="AE2986" s="47" t="n"/>
      <c r="AF2986" s="20">
        <f>IF(A2986="","",YEAR(EDATE(A2986,-3)))</f>
        <v/>
      </c>
      <c r="AG2986" s="20">
        <f>IF(OR(B2986="",'経歴簿'!$C$4=""),"",IF(B2986&amp;""='経歴簿'!$C$4&amp;"",MAX($AG$4:AG2985)+1,""))</f>
        <v/>
      </c>
      <c r="AH2986" s="20">
        <f>IF(A2986="",0,IF(AND(OR('CSV抽出'!$C$4="",A2986&gt;='CSV抽出'!$C$4),OR('CSV抽出'!$C$5="",A2986&lt;='CSV抽出'!$C$5),OR('CSV抽出'!$C$6="すべて",'CSV抽出'!$C$6="",D2986='CSV抽出'!$C$6),OR('CSV抽出'!$C$7="",B2986&amp;""='CSV抽出'!$C$7&amp;"")),1,0))</f>
        <v/>
      </c>
      <c r="AI2986" s="20">
        <f>IF(AH2986=1,SUM($AH$5:AH2986),"")</f>
        <v/>
      </c>
      <c r="AJ2986" s="20">
        <f>IF(OR(S2986="",'報告書'!$C$4=""),"",IF(S2986&amp;""='報告書'!$C$4&amp;"",COUNTIF($S$5:S2986,'報告書'!$C$4),""))</f>
        <v/>
      </c>
      <c r="AK2986" s="20" t="n"/>
      <c r="AL2986" s="47" t="n"/>
      <c r="AM2986" s="47" t="n"/>
      <c r="AN2986" s="53" t="n"/>
      <c r="AO2986" s="47" t="n"/>
      <c r="AP2986" s="47" t="n"/>
      <c r="AQ2986" s="47" t="n"/>
      <c r="AR2986" s="47" t="n"/>
      <c r="AS2986" s="47" t="n"/>
      <c r="AT2986" s="47" t="n"/>
      <c r="AU2986" s="47" t="n"/>
      <c r="AV2986" s="47" t="n"/>
      <c r="AW2986" s="52" t="n"/>
    </row>
    <row r="2987">
      <c r="A2987" s="48" t="n"/>
      <c r="B2987" s="52" t="n"/>
      <c r="C2987" s="47">
        <f>IF(B2987="","",IFERROR(INDEX('隊員マスタ'!$B$5:$B$204,MATCH(B2987&amp;"",'隊員マスタ'!$F$5:$F$204,0)),IF(AK2987="","番号なし",AK2987)))</f>
        <v/>
      </c>
      <c r="D2987" s="47" t="n"/>
      <c r="E2987" s="47" t="n"/>
      <c r="F2987" s="47" t="n"/>
      <c r="G2987" s="47" t="n"/>
      <c r="H2987" s="47" t="n"/>
      <c r="I2987" s="47" t="n"/>
      <c r="J2987" s="47" t="n"/>
      <c r="K2987" s="47" t="n"/>
      <c r="L2987" s="47" t="n"/>
      <c r="M2987" s="47" t="n"/>
      <c r="N2987" s="47" t="n"/>
      <c r="O2987" s="47" t="n"/>
      <c r="P2987" s="47" t="n"/>
      <c r="Q2987" s="47" t="n"/>
      <c r="R2987" s="47" t="n"/>
      <c r="S2987" s="47" t="n"/>
      <c r="T2987" s="47" t="n"/>
      <c r="U2987" s="53" t="n"/>
      <c r="V2987" s="53" t="n"/>
      <c r="W2987" s="47" t="n"/>
      <c r="X2987" s="47" t="n"/>
      <c r="Y2987" s="47" t="n"/>
      <c r="Z2987" s="47" t="n"/>
      <c r="AA2987" s="47" t="n"/>
      <c r="AB2987" s="47" t="n"/>
      <c r="AC2987" s="47" t="n"/>
      <c r="AD2987" s="47" t="n"/>
      <c r="AE2987" s="47" t="n"/>
      <c r="AF2987" s="20">
        <f>IF(A2987="","",YEAR(EDATE(A2987,-3)))</f>
        <v/>
      </c>
      <c r="AG2987" s="20">
        <f>IF(OR(B2987="",'経歴簿'!$C$4=""),"",IF(B2987&amp;""='経歴簿'!$C$4&amp;"",MAX($AG$4:AG2986)+1,""))</f>
        <v/>
      </c>
      <c r="AH2987" s="20">
        <f>IF(A2987="",0,IF(AND(OR('CSV抽出'!$C$4="",A2987&gt;='CSV抽出'!$C$4),OR('CSV抽出'!$C$5="",A2987&lt;='CSV抽出'!$C$5),OR('CSV抽出'!$C$6="すべて",'CSV抽出'!$C$6="",D2987='CSV抽出'!$C$6),OR('CSV抽出'!$C$7="",B2987&amp;""='CSV抽出'!$C$7&amp;"")),1,0))</f>
        <v/>
      </c>
      <c r="AI2987" s="20">
        <f>IF(AH2987=1,SUM($AH$5:AH2987),"")</f>
        <v/>
      </c>
      <c r="AJ2987" s="20">
        <f>IF(OR(S2987="",'報告書'!$C$4=""),"",IF(S2987&amp;""='報告書'!$C$4&amp;"",COUNTIF($S$5:S2987,'報告書'!$C$4),""))</f>
        <v/>
      </c>
      <c r="AK2987" s="20" t="n"/>
      <c r="AL2987" s="47" t="n"/>
      <c r="AM2987" s="47" t="n"/>
      <c r="AN2987" s="53" t="n"/>
      <c r="AO2987" s="47" t="n"/>
      <c r="AP2987" s="47" t="n"/>
      <c r="AQ2987" s="47" t="n"/>
      <c r="AR2987" s="47" t="n"/>
      <c r="AS2987" s="47" t="n"/>
      <c r="AT2987" s="47" t="n"/>
      <c r="AU2987" s="47" t="n"/>
      <c r="AV2987" s="47" t="n"/>
      <c r="AW2987" s="52" t="n"/>
    </row>
    <row r="2988">
      <c r="A2988" s="48" t="n"/>
      <c r="B2988" s="52" t="n"/>
      <c r="C2988" s="47">
        <f>IF(B2988="","",IFERROR(INDEX('隊員マスタ'!$B$5:$B$204,MATCH(B2988&amp;"",'隊員マスタ'!$F$5:$F$204,0)),IF(AK2988="","番号なし",AK2988)))</f>
        <v/>
      </c>
      <c r="D2988" s="47" t="n"/>
      <c r="E2988" s="47" t="n"/>
      <c r="F2988" s="47" t="n"/>
      <c r="G2988" s="47" t="n"/>
      <c r="H2988" s="47" t="n"/>
      <c r="I2988" s="47" t="n"/>
      <c r="J2988" s="47" t="n"/>
      <c r="K2988" s="47" t="n"/>
      <c r="L2988" s="47" t="n"/>
      <c r="M2988" s="47" t="n"/>
      <c r="N2988" s="47" t="n"/>
      <c r="O2988" s="47" t="n"/>
      <c r="P2988" s="47" t="n"/>
      <c r="Q2988" s="47" t="n"/>
      <c r="R2988" s="47" t="n"/>
      <c r="S2988" s="47" t="n"/>
      <c r="T2988" s="47" t="n"/>
      <c r="U2988" s="53" t="n"/>
      <c r="V2988" s="53" t="n"/>
      <c r="W2988" s="47" t="n"/>
      <c r="X2988" s="47" t="n"/>
      <c r="Y2988" s="47" t="n"/>
      <c r="Z2988" s="47" t="n"/>
      <c r="AA2988" s="47" t="n"/>
      <c r="AB2988" s="47" t="n"/>
      <c r="AC2988" s="47" t="n"/>
      <c r="AD2988" s="47" t="n"/>
      <c r="AE2988" s="47" t="n"/>
      <c r="AF2988" s="20">
        <f>IF(A2988="","",YEAR(EDATE(A2988,-3)))</f>
        <v/>
      </c>
      <c r="AG2988" s="20">
        <f>IF(OR(B2988="",'経歴簿'!$C$4=""),"",IF(B2988&amp;""='経歴簿'!$C$4&amp;"",MAX($AG$4:AG2987)+1,""))</f>
        <v/>
      </c>
      <c r="AH2988" s="20">
        <f>IF(A2988="",0,IF(AND(OR('CSV抽出'!$C$4="",A2988&gt;='CSV抽出'!$C$4),OR('CSV抽出'!$C$5="",A2988&lt;='CSV抽出'!$C$5),OR('CSV抽出'!$C$6="すべて",'CSV抽出'!$C$6="",D2988='CSV抽出'!$C$6),OR('CSV抽出'!$C$7="",B2988&amp;""='CSV抽出'!$C$7&amp;"")),1,0))</f>
        <v/>
      </c>
      <c r="AI2988" s="20">
        <f>IF(AH2988=1,SUM($AH$5:AH2988),"")</f>
        <v/>
      </c>
      <c r="AJ2988" s="20">
        <f>IF(OR(S2988="",'報告書'!$C$4=""),"",IF(S2988&amp;""='報告書'!$C$4&amp;"",COUNTIF($S$5:S2988,'報告書'!$C$4),""))</f>
        <v/>
      </c>
      <c r="AK2988" s="20" t="n"/>
      <c r="AL2988" s="47" t="n"/>
      <c r="AM2988" s="47" t="n"/>
      <c r="AN2988" s="53" t="n"/>
      <c r="AO2988" s="47" t="n"/>
      <c r="AP2988" s="47" t="n"/>
      <c r="AQ2988" s="47" t="n"/>
      <c r="AR2988" s="47" t="n"/>
      <c r="AS2988" s="47" t="n"/>
      <c r="AT2988" s="47" t="n"/>
      <c r="AU2988" s="47" t="n"/>
      <c r="AV2988" s="47" t="n"/>
      <c r="AW2988" s="52" t="n"/>
    </row>
    <row r="2989">
      <c r="A2989" s="48" t="n"/>
      <c r="B2989" s="52" t="n"/>
      <c r="C2989" s="47">
        <f>IF(B2989="","",IFERROR(INDEX('隊員マスタ'!$B$5:$B$204,MATCH(B2989&amp;"",'隊員マスタ'!$F$5:$F$204,0)),IF(AK2989="","番号なし",AK2989)))</f>
        <v/>
      </c>
      <c r="D2989" s="47" t="n"/>
      <c r="E2989" s="47" t="n"/>
      <c r="F2989" s="47" t="n"/>
      <c r="G2989" s="47" t="n"/>
      <c r="H2989" s="47" t="n"/>
      <c r="I2989" s="47" t="n"/>
      <c r="J2989" s="47" t="n"/>
      <c r="K2989" s="47" t="n"/>
      <c r="L2989" s="47" t="n"/>
      <c r="M2989" s="47" t="n"/>
      <c r="N2989" s="47" t="n"/>
      <c r="O2989" s="47" t="n"/>
      <c r="P2989" s="47" t="n"/>
      <c r="Q2989" s="47" t="n"/>
      <c r="R2989" s="47" t="n"/>
      <c r="S2989" s="47" t="n"/>
      <c r="T2989" s="47" t="n"/>
      <c r="U2989" s="53" t="n"/>
      <c r="V2989" s="53" t="n"/>
      <c r="W2989" s="47" t="n"/>
      <c r="X2989" s="47" t="n"/>
      <c r="Y2989" s="47" t="n"/>
      <c r="Z2989" s="47" t="n"/>
      <c r="AA2989" s="47" t="n"/>
      <c r="AB2989" s="47" t="n"/>
      <c r="AC2989" s="47" t="n"/>
      <c r="AD2989" s="47" t="n"/>
      <c r="AE2989" s="47" t="n"/>
      <c r="AF2989" s="20">
        <f>IF(A2989="","",YEAR(EDATE(A2989,-3)))</f>
        <v/>
      </c>
      <c r="AG2989" s="20">
        <f>IF(OR(B2989="",'経歴簿'!$C$4=""),"",IF(B2989&amp;""='経歴簿'!$C$4&amp;"",MAX($AG$4:AG2988)+1,""))</f>
        <v/>
      </c>
      <c r="AH2989" s="20">
        <f>IF(A2989="",0,IF(AND(OR('CSV抽出'!$C$4="",A2989&gt;='CSV抽出'!$C$4),OR('CSV抽出'!$C$5="",A2989&lt;='CSV抽出'!$C$5),OR('CSV抽出'!$C$6="すべて",'CSV抽出'!$C$6="",D2989='CSV抽出'!$C$6),OR('CSV抽出'!$C$7="",B2989&amp;""='CSV抽出'!$C$7&amp;"")),1,0))</f>
        <v/>
      </c>
      <c r="AI2989" s="20">
        <f>IF(AH2989=1,SUM($AH$5:AH2989),"")</f>
        <v/>
      </c>
      <c r="AJ2989" s="20">
        <f>IF(OR(S2989="",'報告書'!$C$4=""),"",IF(S2989&amp;""='報告書'!$C$4&amp;"",COUNTIF($S$5:S2989,'報告書'!$C$4),""))</f>
        <v/>
      </c>
      <c r="AK2989" s="20" t="n"/>
      <c r="AL2989" s="47" t="n"/>
      <c r="AM2989" s="47" t="n"/>
      <c r="AN2989" s="53" t="n"/>
      <c r="AO2989" s="47" t="n"/>
      <c r="AP2989" s="47" t="n"/>
      <c r="AQ2989" s="47" t="n"/>
      <c r="AR2989" s="47" t="n"/>
      <c r="AS2989" s="47" t="n"/>
      <c r="AT2989" s="47" t="n"/>
      <c r="AU2989" s="47" t="n"/>
      <c r="AV2989" s="47" t="n"/>
      <c r="AW2989" s="52" t="n"/>
    </row>
    <row r="2990">
      <c r="A2990" s="48" t="n"/>
      <c r="B2990" s="52" t="n"/>
      <c r="C2990" s="47">
        <f>IF(B2990="","",IFERROR(INDEX('隊員マスタ'!$B$5:$B$204,MATCH(B2990&amp;"",'隊員マスタ'!$F$5:$F$204,0)),IF(AK2990="","番号なし",AK2990)))</f>
        <v/>
      </c>
      <c r="D2990" s="47" t="n"/>
      <c r="E2990" s="47" t="n"/>
      <c r="F2990" s="47" t="n"/>
      <c r="G2990" s="47" t="n"/>
      <c r="H2990" s="47" t="n"/>
      <c r="I2990" s="47" t="n"/>
      <c r="J2990" s="47" t="n"/>
      <c r="K2990" s="47" t="n"/>
      <c r="L2990" s="47" t="n"/>
      <c r="M2990" s="47" t="n"/>
      <c r="N2990" s="47" t="n"/>
      <c r="O2990" s="47" t="n"/>
      <c r="P2990" s="47" t="n"/>
      <c r="Q2990" s="47" t="n"/>
      <c r="R2990" s="47" t="n"/>
      <c r="S2990" s="47" t="n"/>
      <c r="T2990" s="47" t="n"/>
      <c r="U2990" s="53" t="n"/>
      <c r="V2990" s="53" t="n"/>
      <c r="W2990" s="47" t="n"/>
      <c r="X2990" s="47" t="n"/>
      <c r="Y2990" s="47" t="n"/>
      <c r="Z2990" s="47" t="n"/>
      <c r="AA2990" s="47" t="n"/>
      <c r="AB2990" s="47" t="n"/>
      <c r="AC2990" s="47" t="n"/>
      <c r="AD2990" s="47" t="n"/>
      <c r="AE2990" s="47" t="n"/>
      <c r="AF2990" s="20">
        <f>IF(A2990="","",YEAR(EDATE(A2990,-3)))</f>
        <v/>
      </c>
      <c r="AG2990" s="20">
        <f>IF(OR(B2990="",'経歴簿'!$C$4=""),"",IF(B2990&amp;""='経歴簿'!$C$4&amp;"",MAX($AG$4:AG2989)+1,""))</f>
        <v/>
      </c>
      <c r="AH2990" s="20">
        <f>IF(A2990="",0,IF(AND(OR('CSV抽出'!$C$4="",A2990&gt;='CSV抽出'!$C$4),OR('CSV抽出'!$C$5="",A2990&lt;='CSV抽出'!$C$5),OR('CSV抽出'!$C$6="すべて",'CSV抽出'!$C$6="",D2990='CSV抽出'!$C$6),OR('CSV抽出'!$C$7="",B2990&amp;""='CSV抽出'!$C$7&amp;"")),1,0))</f>
        <v/>
      </c>
      <c r="AI2990" s="20">
        <f>IF(AH2990=1,SUM($AH$5:AH2990),"")</f>
        <v/>
      </c>
      <c r="AJ2990" s="20">
        <f>IF(OR(S2990="",'報告書'!$C$4=""),"",IF(S2990&amp;""='報告書'!$C$4&amp;"",COUNTIF($S$5:S2990,'報告書'!$C$4),""))</f>
        <v/>
      </c>
      <c r="AK2990" s="20" t="n"/>
      <c r="AL2990" s="47" t="n"/>
      <c r="AM2990" s="47" t="n"/>
      <c r="AN2990" s="53" t="n"/>
      <c r="AO2990" s="47" t="n"/>
      <c r="AP2990" s="47" t="n"/>
      <c r="AQ2990" s="47" t="n"/>
      <c r="AR2990" s="47" t="n"/>
      <c r="AS2990" s="47" t="n"/>
      <c r="AT2990" s="47" t="n"/>
      <c r="AU2990" s="47" t="n"/>
      <c r="AV2990" s="47" t="n"/>
      <c r="AW2990" s="52" t="n"/>
    </row>
    <row r="2991">
      <c r="A2991" s="48" t="n"/>
      <c r="B2991" s="52" t="n"/>
      <c r="C2991" s="47">
        <f>IF(B2991="","",IFERROR(INDEX('隊員マスタ'!$B$5:$B$204,MATCH(B2991&amp;"",'隊員マスタ'!$F$5:$F$204,0)),IF(AK2991="","番号なし",AK2991)))</f>
        <v/>
      </c>
      <c r="D2991" s="47" t="n"/>
      <c r="E2991" s="47" t="n"/>
      <c r="F2991" s="47" t="n"/>
      <c r="G2991" s="47" t="n"/>
      <c r="H2991" s="47" t="n"/>
      <c r="I2991" s="47" t="n"/>
      <c r="J2991" s="47" t="n"/>
      <c r="K2991" s="47" t="n"/>
      <c r="L2991" s="47" t="n"/>
      <c r="M2991" s="47" t="n"/>
      <c r="N2991" s="47" t="n"/>
      <c r="O2991" s="47" t="n"/>
      <c r="P2991" s="47" t="n"/>
      <c r="Q2991" s="47" t="n"/>
      <c r="R2991" s="47" t="n"/>
      <c r="S2991" s="47" t="n"/>
      <c r="T2991" s="47" t="n"/>
      <c r="U2991" s="53" t="n"/>
      <c r="V2991" s="53" t="n"/>
      <c r="W2991" s="47" t="n"/>
      <c r="X2991" s="47" t="n"/>
      <c r="Y2991" s="47" t="n"/>
      <c r="Z2991" s="47" t="n"/>
      <c r="AA2991" s="47" t="n"/>
      <c r="AB2991" s="47" t="n"/>
      <c r="AC2991" s="47" t="n"/>
      <c r="AD2991" s="47" t="n"/>
      <c r="AE2991" s="47" t="n"/>
      <c r="AF2991" s="20">
        <f>IF(A2991="","",YEAR(EDATE(A2991,-3)))</f>
        <v/>
      </c>
      <c r="AG2991" s="20">
        <f>IF(OR(B2991="",'経歴簿'!$C$4=""),"",IF(B2991&amp;""='経歴簿'!$C$4&amp;"",MAX($AG$4:AG2990)+1,""))</f>
        <v/>
      </c>
      <c r="AH2991" s="20">
        <f>IF(A2991="",0,IF(AND(OR('CSV抽出'!$C$4="",A2991&gt;='CSV抽出'!$C$4),OR('CSV抽出'!$C$5="",A2991&lt;='CSV抽出'!$C$5),OR('CSV抽出'!$C$6="すべて",'CSV抽出'!$C$6="",D2991='CSV抽出'!$C$6),OR('CSV抽出'!$C$7="",B2991&amp;""='CSV抽出'!$C$7&amp;"")),1,0))</f>
        <v/>
      </c>
      <c r="AI2991" s="20">
        <f>IF(AH2991=1,SUM($AH$5:AH2991),"")</f>
        <v/>
      </c>
      <c r="AJ2991" s="20">
        <f>IF(OR(S2991="",'報告書'!$C$4=""),"",IF(S2991&amp;""='報告書'!$C$4&amp;"",COUNTIF($S$5:S2991,'報告書'!$C$4),""))</f>
        <v/>
      </c>
      <c r="AK2991" s="20" t="n"/>
      <c r="AL2991" s="47" t="n"/>
      <c r="AM2991" s="47" t="n"/>
      <c r="AN2991" s="53" t="n"/>
      <c r="AO2991" s="47" t="n"/>
      <c r="AP2991" s="47" t="n"/>
      <c r="AQ2991" s="47" t="n"/>
      <c r="AR2991" s="47" t="n"/>
      <c r="AS2991" s="47" t="n"/>
      <c r="AT2991" s="47" t="n"/>
      <c r="AU2991" s="47" t="n"/>
      <c r="AV2991" s="47" t="n"/>
      <c r="AW2991" s="52" t="n"/>
    </row>
    <row r="2992">
      <c r="A2992" s="48" t="n"/>
      <c r="B2992" s="52" t="n"/>
      <c r="C2992" s="47">
        <f>IF(B2992="","",IFERROR(INDEX('隊員マスタ'!$B$5:$B$204,MATCH(B2992&amp;"",'隊員マスタ'!$F$5:$F$204,0)),IF(AK2992="","番号なし",AK2992)))</f>
        <v/>
      </c>
      <c r="D2992" s="47" t="n"/>
      <c r="E2992" s="47" t="n"/>
      <c r="F2992" s="47" t="n"/>
      <c r="G2992" s="47" t="n"/>
      <c r="H2992" s="47" t="n"/>
      <c r="I2992" s="47" t="n"/>
      <c r="J2992" s="47" t="n"/>
      <c r="K2992" s="47" t="n"/>
      <c r="L2992" s="47" t="n"/>
      <c r="M2992" s="47" t="n"/>
      <c r="N2992" s="47" t="n"/>
      <c r="O2992" s="47" t="n"/>
      <c r="P2992" s="47" t="n"/>
      <c r="Q2992" s="47" t="n"/>
      <c r="R2992" s="47" t="n"/>
      <c r="S2992" s="47" t="n"/>
      <c r="T2992" s="47" t="n"/>
      <c r="U2992" s="53" t="n"/>
      <c r="V2992" s="53" t="n"/>
      <c r="W2992" s="47" t="n"/>
      <c r="X2992" s="47" t="n"/>
      <c r="Y2992" s="47" t="n"/>
      <c r="Z2992" s="47" t="n"/>
      <c r="AA2992" s="47" t="n"/>
      <c r="AB2992" s="47" t="n"/>
      <c r="AC2992" s="47" t="n"/>
      <c r="AD2992" s="47" t="n"/>
      <c r="AE2992" s="47" t="n"/>
      <c r="AF2992" s="20">
        <f>IF(A2992="","",YEAR(EDATE(A2992,-3)))</f>
        <v/>
      </c>
      <c r="AG2992" s="20">
        <f>IF(OR(B2992="",'経歴簿'!$C$4=""),"",IF(B2992&amp;""='経歴簿'!$C$4&amp;"",MAX($AG$4:AG2991)+1,""))</f>
        <v/>
      </c>
      <c r="AH2992" s="20">
        <f>IF(A2992="",0,IF(AND(OR('CSV抽出'!$C$4="",A2992&gt;='CSV抽出'!$C$4),OR('CSV抽出'!$C$5="",A2992&lt;='CSV抽出'!$C$5),OR('CSV抽出'!$C$6="すべて",'CSV抽出'!$C$6="",D2992='CSV抽出'!$C$6),OR('CSV抽出'!$C$7="",B2992&amp;""='CSV抽出'!$C$7&amp;"")),1,0))</f>
        <v/>
      </c>
      <c r="AI2992" s="20">
        <f>IF(AH2992=1,SUM($AH$5:AH2992),"")</f>
        <v/>
      </c>
      <c r="AJ2992" s="20">
        <f>IF(OR(S2992="",'報告書'!$C$4=""),"",IF(S2992&amp;""='報告書'!$C$4&amp;"",COUNTIF($S$5:S2992,'報告書'!$C$4),""))</f>
        <v/>
      </c>
      <c r="AK2992" s="20" t="n"/>
      <c r="AL2992" s="47" t="n"/>
      <c r="AM2992" s="47" t="n"/>
      <c r="AN2992" s="53" t="n"/>
      <c r="AO2992" s="47" t="n"/>
      <c r="AP2992" s="47" t="n"/>
      <c r="AQ2992" s="47" t="n"/>
      <c r="AR2992" s="47" t="n"/>
      <c r="AS2992" s="47" t="n"/>
      <c r="AT2992" s="47" t="n"/>
      <c r="AU2992" s="47" t="n"/>
      <c r="AV2992" s="47" t="n"/>
      <c r="AW2992" s="52" t="n"/>
    </row>
    <row r="2993">
      <c r="A2993" s="48" t="n"/>
      <c r="B2993" s="52" t="n"/>
      <c r="C2993" s="47">
        <f>IF(B2993="","",IFERROR(INDEX('隊員マスタ'!$B$5:$B$204,MATCH(B2993&amp;"",'隊員マスタ'!$F$5:$F$204,0)),IF(AK2993="","番号なし",AK2993)))</f>
        <v/>
      </c>
      <c r="D2993" s="47" t="n"/>
      <c r="E2993" s="47" t="n"/>
      <c r="F2993" s="47" t="n"/>
      <c r="G2993" s="47" t="n"/>
      <c r="H2993" s="47" t="n"/>
      <c r="I2993" s="47" t="n"/>
      <c r="J2993" s="47" t="n"/>
      <c r="K2993" s="47" t="n"/>
      <c r="L2993" s="47" t="n"/>
      <c r="M2993" s="47" t="n"/>
      <c r="N2993" s="47" t="n"/>
      <c r="O2993" s="47" t="n"/>
      <c r="P2993" s="47" t="n"/>
      <c r="Q2993" s="47" t="n"/>
      <c r="R2993" s="47" t="n"/>
      <c r="S2993" s="47" t="n"/>
      <c r="T2993" s="47" t="n"/>
      <c r="U2993" s="53" t="n"/>
      <c r="V2993" s="53" t="n"/>
      <c r="W2993" s="47" t="n"/>
      <c r="X2993" s="47" t="n"/>
      <c r="Y2993" s="47" t="n"/>
      <c r="Z2993" s="47" t="n"/>
      <c r="AA2993" s="47" t="n"/>
      <c r="AB2993" s="47" t="n"/>
      <c r="AC2993" s="47" t="n"/>
      <c r="AD2993" s="47" t="n"/>
      <c r="AE2993" s="47" t="n"/>
      <c r="AF2993" s="20">
        <f>IF(A2993="","",YEAR(EDATE(A2993,-3)))</f>
        <v/>
      </c>
      <c r="AG2993" s="20">
        <f>IF(OR(B2993="",'経歴簿'!$C$4=""),"",IF(B2993&amp;""='経歴簿'!$C$4&amp;"",MAX($AG$4:AG2992)+1,""))</f>
        <v/>
      </c>
      <c r="AH2993" s="20">
        <f>IF(A2993="",0,IF(AND(OR('CSV抽出'!$C$4="",A2993&gt;='CSV抽出'!$C$4),OR('CSV抽出'!$C$5="",A2993&lt;='CSV抽出'!$C$5),OR('CSV抽出'!$C$6="すべて",'CSV抽出'!$C$6="",D2993='CSV抽出'!$C$6),OR('CSV抽出'!$C$7="",B2993&amp;""='CSV抽出'!$C$7&amp;"")),1,0))</f>
        <v/>
      </c>
      <c r="AI2993" s="20">
        <f>IF(AH2993=1,SUM($AH$5:AH2993),"")</f>
        <v/>
      </c>
      <c r="AJ2993" s="20">
        <f>IF(OR(S2993="",'報告書'!$C$4=""),"",IF(S2993&amp;""='報告書'!$C$4&amp;"",COUNTIF($S$5:S2993,'報告書'!$C$4),""))</f>
        <v/>
      </c>
      <c r="AK2993" s="20" t="n"/>
      <c r="AL2993" s="47" t="n"/>
      <c r="AM2993" s="47" t="n"/>
      <c r="AN2993" s="53" t="n"/>
      <c r="AO2993" s="47" t="n"/>
      <c r="AP2993" s="47" t="n"/>
      <c r="AQ2993" s="47" t="n"/>
      <c r="AR2993" s="47" t="n"/>
      <c r="AS2993" s="47" t="n"/>
      <c r="AT2993" s="47" t="n"/>
      <c r="AU2993" s="47" t="n"/>
      <c r="AV2993" s="47" t="n"/>
      <c r="AW2993" s="52" t="n"/>
    </row>
    <row r="2994">
      <c r="A2994" s="48" t="n"/>
      <c r="B2994" s="52" t="n"/>
      <c r="C2994" s="47">
        <f>IF(B2994="","",IFERROR(INDEX('隊員マスタ'!$B$5:$B$204,MATCH(B2994&amp;"",'隊員マスタ'!$F$5:$F$204,0)),IF(AK2994="","番号なし",AK2994)))</f>
        <v/>
      </c>
      <c r="D2994" s="47" t="n"/>
      <c r="E2994" s="47" t="n"/>
      <c r="F2994" s="47" t="n"/>
      <c r="G2994" s="47" t="n"/>
      <c r="H2994" s="47" t="n"/>
      <c r="I2994" s="47" t="n"/>
      <c r="J2994" s="47" t="n"/>
      <c r="K2994" s="47" t="n"/>
      <c r="L2994" s="47" t="n"/>
      <c r="M2994" s="47" t="n"/>
      <c r="N2994" s="47" t="n"/>
      <c r="O2994" s="47" t="n"/>
      <c r="P2994" s="47" t="n"/>
      <c r="Q2994" s="47" t="n"/>
      <c r="R2994" s="47" t="n"/>
      <c r="S2994" s="47" t="n"/>
      <c r="T2994" s="47" t="n"/>
      <c r="U2994" s="53" t="n"/>
      <c r="V2994" s="53" t="n"/>
      <c r="W2994" s="47" t="n"/>
      <c r="X2994" s="47" t="n"/>
      <c r="Y2994" s="47" t="n"/>
      <c r="Z2994" s="47" t="n"/>
      <c r="AA2994" s="47" t="n"/>
      <c r="AB2994" s="47" t="n"/>
      <c r="AC2994" s="47" t="n"/>
      <c r="AD2994" s="47" t="n"/>
      <c r="AE2994" s="47" t="n"/>
      <c r="AF2994" s="20">
        <f>IF(A2994="","",YEAR(EDATE(A2994,-3)))</f>
        <v/>
      </c>
      <c r="AG2994" s="20">
        <f>IF(OR(B2994="",'経歴簿'!$C$4=""),"",IF(B2994&amp;""='経歴簿'!$C$4&amp;"",MAX($AG$4:AG2993)+1,""))</f>
        <v/>
      </c>
      <c r="AH2994" s="20">
        <f>IF(A2994="",0,IF(AND(OR('CSV抽出'!$C$4="",A2994&gt;='CSV抽出'!$C$4),OR('CSV抽出'!$C$5="",A2994&lt;='CSV抽出'!$C$5),OR('CSV抽出'!$C$6="すべて",'CSV抽出'!$C$6="",D2994='CSV抽出'!$C$6),OR('CSV抽出'!$C$7="",B2994&amp;""='CSV抽出'!$C$7&amp;"")),1,0))</f>
        <v/>
      </c>
      <c r="AI2994" s="20">
        <f>IF(AH2994=1,SUM($AH$5:AH2994),"")</f>
        <v/>
      </c>
      <c r="AJ2994" s="20">
        <f>IF(OR(S2994="",'報告書'!$C$4=""),"",IF(S2994&amp;""='報告書'!$C$4&amp;"",COUNTIF($S$5:S2994,'報告書'!$C$4),""))</f>
        <v/>
      </c>
      <c r="AK2994" s="20" t="n"/>
      <c r="AL2994" s="47" t="n"/>
      <c r="AM2994" s="47" t="n"/>
      <c r="AN2994" s="53" t="n"/>
      <c r="AO2994" s="47" t="n"/>
      <c r="AP2994" s="47" t="n"/>
      <c r="AQ2994" s="47" t="n"/>
      <c r="AR2994" s="47" t="n"/>
      <c r="AS2994" s="47" t="n"/>
      <c r="AT2994" s="47" t="n"/>
      <c r="AU2994" s="47" t="n"/>
      <c r="AV2994" s="47" t="n"/>
      <c r="AW2994" s="52" t="n"/>
    </row>
    <row r="2995">
      <c r="A2995" s="48" t="n"/>
      <c r="B2995" s="52" t="n"/>
      <c r="C2995" s="47">
        <f>IF(B2995="","",IFERROR(INDEX('隊員マスタ'!$B$5:$B$204,MATCH(B2995&amp;"",'隊員マスタ'!$F$5:$F$204,0)),IF(AK2995="","番号なし",AK2995)))</f>
        <v/>
      </c>
      <c r="D2995" s="47" t="n"/>
      <c r="E2995" s="47" t="n"/>
      <c r="F2995" s="47" t="n"/>
      <c r="G2995" s="47" t="n"/>
      <c r="H2995" s="47" t="n"/>
      <c r="I2995" s="47" t="n"/>
      <c r="J2995" s="47" t="n"/>
      <c r="K2995" s="47" t="n"/>
      <c r="L2995" s="47" t="n"/>
      <c r="M2995" s="47" t="n"/>
      <c r="N2995" s="47" t="n"/>
      <c r="O2995" s="47" t="n"/>
      <c r="P2995" s="47" t="n"/>
      <c r="Q2995" s="47" t="n"/>
      <c r="R2995" s="47" t="n"/>
      <c r="S2995" s="47" t="n"/>
      <c r="T2995" s="47" t="n"/>
      <c r="U2995" s="53" t="n"/>
      <c r="V2995" s="53" t="n"/>
      <c r="W2995" s="47" t="n"/>
      <c r="X2995" s="47" t="n"/>
      <c r="Y2995" s="47" t="n"/>
      <c r="Z2995" s="47" t="n"/>
      <c r="AA2995" s="47" t="n"/>
      <c r="AB2995" s="47" t="n"/>
      <c r="AC2995" s="47" t="n"/>
      <c r="AD2995" s="47" t="n"/>
      <c r="AE2995" s="47" t="n"/>
      <c r="AF2995" s="20">
        <f>IF(A2995="","",YEAR(EDATE(A2995,-3)))</f>
        <v/>
      </c>
      <c r="AG2995" s="20">
        <f>IF(OR(B2995="",'経歴簿'!$C$4=""),"",IF(B2995&amp;""='経歴簿'!$C$4&amp;"",MAX($AG$4:AG2994)+1,""))</f>
        <v/>
      </c>
      <c r="AH2995" s="20">
        <f>IF(A2995="",0,IF(AND(OR('CSV抽出'!$C$4="",A2995&gt;='CSV抽出'!$C$4),OR('CSV抽出'!$C$5="",A2995&lt;='CSV抽出'!$C$5),OR('CSV抽出'!$C$6="すべて",'CSV抽出'!$C$6="",D2995='CSV抽出'!$C$6),OR('CSV抽出'!$C$7="",B2995&amp;""='CSV抽出'!$C$7&amp;"")),1,0))</f>
        <v/>
      </c>
      <c r="AI2995" s="20">
        <f>IF(AH2995=1,SUM($AH$5:AH2995),"")</f>
        <v/>
      </c>
      <c r="AJ2995" s="20">
        <f>IF(OR(S2995="",'報告書'!$C$4=""),"",IF(S2995&amp;""='報告書'!$C$4&amp;"",COUNTIF($S$5:S2995,'報告書'!$C$4),""))</f>
        <v/>
      </c>
      <c r="AK2995" s="20" t="n"/>
      <c r="AL2995" s="47" t="n"/>
      <c r="AM2995" s="47" t="n"/>
      <c r="AN2995" s="53" t="n"/>
      <c r="AO2995" s="47" t="n"/>
      <c r="AP2995" s="47" t="n"/>
      <c r="AQ2995" s="47" t="n"/>
      <c r="AR2995" s="47" t="n"/>
      <c r="AS2995" s="47" t="n"/>
      <c r="AT2995" s="47" t="n"/>
      <c r="AU2995" s="47" t="n"/>
      <c r="AV2995" s="47" t="n"/>
      <c r="AW2995" s="52" t="n"/>
    </row>
    <row r="2996">
      <c r="A2996" s="48" t="n"/>
      <c r="B2996" s="52" t="n"/>
      <c r="C2996" s="47">
        <f>IF(B2996="","",IFERROR(INDEX('隊員マスタ'!$B$5:$B$204,MATCH(B2996&amp;"",'隊員マスタ'!$F$5:$F$204,0)),IF(AK2996="","番号なし",AK2996)))</f>
        <v/>
      </c>
      <c r="D2996" s="47" t="n"/>
      <c r="E2996" s="47" t="n"/>
      <c r="F2996" s="47" t="n"/>
      <c r="G2996" s="47" t="n"/>
      <c r="H2996" s="47" t="n"/>
      <c r="I2996" s="47" t="n"/>
      <c r="J2996" s="47" t="n"/>
      <c r="K2996" s="47" t="n"/>
      <c r="L2996" s="47" t="n"/>
      <c r="M2996" s="47" t="n"/>
      <c r="N2996" s="47" t="n"/>
      <c r="O2996" s="47" t="n"/>
      <c r="P2996" s="47" t="n"/>
      <c r="Q2996" s="47" t="n"/>
      <c r="R2996" s="47" t="n"/>
      <c r="S2996" s="47" t="n"/>
      <c r="T2996" s="47" t="n"/>
      <c r="U2996" s="53" t="n"/>
      <c r="V2996" s="53" t="n"/>
      <c r="W2996" s="47" t="n"/>
      <c r="X2996" s="47" t="n"/>
      <c r="Y2996" s="47" t="n"/>
      <c r="Z2996" s="47" t="n"/>
      <c r="AA2996" s="47" t="n"/>
      <c r="AB2996" s="47" t="n"/>
      <c r="AC2996" s="47" t="n"/>
      <c r="AD2996" s="47" t="n"/>
      <c r="AE2996" s="47" t="n"/>
      <c r="AF2996" s="20">
        <f>IF(A2996="","",YEAR(EDATE(A2996,-3)))</f>
        <v/>
      </c>
      <c r="AG2996" s="20">
        <f>IF(OR(B2996="",'経歴簿'!$C$4=""),"",IF(B2996&amp;""='経歴簿'!$C$4&amp;"",MAX($AG$4:AG2995)+1,""))</f>
        <v/>
      </c>
      <c r="AH2996" s="20">
        <f>IF(A2996="",0,IF(AND(OR('CSV抽出'!$C$4="",A2996&gt;='CSV抽出'!$C$4),OR('CSV抽出'!$C$5="",A2996&lt;='CSV抽出'!$C$5),OR('CSV抽出'!$C$6="すべて",'CSV抽出'!$C$6="",D2996='CSV抽出'!$C$6),OR('CSV抽出'!$C$7="",B2996&amp;""='CSV抽出'!$C$7&amp;"")),1,0))</f>
        <v/>
      </c>
      <c r="AI2996" s="20">
        <f>IF(AH2996=1,SUM($AH$5:AH2996),"")</f>
        <v/>
      </c>
      <c r="AJ2996" s="20">
        <f>IF(OR(S2996="",'報告書'!$C$4=""),"",IF(S2996&amp;""='報告書'!$C$4&amp;"",COUNTIF($S$5:S2996,'報告書'!$C$4),""))</f>
        <v/>
      </c>
      <c r="AK2996" s="20" t="n"/>
      <c r="AL2996" s="47" t="n"/>
      <c r="AM2996" s="47" t="n"/>
      <c r="AN2996" s="53" t="n"/>
      <c r="AO2996" s="47" t="n"/>
      <c r="AP2996" s="47" t="n"/>
      <c r="AQ2996" s="47" t="n"/>
      <c r="AR2996" s="47" t="n"/>
      <c r="AS2996" s="47" t="n"/>
      <c r="AT2996" s="47" t="n"/>
      <c r="AU2996" s="47" t="n"/>
      <c r="AV2996" s="47" t="n"/>
      <c r="AW2996" s="52" t="n"/>
    </row>
    <row r="2997">
      <c r="A2997" s="48" t="n"/>
      <c r="B2997" s="52" t="n"/>
      <c r="C2997" s="47">
        <f>IF(B2997="","",IFERROR(INDEX('隊員マスタ'!$B$5:$B$204,MATCH(B2997&amp;"",'隊員マスタ'!$F$5:$F$204,0)),IF(AK2997="","番号なし",AK2997)))</f>
        <v/>
      </c>
      <c r="D2997" s="47" t="n"/>
      <c r="E2997" s="47" t="n"/>
      <c r="F2997" s="47" t="n"/>
      <c r="G2997" s="47" t="n"/>
      <c r="H2997" s="47" t="n"/>
      <c r="I2997" s="47" t="n"/>
      <c r="J2997" s="47" t="n"/>
      <c r="K2997" s="47" t="n"/>
      <c r="L2997" s="47" t="n"/>
      <c r="M2997" s="47" t="n"/>
      <c r="N2997" s="47" t="n"/>
      <c r="O2997" s="47" t="n"/>
      <c r="P2997" s="47" t="n"/>
      <c r="Q2997" s="47" t="n"/>
      <c r="R2997" s="47" t="n"/>
      <c r="S2997" s="47" t="n"/>
      <c r="T2997" s="47" t="n"/>
      <c r="U2997" s="53" t="n"/>
      <c r="V2997" s="53" t="n"/>
      <c r="W2997" s="47" t="n"/>
      <c r="X2997" s="47" t="n"/>
      <c r="Y2997" s="47" t="n"/>
      <c r="Z2997" s="47" t="n"/>
      <c r="AA2997" s="47" t="n"/>
      <c r="AB2997" s="47" t="n"/>
      <c r="AC2997" s="47" t="n"/>
      <c r="AD2997" s="47" t="n"/>
      <c r="AE2997" s="47" t="n"/>
      <c r="AF2997" s="20">
        <f>IF(A2997="","",YEAR(EDATE(A2997,-3)))</f>
        <v/>
      </c>
      <c r="AG2997" s="20">
        <f>IF(OR(B2997="",'経歴簿'!$C$4=""),"",IF(B2997&amp;""='経歴簿'!$C$4&amp;"",MAX($AG$4:AG2996)+1,""))</f>
        <v/>
      </c>
      <c r="AH2997" s="20">
        <f>IF(A2997="",0,IF(AND(OR('CSV抽出'!$C$4="",A2997&gt;='CSV抽出'!$C$4),OR('CSV抽出'!$C$5="",A2997&lt;='CSV抽出'!$C$5),OR('CSV抽出'!$C$6="すべて",'CSV抽出'!$C$6="",D2997='CSV抽出'!$C$6),OR('CSV抽出'!$C$7="",B2997&amp;""='CSV抽出'!$C$7&amp;"")),1,0))</f>
        <v/>
      </c>
      <c r="AI2997" s="20">
        <f>IF(AH2997=1,SUM($AH$5:AH2997),"")</f>
        <v/>
      </c>
      <c r="AJ2997" s="20">
        <f>IF(OR(S2997="",'報告書'!$C$4=""),"",IF(S2997&amp;""='報告書'!$C$4&amp;"",COUNTIF($S$5:S2997,'報告書'!$C$4),""))</f>
        <v/>
      </c>
      <c r="AK2997" s="20" t="n"/>
      <c r="AL2997" s="47" t="n"/>
      <c r="AM2997" s="47" t="n"/>
      <c r="AN2997" s="53" t="n"/>
      <c r="AO2997" s="47" t="n"/>
      <c r="AP2997" s="47" t="n"/>
      <c r="AQ2997" s="47" t="n"/>
      <c r="AR2997" s="47" t="n"/>
      <c r="AS2997" s="47" t="n"/>
      <c r="AT2997" s="47" t="n"/>
      <c r="AU2997" s="47" t="n"/>
      <c r="AV2997" s="47" t="n"/>
      <c r="AW2997" s="52" t="n"/>
    </row>
    <row r="2998">
      <c r="A2998" s="48" t="n"/>
      <c r="B2998" s="52" t="n"/>
      <c r="C2998" s="47">
        <f>IF(B2998="","",IFERROR(INDEX('隊員マスタ'!$B$5:$B$204,MATCH(B2998&amp;"",'隊員マスタ'!$F$5:$F$204,0)),IF(AK2998="","番号なし",AK2998)))</f>
        <v/>
      </c>
      <c r="D2998" s="47" t="n"/>
      <c r="E2998" s="47" t="n"/>
      <c r="F2998" s="47" t="n"/>
      <c r="G2998" s="47" t="n"/>
      <c r="H2998" s="47" t="n"/>
      <c r="I2998" s="47" t="n"/>
      <c r="J2998" s="47" t="n"/>
      <c r="K2998" s="47" t="n"/>
      <c r="L2998" s="47" t="n"/>
      <c r="M2998" s="47" t="n"/>
      <c r="N2998" s="47" t="n"/>
      <c r="O2998" s="47" t="n"/>
      <c r="P2998" s="47" t="n"/>
      <c r="Q2998" s="47" t="n"/>
      <c r="R2998" s="47" t="n"/>
      <c r="S2998" s="47" t="n"/>
      <c r="T2998" s="47" t="n"/>
      <c r="U2998" s="53" t="n"/>
      <c r="V2998" s="53" t="n"/>
      <c r="W2998" s="47" t="n"/>
      <c r="X2998" s="47" t="n"/>
      <c r="Y2998" s="47" t="n"/>
      <c r="Z2998" s="47" t="n"/>
      <c r="AA2998" s="47" t="n"/>
      <c r="AB2998" s="47" t="n"/>
      <c r="AC2998" s="47" t="n"/>
      <c r="AD2998" s="47" t="n"/>
      <c r="AE2998" s="47" t="n"/>
      <c r="AF2998" s="20">
        <f>IF(A2998="","",YEAR(EDATE(A2998,-3)))</f>
        <v/>
      </c>
      <c r="AG2998" s="20">
        <f>IF(OR(B2998="",'経歴簿'!$C$4=""),"",IF(B2998&amp;""='経歴簿'!$C$4&amp;"",MAX($AG$4:AG2997)+1,""))</f>
        <v/>
      </c>
      <c r="AH2998" s="20">
        <f>IF(A2998="",0,IF(AND(OR('CSV抽出'!$C$4="",A2998&gt;='CSV抽出'!$C$4),OR('CSV抽出'!$C$5="",A2998&lt;='CSV抽出'!$C$5),OR('CSV抽出'!$C$6="すべて",'CSV抽出'!$C$6="",D2998='CSV抽出'!$C$6),OR('CSV抽出'!$C$7="",B2998&amp;""='CSV抽出'!$C$7&amp;"")),1,0))</f>
        <v/>
      </c>
      <c r="AI2998" s="20">
        <f>IF(AH2998=1,SUM($AH$5:AH2998),"")</f>
        <v/>
      </c>
      <c r="AJ2998" s="20">
        <f>IF(OR(S2998="",'報告書'!$C$4=""),"",IF(S2998&amp;""='報告書'!$C$4&amp;"",COUNTIF($S$5:S2998,'報告書'!$C$4),""))</f>
        <v/>
      </c>
      <c r="AK2998" s="20" t="n"/>
      <c r="AL2998" s="47" t="n"/>
      <c r="AM2998" s="47" t="n"/>
      <c r="AN2998" s="53" t="n"/>
      <c r="AO2998" s="47" t="n"/>
      <c r="AP2998" s="47" t="n"/>
      <c r="AQ2998" s="47" t="n"/>
      <c r="AR2998" s="47" t="n"/>
      <c r="AS2998" s="47" t="n"/>
      <c r="AT2998" s="47" t="n"/>
      <c r="AU2998" s="47" t="n"/>
      <c r="AV2998" s="47" t="n"/>
      <c r="AW2998" s="52" t="n"/>
    </row>
    <row r="2999">
      <c r="A2999" s="48" t="n"/>
      <c r="B2999" s="52" t="n"/>
      <c r="C2999" s="47">
        <f>IF(B2999="","",IFERROR(INDEX('隊員マスタ'!$B$5:$B$204,MATCH(B2999&amp;"",'隊員マスタ'!$F$5:$F$204,0)),IF(AK2999="","番号なし",AK2999)))</f>
        <v/>
      </c>
      <c r="D2999" s="47" t="n"/>
      <c r="E2999" s="47" t="n"/>
      <c r="F2999" s="47" t="n"/>
      <c r="G2999" s="47" t="n"/>
      <c r="H2999" s="47" t="n"/>
      <c r="I2999" s="47" t="n"/>
      <c r="J2999" s="47" t="n"/>
      <c r="K2999" s="47" t="n"/>
      <c r="L2999" s="47" t="n"/>
      <c r="M2999" s="47" t="n"/>
      <c r="N2999" s="47" t="n"/>
      <c r="O2999" s="47" t="n"/>
      <c r="P2999" s="47" t="n"/>
      <c r="Q2999" s="47" t="n"/>
      <c r="R2999" s="47" t="n"/>
      <c r="S2999" s="47" t="n"/>
      <c r="T2999" s="47" t="n"/>
      <c r="U2999" s="53" t="n"/>
      <c r="V2999" s="53" t="n"/>
      <c r="W2999" s="47" t="n"/>
      <c r="X2999" s="47" t="n"/>
      <c r="Y2999" s="47" t="n"/>
      <c r="Z2999" s="47" t="n"/>
      <c r="AA2999" s="47" t="n"/>
      <c r="AB2999" s="47" t="n"/>
      <c r="AC2999" s="47" t="n"/>
      <c r="AD2999" s="47" t="n"/>
      <c r="AE2999" s="47" t="n"/>
      <c r="AF2999" s="20">
        <f>IF(A2999="","",YEAR(EDATE(A2999,-3)))</f>
        <v/>
      </c>
      <c r="AG2999" s="20">
        <f>IF(OR(B2999="",'経歴簿'!$C$4=""),"",IF(B2999&amp;""='経歴簿'!$C$4&amp;"",MAX($AG$4:AG2998)+1,""))</f>
        <v/>
      </c>
      <c r="AH2999" s="20">
        <f>IF(A2999="",0,IF(AND(OR('CSV抽出'!$C$4="",A2999&gt;='CSV抽出'!$C$4),OR('CSV抽出'!$C$5="",A2999&lt;='CSV抽出'!$C$5),OR('CSV抽出'!$C$6="すべて",'CSV抽出'!$C$6="",D2999='CSV抽出'!$C$6),OR('CSV抽出'!$C$7="",B2999&amp;""='CSV抽出'!$C$7&amp;"")),1,0))</f>
        <v/>
      </c>
      <c r="AI2999" s="20">
        <f>IF(AH2999=1,SUM($AH$5:AH2999),"")</f>
        <v/>
      </c>
      <c r="AJ2999" s="20">
        <f>IF(OR(S2999="",'報告書'!$C$4=""),"",IF(S2999&amp;""='報告書'!$C$4&amp;"",COUNTIF($S$5:S2999,'報告書'!$C$4),""))</f>
        <v/>
      </c>
      <c r="AK2999" s="20" t="n"/>
      <c r="AL2999" s="47" t="n"/>
      <c r="AM2999" s="47" t="n"/>
      <c r="AN2999" s="53" t="n"/>
      <c r="AO2999" s="47" t="n"/>
      <c r="AP2999" s="47" t="n"/>
      <c r="AQ2999" s="47" t="n"/>
      <c r="AR2999" s="47" t="n"/>
      <c r="AS2999" s="47" t="n"/>
      <c r="AT2999" s="47" t="n"/>
      <c r="AU2999" s="47" t="n"/>
      <c r="AV2999" s="47" t="n"/>
      <c r="AW2999" s="52" t="n"/>
    </row>
    <row r="3000">
      <c r="A3000" s="48" t="n"/>
      <c r="B3000" s="52" t="n"/>
      <c r="C3000" s="47">
        <f>IF(B3000="","",IFERROR(INDEX('隊員マスタ'!$B$5:$B$204,MATCH(B3000&amp;"",'隊員マスタ'!$F$5:$F$204,0)),IF(AK3000="","番号なし",AK3000)))</f>
        <v/>
      </c>
      <c r="D3000" s="47" t="n"/>
      <c r="E3000" s="47" t="n"/>
      <c r="F3000" s="47" t="n"/>
      <c r="G3000" s="47" t="n"/>
      <c r="H3000" s="47" t="n"/>
      <c r="I3000" s="47" t="n"/>
      <c r="J3000" s="47" t="n"/>
      <c r="K3000" s="47" t="n"/>
      <c r="L3000" s="47" t="n"/>
      <c r="M3000" s="47" t="n"/>
      <c r="N3000" s="47" t="n"/>
      <c r="O3000" s="47" t="n"/>
      <c r="P3000" s="47" t="n"/>
      <c r="Q3000" s="47" t="n"/>
      <c r="R3000" s="47" t="n"/>
      <c r="S3000" s="47" t="n"/>
      <c r="T3000" s="47" t="n"/>
      <c r="U3000" s="53" t="n"/>
      <c r="V3000" s="53" t="n"/>
      <c r="W3000" s="47" t="n"/>
      <c r="X3000" s="47" t="n"/>
      <c r="Y3000" s="47" t="n"/>
      <c r="Z3000" s="47" t="n"/>
      <c r="AA3000" s="47" t="n"/>
      <c r="AB3000" s="47" t="n"/>
      <c r="AC3000" s="47" t="n"/>
      <c r="AD3000" s="47" t="n"/>
      <c r="AE3000" s="47" t="n"/>
      <c r="AF3000" s="20">
        <f>IF(A3000="","",YEAR(EDATE(A3000,-3)))</f>
        <v/>
      </c>
      <c r="AG3000" s="20">
        <f>IF(OR(B3000="",'経歴簿'!$C$4=""),"",IF(B3000&amp;""='経歴簿'!$C$4&amp;"",MAX($AG$4:AG2999)+1,""))</f>
        <v/>
      </c>
      <c r="AH3000" s="20">
        <f>IF(A3000="",0,IF(AND(OR('CSV抽出'!$C$4="",A3000&gt;='CSV抽出'!$C$4),OR('CSV抽出'!$C$5="",A3000&lt;='CSV抽出'!$C$5),OR('CSV抽出'!$C$6="すべて",'CSV抽出'!$C$6="",D3000='CSV抽出'!$C$6),OR('CSV抽出'!$C$7="",B3000&amp;""='CSV抽出'!$C$7&amp;"")),1,0))</f>
        <v/>
      </c>
      <c r="AI3000" s="20">
        <f>IF(AH3000=1,SUM($AH$5:AH3000),"")</f>
        <v/>
      </c>
      <c r="AJ3000" s="20">
        <f>IF(OR(S3000="",'報告書'!$C$4=""),"",IF(S3000&amp;""='報告書'!$C$4&amp;"",COUNTIF($S$5:S3000,'報告書'!$C$4),""))</f>
        <v/>
      </c>
      <c r="AK3000" s="20" t="n"/>
      <c r="AL3000" s="47" t="n"/>
      <c r="AM3000" s="47" t="n"/>
      <c r="AN3000" s="53" t="n"/>
      <c r="AO3000" s="47" t="n"/>
      <c r="AP3000" s="47" t="n"/>
      <c r="AQ3000" s="47" t="n"/>
      <c r="AR3000" s="47" t="n"/>
      <c r="AS3000" s="47" t="n"/>
      <c r="AT3000" s="47" t="n"/>
      <c r="AU3000" s="47" t="n"/>
      <c r="AV3000" s="47" t="n"/>
      <c r="AW3000" s="52" t="n"/>
    </row>
    <row r="3001">
      <c r="A3001" s="48" t="n"/>
      <c r="B3001" s="52" t="n"/>
      <c r="C3001" s="47">
        <f>IF(B3001="","",IFERROR(INDEX('隊員マスタ'!$B$5:$B$204,MATCH(B3001&amp;"",'隊員マスタ'!$F$5:$F$204,0)),IF(AK3001="","番号なし",AK3001)))</f>
        <v/>
      </c>
      <c r="D3001" s="47" t="n"/>
      <c r="E3001" s="47" t="n"/>
      <c r="F3001" s="47" t="n"/>
      <c r="G3001" s="47" t="n"/>
      <c r="H3001" s="47" t="n"/>
      <c r="I3001" s="47" t="n"/>
      <c r="J3001" s="47" t="n"/>
      <c r="K3001" s="47" t="n"/>
      <c r="L3001" s="47" t="n"/>
      <c r="M3001" s="47" t="n"/>
      <c r="N3001" s="47" t="n"/>
      <c r="O3001" s="47" t="n"/>
      <c r="P3001" s="47" t="n"/>
      <c r="Q3001" s="47" t="n"/>
      <c r="R3001" s="47" t="n"/>
      <c r="S3001" s="47" t="n"/>
      <c r="T3001" s="47" t="n"/>
      <c r="U3001" s="53" t="n"/>
      <c r="V3001" s="53" t="n"/>
      <c r="W3001" s="47" t="n"/>
      <c r="X3001" s="47" t="n"/>
      <c r="Y3001" s="47" t="n"/>
      <c r="Z3001" s="47" t="n"/>
      <c r="AA3001" s="47" t="n"/>
      <c r="AB3001" s="47" t="n"/>
      <c r="AC3001" s="47" t="n"/>
      <c r="AD3001" s="47" t="n"/>
      <c r="AE3001" s="47" t="n"/>
      <c r="AF3001" s="20">
        <f>IF(A3001="","",YEAR(EDATE(A3001,-3)))</f>
        <v/>
      </c>
      <c r="AG3001" s="20">
        <f>IF(OR(B3001="",'経歴簿'!$C$4=""),"",IF(B3001&amp;""='経歴簿'!$C$4&amp;"",MAX($AG$4:AG3000)+1,""))</f>
        <v/>
      </c>
      <c r="AH3001" s="20">
        <f>IF(A3001="",0,IF(AND(OR('CSV抽出'!$C$4="",A3001&gt;='CSV抽出'!$C$4),OR('CSV抽出'!$C$5="",A3001&lt;='CSV抽出'!$C$5),OR('CSV抽出'!$C$6="すべて",'CSV抽出'!$C$6="",D3001='CSV抽出'!$C$6),OR('CSV抽出'!$C$7="",B3001&amp;""='CSV抽出'!$C$7&amp;"")),1,0))</f>
        <v/>
      </c>
      <c r="AI3001" s="20">
        <f>IF(AH3001=1,SUM($AH$5:AH3001),"")</f>
        <v/>
      </c>
      <c r="AJ3001" s="20">
        <f>IF(OR(S3001="",'報告書'!$C$4=""),"",IF(S3001&amp;""='報告書'!$C$4&amp;"",COUNTIF($S$5:S3001,'報告書'!$C$4),""))</f>
        <v/>
      </c>
      <c r="AK3001" s="20" t="n"/>
      <c r="AL3001" s="47" t="n"/>
      <c r="AM3001" s="47" t="n"/>
      <c r="AN3001" s="53" t="n"/>
      <c r="AO3001" s="47" t="n"/>
      <c r="AP3001" s="47" t="n"/>
      <c r="AQ3001" s="47" t="n"/>
      <c r="AR3001" s="47" t="n"/>
      <c r="AS3001" s="47" t="n"/>
      <c r="AT3001" s="47" t="n"/>
      <c r="AU3001" s="47" t="n"/>
      <c r="AV3001" s="47" t="n"/>
      <c r="AW3001" s="52" t="n"/>
    </row>
    <row r="3002">
      <c r="A3002" s="48" t="n"/>
      <c r="B3002" s="52" t="n"/>
      <c r="C3002" s="47">
        <f>IF(B3002="","",IFERROR(INDEX('隊員マスタ'!$B$5:$B$204,MATCH(B3002&amp;"",'隊員マスタ'!$F$5:$F$204,0)),IF(AK3002="","番号なし",AK3002)))</f>
        <v/>
      </c>
      <c r="D3002" s="47" t="n"/>
      <c r="E3002" s="47" t="n"/>
      <c r="F3002" s="47" t="n"/>
      <c r="G3002" s="47" t="n"/>
      <c r="H3002" s="47" t="n"/>
      <c r="I3002" s="47" t="n"/>
      <c r="J3002" s="47" t="n"/>
      <c r="K3002" s="47" t="n"/>
      <c r="L3002" s="47" t="n"/>
      <c r="M3002" s="47" t="n"/>
      <c r="N3002" s="47" t="n"/>
      <c r="O3002" s="47" t="n"/>
      <c r="P3002" s="47" t="n"/>
      <c r="Q3002" s="47" t="n"/>
      <c r="R3002" s="47" t="n"/>
      <c r="S3002" s="47" t="n"/>
      <c r="T3002" s="47" t="n"/>
      <c r="U3002" s="53" t="n"/>
      <c r="V3002" s="53" t="n"/>
      <c r="W3002" s="47" t="n"/>
      <c r="X3002" s="47" t="n"/>
      <c r="Y3002" s="47" t="n"/>
      <c r="Z3002" s="47" t="n"/>
      <c r="AA3002" s="47" t="n"/>
      <c r="AB3002" s="47" t="n"/>
      <c r="AC3002" s="47" t="n"/>
      <c r="AD3002" s="47" t="n"/>
      <c r="AE3002" s="47" t="n"/>
      <c r="AF3002" s="20">
        <f>IF(A3002="","",YEAR(EDATE(A3002,-3)))</f>
        <v/>
      </c>
      <c r="AG3002" s="20">
        <f>IF(OR(B3002="",'経歴簿'!$C$4=""),"",IF(B3002&amp;""='経歴簿'!$C$4&amp;"",MAX($AG$4:AG3001)+1,""))</f>
        <v/>
      </c>
      <c r="AH3002" s="20">
        <f>IF(A3002="",0,IF(AND(OR('CSV抽出'!$C$4="",A3002&gt;='CSV抽出'!$C$4),OR('CSV抽出'!$C$5="",A3002&lt;='CSV抽出'!$C$5),OR('CSV抽出'!$C$6="すべて",'CSV抽出'!$C$6="",D3002='CSV抽出'!$C$6),OR('CSV抽出'!$C$7="",B3002&amp;""='CSV抽出'!$C$7&amp;"")),1,0))</f>
        <v/>
      </c>
      <c r="AI3002" s="20">
        <f>IF(AH3002=1,SUM($AH$5:AH3002),"")</f>
        <v/>
      </c>
      <c r="AJ3002" s="20">
        <f>IF(OR(S3002="",'報告書'!$C$4=""),"",IF(S3002&amp;""='報告書'!$C$4&amp;"",COUNTIF($S$5:S3002,'報告書'!$C$4),""))</f>
        <v/>
      </c>
      <c r="AK3002" s="20" t="n"/>
      <c r="AL3002" s="47" t="n"/>
      <c r="AM3002" s="47" t="n"/>
      <c r="AN3002" s="53" t="n"/>
      <c r="AO3002" s="47" t="n"/>
      <c r="AP3002" s="47" t="n"/>
      <c r="AQ3002" s="47" t="n"/>
      <c r="AR3002" s="47" t="n"/>
      <c r="AS3002" s="47" t="n"/>
      <c r="AT3002" s="47" t="n"/>
      <c r="AU3002" s="47" t="n"/>
      <c r="AV3002" s="47" t="n"/>
      <c r="AW3002" s="52" t="n"/>
    </row>
    <row r="3003">
      <c r="A3003" s="48" t="n"/>
      <c r="B3003" s="52" t="n"/>
      <c r="C3003" s="47">
        <f>IF(B3003="","",IFERROR(INDEX('隊員マスタ'!$B$5:$B$204,MATCH(B3003&amp;"",'隊員マスタ'!$F$5:$F$204,0)),IF(AK3003="","番号なし",AK3003)))</f>
        <v/>
      </c>
      <c r="D3003" s="47" t="n"/>
      <c r="E3003" s="47" t="n"/>
      <c r="F3003" s="47" t="n"/>
      <c r="G3003" s="47" t="n"/>
      <c r="H3003" s="47" t="n"/>
      <c r="I3003" s="47" t="n"/>
      <c r="J3003" s="47" t="n"/>
      <c r="K3003" s="47" t="n"/>
      <c r="L3003" s="47" t="n"/>
      <c r="M3003" s="47" t="n"/>
      <c r="N3003" s="47" t="n"/>
      <c r="O3003" s="47" t="n"/>
      <c r="P3003" s="47" t="n"/>
      <c r="Q3003" s="47" t="n"/>
      <c r="R3003" s="47" t="n"/>
      <c r="S3003" s="47" t="n"/>
      <c r="T3003" s="47" t="n"/>
      <c r="U3003" s="53" t="n"/>
      <c r="V3003" s="53" t="n"/>
      <c r="W3003" s="47" t="n"/>
      <c r="X3003" s="47" t="n"/>
      <c r="Y3003" s="47" t="n"/>
      <c r="Z3003" s="47" t="n"/>
      <c r="AA3003" s="47" t="n"/>
      <c r="AB3003" s="47" t="n"/>
      <c r="AC3003" s="47" t="n"/>
      <c r="AD3003" s="47" t="n"/>
      <c r="AE3003" s="47" t="n"/>
      <c r="AF3003" s="20">
        <f>IF(A3003="","",YEAR(EDATE(A3003,-3)))</f>
        <v/>
      </c>
      <c r="AG3003" s="20">
        <f>IF(OR(B3003="",'経歴簿'!$C$4=""),"",IF(B3003&amp;""='経歴簿'!$C$4&amp;"",MAX($AG$4:AG3002)+1,""))</f>
        <v/>
      </c>
      <c r="AH3003" s="20">
        <f>IF(A3003="",0,IF(AND(OR('CSV抽出'!$C$4="",A3003&gt;='CSV抽出'!$C$4),OR('CSV抽出'!$C$5="",A3003&lt;='CSV抽出'!$C$5),OR('CSV抽出'!$C$6="すべて",'CSV抽出'!$C$6="",D3003='CSV抽出'!$C$6),OR('CSV抽出'!$C$7="",B3003&amp;""='CSV抽出'!$C$7&amp;"")),1,0))</f>
        <v/>
      </c>
      <c r="AI3003" s="20">
        <f>IF(AH3003=1,SUM($AH$5:AH3003),"")</f>
        <v/>
      </c>
      <c r="AJ3003" s="20">
        <f>IF(OR(S3003="",'報告書'!$C$4=""),"",IF(S3003&amp;""='報告書'!$C$4&amp;"",COUNTIF($S$5:S3003,'報告書'!$C$4),""))</f>
        <v/>
      </c>
      <c r="AK3003" s="20" t="n"/>
      <c r="AL3003" s="47" t="n"/>
      <c r="AM3003" s="47" t="n"/>
      <c r="AN3003" s="53" t="n"/>
      <c r="AO3003" s="47" t="n"/>
      <c r="AP3003" s="47" t="n"/>
      <c r="AQ3003" s="47" t="n"/>
      <c r="AR3003" s="47" t="n"/>
      <c r="AS3003" s="47" t="n"/>
      <c r="AT3003" s="47" t="n"/>
      <c r="AU3003" s="47" t="n"/>
      <c r="AV3003" s="47" t="n"/>
      <c r="AW3003" s="52" t="n"/>
    </row>
    <row r="3004">
      <c r="A3004" s="48" t="n"/>
      <c r="B3004" s="52" t="n"/>
      <c r="C3004" s="47">
        <f>IF(B3004="","",IFERROR(INDEX('隊員マスタ'!$B$5:$B$204,MATCH(B3004&amp;"",'隊員マスタ'!$F$5:$F$204,0)),IF(AK3004="","番号なし",AK3004)))</f>
        <v/>
      </c>
      <c r="D3004" s="47" t="n"/>
      <c r="E3004" s="47" t="n"/>
      <c r="F3004" s="47" t="n"/>
      <c r="G3004" s="47" t="n"/>
      <c r="H3004" s="47" t="n"/>
      <c r="I3004" s="47" t="n"/>
      <c r="J3004" s="47" t="n"/>
      <c r="K3004" s="47" t="n"/>
      <c r="L3004" s="47" t="n"/>
      <c r="M3004" s="47" t="n"/>
      <c r="N3004" s="47" t="n"/>
      <c r="O3004" s="47" t="n"/>
      <c r="P3004" s="47" t="n"/>
      <c r="Q3004" s="47" t="n"/>
      <c r="R3004" s="47" t="n"/>
      <c r="S3004" s="47" t="n"/>
      <c r="T3004" s="47" t="n"/>
      <c r="U3004" s="53" t="n"/>
      <c r="V3004" s="53" t="n"/>
      <c r="W3004" s="47" t="n"/>
      <c r="X3004" s="47" t="n"/>
      <c r="Y3004" s="47" t="n"/>
      <c r="Z3004" s="47" t="n"/>
      <c r="AA3004" s="47" t="n"/>
      <c r="AB3004" s="47" t="n"/>
      <c r="AC3004" s="47" t="n"/>
      <c r="AD3004" s="47" t="n"/>
      <c r="AE3004" s="47" t="n"/>
      <c r="AF3004" s="20">
        <f>IF(A3004="","",YEAR(EDATE(A3004,-3)))</f>
        <v/>
      </c>
      <c r="AG3004" s="20">
        <f>IF(OR(B3004="",'経歴簿'!$C$4=""),"",IF(B3004&amp;""='経歴簿'!$C$4&amp;"",MAX($AG$4:AG3003)+1,""))</f>
        <v/>
      </c>
      <c r="AH3004" s="20">
        <f>IF(A3004="",0,IF(AND(OR('CSV抽出'!$C$4="",A3004&gt;='CSV抽出'!$C$4),OR('CSV抽出'!$C$5="",A3004&lt;='CSV抽出'!$C$5),OR('CSV抽出'!$C$6="すべて",'CSV抽出'!$C$6="",D3004='CSV抽出'!$C$6),OR('CSV抽出'!$C$7="",B3004&amp;""='CSV抽出'!$C$7&amp;"")),1,0))</f>
        <v/>
      </c>
      <c r="AI3004" s="20">
        <f>IF(AH3004=1,SUM($AH$5:AH3004),"")</f>
        <v/>
      </c>
      <c r="AJ3004" s="20">
        <f>IF(OR(S3004="",'報告書'!$C$4=""),"",IF(S3004&amp;""='報告書'!$C$4&amp;"",COUNTIF($S$5:S3004,'報告書'!$C$4),""))</f>
        <v/>
      </c>
      <c r="AK3004" s="20" t="n"/>
      <c r="AL3004" s="47" t="n"/>
      <c r="AM3004" s="47" t="n"/>
      <c r="AN3004" s="53" t="n"/>
      <c r="AO3004" s="47" t="n"/>
      <c r="AP3004" s="47" t="n"/>
      <c r="AQ3004" s="47" t="n"/>
      <c r="AR3004" s="47" t="n"/>
      <c r="AS3004" s="47" t="n"/>
      <c r="AT3004" s="47" t="n"/>
      <c r="AU3004" s="47" t="n"/>
      <c r="AV3004" s="47" t="n"/>
      <c r="AW3004" s="52" t="n"/>
    </row>
  </sheetData>
  <autoFilter ref="A4:AW3004"/>
  <mergeCells count="1">
    <mergeCell ref="A1:E1"/>
  </mergeCells>
  <dataValidations count="5">
    <dataValidation sqref="B5:B3004" showDropDown="0" showInputMessage="0" showErrorMessage="0" allowBlank="1" errorTitle="入力できない値です" error="プルダウンから選んでください（選択肢シートで追加できます）" type="list">
      <formula1>=L_職員番号</formula1>
    </dataValidation>
    <dataValidation sqref="D5:D3004" showDropDown="0" showInputMessage="0" showErrorMessage="0" allowBlank="1" errorTitle="入力できない値です" error="プルダウンから選んでください（選択肢シートで追加できます）" type="list">
      <formula1>=L_区分</formula1>
    </dataValidation>
    <dataValidation sqref="F5:F3004" showDropDown="0" showInputMessage="0" showErrorMessage="0" allowBlank="1" errorTitle="入力できない値です" error="プルダウンから選んでください（選択肢シートで追加できます）" type="list">
      <formula1>=L_地点</formula1>
    </dataValidation>
    <dataValidation sqref="O5:P3004" showDropDown="0" showInputMessage="0" showErrorMessage="0" allowBlank="1" errorTitle="入力できない値です" error="プルダウンから選んでください（選択肢シートで追加できます）" type="list">
      <formula1>=L_有無</formula1>
    </dataValidation>
    <dataValidation sqref="AO5:AO3004" showDropDown="0" showInputMessage="0" showErrorMessage="0" allowBlank="1" errorTitle="入力できない値です" error="プルダウンから選んでください（選択肢シートで追加できます）" type="list">
      <formula1>=L_有無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4" customWidth="1" min="3" max="3"/>
    <col width="11" customWidth="1" min="4" max="4"/>
    <col width="30" customWidth="1" min="5" max="5"/>
    <col hidden="1" width="13" customWidth="1" min="6" max="6"/>
  </cols>
  <sheetData>
    <row r="1" ht="34" customHeight="1">
      <c r="A1" s="1" t="inlineStr">
        <is>
          <t>隊員マスタ</t>
        </is>
      </c>
      <c r="B1" s="2" t="n"/>
      <c r="C1" s="2" t="n"/>
      <c r="D1" s="2" t="n"/>
    </row>
    <row r="2">
      <c r="A2" s="3" t="inlineStr">
        <is>
          <t>1行に1人。職員番号は重複させないでください。異動・退職しても行は消さず、在籍状態を変えます。</t>
        </is>
      </c>
    </row>
    <row r="4" ht="32" customHeight="1">
      <c r="A4" s="13" t="inlineStr">
        <is>
          <t>職員番号</t>
        </is>
      </c>
      <c r="B4" s="13" t="inlineStr">
        <is>
          <t>氏名</t>
        </is>
      </c>
      <c r="C4" s="13" t="inlineStr">
        <is>
          <t>所属</t>
        </is>
      </c>
      <c r="D4" s="13" t="inlineStr">
        <is>
          <t>在籍状態</t>
        </is>
      </c>
      <c r="E4" s="13" t="inlineStr">
        <is>
          <t>備考</t>
        </is>
      </c>
      <c r="F4" s="50" t="inlineStr">
        <is>
          <t>照合用（自動）</t>
        </is>
      </c>
    </row>
    <row r="5">
      <c r="A5" s="52" t="inlineStr">
        <is>
          <t>1001</t>
        </is>
      </c>
      <c r="B5" s="47" t="inlineStr">
        <is>
          <t>見本 一郎</t>
        </is>
      </c>
      <c r="C5" s="47" t="inlineStr">
        <is>
          <t>本署</t>
        </is>
      </c>
      <c r="D5" s="47" t="inlineStr">
        <is>
          <t>在籍</t>
        </is>
      </c>
      <c r="E5" s="47" t="inlineStr">
        <is>
          <t>見本データ。使い始める前に削除</t>
        </is>
      </c>
      <c r="F5" s="20">
        <f>IF(A5="","",A5&amp;"")</f>
        <v/>
      </c>
    </row>
    <row r="6">
      <c r="A6" s="52" t="inlineStr">
        <is>
          <t>1002</t>
        </is>
      </c>
      <c r="B6" s="47" t="inlineStr">
        <is>
          <t>見本 二郎</t>
        </is>
      </c>
      <c r="C6" s="47" t="inlineStr">
        <is>
          <t>本署</t>
        </is>
      </c>
      <c r="D6" s="47" t="inlineStr">
        <is>
          <t>在籍</t>
        </is>
      </c>
      <c r="E6" s="47" t="n"/>
      <c r="F6" s="20">
        <f>IF(A6="","",A6&amp;"")</f>
        <v/>
      </c>
    </row>
    <row r="7">
      <c r="A7" s="52" t="inlineStr">
        <is>
          <t>1003</t>
        </is>
      </c>
      <c r="B7" s="47" t="inlineStr">
        <is>
          <t>見本 三郎</t>
        </is>
      </c>
      <c r="C7" s="47" t="inlineStr">
        <is>
          <t>伊良部分署</t>
        </is>
      </c>
      <c r="D7" s="47" t="inlineStr">
        <is>
          <t>在籍</t>
        </is>
      </c>
      <c r="E7" s="47" t="n"/>
      <c r="F7" s="20">
        <f>IF(A7="","",A7&amp;"")</f>
        <v/>
      </c>
    </row>
    <row r="8">
      <c r="A8" s="52" t="inlineStr">
        <is>
          <t>1004</t>
        </is>
      </c>
      <c r="B8" s="47" t="inlineStr">
        <is>
          <t>見本 四郎</t>
        </is>
      </c>
      <c r="C8" s="47" t="inlineStr">
        <is>
          <t>伊良部分署</t>
        </is>
      </c>
      <c r="D8" s="47" t="inlineStr">
        <is>
          <t>在籍</t>
        </is>
      </c>
      <c r="E8" s="47" t="n"/>
      <c r="F8" s="20">
        <f>IF(A8="","",A8&amp;"")</f>
        <v/>
      </c>
    </row>
    <row r="9">
      <c r="A9" s="52" t="inlineStr">
        <is>
          <t>1005</t>
        </is>
      </c>
      <c r="B9" s="47" t="inlineStr">
        <is>
          <t>見本 五郎</t>
        </is>
      </c>
      <c r="C9" s="47" t="inlineStr">
        <is>
          <t>本署</t>
        </is>
      </c>
      <c r="D9" s="47" t="inlineStr">
        <is>
          <t>在籍</t>
        </is>
      </c>
      <c r="E9" s="47" t="n"/>
      <c r="F9" s="20">
        <f>IF(A9="","",A9&amp;"")</f>
        <v/>
      </c>
    </row>
    <row r="10">
      <c r="A10" s="52" t="inlineStr">
        <is>
          <t>1006</t>
        </is>
      </c>
      <c r="B10" s="47" t="inlineStr">
        <is>
          <t>見本 六郎</t>
        </is>
      </c>
      <c r="C10" s="47" t="inlineStr">
        <is>
          <t>伊良部分署</t>
        </is>
      </c>
      <c r="D10" s="47" t="inlineStr">
        <is>
          <t>在籍</t>
        </is>
      </c>
      <c r="E10" s="47" t="n"/>
      <c r="F10" s="20">
        <f>IF(A10="","",A10&amp;"")</f>
        <v/>
      </c>
    </row>
    <row r="11">
      <c r="A11" s="52" t="inlineStr">
        <is>
          <t>1007</t>
        </is>
      </c>
      <c r="B11" s="47" t="inlineStr">
        <is>
          <t>見本 七郎</t>
        </is>
      </c>
      <c r="C11" s="47" t="inlineStr">
        <is>
          <t>本署</t>
        </is>
      </c>
      <c r="D11" s="47" t="inlineStr">
        <is>
          <t>異動</t>
        </is>
      </c>
      <c r="E11" s="47" t="n"/>
      <c r="F11" s="20">
        <f>IF(A11="","",A11&amp;"")</f>
        <v/>
      </c>
    </row>
    <row r="12">
      <c r="A12" s="52" t="inlineStr">
        <is>
          <t>1008</t>
        </is>
      </c>
      <c r="B12" s="47" t="inlineStr">
        <is>
          <t>見本 八郎</t>
        </is>
      </c>
      <c r="C12" s="47" t="inlineStr">
        <is>
          <t>本署</t>
        </is>
      </c>
      <c r="D12" s="47" t="inlineStr">
        <is>
          <t>在籍</t>
        </is>
      </c>
      <c r="E12" s="47" t="inlineStr">
        <is>
          <t>潜水士免許なし（候補者）の例</t>
        </is>
      </c>
      <c r="F12" s="20">
        <f>IF(A12="","",A12&amp;"")</f>
        <v/>
      </c>
    </row>
    <row r="13">
      <c r="A13" s="52" t="n"/>
      <c r="B13" s="47" t="n"/>
      <c r="C13" s="47" t="n"/>
      <c r="D13" s="47" t="n"/>
      <c r="E13" s="47" t="n"/>
      <c r="F13" s="20">
        <f>IF(A13="","",A13&amp;"")</f>
        <v/>
      </c>
    </row>
    <row r="14">
      <c r="A14" s="52" t="n"/>
      <c r="B14" s="47" t="n"/>
      <c r="C14" s="47" t="n"/>
      <c r="D14" s="47" t="n"/>
      <c r="E14" s="47" t="n"/>
      <c r="F14" s="20">
        <f>IF(A14="","",A14&amp;"")</f>
        <v/>
      </c>
    </row>
    <row r="15">
      <c r="A15" s="52" t="n"/>
      <c r="B15" s="47" t="n"/>
      <c r="C15" s="47" t="n"/>
      <c r="D15" s="47" t="n"/>
      <c r="E15" s="47" t="n"/>
      <c r="F15" s="20">
        <f>IF(A15="","",A15&amp;"")</f>
        <v/>
      </c>
    </row>
    <row r="16">
      <c r="A16" s="52" t="n"/>
      <c r="B16" s="47" t="n"/>
      <c r="C16" s="47" t="n"/>
      <c r="D16" s="47" t="n"/>
      <c r="E16" s="47" t="n"/>
      <c r="F16" s="20">
        <f>IF(A16="","",A16&amp;"")</f>
        <v/>
      </c>
    </row>
    <row r="17">
      <c r="A17" s="52" t="n"/>
      <c r="B17" s="47" t="n"/>
      <c r="C17" s="47" t="n"/>
      <c r="D17" s="47" t="n"/>
      <c r="E17" s="47" t="n"/>
      <c r="F17" s="20">
        <f>IF(A17="","",A17&amp;"")</f>
        <v/>
      </c>
    </row>
    <row r="18">
      <c r="A18" s="52" t="n"/>
      <c r="B18" s="47" t="n"/>
      <c r="C18" s="47" t="n"/>
      <c r="D18" s="47" t="n"/>
      <c r="E18" s="47" t="n"/>
      <c r="F18" s="20">
        <f>IF(A18="","",A18&amp;"")</f>
        <v/>
      </c>
    </row>
    <row r="19">
      <c r="A19" s="52" t="n"/>
      <c r="B19" s="47" t="n"/>
      <c r="C19" s="47" t="n"/>
      <c r="D19" s="47" t="n"/>
      <c r="E19" s="47" t="n"/>
      <c r="F19" s="20">
        <f>IF(A19="","",A19&amp;"")</f>
        <v/>
      </c>
    </row>
    <row r="20">
      <c r="A20" s="52" t="n"/>
      <c r="B20" s="47" t="n"/>
      <c r="C20" s="47" t="n"/>
      <c r="D20" s="47" t="n"/>
      <c r="E20" s="47" t="n"/>
      <c r="F20" s="20">
        <f>IF(A20="","",A20&amp;"")</f>
        <v/>
      </c>
    </row>
    <row r="21">
      <c r="A21" s="52" t="n"/>
      <c r="B21" s="47" t="n"/>
      <c r="C21" s="47" t="n"/>
      <c r="D21" s="47" t="n"/>
      <c r="E21" s="47" t="n"/>
      <c r="F21" s="20">
        <f>IF(A21="","",A21&amp;"")</f>
        <v/>
      </c>
    </row>
    <row r="22">
      <c r="A22" s="52" t="n"/>
      <c r="B22" s="47" t="n"/>
      <c r="C22" s="47" t="n"/>
      <c r="D22" s="47" t="n"/>
      <c r="E22" s="47" t="n"/>
      <c r="F22" s="20">
        <f>IF(A22="","",A22&amp;"")</f>
        <v/>
      </c>
    </row>
    <row r="23">
      <c r="A23" s="52" t="n"/>
      <c r="B23" s="47" t="n"/>
      <c r="C23" s="47" t="n"/>
      <c r="D23" s="47" t="n"/>
      <c r="E23" s="47" t="n"/>
      <c r="F23" s="20">
        <f>IF(A23="","",A23&amp;"")</f>
        <v/>
      </c>
    </row>
    <row r="24">
      <c r="A24" s="52" t="n"/>
      <c r="B24" s="47" t="n"/>
      <c r="C24" s="47" t="n"/>
      <c r="D24" s="47" t="n"/>
      <c r="E24" s="47" t="n"/>
      <c r="F24" s="20">
        <f>IF(A24="","",A24&amp;"")</f>
        <v/>
      </c>
    </row>
    <row r="25">
      <c r="A25" s="52" t="n"/>
      <c r="B25" s="47" t="n"/>
      <c r="C25" s="47" t="n"/>
      <c r="D25" s="47" t="n"/>
      <c r="E25" s="47" t="n"/>
      <c r="F25" s="20">
        <f>IF(A25="","",A25&amp;"")</f>
        <v/>
      </c>
    </row>
    <row r="26">
      <c r="A26" s="52" t="n"/>
      <c r="B26" s="47" t="n"/>
      <c r="C26" s="47" t="n"/>
      <c r="D26" s="47" t="n"/>
      <c r="E26" s="47" t="n"/>
      <c r="F26" s="20">
        <f>IF(A26="","",A26&amp;"")</f>
        <v/>
      </c>
    </row>
    <row r="27">
      <c r="A27" s="52" t="n"/>
      <c r="B27" s="47" t="n"/>
      <c r="C27" s="47" t="n"/>
      <c r="D27" s="47" t="n"/>
      <c r="E27" s="47" t="n"/>
      <c r="F27" s="20">
        <f>IF(A27="","",A27&amp;"")</f>
        <v/>
      </c>
    </row>
    <row r="28">
      <c r="A28" s="52" t="n"/>
      <c r="B28" s="47" t="n"/>
      <c r="C28" s="47" t="n"/>
      <c r="D28" s="47" t="n"/>
      <c r="E28" s="47" t="n"/>
      <c r="F28" s="20">
        <f>IF(A28="","",A28&amp;"")</f>
        <v/>
      </c>
    </row>
    <row r="29">
      <c r="A29" s="52" t="n"/>
      <c r="B29" s="47" t="n"/>
      <c r="C29" s="47" t="n"/>
      <c r="D29" s="47" t="n"/>
      <c r="E29" s="47" t="n"/>
      <c r="F29" s="20">
        <f>IF(A29="","",A29&amp;"")</f>
        <v/>
      </c>
    </row>
    <row r="30">
      <c r="A30" s="52" t="n"/>
      <c r="B30" s="47" t="n"/>
      <c r="C30" s="47" t="n"/>
      <c r="D30" s="47" t="n"/>
      <c r="E30" s="47" t="n"/>
      <c r="F30" s="20">
        <f>IF(A30="","",A30&amp;"")</f>
        <v/>
      </c>
    </row>
    <row r="31">
      <c r="A31" s="52" t="n"/>
      <c r="B31" s="47" t="n"/>
      <c r="C31" s="47" t="n"/>
      <c r="D31" s="47" t="n"/>
      <c r="E31" s="47" t="n"/>
      <c r="F31" s="20">
        <f>IF(A31="","",A31&amp;"")</f>
        <v/>
      </c>
    </row>
    <row r="32">
      <c r="A32" s="52" t="n"/>
      <c r="B32" s="47" t="n"/>
      <c r="C32" s="47" t="n"/>
      <c r="D32" s="47" t="n"/>
      <c r="E32" s="47" t="n"/>
      <c r="F32" s="20">
        <f>IF(A32="","",A32&amp;"")</f>
        <v/>
      </c>
    </row>
    <row r="33">
      <c r="A33" s="52" t="n"/>
      <c r="B33" s="47" t="n"/>
      <c r="C33" s="47" t="n"/>
      <c r="D33" s="47" t="n"/>
      <c r="E33" s="47" t="n"/>
      <c r="F33" s="20">
        <f>IF(A33="","",A33&amp;"")</f>
        <v/>
      </c>
    </row>
    <row r="34">
      <c r="A34" s="52" t="n"/>
      <c r="B34" s="47" t="n"/>
      <c r="C34" s="47" t="n"/>
      <c r="D34" s="47" t="n"/>
      <c r="E34" s="47" t="n"/>
      <c r="F34" s="20">
        <f>IF(A34="","",A34&amp;"")</f>
        <v/>
      </c>
    </row>
    <row r="35">
      <c r="A35" s="52" t="n"/>
      <c r="B35" s="47" t="n"/>
      <c r="C35" s="47" t="n"/>
      <c r="D35" s="47" t="n"/>
      <c r="E35" s="47" t="n"/>
      <c r="F35" s="20">
        <f>IF(A35="","",A35&amp;"")</f>
        <v/>
      </c>
    </row>
    <row r="36">
      <c r="A36" s="52" t="n"/>
      <c r="B36" s="47" t="n"/>
      <c r="C36" s="47" t="n"/>
      <c r="D36" s="47" t="n"/>
      <c r="E36" s="47" t="n"/>
      <c r="F36" s="20">
        <f>IF(A36="","",A36&amp;"")</f>
        <v/>
      </c>
    </row>
    <row r="37">
      <c r="A37" s="52" t="n"/>
      <c r="B37" s="47" t="n"/>
      <c r="C37" s="47" t="n"/>
      <c r="D37" s="47" t="n"/>
      <c r="E37" s="47" t="n"/>
      <c r="F37" s="20">
        <f>IF(A37="","",A37&amp;"")</f>
        <v/>
      </c>
    </row>
    <row r="38">
      <c r="A38" s="52" t="n"/>
      <c r="B38" s="47" t="n"/>
      <c r="C38" s="47" t="n"/>
      <c r="D38" s="47" t="n"/>
      <c r="E38" s="47" t="n"/>
      <c r="F38" s="20">
        <f>IF(A38="","",A38&amp;"")</f>
        <v/>
      </c>
    </row>
    <row r="39">
      <c r="A39" s="52" t="n"/>
      <c r="B39" s="47" t="n"/>
      <c r="C39" s="47" t="n"/>
      <c r="D39" s="47" t="n"/>
      <c r="E39" s="47" t="n"/>
      <c r="F39" s="20">
        <f>IF(A39="","",A39&amp;"")</f>
        <v/>
      </c>
    </row>
    <row r="40">
      <c r="A40" s="52" t="n"/>
      <c r="B40" s="47" t="n"/>
      <c r="C40" s="47" t="n"/>
      <c r="D40" s="47" t="n"/>
      <c r="E40" s="47" t="n"/>
      <c r="F40" s="20">
        <f>IF(A40="","",A40&amp;"")</f>
        <v/>
      </c>
    </row>
    <row r="41">
      <c r="A41" s="52" t="n"/>
      <c r="B41" s="47" t="n"/>
      <c r="C41" s="47" t="n"/>
      <c r="D41" s="47" t="n"/>
      <c r="E41" s="47" t="n"/>
      <c r="F41" s="20">
        <f>IF(A41="","",A41&amp;"")</f>
        <v/>
      </c>
    </row>
    <row r="42">
      <c r="A42" s="52" t="n"/>
      <c r="B42" s="47" t="n"/>
      <c r="C42" s="47" t="n"/>
      <c r="D42" s="47" t="n"/>
      <c r="E42" s="47" t="n"/>
      <c r="F42" s="20">
        <f>IF(A42="","",A42&amp;"")</f>
        <v/>
      </c>
    </row>
    <row r="43">
      <c r="A43" s="52" t="n"/>
      <c r="B43" s="47" t="n"/>
      <c r="C43" s="47" t="n"/>
      <c r="D43" s="47" t="n"/>
      <c r="E43" s="47" t="n"/>
      <c r="F43" s="20">
        <f>IF(A43="","",A43&amp;"")</f>
        <v/>
      </c>
    </row>
    <row r="44">
      <c r="A44" s="52" t="n"/>
      <c r="B44" s="47" t="n"/>
      <c r="C44" s="47" t="n"/>
      <c r="D44" s="47" t="n"/>
      <c r="E44" s="47" t="n"/>
      <c r="F44" s="20">
        <f>IF(A44="","",A44&amp;"")</f>
        <v/>
      </c>
    </row>
    <row r="45">
      <c r="A45" s="52" t="n"/>
      <c r="B45" s="47" t="n"/>
      <c r="C45" s="47" t="n"/>
      <c r="D45" s="47" t="n"/>
      <c r="E45" s="47" t="n"/>
      <c r="F45" s="20">
        <f>IF(A45="","",A45&amp;"")</f>
        <v/>
      </c>
    </row>
    <row r="46">
      <c r="A46" s="52" t="n"/>
      <c r="B46" s="47" t="n"/>
      <c r="C46" s="47" t="n"/>
      <c r="D46" s="47" t="n"/>
      <c r="E46" s="47" t="n"/>
      <c r="F46" s="20">
        <f>IF(A46="","",A46&amp;"")</f>
        <v/>
      </c>
    </row>
    <row r="47">
      <c r="A47" s="52" t="n"/>
      <c r="B47" s="47" t="n"/>
      <c r="C47" s="47" t="n"/>
      <c r="D47" s="47" t="n"/>
      <c r="E47" s="47" t="n"/>
      <c r="F47" s="20">
        <f>IF(A47="","",A47&amp;"")</f>
        <v/>
      </c>
    </row>
    <row r="48">
      <c r="A48" s="52" t="n"/>
      <c r="B48" s="47" t="n"/>
      <c r="C48" s="47" t="n"/>
      <c r="D48" s="47" t="n"/>
      <c r="E48" s="47" t="n"/>
      <c r="F48" s="20">
        <f>IF(A48="","",A48&amp;"")</f>
        <v/>
      </c>
    </row>
    <row r="49">
      <c r="A49" s="52" t="n"/>
      <c r="B49" s="47" t="n"/>
      <c r="C49" s="47" t="n"/>
      <c r="D49" s="47" t="n"/>
      <c r="E49" s="47" t="n"/>
      <c r="F49" s="20">
        <f>IF(A49="","",A49&amp;"")</f>
        <v/>
      </c>
    </row>
    <row r="50">
      <c r="A50" s="52" t="n"/>
      <c r="B50" s="47" t="n"/>
      <c r="C50" s="47" t="n"/>
      <c r="D50" s="47" t="n"/>
      <c r="E50" s="47" t="n"/>
      <c r="F50" s="20">
        <f>IF(A50="","",A50&amp;"")</f>
        <v/>
      </c>
    </row>
    <row r="51">
      <c r="A51" s="52" t="n"/>
      <c r="B51" s="47" t="n"/>
      <c r="C51" s="47" t="n"/>
      <c r="D51" s="47" t="n"/>
      <c r="E51" s="47" t="n"/>
      <c r="F51" s="20">
        <f>IF(A51="","",A51&amp;"")</f>
        <v/>
      </c>
    </row>
    <row r="52">
      <c r="A52" s="52" t="n"/>
      <c r="B52" s="47" t="n"/>
      <c r="C52" s="47" t="n"/>
      <c r="D52" s="47" t="n"/>
      <c r="E52" s="47" t="n"/>
      <c r="F52" s="20">
        <f>IF(A52="","",A52&amp;"")</f>
        <v/>
      </c>
    </row>
    <row r="53">
      <c r="A53" s="52" t="n"/>
      <c r="B53" s="47" t="n"/>
      <c r="C53" s="47" t="n"/>
      <c r="D53" s="47" t="n"/>
      <c r="E53" s="47" t="n"/>
      <c r="F53" s="20">
        <f>IF(A53="","",A53&amp;"")</f>
        <v/>
      </c>
    </row>
    <row r="54">
      <c r="A54" s="52" t="n"/>
      <c r="B54" s="47" t="n"/>
      <c r="C54" s="47" t="n"/>
      <c r="D54" s="47" t="n"/>
      <c r="E54" s="47" t="n"/>
      <c r="F54" s="20">
        <f>IF(A54="","",A54&amp;"")</f>
        <v/>
      </c>
    </row>
    <row r="55">
      <c r="A55" s="52" t="n"/>
      <c r="B55" s="47" t="n"/>
      <c r="C55" s="47" t="n"/>
      <c r="D55" s="47" t="n"/>
      <c r="E55" s="47" t="n"/>
      <c r="F55" s="20">
        <f>IF(A55="","",A55&amp;"")</f>
        <v/>
      </c>
    </row>
    <row r="56">
      <c r="A56" s="52" t="n"/>
      <c r="B56" s="47" t="n"/>
      <c r="C56" s="47" t="n"/>
      <c r="D56" s="47" t="n"/>
      <c r="E56" s="47" t="n"/>
      <c r="F56" s="20">
        <f>IF(A56="","",A56&amp;"")</f>
        <v/>
      </c>
    </row>
    <row r="57">
      <c r="A57" s="52" t="n"/>
      <c r="B57" s="47" t="n"/>
      <c r="C57" s="47" t="n"/>
      <c r="D57" s="47" t="n"/>
      <c r="E57" s="47" t="n"/>
      <c r="F57" s="20">
        <f>IF(A57="","",A57&amp;"")</f>
        <v/>
      </c>
    </row>
    <row r="58">
      <c r="A58" s="52" t="n"/>
      <c r="B58" s="47" t="n"/>
      <c r="C58" s="47" t="n"/>
      <c r="D58" s="47" t="n"/>
      <c r="E58" s="47" t="n"/>
      <c r="F58" s="20">
        <f>IF(A58="","",A58&amp;"")</f>
        <v/>
      </c>
    </row>
    <row r="59">
      <c r="A59" s="52" t="n"/>
      <c r="B59" s="47" t="n"/>
      <c r="C59" s="47" t="n"/>
      <c r="D59" s="47" t="n"/>
      <c r="E59" s="47" t="n"/>
      <c r="F59" s="20">
        <f>IF(A59="","",A59&amp;"")</f>
        <v/>
      </c>
    </row>
    <row r="60">
      <c r="A60" s="52" t="n"/>
      <c r="B60" s="47" t="n"/>
      <c r="C60" s="47" t="n"/>
      <c r="D60" s="47" t="n"/>
      <c r="E60" s="47" t="n"/>
      <c r="F60" s="20">
        <f>IF(A60="","",A60&amp;"")</f>
        <v/>
      </c>
    </row>
    <row r="61">
      <c r="A61" s="52" t="n"/>
      <c r="B61" s="47" t="n"/>
      <c r="C61" s="47" t="n"/>
      <c r="D61" s="47" t="n"/>
      <c r="E61" s="47" t="n"/>
      <c r="F61" s="20">
        <f>IF(A61="","",A61&amp;"")</f>
        <v/>
      </c>
    </row>
    <row r="62">
      <c r="A62" s="52" t="n"/>
      <c r="B62" s="47" t="n"/>
      <c r="C62" s="47" t="n"/>
      <c r="D62" s="47" t="n"/>
      <c r="E62" s="47" t="n"/>
      <c r="F62" s="20">
        <f>IF(A62="","",A62&amp;"")</f>
        <v/>
      </c>
    </row>
    <row r="63">
      <c r="A63" s="52" t="n"/>
      <c r="B63" s="47" t="n"/>
      <c r="C63" s="47" t="n"/>
      <c r="D63" s="47" t="n"/>
      <c r="E63" s="47" t="n"/>
      <c r="F63" s="20">
        <f>IF(A63="","",A63&amp;"")</f>
        <v/>
      </c>
    </row>
    <row r="64">
      <c r="A64" s="52" t="n"/>
      <c r="B64" s="47" t="n"/>
      <c r="C64" s="47" t="n"/>
      <c r="D64" s="47" t="n"/>
      <c r="E64" s="47" t="n"/>
      <c r="F64" s="20">
        <f>IF(A64="","",A64&amp;"")</f>
        <v/>
      </c>
    </row>
    <row r="65">
      <c r="A65" s="52" t="n"/>
      <c r="B65" s="47" t="n"/>
      <c r="C65" s="47" t="n"/>
      <c r="D65" s="47" t="n"/>
      <c r="E65" s="47" t="n"/>
      <c r="F65" s="20">
        <f>IF(A65="","",A65&amp;"")</f>
        <v/>
      </c>
    </row>
    <row r="66">
      <c r="A66" s="52" t="n"/>
      <c r="B66" s="47" t="n"/>
      <c r="C66" s="47" t="n"/>
      <c r="D66" s="47" t="n"/>
      <c r="E66" s="47" t="n"/>
      <c r="F66" s="20">
        <f>IF(A66="","",A66&amp;"")</f>
        <v/>
      </c>
    </row>
    <row r="67">
      <c r="A67" s="52" t="n"/>
      <c r="B67" s="47" t="n"/>
      <c r="C67" s="47" t="n"/>
      <c r="D67" s="47" t="n"/>
      <c r="E67" s="47" t="n"/>
      <c r="F67" s="20">
        <f>IF(A67="","",A67&amp;"")</f>
        <v/>
      </c>
    </row>
    <row r="68">
      <c r="A68" s="52" t="n"/>
      <c r="B68" s="47" t="n"/>
      <c r="C68" s="47" t="n"/>
      <c r="D68" s="47" t="n"/>
      <c r="E68" s="47" t="n"/>
      <c r="F68" s="20">
        <f>IF(A68="","",A68&amp;"")</f>
        <v/>
      </c>
    </row>
    <row r="69">
      <c r="A69" s="52" t="n"/>
      <c r="B69" s="47" t="n"/>
      <c r="C69" s="47" t="n"/>
      <c r="D69" s="47" t="n"/>
      <c r="E69" s="47" t="n"/>
      <c r="F69" s="20">
        <f>IF(A69="","",A69&amp;"")</f>
        <v/>
      </c>
    </row>
    <row r="70">
      <c r="A70" s="52" t="n"/>
      <c r="B70" s="47" t="n"/>
      <c r="C70" s="47" t="n"/>
      <c r="D70" s="47" t="n"/>
      <c r="E70" s="47" t="n"/>
      <c r="F70" s="20">
        <f>IF(A70="","",A70&amp;"")</f>
        <v/>
      </c>
    </row>
    <row r="71">
      <c r="A71" s="52" t="n"/>
      <c r="B71" s="47" t="n"/>
      <c r="C71" s="47" t="n"/>
      <c r="D71" s="47" t="n"/>
      <c r="E71" s="47" t="n"/>
      <c r="F71" s="20">
        <f>IF(A71="","",A71&amp;"")</f>
        <v/>
      </c>
    </row>
    <row r="72">
      <c r="A72" s="52" t="n"/>
      <c r="B72" s="47" t="n"/>
      <c r="C72" s="47" t="n"/>
      <c r="D72" s="47" t="n"/>
      <c r="E72" s="47" t="n"/>
      <c r="F72" s="20">
        <f>IF(A72="","",A72&amp;"")</f>
        <v/>
      </c>
    </row>
    <row r="73">
      <c r="A73" s="52" t="n"/>
      <c r="B73" s="47" t="n"/>
      <c r="C73" s="47" t="n"/>
      <c r="D73" s="47" t="n"/>
      <c r="E73" s="47" t="n"/>
      <c r="F73" s="20">
        <f>IF(A73="","",A73&amp;"")</f>
        <v/>
      </c>
    </row>
    <row r="74">
      <c r="A74" s="52" t="n"/>
      <c r="B74" s="47" t="n"/>
      <c r="C74" s="47" t="n"/>
      <c r="D74" s="47" t="n"/>
      <c r="E74" s="47" t="n"/>
      <c r="F74" s="20">
        <f>IF(A74="","",A74&amp;"")</f>
        <v/>
      </c>
    </row>
    <row r="75">
      <c r="A75" s="52" t="n"/>
      <c r="B75" s="47" t="n"/>
      <c r="C75" s="47" t="n"/>
      <c r="D75" s="47" t="n"/>
      <c r="E75" s="47" t="n"/>
      <c r="F75" s="20">
        <f>IF(A75="","",A75&amp;"")</f>
        <v/>
      </c>
    </row>
    <row r="76">
      <c r="A76" s="52" t="n"/>
      <c r="B76" s="47" t="n"/>
      <c r="C76" s="47" t="n"/>
      <c r="D76" s="47" t="n"/>
      <c r="E76" s="47" t="n"/>
      <c r="F76" s="20">
        <f>IF(A76="","",A76&amp;"")</f>
        <v/>
      </c>
    </row>
    <row r="77">
      <c r="A77" s="52" t="n"/>
      <c r="B77" s="47" t="n"/>
      <c r="C77" s="47" t="n"/>
      <c r="D77" s="47" t="n"/>
      <c r="E77" s="47" t="n"/>
      <c r="F77" s="20">
        <f>IF(A77="","",A77&amp;"")</f>
        <v/>
      </c>
    </row>
    <row r="78">
      <c r="A78" s="52" t="n"/>
      <c r="B78" s="47" t="n"/>
      <c r="C78" s="47" t="n"/>
      <c r="D78" s="47" t="n"/>
      <c r="E78" s="47" t="n"/>
      <c r="F78" s="20">
        <f>IF(A78="","",A78&amp;"")</f>
        <v/>
      </c>
    </row>
    <row r="79">
      <c r="A79" s="52" t="n"/>
      <c r="B79" s="47" t="n"/>
      <c r="C79" s="47" t="n"/>
      <c r="D79" s="47" t="n"/>
      <c r="E79" s="47" t="n"/>
      <c r="F79" s="20">
        <f>IF(A79="","",A79&amp;"")</f>
        <v/>
      </c>
    </row>
    <row r="80">
      <c r="A80" s="52" t="n"/>
      <c r="B80" s="47" t="n"/>
      <c r="C80" s="47" t="n"/>
      <c r="D80" s="47" t="n"/>
      <c r="E80" s="47" t="n"/>
      <c r="F80" s="20">
        <f>IF(A80="","",A80&amp;"")</f>
        <v/>
      </c>
    </row>
    <row r="81">
      <c r="A81" s="52" t="n"/>
      <c r="B81" s="47" t="n"/>
      <c r="C81" s="47" t="n"/>
      <c r="D81" s="47" t="n"/>
      <c r="E81" s="47" t="n"/>
      <c r="F81" s="20">
        <f>IF(A81="","",A81&amp;"")</f>
        <v/>
      </c>
    </row>
    <row r="82">
      <c r="A82" s="52" t="n"/>
      <c r="B82" s="47" t="n"/>
      <c r="C82" s="47" t="n"/>
      <c r="D82" s="47" t="n"/>
      <c r="E82" s="47" t="n"/>
      <c r="F82" s="20">
        <f>IF(A82="","",A82&amp;"")</f>
        <v/>
      </c>
    </row>
    <row r="83">
      <c r="A83" s="52" t="n"/>
      <c r="B83" s="47" t="n"/>
      <c r="C83" s="47" t="n"/>
      <c r="D83" s="47" t="n"/>
      <c r="E83" s="47" t="n"/>
      <c r="F83" s="20">
        <f>IF(A83="","",A83&amp;"")</f>
        <v/>
      </c>
    </row>
    <row r="84">
      <c r="A84" s="52" t="n"/>
      <c r="B84" s="47" t="n"/>
      <c r="C84" s="47" t="n"/>
      <c r="D84" s="47" t="n"/>
      <c r="E84" s="47" t="n"/>
      <c r="F84" s="20">
        <f>IF(A84="","",A84&amp;"")</f>
        <v/>
      </c>
    </row>
    <row r="85">
      <c r="A85" s="52" t="n"/>
      <c r="B85" s="47" t="n"/>
      <c r="C85" s="47" t="n"/>
      <c r="D85" s="47" t="n"/>
      <c r="E85" s="47" t="n"/>
      <c r="F85" s="20">
        <f>IF(A85="","",A85&amp;"")</f>
        <v/>
      </c>
    </row>
    <row r="86">
      <c r="A86" s="52" t="n"/>
      <c r="B86" s="47" t="n"/>
      <c r="C86" s="47" t="n"/>
      <c r="D86" s="47" t="n"/>
      <c r="E86" s="47" t="n"/>
      <c r="F86" s="20">
        <f>IF(A86="","",A86&amp;"")</f>
        <v/>
      </c>
    </row>
    <row r="87">
      <c r="A87" s="52" t="n"/>
      <c r="B87" s="47" t="n"/>
      <c r="C87" s="47" t="n"/>
      <c r="D87" s="47" t="n"/>
      <c r="E87" s="47" t="n"/>
      <c r="F87" s="20">
        <f>IF(A87="","",A87&amp;"")</f>
        <v/>
      </c>
    </row>
    <row r="88">
      <c r="A88" s="52" t="n"/>
      <c r="B88" s="47" t="n"/>
      <c r="C88" s="47" t="n"/>
      <c r="D88" s="47" t="n"/>
      <c r="E88" s="47" t="n"/>
      <c r="F88" s="20">
        <f>IF(A88="","",A88&amp;"")</f>
        <v/>
      </c>
    </row>
    <row r="89">
      <c r="A89" s="52" t="n"/>
      <c r="B89" s="47" t="n"/>
      <c r="C89" s="47" t="n"/>
      <c r="D89" s="47" t="n"/>
      <c r="E89" s="47" t="n"/>
      <c r="F89" s="20">
        <f>IF(A89="","",A89&amp;"")</f>
        <v/>
      </c>
    </row>
    <row r="90">
      <c r="A90" s="52" t="n"/>
      <c r="B90" s="47" t="n"/>
      <c r="C90" s="47" t="n"/>
      <c r="D90" s="47" t="n"/>
      <c r="E90" s="47" t="n"/>
      <c r="F90" s="20">
        <f>IF(A90="","",A90&amp;"")</f>
        <v/>
      </c>
    </row>
    <row r="91">
      <c r="A91" s="52" t="n"/>
      <c r="B91" s="47" t="n"/>
      <c r="C91" s="47" t="n"/>
      <c r="D91" s="47" t="n"/>
      <c r="E91" s="47" t="n"/>
      <c r="F91" s="20">
        <f>IF(A91="","",A91&amp;"")</f>
        <v/>
      </c>
    </row>
    <row r="92">
      <c r="A92" s="52" t="n"/>
      <c r="B92" s="47" t="n"/>
      <c r="C92" s="47" t="n"/>
      <c r="D92" s="47" t="n"/>
      <c r="E92" s="47" t="n"/>
      <c r="F92" s="20">
        <f>IF(A92="","",A92&amp;"")</f>
        <v/>
      </c>
    </row>
    <row r="93">
      <c r="A93" s="52" t="n"/>
      <c r="B93" s="47" t="n"/>
      <c r="C93" s="47" t="n"/>
      <c r="D93" s="47" t="n"/>
      <c r="E93" s="47" t="n"/>
      <c r="F93" s="20">
        <f>IF(A93="","",A93&amp;"")</f>
        <v/>
      </c>
    </row>
    <row r="94">
      <c r="A94" s="52" t="n"/>
      <c r="B94" s="47" t="n"/>
      <c r="C94" s="47" t="n"/>
      <c r="D94" s="47" t="n"/>
      <c r="E94" s="47" t="n"/>
      <c r="F94" s="20">
        <f>IF(A94="","",A94&amp;"")</f>
        <v/>
      </c>
    </row>
    <row r="95">
      <c r="A95" s="52" t="n"/>
      <c r="B95" s="47" t="n"/>
      <c r="C95" s="47" t="n"/>
      <c r="D95" s="47" t="n"/>
      <c r="E95" s="47" t="n"/>
      <c r="F95" s="20">
        <f>IF(A95="","",A95&amp;"")</f>
        <v/>
      </c>
    </row>
    <row r="96">
      <c r="A96" s="52" t="n"/>
      <c r="B96" s="47" t="n"/>
      <c r="C96" s="47" t="n"/>
      <c r="D96" s="47" t="n"/>
      <c r="E96" s="47" t="n"/>
      <c r="F96" s="20">
        <f>IF(A96="","",A96&amp;"")</f>
        <v/>
      </c>
    </row>
    <row r="97">
      <c r="A97" s="52" t="n"/>
      <c r="B97" s="47" t="n"/>
      <c r="C97" s="47" t="n"/>
      <c r="D97" s="47" t="n"/>
      <c r="E97" s="47" t="n"/>
      <c r="F97" s="20">
        <f>IF(A97="","",A97&amp;"")</f>
        <v/>
      </c>
    </row>
    <row r="98">
      <c r="A98" s="52" t="n"/>
      <c r="B98" s="47" t="n"/>
      <c r="C98" s="47" t="n"/>
      <c r="D98" s="47" t="n"/>
      <c r="E98" s="47" t="n"/>
      <c r="F98" s="20">
        <f>IF(A98="","",A98&amp;"")</f>
        <v/>
      </c>
    </row>
    <row r="99">
      <c r="A99" s="52" t="n"/>
      <c r="B99" s="47" t="n"/>
      <c r="C99" s="47" t="n"/>
      <c r="D99" s="47" t="n"/>
      <c r="E99" s="47" t="n"/>
      <c r="F99" s="20">
        <f>IF(A99="","",A99&amp;"")</f>
        <v/>
      </c>
    </row>
    <row r="100">
      <c r="A100" s="52" t="n"/>
      <c r="B100" s="47" t="n"/>
      <c r="C100" s="47" t="n"/>
      <c r="D100" s="47" t="n"/>
      <c r="E100" s="47" t="n"/>
      <c r="F100" s="20">
        <f>IF(A100="","",A100&amp;"")</f>
        <v/>
      </c>
    </row>
    <row r="101">
      <c r="A101" s="52" t="n"/>
      <c r="B101" s="47" t="n"/>
      <c r="C101" s="47" t="n"/>
      <c r="D101" s="47" t="n"/>
      <c r="E101" s="47" t="n"/>
      <c r="F101" s="20">
        <f>IF(A101="","",A101&amp;"")</f>
        <v/>
      </c>
    </row>
    <row r="102">
      <c r="A102" s="52" t="n"/>
      <c r="B102" s="47" t="n"/>
      <c r="C102" s="47" t="n"/>
      <c r="D102" s="47" t="n"/>
      <c r="E102" s="47" t="n"/>
      <c r="F102" s="20">
        <f>IF(A102="","",A102&amp;"")</f>
        <v/>
      </c>
    </row>
    <row r="103">
      <c r="A103" s="52" t="n"/>
      <c r="B103" s="47" t="n"/>
      <c r="C103" s="47" t="n"/>
      <c r="D103" s="47" t="n"/>
      <c r="E103" s="47" t="n"/>
      <c r="F103" s="20">
        <f>IF(A103="","",A103&amp;"")</f>
        <v/>
      </c>
    </row>
    <row r="104">
      <c r="A104" s="52" t="n"/>
      <c r="B104" s="47" t="n"/>
      <c r="C104" s="47" t="n"/>
      <c r="D104" s="47" t="n"/>
      <c r="E104" s="47" t="n"/>
      <c r="F104" s="20">
        <f>IF(A104="","",A104&amp;"")</f>
        <v/>
      </c>
    </row>
    <row r="105">
      <c r="A105" s="52" t="n"/>
      <c r="B105" s="47" t="n"/>
      <c r="C105" s="47" t="n"/>
      <c r="D105" s="47" t="n"/>
      <c r="E105" s="47" t="n"/>
      <c r="F105" s="20">
        <f>IF(A105="","",A105&amp;"")</f>
        <v/>
      </c>
    </row>
    <row r="106">
      <c r="A106" s="52" t="n"/>
      <c r="B106" s="47" t="n"/>
      <c r="C106" s="47" t="n"/>
      <c r="D106" s="47" t="n"/>
      <c r="E106" s="47" t="n"/>
      <c r="F106" s="20">
        <f>IF(A106="","",A106&amp;"")</f>
        <v/>
      </c>
    </row>
    <row r="107">
      <c r="A107" s="52" t="n"/>
      <c r="B107" s="47" t="n"/>
      <c r="C107" s="47" t="n"/>
      <c r="D107" s="47" t="n"/>
      <c r="E107" s="47" t="n"/>
      <c r="F107" s="20">
        <f>IF(A107="","",A107&amp;"")</f>
        <v/>
      </c>
    </row>
    <row r="108">
      <c r="A108" s="52" t="n"/>
      <c r="B108" s="47" t="n"/>
      <c r="C108" s="47" t="n"/>
      <c r="D108" s="47" t="n"/>
      <c r="E108" s="47" t="n"/>
      <c r="F108" s="20">
        <f>IF(A108="","",A108&amp;"")</f>
        <v/>
      </c>
    </row>
    <row r="109">
      <c r="A109" s="52" t="n"/>
      <c r="B109" s="47" t="n"/>
      <c r="C109" s="47" t="n"/>
      <c r="D109" s="47" t="n"/>
      <c r="E109" s="47" t="n"/>
      <c r="F109" s="20">
        <f>IF(A109="","",A109&amp;"")</f>
        <v/>
      </c>
    </row>
    <row r="110">
      <c r="A110" s="52" t="n"/>
      <c r="B110" s="47" t="n"/>
      <c r="C110" s="47" t="n"/>
      <c r="D110" s="47" t="n"/>
      <c r="E110" s="47" t="n"/>
      <c r="F110" s="20">
        <f>IF(A110="","",A110&amp;"")</f>
        <v/>
      </c>
    </row>
    <row r="111">
      <c r="A111" s="52" t="n"/>
      <c r="B111" s="47" t="n"/>
      <c r="C111" s="47" t="n"/>
      <c r="D111" s="47" t="n"/>
      <c r="E111" s="47" t="n"/>
      <c r="F111" s="20">
        <f>IF(A111="","",A111&amp;"")</f>
        <v/>
      </c>
    </row>
    <row r="112">
      <c r="A112" s="52" t="n"/>
      <c r="B112" s="47" t="n"/>
      <c r="C112" s="47" t="n"/>
      <c r="D112" s="47" t="n"/>
      <c r="E112" s="47" t="n"/>
      <c r="F112" s="20">
        <f>IF(A112="","",A112&amp;"")</f>
        <v/>
      </c>
    </row>
    <row r="113">
      <c r="A113" s="52" t="n"/>
      <c r="B113" s="47" t="n"/>
      <c r="C113" s="47" t="n"/>
      <c r="D113" s="47" t="n"/>
      <c r="E113" s="47" t="n"/>
      <c r="F113" s="20">
        <f>IF(A113="","",A113&amp;"")</f>
        <v/>
      </c>
    </row>
    <row r="114">
      <c r="A114" s="52" t="n"/>
      <c r="B114" s="47" t="n"/>
      <c r="C114" s="47" t="n"/>
      <c r="D114" s="47" t="n"/>
      <c r="E114" s="47" t="n"/>
      <c r="F114" s="20">
        <f>IF(A114="","",A114&amp;"")</f>
        <v/>
      </c>
    </row>
    <row r="115">
      <c r="A115" s="52" t="n"/>
      <c r="B115" s="47" t="n"/>
      <c r="C115" s="47" t="n"/>
      <c r="D115" s="47" t="n"/>
      <c r="E115" s="47" t="n"/>
      <c r="F115" s="20">
        <f>IF(A115="","",A115&amp;"")</f>
        <v/>
      </c>
    </row>
    <row r="116">
      <c r="A116" s="52" t="n"/>
      <c r="B116" s="47" t="n"/>
      <c r="C116" s="47" t="n"/>
      <c r="D116" s="47" t="n"/>
      <c r="E116" s="47" t="n"/>
      <c r="F116" s="20">
        <f>IF(A116="","",A116&amp;"")</f>
        <v/>
      </c>
    </row>
    <row r="117">
      <c r="A117" s="52" t="n"/>
      <c r="B117" s="47" t="n"/>
      <c r="C117" s="47" t="n"/>
      <c r="D117" s="47" t="n"/>
      <c r="E117" s="47" t="n"/>
      <c r="F117" s="20">
        <f>IF(A117="","",A117&amp;"")</f>
        <v/>
      </c>
    </row>
    <row r="118">
      <c r="A118" s="52" t="n"/>
      <c r="B118" s="47" t="n"/>
      <c r="C118" s="47" t="n"/>
      <c r="D118" s="47" t="n"/>
      <c r="E118" s="47" t="n"/>
      <c r="F118" s="20">
        <f>IF(A118="","",A118&amp;"")</f>
        <v/>
      </c>
    </row>
    <row r="119">
      <c r="A119" s="52" t="n"/>
      <c r="B119" s="47" t="n"/>
      <c r="C119" s="47" t="n"/>
      <c r="D119" s="47" t="n"/>
      <c r="E119" s="47" t="n"/>
      <c r="F119" s="20">
        <f>IF(A119="","",A119&amp;"")</f>
        <v/>
      </c>
    </row>
    <row r="120">
      <c r="A120" s="52" t="n"/>
      <c r="B120" s="47" t="n"/>
      <c r="C120" s="47" t="n"/>
      <c r="D120" s="47" t="n"/>
      <c r="E120" s="47" t="n"/>
      <c r="F120" s="20">
        <f>IF(A120="","",A120&amp;"")</f>
        <v/>
      </c>
    </row>
    <row r="121">
      <c r="A121" s="52" t="n"/>
      <c r="B121" s="47" t="n"/>
      <c r="C121" s="47" t="n"/>
      <c r="D121" s="47" t="n"/>
      <c r="E121" s="47" t="n"/>
      <c r="F121" s="20">
        <f>IF(A121="","",A121&amp;"")</f>
        <v/>
      </c>
    </row>
    <row r="122">
      <c r="A122" s="52" t="n"/>
      <c r="B122" s="47" t="n"/>
      <c r="C122" s="47" t="n"/>
      <c r="D122" s="47" t="n"/>
      <c r="E122" s="47" t="n"/>
      <c r="F122" s="20">
        <f>IF(A122="","",A122&amp;"")</f>
        <v/>
      </c>
    </row>
    <row r="123">
      <c r="A123" s="52" t="n"/>
      <c r="B123" s="47" t="n"/>
      <c r="C123" s="47" t="n"/>
      <c r="D123" s="47" t="n"/>
      <c r="E123" s="47" t="n"/>
      <c r="F123" s="20">
        <f>IF(A123="","",A123&amp;"")</f>
        <v/>
      </c>
    </row>
    <row r="124">
      <c r="A124" s="52" t="n"/>
      <c r="B124" s="47" t="n"/>
      <c r="C124" s="47" t="n"/>
      <c r="D124" s="47" t="n"/>
      <c r="E124" s="47" t="n"/>
      <c r="F124" s="20">
        <f>IF(A124="","",A124&amp;"")</f>
        <v/>
      </c>
    </row>
    <row r="125">
      <c r="A125" s="52" t="n"/>
      <c r="B125" s="47" t="n"/>
      <c r="C125" s="47" t="n"/>
      <c r="D125" s="47" t="n"/>
      <c r="E125" s="47" t="n"/>
      <c r="F125" s="20">
        <f>IF(A125="","",A125&amp;"")</f>
        <v/>
      </c>
    </row>
    <row r="126">
      <c r="A126" s="52" t="n"/>
      <c r="B126" s="47" t="n"/>
      <c r="C126" s="47" t="n"/>
      <c r="D126" s="47" t="n"/>
      <c r="E126" s="47" t="n"/>
      <c r="F126" s="20">
        <f>IF(A126="","",A126&amp;"")</f>
        <v/>
      </c>
    </row>
    <row r="127">
      <c r="A127" s="52" t="n"/>
      <c r="B127" s="47" t="n"/>
      <c r="C127" s="47" t="n"/>
      <c r="D127" s="47" t="n"/>
      <c r="E127" s="47" t="n"/>
      <c r="F127" s="20">
        <f>IF(A127="","",A127&amp;"")</f>
        <v/>
      </c>
    </row>
    <row r="128">
      <c r="A128" s="52" t="n"/>
      <c r="B128" s="47" t="n"/>
      <c r="C128" s="47" t="n"/>
      <c r="D128" s="47" t="n"/>
      <c r="E128" s="47" t="n"/>
      <c r="F128" s="20">
        <f>IF(A128="","",A128&amp;"")</f>
        <v/>
      </c>
    </row>
    <row r="129">
      <c r="A129" s="52" t="n"/>
      <c r="B129" s="47" t="n"/>
      <c r="C129" s="47" t="n"/>
      <c r="D129" s="47" t="n"/>
      <c r="E129" s="47" t="n"/>
      <c r="F129" s="20">
        <f>IF(A129="","",A129&amp;"")</f>
        <v/>
      </c>
    </row>
    <row r="130">
      <c r="A130" s="52" t="n"/>
      <c r="B130" s="47" t="n"/>
      <c r="C130" s="47" t="n"/>
      <c r="D130" s="47" t="n"/>
      <c r="E130" s="47" t="n"/>
      <c r="F130" s="20">
        <f>IF(A130="","",A130&amp;"")</f>
        <v/>
      </c>
    </row>
    <row r="131">
      <c r="A131" s="52" t="n"/>
      <c r="B131" s="47" t="n"/>
      <c r="C131" s="47" t="n"/>
      <c r="D131" s="47" t="n"/>
      <c r="E131" s="47" t="n"/>
      <c r="F131" s="20">
        <f>IF(A131="","",A131&amp;"")</f>
        <v/>
      </c>
    </row>
    <row r="132">
      <c r="A132" s="52" t="n"/>
      <c r="B132" s="47" t="n"/>
      <c r="C132" s="47" t="n"/>
      <c r="D132" s="47" t="n"/>
      <c r="E132" s="47" t="n"/>
      <c r="F132" s="20">
        <f>IF(A132="","",A132&amp;"")</f>
        <v/>
      </c>
    </row>
    <row r="133">
      <c r="A133" s="52" t="n"/>
      <c r="B133" s="47" t="n"/>
      <c r="C133" s="47" t="n"/>
      <c r="D133" s="47" t="n"/>
      <c r="E133" s="47" t="n"/>
      <c r="F133" s="20">
        <f>IF(A133="","",A133&amp;"")</f>
        <v/>
      </c>
    </row>
    <row r="134">
      <c r="A134" s="52" t="n"/>
      <c r="B134" s="47" t="n"/>
      <c r="C134" s="47" t="n"/>
      <c r="D134" s="47" t="n"/>
      <c r="E134" s="47" t="n"/>
      <c r="F134" s="20">
        <f>IF(A134="","",A134&amp;"")</f>
        <v/>
      </c>
    </row>
    <row r="135">
      <c r="A135" s="52" t="n"/>
      <c r="B135" s="47" t="n"/>
      <c r="C135" s="47" t="n"/>
      <c r="D135" s="47" t="n"/>
      <c r="E135" s="47" t="n"/>
      <c r="F135" s="20">
        <f>IF(A135="","",A135&amp;"")</f>
        <v/>
      </c>
    </row>
    <row r="136">
      <c r="A136" s="52" t="n"/>
      <c r="B136" s="47" t="n"/>
      <c r="C136" s="47" t="n"/>
      <c r="D136" s="47" t="n"/>
      <c r="E136" s="47" t="n"/>
      <c r="F136" s="20">
        <f>IF(A136="","",A136&amp;"")</f>
        <v/>
      </c>
    </row>
    <row r="137">
      <c r="A137" s="52" t="n"/>
      <c r="B137" s="47" t="n"/>
      <c r="C137" s="47" t="n"/>
      <c r="D137" s="47" t="n"/>
      <c r="E137" s="47" t="n"/>
      <c r="F137" s="20">
        <f>IF(A137="","",A137&amp;"")</f>
        <v/>
      </c>
    </row>
    <row r="138">
      <c r="A138" s="52" t="n"/>
      <c r="B138" s="47" t="n"/>
      <c r="C138" s="47" t="n"/>
      <c r="D138" s="47" t="n"/>
      <c r="E138" s="47" t="n"/>
      <c r="F138" s="20">
        <f>IF(A138="","",A138&amp;"")</f>
        <v/>
      </c>
    </row>
    <row r="139">
      <c r="A139" s="52" t="n"/>
      <c r="B139" s="47" t="n"/>
      <c r="C139" s="47" t="n"/>
      <c r="D139" s="47" t="n"/>
      <c r="E139" s="47" t="n"/>
      <c r="F139" s="20">
        <f>IF(A139="","",A139&amp;"")</f>
        <v/>
      </c>
    </row>
    <row r="140">
      <c r="A140" s="52" t="n"/>
      <c r="B140" s="47" t="n"/>
      <c r="C140" s="47" t="n"/>
      <c r="D140" s="47" t="n"/>
      <c r="E140" s="47" t="n"/>
      <c r="F140" s="20">
        <f>IF(A140="","",A140&amp;"")</f>
        <v/>
      </c>
    </row>
    <row r="141">
      <c r="A141" s="52" t="n"/>
      <c r="B141" s="47" t="n"/>
      <c r="C141" s="47" t="n"/>
      <c r="D141" s="47" t="n"/>
      <c r="E141" s="47" t="n"/>
      <c r="F141" s="20">
        <f>IF(A141="","",A141&amp;"")</f>
        <v/>
      </c>
    </row>
    <row r="142">
      <c r="A142" s="52" t="n"/>
      <c r="B142" s="47" t="n"/>
      <c r="C142" s="47" t="n"/>
      <c r="D142" s="47" t="n"/>
      <c r="E142" s="47" t="n"/>
      <c r="F142" s="20">
        <f>IF(A142="","",A142&amp;"")</f>
        <v/>
      </c>
    </row>
    <row r="143">
      <c r="A143" s="52" t="n"/>
      <c r="B143" s="47" t="n"/>
      <c r="C143" s="47" t="n"/>
      <c r="D143" s="47" t="n"/>
      <c r="E143" s="47" t="n"/>
      <c r="F143" s="20">
        <f>IF(A143="","",A143&amp;"")</f>
        <v/>
      </c>
    </row>
    <row r="144">
      <c r="A144" s="52" t="n"/>
      <c r="B144" s="47" t="n"/>
      <c r="C144" s="47" t="n"/>
      <c r="D144" s="47" t="n"/>
      <c r="E144" s="47" t="n"/>
      <c r="F144" s="20">
        <f>IF(A144="","",A144&amp;"")</f>
        <v/>
      </c>
    </row>
    <row r="145">
      <c r="A145" s="52" t="n"/>
      <c r="B145" s="47" t="n"/>
      <c r="C145" s="47" t="n"/>
      <c r="D145" s="47" t="n"/>
      <c r="E145" s="47" t="n"/>
      <c r="F145" s="20">
        <f>IF(A145="","",A145&amp;"")</f>
        <v/>
      </c>
    </row>
    <row r="146">
      <c r="A146" s="52" t="n"/>
      <c r="B146" s="47" t="n"/>
      <c r="C146" s="47" t="n"/>
      <c r="D146" s="47" t="n"/>
      <c r="E146" s="47" t="n"/>
      <c r="F146" s="20">
        <f>IF(A146="","",A146&amp;"")</f>
        <v/>
      </c>
    </row>
    <row r="147">
      <c r="A147" s="52" t="n"/>
      <c r="B147" s="47" t="n"/>
      <c r="C147" s="47" t="n"/>
      <c r="D147" s="47" t="n"/>
      <c r="E147" s="47" t="n"/>
      <c r="F147" s="20">
        <f>IF(A147="","",A147&amp;"")</f>
        <v/>
      </c>
    </row>
    <row r="148">
      <c r="A148" s="52" t="n"/>
      <c r="B148" s="47" t="n"/>
      <c r="C148" s="47" t="n"/>
      <c r="D148" s="47" t="n"/>
      <c r="E148" s="47" t="n"/>
      <c r="F148" s="20">
        <f>IF(A148="","",A148&amp;"")</f>
        <v/>
      </c>
    </row>
    <row r="149">
      <c r="A149" s="52" t="n"/>
      <c r="B149" s="47" t="n"/>
      <c r="C149" s="47" t="n"/>
      <c r="D149" s="47" t="n"/>
      <c r="E149" s="47" t="n"/>
      <c r="F149" s="20">
        <f>IF(A149="","",A149&amp;"")</f>
        <v/>
      </c>
    </row>
    <row r="150">
      <c r="A150" s="52" t="n"/>
      <c r="B150" s="47" t="n"/>
      <c r="C150" s="47" t="n"/>
      <c r="D150" s="47" t="n"/>
      <c r="E150" s="47" t="n"/>
      <c r="F150" s="20">
        <f>IF(A150="","",A150&amp;"")</f>
        <v/>
      </c>
    </row>
    <row r="151">
      <c r="A151" s="52" t="n"/>
      <c r="B151" s="47" t="n"/>
      <c r="C151" s="47" t="n"/>
      <c r="D151" s="47" t="n"/>
      <c r="E151" s="47" t="n"/>
      <c r="F151" s="20">
        <f>IF(A151="","",A151&amp;"")</f>
        <v/>
      </c>
    </row>
    <row r="152">
      <c r="A152" s="52" t="n"/>
      <c r="B152" s="47" t="n"/>
      <c r="C152" s="47" t="n"/>
      <c r="D152" s="47" t="n"/>
      <c r="E152" s="47" t="n"/>
      <c r="F152" s="20">
        <f>IF(A152="","",A152&amp;"")</f>
        <v/>
      </c>
    </row>
    <row r="153">
      <c r="A153" s="52" t="n"/>
      <c r="B153" s="47" t="n"/>
      <c r="C153" s="47" t="n"/>
      <c r="D153" s="47" t="n"/>
      <c r="E153" s="47" t="n"/>
      <c r="F153" s="20">
        <f>IF(A153="","",A153&amp;"")</f>
        <v/>
      </c>
    </row>
    <row r="154">
      <c r="A154" s="52" t="n"/>
      <c r="B154" s="47" t="n"/>
      <c r="C154" s="47" t="n"/>
      <c r="D154" s="47" t="n"/>
      <c r="E154" s="47" t="n"/>
      <c r="F154" s="20">
        <f>IF(A154="","",A154&amp;"")</f>
        <v/>
      </c>
    </row>
    <row r="155">
      <c r="A155" s="52" t="n"/>
      <c r="B155" s="47" t="n"/>
      <c r="C155" s="47" t="n"/>
      <c r="D155" s="47" t="n"/>
      <c r="E155" s="47" t="n"/>
      <c r="F155" s="20">
        <f>IF(A155="","",A155&amp;"")</f>
        <v/>
      </c>
    </row>
    <row r="156">
      <c r="A156" s="52" t="n"/>
      <c r="B156" s="47" t="n"/>
      <c r="C156" s="47" t="n"/>
      <c r="D156" s="47" t="n"/>
      <c r="E156" s="47" t="n"/>
      <c r="F156" s="20">
        <f>IF(A156="","",A156&amp;"")</f>
        <v/>
      </c>
    </row>
    <row r="157">
      <c r="A157" s="52" t="n"/>
      <c r="B157" s="47" t="n"/>
      <c r="C157" s="47" t="n"/>
      <c r="D157" s="47" t="n"/>
      <c r="E157" s="47" t="n"/>
      <c r="F157" s="20">
        <f>IF(A157="","",A157&amp;"")</f>
        <v/>
      </c>
    </row>
    <row r="158">
      <c r="A158" s="52" t="n"/>
      <c r="B158" s="47" t="n"/>
      <c r="C158" s="47" t="n"/>
      <c r="D158" s="47" t="n"/>
      <c r="E158" s="47" t="n"/>
      <c r="F158" s="20">
        <f>IF(A158="","",A158&amp;"")</f>
        <v/>
      </c>
    </row>
    <row r="159">
      <c r="A159" s="52" t="n"/>
      <c r="B159" s="47" t="n"/>
      <c r="C159" s="47" t="n"/>
      <c r="D159" s="47" t="n"/>
      <c r="E159" s="47" t="n"/>
      <c r="F159" s="20">
        <f>IF(A159="","",A159&amp;"")</f>
        <v/>
      </c>
    </row>
    <row r="160">
      <c r="A160" s="52" t="n"/>
      <c r="B160" s="47" t="n"/>
      <c r="C160" s="47" t="n"/>
      <c r="D160" s="47" t="n"/>
      <c r="E160" s="47" t="n"/>
      <c r="F160" s="20">
        <f>IF(A160="","",A160&amp;"")</f>
        <v/>
      </c>
    </row>
    <row r="161">
      <c r="A161" s="52" t="n"/>
      <c r="B161" s="47" t="n"/>
      <c r="C161" s="47" t="n"/>
      <c r="D161" s="47" t="n"/>
      <c r="E161" s="47" t="n"/>
      <c r="F161" s="20">
        <f>IF(A161="","",A161&amp;"")</f>
        <v/>
      </c>
    </row>
    <row r="162">
      <c r="A162" s="52" t="n"/>
      <c r="B162" s="47" t="n"/>
      <c r="C162" s="47" t="n"/>
      <c r="D162" s="47" t="n"/>
      <c r="E162" s="47" t="n"/>
      <c r="F162" s="20">
        <f>IF(A162="","",A162&amp;"")</f>
        <v/>
      </c>
    </row>
    <row r="163">
      <c r="A163" s="52" t="n"/>
      <c r="B163" s="47" t="n"/>
      <c r="C163" s="47" t="n"/>
      <c r="D163" s="47" t="n"/>
      <c r="E163" s="47" t="n"/>
      <c r="F163" s="20">
        <f>IF(A163="","",A163&amp;"")</f>
        <v/>
      </c>
    </row>
    <row r="164">
      <c r="A164" s="52" t="n"/>
      <c r="B164" s="47" t="n"/>
      <c r="C164" s="47" t="n"/>
      <c r="D164" s="47" t="n"/>
      <c r="E164" s="47" t="n"/>
      <c r="F164" s="20">
        <f>IF(A164="","",A164&amp;"")</f>
        <v/>
      </c>
    </row>
    <row r="165">
      <c r="A165" s="52" t="n"/>
      <c r="B165" s="47" t="n"/>
      <c r="C165" s="47" t="n"/>
      <c r="D165" s="47" t="n"/>
      <c r="E165" s="47" t="n"/>
      <c r="F165" s="20">
        <f>IF(A165="","",A165&amp;"")</f>
        <v/>
      </c>
    </row>
    <row r="166">
      <c r="A166" s="52" t="n"/>
      <c r="B166" s="47" t="n"/>
      <c r="C166" s="47" t="n"/>
      <c r="D166" s="47" t="n"/>
      <c r="E166" s="47" t="n"/>
      <c r="F166" s="20">
        <f>IF(A166="","",A166&amp;"")</f>
        <v/>
      </c>
    </row>
    <row r="167">
      <c r="A167" s="52" t="n"/>
      <c r="B167" s="47" t="n"/>
      <c r="C167" s="47" t="n"/>
      <c r="D167" s="47" t="n"/>
      <c r="E167" s="47" t="n"/>
      <c r="F167" s="20">
        <f>IF(A167="","",A167&amp;"")</f>
        <v/>
      </c>
    </row>
    <row r="168">
      <c r="A168" s="52" t="n"/>
      <c r="B168" s="47" t="n"/>
      <c r="C168" s="47" t="n"/>
      <c r="D168" s="47" t="n"/>
      <c r="E168" s="47" t="n"/>
      <c r="F168" s="20">
        <f>IF(A168="","",A168&amp;"")</f>
        <v/>
      </c>
    </row>
    <row r="169">
      <c r="A169" s="52" t="n"/>
      <c r="B169" s="47" t="n"/>
      <c r="C169" s="47" t="n"/>
      <c r="D169" s="47" t="n"/>
      <c r="E169" s="47" t="n"/>
      <c r="F169" s="20">
        <f>IF(A169="","",A169&amp;"")</f>
        <v/>
      </c>
    </row>
    <row r="170">
      <c r="A170" s="52" t="n"/>
      <c r="B170" s="47" t="n"/>
      <c r="C170" s="47" t="n"/>
      <c r="D170" s="47" t="n"/>
      <c r="E170" s="47" t="n"/>
      <c r="F170" s="20">
        <f>IF(A170="","",A170&amp;"")</f>
        <v/>
      </c>
    </row>
    <row r="171">
      <c r="A171" s="52" t="n"/>
      <c r="B171" s="47" t="n"/>
      <c r="C171" s="47" t="n"/>
      <c r="D171" s="47" t="n"/>
      <c r="E171" s="47" t="n"/>
      <c r="F171" s="20">
        <f>IF(A171="","",A171&amp;"")</f>
        <v/>
      </c>
    </row>
    <row r="172">
      <c r="A172" s="52" t="n"/>
      <c r="B172" s="47" t="n"/>
      <c r="C172" s="47" t="n"/>
      <c r="D172" s="47" t="n"/>
      <c r="E172" s="47" t="n"/>
      <c r="F172" s="20">
        <f>IF(A172="","",A172&amp;"")</f>
        <v/>
      </c>
    </row>
    <row r="173">
      <c r="A173" s="52" t="n"/>
      <c r="B173" s="47" t="n"/>
      <c r="C173" s="47" t="n"/>
      <c r="D173" s="47" t="n"/>
      <c r="E173" s="47" t="n"/>
      <c r="F173" s="20">
        <f>IF(A173="","",A173&amp;"")</f>
        <v/>
      </c>
    </row>
    <row r="174">
      <c r="A174" s="52" t="n"/>
      <c r="B174" s="47" t="n"/>
      <c r="C174" s="47" t="n"/>
      <c r="D174" s="47" t="n"/>
      <c r="E174" s="47" t="n"/>
      <c r="F174" s="20">
        <f>IF(A174="","",A174&amp;"")</f>
        <v/>
      </c>
    </row>
    <row r="175">
      <c r="A175" s="52" t="n"/>
      <c r="B175" s="47" t="n"/>
      <c r="C175" s="47" t="n"/>
      <c r="D175" s="47" t="n"/>
      <c r="E175" s="47" t="n"/>
      <c r="F175" s="20">
        <f>IF(A175="","",A175&amp;"")</f>
        <v/>
      </c>
    </row>
    <row r="176">
      <c r="A176" s="52" t="n"/>
      <c r="B176" s="47" t="n"/>
      <c r="C176" s="47" t="n"/>
      <c r="D176" s="47" t="n"/>
      <c r="E176" s="47" t="n"/>
      <c r="F176" s="20">
        <f>IF(A176="","",A176&amp;"")</f>
        <v/>
      </c>
    </row>
    <row r="177">
      <c r="A177" s="52" t="n"/>
      <c r="B177" s="47" t="n"/>
      <c r="C177" s="47" t="n"/>
      <c r="D177" s="47" t="n"/>
      <c r="E177" s="47" t="n"/>
      <c r="F177" s="20">
        <f>IF(A177="","",A177&amp;"")</f>
        <v/>
      </c>
    </row>
    <row r="178">
      <c r="A178" s="52" t="n"/>
      <c r="B178" s="47" t="n"/>
      <c r="C178" s="47" t="n"/>
      <c r="D178" s="47" t="n"/>
      <c r="E178" s="47" t="n"/>
      <c r="F178" s="20">
        <f>IF(A178="","",A178&amp;"")</f>
        <v/>
      </c>
    </row>
    <row r="179">
      <c r="A179" s="52" t="n"/>
      <c r="B179" s="47" t="n"/>
      <c r="C179" s="47" t="n"/>
      <c r="D179" s="47" t="n"/>
      <c r="E179" s="47" t="n"/>
      <c r="F179" s="20">
        <f>IF(A179="","",A179&amp;"")</f>
        <v/>
      </c>
    </row>
    <row r="180">
      <c r="A180" s="52" t="n"/>
      <c r="B180" s="47" t="n"/>
      <c r="C180" s="47" t="n"/>
      <c r="D180" s="47" t="n"/>
      <c r="E180" s="47" t="n"/>
      <c r="F180" s="20">
        <f>IF(A180="","",A180&amp;"")</f>
        <v/>
      </c>
    </row>
    <row r="181">
      <c r="A181" s="52" t="n"/>
      <c r="B181" s="47" t="n"/>
      <c r="C181" s="47" t="n"/>
      <c r="D181" s="47" t="n"/>
      <c r="E181" s="47" t="n"/>
      <c r="F181" s="20">
        <f>IF(A181="","",A181&amp;"")</f>
        <v/>
      </c>
    </row>
    <row r="182">
      <c r="A182" s="52" t="n"/>
      <c r="B182" s="47" t="n"/>
      <c r="C182" s="47" t="n"/>
      <c r="D182" s="47" t="n"/>
      <c r="E182" s="47" t="n"/>
      <c r="F182" s="20">
        <f>IF(A182="","",A182&amp;"")</f>
        <v/>
      </c>
    </row>
    <row r="183">
      <c r="A183" s="52" t="n"/>
      <c r="B183" s="47" t="n"/>
      <c r="C183" s="47" t="n"/>
      <c r="D183" s="47" t="n"/>
      <c r="E183" s="47" t="n"/>
      <c r="F183" s="20">
        <f>IF(A183="","",A183&amp;"")</f>
        <v/>
      </c>
    </row>
    <row r="184">
      <c r="A184" s="52" t="n"/>
      <c r="B184" s="47" t="n"/>
      <c r="C184" s="47" t="n"/>
      <c r="D184" s="47" t="n"/>
      <c r="E184" s="47" t="n"/>
      <c r="F184" s="20">
        <f>IF(A184="","",A184&amp;"")</f>
        <v/>
      </c>
    </row>
    <row r="185">
      <c r="A185" s="52" t="n"/>
      <c r="B185" s="47" t="n"/>
      <c r="C185" s="47" t="n"/>
      <c r="D185" s="47" t="n"/>
      <c r="E185" s="47" t="n"/>
      <c r="F185" s="20">
        <f>IF(A185="","",A185&amp;"")</f>
        <v/>
      </c>
    </row>
    <row r="186">
      <c r="A186" s="52" t="n"/>
      <c r="B186" s="47" t="n"/>
      <c r="C186" s="47" t="n"/>
      <c r="D186" s="47" t="n"/>
      <c r="E186" s="47" t="n"/>
      <c r="F186" s="20">
        <f>IF(A186="","",A186&amp;"")</f>
        <v/>
      </c>
    </row>
    <row r="187">
      <c r="A187" s="52" t="n"/>
      <c r="B187" s="47" t="n"/>
      <c r="C187" s="47" t="n"/>
      <c r="D187" s="47" t="n"/>
      <c r="E187" s="47" t="n"/>
      <c r="F187" s="20">
        <f>IF(A187="","",A187&amp;"")</f>
        <v/>
      </c>
    </row>
    <row r="188">
      <c r="A188" s="52" t="n"/>
      <c r="B188" s="47" t="n"/>
      <c r="C188" s="47" t="n"/>
      <c r="D188" s="47" t="n"/>
      <c r="E188" s="47" t="n"/>
      <c r="F188" s="20">
        <f>IF(A188="","",A188&amp;"")</f>
        <v/>
      </c>
    </row>
    <row r="189">
      <c r="A189" s="52" t="n"/>
      <c r="B189" s="47" t="n"/>
      <c r="C189" s="47" t="n"/>
      <c r="D189" s="47" t="n"/>
      <c r="E189" s="47" t="n"/>
      <c r="F189" s="20">
        <f>IF(A189="","",A189&amp;"")</f>
        <v/>
      </c>
    </row>
    <row r="190">
      <c r="A190" s="52" t="n"/>
      <c r="B190" s="47" t="n"/>
      <c r="C190" s="47" t="n"/>
      <c r="D190" s="47" t="n"/>
      <c r="E190" s="47" t="n"/>
      <c r="F190" s="20">
        <f>IF(A190="","",A190&amp;"")</f>
        <v/>
      </c>
    </row>
    <row r="191">
      <c r="A191" s="52" t="n"/>
      <c r="B191" s="47" t="n"/>
      <c r="C191" s="47" t="n"/>
      <c r="D191" s="47" t="n"/>
      <c r="E191" s="47" t="n"/>
      <c r="F191" s="20">
        <f>IF(A191="","",A191&amp;"")</f>
        <v/>
      </c>
    </row>
    <row r="192">
      <c r="A192" s="52" t="n"/>
      <c r="B192" s="47" t="n"/>
      <c r="C192" s="47" t="n"/>
      <c r="D192" s="47" t="n"/>
      <c r="E192" s="47" t="n"/>
      <c r="F192" s="20">
        <f>IF(A192="","",A192&amp;"")</f>
        <v/>
      </c>
    </row>
    <row r="193">
      <c r="A193" s="52" t="n"/>
      <c r="B193" s="47" t="n"/>
      <c r="C193" s="47" t="n"/>
      <c r="D193" s="47" t="n"/>
      <c r="E193" s="47" t="n"/>
      <c r="F193" s="20">
        <f>IF(A193="","",A193&amp;"")</f>
        <v/>
      </c>
    </row>
    <row r="194">
      <c r="A194" s="52" t="n"/>
      <c r="B194" s="47" t="n"/>
      <c r="C194" s="47" t="n"/>
      <c r="D194" s="47" t="n"/>
      <c r="E194" s="47" t="n"/>
      <c r="F194" s="20">
        <f>IF(A194="","",A194&amp;"")</f>
        <v/>
      </c>
    </row>
    <row r="195">
      <c r="A195" s="52" t="n"/>
      <c r="B195" s="47" t="n"/>
      <c r="C195" s="47" t="n"/>
      <c r="D195" s="47" t="n"/>
      <c r="E195" s="47" t="n"/>
      <c r="F195" s="20">
        <f>IF(A195="","",A195&amp;"")</f>
        <v/>
      </c>
    </row>
    <row r="196">
      <c r="A196" s="52" t="n"/>
      <c r="B196" s="47" t="n"/>
      <c r="C196" s="47" t="n"/>
      <c r="D196" s="47" t="n"/>
      <c r="E196" s="47" t="n"/>
      <c r="F196" s="20">
        <f>IF(A196="","",A196&amp;"")</f>
        <v/>
      </c>
    </row>
    <row r="197">
      <c r="A197" s="52" t="n"/>
      <c r="B197" s="47" t="n"/>
      <c r="C197" s="47" t="n"/>
      <c r="D197" s="47" t="n"/>
      <c r="E197" s="47" t="n"/>
      <c r="F197" s="20">
        <f>IF(A197="","",A197&amp;"")</f>
        <v/>
      </c>
    </row>
    <row r="198">
      <c r="A198" s="52" t="n"/>
      <c r="B198" s="47" t="n"/>
      <c r="C198" s="47" t="n"/>
      <c r="D198" s="47" t="n"/>
      <c r="E198" s="47" t="n"/>
      <c r="F198" s="20">
        <f>IF(A198="","",A198&amp;"")</f>
        <v/>
      </c>
    </row>
    <row r="199">
      <c r="A199" s="52" t="n"/>
      <c r="B199" s="47" t="n"/>
      <c r="C199" s="47" t="n"/>
      <c r="D199" s="47" t="n"/>
      <c r="E199" s="47" t="n"/>
      <c r="F199" s="20">
        <f>IF(A199="","",A199&amp;"")</f>
        <v/>
      </c>
    </row>
    <row r="200">
      <c r="A200" s="52" t="n"/>
      <c r="B200" s="47" t="n"/>
      <c r="C200" s="47" t="n"/>
      <c r="D200" s="47" t="n"/>
      <c r="E200" s="47" t="n"/>
      <c r="F200" s="20">
        <f>IF(A200="","",A200&amp;"")</f>
        <v/>
      </c>
    </row>
    <row r="201">
      <c r="A201" s="52" t="n"/>
      <c r="B201" s="47" t="n"/>
      <c r="C201" s="47" t="n"/>
      <c r="D201" s="47" t="n"/>
      <c r="E201" s="47" t="n"/>
      <c r="F201" s="20">
        <f>IF(A201="","",A201&amp;"")</f>
        <v/>
      </c>
    </row>
    <row r="202">
      <c r="A202" s="52" t="n"/>
      <c r="B202" s="47" t="n"/>
      <c r="C202" s="47" t="n"/>
      <c r="D202" s="47" t="n"/>
      <c r="E202" s="47" t="n"/>
      <c r="F202" s="20">
        <f>IF(A202="","",A202&amp;"")</f>
        <v/>
      </c>
    </row>
    <row r="203">
      <c r="A203" s="52" t="n"/>
      <c r="B203" s="47" t="n"/>
      <c r="C203" s="47" t="n"/>
      <c r="D203" s="47" t="n"/>
      <c r="E203" s="47" t="n"/>
      <c r="F203" s="20">
        <f>IF(A203="","",A203&amp;"")</f>
        <v/>
      </c>
    </row>
    <row r="204">
      <c r="A204" s="52" t="n"/>
      <c r="B204" s="47" t="n"/>
      <c r="C204" s="47" t="n"/>
      <c r="D204" s="47" t="n"/>
      <c r="E204" s="47" t="n"/>
      <c r="F204" s="20">
        <f>IF(A204="","",A204&amp;"")</f>
        <v/>
      </c>
    </row>
  </sheetData>
  <autoFilter ref="A4:E204"/>
  <mergeCells count="1">
    <mergeCell ref="A1:D1"/>
  </mergeCells>
  <dataValidations count="3">
    <dataValidation sqref="C5:C204" showDropDown="0" showInputMessage="0" showErrorMessage="0" allowBlank="1" errorTitle="入力できない値です" error="プルダウンから選んでください（選択肢シートで追加できます）" type="list">
      <formula1>=L_所属</formula1>
    </dataValidation>
    <dataValidation sqref="D5:D204" showDropDown="0" showInputMessage="0" showErrorMessage="0" allowBlank="1" errorTitle="入力できない値です" error="プルダウンから選んでください（選択肢シートで追加できます）" type="list">
      <formula1>=L_在籍</formula1>
    </dataValidation>
    <dataValidation sqref="A5:A204" showDropDown="0" showInputMessage="0" showErrorMessage="0" allowBlank="0" errorTitle="重複" error="同じ職員番号がすでにあります" type="custom">
      <formula1>=SUMPRODUCT(--($A$5:$A$204&amp;""=A5&amp;""))=1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0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18" customWidth="1" min="4" max="4"/>
    <col width="14" customWidth="1" min="5" max="5"/>
    <col width="12" customWidth="1" min="6" max="6"/>
    <col width="16" customWidth="1" min="7" max="7"/>
    <col width="26" customWidth="1" min="8" max="8"/>
  </cols>
  <sheetData>
    <row r="1" ht="34" customHeight="1">
      <c r="A1" s="1" t="inlineStr">
        <is>
          <t>資格・研修の記録</t>
        </is>
      </c>
      <c r="B1" s="2" t="n"/>
      <c r="C1" s="2" t="n"/>
      <c r="D1" s="2" t="n"/>
    </row>
    <row r="2">
      <c r="A2" s="3" t="inlineStr">
        <is>
          <t>1行に1件。取得・修了のたびに行を追加します。小型船舶は級ごとに1行（1級と特殊なら2行）。更新・進級したら行を追加し、有効期限を入れます。</t>
        </is>
      </c>
    </row>
    <row r="4" ht="32" customHeight="1">
      <c r="A4" s="13" t="inlineStr">
        <is>
          <t>職員番号</t>
        </is>
      </c>
      <c r="B4" s="13" t="inlineStr">
        <is>
          <t>氏名（自動）</t>
        </is>
      </c>
      <c r="C4" s="13" t="inlineStr">
        <is>
          <t>種別</t>
        </is>
      </c>
      <c r="D4" s="13" t="inlineStr">
        <is>
          <t>名称</t>
        </is>
      </c>
      <c r="E4" s="13" t="inlineStr">
        <is>
          <t>取得・修了日</t>
        </is>
      </c>
      <c r="F4" s="13" t="inlineStr">
        <is>
          <t>有効期限</t>
        </is>
      </c>
      <c r="G4" s="13" t="inlineStr">
        <is>
          <t>期別・証番号</t>
        </is>
      </c>
      <c r="H4" s="13" t="inlineStr">
        <is>
          <t>備考</t>
        </is>
      </c>
    </row>
    <row r="5">
      <c r="A5" s="52" t="inlineStr">
        <is>
          <t>1001</t>
        </is>
      </c>
      <c r="B5" s="47">
        <f>IF(A5="","",IFERROR(INDEX('隊員マスタ'!$B$5:$B$204,MATCH(A5&amp;"",'隊員マスタ'!$F$5:$F$204,0)),"番号なし"))</f>
        <v/>
      </c>
      <c r="C5" s="47" t="inlineStr">
        <is>
          <t>資格</t>
        </is>
      </c>
      <c r="D5" s="47" t="inlineStr">
        <is>
          <t>潜水士免許</t>
        </is>
      </c>
      <c r="E5" s="48" t="n">
        <v>41061</v>
      </c>
      <c r="F5" s="48" t="n"/>
      <c r="G5" s="47" t="inlineStr">
        <is>
          <t>見本</t>
        </is>
      </c>
      <c r="H5" s="47" t="n"/>
    </row>
    <row r="6">
      <c r="A6" s="52" t="inlineStr">
        <is>
          <t>1001</t>
        </is>
      </c>
      <c r="B6" s="47">
        <f>IF(A6="","",IFERROR(INDEX('隊員マスタ'!$B$5:$B$204,MATCH(A6&amp;"",'隊員マスタ'!$F$5:$F$204,0)),"番号なし"))</f>
        <v/>
      </c>
      <c r="C6" s="47" t="inlineStr">
        <is>
          <t>研修</t>
        </is>
      </c>
      <c r="D6" s="47" t="inlineStr">
        <is>
          <t>水難救助研修</t>
        </is>
      </c>
      <c r="E6" s="48" t="n">
        <v>42644</v>
      </c>
      <c r="F6" s="48" t="n"/>
      <c r="G6" s="47" t="inlineStr">
        <is>
          <t>第15期</t>
        </is>
      </c>
      <c r="H6" s="47" t="n"/>
    </row>
    <row r="7">
      <c r="A7" s="52" t="inlineStr">
        <is>
          <t>1001</t>
        </is>
      </c>
      <c r="B7" s="47">
        <f>IF(A7="","",IFERROR(INDEX('隊員マスタ'!$B$5:$B$204,MATCH(A7&amp;"",'隊員マスタ'!$F$5:$F$204,0)),"番号なし"))</f>
        <v/>
      </c>
      <c r="C7" s="47" t="inlineStr">
        <is>
          <t>資格</t>
        </is>
      </c>
      <c r="D7" s="47" t="inlineStr">
        <is>
          <t>小型船舶1級</t>
        </is>
      </c>
      <c r="E7" s="48" t="n">
        <v>44652</v>
      </c>
      <c r="F7" s="48" t="n">
        <v>46477</v>
      </c>
      <c r="G7" s="47" t="n"/>
      <c r="H7" s="47" t="n"/>
    </row>
    <row r="8">
      <c r="A8" s="52" t="inlineStr">
        <is>
          <t>1001</t>
        </is>
      </c>
      <c r="B8" s="47">
        <f>IF(A8="","",IFERROR(INDEX('隊員マスタ'!$B$5:$B$204,MATCH(A8&amp;"",'隊員マスタ'!$F$5:$F$204,0)),"番号なし"))</f>
        <v/>
      </c>
      <c r="C8" s="47" t="inlineStr">
        <is>
          <t>資格</t>
        </is>
      </c>
      <c r="D8" s="47" t="inlineStr">
        <is>
          <t>小型船舶特殊</t>
        </is>
      </c>
      <c r="E8" s="48" t="n">
        <v>44652</v>
      </c>
      <c r="F8" s="48" t="n">
        <v>46477</v>
      </c>
      <c r="G8" s="47" t="inlineStr">
        <is>
          <t>同じ免許証</t>
        </is>
      </c>
      <c r="H8" s="47" t="n"/>
    </row>
    <row r="9">
      <c r="A9" s="52" t="inlineStr">
        <is>
          <t>1002</t>
        </is>
      </c>
      <c r="B9" s="47">
        <f>IF(A9="","",IFERROR(INDEX('隊員マスタ'!$B$5:$B$204,MATCH(A9&amp;"",'隊員マスタ'!$F$5:$F$204,0)),"番号なし"))</f>
        <v/>
      </c>
      <c r="C9" s="47" t="inlineStr">
        <is>
          <t>資格</t>
        </is>
      </c>
      <c r="D9" s="47" t="inlineStr">
        <is>
          <t>潜水士免許</t>
        </is>
      </c>
      <c r="E9" s="48" t="n">
        <v>42186</v>
      </c>
      <c r="F9" s="48" t="n"/>
      <c r="G9" s="47" t="n"/>
      <c r="H9" s="47" t="n"/>
    </row>
    <row r="10">
      <c r="A10" s="52" t="inlineStr">
        <is>
          <t>1002</t>
        </is>
      </c>
      <c r="B10" s="47">
        <f>IF(A10="","",IFERROR(INDEX('隊員マスタ'!$B$5:$B$204,MATCH(A10&amp;"",'隊員マスタ'!$F$5:$F$204,0)),"番号なし"))</f>
        <v/>
      </c>
      <c r="C10" s="47" t="inlineStr">
        <is>
          <t>研修</t>
        </is>
      </c>
      <c r="D10" s="47" t="inlineStr">
        <is>
          <t>水難救助研修</t>
        </is>
      </c>
      <c r="E10" s="48" t="n">
        <v>45200</v>
      </c>
      <c r="F10" s="48" t="n"/>
      <c r="G10" s="47" t="inlineStr">
        <is>
          <t>第22期</t>
        </is>
      </c>
      <c r="H10" s="47" t="n"/>
    </row>
    <row r="11">
      <c r="A11" s="52" t="inlineStr">
        <is>
          <t>1002</t>
        </is>
      </c>
      <c r="B11" s="47">
        <f>IF(A11="","",IFERROR(INDEX('隊員マスタ'!$B$5:$B$204,MATCH(A11&amp;"",'隊員マスタ'!$F$5:$F$204,0)),"番号なし"))</f>
        <v/>
      </c>
      <c r="C11" s="47" t="inlineStr">
        <is>
          <t>資格</t>
        </is>
      </c>
      <c r="D11" s="47" t="inlineStr">
        <is>
          <t>小型船舶2級</t>
        </is>
      </c>
      <c r="E11" s="48" t="n">
        <v>42887</v>
      </c>
      <c r="F11" s="48" t="n">
        <v>44712</v>
      </c>
      <c r="G11" s="47" t="inlineStr">
        <is>
          <t>1級へ進級前</t>
        </is>
      </c>
      <c r="H11" s="47" t="n"/>
    </row>
    <row r="12">
      <c r="A12" s="52" t="inlineStr">
        <is>
          <t>1002</t>
        </is>
      </c>
      <c r="B12" s="47">
        <f>IF(A12="","",IFERROR(INDEX('隊員マスタ'!$B$5:$B$204,MATCH(A12&amp;"",'隊員マスタ'!$F$5:$F$204,0)),"番号なし"))</f>
        <v/>
      </c>
      <c r="C12" s="47" t="inlineStr">
        <is>
          <t>資格</t>
        </is>
      </c>
      <c r="D12" s="47" t="inlineStr">
        <is>
          <t>小型船舶1級</t>
        </is>
      </c>
      <c r="E12" s="48" t="n">
        <v>44713</v>
      </c>
      <c r="F12" s="48" t="n">
        <v>46538</v>
      </c>
      <c r="G12" s="47" t="inlineStr">
        <is>
          <t>進級</t>
        </is>
      </c>
      <c r="H12" s="47" t="n"/>
    </row>
    <row r="13">
      <c r="A13" s="52" t="inlineStr">
        <is>
          <t>1003</t>
        </is>
      </c>
      <c r="B13" s="47">
        <f>IF(A13="","",IFERROR(INDEX('隊員マスタ'!$B$5:$B$204,MATCH(A13&amp;"",'隊員マスタ'!$F$5:$F$204,0)),"番号なし"))</f>
        <v/>
      </c>
      <c r="C13" s="47" t="inlineStr">
        <is>
          <t>資格</t>
        </is>
      </c>
      <c r="D13" s="47" t="inlineStr">
        <is>
          <t>潜水士免許</t>
        </is>
      </c>
      <c r="E13" s="48" t="n">
        <v>43221</v>
      </c>
      <c r="F13" s="48" t="n"/>
      <c r="G13" s="47" t="n"/>
      <c r="H13" s="47" t="n"/>
    </row>
    <row r="14">
      <c r="A14" s="52" t="inlineStr">
        <is>
          <t>1004</t>
        </is>
      </c>
      <c r="B14" s="47">
        <f>IF(A14="","",IFERROR(INDEX('隊員マスタ'!$B$5:$B$204,MATCH(A14&amp;"",'隊員マスタ'!$F$5:$F$204,0)),"番号なし"))</f>
        <v/>
      </c>
      <c r="C14" s="47" t="inlineStr">
        <is>
          <t>資格</t>
        </is>
      </c>
      <c r="D14" s="47" t="inlineStr">
        <is>
          <t>潜水士免許</t>
        </is>
      </c>
      <c r="E14" s="48" t="n">
        <v>43709</v>
      </c>
      <c r="F14" s="48" t="n"/>
      <c r="G14" s="47" t="n"/>
      <c r="H14" s="47" t="n"/>
    </row>
    <row r="15">
      <c r="A15" s="52" t="inlineStr">
        <is>
          <t>1004</t>
        </is>
      </c>
      <c r="B15" s="47">
        <f>IF(A15="","",IFERROR(INDEX('隊員マスタ'!$B$5:$B$204,MATCH(A15&amp;"",'隊員マスタ'!$F$5:$F$204,0)),"番号なし"))</f>
        <v/>
      </c>
      <c r="C15" s="47" t="inlineStr">
        <is>
          <t>研修</t>
        </is>
      </c>
      <c r="D15" s="47" t="inlineStr">
        <is>
          <t>水難救助研修</t>
        </is>
      </c>
      <c r="E15" s="48" t="n">
        <v>45931</v>
      </c>
      <c r="F15" s="48" t="n"/>
      <c r="G15" s="47" t="inlineStr">
        <is>
          <t>第24期</t>
        </is>
      </c>
      <c r="H15" s="47" t="n"/>
    </row>
    <row r="16">
      <c r="A16" s="52" t="inlineStr">
        <is>
          <t>1004</t>
        </is>
      </c>
      <c r="B16" s="47">
        <f>IF(A16="","",IFERROR(INDEX('隊員マスタ'!$B$5:$B$204,MATCH(A16&amp;"",'隊員マスタ'!$F$5:$F$204,0)),"番号なし"))</f>
        <v/>
      </c>
      <c r="C16" s="47" t="inlineStr">
        <is>
          <t>研修</t>
        </is>
      </c>
      <c r="D16" s="47" t="inlineStr">
        <is>
          <t>救助技術研修</t>
        </is>
      </c>
      <c r="E16" s="48" t="n">
        <v>44348</v>
      </c>
      <c r="F16" s="48" t="n"/>
      <c r="G16" s="47" t="n"/>
      <c r="H16" s="47" t="n"/>
    </row>
    <row r="17">
      <c r="A17" s="52" t="inlineStr">
        <is>
          <t>1004</t>
        </is>
      </c>
      <c r="B17" s="47">
        <f>IF(A17="","",IFERROR(INDEX('隊員マスタ'!$B$5:$B$204,MATCH(A17&amp;"",'隊員マスタ'!$F$5:$F$204,0)),"番号なし"))</f>
        <v/>
      </c>
      <c r="C17" s="47" t="inlineStr">
        <is>
          <t>資格</t>
        </is>
      </c>
      <c r="D17" s="47" t="inlineStr">
        <is>
          <t>小型船舶2級</t>
        </is>
      </c>
      <c r="E17" s="48" t="n">
        <v>45108</v>
      </c>
      <c r="F17" s="48" t="n">
        <v>46934</v>
      </c>
      <c r="G17" s="47" t="n"/>
      <c r="H17" s="47" t="n"/>
    </row>
    <row r="18">
      <c r="A18" s="52" t="inlineStr">
        <is>
          <t>1004</t>
        </is>
      </c>
      <c r="B18" s="47">
        <f>IF(A18="","",IFERROR(INDEX('隊員マスタ'!$B$5:$B$204,MATCH(A18&amp;"",'隊員マスタ'!$F$5:$F$204,0)),"番号なし"))</f>
        <v/>
      </c>
      <c r="C18" s="47" t="inlineStr">
        <is>
          <t>資格</t>
        </is>
      </c>
      <c r="D18" s="47" t="inlineStr">
        <is>
          <t>小型船舶特殊</t>
        </is>
      </c>
      <c r="E18" s="48" t="n">
        <v>45108</v>
      </c>
      <c r="F18" s="48" t="n">
        <v>46934</v>
      </c>
      <c r="G18" s="47" t="n"/>
      <c r="H18" s="47" t="n"/>
    </row>
    <row r="19">
      <c r="A19" s="52" t="inlineStr">
        <is>
          <t>1005</t>
        </is>
      </c>
      <c r="B19" s="47">
        <f>IF(A19="","",IFERROR(INDEX('隊員マスタ'!$B$5:$B$204,MATCH(A19&amp;"",'隊員マスタ'!$F$5:$F$204,0)),"番号なし"))</f>
        <v/>
      </c>
      <c r="C19" s="47" t="inlineStr">
        <is>
          <t>資格</t>
        </is>
      </c>
      <c r="D19" s="47" t="inlineStr">
        <is>
          <t>潜水士免許</t>
        </is>
      </c>
      <c r="E19" s="48" t="n">
        <v>43983</v>
      </c>
      <c r="F19" s="48" t="n"/>
      <c r="G19" s="47" t="n"/>
      <c r="H19" s="47" t="n"/>
    </row>
    <row r="20">
      <c r="A20" s="52" t="inlineStr">
        <is>
          <t>1006</t>
        </is>
      </c>
      <c r="B20" s="47">
        <f>IF(A20="","",IFERROR(INDEX('隊員マスタ'!$B$5:$B$204,MATCH(A20&amp;"",'隊員マスタ'!$F$5:$F$204,0)),"番号なし"))</f>
        <v/>
      </c>
      <c r="C20" s="47" t="inlineStr">
        <is>
          <t>資格</t>
        </is>
      </c>
      <c r="D20" s="47" t="inlineStr">
        <is>
          <t>潜水士免許</t>
        </is>
      </c>
      <c r="E20" s="48" t="n">
        <v>44409</v>
      </c>
      <c r="F20" s="48" t="n"/>
      <c r="G20" s="47" t="n"/>
      <c r="H20" s="47" t="n"/>
    </row>
    <row r="21">
      <c r="A21" s="52" t="inlineStr">
        <is>
          <t>1006</t>
        </is>
      </c>
      <c r="B21" s="47">
        <f>IF(A21="","",IFERROR(INDEX('隊員マスタ'!$B$5:$B$204,MATCH(A21&amp;"",'隊員マスタ'!$F$5:$F$204,0)),"番号なし"))</f>
        <v/>
      </c>
      <c r="C21" s="47" t="inlineStr">
        <is>
          <t>資格</t>
        </is>
      </c>
      <c r="D21" s="47" t="inlineStr">
        <is>
          <t>小型船舶2級</t>
        </is>
      </c>
      <c r="E21" s="48" t="n">
        <v>43952</v>
      </c>
      <c r="F21" s="48" t="n">
        <v>45777</v>
      </c>
      <c r="G21" s="47" t="inlineStr">
        <is>
          <t>更新忘れの例</t>
        </is>
      </c>
      <c r="H21" s="47" t="n"/>
    </row>
    <row r="22">
      <c r="A22" s="52" t="inlineStr">
        <is>
          <t>1007</t>
        </is>
      </c>
      <c r="B22" s="47">
        <f>IF(A22="","",IFERROR(INDEX('隊員マスタ'!$B$5:$B$204,MATCH(A22&amp;"",'隊員マスタ'!$F$5:$F$204,0)),"番号なし"))</f>
        <v/>
      </c>
      <c r="C22" s="47" t="inlineStr">
        <is>
          <t>資格</t>
        </is>
      </c>
      <c r="D22" s="47" t="inlineStr">
        <is>
          <t>潜水士免許</t>
        </is>
      </c>
      <c r="E22" s="48" t="n">
        <v>41821</v>
      </c>
      <c r="F22" s="48" t="n"/>
      <c r="G22" s="47" t="n"/>
      <c r="H22" s="47" t="n"/>
    </row>
    <row r="23">
      <c r="A23" s="52" t="inlineStr">
        <is>
          <t>1008</t>
        </is>
      </c>
      <c r="B23" s="47">
        <f>IF(A23="","",IFERROR(INDEX('隊員マスタ'!$B$5:$B$204,MATCH(A23&amp;"",'隊員マスタ'!$F$5:$F$204,0)),"番号なし"))</f>
        <v/>
      </c>
      <c r="C23" s="47" t="inlineStr">
        <is>
          <t>研修</t>
        </is>
      </c>
      <c r="D23" s="47" t="inlineStr">
        <is>
          <t>救助技術研修</t>
        </is>
      </c>
      <c r="E23" s="48" t="n">
        <v>45809</v>
      </c>
      <c r="F23" s="48" t="n"/>
      <c r="G23" s="47" t="n"/>
      <c r="H23" s="47" t="n"/>
    </row>
    <row r="24">
      <c r="A24" s="52" t="n"/>
      <c r="B24" s="47">
        <f>IF(A24="","",IFERROR(INDEX('隊員マスタ'!$B$5:$B$204,MATCH(A24&amp;"",'隊員マスタ'!$F$5:$F$204,0)),"番号なし"))</f>
        <v/>
      </c>
      <c r="C24" s="47" t="n"/>
      <c r="D24" s="47" t="n"/>
      <c r="E24" s="48" t="n"/>
      <c r="F24" s="48" t="n"/>
      <c r="G24" s="47" t="n"/>
      <c r="H24" s="47" t="n"/>
    </row>
    <row r="25">
      <c r="A25" s="52" t="n"/>
      <c r="B25" s="47">
        <f>IF(A25="","",IFERROR(INDEX('隊員マスタ'!$B$5:$B$204,MATCH(A25&amp;"",'隊員マスタ'!$F$5:$F$204,0)),"番号なし"))</f>
        <v/>
      </c>
      <c r="C25" s="47" t="n"/>
      <c r="D25" s="47" t="n"/>
      <c r="E25" s="48" t="n"/>
      <c r="F25" s="48" t="n"/>
      <c r="G25" s="47" t="n"/>
      <c r="H25" s="47" t="n"/>
    </row>
    <row r="26">
      <c r="A26" s="52" t="n"/>
      <c r="B26" s="47">
        <f>IF(A26="","",IFERROR(INDEX('隊員マスタ'!$B$5:$B$204,MATCH(A26&amp;"",'隊員マスタ'!$F$5:$F$204,0)),"番号なし"))</f>
        <v/>
      </c>
      <c r="C26" s="47" t="n"/>
      <c r="D26" s="47" t="n"/>
      <c r="E26" s="48" t="n"/>
      <c r="F26" s="48" t="n"/>
      <c r="G26" s="47" t="n"/>
      <c r="H26" s="47" t="n"/>
    </row>
    <row r="27">
      <c r="A27" s="52" t="n"/>
      <c r="B27" s="47">
        <f>IF(A27="","",IFERROR(INDEX('隊員マスタ'!$B$5:$B$204,MATCH(A27&amp;"",'隊員マスタ'!$F$5:$F$204,0)),"番号なし"))</f>
        <v/>
      </c>
      <c r="C27" s="47" t="n"/>
      <c r="D27" s="47" t="n"/>
      <c r="E27" s="48" t="n"/>
      <c r="F27" s="48" t="n"/>
      <c r="G27" s="47" t="n"/>
      <c r="H27" s="47" t="n"/>
    </row>
    <row r="28">
      <c r="A28" s="52" t="n"/>
      <c r="B28" s="47">
        <f>IF(A28="","",IFERROR(INDEX('隊員マスタ'!$B$5:$B$204,MATCH(A28&amp;"",'隊員マスタ'!$F$5:$F$204,0)),"番号なし"))</f>
        <v/>
      </c>
      <c r="C28" s="47" t="n"/>
      <c r="D28" s="47" t="n"/>
      <c r="E28" s="48" t="n"/>
      <c r="F28" s="48" t="n"/>
      <c r="G28" s="47" t="n"/>
      <c r="H28" s="47" t="n"/>
    </row>
    <row r="29">
      <c r="A29" s="52" t="n"/>
      <c r="B29" s="47">
        <f>IF(A29="","",IFERROR(INDEX('隊員マスタ'!$B$5:$B$204,MATCH(A29&amp;"",'隊員マスタ'!$F$5:$F$204,0)),"番号なし"))</f>
        <v/>
      </c>
      <c r="C29" s="47" t="n"/>
      <c r="D29" s="47" t="n"/>
      <c r="E29" s="48" t="n"/>
      <c r="F29" s="48" t="n"/>
      <c r="G29" s="47" t="n"/>
      <c r="H29" s="47" t="n"/>
    </row>
    <row r="30">
      <c r="A30" s="52" t="n"/>
      <c r="B30" s="47">
        <f>IF(A30="","",IFERROR(INDEX('隊員マスタ'!$B$5:$B$204,MATCH(A30&amp;"",'隊員マスタ'!$F$5:$F$204,0)),"番号なし"))</f>
        <v/>
      </c>
      <c r="C30" s="47" t="n"/>
      <c r="D30" s="47" t="n"/>
      <c r="E30" s="48" t="n"/>
      <c r="F30" s="48" t="n"/>
      <c r="G30" s="47" t="n"/>
      <c r="H30" s="47" t="n"/>
    </row>
    <row r="31">
      <c r="A31" s="52" t="n"/>
      <c r="B31" s="47">
        <f>IF(A31="","",IFERROR(INDEX('隊員マスタ'!$B$5:$B$204,MATCH(A31&amp;"",'隊員マスタ'!$F$5:$F$204,0)),"番号なし"))</f>
        <v/>
      </c>
      <c r="C31" s="47" t="n"/>
      <c r="D31" s="47" t="n"/>
      <c r="E31" s="48" t="n"/>
      <c r="F31" s="48" t="n"/>
      <c r="G31" s="47" t="n"/>
      <c r="H31" s="47" t="n"/>
    </row>
    <row r="32">
      <c r="A32" s="52" t="n"/>
      <c r="B32" s="47">
        <f>IF(A32="","",IFERROR(INDEX('隊員マスタ'!$B$5:$B$204,MATCH(A32&amp;"",'隊員マスタ'!$F$5:$F$204,0)),"番号なし"))</f>
        <v/>
      </c>
      <c r="C32" s="47" t="n"/>
      <c r="D32" s="47" t="n"/>
      <c r="E32" s="48" t="n"/>
      <c r="F32" s="48" t="n"/>
      <c r="G32" s="47" t="n"/>
      <c r="H32" s="47" t="n"/>
    </row>
    <row r="33">
      <c r="A33" s="52" t="n"/>
      <c r="B33" s="47">
        <f>IF(A33="","",IFERROR(INDEX('隊員マスタ'!$B$5:$B$204,MATCH(A33&amp;"",'隊員マスタ'!$F$5:$F$204,0)),"番号なし"))</f>
        <v/>
      </c>
      <c r="C33" s="47" t="n"/>
      <c r="D33" s="47" t="n"/>
      <c r="E33" s="48" t="n"/>
      <c r="F33" s="48" t="n"/>
      <c r="G33" s="47" t="n"/>
      <c r="H33" s="47" t="n"/>
    </row>
    <row r="34">
      <c r="A34" s="52" t="n"/>
      <c r="B34" s="47">
        <f>IF(A34="","",IFERROR(INDEX('隊員マスタ'!$B$5:$B$204,MATCH(A34&amp;"",'隊員マスタ'!$F$5:$F$204,0)),"番号なし"))</f>
        <v/>
      </c>
      <c r="C34" s="47" t="n"/>
      <c r="D34" s="47" t="n"/>
      <c r="E34" s="48" t="n"/>
      <c r="F34" s="48" t="n"/>
      <c r="G34" s="47" t="n"/>
      <c r="H34" s="47" t="n"/>
    </row>
    <row r="35">
      <c r="A35" s="52" t="n"/>
      <c r="B35" s="47">
        <f>IF(A35="","",IFERROR(INDEX('隊員マスタ'!$B$5:$B$204,MATCH(A35&amp;"",'隊員マスタ'!$F$5:$F$204,0)),"番号なし"))</f>
        <v/>
      </c>
      <c r="C35" s="47" t="n"/>
      <c r="D35" s="47" t="n"/>
      <c r="E35" s="48" t="n"/>
      <c r="F35" s="48" t="n"/>
      <c r="G35" s="47" t="n"/>
      <c r="H35" s="47" t="n"/>
    </row>
    <row r="36">
      <c r="A36" s="52" t="n"/>
      <c r="B36" s="47">
        <f>IF(A36="","",IFERROR(INDEX('隊員マスタ'!$B$5:$B$204,MATCH(A36&amp;"",'隊員マスタ'!$F$5:$F$204,0)),"番号なし"))</f>
        <v/>
      </c>
      <c r="C36" s="47" t="n"/>
      <c r="D36" s="47" t="n"/>
      <c r="E36" s="48" t="n"/>
      <c r="F36" s="48" t="n"/>
      <c r="G36" s="47" t="n"/>
      <c r="H36" s="47" t="n"/>
    </row>
    <row r="37">
      <c r="A37" s="52" t="n"/>
      <c r="B37" s="47">
        <f>IF(A37="","",IFERROR(INDEX('隊員マスタ'!$B$5:$B$204,MATCH(A37&amp;"",'隊員マスタ'!$F$5:$F$204,0)),"番号なし"))</f>
        <v/>
      </c>
      <c r="C37" s="47" t="n"/>
      <c r="D37" s="47" t="n"/>
      <c r="E37" s="48" t="n"/>
      <c r="F37" s="48" t="n"/>
      <c r="G37" s="47" t="n"/>
      <c r="H37" s="47" t="n"/>
    </row>
    <row r="38">
      <c r="A38" s="52" t="n"/>
      <c r="B38" s="47">
        <f>IF(A38="","",IFERROR(INDEX('隊員マスタ'!$B$5:$B$204,MATCH(A38&amp;"",'隊員マスタ'!$F$5:$F$204,0)),"番号なし"))</f>
        <v/>
      </c>
      <c r="C38" s="47" t="n"/>
      <c r="D38" s="47" t="n"/>
      <c r="E38" s="48" t="n"/>
      <c r="F38" s="48" t="n"/>
      <c r="G38" s="47" t="n"/>
      <c r="H38" s="47" t="n"/>
    </row>
    <row r="39">
      <c r="A39" s="52" t="n"/>
      <c r="B39" s="47">
        <f>IF(A39="","",IFERROR(INDEX('隊員マスタ'!$B$5:$B$204,MATCH(A39&amp;"",'隊員マスタ'!$F$5:$F$204,0)),"番号なし"))</f>
        <v/>
      </c>
      <c r="C39" s="47" t="n"/>
      <c r="D39" s="47" t="n"/>
      <c r="E39" s="48" t="n"/>
      <c r="F39" s="48" t="n"/>
      <c r="G39" s="47" t="n"/>
      <c r="H39" s="47" t="n"/>
    </row>
    <row r="40">
      <c r="A40" s="52" t="n"/>
      <c r="B40" s="47">
        <f>IF(A40="","",IFERROR(INDEX('隊員マスタ'!$B$5:$B$204,MATCH(A40&amp;"",'隊員マスタ'!$F$5:$F$204,0)),"番号なし"))</f>
        <v/>
      </c>
      <c r="C40" s="47" t="n"/>
      <c r="D40" s="47" t="n"/>
      <c r="E40" s="48" t="n"/>
      <c r="F40" s="48" t="n"/>
      <c r="G40" s="47" t="n"/>
      <c r="H40" s="47" t="n"/>
    </row>
    <row r="41">
      <c r="A41" s="52" t="n"/>
      <c r="B41" s="47">
        <f>IF(A41="","",IFERROR(INDEX('隊員マスタ'!$B$5:$B$204,MATCH(A41&amp;"",'隊員マスタ'!$F$5:$F$204,0)),"番号なし"))</f>
        <v/>
      </c>
      <c r="C41" s="47" t="n"/>
      <c r="D41" s="47" t="n"/>
      <c r="E41" s="48" t="n"/>
      <c r="F41" s="48" t="n"/>
      <c r="G41" s="47" t="n"/>
      <c r="H41" s="47" t="n"/>
    </row>
    <row r="42">
      <c r="A42" s="52" t="n"/>
      <c r="B42" s="47">
        <f>IF(A42="","",IFERROR(INDEX('隊員マスタ'!$B$5:$B$204,MATCH(A42&amp;"",'隊員マスタ'!$F$5:$F$204,0)),"番号なし"))</f>
        <v/>
      </c>
      <c r="C42" s="47" t="n"/>
      <c r="D42" s="47" t="n"/>
      <c r="E42" s="48" t="n"/>
      <c r="F42" s="48" t="n"/>
      <c r="G42" s="47" t="n"/>
      <c r="H42" s="47" t="n"/>
    </row>
    <row r="43">
      <c r="A43" s="52" t="n"/>
      <c r="B43" s="47">
        <f>IF(A43="","",IFERROR(INDEX('隊員マスタ'!$B$5:$B$204,MATCH(A43&amp;"",'隊員マスタ'!$F$5:$F$204,0)),"番号なし"))</f>
        <v/>
      </c>
      <c r="C43" s="47" t="n"/>
      <c r="D43" s="47" t="n"/>
      <c r="E43" s="48" t="n"/>
      <c r="F43" s="48" t="n"/>
      <c r="G43" s="47" t="n"/>
      <c r="H43" s="47" t="n"/>
    </row>
    <row r="44">
      <c r="A44" s="52" t="n"/>
      <c r="B44" s="47">
        <f>IF(A44="","",IFERROR(INDEX('隊員マスタ'!$B$5:$B$204,MATCH(A44&amp;"",'隊員マスタ'!$F$5:$F$204,0)),"番号なし"))</f>
        <v/>
      </c>
      <c r="C44" s="47" t="n"/>
      <c r="D44" s="47" t="n"/>
      <c r="E44" s="48" t="n"/>
      <c r="F44" s="48" t="n"/>
      <c r="G44" s="47" t="n"/>
      <c r="H44" s="47" t="n"/>
    </row>
    <row r="45">
      <c r="A45" s="52" t="n"/>
      <c r="B45" s="47">
        <f>IF(A45="","",IFERROR(INDEX('隊員マスタ'!$B$5:$B$204,MATCH(A45&amp;"",'隊員マスタ'!$F$5:$F$204,0)),"番号なし"))</f>
        <v/>
      </c>
      <c r="C45" s="47" t="n"/>
      <c r="D45" s="47" t="n"/>
      <c r="E45" s="48" t="n"/>
      <c r="F45" s="48" t="n"/>
      <c r="G45" s="47" t="n"/>
      <c r="H45" s="47" t="n"/>
    </row>
    <row r="46">
      <c r="A46" s="52" t="n"/>
      <c r="B46" s="47">
        <f>IF(A46="","",IFERROR(INDEX('隊員マスタ'!$B$5:$B$204,MATCH(A46&amp;"",'隊員マスタ'!$F$5:$F$204,0)),"番号なし"))</f>
        <v/>
      </c>
      <c r="C46" s="47" t="n"/>
      <c r="D46" s="47" t="n"/>
      <c r="E46" s="48" t="n"/>
      <c r="F46" s="48" t="n"/>
      <c r="G46" s="47" t="n"/>
      <c r="H46" s="47" t="n"/>
    </row>
    <row r="47">
      <c r="A47" s="52" t="n"/>
      <c r="B47" s="47">
        <f>IF(A47="","",IFERROR(INDEX('隊員マスタ'!$B$5:$B$204,MATCH(A47&amp;"",'隊員マスタ'!$F$5:$F$204,0)),"番号なし"))</f>
        <v/>
      </c>
      <c r="C47" s="47" t="n"/>
      <c r="D47" s="47" t="n"/>
      <c r="E47" s="48" t="n"/>
      <c r="F47" s="48" t="n"/>
      <c r="G47" s="47" t="n"/>
      <c r="H47" s="47" t="n"/>
    </row>
    <row r="48">
      <c r="A48" s="52" t="n"/>
      <c r="B48" s="47">
        <f>IF(A48="","",IFERROR(INDEX('隊員マスタ'!$B$5:$B$204,MATCH(A48&amp;"",'隊員マスタ'!$F$5:$F$204,0)),"番号なし"))</f>
        <v/>
      </c>
      <c r="C48" s="47" t="n"/>
      <c r="D48" s="47" t="n"/>
      <c r="E48" s="48" t="n"/>
      <c r="F48" s="48" t="n"/>
      <c r="G48" s="47" t="n"/>
      <c r="H48" s="47" t="n"/>
    </row>
    <row r="49">
      <c r="A49" s="52" t="n"/>
      <c r="B49" s="47">
        <f>IF(A49="","",IFERROR(INDEX('隊員マスタ'!$B$5:$B$204,MATCH(A49&amp;"",'隊員マスタ'!$F$5:$F$204,0)),"番号なし"))</f>
        <v/>
      </c>
      <c r="C49" s="47" t="n"/>
      <c r="D49" s="47" t="n"/>
      <c r="E49" s="48" t="n"/>
      <c r="F49" s="48" t="n"/>
      <c r="G49" s="47" t="n"/>
      <c r="H49" s="47" t="n"/>
    </row>
    <row r="50">
      <c r="A50" s="52" t="n"/>
      <c r="B50" s="47">
        <f>IF(A50="","",IFERROR(INDEX('隊員マスタ'!$B$5:$B$204,MATCH(A50&amp;"",'隊員マスタ'!$F$5:$F$204,0)),"番号なし"))</f>
        <v/>
      </c>
      <c r="C50" s="47" t="n"/>
      <c r="D50" s="47" t="n"/>
      <c r="E50" s="48" t="n"/>
      <c r="F50" s="48" t="n"/>
      <c r="G50" s="47" t="n"/>
      <c r="H50" s="47" t="n"/>
    </row>
    <row r="51">
      <c r="A51" s="52" t="n"/>
      <c r="B51" s="47">
        <f>IF(A51="","",IFERROR(INDEX('隊員マスタ'!$B$5:$B$204,MATCH(A51&amp;"",'隊員マスタ'!$F$5:$F$204,0)),"番号なし"))</f>
        <v/>
      </c>
      <c r="C51" s="47" t="n"/>
      <c r="D51" s="47" t="n"/>
      <c r="E51" s="48" t="n"/>
      <c r="F51" s="48" t="n"/>
      <c r="G51" s="47" t="n"/>
      <c r="H51" s="47" t="n"/>
    </row>
    <row r="52">
      <c r="A52" s="52" t="n"/>
      <c r="B52" s="47">
        <f>IF(A52="","",IFERROR(INDEX('隊員マスタ'!$B$5:$B$204,MATCH(A52&amp;"",'隊員マスタ'!$F$5:$F$204,0)),"番号なし"))</f>
        <v/>
      </c>
      <c r="C52" s="47" t="n"/>
      <c r="D52" s="47" t="n"/>
      <c r="E52" s="48" t="n"/>
      <c r="F52" s="48" t="n"/>
      <c r="G52" s="47" t="n"/>
      <c r="H52" s="47" t="n"/>
    </row>
    <row r="53">
      <c r="A53" s="52" t="n"/>
      <c r="B53" s="47">
        <f>IF(A53="","",IFERROR(INDEX('隊員マスタ'!$B$5:$B$204,MATCH(A53&amp;"",'隊員マスタ'!$F$5:$F$204,0)),"番号なし"))</f>
        <v/>
      </c>
      <c r="C53" s="47" t="n"/>
      <c r="D53" s="47" t="n"/>
      <c r="E53" s="48" t="n"/>
      <c r="F53" s="48" t="n"/>
      <c r="G53" s="47" t="n"/>
      <c r="H53" s="47" t="n"/>
    </row>
    <row r="54">
      <c r="A54" s="52" t="n"/>
      <c r="B54" s="47">
        <f>IF(A54="","",IFERROR(INDEX('隊員マスタ'!$B$5:$B$204,MATCH(A54&amp;"",'隊員マスタ'!$F$5:$F$204,0)),"番号なし"))</f>
        <v/>
      </c>
      <c r="C54" s="47" t="n"/>
      <c r="D54" s="47" t="n"/>
      <c r="E54" s="48" t="n"/>
      <c r="F54" s="48" t="n"/>
      <c r="G54" s="47" t="n"/>
      <c r="H54" s="47" t="n"/>
    </row>
    <row r="55">
      <c r="A55" s="52" t="n"/>
      <c r="B55" s="47">
        <f>IF(A55="","",IFERROR(INDEX('隊員マスタ'!$B$5:$B$204,MATCH(A55&amp;"",'隊員マスタ'!$F$5:$F$204,0)),"番号なし"))</f>
        <v/>
      </c>
      <c r="C55" s="47" t="n"/>
      <c r="D55" s="47" t="n"/>
      <c r="E55" s="48" t="n"/>
      <c r="F55" s="48" t="n"/>
      <c r="G55" s="47" t="n"/>
      <c r="H55" s="47" t="n"/>
    </row>
    <row r="56">
      <c r="A56" s="52" t="n"/>
      <c r="B56" s="47">
        <f>IF(A56="","",IFERROR(INDEX('隊員マスタ'!$B$5:$B$204,MATCH(A56&amp;"",'隊員マスタ'!$F$5:$F$204,0)),"番号なし"))</f>
        <v/>
      </c>
      <c r="C56" s="47" t="n"/>
      <c r="D56" s="47" t="n"/>
      <c r="E56" s="48" t="n"/>
      <c r="F56" s="48" t="n"/>
      <c r="G56" s="47" t="n"/>
      <c r="H56" s="47" t="n"/>
    </row>
    <row r="57">
      <c r="A57" s="52" t="n"/>
      <c r="B57" s="47">
        <f>IF(A57="","",IFERROR(INDEX('隊員マスタ'!$B$5:$B$204,MATCH(A57&amp;"",'隊員マスタ'!$F$5:$F$204,0)),"番号なし"))</f>
        <v/>
      </c>
      <c r="C57" s="47" t="n"/>
      <c r="D57" s="47" t="n"/>
      <c r="E57" s="48" t="n"/>
      <c r="F57" s="48" t="n"/>
      <c r="G57" s="47" t="n"/>
      <c r="H57" s="47" t="n"/>
    </row>
    <row r="58">
      <c r="A58" s="52" t="n"/>
      <c r="B58" s="47">
        <f>IF(A58="","",IFERROR(INDEX('隊員マスタ'!$B$5:$B$204,MATCH(A58&amp;"",'隊員マスタ'!$F$5:$F$204,0)),"番号なし"))</f>
        <v/>
      </c>
      <c r="C58" s="47" t="n"/>
      <c r="D58" s="47" t="n"/>
      <c r="E58" s="48" t="n"/>
      <c r="F58" s="48" t="n"/>
      <c r="G58" s="47" t="n"/>
      <c r="H58" s="47" t="n"/>
    </row>
    <row r="59">
      <c r="A59" s="52" t="n"/>
      <c r="B59" s="47">
        <f>IF(A59="","",IFERROR(INDEX('隊員マスタ'!$B$5:$B$204,MATCH(A59&amp;"",'隊員マスタ'!$F$5:$F$204,0)),"番号なし"))</f>
        <v/>
      </c>
      <c r="C59" s="47" t="n"/>
      <c r="D59" s="47" t="n"/>
      <c r="E59" s="48" t="n"/>
      <c r="F59" s="48" t="n"/>
      <c r="G59" s="47" t="n"/>
      <c r="H59" s="47" t="n"/>
    </row>
    <row r="60">
      <c r="A60" s="52" t="n"/>
      <c r="B60" s="47">
        <f>IF(A60="","",IFERROR(INDEX('隊員マスタ'!$B$5:$B$204,MATCH(A60&amp;"",'隊員マスタ'!$F$5:$F$204,0)),"番号なし"))</f>
        <v/>
      </c>
      <c r="C60" s="47" t="n"/>
      <c r="D60" s="47" t="n"/>
      <c r="E60" s="48" t="n"/>
      <c r="F60" s="48" t="n"/>
      <c r="G60" s="47" t="n"/>
      <c r="H60" s="47" t="n"/>
    </row>
    <row r="61">
      <c r="A61" s="52" t="n"/>
      <c r="B61" s="47">
        <f>IF(A61="","",IFERROR(INDEX('隊員マスタ'!$B$5:$B$204,MATCH(A61&amp;"",'隊員マスタ'!$F$5:$F$204,0)),"番号なし"))</f>
        <v/>
      </c>
      <c r="C61" s="47" t="n"/>
      <c r="D61" s="47" t="n"/>
      <c r="E61" s="48" t="n"/>
      <c r="F61" s="48" t="n"/>
      <c r="G61" s="47" t="n"/>
      <c r="H61" s="47" t="n"/>
    </row>
    <row r="62">
      <c r="A62" s="52" t="n"/>
      <c r="B62" s="47">
        <f>IF(A62="","",IFERROR(INDEX('隊員マスタ'!$B$5:$B$204,MATCH(A62&amp;"",'隊員マスタ'!$F$5:$F$204,0)),"番号なし"))</f>
        <v/>
      </c>
      <c r="C62" s="47" t="n"/>
      <c r="D62" s="47" t="n"/>
      <c r="E62" s="48" t="n"/>
      <c r="F62" s="48" t="n"/>
      <c r="G62" s="47" t="n"/>
      <c r="H62" s="47" t="n"/>
    </row>
    <row r="63">
      <c r="A63" s="52" t="n"/>
      <c r="B63" s="47">
        <f>IF(A63="","",IFERROR(INDEX('隊員マスタ'!$B$5:$B$204,MATCH(A63&amp;"",'隊員マスタ'!$F$5:$F$204,0)),"番号なし"))</f>
        <v/>
      </c>
      <c r="C63" s="47" t="n"/>
      <c r="D63" s="47" t="n"/>
      <c r="E63" s="48" t="n"/>
      <c r="F63" s="48" t="n"/>
      <c r="G63" s="47" t="n"/>
      <c r="H63" s="47" t="n"/>
    </row>
    <row r="64">
      <c r="A64" s="52" t="n"/>
      <c r="B64" s="47">
        <f>IF(A64="","",IFERROR(INDEX('隊員マスタ'!$B$5:$B$204,MATCH(A64&amp;"",'隊員マスタ'!$F$5:$F$204,0)),"番号なし"))</f>
        <v/>
      </c>
      <c r="C64" s="47" t="n"/>
      <c r="D64" s="47" t="n"/>
      <c r="E64" s="48" t="n"/>
      <c r="F64" s="48" t="n"/>
      <c r="G64" s="47" t="n"/>
      <c r="H64" s="47" t="n"/>
    </row>
    <row r="65">
      <c r="A65" s="52" t="n"/>
      <c r="B65" s="47">
        <f>IF(A65="","",IFERROR(INDEX('隊員マスタ'!$B$5:$B$204,MATCH(A65&amp;"",'隊員マスタ'!$F$5:$F$204,0)),"番号なし"))</f>
        <v/>
      </c>
      <c r="C65" s="47" t="n"/>
      <c r="D65" s="47" t="n"/>
      <c r="E65" s="48" t="n"/>
      <c r="F65" s="48" t="n"/>
      <c r="G65" s="47" t="n"/>
      <c r="H65" s="47" t="n"/>
    </row>
    <row r="66">
      <c r="A66" s="52" t="n"/>
      <c r="B66" s="47">
        <f>IF(A66="","",IFERROR(INDEX('隊員マスタ'!$B$5:$B$204,MATCH(A66&amp;"",'隊員マスタ'!$F$5:$F$204,0)),"番号なし"))</f>
        <v/>
      </c>
      <c r="C66" s="47" t="n"/>
      <c r="D66" s="47" t="n"/>
      <c r="E66" s="48" t="n"/>
      <c r="F66" s="48" t="n"/>
      <c r="G66" s="47" t="n"/>
      <c r="H66" s="47" t="n"/>
    </row>
    <row r="67">
      <c r="A67" s="52" t="n"/>
      <c r="B67" s="47">
        <f>IF(A67="","",IFERROR(INDEX('隊員マスタ'!$B$5:$B$204,MATCH(A67&amp;"",'隊員マスタ'!$F$5:$F$204,0)),"番号なし"))</f>
        <v/>
      </c>
      <c r="C67" s="47" t="n"/>
      <c r="D67" s="47" t="n"/>
      <c r="E67" s="48" t="n"/>
      <c r="F67" s="48" t="n"/>
      <c r="G67" s="47" t="n"/>
      <c r="H67" s="47" t="n"/>
    </row>
    <row r="68">
      <c r="A68" s="52" t="n"/>
      <c r="B68" s="47">
        <f>IF(A68="","",IFERROR(INDEX('隊員マスタ'!$B$5:$B$204,MATCH(A68&amp;"",'隊員マスタ'!$F$5:$F$204,0)),"番号なし"))</f>
        <v/>
      </c>
      <c r="C68" s="47" t="n"/>
      <c r="D68" s="47" t="n"/>
      <c r="E68" s="48" t="n"/>
      <c r="F68" s="48" t="n"/>
      <c r="G68" s="47" t="n"/>
      <c r="H68" s="47" t="n"/>
    </row>
    <row r="69">
      <c r="A69" s="52" t="n"/>
      <c r="B69" s="47">
        <f>IF(A69="","",IFERROR(INDEX('隊員マスタ'!$B$5:$B$204,MATCH(A69&amp;"",'隊員マスタ'!$F$5:$F$204,0)),"番号なし"))</f>
        <v/>
      </c>
      <c r="C69" s="47" t="n"/>
      <c r="D69" s="47" t="n"/>
      <c r="E69" s="48" t="n"/>
      <c r="F69" s="48" t="n"/>
      <c r="G69" s="47" t="n"/>
      <c r="H69" s="47" t="n"/>
    </row>
    <row r="70">
      <c r="A70" s="52" t="n"/>
      <c r="B70" s="47">
        <f>IF(A70="","",IFERROR(INDEX('隊員マスタ'!$B$5:$B$204,MATCH(A70&amp;"",'隊員マスタ'!$F$5:$F$204,0)),"番号なし"))</f>
        <v/>
      </c>
      <c r="C70" s="47" t="n"/>
      <c r="D70" s="47" t="n"/>
      <c r="E70" s="48" t="n"/>
      <c r="F70" s="48" t="n"/>
      <c r="G70" s="47" t="n"/>
      <c r="H70" s="47" t="n"/>
    </row>
    <row r="71">
      <c r="A71" s="52" t="n"/>
      <c r="B71" s="47">
        <f>IF(A71="","",IFERROR(INDEX('隊員マスタ'!$B$5:$B$204,MATCH(A71&amp;"",'隊員マスタ'!$F$5:$F$204,0)),"番号なし"))</f>
        <v/>
      </c>
      <c r="C71" s="47" t="n"/>
      <c r="D71" s="47" t="n"/>
      <c r="E71" s="48" t="n"/>
      <c r="F71" s="48" t="n"/>
      <c r="G71" s="47" t="n"/>
      <c r="H71" s="47" t="n"/>
    </row>
    <row r="72">
      <c r="A72" s="52" t="n"/>
      <c r="B72" s="47">
        <f>IF(A72="","",IFERROR(INDEX('隊員マスタ'!$B$5:$B$204,MATCH(A72&amp;"",'隊員マスタ'!$F$5:$F$204,0)),"番号なし"))</f>
        <v/>
      </c>
      <c r="C72" s="47" t="n"/>
      <c r="D72" s="47" t="n"/>
      <c r="E72" s="48" t="n"/>
      <c r="F72" s="48" t="n"/>
      <c r="G72" s="47" t="n"/>
      <c r="H72" s="47" t="n"/>
    </row>
    <row r="73">
      <c r="A73" s="52" t="n"/>
      <c r="B73" s="47">
        <f>IF(A73="","",IFERROR(INDEX('隊員マスタ'!$B$5:$B$204,MATCH(A73&amp;"",'隊員マスタ'!$F$5:$F$204,0)),"番号なし"))</f>
        <v/>
      </c>
      <c r="C73" s="47" t="n"/>
      <c r="D73" s="47" t="n"/>
      <c r="E73" s="48" t="n"/>
      <c r="F73" s="48" t="n"/>
      <c r="G73" s="47" t="n"/>
      <c r="H73" s="47" t="n"/>
    </row>
    <row r="74">
      <c r="A74" s="52" t="n"/>
      <c r="B74" s="47">
        <f>IF(A74="","",IFERROR(INDEX('隊員マスタ'!$B$5:$B$204,MATCH(A74&amp;"",'隊員マスタ'!$F$5:$F$204,0)),"番号なし"))</f>
        <v/>
      </c>
      <c r="C74" s="47" t="n"/>
      <c r="D74" s="47" t="n"/>
      <c r="E74" s="48" t="n"/>
      <c r="F74" s="48" t="n"/>
      <c r="G74" s="47" t="n"/>
      <c r="H74" s="47" t="n"/>
    </row>
    <row r="75">
      <c r="A75" s="52" t="n"/>
      <c r="B75" s="47">
        <f>IF(A75="","",IFERROR(INDEX('隊員マスタ'!$B$5:$B$204,MATCH(A75&amp;"",'隊員マスタ'!$F$5:$F$204,0)),"番号なし"))</f>
        <v/>
      </c>
      <c r="C75" s="47" t="n"/>
      <c r="D75" s="47" t="n"/>
      <c r="E75" s="48" t="n"/>
      <c r="F75" s="48" t="n"/>
      <c r="G75" s="47" t="n"/>
      <c r="H75" s="47" t="n"/>
    </row>
    <row r="76">
      <c r="A76" s="52" t="n"/>
      <c r="B76" s="47">
        <f>IF(A76="","",IFERROR(INDEX('隊員マスタ'!$B$5:$B$204,MATCH(A76&amp;"",'隊員マスタ'!$F$5:$F$204,0)),"番号なし"))</f>
        <v/>
      </c>
      <c r="C76" s="47" t="n"/>
      <c r="D76" s="47" t="n"/>
      <c r="E76" s="48" t="n"/>
      <c r="F76" s="48" t="n"/>
      <c r="G76" s="47" t="n"/>
      <c r="H76" s="47" t="n"/>
    </row>
    <row r="77">
      <c r="A77" s="52" t="n"/>
      <c r="B77" s="47">
        <f>IF(A77="","",IFERROR(INDEX('隊員マスタ'!$B$5:$B$204,MATCH(A77&amp;"",'隊員マスタ'!$F$5:$F$204,0)),"番号なし"))</f>
        <v/>
      </c>
      <c r="C77" s="47" t="n"/>
      <c r="D77" s="47" t="n"/>
      <c r="E77" s="48" t="n"/>
      <c r="F77" s="48" t="n"/>
      <c r="G77" s="47" t="n"/>
      <c r="H77" s="47" t="n"/>
    </row>
    <row r="78">
      <c r="A78" s="52" t="n"/>
      <c r="B78" s="47">
        <f>IF(A78="","",IFERROR(INDEX('隊員マスタ'!$B$5:$B$204,MATCH(A78&amp;"",'隊員マスタ'!$F$5:$F$204,0)),"番号なし"))</f>
        <v/>
      </c>
      <c r="C78" s="47" t="n"/>
      <c r="D78" s="47" t="n"/>
      <c r="E78" s="48" t="n"/>
      <c r="F78" s="48" t="n"/>
      <c r="G78" s="47" t="n"/>
      <c r="H78" s="47" t="n"/>
    </row>
    <row r="79">
      <c r="A79" s="52" t="n"/>
      <c r="B79" s="47">
        <f>IF(A79="","",IFERROR(INDEX('隊員マスタ'!$B$5:$B$204,MATCH(A79&amp;"",'隊員マスタ'!$F$5:$F$204,0)),"番号なし"))</f>
        <v/>
      </c>
      <c r="C79" s="47" t="n"/>
      <c r="D79" s="47" t="n"/>
      <c r="E79" s="48" t="n"/>
      <c r="F79" s="48" t="n"/>
      <c r="G79" s="47" t="n"/>
      <c r="H79" s="47" t="n"/>
    </row>
    <row r="80">
      <c r="A80" s="52" t="n"/>
      <c r="B80" s="47">
        <f>IF(A80="","",IFERROR(INDEX('隊員マスタ'!$B$5:$B$204,MATCH(A80&amp;"",'隊員マスタ'!$F$5:$F$204,0)),"番号なし"))</f>
        <v/>
      </c>
      <c r="C80" s="47" t="n"/>
      <c r="D80" s="47" t="n"/>
      <c r="E80" s="48" t="n"/>
      <c r="F80" s="48" t="n"/>
      <c r="G80" s="47" t="n"/>
      <c r="H80" s="47" t="n"/>
    </row>
    <row r="81">
      <c r="A81" s="52" t="n"/>
      <c r="B81" s="47">
        <f>IF(A81="","",IFERROR(INDEX('隊員マスタ'!$B$5:$B$204,MATCH(A81&amp;"",'隊員マスタ'!$F$5:$F$204,0)),"番号なし"))</f>
        <v/>
      </c>
      <c r="C81" s="47" t="n"/>
      <c r="D81" s="47" t="n"/>
      <c r="E81" s="48" t="n"/>
      <c r="F81" s="48" t="n"/>
      <c r="G81" s="47" t="n"/>
      <c r="H81" s="47" t="n"/>
    </row>
    <row r="82">
      <c r="A82" s="52" t="n"/>
      <c r="B82" s="47">
        <f>IF(A82="","",IFERROR(INDEX('隊員マスタ'!$B$5:$B$204,MATCH(A82&amp;"",'隊員マスタ'!$F$5:$F$204,0)),"番号なし"))</f>
        <v/>
      </c>
      <c r="C82" s="47" t="n"/>
      <c r="D82" s="47" t="n"/>
      <c r="E82" s="48" t="n"/>
      <c r="F82" s="48" t="n"/>
      <c r="G82" s="47" t="n"/>
      <c r="H82" s="47" t="n"/>
    </row>
    <row r="83">
      <c r="A83" s="52" t="n"/>
      <c r="B83" s="47">
        <f>IF(A83="","",IFERROR(INDEX('隊員マスタ'!$B$5:$B$204,MATCH(A83&amp;"",'隊員マスタ'!$F$5:$F$204,0)),"番号なし"))</f>
        <v/>
      </c>
      <c r="C83" s="47" t="n"/>
      <c r="D83" s="47" t="n"/>
      <c r="E83" s="48" t="n"/>
      <c r="F83" s="48" t="n"/>
      <c r="G83" s="47" t="n"/>
      <c r="H83" s="47" t="n"/>
    </row>
    <row r="84">
      <c r="A84" s="52" t="n"/>
      <c r="B84" s="47">
        <f>IF(A84="","",IFERROR(INDEX('隊員マスタ'!$B$5:$B$204,MATCH(A84&amp;"",'隊員マスタ'!$F$5:$F$204,0)),"番号なし"))</f>
        <v/>
      </c>
      <c r="C84" s="47" t="n"/>
      <c r="D84" s="47" t="n"/>
      <c r="E84" s="48" t="n"/>
      <c r="F84" s="48" t="n"/>
      <c r="G84" s="47" t="n"/>
      <c r="H84" s="47" t="n"/>
    </row>
    <row r="85">
      <c r="A85" s="52" t="n"/>
      <c r="B85" s="47">
        <f>IF(A85="","",IFERROR(INDEX('隊員マスタ'!$B$5:$B$204,MATCH(A85&amp;"",'隊員マスタ'!$F$5:$F$204,0)),"番号なし"))</f>
        <v/>
      </c>
      <c r="C85" s="47" t="n"/>
      <c r="D85" s="47" t="n"/>
      <c r="E85" s="48" t="n"/>
      <c r="F85" s="48" t="n"/>
      <c r="G85" s="47" t="n"/>
      <c r="H85" s="47" t="n"/>
    </row>
    <row r="86">
      <c r="A86" s="52" t="n"/>
      <c r="B86" s="47">
        <f>IF(A86="","",IFERROR(INDEX('隊員マスタ'!$B$5:$B$204,MATCH(A86&amp;"",'隊員マスタ'!$F$5:$F$204,0)),"番号なし"))</f>
        <v/>
      </c>
      <c r="C86" s="47" t="n"/>
      <c r="D86" s="47" t="n"/>
      <c r="E86" s="48" t="n"/>
      <c r="F86" s="48" t="n"/>
      <c r="G86" s="47" t="n"/>
      <c r="H86" s="47" t="n"/>
    </row>
    <row r="87">
      <c r="A87" s="52" t="n"/>
      <c r="B87" s="47">
        <f>IF(A87="","",IFERROR(INDEX('隊員マスタ'!$B$5:$B$204,MATCH(A87&amp;"",'隊員マスタ'!$F$5:$F$204,0)),"番号なし"))</f>
        <v/>
      </c>
      <c r="C87" s="47" t="n"/>
      <c r="D87" s="47" t="n"/>
      <c r="E87" s="48" t="n"/>
      <c r="F87" s="48" t="n"/>
      <c r="G87" s="47" t="n"/>
      <c r="H87" s="47" t="n"/>
    </row>
    <row r="88">
      <c r="A88" s="52" t="n"/>
      <c r="B88" s="47">
        <f>IF(A88="","",IFERROR(INDEX('隊員マスタ'!$B$5:$B$204,MATCH(A88&amp;"",'隊員マスタ'!$F$5:$F$204,0)),"番号なし"))</f>
        <v/>
      </c>
      <c r="C88" s="47" t="n"/>
      <c r="D88" s="47" t="n"/>
      <c r="E88" s="48" t="n"/>
      <c r="F88" s="48" t="n"/>
      <c r="G88" s="47" t="n"/>
      <c r="H88" s="47" t="n"/>
    </row>
    <row r="89">
      <c r="A89" s="52" t="n"/>
      <c r="B89" s="47">
        <f>IF(A89="","",IFERROR(INDEX('隊員マスタ'!$B$5:$B$204,MATCH(A89&amp;"",'隊員マスタ'!$F$5:$F$204,0)),"番号なし"))</f>
        <v/>
      </c>
      <c r="C89" s="47" t="n"/>
      <c r="D89" s="47" t="n"/>
      <c r="E89" s="48" t="n"/>
      <c r="F89" s="48" t="n"/>
      <c r="G89" s="47" t="n"/>
      <c r="H89" s="47" t="n"/>
    </row>
    <row r="90">
      <c r="A90" s="52" t="n"/>
      <c r="B90" s="47">
        <f>IF(A90="","",IFERROR(INDEX('隊員マスタ'!$B$5:$B$204,MATCH(A90&amp;"",'隊員マスタ'!$F$5:$F$204,0)),"番号なし"))</f>
        <v/>
      </c>
      <c r="C90" s="47" t="n"/>
      <c r="D90" s="47" t="n"/>
      <c r="E90" s="48" t="n"/>
      <c r="F90" s="48" t="n"/>
      <c r="G90" s="47" t="n"/>
      <c r="H90" s="47" t="n"/>
    </row>
    <row r="91">
      <c r="A91" s="52" t="n"/>
      <c r="B91" s="47">
        <f>IF(A91="","",IFERROR(INDEX('隊員マスタ'!$B$5:$B$204,MATCH(A91&amp;"",'隊員マスタ'!$F$5:$F$204,0)),"番号なし"))</f>
        <v/>
      </c>
      <c r="C91" s="47" t="n"/>
      <c r="D91" s="47" t="n"/>
      <c r="E91" s="48" t="n"/>
      <c r="F91" s="48" t="n"/>
      <c r="G91" s="47" t="n"/>
      <c r="H91" s="47" t="n"/>
    </row>
    <row r="92">
      <c r="A92" s="52" t="n"/>
      <c r="B92" s="47">
        <f>IF(A92="","",IFERROR(INDEX('隊員マスタ'!$B$5:$B$204,MATCH(A92&amp;"",'隊員マスタ'!$F$5:$F$204,0)),"番号なし"))</f>
        <v/>
      </c>
      <c r="C92" s="47" t="n"/>
      <c r="D92" s="47" t="n"/>
      <c r="E92" s="48" t="n"/>
      <c r="F92" s="48" t="n"/>
      <c r="G92" s="47" t="n"/>
      <c r="H92" s="47" t="n"/>
    </row>
    <row r="93">
      <c r="A93" s="52" t="n"/>
      <c r="B93" s="47">
        <f>IF(A93="","",IFERROR(INDEX('隊員マスタ'!$B$5:$B$204,MATCH(A93&amp;"",'隊員マスタ'!$F$5:$F$204,0)),"番号なし"))</f>
        <v/>
      </c>
      <c r="C93" s="47" t="n"/>
      <c r="D93" s="47" t="n"/>
      <c r="E93" s="48" t="n"/>
      <c r="F93" s="48" t="n"/>
      <c r="G93" s="47" t="n"/>
      <c r="H93" s="47" t="n"/>
    </row>
    <row r="94">
      <c r="A94" s="52" t="n"/>
      <c r="B94" s="47">
        <f>IF(A94="","",IFERROR(INDEX('隊員マスタ'!$B$5:$B$204,MATCH(A94&amp;"",'隊員マスタ'!$F$5:$F$204,0)),"番号なし"))</f>
        <v/>
      </c>
      <c r="C94" s="47" t="n"/>
      <c r="D94" s="47" t="n"/>
      <c r="E94" s="48" t="n"/>
      <c r="F94" s="48" t="n"/>
      <c r="G94" s="47" t="n"/>
      <c r="H94" s="47" t="n"/>
    </row>
    <row r="95">
      <c r="A95" s="52" t="n"/>
      <c r="B95" s="47">
        <f>IF(A95="","",IFERROR(INDEX('隊員マスタ'!$B$5:$B$204,MATCH(A95&amp;"",'隊員マスタ'!$F$5:$F$204,0)),"番号なし"))</f>
        <v/>
      </c>
      <c r="C95" s="47" t="n"/>
      <c r="D95" s="47" t="n"/>
      <c r="E95" s="48" t="n"/>
      <c r="F95" s="48" t="n"/>
      <c r="G95" s="47" t="n"/>
      <c r="H95" s="47" t="n"/>
    </row>
    <row r="96">
      <c r="A96" s="52" t="n"/>
      <c r="B96" s="47">
        <f>IF(A96="","",IFERROR(INDEX('隊員マスタ'!$B$5:$B$204,MATCH(A96&amp;"",'隊員マスタ'!$F$5:$F$204,0)),"番号なし"))</f>
        <v/>
      </c>
      <c r="C96" s="47" t="n"/>
      <c r="D96" s="47" t="n"/>
      <c r="E96" s="48" t="n"/>
      <c r="F96" s="48" t="n"/>
      <c r="G96" s="47" t="n"/>
      <c r="H96" s="47" t="n"/>
    </row>
    <row r="97">
      <c r="A97" s="52" t="n"/>
      <c r="B97" s="47">
        <f>IF(A97="","",IFERROR(INDEX('隊員マスタ'!$B$5:$B$204,MATCH(A97&amp;"",'隊員マスタ'!$F$5:$F$204,0)),"番号なし"))</f>
        <v/>
      </c>
      <c r="C97" s="47" t="n"/>
      <c r="D97" s="47" t="n"/>
      <c r="E97" s="48" t="n"/>
      <c r="F97" s="48" t="n"/>
      <c r="G97" s="47" t="n"/>
      <c r="H97" s="47" t="n"/>
    </row>
    <row r="98">
      <c r="A98" s="52" t="n"/>
      <c r="B98" s="47">
        <f>IF(A98="","",IFERROR(INDEX('隊員マスタ'!$B$5:$B$204,MATCH(A98&amp;"",'隊員マスタ'!$F$5:$F$204,0)),"番号なし"))</f>
        <v/>
      </c>
      <c r="C98" s="47" t="n"/>
      <c r="D98" s="47" t="n"/>
      <c r="E98" s="48" t="n"/>
      <c r="F98" s="48" t="n"/>
      <c r="G98" s="47" t="n"/>
      <c r="H98" s="47" t="n"/>
    </row>
    <row r="99">
      <c r="A99" s="52" t="n"/>
      <c r="B99" s="47">
        <f>IF(A99="","",IFERROR(INDEX('隊員マスタ'!$B$5:$B$204,MATCH(A99&amp;"",'隊員マスタ'!$F$5:$F$204,0)),"番号なし"))</f>
        <v/>
      </c>
      <c r="C99" s="47" t="n"/>
      <c r="D99" s="47" t="n"/>
      <c r="E99" s="48" t="n"/>
      <c r="F99" s="48" t="n"/>
      <c r="G99" s="47" t="n"/>
      <c r="H99" s="47" t="n"/>
    </row>
    <row r="100">
      <c r="A100" s="52" t="n"/>
      <c r="B100" s="47">
        <f>IF(A100="","",IFERROR(INDEX('隊員マスタ'!$B$5:$B$204,MATCH(A100&amp;"",'隊員マスタ'!$F$5:$F$204,0)),"番号なし"))</f>
        <v/>
      </c>
      <c r="C100" s="47" t="n"/>
      <c r="D100" s="47" t="n"/>
      <c r="E100" s="48" t="n"/>
      <c r="F100" s="48" t="n"/>
      <c r="G100" s="47" t="n"/>
      <c r="H100" s="47" t="n"/>
    </row>
    <row r="101">
      <c r="A101" s="52" t="n"/>
      <c r="B101" s="47">
        <f>IF(A101="","",IFERROR(INDEX('隊員マスタ'!$B$5:$B$204,MATCH(A101&amp;"",'隊員マスタ'!$F$5:$F$204,0)),"番号なし"))</f>
        <v/>
      </c>
      <c r="C101" s="47" t="n"/>
      <c r="D101" s="47" t="n"/>
      <c r="E101" s="48" t="n"/>
      <c r="F101" s="48" t="n"/>
      <c r="G101" s="47" t="n"/>
      <c r="H101" s="47" t="n"/>
    </row>
    <row r="102">
      <c r="A102" s="52" t="n"/>
      <c r="B102" s="47">
        <f>IF(A102="","",IFERROR(INDEX('隊員マスタ'!$B$5:$B$204,MATCH(A102&amp;"",'隊員マスタ'!$F$5:$F$204,0)),"番号なし"))</f>
        <v/>
      </c>
      <c r="C102" s="47" t="n"/>
      <c r="D102" s="47" t="n"/>
      <c r="E102" s="48" t="n"/>
      <c r="F102" s="48" t="n"/>
      <c r="G102" s="47" t="n"/>
      <c r="H102" s="47" t="n"/>
    </row>
    <row r="103">
      <c r="A103" s="52" t="n"/>
      <c r="B103" s="47">
        <f>IF(A103="","",IFERROR(INDEX('隊員マスタ'!$B$5:$B$204,MATCH(A103&amp;"",'隊員マスタ'!$F$5:$F$204,0)),"番号なし"))</f>
        <v/>
      </c>
      <c r="C103" s="47" t="n"/>
      <c r="D103" s="47" t="n"/>
      <c r="E103" s="48" t="n"/>
      <c r="F103" s="48" t="n"/>
      <c r="G103" s="47" t="n"/>
      <c r="H103" s="47" t="n"/>
    </row>
    <row r="104">
      <c r="A104" s="52" t="n"/>
      <c r="B104" s="47">
        <f>IF(A104="","",IFERROR(INDEX('隊員マスタ'!$B$5:$B$204,MATCH(A104&amp;"",'隊員マスタ'!$F$5:$F$204,0)),"番号なし"))</f>
        <v/>
      </c>
      <c r="C104" s="47" t="n"/>
      <c r="D104" s="47" t="n"/>
      <c r="E104" s="48" t="n"/>
      <c r="F104" s="48" t="n"/>
      <c r="G104" s="47" t="n"/>
      <c r="H104" s="47" t="n"/>
    </row>
    <row r="105">
      <c r="A105" s="52" t="n"/>
      <c r="B105" s="47">
        <f>IF(A105="","",IFERROR(INDEX('隊員マスタ'!$B$5:$B$204,MATCH(A105&amp;"",'隊員マスタ'!$F$5:$F$204,0)),"番号なし"))</f>
        <v/>
      </c>
      <c r="C105" s="47" t="n"/>
      <c r="D105" s="47" t="n"/>
      <c r="E105" s="48" t="n"/>
      <c r="F105" s="48" t="n"/>
      <c r="G105" s="47" t="n"/>
      <c r="H105" s="47" t="n"/>
    </row>
    <row r="106">
      <c r="A106" s="52" t="n"/>
      <c r="B106" s="47">
        <f>IF(A106="","",IFERROR(INDEX('隊員マスタ'!$B$5:$B$204,MATCH(A106&amp;"",'隊員マスタ'!$F$5:$F$204,0)),"番号なし"))</f>
        <v/>
      </c>
      <c r="C106" s="47" t="n"/>
      <c r="D106" s="47" t="n"/>
      <c r="E106" s="48" t="n"/>
      <c r="F106" s="48" t="n"/>
      <c r="G106" s="47" t="n"/>
      <c r="H106" s="47" t="n"/>
    </row>
    <row r="107">
      <c r="A107" s="52" t="n"/>
      <c r="B107" s="47">
        <f>IF(A107="","",IFERROR(INDEX('隊員マスタ'!$B$5:$B$204,MATCH(A107&amp;"",'隊員マスタ'!$F$5:$F$204,0)),"番号なし"))</f>
        <v/>
      </c>
      <c r="C107" s="47" t="n"/>
      <c r="D107" s="47" t="n"/>
      <c r="E107" s="48" t="n"/>
      <c r="F107" s="48" t="n"/>
      <c r="G107" s="47" t="n"/>
      <c r="H107" s="47" t="n"/>
    </row>
    <row r="108">
      <c r="A108" s="52" t="n"/>
      <c r="B108" s="47">
        <f>IF(A108="","",IFERROR(INDEX('隊員マスタ'!$B$5:$B$204,MATCH(A108&amp;"",'隊員マスタ'!$F$5:$F$204,0)),"番号なし"))</f>
        <v/>
      </c>
      <c r="C108" s="47" t="n"/>
      <c r="D108" s="47" t="n"/>
      <c r="E108" s="48" t="n"/>
      <c r="F108" s="48" t="n"/>
      <c r="G108" s="47" t="n"/>
      <c r="H108" s="47" t="n"/>
    </row>
    <row r="109">
      <c r="A109" s="52" t="n"/>
      <c r="B109" s="47">
        <f>IF(A109="","",IFERROR(INDEX('隊員マスタ'!$B$5:$B$204,MATCH(A109&amp;"",'隊員マスタ'!$F$5:$F$204,0)),"番号なし"))</f>
        <v/>
      </c>
      <c r="C109" s="47" t="n"/>
      <c r="D109" s="47" t="n"/>
      <c r="E109" s="48" t="n"/>
      <c r="F109" s="48" t="n"/>
      <c r="G109" s="47" t="n"/>
      <c r="H109" s="47" t="n"/>
    </row>
    <row r="110">
      <c r="A110" s="52" t="n"/>
      <c r="B110" s="47">
        <f>IF(A110="","",IFERROR(INDEX('隊員マスタ'!$B$5:$B$204,MATCH(A110&amp;"",'隊員マスタ'!$F$5:$F$204,0)),"番号なし"))</f>
        <v/>
      </c>
      <c r="C110" s="47" t="n"/>
      <c r="D110" s="47" t="n"/>
      <c r="E110" s="48" t="n"/>
      <c r="F110" s="48" t="n"/>
      <c r="G110" s="47" t="n"/>
      <c r="H110" s="47" t="n"/>
    </row>
    <row r="111">
      <c r="A111" s="52" t="n"/>
      <c r="B111" s="47">
        <f>IF(A111="","",IFERROR(INDEX('隊員マスタ'!$B$5:$B$204,MATCH(A111&amp;"",'隊員マスタ'!$F$5:$F$204,0)),"番号なし"))</f>
        <v/>
      </c>
      <c r="C111" s="47" t="n"/>
      <c r="D111" s="47" t="n"/>
      <c r="E111" s="48" t="n"/>
      <c r="F111" s="48" t="n"/>
      <c r="G111" s="47" t="n"/>
      <c r="H111" s="47" t="n"/>
    </row>
    <row r="112">
      <c r="A112" s="52" t="n"/>
      <c r="B112" s="47">
        <f>IF(A112="","",IFERROR(INDEX('隊員マスタ'!$B$5:$B$204,MATCH(A112&amp;"",'隊員マスタ'!$F$5:$F$204,0)),"番号なし"))</f>
        <v/>
      </c>
      <c r="C112" s="47" t="n"/>
      <c r="D112" s="47" t="n"/>
      <c r="E112" s="48" t="n"/>
      <c r="F112" s="48" t="n"/>
      <c r="G112" s="47" t="n"/>
      <c r="H112" s="47" t="n"/>
    </row>
    <row r="113">
      <c r="A113" s="52" t="n"/>
      <c r="B113" s="47">
        <f>IF(A113="","",IFERROR(INDEX('隊員マスタ'!$B$5:$B$204,MATCH(A113&amp;"",'隊員マスタ'!$F$5:$F$204,0)),"番号なし"))</f>
        <v/>
      </c>
      <c r="C113" s="47" t="n"/>
      <c r="D113" s="47" t="n"/>
      <c r="E113" s="48" t="n"/>
      <c r="F113" s="48" t="n"/>
      <c r="G113" s="47" t="n"/>
      <c r="H113" s="47" t="n"/>
    </row>
    <row r="114">
      <c r="A114" s="52" t="n"/>
      <c r="B114" s="47">
        <f>IF(A114="","",IFERROR(INDEX('隊員マスタ'!$B$5:$B$204,MATCH(A114&amp;"",'隊員マスタ'!$F$5:$F$204,0)),"番号なし"))</f>
        <v/>
      </c>
      <c r="C114" s="47" t="n"/>
      <c r="D114" s="47" t="n"/>
      <c r="E114" s="48" t="n"/>
      <c r="F114" s="48" t="n"/>
      <c r="G114" s="47" t="n"/>
      <c r="H114" s="47" t="n"/>
    </row>
    <row r="115">
      <c r="A115" s="52" t="n"/>
      <c r="B115" s="47">
        <f>IF(A115="","",IFERROR(INDEX('隊員マスタ'!$B$5:$B$204,MATCH(A115&amp;"",'隊員マスタ'!$F$5:$F$204,0)),"番号なし"))</f>
        <v/>
      </c>
      <c r="C115" s="47" t="n"/>
      <c r="D115" s="47" t="n"/>
      <c r="E115" s="48" t="n"/>
      <c r="F115" s="48" t="n"/>
      <c r="G115" s="47" t="n"/>
      <c r="H115" s="47" t="n"/>
    </row>
    <row r="116">
      <c r="A116" s="52" t="n"/>
      <c r="B116" s="47">
        <f>IF(A116="","",IFERROR(INDEX('隊員マスタ'!$B$5:$B$204,MATCH(A116&amp;"",'隊員マスタ'!$F$5:$F$204,0)),"番号なし"))</f>
        <v/>
      </c>
      <c r="C116" s="47" t="n"/>
      <c r="D116" s="47" t="n"/>
      <c r="E116" s="48" t="n"/>
      <c r="F116" s="48" t="n"/>
      <c r="G116" s="47" t="n"/>
      <c r="H116" s="47" t="n"/>
    </row>
    <row r="117">
      <c r="A117" s="52" t="n"/>
      <c r="B117" s="47">
        <f>IF(A117="","",IFERROR(INDEX('隊員マスタ'!$B$5:$B$204,MATCH(A117&amp;"",'隊員マスタ'!$F$5:$F$204,0)),"番号なし"))</f>
        <v/>
      </c>
      <c r="C117" s="47" t="n"/>
      <c r="D117" s="47" t="n"/>
      <c r="E117" s="48" t="n"/>
      <c r="F117" s="48" t="n"/>
      <c r="G117" s="47" t="n"/>
      <c r="H117" s="47" t="n"/>
    </row>
    <row r="118">
      <c r="A118" s="52" t="n"/>
      <c r="B118" s="47">
        <f>IF(A118="","",IFERROR(INDEX('隊員マスタ'!$B$5:$B$204,MATCH(A118&amp;"",'隊員マスタ'!$F$5:$F$204,0)),"番号なし"))</f>
        <v/>
      </c>
      <c r="C118" s="47" t="n"/>
      <c r="D118" s="47" t="n"/>
      <c r="E118" s="48" t="n"/>
      <c r="F118" s="48" t="n"/>
      <c r="G118" s="47" t="n"/>
      <c r="H118" s="47" t="n"/>
    </row>
    <row r="119">
      <c r="A119" s="52" t="n"/>
      <c r="B119" s="47">
        <f>IF(A119="","",IFERROR(INDEX('隊員マスタ'!$B$5:$B$204,MATCH(A119&amp;"",'隊員マスタ'!$F$5:$F$204,0)),"番号なし"))</f>
        <v/>
      </c>
      <c r="C119" s="47" t="n"/>
      <c r="D119" s="47" t="n"/>
      <c r="E119" s="48" t="n"/>
      <c r="F119" s="48" t="n"/>
      <c r="G119" s="47" t="n"/>
      <c r="H119" s="47" t="n"/>
    </row>
    <row r="120">
      <c r="A120" s="52" t="n"/>
      <c r="B120" s="47">
        <f>IF(A120="","",IFERROR(INDEX('隊員マスタ'!$B$5:$B$204,MATCH(A120&amp;"",'隊員マスタ'!$F$5:$F$204,0)),"番号なし"))</f>
        <v/>
      </c>
      <c r="C120" s="47" t="n"/>
      <c r="D120" s="47" t="n"/>
      <c r="E120" s="48" t="n"/>
      <c r="F120" s="48" t="n"/>
      <c r="G120" s="47" t="n"/>
      <c r="H120" s="47" t="n"/>
    </row>
    <row r="121">
      <c r="A121" s="52" t="n"/>
      <c r="B121" s="47">
        <f>IF(A121="","",IFERROR(INDEX('隊員マスタ'!$B$5:$B$204,MATCH(A121&amp;"",'隊員マスタ'!$F$5:$F$204,0)),"番号なし"))</f>
        <v/>
      </c>
      <c r="C121" s="47" t="n"/>
      <c r="D121" s="47" t="n"/>
      <c r="E121" s="48" t="n"/>
      <c r="F121" s="48" t="n"/>
      <c r="G121" s="47" t="n"/>
      <c r="H121" s="47" t="n"/>
    </row>
    <row r="122">
      <c r="A122" s="52" t="n"/>
      <c r="B122" s="47">
        <f>IF(A122="","",IFERROR(INDEX('隊員マスタ'!$B$5:$B$204,MATCH(A122&amp;"",'隊員マスタ'!$F$5:$F$204,0)),"番号なし"))</f>
        <v/>
      </c>
      <c r="C122" s="47" t="n"/>
      <c r="D122" s="47" t="n"/>
      <c r="E122" s="48" t="n"/>
      <c r="F122" s="48" t="n"/>
      <c r="G122" s="47" t="n"/>
      <c r="H122" s="47" t="n"/>
    </row>
    <row r="123">
      <c r="A123" s="52" t="n"/>
      <c r="B123" s="47">
        <f>IF(A123="","",IFERROR(INDEX('隊員マスタ'!$B$5:$B$204,MATCH(A123&amp;"",'隊員マスタ'!$F$5:$F$204,0)),"番号なし"))</f>
        <v/>
      </c>
      <c r="C123" s="47" t="n"/>
      <c r="D123" s="47" t="n"/>
      <c r="E123" s="48" t="n"/>
      <c r="F123" s="48" t="n"/>
      <c r="G123" s="47" t="n"/>
      <c r="H123" s="47" t="n"/>
    </row>
    <row r="124">
      <c r="A124" s="52" t="n"/>
      <c r="B124" s="47">
        <f>IF(A124="","",IFERROR(INDEX('隊員マスタ'!$B$5:$B$204,MATCH(A124&amp;"",'隊員マスタ'!$F$5:$F$204,0)),"番号なし"))</f>
        <v/>
      </c>
      <c r="C124" s="47" t="n"/>
      <c r="D124" s="47" t="n"/>
      <c r="E124" s="48" t="n"/>
      <c r="F124" s="48" t="n"/>
      <c r="G124" s="47" t="n"/>
      <c r="H124" s="47" t="n"/>
    </row>
    <row r="125">
      <c r="A125" s="52" t="n"/>
      <c r="B125" s="47">
        <f>IF(A125="","",IFERROR(INDEX('隊員マスタ'!$B$5:$B$204,MATCH(A125&amp;"",'隊員マスタ'!$F$5:$F$204,0)),"番号なし"))</f>
        <v/>
      </c>
      <c r="C125" s="47" t="n"/>
      <c r="D125" s="47" t="n"/>
      <c r="E125" s="48" t="n"/>
      <c r="F125" s="48" t="n"/>
      <c r="G125" s="47" t="n"/>
      <c r="H125" s="47" t="n"/>
    </row>
    <row r="126">
      <c r="A126" s="52" t="n"/>
      <c r="B126" s="47">
        <f>IF(A126="","",IFERROR(INDEX('隊員マスタ'!$B$5:$B$204,MATCH(A126&amp;"",'隊員マスタ'!$F$5:$F$204,0)),"番号なし"))</f>
        <v/>
      </c>
      <c r="C126" s="47" t="n"/>
      <c r="D126" s="47" t="n"/>
      <c r="E126" s="48" t="n"/>
      <c r="F126" s="48" t="n"/>
      <c r="G126" s="47" t="n"/>
      <c r="H126" s="47" t="n"/>
    </row>
    <row r="127">
      <c r="A127" s="52" t="n"/>
      <c r="B127" s="47">
        <f>IF(A127="","",IFERROR(INDEX('隊員マスタ'!$B$5:$B$204,MATCH(A127&amp;"",'隊員マスタ'!$F$5:$F$204,0)),"番号なし"))</f>
        <v/>
      </c>
      <c r="C127" s="47" t="n"/>
      <c r="D127" s="47" t="n"/>
      <c r="E127" s="48" t="n"/>
      <c r="F127" s="48" t="n"/>
      <c r="G127" s="47" t="n"/>
      <c r="H127" s="47" t="n"/>
    </row>
    <row r="128">
      <c r="A128" s="52" t="n"/>
      <c r="B128" s="47">
        <f>IF(A128="","",IFERROR(INDEX('隊員マスタ'!$B$5:$B$204,MATCH(A128&amp;"",'隊員マスタ'!$F$5:$F$204,0)),"番号なし"))</f>
        <v/>
      </c>
      <c r="C128" s="47" t="n"/>
      <c r="D128" s="47" t="n"/>
      <c r="E128" s="48" t="n"/>
      <c r="F128" s="48" t="n"/>
      <c r="G128" s="47" t="n"/>
      <c r="H128" s="47" t="n"/>
    </row>
    <row r="129">
      <c r="A129" s="52" t="n"/>
      <c r="B129" s="47">
        <f>IF(A129="","",IFERROR(INDEX('隊員マスタ'!$B$5:$B$204,MATCH(A129&amp;"",'隊員マスタ'!$F$5:$F$204,0)),"番号なし"))</f>
        <v/>
      </c>
      <c r="C129" s="47" t="n"/>
      <c r="D129" s="47" t="n"/>
      <c r="E129" s="48" t="n"/>
      <c r="F129" s="48" t="n"/>
      <c r="G129" s="47" t="n"/>
      <c r="H129" s="47" t="n"/>
    </row>
    <row r="130">
      <c r="A130" s="52" t="n"/>
      <c r="B130" s="47">
        <f>IF(A130="","",IFERROR(INDEX('隊員マスタ'!$B$5:$B$204,MATCH(A130&amp;"",'隊員マスタ'!$F$5:$F$204,0)),"番号なし"))</f>
        <v/>
      </c>
      <c r="C130" s="47" t="n"/>
      <c r="D130" s="47" t="n"/>
      <c r="E130" s="48" t="n"/>
      <c r="F130" s="48" t="n"/>
      <c r="G130" s="47" t="n"/>
      <c r="H130" s="47" t="n"/>
    </row>
    <row r="131">
      <c r="A131" s="52" t="n"/>
      <c r="B131" s="47">
        <f>IF(A131="","",IFERROR(INDEX('隊員マスタ'!$B$5:$B$204,MATCH(A131&amp;"",'隊員マスタ'!$F$5:$F$204,0)),"番号なし"))</f>
        <v/>
      </c>
      <c r="C131" s="47" t="n"/>
      <c r="D131" s="47" t="n"/>
      <c r="E131" s="48" t="n"/>
      <c r="F131" s="48" t="n"/>
      <c r="G131" s="47" t="n"/>
      <c r="H131" s="47" t="n"/>
    </row>
    <row r="132">
      <c r="A132" s="52" t="n"/>
      <c r="B132" s="47">
        <f>IF(A132="","",IFERROR(INDEX('隊員マスタ'!$B$5:$B$204,MATCH(A132&amp;"",'隊員マスタ'!$F$5:$F$204,0)),"番号なし"))</f>
        <v/>
      </c>
      <c r="C132" s="47" t="n"/>
      <c r="D132" s="47" t="n"/>
      <c r="E132" s="48" t="n"/>
      <c r="F132" s="48" t="n"/>
      <c r="G132" s="47" t="n"/>
      <c r="H132" s="47" t="n"/>
    </row>
    <row r="133">
      <c r="A133" s="52" t="n"/>
      <c r="B133" s="47">
        <f>IF(A133="","",IFERROR(INDEX('隊員マスタ'!$B$5:$B$204,MATCH(A133&amp;"",'隊員マスタ'!$F$5:$F$204,0)),"番号なし"))</f>
        <v/>
      </c>
      <c r="C133" s="47" t="n"/>
      <c r="D133" s="47" t="n"/>
      <c r="E133" s="48" t="n"/>
      <c r="F133" s="48" t="n"/>
      <c r="G133" s="47" t="n"/>
      <c r="H133" s="47" t="n"/>
    </row>
    <row r="134">
      <c r="A134" s="52" t="n"/>
      <c r="B134" s="47">
        <f>IF(A134="","",IFERROR(INDEX('隊員マスタ'!$B$5:$B$204,MATCH(A134&amp;"",'隊員マスタ'!$F$5:$F$204,0)),"番号なし"))</f>
        <v/>
      </c>
      <c r="C134" s="47" t="n"/>
      <c r="D134" s="47" t="n"/>
      <c r="E134" s="48" t="n"/>
      <c r="F134" s="48" t="n"/>
      <c r="G134" s="47" t="n"/>
      <c r="H134" s="47" t="n"/>
    </row>
    <row r="135">
      <c r="A135" s="52" t="n"/>
      <c r="B135" s="47">
        <f>IF(A135="","",IFERROR(INDEX('隊員マスタ'!$B$5:$B$204,MATCH(A135&amp;"",'隊員マスタ'!$F$5:$F$204,0)),"番号なし"))</f>
        <v/>
      </c>
      <c r="C135" s="47" t="n"/>
      <c r="D135" s="47" t="n"/>
      <c r="E135" s="48" t="n"/>
      <c r="F135" s="48" t="n"/>
      <c r="G135" s="47" t="n"/>
      <c r="H135" s="47" t="n"/>
    </row>
    <row r="136">
      <c r="A136" s="52" t="n"/>
      <c r="B136" s="47">
        <f>IF(A136="","",IFERROR(INDEX('隊員マスタ'!$B$5:$B$204,MATCH(A136&amp;"",'隊員マスタ'!$F$5:$F$204,0)),"番号なし"))</f>
        <v/>
      </c>
      <c r="C136" s="47" t="n"/>
      <c r="D136" s="47" t="n"/>
      <c r="E136" s="48" t="n"/>
      <c r="F136" s="48" t="n"/>
      <c r="G136" s="47" t="n"/>
      <c r="H136" s="47" t="n"/>
    </row>
    <row r="137">
      <c r="A137" s="52" t="n"/>
      <c r="B137" s="47">
        <f>IF(A137="","",IFERROR(INDEX('隊員マスタ'!$B$5:$B$204,MATCH(A137&amp;"",'隊員マスタ'!$F$5:$F$204,0)),"番号なし"))</f>
        <v/>
      </c>
      <c r="C137" s="47" t="n"/>
      <c r="D137" s="47" t="n"/>
      <c r="E137" s="48" t="n"/>
      <c r="F137" s="48" t="n"/>
      <c r="G137" s="47" t="n"/>
      <c r="H137" s="47" t="n"/>
    </row>
    <row r="138">
      <c r="A138" s="52" t="n"/>
      <c r="B138" s="47">
        <f>IF(A138="","",IFERROR(INDEX('隊員マスタ'!$B$5:$B$204,MATCH(A138&amp;"",'隊員マスタ'!$F$5:$F$204,0)),"番号なし"))</f>
        <v/>
      </c>
      <c r="C138" s="47" t="n"/>
      <c r="D138" s="47" t="n"/>
      <c r="E138" s="48" t="n"/>
      <c r="F138" s="48" t="n"/>
      <c r="G138" s="47" t="n"/>
      <c r="H138" s="47" t="n"/>
    </row>
    <row r="139">
      <c r="A139" s="52" t="n"/>
      <c r="B139" s="47">
        <f>IF(A139="","",IFERROR(INDEX('隊員マスタ'!$B$5:$B$204,MATCH(A139&amp;"",'隊員マスタ'!$F$5:$F$204,0)),"番号なし"))</f>
        <v/>
      </c>
      <c r="C139" s="47" t="n"/>
      <c r="D139" s="47" t="n"/>
      <c r="E139" s="48" t="n"/>
      <c r="F139" s="48" t="n"/>
      <c r="G139" s="47" t="n"/>
      <c r="H139" s="47" t="n"/>
    </row>
    <row r="140">
      <c r="A140" s="52" t="n"/>
      <c r="B140" s="47">
        <f>IF(A140="","",IFERROR(INDEX('隊員マスタ'!$B$5:$B$204,MATCH(A140&amp;"",'隊員マスタ'!$F$5:$F$204,0)),"番号なし"))</f>
        <v/>
      </c>
      <c r="C140" s="47" t="n"/>
      <c r="D140" s="47" t="n"/>
      <c r="E140" s="48" t="n"/>
      <c r="F140" s="48" t="n"/>
      <c r="G140" s="47" t="n"/>
      <c r="H140" s="47" t="n"/>
    </row>
    <row r="141">
      <c r="A141" s="52" t="n"/>
      <c r="B141" s="47">
        <f>IF(A141="","",IFERROR(INDEX('隊員マスタ'!$B$5:$B$204,MATCH(A141&amp;"",'隊員マスタ'!$F$5:$F$204,0)),"番号なし"))</f>
        <v/>
      </c>
      <c r="C141" s="47" t="n"/>
      <c r="D141" s="47" t="n"/>
      <c r="E141" s="48" t="n"/>
      <c r="F141" s="48" t="n"/>
      <c r="G141" s="47" t="n"/>
      <c r="H141" s="47" t="n"/>
    </row>
    <row r="142">
      <c r="A142" s="52" t="n"/>
      <c r="B142" s="47">
        <f>IF(A142="","",IFERROR(INDEX('隊員マスタ'!$B$5:$B$204,MATCH(A142&amp;"",'隊員マスタ'!$F$5:$F$204,0)),"番号なし"))</f>
        <v/>
      </c>
      <c r="C142" s="47" t="n"/>
      <c r="D142" s="47" t="n"/>
      <c r="E142" s="48" t="n"/>
      <c r="F142" s="48" t="n"/>
      <c r="G142" s="47" t="n"/>
      <c r="H142" s="47" t="n"/>
    </row>
    <row r="143">
      <c r="A143" s="52" t="n"/>
      <c r="B143" s="47">
        <f>IF(A143="","",IFERROR(INDEX('隊員マスタ'!$B$5:$B$204,MATCH(A143&amp;"",'隊員マスタ'!$F$5:$F$204,0)),"番号なし"))</f>
        <v/>
      </c>
      <c r="C143" s="47" t="n"/>
      <c r="D143" s="47" t="n"/>
      <c r="E143" s="48" t="n"/>
      <c r="F143" s="48" t="n"/>
      <c r="G143" s="47" t="n"/>
      <c r="H143" s="47" t="n"/>
    </row>
    <row r="144">
      <c r="A144" s="52" t="n"/>
      <c r="B144" s="47">
        <f>IF(A144="","",IFERROR(INDEX('隊員マスタ'!$B$5:$B$204,MATCH(A144&amp;"",'隊員マスタ'!$F$5:$F$204,0)),"番号なし"))</f>
        <v/>
      </c>
      <c r="C144" s="47" t="n"/>
      <c r="D144" s="47" t="n"/>
      <c r="E144" s="48" t="n"/>
      <c r="F144" s="48" t="n"/>
      <c r="G144" s="47" t="n"/>
      <c r="H144" s="47" t="n"/>
    </row>
    <row r="145">
      <c r="A145" s="52" t="n"/>
      <c r="B145" s="47">
        <f>IF(A145="","",IFERROR(INDEX('隊員マスタ'!$B$5:$B$204,MATCH(A145&amp;"",'隊員マスタ'!$F$5:$F$204,0)),"番号なし"))</f>
        <v/>
      </c>
      <c r="C145" s="47" t="n"/>
      <c r="D145" s="47" t="n"/>
      <c r="E145" s="48" t="n"/>
      <c r="F145" s="48" t="n"/>
      <c r="G145" s="47" t="n"/>
      <c r="H145" s="47" t="n"/>
    </row>
    <row r="146">
      <c r="A146" s="52" t="n"/>
      <c r="B146" s="47">
        <f>IF(A146="","",IFERROR(INDEX('隊員マスタ'!$B$5:$B$204,MATCH(A146&amp;"",'隊員マスタ'!$F$5:$F$204,0)),"番号なし"))</f>
        <v/>
      </c>
      <c r="C146" s="47" t="n"/>
      <c r="D146" s="47" t="n"/>
      <c r="E146" s="48" t="n"/>
      <c r="F146" s="48" t="n"/>
      <c r="G146" s="47" t="n"/>
      <c r="H146" s="47" t="n"/>
    </row>
    <row r="147">
      <c r="A147" s="52" t="n"/>
      <c r="B147" s="47">
        <f>IF(A147="","",IFERROR(INDEX('隊員マスタ'!$B$5:$B$204,MATCH(A147&amp;"",'隊員マスタ'!$F$5:$F$204,0)),"番号なし"))</f>
        <v/>
      </c>
      <c r="C147" s="47" t="n"/>
      <c r="D147" s="47" t="n"/>
      <c r="E147" s="48" t="n"/>
      <c r="F147" s="48" t="n"/>
      <c r="G147" s="47" t="n"/>
      <c r="H147" s="47" t="n"/>
    </row>
    <row r="148">
      <c r="A148" s="52" t="n"/>
      <c r="B148" s="47">
        <f>IF(A148="","",IFERROR(INDEX('隊員マスタ'!$B$5:$B$204,MATCH(A148&amp;"",'隊員マスタ'!$F$5:$F$204,0)),"番号なし"))</f>
        <v/>
      </c>
      <c r="C148" s="47" t="n"/>
      <c r="D148" s="47" t="n"/>
      <c r="E148" s="48" t="n"/>
      <c r="F148" s="48" t="n"/>
      <c r="G148" s="47" t="n"/>
      <c r="H148" s="47" t="n"/>
    </row>
    <row r="149">
      <c r="A149" s="52" t="n"/>
      <c r="B149" s="47">
        <f>IF(A149="","",IFERROR(INDEX('隊員マスタ'!$B$5:$B$204,MATCH(A149&amp;"",'隊員マスタ'!$F$5:$F$204,0)),"番号なし"))</f>
        <v/>
      </c>
      <c r="C149" s="47" t="n"/>
      <c r="D149" s="47" t="n"/>
      <c r="E149" s="48" t="n"/>
      <c r="F149" s="48" t="n"/>
      <c r="G149" s="47" t="n"/>
      <c r="H149" s="47" t="n"/>
    </row>
    <row r="150">
      <c r="A150" s="52" t="n"/>
      <c r="B150" s="47">
        <f>IF(A150="","",IFERROR(INDEX('隊員マスタ'!$B$5:$B$204,MATCH(A150&amp;"",'隊員マスタ'!$F$5:$F$204,0)),"番号なし"))</f>
        <v/>
      </c>
      <c r="C150" s="47" t="n"/>
      <c r="D150" s="47" t="n"/>
      <c r="E150" s="48" t="n"/>
      <c r="F150" s="48" t="n"/>
      <c r="G150" s="47" t="n"/>
      <c r="H150" s="47" t="n"/>
    </row>
    <row r="151">
      <c r="A151" s="52" t="n"/>
      <c r="B151" s="47">
        <f>IF(A151="","",IFERROR(INDEX('隊員マスタ'!$B$5:$B$204,MATCH(A151&amp;"",'隊員マスタ'!$F$5:$F$204,0)),"番号なし"))</f>
        <v/>
      </c>
      <c r="C151" s="47" t="n"/>
      <c r="D151" s="47" t="n"/>
      <c r="E151" s="48" t="n"/>
      <c r="F151" s="48" t="n"/>
      <c r="G151" s="47" t="n"/>
      <c r="H151" s="47" t="n"/>
    </row>
    <row r="152">
      <c r="A152" s="52" t="n"/>
      <c r="B152" s="47">
        <f>IF(A152="","",IFERROR(INDEX('隊員マスタ'!$B$5:$B$204,MATCH(A152&amp;"",'隊員マスタ'!$F$5:$F$204,0)),"番号なし"))</f>
        <v/>
      </c>
      <c r="C152" s="47" t="n"/>
      <c r="D152" s="47" t="n"/>
      <c r="E152" s="48" t="n"/>
      <c r="F152" s="48" t="n"/>
      <c r="G152" s="47" t="n"/>
      <c r="H152" s="47" t="n"/>
    </row>
    <row r="153">
      <c r="A153" s="52" t="n"/>
      <c r="B153" s="47">
        <f>IF(A153="","",IFERROR(INDEX('隊員マスタ'!$B$5:$B$204,MATCH(A153&amp;"",'隊員マスタ'!$F$5:$F$204,0)),"番号なし"))</f>
        <v/>
      </c>
      <c r="C153" s="47" t="n"/>
      <c r="D153" s="47" t="n"/>
      <c r="E153" s="48" t="n"/>
      <c r="F153" s="48" t="n"/>
      <c r="G153" s="47" t="n"/>
      <c r="H153" s="47" t="n"/>
    </row>
    <row r="154">
      <c r="A154" s="52" t="n"/>
      <c r="B154" s="47">
        <f>IF(A154="","",IFERROR(INDEX('隊員マスタ'!$B$5:$B$204,MATCH(A154&amp;"",'隊員マスタ'!$F$5:$F$204,0)),"番号なし"))</f>
        <v/>
      </c>
      <c r="C154" s="47" t="n"/>
      <c r="D154" s="47" t="n"/>
      <c r="E154" s="48" t="n"/>
      <c r="F154" s="48" t="n"/>
      <c r="G154" s="47" t="n"/>
      <c r="H154" s="47" t="n"/>
    </row>
    <row r="155">
      <c r="A155" s="52" t="n"/>
      <c r="B155" s="47">
        <f>IF(A155="","",IFERROR(INDEX('隊員マスタ'!$B$5:$B$204,MATCH(A155&amp;"",'隊員マスタ'!$F$5:$F$204,0)),"番号なし"))</f>
        <v/>
      </c>
      <c r="C155" s="47" t="n"/>
      <c r="D155" s="47" t="n"/>
      <c r="E155" s="48" t="n"/>
      <c r="F155" s="48" t="n"/>
      <c r="G155" s="47" t="n"/>
      <c r="H155" s="47" t="n"/>
    </row>
    <row r="156">
      <c r="A156" s="52" t="n"/>
      <c r="B156" s="47">
        <f>IF(A156="","",IFERROR(INDEX('隊員マスタ'!$B$5:$B$204,MATCH(A156&amp;"",'隊員マスタ'!$F$5:$F$204,0)),"番号なし"))</f>
        <v/>
      </c>
      <c r="C156" s="47" t="n"/>
      <c r="D156" s="47" t="n"/>
      <c r="E156" s="48" t="n"/>
      <c r="F156" s="48" t="n"/>
      <c r="G156" s="47" t="n"/>
      <c r="H156" s="47" t="n"/>
    </row>
    <row r="157">
      <c r="A157" s="52" t="n"/>
      <c r="B157" s="47">
        <f>IF(A157="","",IFERROR(INDEX('隊員マスタ'!$B$5:$B$204,MATCH(A157&amp;"",'隊員マスタ'!$F$5:$F$204,0)),"番号なし"))</f>
        <v/>
      </c>
      <c r="C157" s="47" t="n"/>
      <c r="D157" s="47" t="n"/>
      <c r="E157" s="48" t="n"/>
      <c r="F157" s="48" t="n"/>
      <c r="G157" s="47" t="n"/>
      <c r="H157" s="47" t="n"/>
    </row>
    <row r="158">
      <c r="A158" s="52" t="n"/>
      <c r="B158" s="47">
        <f>IF(A158="","",IFERROR(INDEX('隊員マスタ'!$B$5:$B$204,MATCH(A158&amp;"",'隊員マスタ'!$F$5:$F$204,0)),"番号なし"))</f>
        <v/>
      </c>
      <c r="C158" s="47" t="n"/>
      <c r="D158" s="47" t="n"/>
      <c r="E158" s="48" t="n"/>
      <c r="F158" s="48" t="n"/>
      <c r="G158" s="47" t="n"/>
      <c r="H158" s="47" t="n"/>
    </row>
    <row r="159">
      <c r="A159" s="52" t="n"/>
      <c r="B159" s="47">
        <f>IF(A159="","",IFERROR(INDEX('隊員マスタ'!$B$5:$B$204,MATCH(A159&amp;"",'隊員マスタ'!$F$5:$F$204,0)),"番号なし"))</f>
        <v/>
      </c>
      <c r="C159" s="47" t="n"/>
      <c r="D159" s="47" t="n"/>
      <c r="E159" s="48" t="n"/>
      <c r="F159" s="48" t="n"/>
      <c r="G159" s="47" t="n"/>
      <c r="H159" s="47" t="n"/>
    </row>
    <row r="160">
      <c r="A160" s="52" t="n"/>
      <c r="B160" s="47">
        <f>IF(A160="","",IFERROR(INDEX('隊員マスタ'!$B$5:$B$204,MATCH(A160&amp;"",'隊員マスタ'!$F$5:$F$204,0)),"番号なし"))</f>
        <v/>
      </c>
      <c r="C160" s="47" t="n"/>
      <c r="D160" s="47" t="n"/>
      <c r="E160" s="48" t="n"/>
      <c r="F160" s="48" t="n"/>
      <c r="G160" s="47" t="n"/>
      <c r="H160" s="47" t="n"/>
    </row>
    <row r="161">
      <c r="A161" s="52" t="n"/>
      <c r="B161" s="47">
        <f>IF(A161="","",IFERROR(INDEX('隊員マスタ'!$B$5:$B$204,MATCH(A161&amp;"",'隊員マスタ'!$F$5:$F$204,0)),"番号なし"))</f>
        <v/>
      </c>
      <c r="C161" s="47" t="n"/>
      <c r="D161" s="47" t="n"/>
      <c r="E161" s="48" t="n"/>
      <c r="F161" s="48" t="n"/>
      <c r="G161" s="47" t="n"/>
      <c r="H161" s="47" t="n"/>
    </row>
    <row r="162">
      <c r="A162" s="52" t="n"/>
      <c r="B162" s="47">
        <f>IF(A162="","",IFERROR(INDEX('隊員マスタ'!$B$5:$B$204,MATCH(A162&amp;"",'隊員マスタ'!$F$5:$F$204,0)),"番号なし"))</f>
        <v/>
      </c>
      <c r="C162" s="47" t="n"/>
      <c r="D162" s="47" t="n"/>
      <c r="E162" s="48" t="n"/>
      <c r="F162" s="48" t="n"/>
      <c r="G162" s="47" t="n"/>
      <c r="H162" s="47" t="n"/>
    </row>
    <row r="163">
      <c r="A163" s="52" t="n"/>
      <c r="B163" s="47">
        <f>IF(A163="","",IFERROR(INDEX('隊員マスタ'!$B$5:$B$204,MATCH(A163&amp;"",'隊員マスタ'!$F$5:$F$204,0)),"番号なし"))</f>
        <v/>
      </c>
      <c r="C163" s="47" t="n"/>
      <c r="D163" s="47" t="n"/>
      <c r="E163" s="48" t="n"/>
      <c r="F163" s="48" t="n"/>
      <c r="G163" s="47" t="n"/>
      <c r="H163" s="47" t="n"/>
    </row>
    <row r="164">
      <c r="A164" s="52" t="n"/>
      <c r="B164" s="47">
        <f>IF(A164="","",IFERROR(INDEX('隊員マスタ'!$B$5:$B$204,MATCH(A164&amp;"",'隊員マスタ'!$F$5:$F$204,0)),"番号なし"))</f>
        <v/>
      </c>
      <c r="C164" s="47" t="n"/>
      <c r="D164" s="47" t="n"/>
      <c r="E164" s="48" t="n"/>
      <c r="F164" s="48" t="n"/>
      <c r="G164" s="47" t="n"/>
      <c r="H164" s="47" t="n"/>
    </row>
    <row r="165">
      <c r="A165" s="52" t="n"/>
      <c r="B165" s="47">
        <f>IF(A165="","",IFERROR(INDEX('隊員マスタ'!$B$5:$B$204,MATCH(A165&amp;"",'隊員マスタ'!$F$5:$F$204,0)),"番号なし"))</f>
        <v/>
      </c>
      <c r="C165" s="47" t="n"/>
      <c r="D165" s="47" t="n"/>
      <c r="E165" s="48" t="n"/>
      <c r="F165" s="48" t="n"/>
      <c r="G165" s="47" t="n"/>
      <c r="H165" s="47" t="n"/>
    </row>
    <row r="166">
      <c r="A166" s="52" t="n"/>
      <c r="B166" s="47">
        <f>IF(A166="","",IFERROR(INDEX('隊員マスタ'!$B$5:$B$204,MATCH(A166&amp;"",'隊員マスタ'!$F$5:$F$204,0)),"番号なし"))</f>
        <v/>
      </c>
      <c r="C166" s="47" t="n"/>
      <c r="D166" s="47" t="n"/>
      <c r="E166" s="48" t="n"/>
      <c r="F166" s="48" t="n"/>
      <c r="G166" s="47" t="n"/>
      <c r="H166" s="47" t="n"/>
    </row>
    <row r="167">
      <c r="A167" s="52" t="n"/>
      <c r="B167" s="47">
        <f>IF(A167="","",IFERROR(INDEX('隊員マスタ'!$B$5:$B$204,MATCH(A167&amp;"",'隊員マスタ'!$F$5:$F$204,0)),"番号なし"))</f>
        <v/>
      </c>
      <c r="C167" s="47" t="n"/>
      <c r="D167" s="47" t="n"/>
      <c r="E167" s="48" t="n"/>
      <c r="F167" s="48" t="n"/>
      <c r="G167" s="47" t="n"/>
      <c r="H167" s="47" t="n"/>
    </row>
    <row r="168">
      <c r="A168" s="52" t="n"/>
      <c r="B168" s="47">
        <f>IF(A168="","",IFERROR(INDEX('隊員マスタ'!$B$5:$B$204,MATCH(A168&amp;"",'隊員マスタ'!$F$5:$F$204,0)),"番号なし"))</f>
        <v/>
      </c>
      <c r="C168" s="47" t="n"/>
      <c r="D168" s="47" t="n"/>
      <c r="E168" s="48" t="n"/>
      <c r="F168" s="48" t="n"/>
      <c r="G168" s="47" t="n"/>
      <c r="H168" s="47" t="n"/>
    </row>
    <row r="169">
      <c r="A169" s="52" t="n"/>
      <c r="B169" s="47">
        <f>IF(A169="","",IFERROR(INDEX('隊員マスタ'!$B$5:$B$204,MATCH(A169&amp;"",'隊員マスタ'!$F$5:$F$204,0)),"番号なし"))</f>
        <v/>
      </c>
      <c r="C169" s="47" t="n"/>
      <c r="D169" s="47" t="n"/>
      <c r="E169" s="48" t="n"/>
      <c r="F169" s="48" t="n"/>
      <c r="G169" s="47" t="n"/>
      <c r="H169" s="47" t="n"/>
    </row>
    <row r="170">
      <c r="A170" s="52" t="n"/>
      <c r="B170" s="47">
        <f>IF(A170="","",IFERROR(INDEX('隊員マスタ'!$B$5:$B$204,MATCH(A170&amp;"",'隊員マスタ'!$F$5:$F$204,0)),"番号なし"))</f>
        <v/>
      </c>
      <c r="C170" s="47" t="n"/>
      <c r="D170" s="47" t="n"/>
      <c r="E170" s="48" t="n"/>
      <c r="F170" s="48" t="n"/>
      <c r="G170" s="47" t="n"/>
      <c r="H170" s="47" t="n"/>
    </row>
    <row r="171">
      <c r="A171" s="52" t="n"/>
      <c r="B171" s="47">
        <f>IF(A171="","",IFERROR(INDEX('隊員マスタ'!$B$5:$B$204,MATCH(A171&amp;"",'隊員マスタ'!$F$5:$F$204,0)),"番号なし"))</f>
        <v/>
      </c>
      <c r="C171" s="47" t="n"/>
      <c r="D171" s="47" t="n"/>
      <c r="E171" s="48" t="n"/>
      <c r="F171" s="48" t="n"/>
      <c r="G171" s="47" t="n"/>
      <c r="H171" s="47" t="n"/>
    </row>
    <row r="172">
      <c r="A172" s="52" t="n"/>
      <c r="B172" s="47">
        <f>IF(A172="","",IFERROR(INDEX('隊員マスタ'!$B$5:$B$204,MATCH(A172&amp;"",'隊員マスタ'!$F$5:$F$204,0)),"番号なし"))</f>
        <v/>
      </c>
      <c r="C172" s="47" t="n"/>
      <c r="D172" s="47" t="n"/>
      <c r="E172" s="48" t="n"/>
      <c r="F172" s="48" t="n"/>
      <c r="G172" s="47" t="n"/>
      <c r="H172" s="47" t="n"/>
    </row>
    <row r="173">
      <c r="A173" s="52" t="n"/>
      <c r="B173" s="47">
        <f>IF(A173="","",IFERROR(INDEX('隊員マスタ'!$B$5:$B$204,MATCH(A173&amp;"",'隊員マスタ'!$F$5:$F$204,0)),"番号なし"))</f>
        <v/>
      </c>
      <c r="C173" s="47" t="n"/>
      <c r="D173" s="47" t="n"/>
      <c r="E173" s="48" t="n"/>
      <c r="F173" s="48" t="n"/>
      <c r="G173" s="47" t="n"/>
      <c r="H173" s="47" t="n"/>
    </row>
    <row r="174">
      <c r="A174" s="52" t="n"/>
      <c r="B174" s="47">
        <f>IF(A174="","",IFERROR(INDEX('隊員マスタ'!$B$5:$B$204,MATCH(A174&amp;"",'隊員マスタ'!$F$5:$F$204,0)),"番号なし"))</f>
        <v/>
      </c>
      <c r="C174" s="47" t="n"/>
      <c r="D174" s="47" t="n"/>
      <c r="E174" s="48" t="n"/>
      <c r="F174" s="48" t="n"/>
      <c r="G174" s="47" t="n"/>
      <c r="H174" s="47" t="n"/>
    </row>
    <row r="175">
      <c r="A175" s="52" t="n"/>
      <c r="B175" s="47">
        <f>IF(A175="","",IFERROR(INDEX('隊員マスタ'!$B$5:$B$204,MATCH(A175&amp;"",'隊員マスタ'!$F$5:$F$204,0)),"番号なし"))</f>
        <v/>
      </c>
      <c r="C175" s="47" t="n"/>
      <c r="D175" s="47" t="n"/>
      <c r="E175" s="48" t="n"/>
      <c r="F175" s="48" t="n"/>
      <c r="G175" s="47" t="n"/>
      <c r="H175" s="47" t="n"/>
    </row>
    <row r="176">
      <c r="A176" s="52" t="n"/>
      <c r="B176" s="47">
        <f>IF(A176="","",IFERROR(INDEX('隊員マスタ'!$B$5:$B$204,MATCH(A176&amp;"",'隊員マスタ'!$F$5:$F$204,0)),"番号なし"))</f>
        <v/>
      </c>
      <c r="C176" s="47" t="n"/>
      <c r="D176" s="47" t="n"/>
      <c r="E176" s="48" t="n"/>
      <c r="F176" s="48" t="n"/>
      <c r="G176" s="47" t="n"/>
      <c r="H176" s="47" t="n"/>
    </row>
    <row r="177">
      <c r="A177" s="52" t="n"/>
      <c r="B177" s="47">
        <f>IF(A177="","",IFERROR(INDEX('隊員マスタ'!$B$5:$B$204,MATCH(A177&amp;"",'隊員マスタ'!$F$5:$F$204,0)),"番号なし"))</f>
        <v/>
      </c>
      <c r="C177" s="47" t="n"/>
      <c r="D177" s="47" t="n"/>
      <c r="E177" s="48" t="n"/>
      <c r="F177" s="48" t="n"/>
      <c r="G177" s="47" t="n"/>
      <c r="H177" s="47" t="n"/>
    </row>
    <row r="178">
      <c r="A178" s="52" t="n"/>
      <c r="B178" s="47">
        <f>IF(A178="","",IFERROR(INDEX('隊員マスタ'!$B$5:$B$204,MATCH(A178&amp;"",'隊員マスタ'!$F$5:$F$204,0)),"番号なし"))</f>
        <v/>
      </c>
      <c r="C178" s="47" t="n"/>
      <c r="D178" s="47" t="n"/>
      <c r="E178" s="48" t="n"/>
      <c r="F178" s="48" t="n"/>
      <c r="G178" s="47" t="n"/>
      <c r="H178" s="47" t="n"/>
    </row>
    <row r="179">
      <c r="A179" s="52" t="n"/>
      <c r="B179" s="47">
        <f>IF(A179="","",IFERROR(INDEX('隊員マスタ'!$B$5:$B$204,MATCH(A179&amp;"",'隊員マスタ'!$F$5:$F$204,0)),"番号なし"))</f>
        <v/>
      </c>
      <c r="C179" s="47" t="n"/>
      <c r="D179" s="47" t="n"/>
      <c r="E179" s="48" t="n"/>
      <c r="F179" s="48" t="n"/>
      <c r="G179" s="47" t="n"/>
      <c r="H179" s="47" t="n"/>
    </row>
    <row r="180">
      <c r="A180" s="52" t="n"/>
      <c r="B180" s="47">
        <f>IF(A180="","",IFERROR(INDEX('隊員マスタ'!$B$5:$B$204,MATCH(A180&amp;"",'隊員マスタ'!$F$5:$F$204,0)),"番号なし"))</f>
        <v/>
      </c>
      <c r="C180" s="47" t="n"/>
      <c r="D180" s="47" t="n"/>
      <c r="E180" s="48" t="n"/>
      <c r="F180" s="48" t="n"/>
      <c r="G180" s="47" t="n"/>
      <c r="H180" s="47" t="n"/>
    </row>
    <row r="181">
      <c r="A181" s="52" t="n"/>
      <c r="B181" s="47">
        <f>IF(A181="","",IFERROR(INDEX('隊員マスタ'!$B$5:$B$204,MATCH(A181&amp;"",'隊員マスタ'!$F$5:$F$204,0)),"番号なし"))</f>
        <v/>
      </c>
      <c r="C181" s="47" t="n"/>
      <c r="D181" s="47" t="n"/>
      <c r="E181" s="48" t="n"/>
      <c r="F181" s="48" t="n"/>
      <c r="G181" s="47" t="n"/>
      <c r="H181" s="47" t="n"/>
    </row>
    <row r="182">
      <c r="A182" s="52" t="n"/>
      <c r="B182" s="47">
        <f>IF(A182="","",IFERROR(INDEX('隊員マスタ'!$B$5:$B$204,MATCH(A182&amp;"",'隊員マスタ'!$F$5:$F$204,0)),"番号なし"))</f>
        <v/>
      </c>
      <c r="C182" s="47" t="n"/>
      <c r="D182" s="47" t="n"/>
      <c r="E182" s="48" t="n"/>
      <c r="F182" s="48" t="n"/>
      <c r="G182" s="47" t="n"/>
      <c r="H182" s="47" t="n"/>
    </row>
    <row r="183">
      <c r="A183" s="52" t="n"/>
      <c r="B183" s="47">
        <f>IF(A183="","",IFERROR(INDEX('隊員マスタ'!$B$5:$B$204,MATCH(A183&amp;"",'隊員マスタ'!$F$5:$F$204,0)),"番号なし"))</f>
        <v/>
      </c>
      <c r="C183" s="47" t="n"/>
      <c r="D183" s="47" t="n"/>
      <c r="E183" s="48" t="n"/>
      <c r="F183" s="48" t="n"/>
      <c r="G183" s="47" t="n"/>
      <c r="H183" s="47" t="n"/>
    </row>
    <row r="184">
      <c r="A184" s="52" t="n"/>
      <c r="B184" s="47">
        <f>IF(A184="","",IFERROR(INDEX('隊員マスタ'!$B$5:$B$204,MATCH(A184&amp;"",'隊員マスタ'!$F$5:$F$204,0)),"番号なし"))</f>
        <v/>
      </c>
      <c r="C184" s="47" t="n"/>
      <c r="D184" s="47" t="n"/>
      <c r="E184" s="48" t="n"/>
      <c r="F184" s="48" t="n"/>
      <c r="G184" s="47" t="n"/>
      <c r="H184" s="47" t="n"/>
    </row>
    <row r="185">
      <c r="A185" s="52" t="n"/>
      <c r="B185" s="47">
        <f>IF(A185="","",IFERROR(INDEX('隊員マスタ'!$B$5:$B$204,MATCH(A185&amp;"",'隊員マスタ'!$F$5:$F$204,0)),"番号なし"))</f>
        <v/>
      </c>
      <c r="C185" s="47" t="n"/>
      <c r="D185" s="47" t="n"/>
      <c r="E185" s="48" t="n"/>
      <c r="F185" s="48" t="n"/>
      <c r="G185" s="47" t="n"/>
      <c r="H185" s="47" t="n"/>
    </row>
    <row r="186">
      <c r="A186" s="52" t="n"/>
      <c r="B186" s="47">
        <f>IF(A186="","",IFERROR(INDEX('隊員マスタ'!$B$5:$B$204,MATCH(A186&amp;"",'隊員マスタ'!$F$5:$F$204,0)),"番号なし"))</f>
        <v/>
      </c>
      <c r="C186" s="47" t="n"/>
      <c r="D186" s="47" t="n"/>
      <c r="E186" s="48" t="n"/>
      <c r="F186" s="48" t="n"/>
      <c r="G186" s="47" t="n"/>
      <c r="H186" s="47" t="n"/>
    </row>
    <row r="187">
      <c r="A187" s="52" t="n"/>
      <c r="B187" s="47">
        <f>IF(A187="","",IFERROR(INDEX('隊員マスタ'!$B$5:$B$204,MATCH(A187&amp;"",'隊員マスタ'!$F$5:$F$204,0)),"番号なし"))</f>
        <v/>
      </c>
      <c r="C187" s="47" t="n"/>
      <c r="D187" s="47" t="n"/>
      <c r="E187" s="48" t="n"/>
      <c r="F187" s="48" t="n"/>
      <c r="G187" s="47" t="n"/>
      <c r="H187" s="47" t="n"/>
    </row>
    <row r="188">
      <c r="A188" s="52" t="n"/>
      <c r="B188" s="47">
        <f>IF(A188="","",IFERROR(INDEX('隊員マスタ'!$B$5:$B$204,MATCH(A188&amp;"",'隊員マスタ'!$F$5:$F$204,0)),"番号なし"))</f>
        <v/>
      </c>
      <c r="C188" s="47" t="n"/>
      <c r="D188" s="47" t="n"/>
      <c r="E188" s="48" t="n"/>
      <c r="F188" s="48" t="n"/>
      <c r="G188" s="47" t="n"/>
      <c r="H188" s="47" t="n"/>
    </row>
    <row r="189">
      <c r="A189" s="52" t="n"/>
      <c r="B189" s="47">
        <f>IF(A189="","",IFERROR(INDEX('隊員マスタ'!$B$5:$B$204,MATCH(A189&amp;"",'隊員マスタ'!$F$5:$F$204,0)),"番号なし"))</f>
        <v/>
      </c>
      <c r="C189" s="47" t="n"/>
      <c r="D189" s="47" t="n"/>
      <c r="E189" s="48" t="n"/>
      <c r="F189" s="48" t="n"/>
      <c r="G189" s="47" t="n"/>
      <c r="H189" s="47" t="n"/>
    </row>
    <row r="190">
      <c r="A190" s="52" t="n"/>
      <c r="B190" s="47">
        <f>IF(A190="","",IFERROR(INDEX('隊員マスタ'!$B$5:$B$204,MATCH(A190&amp;"",'隊員マスタ'!$F$5:$F$204,0)),"番号なし"))</f>
        <v/>
      </c>
      <c r="C190" s="47" t="n"/>
      <c r="D190" s="47" t="n"/>
      <c r="E190" s="48" t="n"/>
      <c r="F190" s="48" t="n"/>
      <c r="G190" s="47" t="n"/>
      <c r="H190" s="47" t="n"/>
    </row>
    <row r="191">
      <c r="A191" s="52" t="n"/>
      <c r="B191" s="47">
        <f>IF(A191="","",IFERROR(INDEX('隊員マスタ'!$B$5:$B$204,MATCH(A191&amp;"",'隊員マスタ'!$F$5:$F$204,0)),"番号なし"))</f>
        <v/>
      </c>
      <c r="C191" s="47" t="n"/>
      <c r="D191" s="47" t="n"/>
      <c r="E191" s="48" t="n"/>
      <c r="F191" s="48" t="n"/>
      <c r="G191" s="47" t="n"/>
      <c r="H191" s="47" t="n"/>
    </row>
    <row r="192">
      <c r="A192" s="52" t="n"/>
      <c r="B192" s="47">
        <f>IF(A192="","",IFERROR(INDEX('隊員マスタ'!$B$5:$B$204,MATCH(A192&amp;"",'隊員マスタ'!$F$5:$F$204,0)),"番号なし"))</f>
        <v/>
      </c>
      <c r="C192" s="47" t="n"/>
      <c r="D192" s="47" t="n"/>
      <c r="E192" s="48" t="n"/>
      <c r="F192" s="48" t="n"/>
      <c r="G192" s="47" t="n"/>
      <c r="H192" s="47" t="n"/>
    </row>
    <row r="193">
      <c r="A193" s="52" t="n"/>
      <c r="B193" s="47">
        <f>IF(A193="","",IFERROR(INDEX('隊員マスタ'!$B$5:$B$204,MATCH(A193&amp;"",'隊員マスタ'!$F$5:$F$204,0)),"番号なし"))</f>
        <v/>
      </c>
      <c r="C193" s="47" t="n"/>
      <c r="D193" s="47" t="n"/>
      <c r="E193" s="48" t="n"/>
      <c r="F193" s="48" t="n"/>
      <c r="G193" s="47" t="n"/>
      <c r="H193" s="47" t="n"/>
    </row>
    <row r="194">
      <c r="A194" s="52" t="n"/>
      <c r="B194" s="47">
        <f>IF(A194="","",IFERROR(INDEX('隊員マスタ'!$B$5:$B$204,MATCH(A194&amp;"",'隊員マスタ'!$F$5:$F$204,0)),"番号なし"))</f>
        <v/>
      </c>
      <c r="C194" s="47" t="n"/>
      <c r="D194" s="47" t="n"/>
      <c r="E194" s="48" t="n"/>
      <c r="F194" s="48" t="n"/>
      <c r="G194" s="47" t="n"/>
      <c r="H194" s="47" t="n"/>
    </row>
    <row r="195">
      <c r="A195" s="52" t="n"/>
      <c r="B195" s="47">
        <f>IF(A195="","",IFERROR(INDEX('隊員マスタ'!$B$5:$B$204,MATCH(A195&amp;"",'隊員マスタ'!$F$5:$F$204,0)),"番号なし"))</f>
        <v/>
      </c>
      <c r="C195" s="47" t="n"/>
      <c r="D195" s="47" t="n"/>
      <c r="E195" s="48" t="n"/>
      <c r="F195" s="48" t="n"/>
      <c r="G195" s="47" t="n"/>
      <c r="H195" s="47" t="n"/>
    </row>
    <row r="196">
      <c r="A196" s="52" t="n"/>
      <c r="B196" s="47">
        <f>IF(A196="","",IFERROR(INDEX('隊員マスタ'!$B$5:$B$204,MATCH(A196&amp;"",'隊員マスタ'!$F$5:$F$204,0)),"番号なし"))</f>
        <v/>
      </c>
      <c r="C196" s="47" t="n"/>
      <c r="D196" s="47" t="n"/>
      <c r="E196" s="48" t="n"/>
      <c r="F196" s="48" t="n"/>
      <c r="G196" s="47" t="n"/>
      <c r="H196" s="47" t="n"/>
    </row>
    <row r="197">
      <c r="A197" s="52" t="n"/>
      <c r="B197" s="47">
        <f>IF(A197="","",IFERROR(INDEX('隊員マスタ'!$B$5:$B$204,MATCH(A197&amp;"",'隊員マスタ'!$F$5:$F$204,0)),"番号なし"))</f>
        <v/>
      </c>
      <c r="C197" s="47" t="n"/>
      <c r="D197" s="47" t="n"/>
      <c r="E197" s="48" t="n"/>
      <c r="F197" s="48" t="n"/>
      <c r="G197" s="47" t="n"/>
      <c r="H197" s="47" t="n"/>
    </row>
    <row r="198">
      <c r="A198" s="52" t="n"/>
      <c r="B198" s="47">
        <f>IF(A198="","",IFERROR(INDEX('隊員マスタ'!$B$5:$B$204,MATCH(A198&amp;"",'隊員マスタ'!$F$5:$F$204,0)),"番号なし"))</f>
        <v/>
      </c>
      <c r="C198" s="47" t="n"/>
      <c r="D198" s="47" t="n"/>
      <c r="E198" s="48" t="n"/>
      <c r="F198" s="48" t="n"/>
      <c r="G198" s="47" t="n"/>
      <c r="H198" s="47" t="n"/>
    </row>
    <row r="199">
      <c r="A199" s="52" t="n"/>
      <c r="B199" s="47">
        <f>IF(A199="","",IFERROR(INDEX('隊員マスタ'!$B$5:$B$204,MATCH(A199&amp;"",'隊員マスタ'!$F$5:$F$204,0)),"番号なし"))</f>
        <v/>
      </c>
      <c r="C199" s="47" t="n"/>
      <c r="D199" s="47" t="n"/>
      <c r="E199" s="48" t="n"/>
      <c r="F199" s="48" t="n"/>
      <c r="G199" s="47" t="n"/>
      <c r="H199" s="47" t="n"/>
    </row>
    <row r="200">
      <c r="A200" s="52" t="n"/>
      <c r="B200" s="47">
        <f>IF(A200="","",IFERROR(INDEX('隊員マスタ'!$B$5:$B$204,MATCH(A200&amp;"",'隊員マスタ'!$F$5:$F$204,0)),"番号なし"))</f>
        <v/>
      </c>
      <c r="C200" s="47" t="n"/>
      <c r="D200" s="47" t="n"/>
      <c r="E200" s="48" t="n"/>
      <c r="F200" s="48" t="n"/>
      <c r="G200" s="47" t="n"/>
      <c r="H200" s="47" t="n"/>
    </row>
    <row r="201">
      <c r="A201" s="52" t="n"/>
      <c r="B201" s="47">
        <f>IF(A201="","",IFERROR(INDEX('隊員マスタ'!$B$5:$B$204,MATCH(A201&amp;"",'隊員マスタ'!$F$5:$F$204,0)),"番号なし"))</f>
        <v/>
      </c>
      <c r="C201" s="47" t="n"/>
      <c r="D201" s="47" t="n"/>
      <c r="E201" s="48" t="n"/>
      <c r="F201" s="48" t="n"/>
      <c r="G201" s="47" t="n"/>
      <c r="H201" s="47" t="n"/>
    </row>
    <row r="202">
      <c r="A202" s="52" t="n"/>
      <c r="B202" s="47">
        <f>IF(A202="","",IFERROR(INDEX('隊員マスタ'!$B$5:$B$204,MATCH(A202&amp;"",'隊員マスタ'!$F$5:$F$204,0)),"番号なし"))</f>
        <v/>
      </c>
      <c r="C202" s="47" t="n"/>
      <c r="D202" s="47" t="n"/>
      <c r="E202" s="48" t="n"/>
      <c r="F202" s="48" t="n"/>
      <c r="G202" s="47" t="n"/>
      <c r="H202" s="47" t="n"/>
    </row>
    <row r="203">
      <c r="A203" s="52" t="n"/>
      <c r="B203" s="47">
        <f>IF(A203="","",IFERROR(INDEX('隊員マスタ'!$B$5:$B$204,MATCH(A203&amp;"",'隊員マスタ'!$F$5:$F$204,0)),"番号なし"))</f>
        <v/>
      </c>
      <c r="C203" s="47" t="n"/>
      <c r="D203" s="47" t="n"/>
      <c r="E203" s="48" t="n"/>
      <c r="F203" s="48" t="n"/>
      <c r="G203" s="47" t="n"/>
      <c r="H203" s="47" t="n"/>
    </row>
    <row r="204">
      <c r="A204" s="52" t="n"/>
      <c r="B204" s="47">
        <f>IF(A204="","",IFERROR(INDEX('隊員マスタ'!$B$5:$B$204,MATCH(A204&amp;"",'隊員マスタ'!$F$5:$F$204,0)),"番号なし"))</f>
        <v/>
      </c>
      <c r="C204" s="47" t="n"/>
      <c r="D204" s="47" t="n"/>
      <c r="E204" s="48" t="n"/>
      <c r="F204" s="48" t="n"/>
      <c r="G204" s="47" t="n"/>
      <c r="H204" s="47" t="n"/>
    </row>
    <row r="205">
      <c r="A205" s="52" t="n"/>
      <c r="B205" s="47">
        <f>IF(A205="","",IFERROR(INDEX('隊員マスタ'!$B$5:$B$204,MATCH(A205&amp;"",'隊員マスタ'!$F$5:$F$204,0)),"番号なし"))</f>
        <v/>
      </c>
      <c r="C205" s="47" t="n"/>
      <c r="D205" s="47" t="n"/>
      <c r="E205" s="48" t="n"/>
      <c r="F205" s="48" t="n"/>
      <c r="G205" s="47" t="n"/>
      <c r="H205" s="47" t="n"/>
    </row>
    <row r="206">
      <c r="A206" s="52" t="n"/>
      <c r="B206" s="47">
        <f>IF(A206="","",IFERROR(INDEX('隊員マスタ'!$B$5:$B$204,MATCH(A206&amp;"",'隊員マスタ'!$F$5:$F$204,0)),"番号なし"))</f>
        <v/>
      </c>
      <c r="C206" s="47" t="n"/>
      <c r="D206" s="47" t="n"/>
      <c r="E206" s="48" t="n"/>
      <c r="F206" s="48" t="n"/>
      <c r="G206" s="47" t="n"/>
      <c r="H206" s="47" t="n"/>
    </row>
    <row r="207">
      <c r="A207" s="52" t="n"/>
      <c r="B207" s="47">
        <f>IF(A207="","",IFERROR(INDEX('隊員マスタ'!$B$5:$B$204,MATCH(A207&amp;"",'隊員マスタ'!$F$5:$F$204,0)),"番号なし"))</f>
        <v/>
      </c>
      <c r="C207" s="47" t="n"/>
      <c r="D207" s="47" t="n"/>
      <c r="E207" s="48" t="n"/>
      <c r="F207" s="48" t="n"/>
      <c r="G207" s="47" t="n"/>
      <c r="H207" s="47" t="n"/>
    </row>
    <row r="208">
      <c r="A208" s="52" t="n"/>
      <c r="B208" s="47">
        <f>IF(A208="","",IFERROR(INDEX('隊員マスタ'!$B$5:$B$204,MATCH(A208&amp;"",'隊員マスタ'!$F$5:$F$204,0)),"番号なし"))</f>
        <v/>
      </c>
      <c r="C208" s="47" t="n"/>
      <c r="D208" s="47" t="n"/>
      <c r="E208" s="48" t="n"/>
      <c r="F208" s="48" t="n"/>
      <c r="G208" s="47" t="n"/>
      <c r="H208" s="47" t="n"/>
    </row>
    <row r="209">
      <c r="A209" s="52" t="n"/>
      <c r="B209" s="47">
        <f>IF(A209="","",IFERROR(INDEX('隊員マスタ'!$B$5:$B$204,MATCH(A209&amp;"",'隊員マスタ'!$F$5:$F$204,0)),"番号なし"))</f>
        <v/>
      </c>
      <c r="C209" s="47" t="n"/>
      <c r="D209" s="47" t="n"/>
      <c r="E209" s="48" t="n"/>
      <c r="F209" s="48" t="n"/>
      <c r="G209" s="47" t="n"/>
      <c r="H209" s="47" t="n"/>
    </row>
    <row r="210">
      <c r="A210" s="52" t="n"/>
      <c r="B210" s="47">
        <f>IF(A210="","",IFERROR(INDEX('隊員マスタ'!$B$5:$B$204,MATCH(A210&amp;"",'隊員マスタ'!$F$5:$F$204,0)),"番号なし"))</f>
        <v/>
      </c>
      <c r="C210" s="47" t="n"/>
      <c r="D210" s="47" t="n"/>
      <c r="E210" s="48" t="n"/>
      <c r="F210" s="48" t="n"/>
      <c r="G210" s="47" t="n"/>
      <c r="H210" s="47" t="n"/>
    </row>
    <row r="211">
      <c r="A211" s="52" t="n"/>
      <c r="B211" s="47">
        <f>IF(A211="","",IFERROR(INDEX('隊員マスタ'!$B$5:$B$204,MATCH(A211&amp;"",'隊員マスタ'!$F$5:$F$204,0)),"番号なし"))</f>
        <v/>
      </c>
      <c r="C211" s="47" t="n"/>
      <c r="D211" s="47" t="n"/>
      <c r="E211" s="48" t="n"/>
      <c r="F211" s="48" t="n"/>
      <c r="G211" s="47" t="n"/>
      <c r="H211" s="47" t="n"/>
    </row>
    <row r="212">
      <c r="A212" s="52" t="n"/>
      <c r="B212" s="47">
        <f>IF(A212="","",IFERROR(INDEX('隊員マスタ'!$B$5:$B$204,MATCH(A212&amp;"",'隊員マスタ'!$F$5:$F$204,0)),"番号なし"))</f>
        <v/>
      </c>
      <c r="C212" s="47" t="n"/>
      <c r="D212" s="47" t="n"/>
      <c r="E212" s="48" t="n"/>
      <c r="F212" s="48" t="n"/>
      <c r="G212" s="47" t="n"/>
      <c r="H212" s="47" t="n"/>
    </row>
    <row r="213">
      <c r="A213" s="52" t="n"/>
      <c r="B213" s="47">
        <f>IF(A213="","",IFERROR(INDEX('隊員マスタ'!$B$5:$B$204,MATCH(A213&amp;"",'隊員マスタ'!$F$5:$F$204,0)),"番号なし"))</f>
        <v/>
      </c>
      <c r="C213" s="47" t="n"/>
      <c r="D213" s="47" t="n"/>
      <c r="E213" s="48" t="n"/>
      <c r="F213" s="48" t="n"/>
      <c r="G213" s="47" t="n"/>
      <c r="H213" s="47" t="n"/>
    </row>
    <row r="214">
      <c r="A214" s="52" t="n"/>
      <c r="B214" s="47">
        <f>IF(A214="","",IFERROR(INDEX('隊員マスタ'!$B$5:$B$204,MATCH(A214&amp;"",'隊員マスタ'!$F$5:$F$204,0)),"番号なし"))</f>
        <v/>
      </c>
      <c r="C214" s="47" t="n"/>
      <c r="D214" s="47" t="n"/>
      <c r="E214" s="48" t="n"/>
      <c r="F214" s="48" t="n"/>
      <c r="G214" s="47" t="n"/>
      <c r="H214" s="47" t="n"/>
    </row>
    <row r="215">
      <c r="A215" s="52" t="n"/>
      <c r="B215" s="47">
        <f>IF(A215="","",IFERROR(INDEX('隊員マスタ'!$B$5:$B$204,MATCH(A215&amp;"",'隊員マスタ'!$F$5:$F$204,0)),"番号なし"))</f>
        <v/>
      </c>
      <c r="C215" s="47" t="n"/>
      <c r="D215" s="47" t="n"/>
      <c r="E215" s="48" t="n"/>
      <c r="F215" s="48" t="n"/>
      <c r="G215" s="47" t="n"/>
      <c r="H215" s="47" t="n"/>
    </row>
    <row r="216">
      <c r="A216" s="52" t="n"/>
      <c r="B216" s="47">
        <f>IF(A216="","",IFERROR(INDEX('隊員マスタ'!$B$5:$B$204,MATCH(A216&amp;"",'隊員マスタ'!$F$5:$F$204,0)),"番号なし"))</f>
        <v/>
      </c>
      <c r="C216" s="47" t="n"/>
      <c r="D216" s="47" t="n"/>
      <c r="E216" s="48" t="n"/>
      <c r="F216" s="48" t="n"/>
      <c r="G216" s="47" t="n"/>
      <c r="H216" s="47" t="n"/>
    </row>
    <row r="217">
      <c r="A217" s="52" t="n"/>
      <c r="B217" s="47">
        <f>IF(A217="","",IFERROR(INDEX('隊員マスタ'!$B$5:$B$204,MATCH(A217&amp;"",'隊員マスタ'!$F$5:$F$204,0)),"番号なし"))</f>
        <v/>
      </c>
      <c r="C217" s="47" t="n"/>
      <c r="D217" s="47" t="n"/>
      <c r="E217" s="48" t="n"/>
      <c r="F217" s="48" t="n"/>
      <c r="G217" s="47" t="n"/>
      <c r="H217" s="47" t="n"/>
    </row>
    <row r="218">
      <c r="A218" s="52" t="n"/>
      <c r="B218" s="47">
        <f>IF(A218="","",IFERROR(INDEX('隊員マスタ'!$B$5:$B$204,MATCH(A218&amp;"",'隊員マスタ'!$F$5:$F$204,0)),"番号なし"))</f>
        <v/>
      </c>
      <c r="C218" s="47" t="n"/>
      <c r="D218" s="47" t="n"/>
      <c r="E218" s="48" t="n"/>
      <c r="F218" s="48" t="n"/>
      <c r="G218" s="47" t="n"/>
      <c r="H218" s="47" t="n"/>
    </row>
    <row r="219">
      <c r="A219" s="52" t="n"/>
      <c r="B219" s="47">
        <f>IF(A219="","",IFERROR(INDEX('隊員マスタ'!$B$5:$B$204,MATCH(A219&amp;"",'隊員マスタ'!$F$5:$F$204,0)),"番号なし"))</f>
        <v/>
      </c>
      <c r="C219" s="47" t="n"/>
      <c r="D219" s="47" t="n"/>
      <c r="E219" s="48" t="n"/>
      <c r="F219" s="48" t="n"/>
      <c r="G219" s="47" t="n"/>
      <c r="H219" s="47" t="n"/>
    </row>
    <row r="220">
      <c r="A220" s="52" t="n"/>
      <c r="B220" s="47">
        <f>IF(A220="","",IFERROR(INDEX('隊員マスタ'!$B$5:$B$204,MATCH(A220&amp;"",'隊員マスタ'!$F$5:$F$204,0)),"番号なし"))</f>
        <v/>
      </c>
      <c r="C220" s="47" t="n"/>
      <c r="D220" s="47" t="n"/>
      <c r="E220" s="48" t="n"/>
      <c r="F220" s="48" t="n"/>
      <c r="G220" s="47" t="n"/>
      <c r="H220" s="47" t="n"/>
    </row>
    <row r="221">
      <c r="A221" s="52" t="n"/>
      <c r="B221" s="47">
        <f>IF(A221="","",IFERROR(INDEX('隊員マスタ'!$B$5:$B$204,MATCH(A221&amp;"",'隊員マスタ'!$F$5:$F$204,0)),"番号なし"))</f>
        <v/>
      </c>
      <c r="C221" s="47" t="n"/>
      <c r="D221" s="47" t="n"/>
      <c r="E221" s="48" t="n"/>
      <c r="F221" s="48" t="n"/>
      <c r="G221" s="47" t="n"/>
      <c r="H221" s="47" t="n"/>
    </row>
    <row r="222">
      <c r="A222" s="52" t="n"/>
      <c r="B222" s="47">
        <f>IF(A222="","",IFERROR(INDEX('隊員マスタ'!$B$5:$B$204,MATCH(A222&amp;"",'隊員マスタ'!$F$5:$F$204,0)),"番号なし"))</f>
        <v/>
      </c>
      <c r="C222" s="47" t="n"/>
      <c r="D222" s="47" t="n"/>
      <c r="E222" s="48" t="n"/>
      <c r="F222" s="48" t="n"/>
      <c r="G222" s="47" t="n"/>
      <c r="H222" s="47" t="n"/>
    </row>
    <row r="223">
      <c r="A223" s="52" t="n"/>
      <c r="B223" s="47">
        <f>IF(A223="","",IFERROR(INDEX('隊員マスタ'!$B$5:$B$204,MATCH(A223&amp;"",'隊員マスタ'!$F$5:$F$204,0)),"番号なし"))</f>
        <v/>
      </c>
      <c r="C223" s="47" t="n"/>
      <c r="D223" s="47" t="n"/>
      <c r="E223" s="48" t="n"/>
      <c r="F223" s="48" t="n"/>
      <c r="G223" s="47" t="n"/>
      <c r="H223" s="47" t="n"/>
    </row>
    <row r="224">
      <c r="A224" s="52" t="n"/>
      <c r="B224" s="47">
        <f>IF(A224="","",IFERROR(INDEX('隊員マスタ'!$B$5:$B$204,MATCH(A224&amp;"",'隊員マスタ'!$F$5:$F$204,0)),"番号なし"))</f>
        <v/>
      </c>
      <c r="C224" s="47" t="n"/>
      <c r="D224" s="47" t="n"/>
      <c r="E224" s="48" t="n"/>
      <c r="F224" s="48" t="n"/>
      <c r="G224" s="47" t="n"/>
      <c r="H224" s="47" t="n"/>
    </row>
    <row r="225">
      <c r="A225" s="52" t="n"/>
      <c r="B225" s="47">
        <f>IF(A225="","",IFERROR(INDEX('隊員マスタ'!$B$5:$B$204,MATCH(A225&amp;"",'隊員マスタ'!$F$5:$F$204,0)),"番号なし"))</f>
        <v/>
      </c>
      <c r="C225" s="47" t="n"/>
      <c r="D225" s="47" t="n"/>
      <c r="E225" s="48" t="n"/>
      <c r="F225" s="48" t="n"/>
      <c r="G225" s="47" t="n"/>
      <c r="H225" s="47" t="n"/>
    </row>
    <row r="226">
      <c r="A226" s="52" t="n"/>
      <c r="B226" s="47">
        <f>IF(A226="","",IFERROR(INDEX('隊員マスタ'!$B$5:$B$204,MATCH(A226&amp;"",'隊員マスタ'!$F$5:$F$204,0)),"番号なし"))</f>
        <v/>
      </c>
      <c r="C226" s="47" t="n"/>
      <c r="D226" s="47" t="n"/>
      <c r="E226" s="48" t="n"/>
      <c r="F226" s="48" t="n"/>
      <c r="G226" s="47" t="n"/>
      <c r="H226" s="47" t="n"/>
    </row>
    <row r="227">
      <c r="A227" s="52" t="n"/>
      <c r="B227" s="47">
        <f>IF(A227="","",IFERROR(INDEX('隊員マスタ'!$B$5:$B$204,MATCH(A227&amp;"",'隊員マスタ'!$F$5:$F$204,0)),"番号なし"))</f>
        <v/>
      </c>
      <c r="C227" s="47" t="n"/>
      <c r="D227" s="47" t="n"/>
      <c r="E227" s="48" t="n"/>
      <c r="F227" s="48" t="n"/>
      <c r="G227" s="47" t="n"/>
      <c r="H227" s="47" t="n"/>
    </row>
    <row r="228">
      <c r="A228" s="52" t="n"/>
      <c r="B228" s="47">
        <f>IF(A228="","",IFERROR(INDEX('隊員マスタ'!$B$5:$B$204,MATCH(A228&amp;"",'隊員マスタ'!$F$5:$F$204,0)),"番号なし"))</f>
        <v/>
      </c>
      <c r="C228" s="47" t="n"/>
      <c r="D228" s="47" t="n"/>
      <c r="E228" s="48" t="n"/>
      <c r="F228" s="48" t="n"/>
      <c r="G228" s="47" t="n"/>
      <c r="H228" s="47" t="n"/>
    </row>
    <row r="229">
      <c r="A229" s="52" t="n"/>
      <c r="B229" s="47">
        <f>IF(A229="","",IFERROR(INDEX('隊員マスタ'!$B$5:$B$204,MATCH(A229&amp;"",'隊員マスタ'!$F$5:$F$204,0)),"番号なし"))</f>
        <v/>
      </c>
      <c r="C229" s="47" t="n"/>
      <c r="D229" s="47" t="n"/>
      <c r="E229" s="48" t="n"/>
      <c r="F229" s="48" t="n"/>
      <c r="G229" s="47" t="n"/>
      <c r="H229" s="47" t="n"/>
    </row>
    <row r="230">
      <c r="A230" s="52" t="n"/>
      <c r="B230" s="47">
        <f>IF(A230="","",IFERROR(INDEX('隊員マスタ'!$B$5:$B$204,MATCH(A230&amp;"",'隊員マスタ'!$F$5:$F$204,0)),"番号なし"))</f>
        <v/>
      </c>
      <c r="C230" s="47" t="n"/>
      <c r="D230" s="47" t="n"/>
      <c r="E230" s="48" t="n"/>
      <c r="F230" s="48" t="n"/>
      <c r="G230" s="47" t="n"/>
      <c r="H230" s="47" t="n"/>
    </row>
    <row r="231">
      <c r="A231" s="52" t="n"/>
      <c r="B231" s="47">
        <f>IF(A231="","",IFERROR(INDEX('隊員マスタ'!$B$5:$B$204,MATCH(A231&amp;"",'隊員マスタ'!$F$5:$F$204,0)),"番号なし"))</f>
        <v/>
      </c>
      <c r="C231" s="47" t="n"/>
      <c r="D231" s="47" t="n"/>
      <c r="E231" s="48" t="n"/>
      <c r="F231" s="48" t="n"/>
      <c r="G231" s="47" t="n"/>
      <c r="H231" s="47" t="n"/>
    </row>
    <row r="232">
      <c r="A232" s="52" t="n"/>
      <c r="B232" s="47">
        <f>IF(A232="","",IFERROR(INDEX('隊員マスタ'!$B$5:$B$204,MATCH(A232&amp;"",'隊員マスタ'!$F$5:$F$204,0)),"番号なし"))</f>
        <v/>
      </c>
      <c r="C232" s="47" t="n"/>
      <c r="D232" s="47" t="n"/>
      <c r="E232" s="48" t="n"/>
      <c r="F232" s="48" t="n"/>
      <c r="G232" s="47" t="n"/>
      <c r="H232" s="47" t="n"/>
    </row>
    <row r="233">
      <c r="A233" s="52" t="n"/>
      <c r="B233" s="47">
        <f>IF(A233="","",IFERROR(INDEX('隊員マスタ'!$B$5:$B$204,MATCH(A233&amp;"",'隊員マスタ'!$F$5:$F$204,0)),"番号なし"))</f>
        <v/>
      </c>
      <c r="C233" s="47" t="n"/>
      <c r="D233" s="47" t="n"/>
      <c r="E233" s="48" t="n"/>
      <c r="F233" s="48" t="n"/>
      <c r="G233" s="47" t="n"/>
      <c r="H233" s="47" t="n"/>
    </row>
    <row r="234">
      <c r="A234" s="52" t="n"/>
      <c r="B234" s="47">
        <f>IF(A234="","",IFERROR(INDEX('隊員マスタ'!$B$5:$B$204,MATCH(A234&amp;"",'隊員マスタ'!$F$5:$F$204,0)),"番号なし"))</f>
        <v/>
      </c>
      <c r="C234" s="47" t="n"/>
      <c r="D234" s="47" t="n"/>
      <c r="E234" s="48" t="n"/>
      <c r="F234" s="48" t="n"/>
      <c r="G234" s="47" t="n"/>
      <c r="H234" s="47" t="n"/>
    </row>
    <row r="235">
      <c r="A235" s="52" t="n"/>
      <c r="B235" s="47">
        <f>IF(A235="","",IFERROR(INDEX('隊員マスタ'!$B$5:$B$204,MATCH(A235&amp;"",'隊員マスタ'!$F$5:$F$204,0)),"番号なし"))</f>
        <v/>
      </c>
      <c r="C235" s="47" t="n"/>
      <c r="D235" s="47" t="n"/>
      <c r="E235" s="48" t="n"/>
      <c r="F235" s="48" t="n"/>
      <c r="G235" s="47" t="n"/>
      <c r="H235" s="47" t="n"/>
    </row>
    <row r="236">
      <c r="A236" s="52" t="n"/>
      <c r="B236" s="47">
        <f>IF(A236="","",IFERROR(INDEX('隊員マスタ'!$B$5:$B$204,MATCH(A236&amp;"",'隊員マスタ'!$F$5:$F$204,0)),"番号なし"))</f>
        <v/>
      </c>
      <c r="C236" s="47" t="n"/>
      <c r="D236" s="47" t="n"/>
      <c r="E236" s="48" t="n"/>
      <c r="F236" s="48" t="n"/>
      <c r="G236" s="47" t="n"/>
      <c r="H236" s="47" t="n"/>
    </row>
    <row r="237">
      <c r="A237" s="52" t="n"/>
      <c r="B237" s="47">
        <f>IF(A237="","",IFERROR(INDEX('隊員マスタ'!$B$5:$B$204,MATCH(A237&amp;"",'隊員マスタ'!$F$5:$F$204,0)),"番号なし"))</f>
        <v/>
      </c>
      <c r="C237" s="47" t="n"/>
      <c r="D237" s="47" t="n"/>
      <c r="E237" s="48" t="n"/>
      <c r="F237" s="48" t="n"/>
      <c r="G237" s="47" t="n"/>
      <c r="H237" s="47" t="n"/>
    </row>
    <row r="238">
      <c r="A238" s="52" t="n"/>
      <c r="B238" s="47">
        <f>IF(A238="","",IFERROR(INDEX('隊員マスタ'!$B$5:$B$204,MATCH(A238&amp;"",'隊員マスタ'!$F$5:$F$204,0)),"番号なし"))</f>
        <v/>
      </c>
      <c r="C238" s="47" t="n"/>
      <c r="D238" s="47" t="n"/>
      <c r="E238" s="48" t="n"/>
      <c r="F238" s="48" t="n"/>
      <c r="G238" s="47" t="n"/>
      <c r="H238" s="47" t="n"/>
    </row>
    <row r="239">
      <c r="A239" s="52" t="n"/>
      <c r="B239" s="47">
        <f>IF(A239="","",IFERROR(INDEX('隊員マスタ'!$B$5:$B$204,MATCH(A239&amp;"",'隊員マスタ'!$F$5:$F$204,0)),"番号なし"))</f>
        <v/>
      </c>
      <c r="C239" s="47" t="n"/>
      <c r="D239" s="47" t="n"/>
      <c r="E239" s="48" t="n"/>
      <c r="F239" s="48" t="n"/>
      <c r="G239" s="47" t="n"/>
      <c r="H239" s="47" t="n"/>
    </row>
    <row r="240">
      <c r="A240" s="52" t="n"/>
      <c r="B240" s="47">
        <f>IF(A240="","",IFERROR(INDEX('隊員マスタ'!$B$5:$B$204,MATCH(A240&amp;"",'隊員マスタ'!$F$5:$F$204,0)),"番号なし"))</f>
        <v/>
      </c>
      <c r="C240" s="47" t="n"/>
      <c r="D240" s="47" t="n"/>
      <c r="E240" s="48" t="n"/>
      <c r="F240" s="48" t="n"/>
      <c r="G240" s="47" t="n"/>
      <c r="H240" s="47" t="n"/>
    </row>
    <row r="241">
      <c r="A241" s="52" t="n"/>
      <c r="B241" s="47">
        <f>IF(A241="","",IFERROR(INDEX('隊員マスタ'!$B$5:$B$204,MATCH(A241&amp;"",'隊員マスタ'!$F$5:$F$204,0)),"番号なし"))</f>
        <v/>
      </c>
      <c r="C241" s="47" t="n"/>
      <c r="D241" s="47" t="n"/>
      <c r="E241" s="48" t="n"/>
      <c r="F241" s="48" t="n"/>
      <c r="G241" s="47" t="n"/>
      <c r="H241" s="47" t="n"/>
    </row>
    <row r="242">
      <c r="A242" s="52" t="n"/>
      <c r="B242" s="47">
        <f>IF(A242="","",IFERROR(INDEX('隊員マスタ'!$B$5:$B$204,MATCH(A242&amp;"",'隊員マスタ'!$F$5:$F$204,0)),"番号なし"))</f>
        <v/>
      </c>
      <c r="C242" s="47" t="n"/>
      <c r="D242" s="47" t="n"/>
      <c r="E242" s="48" t="n"/>
      <c r="F242" s="48" t="n"/>
      <c r="G242" s="47" t="n"/>
      <c r="H242" s="47" t="n"/>
    </row>
    <row r="243">
      <c r="A243" s="52" t="n"/>
      <c r="B243" s="47">
        <f>IF(A243="","",IFERROR(INDEX('隊員マスタ'!$B$5:$B$204,MATCH(A243&amp;"",'隊員マスタ'!$F$5:$F$204,0)),"番号なし"))</f>
        <v/>
      </c>
      <c r="C243" s="47" t="n"/>
      <c r="D243" s="47" t="n"/>
      <c r="E243" s="48" t="n"/>
      <c r="F243" s="48" t="n"/>
      <c r="G243" s="47" t="n"/>
      <c r="H243" s="47" t="n"/>
    </row>
    <row r="244">
      <c r="A244" s="52" t="n"/>
      <c r="B244" s="47">
        <f>IF(A244="","",IFERROR(INDEX('隊員マスタ'!$B$5:$B$204,MATCH(A244&amp;"",'隊員マスタ'!$F$5:$F$204,0)),"番号なし"))</f>
        <v/>
      </c>
      <c r="C244" s="47" t="n"/>
      <c r="D244" s="47" t="n"/>
      <c r="E244" s="48" t="n"/>
      <c r="F244" s="48" t="n"/>
      <c r="G244" s="47" t="n"/>
      <c r="H244" s="47" t="n"/>
    </row>
    <row r="245">
      <c r="A245" s="52" t="n"/>
      <c r="B245" s="47">
        <f>IF(A245="","",IFERROR(INDEX('隊員マスタ'!$B$5:$B$204,MATCH(A245&amp;"",'隊員マスタ'!$F$5:$F$204,0)),"番号なし"))</f>
        <v/>
      </c>
      <c r="C245" s="47" t="n"/>
      <c r="D245" s="47" t="n"/>
      <c r="E245" s="48" t="n"/>
      <c r="F245" s="48" t="n"/>
      <c r="G245" s="47" t="n"/>
      <c r="H245" s="47" t="n"/>
    </row>
    <row r="246">
      <c r="A246" s="52" t="n"/>
      <c r="B246" s="47">
        <f>IF(A246="","",IFERROR(INDEX('隊員マスタ'!$B$5:$B$204,MATCH(A246&amp;"",'隊員マスタ'!$F$5:$F$204,0)),"番号なし"))</f>
        <v/>
      </c>
      <c r="C246" s="47" t="n"/>
      <c r="D246" s="47" t="n"/>
      <c r="E246" s="48" t="n"/>
      <c r="F246" s="48" t="n"/>
      <c r="G246" s="47" t="n"/>
      <c r="H246" s="47" t="n"/>
    </row>
    <row r="247">
      <c r="A247" s="52" t="n"/>
      <c r="B247" s="47">
        <f>IF(A247="","",IFERROR(INDEX('隊員マスタ'!$B$5:$B$204,MATCH(A247&amp;"",'隊員マスタ'!$F$5:$F$204,0)),"番号なし"))</f>
        <v/>
      </c>
      <c r="C247" s="47" t="n"/>
      <c r="D247" s="47" t="n"/>
      <c r="E247" s="48" t="n"/>
      <c r="F247" s="48" t="n"/>
      <c r="G247" s="47" t="n"/>
      <c r="H247" s="47" t="n"/>
    </row>
    <row r="248">
      <c r="A248" s="52" t="n"/>
      <c r="B248" s="47">
        <f>IF(A248="","",IFERROR(INDEX('隊員マスタ'!$B$5:$B$204,MATCH(A248&amp;"",'隊員マスタ'!$F$5:$F$204,0)),"番号なし"))</f>
        <v/>
      </c>
      <c r="C248" s="47" t="n"/>
      <c r="D248" s="47" t="n"/>
      <c r="E248" s="48" t="n"/>
      <c r="F248" s="48" t="n"/>
      <c r="G248" s="47" t="n"/>
      <c r="H248" s="47" t="n"/>
    </row>
    <row r="249">
      <c r="A249" s="52" t="n"/>
      <c r="B249" s="47">
        <f>IF(A249="","",IFERROR(INDEX('隊員マスタ'!$B$5:$B$204,MATCH(A249&amp;"",'隊員マスタ'!$F$5:$F$204,0)),"番号なし"))</f>
        <v/>
      </c>
      <c r="C249" s="47" t="n"/>
      <c r="D249" s="47" t="n"/>
      <c r="E249" s="48" t="n"/>
      <c r="F249" s="48" t="n"/>
      <c r="G249" s="47" t="n"/>
      <c r="H249" s="47" t="n"/>
    </row>
    <row r="250">
      <c r="A250" s="52" t="n"/>
      <c r="B250" s="47">
        <f>IF(A250="","",IFERROR(INDEX('隊員マスタ'!$B$5:$B$204,MATCH(A250&amp;"",'隊員マスタ'!$F$5:$F$204,0)),"番号なし"))</f>
        <v/>
      </c>
      <c r="C250" s="47" t="n"/>
      <c r="D250" s="47" t="n"/>
      <c r="E250" s="48" t="n"/>
      <c r="F250" s="48" t="n"/>
      <c r="G250" s="47" t="n"/>
      <c r="H250" s="47" t="n"/>
    </row>
    <row r="251">
      <c r="A251" s="52" t="n"/>
      <c r="B251" s="47">
        <f>IF(A251="","",IFERROR(INDEX('隊員マスタ'!$B$5:$B$204,MATCH(A251&amp;"",'隊員マスタ'!$F$5:$F$204,0)),"番号なし"))</f>
        <v/>
      </c>
      <c r="C251" s="47" t="n"/>
      <c r="D251" s="47" t="n"/>
      <c r="E251" s="48" t="n"/>
      <c r="F251" s="48" t="n"/>
      <c r="G251" s="47" t="n"/>
      <c r="H251" s="47" t="n"/>
    </row>
    <row r="252">
      <c r="A252" s="52" t="n"/>
      <c r="B252" s="47">
        <f>IF(A252="","",IFERROR(INDEX('隊員マスタ'!$B$5:$B$204,MATCH(A252&amp;"",'隊員マスタ'!$F$5:$F$204,0)),"番号なし"))</f>
        <v/>
      </c>
      <c r="C252" s="47" t="n"/>
      <c r="D252" s="47" t="n"/>
      <c r="E252" s="48" t="n"/>
      <c r="F252" s="48" t="n"/>
      <c r="G252" s="47" t="n"/>
      <c r="H252" s="47" t="n"/>
    </row>
    <row r="253">
      <c r="A253" s="52" t="n"/>
      <c r="B253" s="47">
        <f>IF(A253="","",IFERROR(INDEX('隊員マスタ'!$B$5:$B$204,MATCH(A253&amp;"",'隊員マスタ'!$F$5:$F$204,0)),"番号なし"))</f>
        <v/>
      </c>
      <c r="C253" s="47" t="n"/>
      <c r="D253" s="47" t="n"/>
      <c r="E253" s="48" t="n"/>
      <c r="F253" s="48" t="n"/>
      <c r="G253" s="47" t="n"/>
      <c r="H253" s="47" t="n"/>
    </row>
    <row r="254">
      <c r="A254" s="52" t="n"/>
      <c r="B254" s="47">
        <f>IF(A254="","",IFERROR(INDEX('隊員マスタ'!$B$5:$B$204,MATCH(A254&amp;"",'隊員マスタ'!$F$5:$F$204,0)),"番号なし"))</f>
        <v/>
      </c>
      <c r="C254" s="47" t="n"/>
      <c r="D254" s="47" t="n"/>
      <c r="E254" s="48" t="n"/>
      <c r="F254" s="48" t="n"/>
      <c r="G254" s="47" t="n"/>
      <c r="H254" s="47" t="n"/>
    </row>
    <row r="255">
      <c r="A255" s="52" t="n"/>
      <c r="B255" s="47">
        <f>IF(A255="","",IFERROR(INDEX('隊員マスタ'!$B$5:$B$204,MATCH(A255&amp;"",'隊員マスタ'!$F$5:$F$204,0)),"番号なし"))</f>
        <v/>
      </c>
      <c r="C255" s="47" t="n"/>
      <c r="D255" s="47" t="n"/>
      <c r="E255" s="48" t="n"/>
      <c r="F255" s="48" t="n"/>
      <c r="G255" s="47" t="n"/>
      <c r="H255" s="47" t="n"/>
    </row>
    <row r="256">
      <c r="A256" s="52" t="n"/>
      <c r="B256" s="47">
        <f>IF(A256="","",IFERROR(INDEX('隊員マスタ'!$B$5:$B$204,MATCH(A256&amp;"",'隊員マスタ'!$F$5:$F$204,0)),"番号なし"))</f>
        <v/>
      </c>
      <c r="C256" s="47" t="n"/>
      <c r="D256" s="47" t="n"/>
      <c r="E256" s="48" t="n"/>
      <c r="F256" s="48" t="n"/>
      <c r="G256" s="47" t="n"/>
      <c r="H256" s="47" t="n"/>
    </row>
    <row r="257">
      <c r="A257" s="52" t="n"/>
      <c r="B257" s="47">
        <f>IF(A257="","",IFERROR(INDEX('隊員マスタ'!$B$5:$B$204,MATCH(A257&amp;"",'隊員マスタ'!$F$5:$F$204,0)),"番号なし"))</f>
        <v/>
      </c>
      <c r="C257" s="47" t="n"/>
      <c r="D257" s="47" t="n"/>
      <c r="E257" s="48" t="n"/>
      <c r="F257" s="48" t="n"/>
      <c r="G257" s="47" t="n"/>
      <c r="H257" s="47" t="n"/>
    </row>
    <row r="258">
      <c r="A258" s="52" t="n"/>
      <c r="B258" s="47">
        <f>IF(A258="","",IFERROR(INDEX('隊員マスタ'!$B$5:$B$204,MATCH(A258&amp;"",'隊員マスタ'!$F$5:$F$204,0)),"番号なし"))</f>
        <v/>
      </c>
      <c r="C258" s="47" t="n"/>
      <c r="D258" s="47" t="n"/>
      <c r="E258" s="48" t="n"/>
      <c r="F258" s="48" t="n"/>
      <c r="G258" s="47" t="n"/>
      <c r="H258" s="47" t="n"/>
    </row>
    <row r="259">
      <c r="A259" s="52" t="n"/>
      <c r="B259" s="47">
        <f>IF(A259="","",IFERROR(INDEX('隊員マスタ'!$B$5:$B$204,MATCH(A259&amp;"",'隊員マスタ'!$F$5:$F$204,0)),"番号なし"))</f>
        <v/>
      </c>
      <c r="C259" s="47" t="n"/>
      <c r="D259" s="47" t="n"/>
      <c r="E259" s="48" t="n"/>
      <c r="F259" s="48" t="n"/>
      <c r="G259" s="47" t="n"/>
      <c r="H259" s="47" t="n"/>
    </row>
    <row r="260">
      <c r="A260" s="52" t="n"/>
      <c r="B260" s="47">
        <f>IF(A260="","",IFERROR(INDEX('隊員マスタ'!$B$5:$B$204,MATCH(A260&amp;"",'隊員マスタ'!$F$5:$F$204,0)),"番号なし"))</f>
        <v/>
      </c>
      <c r="C260" s="47" t="n"/>
      <c r="D260" s="47" t="n"/>
      <c r="E260" s="48" t="n"/>
      <c r="F260" s="48" t="n"/>
      <c r="G260" s="47" t="n"/>
      <c r="H260" s="47" t="n"/>
    </row>
    <row r="261">
      <c r="A261" s="52" t="n"/>
      <c r="B261" s="47">
        <f>IF(A261="","",IFERROR(INDEX('隊員マスタ'!$B$5:$B$204,MATCH(A261&amp;"",'隊員マスタ'!$F$5:$F$204,0)),"番号なし"))</f>
        <v/>
      </c>
      <c r="C261" s="47" t="n"/>
      <c r="D261" s="47" t="n"/>
      <c r="E261" s="48" t="n"/>
      <c r="F261" s="48" t="n"/>
      <c r="G261" s="47" t="n"/>
      <c r="H261" s="47" t="n"/>
    </row>
    <row r="262">
      <c r="A262" s="52" t="n"/>
      <c r="B262" s="47">
        <f>IF(A262="","",IFERROR(INDEX('隊員マスタ'!$B$5:$B$204,MATCH(A262&amp;"",'隊員マスタ'!$F$5:$F$204,0)),"番号なし"))</f>
        <v/>
      </c>
      <c r="C262" s="47" t="n"/>
      <c r="D262" s="47" t="n"/>
      <c r="E262" s="48" t="n"/>
      <c r="F262" s="48" t="n"/>
      <c r="G262" s="47" t="n"/>
      <c r="H262" s="47" t="n"/>
    </row>
    <row r="263">
      <c r="A263" s="52" t="n"/>
      <c r="B263" s="47">
        <f>IF(A263="","",IFERROR(INDEX('隊員マスタ'!$B$5:$B$204,MATCH(A263&amp;"",'隊員マスタ'!$F$5:$F$204,0)),"番号なし"))</f>
        <v/>
      </c>
      <c r="C263" s="47" t="n"/>
      <c r="D263" s="47" t="n"/>
      <c r="E263" s="48" t="n"/>
      <c r="F263" s="48" t="n"/>
      <c r="G263" s="47" t="n"/>
      <c r="H263" s="47" t="n"/>
    </row>
    <row r="264">
      <c r="A264" s="52" t="n"/>
      <c r="B264" s="47">
        <f>IF(A264="","",IFERROR(INDEX('隊員マスタ'!$B$5:$B$204,MATCH(A264&amp;"",'隊員マスタ'!$F$5:$F$204,0)),"番号なし"))</f>
        <v/>
      </c>
      <c r="C264" s="47" t="n"/>
      <c r="D264" s="47" t="n"/>
      <c r="E264" s="48" t="n"/>
      <c r="F264" s="48" t="n"/>
      <c r="G264" s="47" t="n"/>
      <c r="H264" s="47" t="n"/>
    </row>
    <row r="265">
      <c r="A265" s="52" t="n"/>
      <c r="B265" s="47">
        <f>IF(A265="","",IFERROR(INDEX('隊員マスタ'!$B$5:$B$204,MATCH(A265&amp;"",'隊員マスタ'!$F$5:$F$204,0)),"番号なし"))</f>
        <v/>
      </c>
      <c r="C265" s="47" t="n"/>
      <c r="D265" s="47" t="n"/>
      <c r="E265" s="48" t="n"/>
      <c r="F265" s="48" t="n"/>
      <c r="G265" s="47" t="n"/>
      <c r="H265" s="47" t="n"/>
    </row>
    <row r="266">
      <c r="A266" s="52" t="n"/>
      <c r="B266" s="47">
        <f>IF(A266="","",IFERROR(INDEX('隊員マスタ'!$B$5:$B$204,MATCH(A266&amp;"",'隊員マスタ'!$F$5:$F$204,0)),"番号なし"))</f>
        <v/>
      </c>
      <c r="C266" s="47" t="n"/>
      <c r="D266" s="47" t="n"/>
      <c r="E266" s="48" t="n"/>
      <c r="F266" s="48" t="n"/>
      <c r="G266" s="47" t="n"/>
      <c r="H266" s="47" t="n"/>
    </row>
    <row r="267">
      <c r="A267" s="52" t="n"/>
      <c r="B267" s="47">
        <f>IF(A267="","",IFERROR(INDEX('隊員マスタ'!$B$5:$B$204,MATCH(A267&amp;"",'隊員マスタ'!$F$5:$F$204,0)),"番号なし"))</f>
        <v/>
      </c>
      <c r="C267" s="47" t="n"/>
      <c r="D267" s="47" t="n"/>
      <c r="E267" s="48" t="n"/>
      <c r="F267" s="48" t="n"/>
      <c r="G267" s="47" t="n"/>
      <c r="H267" s="47" t="n"/>
    </row>
    <row r="268">
      <c r="A268" s="52" t="n"/>
      <c r="B268" s="47">
        <f>IF(A268="","",IFERROR(INDEX('隊員マスタ'!$B$5:$B$204,MATCH(A268&amp;"",'隊員マスタ'!$F$5:$F$204,0)),"番号なし"))</f>
        <v/>
      </c>
      <c r="C268" s="47" t="n"/>
      <c r="D268" s="47" t="n"/>
      <c r="E268" s="48" t="n"/>
      <c r="F268" s="48" t="n"/>
      <c r="G268" s="47" t="n"/>
      <c r="H268" s="47" t="n"/>
    </row>
    <row r="269">
      <c r="A269" s="52" t="n"/>
      <c r="B269" s="47">
        <f>IF(A269="","",IFERROR(INDEX('隊員マスタ'!$B$5:$B$204,MATCH(A269&amp;"",'隊員マスタ'!$F$5:$F$204,0)),"番号なし"))</f>
        <v/>
      </c>
      <c r="C269" s="47" t="n"/>
      <c r="D269" s="47" t="n"/>
      <c r="E269" s="48" t="n"/>
      <c r="F269" s="48" t="n"/>
      <c r="G269" s="47" t="n"/>
      <c r="H269" s="47" t="n"/>
    </row>
    <row r="270">
      <c r="A270" s="52" t="n"/>
      <c r="B270" s="47">
        <f>IF(A270="","",IFERROR(INDEX('隊員マスタ'!$B$5:$B$204,MATCH(A270&amp;"",'隊員マスタ'!$F$5:$F$204,0)),"番号なし"))</f>
        <v/>
      </c>
      <c r="C270" s="47" t="n"/>
      <c r="D270" s="47" t="n"/>
      <c r="E270" s="48" t="n"/>
      <c r="F270" s="48" t="n"/>
      <c r="G270" s="47" t="n"/>
      <c r="H270" s="47" t="n"/>
    </row>
    <row r="271">
      <c r="A271" s="52" t="n"/>
      <c r="B271" s="47">
        <f>IF(A271="","",IFERROR(INDEX('隊員マスタ'!$B$5:$B$204,MATCH(A271&amp;"",'隊員マスタ'!$F$5:$F$204,0)),"番号なし"))</f>
        <v/>
      </c>
      <c r="C271" s="47" t="n"/>
      <c r="D271" s="47" t="n"/>
      <c r="E271" s="48" t="n"/>
      <c r="F271" s="48" t="n"/>
      <c r="G271" s="47" t="n"/>
      <c r="H271" s="47" t="n"/>
    </row>
    <row r="272">
      <c r="A272" s="52" t="n"/>
      <c r="B272" s="47">
        <f>IF(A272="","",IFERROR(INDEX('隊員マスタ'!$B$5:$B$204,MATCH(A272&amp;"",'隊員マスタ'!$F$5:$F$204,0)),"番号なし"))</f>
        <v/>
      </c>
      <c r="C272" s="47" t="n"/>
      <c r="D272" s="47" t="n"/>
      <c r="E272" s="48" t="n"/>
      <c r="F272" s="48" t="n"/>
      <c r="G272" s="47" t="n"/>
      <c r="H272" s="47" t="n"/>
    </row>
    <row r="273">
      <c r="A273" s="52" t="n"/>
      <c r="B273" s="47">
        <f>IF(A273="","",IFERROR(INDEX('隊員マスタ'!$B$5:$B$204,MATCH(A273&amp;"",'隊員マスタ'!$F$5:$F$204,0)),"番号なし"))</f>
        <v/>
      </c>
      <c r="C273" s="47" t="n"/>
      <c r="D273" s="47" t="n"/>
      <c r="E273" s="48" t="n"/>
      <c r="F273" s="48" t="n"/>
      <c r="G273" s="47" t="n"/>
      <c r="H273" s="47" t="n"/>
    </row>
    <row r="274">
      <c r="A274" s="52" t="n"/>
      <c r="B274" s="47">
        <f>IF(A274="","",IFERROR(INDEX('隊員マスタ'!$B$5:$B$204,MATCH(A274&amp;"",'隊員マスタ'!$F$5:$F$204,0)),"番号なし"))</f>
        <v/>
      </c>
      <c r="C274" s="47" t="n"/>
      <c r="D274" s="47" t="n"/>
      <c r="E274" s="48" t="n"/>
      <c r="F274" s="48" t="n"/>
      <c r="G274" s="47" t="n"/>
      <c r="H274" s="47" t="n"/>
    </row>
    <row r="275">
      <c r="A275" s="52" t="n"/>
      <c r="B275" s="47">
        <f>IF(A275="","",IFERROR(INDEX('隊員マスタ'!$B$5:$B$204,MATCH(A275&amp;"",'隊員マスタ'!$F$5:$F$204,0)),"番号なし"))</f>
        <v/>
      </c>
      <c r="C275" s="47" t="n"/>
      <c r="D275" s="47" t="n"/>
      <c r="E275" s="48" t="n"/>
      <c r="F275" s="48" t="n"/>
      <c r="G275" s="47" t="n"/>
      <c r="H275" s="47" t="n"/>
    </row>
    <row r="276">
      <c r="A276" s="52" t="n"/>
      <c r="B276" s="47">
        <f>IF(A276="","",IFERROR(INDEX('隊員マスタ'!$B$5:$B$204,MATCH(A276&amp;"",'隊員マスタ'!$F$5:$F$204,0)),"番号なし"))</f>
        <v/>
      </c>
      <c r="C276" s="47" t="n"/>
      <c r="D276" s="47" t="n"/>
      <c r="E276" s="48" t="n"/>
      <c r="F276" s="48" t="n"/>
      <c r="G276" s="47" t="n"/>
      <c r="H276" s="47" t="n"/>
    </row>
    <row r="277">
      <c r="A277" s="52" t="n"/>
      <c r="B277" s="47">
        <f>IF(A277="","",IFERROR(INDEX('隊員マスタ'!$B$5:$B$204,MATCH(A277&amp;"",'隊員マスタ'!$F$5:$F$204,0)),"番号なし"))</f>
        <v/>
      </c>
      <c r="C277" s="47" t="n"/>
      <c r="D277" s="47" t="n"/>
      <c r="E277" s="48" t="n"/>
      <c r="F277" s="48" t="n"/>
      <c r="G277" s="47" t="n"/>
      <c r="H277" s="47" t="n"/>
    </row>
    <row r="278">
      <c r="A278" s="52" t="n"/>
      <c r="B278" s="47">
        <f>IF(A278="","",IFERROR(INDEX('隊員マスタ'!$B$5:$B$204,MATCH(A278&amp;"",'隊員マスタ'!$F$5:$F$204,0)),"番号なし"))</f>
        <v/>
      </c>
      <c r="C278" s="47" t="n"/>
      <c r="D278" s="47" t="n"/>
      <c r="E278" s="48" t="n"/>
      <c r="F278" s="48" t="n"/>
      <c r="G278" s="47" t="n"/>
      <c r="H278" s="47" t="n"/>
    </row>
    <row r="279">
      <c r="A279" s="52" t="n"/>
      <c r="B279" s="47">
        <f>IF(A279="","",IFERROR(INDEX('隊員マスタ'!$B$5:$B$204,MATCH(A279&amp;"",'隊員マスタ'!$F$5:$F$204,0)),"番号なし"))</f>
        <v/>
      </c>
      <c r="C279" s="47" t="n"/>
      <c r="D279" s="47" t="n"/>
      <c r="E279" s="48" t="n"/>
      <c r="F279" s="48" t="n"/>
      <c r="G279" s="47" t="n"/>
      <c r="H279" s="47" t="n"/>
    </row>
    <row r="280">
      <c r="A280" s="52" t="n"/>
      <c r="B280" s="47">
        <f>IF(A280="","",IFERROR(INDEX('隊員マスタ'!$B$5:$B$204,MATCH(A280&amp;"",'隊員マスタ'!$F$5:$F$204,0)),"番号なし"))</f>
        <v/>
      </c>
      <c r="C280" s="47" t="n"/>
      <c r="D280" s="47" t="n"/>
      <c r="E280" s="48" t="n"/>
      <c r="F280" s="48" t="n"/>
      <c r="G280" s="47" t="n"/>
      <c r="H280" s="47" t="n"/>
    </row>
    <row r="281">
      <c r="A281" s="52" t="n"/>
      <c r="B281" s="47">
        <f>IF(A281="","",IFERROR(INDEX('隊員マスタ'!$B$5:$B$204,MATCH(A281&amp;"",'隊員マスタ'!$F$5:$F$204,0)),"番号なし"))</f>
        <v/>
      </c>
      <c r="C281" s="47" t="n"/>
      <c r="D281" s="47" t="n"/>
      <c r="E281" s="48" t="n"/>
      <c r="F281" s="48" t="n"/>
      <c r="G281" s="47" t="n"/>
      <c r="H281" s="47" t="n"/>
    </row>
    <row r="282">
      <c r="A282" s="52" t="n"/>
      <c r="B282" s="47">
        <f>IF(A282="","",IFERROR(INDEX('隊員マスタ'!$B$5:$B$204,MATCH(A282&amp;"",'隊員マスタ'!$F$5:$F$204,0)),"番号なし"))</f>
        <v/>
      </c>
      <c r="C282" s="47" t="n"/>
      <c r="D282" s="47" t="n"/>
      <c r="E282" s="48" t="n"/>
      <c r="F282" s="48" t="n"/>
      <c r="G282" s="47" t="n"/>
      <c r="H282" s="47" t="n"/>
    </row>
    <row r="283">
      <c r="A283" s="52" t="n"/>
      <c r="B283" s="47">
        <f>IF(A283="","",IFERROR(INDEX('隊員マスタ'!$B$5:$B$204,MATCH(A283&amp;"",'隊員マスタ'!$F$5:$F$204,0)),"番号なし"))</f>
        <v/>
      </c>
      <c r="C283" s="47" t="n"/>
      <c r="D283" s="47" t="n"/>
      <c r="E283" s="48" t="n"/>
      <c r="F283" s="48" t="n"/>
      <c r="G283" s="47" t="n"/>
      <c r="H283" s="47" t="n"/>
    </row>
    <row r="284">
      <c r="A284" s="52" t="n"/>
      <c r="B284" s="47">
        <f>IF(A284="","",IFERROR(INDEX('隊員マスタ'!$B$5:$B$204,MATCH(A284&amp;"",'隊員マスタ'!$F$5:$F$204,0)),"番号なし"))</f>
        <v/>
      </c>
      <c r="C284" s="47" t="n"/>
      <c r="D284" s="47" t="n"/>
      <c r="E284" s="48" t="n"/>
      <c r="F284" s="48" t="n"/>
      <c r="G284" s="47" t="n"/>
      <c r="H284" s="47" t="n"/>
    </row>
    <row r="285">
      <c r="A285" s="52" t="n"/>
      <c r="B285" s="47">
        <f>IF(A285="","",IFERROR(INDEX('隊員マスタ'!$B$5:$B$204,MATCH(A285&amp;"",'隊員マスタ'!$F$5:$F$204,0)),"番号なし"))</f>
        <v/>
      </c>
      <c r="C285" s="47" t="n"/>
      <c r="D285" s="47" t="n"/>
      <c r="E285" s="48" t="n"/>
      <c r="F285" s="48" t="n"/>
      <c r="G285" s="47" t="n"/>
      <c r="H285" s="47" t="n"/>
    </row>
    <row r="286">
      <c r="A286" s="52" t="n"/>
      <c r="B286" s="47">
        <f>IF(A286="","",IFERROR(INDEX('隊員マスタ'!$B$5:$B$204,MATCH(A286&amp;"",'隊員マスタ'!$F$5:$F$204,0)),"番号なし"))</f>
        <v/>
      </c>
      <c r="C286" s="47" t="n"/>
      <c r="D286" s="47" t="n"/>
      <c r="E286" s="48" t="n"/>
      <c r="F286" s="48" t="n"/>
      <c r="G286" s="47" t="n"/>
      <c r="H286" s="47" t="n"/>
    </row>
    <row r="287">
      <c r="A287" s="52" t="n"/>
      <c r="B287" s="47">
        <f>IF(A287="","",IFERROR(INDEX('隊員マスタ'!$B$5:$B$204,MATCH(A287&amp;"",'隊員マスタ'!$F$5:$F$204,0)),"番号なし"))</f>
        <v/>
      </c>
      <c r="C287" s="47" t="n"/>
      <c r="D287" s="47" t="n"/>
      <c r="E287" s="48" t="n"/>
      <c r="F287" s="48" t="n"/>
      <c r="G287" s="47" t="n"/>
      <c r="H287" s="47" t="n"/>
    </row>
    <row r="288">
      <c r="A288" s="52" t="n"/>
      <c r="B288" s="47">
        <f>IF(A288="","",IFERROR(INDEX('隊員マスタ'!$B$5:$B$204,MATCH(A288&amp;"",'隊員マスタ'!$F$5:$F$204,0)),"番号なし"))</f>
        <v/>
      </c>
      <c r="C288" s="47" t="n"/>
      <c r="D288" s="47" t="n"/>
      <c r="E288" s="48" t="n"/>
      <c r="F288" s="48" t="n"/>
      <c r="G288" s="47" t="n"/>
      <c r="H288" s="47" t="n"/>
    </row>
    <row r="289">
      <c r="A289" s="52" t="n"/>
      <c r="B289" s="47">
        <f>IF(A289="","",IFERROR(INDEX('隊員マスタ'!$B$5:$B$204,MATCH(A289&amp;"",'隊員マスタ'!$F$5:$F$204,0)),"番号なし"))</f>
        <v/>
      </c>
      <c r="C289" s="47" t="n"/>
      <c r="D289" s="47" t="n"/>
      <c r="E289" s="48" t="n"/>
      <c r="F289" s="48" t="n"/>
      <c r="G289" s="47" t="n"/>
      <c r="H289" s="47" t="n"/>
    </row>
    <row r="290">
      <c r="A290" s="52" t="n"/>
      <c r="B290" s="47">
        <f>IF(A290="","",IFERROR(INDEX('隊員マスタ'!$B$5:$B$204,MATCH(A290&amp;"",'隊員マスタ'!$F$5:$F$204,0)),"番号なし"))</f>
        <v/>
      </c>
      <c r="C290" s="47" t="n"/>
      <c r="D290" s="47" t="n"/>
      <c r="E290" s="48" t="n"/>
      <c r="F290" s="48" t="n"/>
      <c r="G290" s="47" t="n"/>
      <c r="H290" s="47" t="n"/>
    </row>
    <row r="291">
      <c r="A291" s="52" t="n"/>
      <c r="B291" s="47">
        <f>IF(A291="","",IFERROR(INDEX('隊員マスタ'!$B$5:$B$204,MATCH(A291&amp;"",'隊員マスタ'!$F$5:$F$204,0)),"番号なし"))</f>
        <v/>
      </c>
      <c r="C291" s="47" t="n"/>
      <c r="D291" s="47" t="n"/>
      <c r="E291" s="48" t="n"/>
      <c r="F291" s="48" t="n"/>
      <c r="G291" s="47" t="n"/>
      <c r="H291" s="47" t="n"/>
    </row>
    <row r="292">
      <c r="A292" s="52" t="n"/>
      <c r="B292" s="47">
        <f>IF(A292="","",IFERROR(INDEX('隊員マスタ'!$B$5:$B$204,MATCH(A292&amp;"",'隊員マスタ'!$F$5:$F$204,0)),"番号なし"))</f>
        <v/>
      </c>
      <c r="C292" s="47" t="n"/>
      <c r="D292" s="47" t="n"/>
      <c r="E292" s="48" t="n"/>
      <c r="F292" s="48" t="n"/>
      <c r="G292" s="47" t="n"/>
      <c r="H292" s="47" t="n"/>
    </row>
    <row r="293">
      <c r="A293" s="52" t="n"/>
      <c r="B293" s="47">
        <f>IF(A293="","",IFERROR(INDEX('隊員マスタ'!$B$5:$B$204,MATCH(A293&amp;"",'隊員マスタ'!$F$5:$F$204,0)),"番号なし"))</f>
        <v/>
      </c>
      <c r="C293" s="47" t="n"/>
      <c r="D293" s="47" t="n"/>
      <c r="E293" s="48" t="n"/>
      <c r="F293" s="48" t="n"/>
      <c r="G293" s="47" t="n"/>
      <c r="H293" s="47" t="n"/>
    </row>
    <row r="294">
      <c r="A294" s="52" t="n"/>
      <c r="B294" s="47">
        <f>IF(A294="","",IFERROR(INDEX('隊員マスタ'!$B$5:$B$204,MATCH(A294&amp;"",'隊員マスタ'!$F$5:$F$204,0)),"番号なし"))</f>
        <v/>
      </c>
      <c r="C294" s="47" t="n"/>
      <c r="D294" s="47" t="n"/>
      <c r="E294" s="48" t="n"/>
      <c r="F294" s="48" t="n"/>
      <c r="G294" s="47" t="n"/>
      <c r="H294" s="47" t="n"/>
    </row>
    <row r="295">
      <c r="A295" s="52" t="n"/>
      <c r="B295" s="47">
        <f>IF(A295="","",IFERROR(INDEX('隊員マスタ'!$B$5:$B$204,MATCH(A295&amp;"",'隊員マスタ'!$F$5:$F$204,0)),"番号なし"))</f>
        <v/>
      </c>
      <c r="C295" s="47" t="n"/>
      <c r="D295" s="47" t="n"/>
      <c r="E295" s="48" t="n"/>
      <c r="F295" s="48" t="n"/>
      <c r="G295" s="47" t="n"/>
      <c r="H295" s="47" t="n"/>
    </row>
    <row r="296">
      <c r="A296" s="52" t="n"/>
      <c r="B296" s="47">
        <f>IF(A296="","",IFERROR(INDEX('隊員マスタ'!$B$5:$B$204,MATCH(A296&amp;"",'隊員マスタ'!$F$5:$F$204,0)),"番号なし"))</f>
        <v/>
      </c>
      <c r="C296" s="47" t="n"/>
      <c r="D296" s="47" t="n"/>
      <c r="E296" s="48" t="n"/>
      <c r="F296" s="48" t="n"/>
      <c r="G296" s="47" t="n"/>
      <c r="H296" s="47" t="n"/>
    </row>
    <row r="297">
      <c r="A297" s="52" t="n"/>
      <c r="B297" s="47">
        <f>IF(A297="","",IFERROR(INDEX('隊員マスタ'!$B$5:$B$204,MATCH(A297&amp;"",'隊員マスタ'!$F$5:$F$204,0)),"番号なし"))</f>
        <v/>
      </c>
      <c r="C297" s="47" t="n"/>
      <c r="D297" s="47" t="n"/>
      <c r="E297" s="48" t="n"/>
      <c r="F297" s="48" t="n"/>
      <c r="G297" s="47" t="n"/>
      <c r="H297" s="47" t="n"/>
    </row>
    <row r="298">
      <c r="A298" s="52" t="n"/>
      <c r="B298" s="47">
        <f>IF(A298="","",IFERROR(INDEX('隊員マスタ'!$B$5:$B$204,MATCH(A298&amp;"",'隊員マスタ'!$F$5:$F$204,0)),"番号なし"))</f>
        <v/>
      </c>
      <c r="C298" s="47" t="n"/>
      <c r="D298" s="47" t="n"/>
      <c r="E298" s="48" t="n"/>
      <c r="F298" s="48" t="n"/>
      <c r="G298" s="47" t="n"/>
      <c r="H298" s="47" t="n"/>
    </row>
    <row r="299">
      <c r="A299" s="52" t="n"/>
      <c r="B299" s="47">
        <f>IF(A299="","",IFERROR(INDEX('隊員マスタ'!$B$5:$B$204,MATCH(A299&amp;"",'隊員マスタ'!$F$5:$F$204,0)),"番号なし"))</f>
        <v/>
      </c>
      <c r="C299" s="47" t="n"/>
      <c r="D299" s="47" t="n"/>
      <c r="E299" s="48" t="n"/>
      <c r="F299" s="48" t="n"/>
      <c r="G299" s="47" t="n"/>
      <c r="H299" s="47" t="n"/>
    </row>
    <row r="300">
      <c r="A300" s="52" t="n"/>
      <c r="B300" s="47">
        <f>IF(A300="","",IFERROR(INDEX('隊員マスタ'!$B$5:$B$204,MATCH(A300&amp;"",'隊員マスタ'!$F$5:$F$204,0)),"番号なし"))</f>
        <v/>
      </c>
      <c r="C300" s="47" t="n"/>
      <c r="D300" s="47" t="n"/>
      <c r="E300" s="48" t="n"/>
      <c r="F300" s="48" t="n"/>
      <c r="G300" s="47" t="n"/>
      <c r="H300" s="47" t="n"/>
    </row>
    <row r="301">
      <c r="A301" s="52" t="n"/>
      <c r="B301" s="47">
        <f>IF(A301="","",IFERROR(INDEX('隊員マスタ'!$B$5:$B$204,MATCH(A301&amp;"",'隊員マスタ'!$F$5:$F$204,0)),"番号なし"))</f>
        <v/>
      </c>
      <c r="C301" s="47" t="n"/>
      <c r="D301" s="47" t="n"/>
      <c r="E301" s="48" t="n"/>
      <c r="F301" s="48" t="n"/>
      <c r="G301" s="47" t="n"/>
      <c r="H301" s="47" t="n"/>
    </row>
    <row r="302">
      <c r="A302" s="52" t="n"/>
      <c r="B302" s="47">
        <f>IF(A302="","",IFERROR(INDEX('隊員マスタ'!$B$5:$B$204,MATCH(A302&amp;"",'隊員マスタ'!$F$5:$F$204,0)),"番号なし"))</f>
        <v/>
      </c>
      <c r="C302" s="47" t="n"/>
      <c r="D302" s="47" t="n"/>
      <c r="E302" s="48" t="n"/>
      <c r="F302" s="48" t="n"/>
      <c r="G302" s="47" t="n"/>
      <c r="H302" s="47" t="n"/>
    </row>
    <row r="303">
      <c r="A303" s="52" t="n"/>
      <c r="B303" s="47">
        <f>IF(A303="","",IFERROR(INDEX('隊員マスタ'!$B$5:$B$204,MATCH(A303&amp;"",'隊員マスタ'!$F$5:$F$204,0)),"番号なし"))</f>
        <v/>
      </c>
      <c r="C303" s="47" t="n"/>
      <c r="D303" s="47" t="n"/>
      <c r="E303" s="48" t="n"/>
      <c r="F303" s="48" t="n"/>
      <c r="G303" s="47" t="n"/>
      <c r="H303" s="47" t="n"/>
    </row>
    <row r="304">
      <c r="A304" s="52" t="n"/>
      <c r="B304" s="47">
        <f>IF(A304="","",IFERROR(INDEX('隊員マスタ'!$B$5:$B$204,MATCH(A304&amp;"",'隊員マスタ'!$F$5:$F$204,0)),"番号なし"))</f>
        <v/>
      </c>
      <c r="C304" s="47" t="n"/>
      <c r="D304" s="47" t="n"/>
      <c r="E304" s="48" t="n"/>
      <c r="F304" s="48" t="n"/>
      <c r="G304" s="47" t="n"/>
      <c r="H304" s="47" t="n"/>
    </row>
    <row r="305">
      <c r="A305" s="52" t="n"/>
      <c r="B305" s="47">
        <f>IF(A305="","",IFERROR(INDEX('隊員マスタ'!$B$5:$B$204,MATCH(A305&amp;"",'隊員マスタ'!$F$5:$F$204,0)),"番号なし"))</f>
        <v/>
      </c>
      <c r="C305" s="47" t="n"/>
      <c r="D305" s="47" t="n"/>
      <c r="E305" s="48" t="n"/>
      <c r="F305" s="48" t="n"/>
      <c r="G305" s="47" t="n"/>
      <c r="H305" s="47" t="n"/>
    </row>
    <row r="306">
      <c r="A306" s="52" t="n"/>
      <c r="B306" s="47">
        <f>IF(A306="","",IFERROR(INDEX('隊員マスタ'!$B$5:$B$204,MATCH(A306&amp;"",'隊員マスタ'!$F$5:$F$204,0)),"番号なし"))</f>
        <v/>
      </c>
      <c r="C306" s="47" t="n"/>
      <c r="D306" s="47" t="n"/>
      <c r="E306" s="48" t="n"/>
      <c r="F306" s="48" t="n"/>
      <c r="G306" s="47" t="n"/>
      <c r="H306" s="47" t="n"/>
    </row>
    <row r="307">
      <c r="A307" s="52" t="n"/>
      <c r="B307" s="47">
        <f>IF(A307="","",IFERROR(INDEX('隊員マスタ'!$B$5:$B$204,MATCH(A307&amp;"",'隊員マスタ'!$F$5:$F$204,0)),"番号なし"))</f>
        <v/>
      </c>
      <c r="C307" s="47" t="n"/>
      <c r="D307" s="47" t="n"/>
      <c r="E307" s="48" t="n"/>
      <c r="F307" s="48" t="n"/>
      <c r="G307" s="47" t="n"/>
      <c r="H307" s="47" t="n"/>
    </row>
    <row r="308">
      <c r="A308" s="52" t="n"/>
      <c r="B308" s="47">
        <f>IF(A308="","",IFERROR(INDEX('隊員マスタ'!$B$5:$B$204,MATCH(A308&amp;"",'隊員マスタ'!$F$5:$F$204,0)),"番号なし"))</f>
        <v/>
      </c>
      <c r="C308" s="47" t="n"/>
      <c r="D308" s="47" t="n"/>
      <c r="E308" s="48" t="n"/>
      <c r="F308" s="48" t="n"/>
      <c r="G308" s="47" t="n"/>
      <c r="H308" s="47" t="n"/>
    </row>
    <row r="309">
      <c r="A309" s="52" t="n"/>
      <c r="B309" s="47">
        <f>IF(A309="","",IFERROR(INDEX('隊員マスタ'!$B$5:$B$204,MATCH(A309&amp;"",'隊員マスタ'!$F$5:$F$204,0)),"番号なし"))</f>
        <v/>
      </c>
      <c r="C309" s="47" t="n"/>
      <c r="D309" s="47" t="n"/>
      <c r="E309" s="48" t="n"/>
      <c r="F309" s="48" t="n"/>
      <c r="G309" s="47" t="n"/>
      <c r="H309" s="47" t="n"/>
    </row>
    <row r="310">
      <c r="A310" s="52" t="n"/>
      <c r="B310" s="47">
        <f>IF(A310="","",IFERROR(INDEX('隊員マスタ'!$B$5:$B$204,MATCH(A310&amp;"",'隊員マスタ'!$F$5:$F$204,0)),"番号なし"))</f>
        <v/>
      </c>
      <c r="C310" s="47" t="n"/>
      <c r="D310" s="47" t="n"/>
      <c r="E310" s="48" t="n"/>
      <c r="F310" s="48" t="n"/>
      <c r="G310" s="47" t="n"/>
      <c r="H310" s="47" t="n"/>
    </row>
    <row r="311">
      <c r="A311" s="52" t="n"/>
      <c r="B311" s="47">
        <f>IF(A311="","",IFERROR(INDEX('隊員マスタ'!$B$5:$B$204,MATCH(A311&amp;"",'隊員マスタ'!$F$5:$F$204,0)),"番号なし"))</f>
        <v/>
      </c>
      <c r="C311" s="47" t="n"/>
      <c r="D311" s="47" t="n"/>
      <c r="E311" s="48" t="n"/>
      <c r="F311" s="48" t="n"/>
      <c r="G311" s="47" t="n"/>
      <c r="H311" s="47" t="n"/>
    </row>
    <row r="312">
      <c r="A312" s="52" t="n"/>
      <c r="B312" s="47">
        <f>IF(A312="","",IFERROR(INDEX('隊員マスタ'!$B$5:$B$204,MATCH(A312&amp;"",'隊員マスタ'!$F$5:$F$204,0)),"番号なし"))</f>
        <v/>
      </c>
      <c r="C312" s="47" t="n"/>
      <c r="D312" s="47" t="n"/>
      <c r="E312" s="48" t="n"/>
      <c r="F312" s="48" t="n"/>
      <c r="G312" s="47" t="n"/>
      <c r="H312" s="47" t="n"/>
    </row>
    <row r="313">
      <c r="A313" s="52" t="n"/>
      <c r="B313" s="47">
        <f>IF(A313="","",IFERROR(INDEX('隊員マスタ'!$B$5:$B$204,MATCH(A313&amp;"",'隊員マスタ'!$F$5:$F$204,0)),"番号なし"))</f>
        <v/>
      </c>
      <c r="C313" s="47" t="n"/>
      <c r="D313" s="47" t="n"/>
      <c r="E313" s="48" t="n"/>
      <c r="F313" s="48" t="n"/>
      <c r="G313" s="47" t="n"/>
      <c r="H313" s="47" t="n"/>
    </row>
    <row r="314">
      <c r="A314" s="52" t="n"/>
      <c r="B314" s="47">
        <f>IF(A314="","",IFERROR(INDEX('隊員マスタ'!$B$5:$B$204,MATCH(A314&amp;"",'隊員マスタ'!$F$5:$F$204,0)),"番号なし"))</f>
        <v/>
      </c>
      <c r="C314" s="47" t="n"/>
      <c r="D314" s="47" t="n"/>
      <c r="E314" s="48" t="n"/>
      <c r="F314" s="48" t="n"/>
      <c r="G314" s="47" t="n"/>
      <c r="H314" s="47" t="n"/>
    </row>
    <row r="315">
      <c r="A315" s="52" t="n"/>
      <c r="B315" s="47">
        <f>IF(A315="","",IFERROR(INDEX('隊員マスタ'!$B$5:$B$204,MATCH(A315&amp;"",'隊員マスタ'!$F$5:$F$204,0)),"番号なし"))</f>
        <v/>
      </c>
      <c r="C315" s="47" t="n"/>
      <c r="D315" s="47" t="n"/>
      <c r="E315" s="48" t="n"/>
      <c r="F315" s="48" t="n"/>
      <c r="G315" s="47" t="n"/>
      <c r="H315" s="47" t="n"/>
    </row>
    <row r="316">
      <c r="A316" s="52" t="n"/>
      <c r="B316" s="47">
        <f>IF(A316="","",IFERROR(INDEX('隊員マスタ'!$B$5:$B$204,MATCH(A316&amp;"",'隊員マスタ'!$F$5:$F$204,0)),"番号なし"))</f>
        <v/>
      </c>
      <c r="C316" s="47" t="n"/>
      <c r="D316" s="47" t="n"/>
      <c r="E316" s="48" t="n"/>
      <c r="F316" s="48" t="n"/>
      <c r="G316" s="47" t="n"/>
      <c r="H316" s="47" t="n"/>
    </row>
    <row r="317">
      <c r="A317" s="52" t="n"/>
      <c r="B317" s="47">
        <f>IF(A317="","",IFERROR(INDEX('隊員マスタ'!$B$5:$B$204,MATCH(A317&amp;"",'隊員マスタ'!$F$5:$F$204,0)),"番号なし"))</f>
        <v/>
      </c>
      <c r="C317" s="47" t="n"/>
      <c r="D317" s="47" t="n"/>
      <c r="E317" s="48" t="n"/>
      <c r="F317" s="48" t="n"/>
      <c r="G317" s="47" t="n"/>
      <c r="H317" s="47" t="n"/>
    </row>
    <row r="318">
      <c r="A318" s="52" t="n"/>
      <c r="B318" s="47">
        <f>IF(A318="","",IFERROR(INDEX('隊員マスタ'!$B$5:$B$204,MATCH(A318&amp;"",'隊員マスタ'!$F$5:$F$204,0)),"番号なし"))</f>
        <v/>
      </c>
      <c r="C318" s="47" t="n"/>
      <c r="D318" s="47" t="n"/>
      <c r="E318" s="48" t="n"/>
      <c r="F318" s="48" t="n"/>
      <c r="G318" s="47" t="n"/>
      <c r="H318" s="47" t="n"/>
    </row>
    <row r="319">
      <c r="A319" s="52" t="n"/>
      <c r="B319" s="47">
        <f>IF(A319="","",IFERROR(INDEX('隊員マスタ'!$B$5:$B$204,MATCH(A319&amp;"",'隊員マスタ'!$F$5:$F$204,0)),"番号なし"))</f>
        <v/>
      </c>
      <c r="C319" s="47" t="n"/>
      <c r="D319" s="47" t="n"/>
      <c r="E319" s="48" t="n"/>
      <c r="F319" s="48" t="n"/>
      <c r="G319" s="47" t="n"/>
      <c r="H319" s="47" t="n"/>
    </row>
    <row r="320">
      <c r="A320" s="52" t="n"/>
      <c r="B320" s="47">
        <f>IF(A320="","",IFERROR(INDEX('隊員マスタ'!$B$5:$B$204,MATCH(A320&amp;"",'隊員マスタ'!$F$5:$F$204,0)),"番号なし"))</f>
        <v/>
      </c>
      <c r="C320" s="47" t="n"/>
      <c r="D320" s="47" t="n"/>
      <c r="E320" s="48" t="n"/>
      <c r="F320" s="48" t="n"/>
      <c r="G320" s="47" t="n"/>
      <c r="H320" s="47" t="n"/>
    </row>
    <row r="321">
      <c r="A321" s="52" t="n"/>
      <c r="B321" s="47">
        <f>IF(A321="","",IFERROR(INDEX('隊員マスタ'!$B$5:$B$204,MATCH(A321&amp;"",'隊員マスタ'!$F$5:$F$204,0)),"番号なし"))</f>
        <v/>
      </c>
      <c r="C321" s="47" t="n"/>
      <c r="D321" s="47" t="n"/>
      <c r="E321" s="48" t="n"/>
      <c r="F321" s="48" t="n"/>
      <c r="G321" s="47" t="n"/>
      <c r="H321" s="47" t="n"/>
    </row>
    <row r="322">
      <c r="A322" s="52" t="n"/>
      <c r="B322" s="47">
        <f>IF(A322="","",IFERROR(INDEX('隊員マスタ'!$B$5:$B$204,MATCH(A322&amp;"",'隊員マスタ'!$F$5:$F$204,0)),"番号なし"))</f>
        <v/>
      </c>
      <c r="C322" s="47" t="n"/>
      <c r="D322" s="47" t="n"/>
      <c r="E322" s="48" t="n"/>
      <c r="F322" s="48" t="n"/>
      <c r="G322" s="47" t="n"/>
      <c r="H322" s="47" t="n"/>
    </row>
    <row r="323">
      <c r="A323" s="52" t="n"/>
      <c r="B323" s="47">
        <f>IF(A323="","",IFERROR(INDEX('隊員マスタ'!$B$5:$B$204,MATCH(A323&amp;"",'隊員マスタ'!$F$5:$F$204,0)),"番号なし"))</f>
        <v/>
      </c>
      <c r="C323" s="47" t="n"/>
      <c r="D323" s="47" t="n"/>
      <c r="E323" s="48" t="n"/>
      <c r="F323" s="48" t="n"/>
      <c r="G323" s="47" t="n"/>
      <c r="H323" s="47" t="n"/>
    </row>
    <row r="324">
      <c r="A324" s="52" t="n"/>
      <c r="B324" s="47">
        <f>IF(A324="","",IFERROR(INDEX('隊員マスタ'!$B$5:$B$204,MATCH(A324&amp;"",'隊員マスタ'!$F$5:$F$204,0)),"番号なし"))</f>
        <v/>
      </c>
      <c r="C324" s="47" t="n"/>
      <c r="D324" s="47" t="n"/>
      <c r="E324" s="48" t="n"/>
      <c r="F324" s="48" t="n"/>
      <c r="G324" s="47" t="n"/>
      <c r="H324" s="47" t="n"/>
    </row>
    <row r="325">
      <c r="A325" s="52" t="n"/>
      <c r="B325" s="47">
        <f>IF(A325="","",IFERROR(INDEX('隊員マスタ'!$B$5:$B$204,MATCH(A325&amp;"",'隊員マスタ'!$F$5:$F$204,0)),"番号なし"))</f>
        <v/>
      </c>
      <c r="C325" s="47" t="n"/>
      <c r="D325" s="47" t="n"/>
      <c r="E325" s="48" t="n"/>
      <c r="F325" s="48" t="n"/>
      <c r="G325" s="47" t="n"/>
      <c r="H325" s="47" t="n"/>
    </row>
    <row r="326">
      <c r="A326" s="52" t="n"/>
      <c r="B326" s="47">
        <f>IF(A326="","",IFERROR(INDEX('隊員マスタ'!$B$5:$B$204,MATCH(A326&amp;"",'隊員マスタ'!$F$5:$F$204,0)),"番号なし"))</f>
        <v/>
      </c>
      <c r="C326" s="47" t="n"/>
      <c r="D326" s="47" t="n"/>
      <c r="E326" s="48" t="n"/>
      <c r="F326" s="48" t="n"/>
      <c r="G326" s="47" t="n"/>
      <c r="H326" s="47" t="n"/>
    </row>
    <row r="327">
      <c r="A327" s="52" t="n"/>
      <c r="B327" s="47">
        <f>IF(A327="","",IFERROR(INDEX('隊員マスタ'!$B$5:$B$204,MATCH(A327&amp;"",'隊員マスタ'!$F$5:$F$204,0)),"番号なし"))</f>
        <v/>
      </c>
      <c r="C327" s="47" t="n"/>
      <c r="D327" s="47" t="n"/>
      <c r="E327" s="48" t="n"/>
      <c r="F327" s="48" t="n"/>
      <c r="G327" s="47" t="n"/>
      <c r="H327" s="47" t="n"/>
    </row>
    <row r="328">
      <c r="A328" s="52" t="n"/>
      <c r="B328" s="47">
        <f>IF(A328="","",IFERROR(INDEX('隊員マスタ'!$B$5:$B$204,MATCH(A328&amp;"",'隊員マスタ'!$F$5:$F$204,0)),"番号なし"))</f>
        <v/>
      </c>
      <c r="C328" s="47" t="n"/>
      <c r="D328" s="47" t="n"/>
      <c r="E328" s="48" t="n"/>
      <c r="F328" s="48" t="n"/>
      <c r="G328" s="47" t="n"/>
      <c r="H328" s="47" t="n"/>
    </row>
    <row r="329">
      <c r="A329" s="52" t="n"/>
      <c r="B329" s="47">
        <f>IF(A329="","",IFERROR(INDEX('隊員マスタ'!$B$5:$B$204,MATCH(A329&amp;"",'隊員マスタ'!$F$5:$F$204,0)),"番号なし"))</f>
        <v/>
      </c>
      <c r="C329" s="47" t="n"/>
      <c r="D329" s="47" t="n"/>
      <c r="E329" s="48" t="n"/>
      <c r="F329" s="48" t="n"/>
      <c r="G329" s="47" t="n"/>
      <c r="H329" s="47" t="n"/>
    </row>
    <row r="330">
      <c r="A330" s="52" t="n"/>
      <c r="B330" s="47">
        <f>IF(A330="","",IFERROR(INDEX('隊員マスタ'!$B$5:$B$204,MATCH(A330&amp;"",'隊員マスタ'!$F$5:$F$204,0)),"番号なし"))</f>
        <v/>
      </c>
      <c r="C330" s="47" t="n"/>
      <c r="D330" s="47" t="n"/>
      <c r="E330" s="48" t="n"/>
      <c r="F330" s="48" t="n"/>
      <c r="G330" s="47" t="n"/>
      <c r="H330" s="47" t="n"/>
    </row>
    <row r="331">
      <c r="A331" s="52" t="n"/>
      <c r="B331" s="47">
        <f>IF(A331="","",IFERROR(INDEX('隊員マスタ'!$B$5:$B$204,MATCH(A331&amp;"",'隊員マスタ'!$F$5:$F$204,0)),"番号なし"))</f>
        <v/>
      </c>
      <c r="C331" s="47" t="n"/>
      <c r="D331" s="47" t="n"/>
      <c r="E331" s="48" t="n"/>
      <c r="F331" s="48" t="n"/>
      <c r="G331" s="47" t="n"/>
      <c r="H331" s="47" t="n"/>
    </row>
    <row r="332">
      <c r="A332" s="52" t="n"/>
      <c r="B332" s="47">
        <f>IF(A332="","",IFERROR(INDEX('隊員マスタ'!$B$5:$B$204,MATCH(A332&amp;"",'隊員マスタ'!$F$5:$F$204,0)),"番号なし"))</f>
        <v/>
      </c>
      <c r="C332" s="47" t="n"/>
      <c r="D332" s="47" t="n"/>
      <c r="E332" s="48" t="n"/>
      <c r="F332" s="48" t="n"/>
      <c r="G332" s="47" t="n"/>
      <c r="H332" s="47" t="n"/>
    </row>
    <row r="333">
      <c r="A333" s="52" t="n"/>
      <c r="B333" s="47">
        <f>IF(A333="","",IFERROR(INDEX('隊員マスタ'!$B$5:$B$204,MATCH(A333&amp;"",'隊員マスタ'!$F$5:$F$204,0)),"番号なし"))</f>
        <v/>
      </c>
      <c r="C333" s="47" t="n"/>
      <c r="D333" s="47" t="n"/>
      <c r="E333" s="48" t="n"/>
      <c r="F333" s="48" t="n"/>
      <c r="G333" s="47" t="n"/>
      <c r="H333" s="47" t="n"/>
    </row>
    <row r="334">
      <c r="A334" s="52" t="n"/>
      <c r="B334" s="47">
        <f>IF(A334="","",IFERROR(INDEX('隊員マスタ'!$B$5:$B$204,MATCH(A334&amp;"",'隊員マスタ'!$F$5:$F$204,0)),"番号なし"))</f>
        <v/>
      </c>
      <c r="C334" s="47" t="n"/>
      <c r="D334" s="47" t="n"/>
      <c r="E334" s="48" t="n"/>
      <c r="F334" s="48" t="n"/>
      <c r="G334" s="47" t="n"/>
      <c r="H334" s="47" t="n"/>
    </row>
    <row r="335">
      <c r="A335" s="52" t="n"/>
      <c r="B335" s="47">
        <f>IF(A335="","",IFERROR(INDEX('隊員マスタ'!$B$5:$B$204,MATCH(A335&amp;"",'隊員マスタ'!$F$5:$F$204,0)),"番号なし"))</f>
        <v/>
      </c>
      <c r="C335" s="47" t="n"/>
      <c r="D335" s="47" t="n"/>
      <c r="E335" s="48" t="n"/>
      <c r="F335" s="48" t="n"/>
      <c r="G335" s="47" t="n"/>
      <c r="H335" s="47" t="n"/>
    </row>
    <row r="336">
      <c r="A336" s="52" t="n"/>
      <c r="B336" s="47">
        <f>IF(A336="","",IFERROR(INDEX('隊員マスタ'!$B$5:$B$204,MATCH(A336&amp;"",'隊員マスタ'!$F$5:$F$204,0)),"番号なし"))</f>
        <v/>
      </c>
      <c r="C336" s="47" t="n"/>
      <c r="D336" s="47" t="n"/>
      <c r="E336" s="48" t="n"/>
      <c r="F336" s="48" t="n"/>
      <c r="G336" s="47" t="n"/>
      <c r="H336" s="47" t="n"/>
    </row>
    <row r="337">
      <c r="A337" s="52" t="n"/>
      <c r="B337" s="47">
        <f>IF(A337="","",IFERROR(INDEX('隊員マスタ'!$B$5:$B$204,MATCH(A337&amp;"",'隊員マスタ'!$F$5:$F$204,0)),"番号なし"))</f>
        <v/>
      </c>
      <c r="C337" s="47" t="n"/>
      <c r="D337" s="47" t="n"/>
      <c r="E337" s="48" t="n"/>
      <c r="F337" s="48" t="n"/>
      <c r="G337" s="47" t="n"/>
      <c r="H337" s="47" t="n"/>
    </row>
    <row r="338">
      <c r="A338" s="52" t="n"/>
      <c r="B338" s="47">
        <f>IF(A338="","",IFERROR(INDEX('隊員マスタ'!$B$5:$B$204,MATCH(A338&amp;"",'隊員マスタ'!$F$5:$F$204,0)),"番号なし"))</f>
        <v/>
      </c>
      <c r="C338" s="47" t="n"/>
      <c r="D338" s="47" t="n"/>
      <c r="E338" s="48" t="n"/>
      <c r="F338" s="48" t="n"/>
      <c r="G338" s="47" t="n"/>
      <c r="H338" s="47" t="n"/>
    </row>
    <row r="339">
      <c r="A339" s="52" t="n"/>
      <c r="B339" s="47">
        <f>IF(A339="","",IFERROR(INDEX('隊員マスタ'!$B$5:$B$204,MATCH(A339&amp;"",'隊員マスタ'!$F$5:$F$204,0)),"番号なし"))</f>
        <v/>
      </c>
      <c r="C339" s="47" t="n"/>
      <c r="D339" s="47" t="n"/>
      <c r="E339" s="48" t="n"/>
      <c r="F339" s="48" t="n"/>
      <c r="G339" s="47" t="n"/>
      <c r="H339" s="47" t="n"/>
    </row>
    <row r="340">
      <c r="A340" s="52" t="n"/>
      <c r="B340" s="47">
        <f>IF(A340="","",IFERROR(INDEX('隊員マスタ'!$B$5:$B$204,MATCH(A340&amp;"",'隊員マスタ'!$F$5:$F$204,0)),"番号なし"))</f>
        <v/>
      </c>
      <c r="C340" s="47" t="n"/>
      <c r="D340" s="47" t="n"/>
      <c r="E340" s="48" t="n"/>
      <c r="F340" s="48" t="n"/>
      <c r="G340" s="47" t="n"/>
      <c r="H340" s="47" t="n"/>
    </row>
    <row r="341">
      <c r="A341" s="52" t="n"/>
      <c r="B341" s="47">
        <f>IF(A341="","",IFERROR(INDEX('隊員マスタ'!$B$5:$B$204,MATCH(A341&amp;"",'隊員マスタ'!$F$5:$F$204,0)),"番号なし"))</f>
        <v/>
      </c>
      <c r="C341" s="47" t="n"/>
      <c r="D341" s="47" t="n"/>
      <c r="E341" s="48" t="n"/>
      <c r="F341" s="48" t="n"/>
      <c r="G341" s="47" t="n"/>
      <c r="H341" s="47" t="n"/>
    </row>
    <row r="342">
      <c r="A342" s="52" t="n"/>
      <c r="B342" s="47">
        <f>IF(A342="","",IFERROR(INDEX('隊員マスタ'!$B$5:$B$204,MATCH(A342&amp;"",'隊員マスタ'!$F$5:$F$204,0)),"番号なし"))</f>
        <v/>
      </c>
      <c r="C342" s="47" t="n"/>
      <c r="D342" s="47" t="n"/>
      <c r="E342" s="48" t="n"/>
      <c r="F342" s="48" t="n"/>
      <c r="G342" s="47" t="n"/>
      <c r="H342" s="47" t="n"/>
    </row>
    <row r="343">
      <c r="A343" s="52" t="n"/>
      <c r="B343" s="47">
        <f>IF(A343="","",IFERROR(INDEX('隊員マスタ'!$B$5:$B$204,MATCH(A343&amp;"",'隊員マスタ'!$F$5:$F$204,0)),"番号なし"))</f>
        <v/>
      </c>
      <c r="C343" s="47" t="n"/>
      <c r="D343" s="47" t="n"/>
      <c r="E343" s="48" t="n"/>
      <c r="F343" s="48" t="n"/>
      <c r="G343" s="47" t="n"/>
      <c r="H343" s="47" t="n"/>
    </row>
    <row r="344">
      <c r="A344" s="52" t="n"/>
      <c r="B344" s="47">
        <f>IF(A344="","",IFERROR(INDEX('隊員マスタ'!$B$5:$B$204,MATCH(A344&amp;"",'隊員マスタ'!$F$5:$F$204,0)),"番号なし"))</f>
        <v/>
      </c>
      <c r="C344" s="47" t="n"/>
      <c r="D344" s="47" t="n"/>
      <c r="E344" s="48" t="n"/>
      <c r="F344" s="48" t="n"/>
      <c r="G344" s="47" t="n"/>
      <c r="H344" s="47" t="n"/>
    </row>
    <row r="345">
      <c r="A345" s="52" t="n"/>
      <c r="B345" s="47">
        <f>IF(A345="","",IFERROR(INDEX('隊員マスタ'!$B$5:$B$204,MATCH(A345&amp;"",'隊員マスタ'!$F$5:$F$204,0)),"番号なし"))</f>
        <v/>
      </c>
      <c r="C345" s="47" t="n"/>
      <c r="D345" s="47" t="n"/>
      <c r="E345" s="48" t="n"/>
      <c r="F345" s="48" t="n"/>
      <c r="G345" s="47" t="n"/>
      <c r="H345" s="47" t="n"/>
    </row>
    <row r="346">
      <c r="A346" s="52" t="n"/>
      <c r="B346" s="47">
        <f>IF(A346="","",IFERROR(INDEX('隊員マスタ'!$B$5:$B$204,MATCH(A346&amp;"",'隊員マスタ'!$F$5:$F$204,0)),"番号なし"))</f>
        <v/>
      </c>
      <c r="C346" s="47" t="n"/>
      <c r="D346" s="47" t="n"/>
      <c r="E346" s="48" t="n"/>
      <c r="F346" s="48" t="n"/>
      <c r="G346" s="47" t="n"/>
      <c r="H346" s="47" t="n"/>
    </row>
    <row r="347">
      <c r="A347" s="52" t="n"/>
      <c r="B347" s="47">
        <f>IF(A347="","",IFERROR(INDEX('隊員マスタ'!$B$5:$B$204,MATCH(A347&amp;"",'隊員マスタ'!$F$5:$F$204,0)),"番号なし"))</f>
        <v/>
      </c>
      <c r="C347" s="47" t="n"/>
      <c r="D347" s="47" t="n"/>
      <c r="E347" s="48" t="n"/>
      <c r="F347" s="48" t="n"/>
      <c r="G347" s="47" t="n"/>
      <c r="H347" s="47" t="n"/>
    </row>
    <row r="348">
      <c r="A348" s="52" t="n"/>
      <c r="B348" s="47">
        <f>IF(A348="","",IFERROR(INDEX('隊員マスタ'!$B$5:$B$204,MATCH(A348&amp;"",'隊員マスタ'!$F$5:$F$204,0)),"番号なし"))</f>
        <v/>
      </c>
      <c r="C348" s="47" t="n"/>
      <c r="D348" s="47" t="n"/>
      <c r="E348" s="48" t="n"/>
      <c r="F348" s="48" t="n"/>
      <c r="G348" s="47" t="n"/>
      <c r="H348" s="47" t="n"/>
    </row>
    <row r="349">
      <c r="A349" s="52" t="n"/>
      <c r="B349" s="47">
        <f>IF(A349="","",IFERROR(INDEX('隊員マスタ'!$B$5:$B$204,MATCH(A349&amp;"",'隊員マスタ'!$F$5:$F$204,0)),"番号なし"))</f>
        <v/>
      </c>
      <c r="C349" s="47" t="n"/>
      <c r="D349" s="47" t="n"/>
      <c r="E349" s="48" t="n"/>
      <c r="F349" s="48" t="n"/>
      <c r="G349" s="47" t="n"/>
      <c r="H349" s="47" t="n"/>
    </row>
    <row r="350">
      <c r="A350" s="52" t="n"/>
      <c r="B350" s="47">
        <f>IF(A350="","",IFERROR(INDEX('隊員マスタ'!$B$5:$B$204,MATCH(A350&amp;"",'隊員マスタ'!$F$5:$F$204,0)),"番号なし"))</f>
        <v/>
      </c>
      <c r="C350" s="47" t="n"/>
      <c r="D350" s="47" t="n"/>
      <c r="E350" s="48" t="n"/>
      <c r="F350" s="48" t="n"/>
      <c r="G350" s="47" t="n"/>
      <c r="H350" s="47" t="n"/>
    </row>
    <row r="351">
      <c r="A351" s="52" t="n"/>
      <c r="B351" s="47">
        <f>IF(A351="","",IFERROR(INDEX('隊員マスタ'!$B$5:$B$204,MATCH(A351&amp;"",'隊員マスタ'!$F$5:$F$204,0)),"番号なし"))</f>
        <v/>
      </c>
      <c r="C351" s="47" t="n"/>
      <c r="D351" s="47" t="n"/>
      <c r="E351" s="48" t="n"/>
      <c r="F351" s="48" t="n"/>
      <c r="G351" s="47" t="n"/>
      <c r="H351" s="47" t="n"/>
    </row>
    <row r="352">
      <c r="A352" s="52" t="n"/>
      <c r="B352" s="47">
        <f>IF(A352="","",IFERROR(INDEX('隊員マスタ'!$B$5:$B$204,MATCH(A352&amp;"",'隊員マスタ'!$F$5:$F$204,0)),"番号なし"))</f>
        <v/>
      </c>
      <c r="C352" s="47" t="n"/>
      <c r="D352" s="47" t="n"/>
      <c r="E352" s="48" t="n"/>
      <c r="F352" s="48" t="n"/>
      <c r="G352" s="47" t="n"/>
      <c r="H352" s="47" t="n"/>
    </row>
    <row r="353">
      <c r="A353" s="52" t="n"/>
      <c r="B353" s="47">
        <f>IF(A353="","",IFERROR(INDEX('隊員マスタ'!$B$5:$B$204,MATCH(A353&amp;"",'隊員マスタ'!$F$5:$F$204,0)),"番号なし"))</f>
        <v/>
      </c>
      <c r="C353" s="47" t="n"/>
      <c r="D353" s="47" t="n"/>
      <c r="E353" s="48" t="n"/>
      <c r="F353" s="48" t="n"/>
      <c r="G353" s="47" t="n"/>
      <c r="H353" s="47" t="n"/>
    </row>
    <row r="354">
      <c r="A354" s="52" t="n"/>
      <c r="B354" s="47">
        <f>IF(A354="","",IFERROR(INDEX('隊員マスタ'!$B$5:$B$204,MATCH(A354&amp;"",'隊員マスタ'!$F$5:$F$204,0)),"番号なし"))</f>
        <v/>
      </c>
      <c r="C354" s="47" t="n"/>
      <c r="D354" s="47" t="n"/>
      <c r="E354" s="48" t="n"/>
      <c r="F354" s="48" t="n"/>
      <c r="G354" s="47" t="n"/>
      <c r="H354" s="47" t="n"/>
    </row>
    <row r="355">
      <c r="A355" s="52" t="n"/>
      <c r="B355" s="47">
        <f>IF(A355="","",IFERROR(INDEX('隊員マスタ'!$B$5:$B$204,MATCH(A355&amp;"",'隊員マスタ'!$F$5:$F$204,0)),"番号なし"))</f>
        <v/>
      </c>
      <c r="C355" s="47" t="n"/>
      <c r="D355" s="47" t="n"/>
      <c r="E355" s="48" t="n"/>
      <c r="F355" s="48" t="n"/>
      <c r="G355" s="47" t="n"/>
      <c r="H355" s="47" t="n"/>
    </row>
    <row r="356">
      <c r="A356" s="52" t="n"/>
      <c r="B356" s="47">
        <f>IF(A356="","",IFERROR(INDEX('隊員マスタ'!$B$5:$B$204,MATCH(A356&amp;"",'隊員マスタ'!$F$5:$F$204,0)),"番号なし"))</f>
        <v/>
      </c>
      <c r="C356" s="47" t="n"/>
      <c r="D356" s="47" t="n"/>
      <c r="E356" s="48" t="n"/>
      <c r="F356" s="48" t="n"/>
      <c r="G356" s="47" t="n"/>
      <c r="H356" s="47" t="n"/>
    </row>
    <row r="357">
      <c r="A357" s="52" t="n"/>
      <c r="B357" s="47">
        <f>IF(A357="","",IFERROR(INDEX('隊員マスタ'!$B$5:$B$204,MATCH(A357&amp;"",'隊員マスタ'!$F$5:$F$204,0)),"番号なし"))</f>
        <v/>
      </c>
      <c r="C357" s="47" t="n"/>
      <c r="D357" s="47" t="n"/>
      <c r="E357" s="48" t="n"/>
      <c r="F357" s="48" t="n"/>
      <c r="G357" s="47" t="n"/>
      <c r="H357" s="47" t="n"/>
    </row>
    <row r="358">
      <c r="A358" s="52" t="n"/>
      <c r="B358" s="47">
        <f>IF(A358="","",IFERROR(INDEX('隊員マスタ'!$B$5:$B$204,MATCH(A358&amp;"",'隊員マスタ'!$F$5:$F$204,0)),"番号なし"))</f>
        <v/>
      </c>
      <c r="C358" s="47" t="n"/>
      <c r="D358" s="47" t="n"/>
      <c r="E358" s="48" t="n"/>
      <c r="F358" s="48" t="n"/>
      <c r="G358" s="47" t="n"/>
      <c r="H358" s="47" t="n"/>
    </row>
    <row r="359">
      <c r="A359" s="52" t="n"/>
      <c r="B359" s="47">
        <f>IF(A359="","",IFERROR(INDEX('隊員マスタ'!$B$5:$B$204,MATCH(A359&amp;"",'隊員マスタ'!$F$5:$F$204,0)),"番号なし"))</f>
        <v/>
      </c>
      <c r="C359" s="47" t="n"/>
      <c r="D359" s="47" t="n"/>
      <c r="E359" s="48" t="n"/>
      <c r="F359" s="48" t="n"/>
      <c r="G359" s="47" t="n"/>
      <c r="H359" s="47" t="n"/>
    </row>
    <row r="360">
      <c r="A360" s="52" t="n"/>
      <c r="B360" s="47">
        <f>IF(A360="","",IFERROR(INDEX('隊員マスタ'!$B$5:$B$204,MATCH(A360&amp;"",'隊員マスタ'!$F$5:$F$204,0)),"番号なし"))</f>
        <v/>
      </c>
      <c r="C360" s="47" t="n"/>
      <c r="D360" s="47" t="n"/>
      <c r="E360" s="48" t="n"/>
      <c r="F360" s="48" t="n"/>
      <c r="G360" s="47" t="n"/>
      <c r="H360" s="47" t="n"/>
    </row>
    <row r="361">
      <c r="A361" s="52" t="n"/>
      <c r="B361" s="47">
        <f>IF(A361="","",IFERROR(INDEX('隊員マスタ'!$B$5:$B$204,MATCH(A361&amp;"",'隊員マスタ'!$F$5:$F$204,0)),"番号なし"))</f>
        <v/>
      </c>
      <c r="C361" s="47" t="n"/>
      <c r="D361" s="47" t="n"/>
      <c r="E361" s="48" t="n"/>
      <c r="F361" s="48" t="n"/>
      <c r="G361" s="47" t="n"/>
      <c r="H361" s="47" t="n"/>
    </row>
    <row r="362">
      <c r="A362" s="52" t="n"/>
      <c r="B362" s="47">
        <f>IF(A362="","",IFERROR(INDEX('隊員マスタ'!$B$5:$B$204,MATCH(A362&amp;"",'隊員マスタ'!$F$5:$F$204,0)),"番号なし"))</f>
        <v/>
      </c>
      <c r="C362" s="47" t="n"/>
      <c r="D362" s="47" t="n"/>
      <c r="E362" s="48" t="n"/>
      <c r="F362" s="48" t="n"/>
      <c r="G362" s="47" t="n"/>
      <c r="H362" s="47" t="n"/>
    </row>
    <row r="363">
      <c r="A363" s="52" t="n"/>
      <c r="B363" s="47">
        <f>IF(A363="","",IFERROR(INDEX('隊員マスタ'!$B$5:$B$204,MATCH(A363&amp;"",'隊員マスタ'!$F$5:$F$204,0)),"番号なし"))</f>
        <v/>
      </c>
      <c r="C363" s="47" t="n"/>
      <c r="D363" s="47" t="n"/>
      <c r="E363" s="48" t="n"/>
      <c r="F363" s="48" t="n"/>
      <c r="G363" s="47" t="n"/>
      <c r="H363" s="47" t="n"/>
    </row>
    <row r="364">
      <c r="A364" s="52" t="n"/>
      <c r="B364" s="47">
        <f>IF(A364="","",IFERROR(INDEX('隊員マスタ'!$B$5:$B$204,MATCH(A364&amp;"",'隊員マスタ'!$F$5:$F$204,0)),"番号なし"))</f>
        <v/>
      </c>
      <c r="C364" s="47" t="n"/>
      <c r="D364" s="47" t="n"/>
      <c r="E364" s="48" t="n"/>
      <c r="F364" s="48" t="n"/>
      <c r="G364" s="47" t="n"/>
      <c r="H364" s="47" t="n"/>
    </row>
    <row r="365">
      <c r="A365" s="52" t="n"/>
      <c r="B365" s="47">
        <f>IF(A365="","",IFERROR(INDEX('隊員マスタ'!$B$5:$B$204,MATCH(A365&amp;"",'隊員マスタ'!$F$5:$F$204,0)),"番号なし"))</f>
        <v/>
      </c>
      <c r="C365" s="47" t="n"/>
      <c r="D365" s="47" t="n"/>
      <c r="E365" s="48" t="n"/>
      <c r="F365" s="48" t="n"/>
      <c r="G365" s="47" t="n"/>
      <c r="H365" s="47" t="n"/>
    </row>
    <row r="366">
      <c r="A366" s="52" t="n"/>
      <c r="B366" s="47">
        <f>IF(A366="","",IFERROR(INDEX('隊員マスタ'!$B$5:$B$204,MATCH(A366&amp;"",'隊員マスタ'!$F$5:$F$204,0)),"番号なし"))</f>
        <v/>
      </c>
      <c r="C366" s="47" t="n"/>
      <c r="D366" s="47" t="n"/>
      <c r="E366" s="48" t="n"/>
      <c r="F366" s="48" t="n"/>
      <c r="G366" s="47" t="n"/>
      <c r="H366" s="47" t="n"/>
    </row>
    <row r="367">
      <c r="A367" s="52" t="n"/>
      <c r="B367" s="47">
        <f>IF(A367="","",IFERROR(INDEX('隊員マスタ'!$B$5:$B$204,MATCH(A367&amp;"",'隊員マスタ'!$F$5:$F$204,0)),"番号なし"))</f>
        <v/>
      </c>
      <c r="C367" s="47" t="n"/>
      <c r="D367" s="47" t="n"/>
      <c r="E367" s="48" t="n"/>
      <c r="F367" s="48" t="n"/>
      <c r="G367" s="47" t="n"/>
      <c r="H367" s="47" t="n"/>
    </row>
    <row r="368">
      <c r="A368" s="52" t="n"/>
      <c r="B368" s="47">
        <f>IF(A368="","",IFERROR(INDEX('隊員マスタ'!$B$5:$B$204,MATCH(A368&amp;"",'隊員マスタ'!$F$5:$F$204,0)),"番号なし"))</f>
        <v/>
      </c>
      <c r="C368" s="47" t="n"/>
      <c r="D368" s="47" t="n"/>
      <c r="E368" s="48" t="n"/>
      <c r="F368" s="48" t="n"/>
      <c r="G368" s="47" t="n"/>
      <c r="H368" s="47" t="n"/>
    </row>
    <row r="369">
      <c r="A369" s="52" t="n"/>
      <c r="B369" s="47">
        <f>IF(A369="","",IFERROR(INDEX('隊員マスタ'!$B$5:$B$204,MATCH(A369&amp;"",'隊員マスタ'!$F$5:$F$204,0)),"番号なし"))</f>
        <v/>
      </c>
      <c r="C369" s="47" t="n"/>
      <c r="D369" s="47" t="n"/>
      <c r="E369" s="48" t="n"/>
      <c r="F369" s="48" t="n"/>
      <c r="G369" s="47" t="n"/>
      <c r="H369" s="47" t="n"/>
    </row>
    <row r="370">
      <c r="A370" s="52" t="n"/>
      <c r="B370" s="47">
        <f>IF(A370="","",IFERROR(INDEX('隊員マスタ'!$B$5:$B$204,MATCH(A370&amp;"",'隊員マスタ'!$F$5:$F$204,0)),"番号なし"))</f>
        <v/>
      </c>
      <c r="C370" s="47" t="n"/>
      <c r="D370" s="47" t="n"/>
      <c r="E370" s="48" t="n"/>
      <c r="F370" s="48" t="n"/>
      <c r="G370" s="47" t="n"/>
      <c r="H370" s="47" t="n"/>
    </row>
    <row r="371">
      <c r="A371" s="52" t="n"/>
      <c r="B371" s="47">
        <f>IF(A371="","",IFERROR(INDEX('隊員マスタ'!$B$5:$B$204,MATCH(A371&amp;"",'隊員マスタ'!$F$5:$F$204,0)),"番号なし"))</f>
        <v/>
      </c>
      <c r="C371" s="47" t="n"/>
      <c r="D371" s="47" t="n"/>
      <c r="E371" s="48" t="n"/>
      <c r="F371" s="48" t="n"/>
      <c r="G371" s="47" t="n"/>
      <c r="H371" s="47" t="n"/>
    </row>
    <row r="372">
      <c r="A372" s="52" t="n"/>
      <c r="B372" s="47">
        <f>IF(A372="","",IFERROR(INDEX('隊員マスタ'!$B$5:$B$204,MATCH(A372&amp;"",'隊員マスタ'!$F$5:$F$204,0)),"番号なし"))</f>
        <v/>
      </c>
      <c r="C372" s="47" t="n"/>
      <c r="D372" s="47" t="n"/>
      <c r="E372" s="48" t="n"/>
      <c r="F372" s="48" t="n"/>
      <c r="G372" s="47" t="n"/>
      <c r="H372" s="47" t="n"/>
    </row>
    <row r="373">
      <c r="A373" s="52" t="n"/>
      <c r="B373" s="47">
        <f>IF(A373="","",IFERROR(INDEX('隊員マスタ'!$B$5:$B$204,MATCH(A373&amp;"",'隊員マスタ'!$F$5:$F$204,0)),"番号なし"))</f>
        <v/>
      </c>
      <c r="C373" s="47" t="n"/>
      <c r="D373" s="47" t="n"/>
      <c r="E373" s="48" t="n"/>
      <c r="F373" s="48" t="n"/>
      <c r="G373" s="47" t="n"/>
      <c r="H373" s="47" t="n"/>
    </row>
    <row r="374">
      <c r="A374" s="52" t="n"/>
      <c r="B374" s="47">
        <f>IF(A374="","",IFERROR(INDEX('隊員マスタ'!$B$5:$B$204,MATCH(A374&amp;"",'隊員マスタ'!$F$5:$F$204,0)),"番号なし"))</f>
        <v/>
      </c>
      <c r="C374" s="47" t="n"/>
      <c r="D374" s="47" t="n"/>
      <c r="E374" s="48" t="n"/>
      <c r="F374" s="48" t="n"/>
      <c r="G374" s="47" t="n"/>
      <c r="H374" s="47" t="n"/>
    </row>
    <row r="375">
      <c r="A375" s="52" t="n"/>
      <c r="B375" s="47">
        <f>IF(A375="","",IFERROR(INDEX('隊員マスタ'!$B$5:$B$204,MATCH(A375&amp;"",'隊員マスタ'!$F$5:$F$204,0)),"番号なし"))</f>
        <v/>
      </c>
      <c r="C375" s="47" t="n"/>
      <c r="D375" s="47" t="n"/>
      <c r="E375" s="48" t="n"/>
      <c r="F375" s="48" t="n"/>
      <c r="G375" s="47" t="n"/>
      <c r="H375" s="47" t="n"/>
    </row>
    <row r="376">
      <c r="A376" s="52" t="n"/>
      <c r="B376" s="47">
        <f>IF(A376="","",IFERROR(INDEX('隊員マスタ'!$B$5:$B$204,MATCH(A376&amp;"",'隊員マスタ'!$F$5:$F$204,0)),"番号なし"))</f>
        <v/>
      </c>
      <c r="C376" s="47" t="n"/>
      <c r="D376" s="47" t="n"/>
      <c r="E376" s="48" t="n"/>
      <c r="F376" s="48" t="n"/>
      <c r="G376" s="47" t="n"/>
      <c r="H376" s="47" t="n"/>
    </row>
    <row r="377">
      <c r="A377" s="52" t="n"/>
      <c r="B377" s="47">
        <f>IF(A377="","",IFERROR(INDEX('隊員マスタ'!$B$5:$B$204,MATCH(A377&amp;"",'隊員マスタ'!$F$5:$F$204,0)),"番号なし"))</f>
        <v/>
      </c>
      <c r="C377" s="47" t="n"/>
      <c r="D377" s="47" t="n"/>
      <c r="E377" s="48" t="n"/>
      <c r="F377" s="48" t="n"/>
      <c r="G377" s="47" t="n"/>
      <c r="H377" s="47" t="n"/>
    </row>
    <row r="378">
      <c r="A378" s="52" t="n"/>
      <c r="B378" s="47">
        <f>IF(A378="","",IFERROR(INDEX('隊員マスタ'!$B$5:$B$204,MATCH(A378&amp;"",'隊員マスタ'!$F$5:$F$204,0)),"番号なし"))</f>
        <v/>
      </c>
      <c r="C378" s="47" t="n"/>
      <c r="D378" s="47" t="n"/>
      <c r="E378" s="48" t="n"/>
      <c r="F378" s="48" t="n"/>
      <c r="G378" s="47" t="n"/>
      <c r="H378" s="47" t="n"/>
    </row>
    <row r="379">
      <c r="A379" s="52" t="n"/>
      <c r="B379" s="47">
        <f>IF(A379="","",IFERROR(INDEX('隊員マスタ'!$B$5:$B$204,MATCH(A379&amp;"",'隊員マスタ'!$F$5:$F$204,0)),"番号なし"))</f>
        <v/>
      </c>
      <c r="C379" s="47" t="n"/>
      <c r="D379" s="47" t="n"/>
      <c r="E379" s="48" t="n"/>
      <c r="F379" s="48" t="n"/>
      <c r="G379" s="47" t="n"/>
      <c r="H379" s="47" t="n"/>
    </row>
    <row r="380">
      <c r="A380" s="52" t="n"/>
      <c r="B380" s="47">
        <f>IF(A380="","",IFERROR(INDEX('隊員マスタ'!$B$5:$B$204,MATCH(A380&amp;"",'隊員マスタ'!$F$5:$F$204,0)),"番号なし"))</f>
        <v/>
      </c>
      <c r="C380" s="47" t="n"/>
      <c r="D380" s="47" t="n"/>
      <c r="E380" s="48" t="n"/>
      <c r="F380" s="48" t="n"/>
      <c r="G380" s="47" t="n"/>
      <c r="H380" s="47" t="n"/>
    </row>
    <row r="381">
      <c r="A381" s="52" t="n"/>
      <c r="B381" s="47">
        <f>IF(A381="","",IFERROR(INDEX('隊員マスタ'!$B$5:$B$204,MATCH(A381&amp;"",'隊員マスタ'!$F$5:$F$204,0)),"番号なし"))</f>
        <v/>
      </c>
      <c r="C381" s="47" t="n"/>
      <c r="D381" s="47" t="n"/>
      <c r="E381" s="48" t="n"/>
      <c r="F381" s="48" t="n"/>
      <c r="G381" s="47" t="n"/>
      <c r="H381" s="47" t="n"/>
    </row>
    <row r="382">
      <c r="A382" s="52" t="n"/>
      <c r="B382" s="47">
        <f>IF(A382="","",IFERROR(INDEX('隊員マスタ'!$B$5:$B$204,MATCH(A382&amp;"",'隊員マスタ'!$F$5:$F$204,0)),"番号なし"))</f>
        <v/>
      </c>
      <c r="C382" s="47" t="n"/>
      <c r="D382" s="47" t="n"/>
      <c r="E382" s="48" t="n"/>
      <c r="F382" s="48" t="n"/>
      <c r="G382" s="47" t="n"/>
      <c r="H382" s="47" t="n"/>
    </row>
    <row r="383">
      <c r="A383" s="52" t="n"/>
      <c r="B383" s="47">
        <f>IF(A383="","",IFERROR(INDEX('隊員マスタ'!$B$5:$B$204,MATCH(A383&amp;"",'隊員マスタ'!$F$5:$F$204,0)),"番号なし"))</f>
        <v/>
      </c>
      <c r="C383" s="47" t="n"/>
      <c r="D383" s="47" t="n"/>
      <c r="E383" s="48" t="n"/>
      <c r="F383" s="48" t="n"/>
      <c r="G383" s="47" t="n"/>
      <c r="H383" s="47" t="n"/>
    </row>
    <row r="384">
      <c r="A384" s="52" t="n"/>
      <c r="B384" s="47">
        <f>IF(A384="","",IFERROR(INDEX('隊員マスタ'!$B$5:$B$204,MATCH(A384&amp;"",'隊員マスタ'!$F$5:$F$204,0)),"番号なし"))</f>
        <v/>
      </c>
      <c r="C384" s="47" t="n"/>
      <c r="D384" s="47" t="n"/>
      <c r="E384" s="48" t="n"/>
      <c r="F384" s="48" t="n"/>
      <c r="G384" s="47" t="n"/>
      <c r="H384" s="47" t="n"/>
    </row>
    <row r="385">
      <c r="A385" s="52" t="n"/>
      <c r="B385" s="47">
        <f>IF(A385="","",IFERROR(INDEX('隊員マスタ'!$B$5:$B$204,MATCH(A385&amp;"",'隊員マスタ'!$F$5:$F$204,0)),"番号なし"))</f>
        <v/>
      </c>
      <c r="C385" s="47" t="n"/>
      <c r="D385" s="47" t="n"/>
      <c r="E385" s="48" t="n"/>
      <c r="F385" s="48" t="n"/>
      <c r="G385" s="47" t="n"/>
      <c r="H385" s="47" t="n"/>
    </row>
    <row r="386">
      <c r="A386" s="52" t="n"/>
      <c r="B386" s="47">
        <f>IF(A386="","",IFERROR(INDEX('隊員マスタ'!$B$5:$B$204,MATCH(A386&amp;"",'隊員マスタ'!$F$5:$F$204,0)),"番号なし"))</f>
        <v/>
      </c>
      <c r="C386" s="47" t="n"/>
      <c r="D386" s="47" t="n"/>
      <c r="E386" s="48" t="n"/>
      <c r="F386" s="48" t="n"/>
      <c r="G386" s="47" t="n"/>
      <c r="H386" s="47" t="n"/>
    </row>
    <row r="387">
      <c r="A387" s="52" t="n"/>
      <c r="B387" s="47">
        <f>IF(A387="","",IFERROR(INDEX('隊員マスタ'!$B$5:$B$204,MATCH(A387&amp;"",'隊員マスタ'!$F$5:$F$204,0)),"番号なし"))</f>
        <v/>
      </c>
      <c r="C387" s="47" t="n"/>
      <c r="D387" s="47" t="n"/>
      <c r="E387" s="48" t="n"/>
      <c r="F387" s="48" t="n"/>
      <c r="G387" s="47" t="n"/>
      <c r="H387" s="47" t="n"/>
    </row>
    <row r="388">
      <c r="A388" s="52" t="n"/>
      <c r="B388" s="47">
        <f>IF(A388="","",IFERROR(INDEX('隊員マスタ'!$B$5:$B$204,MATCH(A388&amp;"",'隊員マスタ'!$F$5:$F$204,0)),"番号なし"))</f>
        <v/>
      </c>
      <c r="C388" s="47" t="n"/>
      <c r="D388" s="47" t="n"/>
      <c r="E388" s="48" t="n"/>
      <c r="F388" s="48" t="n"/>
      <c r="G388" s="47" t="n"/>
      <c r="H388" s="47" t="n"/>
    </row>
    <row r="389">
      <c r="A389" s="52" t="n"/>
      <c r="B389" s="47">
        <f>IF(A389="","",IFERROR(INDEX('隊員マスタ'!$B$5:$B$204,MATCH(A389&amp;"",'隊員マスタ'!$F$5:$F$204,0)),"番号なし"))</f>
        <v/>
      </c>
      <c r="C389" s="47" t="n"/>
      <c r="D389" s="47" t="n"/>
      <c r="E389" s="48" t="n"/>
      <c r="F389" s="48" t="n"/>
      <c r="G389" s="47" t="n"/>
      <c r="H389" s="47" t="n"/>
    </row>
    <row r="390">
      <c r="A390" s="52" t="n"/>
      <c r="B390" s="47">
        <f>IF(A390="","",IFERROR(INDEX('隊員マスタ'!$B$5:$B$204,MATCH(A390&amp;"",'隊員マスタ'!$F$5:$F$204,0)),"番号なし"))</f>
        <v/>
      </c>
      <c r="C390" s="47" t="n"/>
      <c r="D390" s="47" t="n"/>
      <c r="E390" s="48" t="n"/>
      <c r="F390" s="48" t="n"/>
      <c r="G390" s="47" t="n"/>
      <c r="H390" s="47" t="n"/>
    </row>
    <row r="391">
      <c r="A391" s="52" t="n"/>
      <c r="B391" s="47">
        <f>IF(A391="","",IFERROR(INDEX('隊員マスタ'!$B$5:$B$204,MATCH(A391&amp;"",'隊員マスタ'!$F$5:$F$204,0)),"番号なし"))</f>
        <v/>
      </c>
      <c r="C391" s="47" t="n"/>
      <c r="D391" s="47" t="n"/>
      <c r="E391" s="48" t="n"/>
      <c r="F391" s="48" t="n"/>
      <c r="G391" s="47" t="n"/>
      <c r="H391" s="47" t="n"/>
    </row>
    <row r="392">
      <c r="A392" s="52" t="n"/>
      <c r="B392" s="47">
        <f>IF(A392="","",IFERROR(INDEX('隊員マスタ'!$B$5:$B$204,MATCH(A392&amp;"",'隊員マスタ'!$F$5:$F$204,0)),"番号なし"))</f>
        <v/>
      </c>
      <c r="C392" s="47" t="n"/>
      <c r="D392" s="47" t="n"/>
      <c r="E392" s="48" t="n"/>
      <c r="F392" s="48" t="n"/>
      <c r="G392" s="47" t="n"/>
      <c r="H392" s="47" t="n"/>
    </row>
    <row r="393">
      <c r="A393" s="52" t="n"/>
      <c r="B393" s="47">
        <f>IF(A393="","",IFERROR(INDEX('隊員マスタ'!$B$5:$B$204,MATCH(A393&amp;"",'隊員マスタ'!$F$5:$F$204,0)),"番号なし"))</f>
        <v/>
      </c>
      <c r="C393" s="47" t="n"/>
      <c r="D393" s="47" t="n"/>
      <c r="E393" s="48" t="n"/>
      <c r="F393" s="48" t="n"/>
      <c r="G393" s="47" t="n"/>
      <c r="H393" s="47" t="n"/>
    </row>
    <row r="394">
      <c r="A394" s="52" t="n"/>
      <c r="B394" s="47">
        <f>IF(A394="","",IFERROR(INDEX('隊員マスタ'!$B$5:$B$204,MATCH(A394&amp;"",'隊員マスタ'!$F$5:$F$204,0)),"番号なし"))</f>
        <v/>
      </c>
      <c r="C394" s="47" t="n"/>
      <c r="D394" s="47" t="n"/>
      <c r="E394" s="48" t="n"/>
      <c r="F394" s="48" t="n"/>
      <c r="G394" s="47" t="n"/>
      <c r="H394" s="47" t="n"/>
    </row>
    <row r="395">
      <c r="A395" s="52" t="n"/>
      <c r="B395" s="47">
        <f>IF(A395="","",IFERROR(INDEX('隊員マスタ'!$B$5:$B$204,MATCH(A395&amp;"",'隊員マスタ'!$F$5:$F$204,0)),"番号なし"))</f>
        <v/>
      </c>
      <c r="C395" s="47" t="n"/>
      <c r="D395" s="47" t="n"/>
      <c r="E395" s="48" t="n"/>
      <c r="F395" s="48" t="n"/>
      <c r="G395" s="47" t="n"/>
      <c r="H395" s="47" t="n"/>
    </row>
    <row r="396">
      <c r="A396" s="52" t="n"/>
      <c r="B396" s="47">
        <f>IF(A396="","",IFERROR(INDEX('隊員マスタ'!$B$5:$B$204,MATCH(A396&amp;"",'隊員マスタ'!$F$5:$F$204,0)),"番号なし"))</f>
        <v/>
      </c>
      <c r="C396" s="47" t="n"/>
      <c r="D396" s="47" t="n"/>
      <c r="E396" s="48" t="n"/>
      <c r="F396" s="48" t="n"/>
      <c r="G396" s="47" t="n"/>
      <c r="H396" s="47" t="n"/>
    </row>
    <row r="397">
      <c r="A397" s="52" t="n"/>
      <c r="B397" s="47">
        <f>IF(A397="","",IFERROR(INDEX('隊員マスタ'!$B$5:$B$204,MATCH(A397&amp;"",'隊員マスタ'!$F$5:$F$204,0)),"番号なし"))</f>
        <v/>
      </c>
      <c r="C397" s="47" t="n"/>
      <c r="D397" s="47" t="n"/>
      <c r="E397" s="48" t="n"/>
      <c r="F397" s="48" t="n"/>
      <c r="G397" s="47" t="n"/>
      <c r="H397" s="47" t="n"/>
    </row>
    <row r="398">
      <c r="A398" s="52" t="n"/>
      <c r="B398" s="47">
        <f>IF(A398="","",IFERROR(INDEX('隊員マスタ'!$B$5:$B$204,MATCH(A398&amp;"",'隊員マスタ'!$F$5:$F$204,0)),"番号なし"))</f>
        <v/>
      </c>
      <c r="C398" s="47" t="n"/>
      <c r="D398" s="47" t="n"/>
      <c r="E398" s="48" t="n"/>
      <c r="F398" s="48" t="n"/>
      <c r="G398" s="47" t="n"/>
      <c r="H398" s="47" t="n"/>
    </row>
    <row r="399">
      <c r="A399" s="52" t="n"/>
      <c r="B399" s="47">
        <f>IF(A399="","",IFERROR(INDEX('隊員マスタ'!$B$5:$B$204,MATCH(A399&amp;"",'隊員マスタ'!$F$5:$F$204,0)),"番号なし"))</f>
        <v/>
      </c>
      <c r="C399" s="47" t="n"/>
      <c r="D399" s="47" t="n"/>
      <c r="E399" s="48" t="n"/>
      <c r="F399" s="48" t="n"/>
      <c r="G399" s="47" t="n"/>
      <c r="H399" s="47" t="n"/>
    </row>
    <row r="400">
      <c r="A400" s="52" t="n"/>
      <c r="B400" s="47">
        <f>IF(A400="","",IFERROR(INDEX('隊員マスタ'!$B$5:$B$204,MATCH(A400&amp;"",'隊員マスタ'!$F$5:$F$204,0)),"番号なし"))</f>
        <v/>
      </c>
      <c r="C400" s="47" t="n"/>
      <c r="D400" s="47" t="n"/>
      <c r="E400" s="48" t="n"/>
      <c r="F400" s="48" t="n"/>
      <c r="G400" s="47" t="n"/>
      <c r="H400" s="47" t="n"/>
    </row>
    <row r="401">
      <c r="A401" s="52" t="n"/>
      <c r="B401" s="47">
        <f>IF(A401="","",IFERROR(INDEX('隊員マスタ'!$B$5:$B$204,MATCH(A401&amp;"",'隊員マスタ'!$F$5:$F$204,0)),"番号なし"))</f>
        <v/>
      </c>
      <c r="C401" s="47" t="n"/>
      <c r="D401" s="47" t="n"/>
      <c r="E401" s="48" t="n"/>
      <c r="F401" s="48" t="n"/>
      <c r="G401" s="47" t="n"/>
      <c r="H401" s="47" t="n"/>
    </row>
    <row r="402">
      <c r="A402" s="52" t="n"/>
      <c r="B402" s="47">
        <f>IF(A402="","",IFERROR(INDEX('隊員マスタ'!$B$5:$B$204,MATCH(A402&amp;"",'隊員マスタ'!$F$5:$F$204,0)),"番号なし"))</f>
        <v/>
      </c>
      <c r="C402" s="47" t="n"/>
      <c r="D402" s="47" t="n"/>
      <c r="E402" s="48" t="n"/>
      <c r="F402" s="48" t="n"/>
      <c r="G402" s="47" t="n"/>
      <c r="H402" s="47" t="n"/>
    </row>
    <row r="403">
      <c r="A403" s="52" t="n"/>
      <c r="B403" s="47">
        <f>IF(A403="","",IFERROR(INDEX('隊員マスタ'!$B$5:$B$204,MATCH(A403&amp;"",'隊員マスタ'!$F$5:$F$204,0)),"番号なし"))</f>
        <v/>
      </c>
      <c r="C403" s="47" t="n"/>
      <c r="D403" s="47" t="n"/>
      <c r="E403" s="48" t="n"/>
      <c r="F403" s="48" t="n"/>
      <c r="G403" s="47" t="n"/>
      <c r="H403" s="47" t="n"/>
    </row>
    <row r="404">
      <c r="A404" s="52" t="n"/>
      <c r="B404" s="47">
        <f>IF(A404="","",IFERROR(INDEX('隊員マスタ'!$B$5:$B$204,MATCH(A404&amp;"",'隊員マスタ'!$F$5:$F$204,0)),"番号なし"))</f>
        <v/>
      </c>
      <c r="C404" s="47" t="n"/>
      <c r="D404" s="47" t="n"/>
      <c r="E404" s="48" t="n"/>
      <c r="F404" s="48" t="n"/>
      <c r="G404" s="47" t="n"/>
      <c r="H404" s="47" t="n"/>
    </row>
    <row r="405">
      <c r="A405" s="52" t="n"/>
      <c r="B405" s="47">
        <f>IF(A405="","",IFERROR(INDEX('隊員マスタ'!$B$5:$B$204,MATCH(A405&amp;"",'隊員マスタ'!$F$5:$F$204,0)),"番号なし"))</f>
        <v/>
      </c>
      <c r="C405" s="47" t="n"/>
      <c r="D405" s="47" t="n"/>
      <c r="E405" s="48" t="n"/>
      <c r="F405" s="48" t="n"/>
      <c r="G405" s="47" t="n"/>
      <c r="H405" s="47" t="n"/>
    </row>
    <row r="406">
      <c r="A406" s="52" t="n"/>
      <c r="B406" s="47">
        <f>IF(A406="","",IFERROR(INDEX('隊員マスタ'!$B$5:$B$204,MATCH(A406&amp;"",'隊員マスタ'!$F$5:$F$204,0)),"番号なし"))</f>
        <v/>
      </c>
      <c r="C406" s="47" t="n"/>
      <c r="D406" s="47" t="n"/>
      <c r="E406" s="48" t="n"/>
      <c r="F406" s="48" t="n"/>
      <c r="G406" s="47" t="n"/>
      <c r="H406" s="47" t="n"/>
    </row>
    <row r="407">
      <c r="A407" s="52" t="n"/>
      <c r="B407" s="47">
        <f>IF(A407="","",IFERROR(INDEX('隊員マスタ'!$B$5:$B$204,MATCH(A407&amp;"",'隊員マスタ'!$F$5:$F$204,0)),"番号なし"))</f>
        <v/>
      </c>
      <c r="C407" s="47" t="n"/>
      <c r="D407" s="47" t="n"/>
      <c r="E407" s="48" t="n"/>
      <c r="F407" s="48" t="n"/>
      <c r="G407" s="47" t="n"/>
      <c r="H407" s="47" t="n"/>
    </row>
    <row r="408">
      <c r="A408" s="52" t="n"/>
      <c r="B408" s="47">
        <f>IF(A408="","",IFERROR(INDEX('隊員マスタ'!$B$5:$B$204,MATCH(A408&amp;"",'隊員マスタ'!$F$5:$F$204,0)),"番号なし"))</f>
        <v/>
      </c>
      <c r="C408" s="47" t="n"/>
      <c r="D408" s="47" t="n"/>
      <c r="E408" s="48" t="n"/>
      <c r="F408" s="48" t="n"/>
      <c r="G408" s="47" t="n"/>
      <c r="H408" s="47" t="n"/>
    </row>
    <row r="409">
      <c r="A409" s="52" t="n"/>
      <c r="B409" s="47">
        <f>IF(A409="","",IFERROR(INDEX('隊員マスタ'!$B$5:$B$204,MATCH(A409&amp;"",'隊員マスタ'!$F$5:$F$204,0)),"番号なし"))</f>
        <v/>
      </c>
      <c r="C409" s="47" t="n"/>
      <c r="D409" s="47" t="n"/>
      <c r="E409" s="48" t="n"/>
      <c r="F409" s="48" t="n"/>
      <c r="G409" s="47" t="n"/>
      <c r="H409" s="47" t="n"/>
    </row>
    <row r="410">
      <c r="A410" s="52" t="n"/>
      <c r="B410" s="47">
        <f>IF(A410="","",IFERROR(INDEX('隊員マスタ'!$B$5:$B$204,MATCH(A410&amp;"",'隊員マスタ'!$F$5:$F$204,0)),"番号なし"))</f>
        <v/>
      </c>
      <c r="C410" s="47" t="n"/>
      <c r="D410" s="47" t="n"/>
      <c r="E410" s="48" t="n"/>
      <c r="F410" s="48" t="n"/>
      <c r="G410" s="47" t="n"/>
      <c r="H410" s="47" t="n"/>
    </row>
    <row r="411">
      <c r="A411" s="52" t="n"/>
      <c r="B411" s="47">
        <f>IF(A411="","",IFERROR(INDEX('隊員マスタ'!$B$5:$B$204,MATCH(A411&amp;"",'隊員マスタ'!$F$5:$F$204,0)),"番号なし"))</f>
        <v/>
      </c>
      <c r="C411" s="47" t="n"/>
      <c r="D411" s="47" t="n"/>
      <c r="E411" s="48" t="n"/>
      <c r="F411" s="48" t="n"/>
      <c r="G411" s="47" t="n"/>
      <c r="H411" s="47" t="n"/>
    </row>
    <row r="412">
      <c r="A412" s="52" t="n"/>
      <c r="B412" s="47">
        <f>IF(A412="","",IFERROR(INDEX('隊員マスタ'!$B$5:$B$204,MATCH(A412&amp;"",'隊員マスタ'!$F$5:$F$204,0)),"番号なし"))</f>
        <v/>
      </c>
      <c r="C412" s="47" t="n"/>
      <c r="D412" s="47" t="n"/>
      <c r="E412" s="48" t="n"/>
      <c r="F412" s="48" t="n"/>
      <c r="G412" s="47" t="n"/>
      <c r="H412" s="47" t="n"/>
    </row>
    <row r="413">
      <c r="A413" s="52" t="n"/>
      <c r="B413" s="47">
        <f>IF(A413="","",IFERROR(INDEX('隊員マスタ'!$B$5:$B$204,MATCH(A413&amp;"",'隊員マスタ'!$F$5:$F$204,0)),"番号なし"))</f>
        <v/>
      </c>
      <c r="C413" s="47" t="n"/>
      <c r="D413" s="47" t="n"/>
      <c r="E413" s="48" t="n"/>
      <c r="F413" s="48" t="n"/>
      <c r="G413" s="47" t="n"/>
      <c r="H413" s="47" t="n"/>
    </row>
    <row r="414">
      <c r="A414" s="52" t="n"/>
      <c r="B414" s="47">
        <f>IF(A414="","",IFERROR(INDEX('隊員マスタ'!$B$5:$B$204,MATCH(A414&amp;"",'隊員マスタ'!$F$5:$F$204,0)),"番号なし"))</f>
        <v/>
      </c>
      <c r="C414" s="47" t="n"/>
      <c r="D414" s="47" t="n"/>
      <c r="E414" s="48" t="n"/>
      <c r="F414" s="48" t="n"/>
      <c r="G414" s="47" t="n"/>
      <c r="H414" s="47" t="n"/>
    </row>
    <row r="415">
      <c r="A415" s="52" t="n"/>
      <c r="B415" s="47">
        <f>IF(A415="","",IFERROR(INDEX('隊員マスタ'!$B$5:$B$204,MATCH(A415&amp;"",'隊員マスタ'!$F$5:$F$204,0)),"番号なし"))</f>
        <v/>
      </c>
      <c r="C415" s="47" t="n"/>
      <c r="D415" s="47" t="n"/>
      <c r="E415" s="48" t="n"/>
      <c r="F415" s="48" t="n"/>
      <c r="G415" s="47" t="n"/>
      <c r="H415" s="47" t="n"/>
    </row>
    <row r="416">
      <c r="A416" s="52" t="n"/>
      <c r="B416" s="47">
        <f>IF(A416="","",IFERROR(INDEX('隊員マスタ'!$B$5:$B$204,MATCH(A416&amp;"",'隊員マスタ'!$F$5:$F$204,0)),"番号なし"))</f>
        <v/>
      </c>
      <c r="C416" s="47" t="n"/>
      <c r="D416" s="47" t="n"/>
      <c r="E416" s="48" t="n"/>
      <c r="F416" s="48" t="n"/>
      <c r="G416" s="47" t="n"/>
      <c r="H416" s="47" t="n"/>
    </row>
    <row r="417">
      <c r="A417" s="52" t="n"/>
      <c r="B417" s="47">
        <f>IF(A417="","",IFERROR(INDEX('隊員マスタ'!$B$5:$B$204,MATCH(A417&amp;"",'隊員マスタ'!$F$5:$F$204,0)),"番号なし"))</f>
        <v/>
      </c>
      <c r="C417" s="47" t="n"/>
      <c r="D417" s="47" t="n"/>
      <c r="E417" s="48" t="n"/>
      <c r="F417" s="48" t="n"/>
      <c r="G417" s="47" t="n"/>
      <c r="H417" s="47" t="n"/>
    </row>
    <row r="418">
      <c r="A418" s="52" t="n"/>
      <c r="B418" s="47">
        <f>IF(A418="","",IFERROR(INDEX('隊員マスタ'!$B$5:$B$204,MATCH(A418&amp;"",'隊員マスタ'!$F$5:$F$204,0)),"番号なし"))</f>
        <v/>
      </c>
      <c r="C418" s="47" t="n"/>
      <c r="D418" s="47" t="n"/>
      <c r="E418" s="48" t="n"/>
      <c r="F418" s="48" t="n"/>
      <c r="G418" s="47" t="n"/>
      <c r="H418" s="47" t="n"/>
    </row>
    <row r="419">
      <c r="A419" s="52" t="n"/>
      <c r="B419" s="47">
        <f>IF(A419="","",IFERROR(INDEX('隊員マスタ'!$B$5:$B$204,MATCH(A419&amp;"",'隊員マスタ'!$F$5:$F$204,0)),"番号なし"))</f>
        <v/>
      </c>
      <c r="C419" s="47" t="n"/>
      <c r="D419" s="47" t="n"/>
      <c r="E419" s="48" t="n"/>
      <c r="F419" s="48" t="n"/>
      <c r="G419" s="47" t="n"/>
      <c r="H419" s="47" t="n"/>
    </row>
    <row r="420">
      <c r="A420" s="52" t="n"/>
      <c r="B420" s="47">
        <f>IF(A420="","",IFERROR(INDEX('隊員マスタ'!$B$5:$B$204,MATCH(A420&amp;"",'隊員マスタ'!$F$5:$F$204,0)),"番号なし"))</f>
        <v/>
      </c>
      <c r="C420" s="47" t="n"/>
      <c r="D420" s="47" t="n"/>
      <c r="E420" s="48" t="n"/>
      <c r="F420" s="48" t="n"/>
      <c r="G420" s="47" t="n"/>
      <c r="H420" s="47" t="n"/>
    </row>
    <row r="421">
      <c r="A421" s="52" t="n"/>
      <c r="B421" s="47">
        <f>IF(A421="","",IFERROR(INDEX('隊員マスタ'!$B$5:$B$204,MATCH(A421&amp;"",'隊員マスタ'!$F$5:$F$204,0)),"番号なし"))</f>
        <v/>
      </c>
      <c r="C421" s="47" t="n"/>
      <c r="D421" s="47" t="n"/>
      <c r="E421" s="48" t="n"/>
      <c r="F421" s="48" t="n"/>
      <c r="G421" s="47" t="n"/>
      <c r="H421" s="47" t="n"/>
    </row>
    <row r="422">
      <c r="A422" s="52" t="n"/>
      <c r="B422" s="47">
        <f>IF(A422="","",IFERROR(INDEX('隊員マスタ'!$B$5:$B$204,MATCH(A422&amp;"",'隊員マスタ'!$F$5:$F$204,0)),"番号なし"))</f>
        <v/>
      </c>
      <c r="C422" s="47" t="n"/>
      <c r="D422" s="47" t="n"/>
      <c r="E422" s="48" t="n"/>
      <c r="F422" s="48" t="n"/>
      <c r="G422" s="47" t="n"/>
      <c r="H422" s="47" t="n"/>
    </row>
    <row r="423">
      <c r="A423" s="52" t="n"/>
      <c r="B423" s="47">
        <f>IF(A423="","",IFERROR(INDEX('隊員マスタ'!$B$5:$B$204,MATCH(A423&amp;"",'隊員マスタ'!$F$5:$F$204,0)),"番号なし"))</f>
        <v/>
      </c>
      <c r="C423" s="47" t="n"/>
      <c r="D423" s="47" t="n"/>
      <c r="E423" s="48" t="n"/>
      <c r="F423" s="48" t="n"/>
      <c r="G423" s="47" t="n"/>
      <c r="H423" s="47" t="n"/>
    </row>
    <row r="424">
      <c r="A424" s="52" t="n"/>
      <c r="B424" s="47">
        <f>IF(A424="","",IFERROR(INDEX('隊員マスタ'!$B$5:$B$204,MATCH(A424&amp;"",'隊員マスタ'!$F$5:$F$204,0)),"番号なし"))</f>
        <v/>
      </c>
      <c r="C424" s="47" t="n"/>
      <c r="D424" s="47" t="n"/>
      <c r="E424" s="48" t="n"/>
      <c r="F424" s="48" t="n"/>
      <c r="G424" s="47" t="n"/>
      <c r="H424" s="47" t="n"/>
    </row>
    <row r="425">
      <c r="A425" s="52" t="n"/>
      <c r="B425" s="47">
        <f>IF(A425="","",IFERROR(INDEX('隊員マスタ'!$B$5:$B$204,MATCH(A425&amp;"",'隊員マスタ'!$F$5:$F$204,0)),"番号なし"))</f>
        <v/>
      </c>
      <c r="C425" s="47" t="n"/>
      <c r="D425" s="47" t="n"/>
      <c r="E425" s="48" t="n"/>
      <c r="F425" s="48" t="n"/>
      <c r="G425" s="47" t="n"/>
      <c r="H425" s="47" t="n"/>
    </row>
    <row r="426">
      <c r="A426" s="52" t="n"/>
      <c r="B426" s="47">
        <f>IF(A426="","",IFERROR(INDEX('隊員マスタ'!$B$5:$B$204,MATCH(A426&amp;"",'隊員マスタ'!$F$5:$F$204,0)),"番号なし"))</f>
        <v/>
      </c>
      <c r="C426" s="47" t="n"/>
      <c r="D426" s="47" t="n"/>
      <c r="E426" s="48" t="n"/>
      <c r="F426" s="48" t="n"/>
      <c r="G426" s="47" t="n"/>
      <c r="H426" s="47" t="n"/>
    </row>
    <row r="427">
      <c r="A427" s="52" t="n"/>
      <c r="B427" s="47">
        <f>IF(A427="","",IFERROR(INDEX('隊員マスタ'!$B$5:$B$204,MATCH(A427&amp;"",'隊員マスタ'!$F$5:$F$204,0)),"番号なし"))</f>
        <v/>
      </c>
      <c r="C427" s="47" t="n"/>
      <c r="D427" s="47" t="n"/>
      <c r="E427" s="48" t="n"/>
      <c r="F427" s="48" t="n"/>
      <c r="G427" s="47" t="n"/>
      <c r="H427" s="47" t="n"/>
    </row>
    <row r="428">
      <c r="A428" s="52" t="n"/>
      <c r="B428" s="47">
        <f>IF(A428="","",IFERROR(INDEX('隊員マスタ'!$B$5:$B$204,MATCH(A428&amp;"",'隊員マスタ'!$F$5:$F$204,0)),"番号なし"))</f>
        <v/>
      </c>
      <c r="C428" s="47" t="n"/>
      <c r="D428" s="47" t="n"/>
      <c r="E428" s="48" t="n"/>
      <c r="F428" s="48" t="n"/>
      <c r="G428" s="47" t="n"/>
      <c r="H428" s="47" t="n"/>
    </row>
    <row r="429">
      <c r="A429" s="52" t="n"/>
      <c r="B429" s="47">
        <f>IF(A429="","",IFERROR(INDEX('隊員マスタ'!$B$5:$B$204,MATCH(A429&amp;"",'隊員マスタ'!$F$5:$F$204,0)),"番号なし"))</f>
        <v/>
      </c>
      <c r="C429" s="47" t="n"/>
      <c r="D429" s="47" t="n"/>
      <c r="E429" s="48" t="n"/>
      <c r="F429" s="48" t="n"/>
      <c r="G429" s="47" t="n"/>
      <c r="H429" s="47" t="n"/>
    </row>
    <row r="430">
      <c r="A430" s="52" t="n"/>
      <c r="B430" s="47">
        <f>IF(A430="","",IFERROR(INDEX('隊員マスタ'!$B$5:$B$204,MATCH(A430&amp;"",'隊員マスタ'!$F$5:$F$204,0)),"番号なし"))</f>
        <v/>
      </c>
      <c r="C430" s="47" t="n"/>
      <c r="D430" s="47" t="n"/>
      <c r="E430" s="48" t="n"/>
      <c r="F430" s="48" t="n"/>
      <c r="G430" s="47" t="n"/>
      <c r="H430" s="47" t="n"/>
    </row>
    <row r="431">
      <c r="A431" s="52" t="n"/>
      <c r="B431" s="47">
        <f>IF(A431="","",IFERROR(INDEX('隊員マスタ'!$B$5:$B$204,MATCH(A431&amp;"",'隊員マスタ'!$F$5:$F$204,0)),"番号なし"))</f>
        <v/>
      </c>
      <c r="C431" s="47" t="n"/>
      <c r="D431" s="47" t="n"/>
      <c r="E431" s="48" t="n"/>
      <c r="F431" s="48" t="n"/>
      <c r="G431" s="47" t="n"/>
      <c r="H431" s="47" t="n"/>
    </row>
    <row r="432">
      <c r="A432" s="52" t="n"/>
      <c r="B432" s="47">
        <f>IF(A432="","",IFERROR(INDEX('隊員マスタ'!$B$5:$B$204,MATCH(A432&amp;"",'隊員マスタ'!$F$5:$F$204,0)),"番号なし"))</f>
        <v/>
      </c>
      <c r="C432" s="47" t="n"/>
      <c r="D432" s="47" t="n"/>
      <c r="E432" s="48" t="n"/>
      <c r="F432" s="48" t="n"/>
      <c r="G432" s="47" t="n"/>
      <c r="H432" s="47" t="n"/>
    </row>
    <row r="433">
      <c r="A433" s="52" t="n"/>
      <c r="B433" s="47">
        <f>IF(A433="","",IFERROR(INDEX('隊員マスタ'!$B$5:$B$204,MATCH(A433&amp;"",'隊員マスタ'!$F$5:$F$204,0)),"番号なし"))</f>
        <v/>
      </c>
      <c r="C433" s="47" t="n"/>
      <c r="D433" s="47" t="n"/>
      <c r="E433" s="48" t="n"/>
      <c r="F433" s="48" t="n"/>
      <c r="G433" s="47" t="n"/>
      <c r="H433" s="47" t="n"/>
    </row>
    <row r="434">
      <c r="A434" s="52" t="n"/>
      <c r="B434" s="47">
        <f>IF(A434="","",IFERROR(INDEX('隊員マスタ'!$B$5:$B$204,MATCH(A434&amp;"",'隊員マスタ'!$F$5:$F$204,0)),"番号なし"))</f>
        <v/>
      </c>
      <c r="C434" s="47" t="n"/>
      <c r="D434" s="47" t="n"/>
      <c r="E434" s="48" t="n"/>
      <c r="F434" s="48" t="n"/>
      <c r="G434" s="47" t="n"/>
      <c r="H434" s="47" t="n"/>
    </row>
    <row r="435">
      <c r="A435" s="52" t="n"/>
      <c r="B435" s="47">
        <f>IF(A435="","",IFERROR(INDEX('隊員マスタ'!$B$5:$B$204,MATCH(A435&amp;"",'隊員マスタ'!$F$5:$F$204,0)),"番号なし"))</f>
        <v/>
      </c>
      <c r="C435" s="47" t="n"/>
      <c r="D435" s="47" t="n"/>
      <c r="E435" s="48" t="n"/>
      <c r="F435" s="48" t="n"/>
      <c r="G435" s="47" t="n"/>
      <c r="H435" s="47" t="n"/>
    </row>
    <row r="436">
      <c r="A436" s="52" t="n"/>
      <c r="B436" s="47">
        <f>IF(A436="","",IFERROR(INDEX('隊員マスタ'!$B$5:$B$204,MATCH(A436&amp;"",'隊員マスタ'!$F$5:$F$204,0)),"番号なし"))</f>
        <v/>
      </c>
      <c r="C436" s="47" t="n"/>
      <c r="D436" s="47" t="n"/>
      <c r="E436" s="48" t="n"/>
      <c r="F436" s="48" t="n"/>
      <c r="G436" s="47" t="n"/>
      <c r="H436" s="47" t="n"/>
    </row>
    <row r="437">
      <c r="A437" s="52" t="n"/>
      <c r="B437" s="47">
        <f>IF(A437="","",IFERROR(INDEX('隊員マスタ'!$B$5:$B$204,MATCH(A437&amp;"",'隊員マスタ'!$F$5:$F$204,0)),"番号なし"))</f>
        <v/>
      </c>
      <c r="C437" s="47" t="n"/>
      <c r="D437" s="47" t="n"/>
      <c r="E437" s="48" t="n"/>
      <c r="F437" s="48" t="n"/>
      <c r="G437" s="47" t="n"/>
      <c r="H437" s="47" t="n"/>
    </row>
    <row r="438">
      <c r="A438" s="52" t="n"/>
      <c r="B438" s="47">
        <f>IF(A438="","",IFERROR(INDEX('隊員マスタ'!$B$5:$B$204,MATCH(A438&amp;"",'隊員マスタ'!$F$5:$F$204,0)),"番号なし"))</f>
        <v/>
      </c>
      <c r="C438" s="47" t="n"/>
      <c r="D438" s="47" t="n"/>
      <c r="E438" s="48" t="n"/>
      <c r="F438" s="48" t="n"/>
      <c r="G438" s="47" t="n"/>
      <c r="H438" s="47" t="n"/>
    </row>
    <row r="439">
      <c r="A439" s="52" t="n"/>
      <c r="B439" s="47">
        <f>IF(A439="","",IFERROR(INDEX('隊員マスタ'!$B$5:$B$204,MATCH(A439&amp;"",'隊員マスタ'!$F$5:$F$204,0)),"番号なし"))</f>
        <v/>
      </c>
      <c r="C439" s="47" t="n"/>
      <c r="D439" s="47" t="n"/>
      <c r="E439" s="48" t="n"/>
      <c r="F439" s="48" t="n"/>
      <c r="G439" s="47" t="n"/>
      <c r="H439" s="47" t="n"/>
    </row>
    <row r="440">
      <c r="A440" s="52" t="n"/>
      <c r="B440" s="47">
        <f>IF(A440="","",IFERROR(INDEX('隊員マスタ'!$B$5:$B$204,MATCH(A440&amp;"",'隊員マスタ'!$F$5:$F$204,0)),"番号なし"))</f>
        <v/>
      </c>
      <c r="C440" s="47" t="n"/>
      <c r="D440" s="47" t="n"/>
      <c r="E440" s="48" t="n"/>
      <c r="F440" s="48" t="n"/>
      <c r="G440" s="47" t="n"/>
      <c r="H440" s="47" t="n"/>
    </row>
    <row r="441">
      <c r="A441" s="52" t="n"/>
      <c r="B441" s="47">
        <f>IF(A441="","",IFERROR(INDEX('隊員マスタ'!$B$5:$B$204,MATCH(A441&amp;"",'隊員マスタ'!$F$5:$F$204,0)),"番号なし"))</f>
        <v/>
      </c>
      <c r="C441" s="47" t="n"/>
      <c r="D441" s="47" t="n"/>
      <c r="E441" s="48" t="n"/>
      <c r="F441" s="48" t="n"/>
      <c r="G441" s="47" t="n"/>
      <c r="H441" s="47" t="n"/>
    </row>
    <row r="442">
      <c r="A442" s="52" t="n"/>
      <c r="B442" s="47">
        <f>IF(A442="","",IFERROR(INDEX('隊員マスタ'!$B$5:$B$204,MATCH(A442&amp;"",'隊員マスタ'!$F$5:$F$204,0)),"番号なし"))</f>
        <v/>
      </c>
      <c r="C442" s="47" t="n"/>
      <c r="D442" s="47" t="n"/>
      <c r="E442" s="48" t="n"/>
      <c r="F442" s="48" t="n"/>
      <c r="G442" s="47" t="n"/>
      <c r="H442" s="47" t="n"/>
    </row>
    <row r="443">
      <c r="A443" s="52" t="n"/>
      <c r="B443" s="47">
        <f>IF(A443="","",IFERROR(INDEX('隊員マスタ'!$B$5:$B$204,MATCH(A443&amp;"",'隊員マスタ'!$F$5:$F$204,0)),"番号なし"))</f>
        <v/>
      </c>
      <c r="C443" s="47" t="n"/>
      <c r="D443" s="47" t="n"/>
      <c r="E443" s="48" t="n"/>
      <c r="F443" s="48" t="n"/>
      <c r="G443" s="47" t="n"/>
      <c r="H443" s="47" t="n"/>
    </row>
    <row r="444">
      <c r="A444" s="52" t="n"/>
      <c r="B444" s="47">
        <f>IF(A444="","",IFERROR(INDEX('隊員マスタ'!$B$5:$B$204,MATCH(A444&amp;"",'隊員マスタ'!$F$5:$F$204,0)),"番号なし"))</f>
        <v/>
      </c>
      <c r="C444" s="47" t="n"/>
      <c r="D444" s="47" t="n"/>
      <c r="E444" s="48" t="n"/>
      <c r="F444" s="48" t="n"/>
      <c r="G444" s="47" t="n"/>
      <c r="H444" s="47" t="n"/>
    </row>
    <row r="445">
      <c r="A445" s="52" t="n"/>
      <c r="B445" s="47">
        <f>IF(A445="","",IFERROR(INDEX('隊員マスタ'!$B$5:$B$204,MATCH(A445&amp;"",'隊員マスタ'!$F$5:$F$204,0)),"番号なし"))</f>
        <v/>
      </c>
      <c r="C445" s="47" t="n"/>
      <c r="D445" s="47" t="n"/>
      <c r="E445" s="48" t="n"/>
      <c r="F445" s="48" t="n"/>
      <c r="G445" s="47" t="n"/>
      <c r="H445" s="47" t="n"/>
    </row>
    <row r="446">
      <c r="A446" s="52" t="n"/>
      <c r="B446" s="47">
        <f>IF(A446="","",IFERROR(INDEX('隊員マスタ'!$B$5:$B$204,MATCH(A446&amp;"",'隊員マスタ'!$F$5:$F$204,0)),"番号なし"))</f>
        <v/>
      </c>
      <c r="C446" s="47" t="n"/>
      <c r="D446" s="47" t="n"/>
      <c r="E446" s="48" t="n"/>
      <c r="F446" s="48" t="n"/>
      <c r="G446" s="47" t="n"/>
      <c r="H446" s="47" t="n"/>
    </row>
    <row r="447">
      <c r="A447" s="52" t="n"/>
      <c r="B447" s="47">
        <f>IF(A447="","",IFERROR(INDEX('隊員マスタ'!$B$5:$B$204,MATCH(A447&amp;"",'隊員マスタ'!$F$5:$F$204,0)),"番号なし"))</f>
        <v/>
      </c>
      <c r="C447" s="47" t="n"/>
      <c r="D447" s="47" t="n"/>
      <c r="E447" s="48" t="n"/>
      <c r="F447" s="48" t="n"/>
      <c r="G447" s="47" t="n"/>
      <c r="H447" s="47" t="n"/>
    </row>
    <row r="448">
      <c r="A448" s="52" t="n"/>
      <c r="B448" s="47">
        <f>IF(A448="","",IFERROR(INDEX('隊員マスタ'!$B$5:$B$204,MATCH(A448&amp;"",'隊員マスタ'!$F$5:$F$204,0)),"番号なし"))</f>
        <v/>
      </c>
      <c r="C448" s="47" t="n"/>
      <c r="D448" s="47" t="n"/>
      <c r="E448" s="48" t="n"/>
      <c r="F448" s="48" t="n"/>
      <c r="G448" s="47" t="n"/>
      <c r="H448" s="47" t="n"/>
    </row>
    <row r="449">
      <c r="A449" s="52" t="n"/>
      <c r="B449" s="47">
        <f>IF(A449="","",IFERROR(INDEX('隊員マスタ'!$B$5:$B$204,MATCH(A449&amp;"",'隊員マスタ'!$F$5:$F$204,0)),"番号なし"))</f>
        <v/>
      </c>
      <c r="C449" s="47" t="n"/>
      <c r="D449" s="47" t="n"/>
      <c r="E449" s="48" t="n"/>
      <c r="F449" s="48" t="n"/>
      <c r="G449" s="47" t="n"/>
      <c r="H449" s="47" t="n"/>
    </row>
    <row r="450">
      <c r="A450" s="52" t="n"/>
      <c r="B450" s="47">
        <f>IF(A450="","",IFERROR(INDEX('隊員マスタ'!$B$5:$B$204,MATCH(A450&amp;"",'隊員マスタ'!$F$5:$F$204,0)),"番号なし"))</f>
        <v/>
      </c>
      <c r="C450" s="47" t="n"/>
      <c r="D450" s="47" t="n"/>
      <c r="E450" s="48" t="n"/>
      <c r="F450" s="48" t="n"/>
      <c r="G450" s="47" t="n"/>
      <c r="H450" s="47" t="n"/>
    </row>
    <row r="451">
      <c r="A451" s="52" t="n"/>
      <c r="B451" s="47">
        <f>IF(A451="","",IFERROR(INDEX('隊員マスタ'!$B$5:$B$204,MATCH(A451&amp;"",'隊員マスタ'!$F$5:$F$204,0)),"番号なし"))</f>
        <v/>
      </c>
      <c r="C451" s="47" t="n"/>
      <c r="D451" s="47" t="n"/>
      <c r="E451" s="48" t="n"/>
      <c r="F451" s="48" t="n"/>
      <c r="G451" s="47" t="n"/>
      <c r="H451" s="47" t="n"/>
    </row>
    <row r="452">
      <c r="A452" s="52" t="n"/>
      <c r="B452" s="47">
        <f>IF(A452="","",IFERROR(INDEX('隊員マスタ'!$B$5:$B$204,MATCH(A452&amp;"",'隊員マスタ'!$F$5:$F$204,0)),"番号なし"))</f>
        <v/>
      </c>
      <c r="C452" s="47" t="n"/>
      <c r="D452" s="47" t="n"/>
      <c r="E452" s="48" t="n"/>
      <c r="F452" s="48" t="n"/>
      <c r="G452" s="47" t="n"/>
      <c r="H452" s="47" t="n"/>
    </row>
    <row r="453">
      <c r="A453" s="52" t="n"/>
      <c r="B453" s="47">
        <f>IF(A453="","",IFERROR(INDEX('隊員マスタ'!$B$5:$B$204,MATCH(A453&amp;"",'隊員マスタ'!$F$5:$F$204,0)),"番号なし"))</f>
        <v/>
      </c>
      <c r="C453" s="47" t="n"/>
      <c r="D453" s="47" t="n"/>
      <c r="E453" s="48" t="n"/>
      <c r="F453" s="48" t="n"/>
      <c r="G453" s="47" t="n"/>
      <c r="H453" s="47" t="n"/>
    </row>
    <row r="454">
      <c r="A454" s="52" t="n"/>
      <c r="B454" s="47">
        <f>IF(A454="","",IFERROR(INDEX('隊員マスタ'!$B$5:$B$204,MATCH(A454&amp;"",'隊員マスタ'!$F$5:$F$204,0)),"番号なし"))</f>
        <v/>
      </c>
      <c r="C454" s="47" t="n"/>
      <c r="D454" s="47" t="n"/>
      <c r="E454" s="48" t="n"/>
      <c r="F454" s="48" t="n"/>
      <c r="G454" s="47" t="n"/>
      <c r="H454" s="47" t="n"/>
    </row>
    <row r="455">
      <c r="A455" s="52" t="n"/>
      <c r="B455" s="47">
        <f>IF(A455="","",IFERROR(INDEX('隊員マスタ'!$B$5:$B$204,MATCH(A455&amp;"",'隊員マスタ'!$F$5:$F$204,0)),"番号なし"))</f>
        <v/>
      </c>
      <c r="C455" s="47" t="n"/>
      <c r="D455" s="47" t="n"/>
      <c r="E455" s="48" t="n"/>
      <c r="F455" s="48" t="n"/>
      <c r="G455" s="47" t="n"/>
      <c r="H455" s="47" t="n"/>
    </row>
    <row r="456">
      <c r="A456" s="52" t="n"/>
      <c r="B456" s="47">
        <f>IF(A456="","",IFERROR(INDEX('隊員マスタ'!$B$5:$B$204,MATCH(A456&amp;"",'隊員マスタ'!$F$5:$F$204,0)),"番号なし"))</f>
        <v/>
      </c>
      <c r="C456" s="47" t="n"/>
      <c r="D456" s="47" t="n"/>
      <c r="E456" s="48" t="n"/>
      <c r="F456" s="48" t="n"/>
      <c r="G456" s="47" t="n"/>
      <c r="H456" s="47" t="n"/>
    </row>
    <row r="457">
      <c r="A457" s="52" t="n"/>
      <c r="B457" s="47">
        <f>IF(A457="","",IFERROR(INDEX('隊員マスタ'!$B$5:$B$204,MATCH(A457&amp;"",'隊員マスタ'!$F$5:$F$204,0)),"番号なし"))</f>
        <v/>
      </c>
      <c r="C457" s="47" t="n"/>
      <c r="D457" s="47" t="n"/>
      <c r="E457" s="48" t="n"/>
      <c r="F457" s="48" t="n"/>
      <c r="G457" s="47" t="n"/>
      <c r="H457" s="47" t="n"/>
    </row>
    <row r="458">
      <c r="A458" s="52" t="n"/>
      <c r="B458" s="47">
        <f>IF(A458="","",IFERROR(INDEX('隊員マスタ'!$B$5:$B$204,MATCH(A458&amp;"",'隊員マスタ'!$F$5:$F$204,0)),"番号なし"))</f>
        <v/>
      </c>
      <c r="C458" s="47" t="n"/>
      <c r="D458" s="47" t="n"/>
      <c r="E458" s="48" t="n"/>
      <c r="F458" s="48" t="n"/>
      <c r="G458" s="47" t="n"/>
      <c r="H458" s="47" t="n"/>
    </row>
    <row r="459">
      <c r="A459" s="52" t="n"/>
      <c r="B459" s="47">
        <f>IF(A459="","",IFERROR(INDEX('隊員マスタ'!$B$5:$B$204,MATCH(A459&amp;"",'隊員マスタ'!$F$5:$F$204,0)),"番号なし"))</f>
        <v/>
      </c>
      <c r="C459" s="47" t="n"/>
      <c r="D459" s="47" t="n"/>
      <c r="E459" s="48" t="n"/>
      <c r="F459" s="48" t="n"/>
      <c r="G459" s="47" t="n"/>
      <c r="H459" s="47" t="n"/>
    </row>
    <row r="460">
      <c r="A460" s="52" t="n"/>
      <c r="B460" s="47">
        <f>IF(A460="","",IFERROR(INDEX('隊員マスタ'!$B$5:$B$204,MATCH(A460&amp;"",'隊員マスタ'!$F$5:$F$204,0)),"番号なし"))</f>
        <v/>
      </c>
      <c r="C460" s="47" t="n"/>
      <c r="D460" s="47" t="n"/>
      <c r="E460" s="48" t="n"/>
      <c r="F460" s="48" t="n"/>
      <c r="G460" s="47" t="n"/>
      <c r="H460" s="47" t="n"/>
    </row>
    <row r="461">
      <c r="A461" s="52" t="n"/>
      <c r="B461" s="47">
        <f>IF(A461="","",IFERROR(INDEX('隊員マスタ'!$B$5:$B$204,MATCH(A461&amp;"",'隊員マスタ'!$F$5:$F$204,0)),"番号なし"))</f>
        <v/>
      </c>
      <c r="C461" s="47" t="n"/>
      <c r="D461" s="47" t="n"/>
      <c r="E461" s="48" t="n"/>
      <c r="F461" s="48" t="n"/>
      <c r="G461" s="47" t="n"/>
      <c r="H461" s="47" t="n"/>
    </row>
    <row r="462">
      <c r="A462" s="52" t="n"/>
      <c r="B462" s="47">
        <f>IF(A462="","",IFERROR(INDEX('隊員マスタ'!$B$5:$B$204,MATCH(A462&amp;"",'隊員マスタ'!$F$5:$F$204,0)),"番号なし"))</f>
        <v/>
      </c>
      <c r="C462" s="47" t="n"/>
      <c r="D462" s="47" t="n"/>
      <c r="E462" s="48" t="n"/>
      <c r="F462" s="48" t="n"/>
      <c r="G462" s="47" t="n"/>
      <c r="H462" s="47" t="n"/>
    </row>
    <row r="463">
      <c r="A463" s="52" t="n"/>
      <c r="B463" s="47">
        <f>IF(A463="","",IFERROR(INDEX('隊員マスタ'!$B$5:$B$204,MATCH(A463&amp;"",'隊員マスタ'!$F$5:$F$204,0)),"番号なし"))</f>
        <v/>
      </c>
      <c r="C463" s="47" t="n"/>
      <c r="D463" s="47" t="n"/>
      <c r="E463" s="48" t="n"/>
      <c r="F463" s="48" t="n"/>
      <c r="G463" s="47" t="n"/>
      <c r="H463" s="47" t="n"/>
    </row>
    <row r="464">
      <c r="A464" s="52" t="n"/>
      <c r="B464" s="47">
        <f>IF(A464="","",IFERROR(INDEX('隊員マスタ'!$B$5:$B$204,MATCH(A464&amp;"",'隊員マスタ'!$F$5:$F$204,0)),"番号なし"))</f>
        <v/>
      </c>
      <c r="C464" s="47" t="n"/>
      <c r="D464" s="47" t="n"/>
      <c r="E464" s="48" t="n"/>
      <c r="F464" s="48" t="n"/>
      <c r="G464" s="47" t="n"/>
      <c r="H464" s="47" t="n"/>
    </row>
    <row r="465">
      <c r="A465" s="52" t="n"/>
      <c r="B465" s="47">
        <f>IF(A465="","",IFERROR(INDEX('隊員マスタ'!$B$5:$B$204,MATCH(A465&amp;"",'隊員マスタ'!$F$5:$F$204,0)),"番号なし"))</f>
        <v/>
      </c>
      <c r="C465" s="47" t="n"/>
      <c r="D465" s="47" t="n"/>
      <c r="E465" s="48" t="n"/>
      <c r="F465" s="48" t="n"/>
      <c r="G465" s="47" t="n"/>
      <c r="H465" s="47" t="n"/>
    </row>
    <row r="466">
      <c r="A466" s="52" t="n"/>
      <c r="B466" s="47">
        <f>IF(A466="","",IFERROR(INDEX('隊員マスタ'!$B$5:$B$204,MATCH(A466&amp;"",'隊員マスタ'!$F$5:$F$204,0)),"番号なし"))</f>
        <v/>
      </c>
      <c r="C466" s="47" t="n"/>
      <c r="D466" s="47" t="n"/>
      <c r="E466" s="48" t="n"/>
      <c r="F466" s="48" t="n"/>
      <c r="G466" s="47" t="n"/>
      <c r="H466" s="47" t="n"/>
    </row>
    <row r="467">
      <c r="A467" s="52" t="n"/>
      <c r="B467" s="47">
        <f>IF(A467="","",IFERROR(INDEX('隊員マスタ'!$B$5:$B$204,MATCH(A467&amp;"",'隊員マスタ'!$F$5:$F$204,0)),"番号なし"))</f>
        <v/>
      </c>
      <c r="C467" s="47" t="n"/>
      <c r="D467" s="47" t="n"/>
      <c r="E467" s="48" t="n"/>
      <c r="F467" s="48" t="n"/>
      <c r="G467" s="47" t="n"/>
      <c r="H467" s="47" t="n"/>
    </row>
    <row r="468">
      <c r="A468" s="52" t="n"/>
      <c r="B468" s="47">
        <f>IF(A468="","",IFERROR(INDEX('隊員マスタ'!$B$5:$B$204,MATCH(A468&amp;"",'隊員マスタ'!$F$5:$F$204,0)),"番号なし"))</f>
        <v/>
      </c>
      <c r="C468" s="47" t="n"/>
      <c r="D468" s="47" t="n"/>
      <c r="E468" s="48" t="n"/>
      <c r="F468" s="48" t="n"/>
      <c r="G468" s="47" t="n"/>
      <c r="H468" s="47" t="n"/>
    </row>
    <row r="469">
      <c r="A469" s="52" t="n"/>
      <c r="B469" s="47">
        <f>IF(A469="","",IFERROR(INDEX('隊員マスタ'!$B$5:$B$204,MATCH(A469&amp;"",'隊員マスタ'!$F$5:$F$204,0)),"番号なし"))</f>
        <v/>
      </c>
      <c r="C469" s="47" t="n"/>
      <c r="D469" s="47" t="n"/>
      <c r="E469" s="48" t="n"/>
      <c r="F469" s="48" t="n"/>
      <c r="G469" s="47" t="n"/>
      <c r="H469" s="47" t="n"/>
    </row>
    <row r="470">
      <c r="A470" s="52" t="n"/>
      <c r="B470" s="47">
        <f>IF(A470="","",IFERROR(INDEX('隊員マスタ'!$B$5:$B$204,MATCH(A470&amp;"",'隊員マスタ'!$F$5:$F$204,0)),"番号なし"))</f>
        <v/>
      </c>
      <c r="C470" s="47" t="n"/>
      <c r="D470" s="47" t="n"/>
      <c r="E470" s="48" t="n"/>
      <c r="F470" s="48" t="n"/>
      <c r="G470" s="47" t="n"/>
      <c r="H470" s="47" t="n"/>
    </row>
    <row r="471">
      <c r="A471" s="52" t="n"/>
      <c r="B471" s="47">
        <f>IF(A471="","",IFERROR(INDEX('隊員マスタ'!$B$5:$B$204,MATCH(A471&amp;"",'隊員マスタ'!$F$5:$F$204,0)),"番号なし"))</f>
        <v/>
      </c>
      <c r="C471" s="47" t="n"/>
      <c r="D471" s="47" t="n"/>
      <c r="E471" s="48" t="n"/>
      <c r="F471" s="48" t="n"/>
      <c r="G471" s="47" t="n"/>
      <c r="H471" s="47" t="n"/>
    </row>
    <row r="472">
      <c r="A472" s="52" t="n"/>
      <c r="B472" s="47">
        <f>IF(A472="","",IFERROR(INDEX('隊員マスタ'!$B$5:$B$204,MATCH(A472&amp;"",'隊員マスタ'!$F$5:$F$204,0)),"番号なし"))</f>
        <v/>
      </c>
      <c r="C472" s="47" t="n"/>
      <c r="D472" s="47" t="n"/>
      <c r="E472" s="48" t="n"/>
      <c r="F472" s="48" t="n"/>
      <c r="G472" s="47" t="n"/>
      <c r="H472" s="47" t="n"/>
    </row>
    <row r="473">
      <c r="A473" s="52" t="n"/>
      <c r="B473" s="47">
        <f>IF(A473="","",IFERROR(INDEX('隊員マスタ'!$B$5:$B$204,MATCH(A473&amp;"",'隊員マスタ'!$F$5:$F$204,0)),"番号なし"))</f>
        <v/>
      </c>
      <c r="C473" s="47" t="n"/>
      <c r="D473" s="47" t="n"/>
      <c r="E473" s="48" t="n"/>
      <c r="F473" s="48" t="n"/>
      <c r="G473" s="47" t="n"/>
      <c r="H473" s="47" t="n"/>
    </row>
    <row r="474">
      <c r="A474" s="52" t="n"/>
      <c r="B474" s="47">
        <f>IF(A474="","",IFERROR(INDEX('隊員マスタ'!$B$5:$B$204,MATCH(A474&amp;"",'隊員マスタ'!$F$5:$F$204,0)),"番号なし"))</f>
        <v/>
      </c>
      <c r="C474" s="47" t="n"/>
      <c r="D474" s="47" t="n"/>
      <c r="E474" s="48" t="n"/>
      <c r="F474" s="48" t="n"/>
      <c r="G474" s="47" t="n"/>
      <c r="H474" s="47" t="n"/>
    </row>
    <row r="475">
      <c r="A475" s="52" t="n"/>
      <c r="B475" s="47">
        <f>IF(A475="","",IFERROR(INDEX('隊員マスタ'!$B$5:$B$204,MATCH(A475&amp;"",'隊員マスタ'!$F$5:$F$204,0)),"番号なし"))</f>
        <v/>
      </c>
      <c r="C475" s="47" t="n"/>
      <c r="D475" s="47" t="n"/>
      <c r="E475" s="48" t="n"/>
      <c r="F475" s="48" t="n"/>
      <c r="G475" s="47" t="n"/>
      <c r="H475" s="47" t="n"/>
    </row>
    <row r="476">
      <c r="A476" s="52" t="n"/>
      <c r="B476" s="47">
        <f>IF(A476="","",IFERROR(INDEX('隊員マスタ'!$B$5:$B$204,MATCH(A476&amp;"",'隊員マスタ'!$F$5:$F$204,0)),"番号なし"))</f>
        <v/>
      </c>
      <c r="C476" s="47" t="n"/>
      <c r="D476" s="47" t="n"/>
      <c r="E476" s="48" t="n"/>
      <c r="F476" s="48" t="n"/>
      <c r="G476" s="47" t="n"/>
      <c r="H476" s="47" t="n"/>
    </row>
    <row r="477">
      <c r="A477" s="52" t="n"/>
      <c r="B477" s="47">
        <f>IF(A477="","",IFERROR(INDEX('隊員マスタ'!$B$5:$B$204,MATCH(A477&amp;"",'隊員マスタ'!$F$5:$F$204,0)),"番号なし"))</f>
        <v/>
      </c>
      <c r="C477" s="47" t="n"/>
      <c r="D477" s="47" t="n"/>
      <c r="E477" s="48" t="n"/>
      <c r="F477" s="48" t="n"/>
      <c r="G477" s="47" t="n"/>
      <c r="H477" s="47" t="n"/>
    </row>
    <row r="478">
      <c r="A478" s="52" t="n"/>
      <c r="B478" s="47">
        <f>IF(A478="","",IFERROR(INDEX('隊員マスタ'!$B$5:$B$204,MATCH(A478&amp;"",'隊員マスタ'!$F$5:$F$204,0)),"番号なし"))</f>
        <v/>
      </c>
      <c r="C478" s="47" t="n"/>
      <c r="D478" s="47" t="n"/>
      <c r="E478" s="48" t="n"/>
      <c r="F478" s="48" t="n"/>
      <c r="G478" s="47" t="n"/>
      <c r="H478" s="47" t="n"/>
    </row>
    <row r="479">
      <c r="A479" s="52" t="n"/>
      <c r="B479" s="47">
        <f>IF(A479="","",IFERROR(INDEX('隊員マスタ'!$B$5:$B$204,MATCH(A479&amp;"",'隊員マスタ'!$F$5:$F$204,0)),"番号なし"))</f>
        <v/>
      </c>
      <c r="C479" s="47" t="n"/>
      <c r="D479" s="47" t="n"/>
      <c r="E479" s="48" t="n"/>
      <c r="F479" s="48" t="n"/>
      <c r="G479" s="47" t="n"/>
      <c r="H479" s="47" t="n"/>
    </row>
    <row r="480">
      <c r="A480" s="52" t="n"/>
      <c r="B480" s="47">
        <f>IF(A480="","",IFERROR(INDEX('隊員マスタ'!$B$5:$B$204,MATCH(A480&amp;"",'隊員マスタ'!$F$5:$F$204,0)),"番号なし"))</f>
        <v/>
      </c>
      <c r="C480" s="47" t="n"/>
      <c r="D480" s="47" t="n"/>
      <c r="E480" s="48" t="n"/>
      <c r="F480" s="48" t="n"/>
      <c r="G480" s="47" t="n"/>
      <c r="H480" s="47" t="n"/>
    </row>
    <row r="481">
      <c r="A481" s="52" t="n"/>
      <c r="B481" s="47">
        <f>IF(A481="","",IFERROR(INDEX('隊員マスタ'!$B$5:$B$204,MATCH(A481&amp;"",'隊員マスタ'!$F$5:$F$204,0)),"番号なし"))</f>
        <v/>
      </c>
      <c r="C481" s="47" t="n"/>
      <c r="D481" s="47" t="n"/>
      <c r="E481" s="48" t="n"/>
      <c r="F481" s="48" t="n"/>
      <c r="G481" s="47" t="n"/>
      <c r="H481" s="47" t="n"/>
    </row>
    <row r="482">
      <c r="A482" s="52" t="n"/>
      <c r="B482" s="47">
        <f>IF(A482="","",IFERROR(INDEX('隊員マスタ'!$B$5:$B$204,MATCH(A482&amp;"",'隊員マスタ'!$F$5:$F$204,0)),"番号なし"))</f>
        <v/>
      </c>
      <c r="C482" s="47" t="n"/>
      <c r="D482" s="47" t="n"/>
      <c r="E482" s="48" t="n"/>
      <c r="F482" s="48" t="n"/>
      <c r="G482" s="47" t="n"/>
      <c r="H482" s="47" t="n"/>
    </row>
    <row r="483">
      <c r="A483" s="52" t="n"/>
      <c r="B483" s="47">
        <f>IF(A483="","",IFERROR(INDEX('隊員マスタ'!$B$5:$B$204,MATCH(A483&amp;"",'隊員マスタ'!$F$5:$F$204,0)),"番号なし"))</f>
        <v/>
      </c>
      <c r="C483" s="47" t="n"/>
      <c r="D483" s="47" t="n"/>
      <c r="E483" s="48" t="n"/>
      <c r="F483" s="48" t="n"/>
      <c r="G483" s="47" t="n"/>
      <c r="H483" s="47" t="n"/>
    </row>
    <row r="484">
      <c r="A484" s="52" t="n"/>
      <c r="B484" s="47">
        <f>IF(A484="","",IFERROR(INDEX('隊員マスタ'!$B$5:$B$204,MATCH(A484&amp;"",'隊員マスタ'!$F$5:$F$204,0)),"番号なし"))</f>
        <v/>
      </c>
      <c r="C484" s="47" t="n"/>
      <c r="D484" s="47" t="n"/>
      <c r="E484" s="48" t="n"/>
      <c r="F484" s="48" t="n"/>
      <c r="G484" s="47" t="n"/>
      <c r="H484" s="47" t="n"/>
    </row>
    <row r="485">
      <c r="A485" s="52" t="n"/>
      <c r="B485" s="47">
        <f>IF(A485="","",IFERROR(INDEX('隊員マスタ'!$B$5:$B$204,MATCH(A485&amp;"",'隊員マスタ'!$F$5:$F$204,0)),"番号なし"))</f>
        <v/>
      </c>
      <c r="C485" s="47" t="n"/>
      <c r="D485" s="47" t="n"/>
      <c r="E485" s="48" t="n"/>
      <c r="F485" s="48" t="n"/>
      <c r="G485" s="47" t="n"/>
      <c r="H485" s="47" t="n"/>
    </row>
    <row r="486">
      <c r="A486" s="52" t="n"/>
      <c r="B486" s="47">
        <f>IF(A486="","",IFERROR(INDEX('隊員マスタ'!$B$5:$B$204,MATCH(A486&amp;"",'隊員マスタ'!$F$5:$F$204,0)),"番号なし"))</f>
        <v/>
      </c>
      <c r="C486" s="47" t="n"/>
      <c r="D486" s="47" t="n"/>
      <c r="E486" s="48" t="n"/>
      <c r="F486" s="48" t="n"/>
      <c r="G486" s="47" t="n"/>
      <c r="H486" s="47" t="n"/>
    </row>
    <row r="487">
      <c r="A487" s="52" t="n"/>
      <c r="B487" s="47">
        <f>IF(A487="","",IFERROR(INDEX('隊員マスタ'!$B$5:$B$204,MATCH(A487&amp;"",'隊員マスタ'!$F$5:$F$204,0)),"番号なし"))</f>
        <v/>
      </c>
      <c r="C487" s="47" t="n"/>
      <c r="D487" s="47" t="n"/>
      <c r="E487" s="48" t="n"/>
      <c r="F487" s="48" t="n"/>
      <c r="G487" s="47" t="n"/>
      <c r="H487" s="47" t="n"/>
    </row>
    <row r="488">
      <c r="A488" s="52" t="n"/>
      <c r="B488" s="47">
        <f>IF(A488="","",IFERROR(INDEX('隊員マスタ'!$B$5:$B$204,MATCH(A488&amp;"",'隊員マスタ'!$F$5:$F$204,0)),"番号なし"))</f>
        <v/>
      </c>
      <c r="C488" s="47" t="n"/>
      <c r="D488" s="47" t="n"/>
      <c r="E488" s="48" t="n"/>
      <c r="F488" s="48" t="n"/>
      <c r="G488" s="47" t="n"/>
      <c r="H488" s="47" t="n"/>
    </row>
    <row r="489">
      <c r="A489" s="52" t="n"/>
      <c r="B489" s="47">
        <f>IF(A489="","",IFERROR(INDEX('隊員マスタ'!$B$5:$B$204,MATCH(A489&amp;"",'隊員マスタ'!$F$5:$F$204,0)),"番号なし"))</f>
        <v/>
      </c>
      <c r="C489" s="47" t="n"/>
      <c r="D489" s="47" t="n"/>
      <c r="E489" s="48" t="n"/>
      <c r="F489" s="48" t="n"/>
      <c r="G489" s="47" t="n"/>
      <c r="H489" s="47" t="n"/>
    </row>
    <row r="490">
      <c r="A490" s="52" t="n"/>
      <c r="B490" s="47">
        <f>IF(A490="","",IFERROR(INDEX('隊員マスタ'!$B$5:$B$204,MATCH(A490&amp;"",'隊員マスタ'!$F$5:$F$204,0)),"番号なし"))</f>
        <v/>
      </c>
      <c r="C490" s="47" t="n"/>
      <c r="D490" s="47" t="n"/>
      <c r="E490" s="48" t="n"/>
      <c r="F490" s="48" t="n"/>
      <c r="G490" s="47" t="n"/>
      <c r="H490" s="47" t="n"/>
    </row>
    <row r="491">
      <c r="A491" s="52" t="n"/>
      <c r="B491" s="47">
        <f>IF(A491="","",IFERROR(INDEX('隊員マスタ'!$B$5:$B$204,MATCH(A491&amp;"",'隊員マスタ'!$F$5:$F$204,0)),"番号なし"))</f>
        <v/>
      </c>
      <c r="C491" s="47" t="n"/>
      <c r="D491" s="47" t="n"/>
      <c r="E491" s="48" t="n"/>
      <c r="F491" s="48" t="n"/>
      <c r="G491" s="47" t="n"/>
      <c r="H491" s="47" t="n"/>
    </row>
    <row r="492">
      <c r="A492" s="52" t="n"/>
      <c r="B492" s="47">
        <f>IF(A492="","",IFERROR(INDEX('隊員マスタ'!$B$5:$B$204,MATCH(A492&amp;"",'隊員マスタ'!$F$5:$F$204,0)),"番号なし"))</f>
        <v/>
      </c>
      <c r="C492" s="47" t="n"/>
      <c r="D492" s="47" t="n"/>
      <c r="E492" s="48" t="n"/>
      <c r="F492" s="48" t="n"/>
      <c r="G492" s="47" t="n"/>
      <c r="H492" s="47" t="n"/>
    </row>
    <row r="493">
      <c r="A493" s="52" t="n"/>
      <c r="B493" s="47">
        <f>IF(A493="","",IFERROR(INDEX('隊員マスタ'!$B$5:$B$204,MATCH(A493&amp;"",'隊員マスタ'!$F$5:$F$204,0)),"番号なし"))</f>
        <v/>
      </c>
      <c r="C493" s="47" t="n"/>
      <c r="D493" s="47" t="n"/>
      <c r="E493" s="48" t="n"/>
      <c r="F493" s="48" t="n"/>
      <c r="G493" s="47" t="n"/>
      <c r="H493" s="47" t="n"/>
    </row>
    <row r="494">
      <c r="A494" s="52" t="n"/>
      <c r="B494" s="47">
        <f>IF(A494="","",IFERROR(INDEX('隊員マスタ'!$B$5:$B$204,MATCH(A494&amp;"",'隊員マスタ'!$F$5:$F$204,0)),"番号なし"))</f>
        <v/>
      </c>
      <c r="C494" s="47" t="n"/>
      <c r="D494" s="47" t="n"/>
      <c r="E494" s="48" t="n"/>
      <c r="F494" s="48" t="n"/>
      <c r="G494" s="47" t="n"/>
      <c r="H494" s="47" t="n"/>
    </row>
    <row r="495">
      <c r="A495" s="52" t="n"/>
      <c r="B495" s="47">
        <f>IF(A495="","",IFERROR(INDEX('隊員マスタ'!$B$5:$B$204,MATCH(A495&amp;"",'隊員マスタ'!$F$5:$F$204,0)),"番号なし"))</f>
        <v/>
      </c>
      <c r="C495" s="47" t="n"/>
      <c r="D495" s="47" t="n"/>
      <c r="E495" s="48" t="n"/>
      <c r="F495" s="48" t="n"/>
      <c r="G495" s="47" t="n"/>
      <c r="H495" s="47" t="n"/>
    </row>
    <row r="496">
      <c r="A496" s="52" t="n"/>
      <c r="B496" s="47">
        <f>IF(A496="","",IFERROR(INDEX('隊員マスタ'!$B$5:$B$204,MATCH(A496&amp;"",'隊員マスタ'!$F$5:$F$204,0)),"番号なし"))</f>
        <v/>
      </c>
      <c r="C496" s="47" t="n"/>
      <c r="D496" s="47" t="n"/>
      <c r="E496" s="48" t="n"/>
      <c r="F496" s="48" t="n"/>
      <c r="G496" s="47" t="n"/>
      <c r="H496" s="47" t="n"/>
    </row>
    <row r="497">
      <c r="A497" s="52" t="n"/>
      <c r="B497" s="47">
        <f>IF(A497="","",IFERROR(INDEX('隊員マスタ'!$B$5:$B$204,MATCH(A497&amp;"",'隊員マスタ'!$F$5:$F$204,0)),"番号なし"))</f>
        <v/>
      </c>
      <c r="C497" s="47" t="n"/>
      <c r="D497" s="47" t="n"/>
      <c r="E497" s="48" t="n"/>
      <c r="F497" s="48" t="n"/>
      <c r="G497" s="47" t="n"/>
      <c r="H497" s="47" t="n"/>
    </row>
    <row r="498">
      <c r="A498" s="52" t="n"/>
      <c r="B498" s="47">
        <f>IF(A498="","",IFERROR(INDEX('隊員マスタ'!$B$5:$B$204,MATCH(A498&amp;"",'隊員マスタ'!$F$5:$F$204,0)),"番号なし"))</f>
        <v/>
      </c>
      <c r="C498" s="47" t="n"/>
      <c r="D498" s="47" t="n"/>
      <c r="E498" s="48" t="n"/>
      <c r="F498" s="48" t="n"/>
      <c r="G498" s="47" t="n"/>
      <c r="H498" s="47" t="n"/>
    </row>
    <row r="499">
      <c r="A499" s="52" t="n"/>
      <c r="B499" s="47">
        <f>IF(A499="","",IFERROR(INDEX('隊員マスタ'!$B$5:$B$204,MATCH(A499&amp;"",'隊員マスタ'!$F$5:$F$204,0)),"番号なし"))</f>
        <v/>
      </c>
      <c r="C499" s="47" t="n"/>
      <c r="D499" s="47" t="n"/>
      <c r="E499" s="48" t="n"/>
      <c r="F499" s="48" t="n"/>
      <c r="G499" s="47" t="n"/>
      <c r="H499" s="47" t="n"/>
    </row>
    <row r="500">
      <c r="A500" s="52" t="n"/>
      <c r="B500" s="47">
        <f>IF(A500="","",IFERROR(INDEX('隊員マスタ'!$B$5:$B$204,MATCH(A500&amp;"",'隊員マスタ'!$F$5:$F$204,0)),"番号なし"))</f>
        <v/>
      </c>
      <c r="C500" s="47" t="n"/>
      <c r="D500" s="47" t="n"/>
      <c r="E500" s="48" t="n"/>
      <c r="F500" s="48" t="n"/>
      <c r="G500" s="47" t="n"/>
      <c r="H500" s="47" t="n"/>
    </row>
    <row r="501">
      <c r="A501" s="52" t="n"/>
      <c r="B501" s="47">
        <f>IF(A501="","",IFERROR(INDEX('隊員マスタ'!$B$5:$B$204,MATCH(A501&amp;"",'隊員マスタ'!$F$5:$F$204,0)),"番号なし"))</f>
        <v/>
      </c>
      <c r="C501" s="47" t="n"/>
      <c r="D501" s="47" t="n"/>
      <c r="E501" s="48" t="n"/>
      <c r="F501" s="48" t="n"/>
      <c r="G501" s="47" t="n"/>
      <c r="H501" s="47" t="n"/>
    </row>
    <row r="502">
      <c r="A502" s="52" t="n"/>
      <c r="B502" s="47">
        <f>IF(A502="","",IFERROR(INDEX('隊員マスタ'!$B$5:$B$204,MATCH(A502&amp;"",'隊員マスタ'!$F$5:$F$204,0)),"番号なし"))</f>
        <v/>
      </c>
      <c r="C502" s="47" t="n"/>
      <c r="D502" s="47" t="n"/>
      <c r="E502" s="48" t="n"/>
      <c r="F502" s="48" t="n"/>
      <c r="G502" s="47" t="n"/>
      <c r="H502" s="47" t="n"/>
    </row>
    <row r="503">
      <c r="A503" s="52" t="n"/>
      <c r="B503" s="47">
        <f>IF(A503="","",IFERROR(INDEX('隊員マスタ'!$B$5:$B$204,MATCH(A503&amp;"",'隊員マスタ'!$F$5:$F$204,0)),"番号なし"))</f>
        <v/>
      </c>
      <c r="C503" s="47" t="n"/>
      <c r="D503" s="47" t="n"/>
      <c r="E503" s="48" t="n"/>
      <c r="F503" s="48" t="n"/>
      <c r="G503" s="47" t="n"/>
      <c r="H503" s="47" t="n"/>
    </row>
    <row r="504">
      <c r="A504" s="52" t="n"/>
      <c r="B504" s="47">
        <f>IF(A504="","",IFERROR(INDEX('隊員マスタ'!$B$5:$B$204,MATCH(A504&amp;"",'隊員マスタ'!$F$5:$F$204,0)),"番号なし"))</f>
        <v/>
      </c>
      <c r="C504" s="47" t="n"/>
      <c r="D504" s="47" t="n"/>
      <c r="E504" s="48" t="n"/>
      <c r="F504" s="48" t="n"/>
      <c r="G504" s="47" t="n"/>
      <c r="H504" s="47" t="n"/>
    </row>
    <row r="505">
      <c r="A505" s="52" t="n"/>
      <c r="B505" s="47">
        <f>IF(A505="","",IFERROR(INDEX('隊員マスタ'!$B$5:$B$204,MATCH(A505&amp;"",'隊員マスタ'!$F$5:$F$204,0)),"番号なし"))</f>
        <v/>
      </c>
      <c r="C505" s="47" t="n"/>
      <c r="D505" s="47" t="n"/>
      <c r="E505" s="48" t="n"/>
      <c r="F505" s="48" t="n"/>
      <c r="G505" s="47" t="n"/>
      <c r="H505" s="47" t="n"/>
    </row>
    <row r="506">
      <c r="A506" s="52" t="n"/>
      <c r="B506" s="47">
        <f>IF(A506="","",IFERROR(INDEX('隊員マスタ'!$B$5:$B$204,MATCH(A506&amp;"",'隊員マスタ'!$F$5:$F$204,0)),"番号なし"))</f>
        <v/>
      </c>
      <c r="C506" s="47" t="n"/>
      <c r="D506" s="47" t="n"/>
      <c r="E506" s="48" t="n"/>
      <c r="F506" s="48" t="n"/>
      <c r="G506" s="47" t="n"/>
      <c r="H506" s="47" t="n"/>
    </row>
    <row r="507">
      <c r="A507" s="52" t="n"/>
      <c r="B507" s="47">
        <f>IF(A507="","",IFERROR(INDEX('隊員マスタ'!$B$5:$B$204,MATCH(A507&amp;"",'隊員マスタ'!$F$5:$F$204,0)),"番号なし"))</f>
        <v/>
      </c>
      <c r="C507" s="47" t="n"/>
      <c r="D507" s="47" t="n"/>
      <c r="E507" s="48" t="n"/>
      <c r="F507" s="48" t="n"/>
      <c r="G507" s="47" t="n"/>
      <c r="H507" s="47" t="n"/>
    </row>
    <row r="508">
      <c r="A508" s="52" t="n"/>
      <c r="B508" s="47">
        <f>IF(A508="","",IFERROR(INDEX('隊員マスタ'!$B$5:$B$204,MATCH(A508&amp;"",'隊員マスタ'!$F$5:$F$204,0)),"番号なし"))</f>
        <v/>
      </c>
      <c r="C508" s="47" t="n"/>
      <c r="D508" s="47" t="n"/>
      <c r="E508" s="48" t="n"/>
      <c r="F508" s="48" t="n"/>
      <c r="G508" s="47" t="n"/>
      <c r="H508" s="47" t="n"/>
    </row>
    <row r="509">
      <c r="A509" s="52" t="n"/>
      <c r="B509" s="47">
        <f>IF(A509="","",IFERROR(INDEX('隊員マスタ'!$B$5:$B$204,MATCH(A509&amp;"",'隊員マスタ'!$F$5:$F$204,0)),"番号なし"))</f>
        <v/>
      </c>
      <c r="C509" s="47" t="n"/>
      <c r="D509" s="47" t="n"/>
      <c r="E509" s="48" t="n"/>
      <c r="F509" s="48" t="n"/>
      <c r="G509" s="47" t="n"/>
      <c r="H509" s="47" t="n"/>
    </row>
    <row r="510">
      <c r="A510" s="52" t="n"/>
      <c r="B510" s="47">
        <f>IF(A510="","",IFERROR(INDEX('隊員マスタ'!$B$5:$B$204,MATCH(A510&amp;"",'隊員マスタ'!$F$5:$F$204,0)),"番号なし"))</f>
        <v/>
      </c>
      <c r="C510" s="47" t="n"/>
      <c r="D510" s="47" t="n"/>
      <c r="E510" s="48" t="n"/>
      <c r="F510" s="48" t="n"/>
      <c r="G510" s="47" t="n"/>
      <c r="H510" s="47" t="n"/>
    </row>
    <row r="511">
      <c r="A511" s="52" t="n"/>
      <c r="B511" s="47">
        <f>IF(A511="","",IFERROR(INDEX('隊員マスタ'!$B$5:$B$204,MATCH(A511&amp;"",'隊員マスタ'!$F$5:$F$204,0)),"番号なし"))</f>
        <v/>
      </c>
      <c r="C511" s="47" t="n"/>
      <c r="D511" s="47" t="n"/>
      <c r="E511" s="48" t="n"/>
      <c r="F511" s="48" t="n"/>
      <c r="G511" s="47" t="n"/>
      <c r="H511" s="47" t="n"/>
    </row>
    <row r="512">
      <c r="A512" s="52" t="n"/>
      <c r="B512" s="47">
        <f>IF(A512="","",IFERROR(INDEX('隊員マスタ'!$B$5:$B$204,MATCH(A512&amp;"",'隊員マスタ'!$F$5:$F$204,0)),"番号なし"))</f>
        <v/>
      </c>
      <c r="C512" s="47" t="n"/>
      <c r="D512" s="47" t="n"/>
      <c r="E512" s="48" t="n"/>
      <c r="F512" s="48" t="n"/>
      <c r="G512" s="47" t="n"/>
      <c r="H512" s="47" t="n"/>
    </row>
    <row r="513">
      <c r="A513" s="52" t="n"/>
      <c r="B513" s="47">
        <f>IF(A513="","",IFERROR(INDEX('隊員マスタ'!$B$5:$B$204,MATCH(A513&amp;"",'隊員マスタ'!$F$5:$F$204,0)),"番号なし"))</f>
        <v/>
      </c>
      <c r="C513" s="47" t="n"/>
      <c r="D513" s="47" t="n"/>
      <c r="E513" s="48" t="n"/>
      <c r="F513" s="48" t="n"/>
      <c r="G513" s="47" t="n"/>
      <c r="H513" s="47" t="n"/>
    </row>
    <row r="514">
      <c r="A514" s="52" t="n"/>
      <c r="B514" s="47">
        <f>IF(A514="","",IFERROR(INDEX('隊員マスタ'!$B$5:$B$204,MATCH(A514&amp;"",'隊員マスタ'!$F$5:$F$204,0)),"番号なし"))</f>
        <v/>
      </c>
      <c r="C514" s="47" t="n"/>
      <c r="D514" s="47" t="n"/>
      <c r="E514" s="48" t="n"/>
      <c r="F514" s="48" t="n"/>
      <c r="G514" s="47" t="n"/>
      <c r="H514" s="47" t="n"/>
    </row>
    <row r="515">
      <c r="A515" s="52" t="n"/>
      <c r="B515" s="47">
        <f>IF(A515="","",IFERROR(INDEX('隊員マスタ'!$B$5:$B$204,MATCH(A515&amp;"",'隊員マスタ'!$F$5:$F$204,0)),"番号なし"))</f>
        <v/>
      </c>
      <c r="C515" s="47" t="n"/>
      <c r="D515" s="47" t="n"/>
      <c r="E515" s="48" t="n"/>
      <c r="F515" s="48" t="n"/>
      <c r="G515" s="47" t="n"/>
      <c r="H515" s="47" t="n"/>
    </row>
    <row r="516">
      <c r="A516" s="52" t="n"/>
      <c r="B516" s="47">
        <f>IF(A516="","",IFERROR(INDEX('隊員マスタ'!$B$5:$B$204,MATCH(A516&amp;"",'隊員マスタ'!$F$5:$F$204,0)),"番号なし"))</f>
        <v/>
      </c>
      <c r="C516" s="47" t="n"/>
      <c r="D516" s="47" t="n"/>
      <c r="E516" s="48" t="n"/>
      <c r="F516" s="48" t="n"/>
      <c r="G516" s="47" t="n"/>
      <c r="H516" s="47" t="n"/>
    </row>
    <row r="517">
      <c r="A517" s="52" t="n"/>
      <c r="B517" s="47">
        <f>IF(A517="","",IFERROR(INDEX('隊員マスタ'!$B$5:$B$204,MATCH(A517&amp;"",'隊員マスタ'!$F$5:$F$204,0)),"番号なし"))</f>
        <v/>
      </c>
      <c r="C517" s="47" t="n"/>
      <c r="D517" s="47" t="n"/>
      <c r="E517" s="48" t="n"/>
      <c r="F517" s="48" t="n"/>
      <c r="G517" s="47" t="n"/>
      <c r="H517" s="47" t="n"/>
    </row>
    <row r="518">
      <c r="A518" s="52" t="n"/>
      <c r="B518" s="47">
        <f>IF(A518="","",IFERROR(INDEX('隊員マスタ'!$B$5:$B$204,MATCH(A518&amp;"",'隊員マスタ'!$F$5:$F$204,0)),"番号なし"))</f>
        <v/>
      </c>
      <c r="C518" s="47" t="n"/>
      <c r="D518" s="47" t="n"/>
      <c r="E518" s="48" t="n"/>
      <c r="F518" s="48" t="n"/>
      <c r="G518" s="47" t="n"/>
      <c r="H518" s="47" t="n"/>
    </row>
    <row r="519">
      <c r="A519" s="52" t="n"/>
      <c r="B519" s="47">
        <f>IF(A519="","",IFERROR(INDEX('隊員マスタ'!$B$5:$B$204,MATCH(A519&amp;"",'隊員マスタ'!$F$5:$F$204,0)),"番号なし"))</f>
        <v/>
      </c>
      <c r="C519" s="47" t="n"/>
      <c r="D519" s="47" t="n"/>
      <c r="E519" s="48" t="n"/>
      <c r="F519" s="48" t="n"/>
      <c r="G519" s="47" t="n"/>
      <c r="H519" s="47" t="n"/>
    </row>
    <row r="520">
      <c r="A520" s="52" t="n"/>
      <c r="B520" s="47">
        <f>IF(A520="","",IFERROR(INDEX('隊員マスタ'!$B$5:$B$204,MATCH(A520&amp;"",'隊員マスタ'!$F$5:$F$204,0)),"番号なし"))</f>
        <v/>
      </c>
      <c r="C520" s="47" t="n"/>
      <c r="D520" s="47" t="n"/>
      <c r="E520" s="48" t="n"/>
      <c r="F520" s="48" t="n"/>
      <c r="G520" s="47" t="n"/>
      <c r="H520" s="47" t="n"/>
    </row>
    <row r="521">
      <c r="A521" s="52" t="n"/>
      <c r="B521" s="47">
        <f>IF(A521="","",IFERROR(INDEX('隊員マスタ'!$B$5:$B$204,MATCH(A521&amp;"",'隊員マスタ'!$F$5:$F$204,0)),"番号なし"))</f>
        <v/>
      </c>
      <c r="C521" s="47" t="n"/>
      <c r="D521" s="47" t="n"/>
      <c r="E521" s="48" t="n"/>
      <c r="F521" s="48" t="n"/>
      <c r="G521" s="47" t="n"/>
      <c r="H521" s="47" t="n"/>
    </row>
    <row r="522">
      <c r="A522" s="52" t="n"/>
      <c r="B522" s="47">
        <f>IF(A522="","",IFERROR(INDEX('隊員マスタ'!$B$5:$B$204,MATCH(A522&amp;"",'隊員マスタ'!$F$5:$F$204,0)),"番号なし"))</f>
        <v/>
      </c>
      <c r="C522" s="47" t="n"/>
      <c r="D522" s="47" t="n"/>
      <c r="E522" s="48" t="n"/>
      <c r="F522" s="48" t="n"/>
      <c r="G522" s="47" t="n"/>
      <c r="H522" s="47" t="n"/>
    </row>
    <row r="523">
      <c r="A523" s="52" t="n"/>
      <c r="B523" s="47">
        <f>IF(A523="","",IFERROR(INDEX('隊員マスタ'!$B$5:$B$204,MATCH(A523&amp;"",'隊員マスタ'!$F$5:$F$204,0)),"番号なし"))</f>
        <v/>
      </c>
      <c r="C523" s="47" t="n"/>
      <c r="D523" s="47" t="n"/>
      <c r="E523" s="48" t="n"/>
      <c r="F523" s="48" t="n"/>
      <c r="G523" s="47" t="n"/>
      <c r="H523" s="47" t="n"/>
    </row>
    <row r="524">
      <c r="A524" s="52" t="n"/>
      <c r="B524" s="47">
        <f>IF(A524="","",IFERROR(INDEX('隊員マスタ'!$B$5:$B$204,MATCH(A524&amp;"",'隊員マスタ'!$F$5:$F$204,0)),"番号なし"))</f>
        <v/>
      </c>
      <c r="C524" s="47" t="n"/>
      <c r="D524" s="47" t="n"/>
      <c r="E524" s="48" t="n"/>
      <c r="F524" s="48" t="n"/>
      <c r="G524" s="47" t="n"/>
      <c r="H524" s="47" t="n"/>
    </row>
    <row r="525">
      <c r="A525" s="52" t="n"/>
      <c r="B525" s="47">
        <f>IF(A525="","",IFERROR(INDEX('隊員マスタ'!$B$5:$B$204,MATCH(A525&amp;"",'隊員マスタ'!$F$5:$F$204,0)),"番号なし"))</f>
        <v/>
      </c>
      <c r="C525" s="47" t="n"/>
      <c r="D525" s="47" t="n"/>
      <c r="E525" s="48" t="n"/>
      <c r="F525" s="48" t="n"/>
      <c r="G525" s="47" t="n"/>
      <c r="H525" s="47" t="n"/>
    </row>
    <row r="526">
      <c r="A526" s="52" t="n"/>
      <c r="B526" s="47">
        <f>IF(A526="","",IFERROR(INDEX('隊員マスタ'!$B$5:$B$204,MATCH(A526&amp;"",'隊員マスタ'!$F$5:$F$204,0)),"番号なし"))</f>
        <v/>
      </c>
      <c r="C526" s="47" t="n"/>
      <c r="D526" s="47" t="n"/>
      <c r="E526" s="48" t="n"/>
      <c r="F526" s="48" t="n"/>
      <c r="G526" s="47" t="n"/>
      <c r="H526" s="47" t="n"/>
    </row>
    <row r="527">
      <c r="A527" s="52" t="n"/>
      <c r="B527" s="47">
        <f>IF(A527="","",IFERROR(INDEX('隊員マスタ'!$B$5:$B$204,MATCH(A527&amp;"",'隊員マスタ'!$F$5:$F$204,0)),"番号なし"))</f>
        <v/>
      </c>
      <c r="C527" s="47" t="n"/>
      <c r="D527" s="47" t="n"/>
      <c r="E527" s="48" t="n"/>
      <c r="F527" s="48" t="n"/>
      <c r="G527" s="47" t="n"/>
      <c r="H527" s="47" t="n"/>
    </row>
    <row r="528">
      <c r="A528" s="52" t="n"/>
      <c r="B528" s="47">
        <f>IF(A528="","",IFERROR(INDEX('隊員マスタ'!$B$5:$B$204,MATCH(A528&amp;"",'隊員マスタ'!$F$5:$F$204,0)),"番号なし"))</f>
        <v/>
      </c>
      <c r="C528" s="47" t="n"/>
      <c r="D528" s="47" t="n"/>
      <c r="E528" s="48" t="n"/>
      <c r="F528" s="48" t="n"/>
      <c r="G528" s="47" t="n"/>
      <c r="H528" s="47" t="n"/>
    </row>
    <row r="529">
      <c r="A529" s="52" t="n"/>
      <c r="B529" s="47">
        <f>IF(A529="","",IFERROR(INDEX('隊員マスタ'!$B$5:$B$204,MATCH(A529&amp;"",'隊員マスタ'!$F$5:$F$204,0)),"番号なし"))</f>
        <v/>
      </c>
      <c r="C529" s="47" t="n"/>
      <c r="D529" s="47" t="n"/>
      <c r="E529" s="48" t="n"/>
      <c r="F529" s="48" t="n"/>
      <c r="G529" s="47" t="n"/>
      <c r="H529" s="47" t="n"/>
    </row>
    <row r="530">
      <c r="A530" s="52" t="n"/>
      <c r="B530" s="47">
        <f>IF(A530="","",IFERROR(INDEX('隊員マスタ'!$B$5:$B$204,MATCH(A530&amp;"",'隊員マスタ'!$F$5:$F$204,0)),"番号なし"))</f>
        <v/>
      </c>
      <c r="C530" s="47" t="n"/>
      <c r="D530" s="47" t="n"/>
      <c r="E530" s="48" t="n"/>
      <c r="F530" s="48" t="n"/>
      <c r="G530" s="47" t="n"/>
      <c r="H530" s="47" t="n"/>
    </row>
    <row r="531">
      <c r="A531" s="52" t="n"/>
      <c r="B531" s="47">
        <f>IF(A531="","",IFERROR(INDEX('隊員マスタ'!$B$5:$B$204,MATCH(A531&amp;"",'隊員マスタ'!$F$5:$F$204,0)),"番号なし"))</f>
        <v/>
      </c>
      <c r="C531" s="47" t="n"/>
      <c r="D531" s="47" t="n"/>
      <c r="E531" s="48" t="n"/>
      <c r="F531" s="48" t="n"/>
      <c r="G531" s="47" t="n"/>
      <c r="H531" s="47" t="n"/>
    </row>
    <row r="532">
      <c r="A532" s="52" t="n"/>
      <c r="B532" s="47">
        <f>IF(A532="","",IFERROR(INDEX('隊員マスタ'!$B$5:$B$204,MATCH(A532&amp;"",'隊員マスタ'!$F$5:$F$204,0)),"番号なし"))</f>
        <v/>
      </c>
      <c r="C532" s="47" t="n"/>
      <c r="D532" s="47" t="n"/>
      <c r="E532" s="48" t="n"/>
      <c r="F532" s="48" t="n"/>
      <c r="G532" s="47" t="n"/>
      <c r="H532" s="47" t="n"/>
    </row>
    <row r="533">
      <c r="A533" s="52" t="n"/>
      <c r="B533" s="47">
        <f>IF(A533="","",IFERROR(INDEX('隊員マスタ'!$B$5:$B$204,MATCH(A533&amp;"",'隊員マスタ'!$F$5:$F$204,0)),"番号なし"))</f>
        <v/>
      </c>
      <c r="C533" s="47" t="n"/>
      <c r="D533" s="47" t="n"/>
      <c r="E533" s="48" t="n"/>
      <c r="F533" s="48" t="n"/>
      <c r="G533" s="47" t="n"/>
      <c r="H533" s="47" t="n"/>
    </row>
    <row r="534">
      <c r="A534" s="52" t="n"/>
      <c r="B534" s="47">
        <f>IF(A534="","",IFERROR(INDEX('隊員マスタ'!$B$5:$B$204,MATCH(A534&amp;"",'隊員マスタ'!$F$5:$F$204,0)),"番号なし"))</f>
        <v/>
      </c>
      <c r="C534" s="47" t="n"/>
      <c r="D534" s="47" t="n"/>
      <c r="E534" s="48" t="n"/>
      <c r="F534" s="48" t="n"/>
      <c r="G534" s="47" t="n"/>
      <c r="H534" s="47" t="n"/>
    </row>
    <row r="535">
      <c r="A535" s="52" t="n"/>
      <c r="B535" s="47">
        <f>IF(A535="","",IFERROR(INDEX('隊員マスタ'!$B$5:$B$204,MATCH(A535&amp;"",'隊員マスタ'!$F$5:$F$204,0)),"番号なし"))</f>
        <v/>
      </c>
      <c r="C535" s="47" t="n"/>
      <c r="D535" s="47" t="n"/>
      <c r="E535" s="48" t="n"/>
      <c r="F535" s="48" t="n"/>
      <c r="G535" s="47" t="n"/>
      <c r="H535" s="47" t="n"/>
    </row>
    <row r="536">
      <c r="A536" s="52" t="n"/>
      <c r="B536" s="47">
        <f>IF(A536="","",IFERROR(INDEX('隊員マスタ'!$B$5:$B$204,MATCH(A536&amp;"",'隊員マスタ'!$F$5:$F$204,0)),"番号なし"))</f>
        <v/>
      </c>
      <c r="C536" s="47" t="n"/>
      <c r="D536" s="47" t="n"/>
      <c r="E536" s="48" t="n"/>
      <c r="F536" s="48" t="n"/>
      <c r="G536" s="47" t="n"/>
      <c r="H536" s="47" t="n"/>
    </row>
    <row r="537">
      <c r="A537" s="52" t="n"/>
      <c r="B537" s="47">
        <f>IF(A537="","",IFERROR(INDEX('隊員マスタ'!$B$5:$B$204,MATCH(A537&amp;"",'隊員マスタ'!$F$5:$F$204,0)),"番号なし"))</f>
        <v/>
      </c>
      <c r="C537" s="47" t="n"/>
      <c r="D537" s="47" t="n"/>
      <c r="E537" s="48" t="n"/>
      <c r="F537" s="48" t="n"/>
      <c r="G537" s="47" t="n"/>
      <c r="H537" s="47" t="n"/>
    </row>
    <row r="538">
      <c r="A538" s="52" t="n"/>
      <c r="B538" s="47">
        <f>IF(A538="","",IFERROR(INDEX('隊員マスタ'!$B$5:$B$204,MATCH(A538&amp;"",'隊員マスタ'!$F$5:$F$204,0)),"番号なし"))</f>
        <v/>
      </c>
      <c r="C538" s="47" t="n"/>
      <c r="D538" s="47" t="n"/>
      <c r="E538" s="48" t="n"/>
      <c r="F538" s="48" t="n"/>
      <c r="G538" s="47" t="n"/>
      <c r="H538" s="47" t="n"/>
    </row>
    <row r="539">
      <c r="A539" s="52" t="n"/>
      <c r="B539" s="47">
        <f>IF(A539="","",IFERROR(INDEX('隊員マスタ'!$B$5:$B$204,MATCH(A539&amp;"",'隊員マスタ'!$F$5:$F$204,0)),"番号なし"))</f>
        <v/>
      </c>
      <c r="C539" s="47" t="n"/>
      <c r="D539" s="47" t="n"/>
      <c r="E539" s="48" t="n"/>
      <c r="F539" s="48" t="n"/>
      <c r="G539" s="47" t="n"/>
      <c r="H539" s="47" t="n"/>
    </row>
    <row r="540">
      <c r="A540" s="52" t="n"/>
      <c r="B540" s="47">
        <f>IF(A540="","",IFERROR(INDEX('隊員マスタ'!$B$5:$B$204,MATCH(A540&amp;"",'隊員マスタ'!$F$5:$F$204,0)),"番号なし"))</f>
        <v/>
      </c>
      <c r="C540" s="47" t="n"/>
      <c r="D540" s="47" t="n"/>
      <c r="E540" s="48" t="n"/>
      <c r="F540" s="48" t="n"/>
      <c r="G540" s="47" t="n"/>
      <c r="H540" s="47" t="n"/>
    </row>
    <row r="541">
      <c r="A541" s="52" t="n"/>
      <c r="B541" s="47">
        <f>IF(A541="","",IFERROR(INDEX('隊員マスタ'!$B$5:$B$204,MATCH(A541&amp;"",'隊員マスタ'!$F$5:$F$204,0)),"番号なし"))</f>
        <v/>
      </c>
      <c r="C541" s="47" t="n"/>
      <c r="D541" s="47" t="n"/>
      <c r="E541" s="48" t="n"/>
      <c r="F541" s="48" t="n"/>
      <c r="G541" s="47" t="n"/>
      <c r="H541" s="47" t="n"/>
    </row>
    <row r="542">
      <c r="A542" s="52" t="n"/>
      <c r="B542" s="47">
        <f>IF(A542="","",IFERROR(INDEX('隊員マスタ'!$B$5:$B$204,MATCH(A542&amp;"",'隊員マスタ'!$F$5:$F$204,0)),"番号なし"))</f>
        <v/>
      </c>
      <c r="C542" s="47" t="n"/>
      <c r="D542" s="47" t="n"/>
      <c r="E542" s="48" t="n"/>
      <c r="F542" s="48" t="n"/>
      <c r="G542" s="47" t="n"/>
      <c r="H542" s="47" t="n"/>
    </row>
    <row r="543">
      <c r="A543" s="52" t="n"/>
      <c r="B543" s="47">
        <f>IF(A543="","",IFERROR(INDEX('隊員マスタ'!$B$5:$B$204,MATCH(A543&amp;"",'隊員マスタ'!$F$5:$F$204,0)),"番号なし"))</f>
        <v/>
      </c>
      <c r="C543" s="47" t="n"/>
      <c r="D543" s="47" t="n"/>
      <c r="E543" s="48" t="n"/>
      <c r="F543" s="48" t="n"/>
      <c r="G543" s="47" t="n"/>
      <c r="H543" s="47" t="n"/>
    </row>
    <row r="544">
      <c r="A544" s="52" t="n"/>
      <c r="B544" s="47">
        <f>IF(A544="","",IFERROR(INDEX('隊員マスタ'!$B$5:$B$204,MATCH(A544&amp;"",'隊員マスタ'!$F$5:$F$204,0)),"番号なし"))</f>
        <v/>
      </c>
      <c r="C544" s="47" t="n"/>
      <c r="D544" s="47" t="n"/>
      <c r="E544" s="48" t="n"/>
      <c r="F544" s="48" t="n"/>
      <c r="G544" s="47" t="n"/>
      <c r="H544" s="47" t="n"/>
    </row>
    <row r="545">
      <c r="A545" s="52" t="n"/>
      <c r="B545" s="47">
        <f>IF(A545="","",IFERROR(INDEX('隊員マスタ'!$B$5:$B$204,MATCH(A545&amp;"",'隊員マスタ'!$F$5:$F$204,0)),"番号なし"))</f>
        <v/>
      </c>
      <c r="C545" s="47" t="n"/>
      <c r="D545" s="47" t="n"/>
      <c r="E545" s="48" t="n"/>
      <c r="F545" s="48" t="n"/>
      <c r="G545" s="47" t="n"/>
      <c r="H545" s="47" t="n"/>
    </row>
    <row r="546">
      <c r="A546" s="52" t="n"/>
      <c r="B546" s="47">
        <f>IF(A546="","",IFERROR(INDEX('隊員マスタ'!$B$5:$B$204,MATCH(A546&amp;"",'隊員マスタ'!$F$5:$F$204,0)),"番号なし"))</f>
        <v/>
      </c>
      <c r="C546" s="47" t="n"/>
      <c r="D546" s="47" t="n"/>
      <c r="E546" s="48" t="n"/>
      <c r="F546" s="48" t="n"/>
      <c r="G546" s="47" t="n"/>
      <c r="H546" s="47" t="n"/>
    </row>
    <row r="547">
      <c r="A547" s="52" t="n"/>
      <c r="B547" s="47">
        <f>IF(A547="","",IFERROR(INDEX('隊員マスタ'!$B$5:$B$204,MATCH(A547&amp;"",'隊員マスタ'!$F$5:$F$204,0)),"番号なし"))</f>
        <v/>
      </c>
      <c r="C547" s="47" t="n"/>
      <c r="D547" s="47" t="n"/>
      <c r="E547" s="48" t="n"/>
      <c r="F547" s="48" t="n"/>
      <c r="G547" s="47" t="n"/>
      <c r="H547" s="47" t="n"/>
    </row>
    <row r="548">
      <c r="A548" s="52" t="n"/>
      <c r="B548" s="47">
        <f>IF(A548="","",IFERROR(INDEX('隊員マスタ'!$B$5:$B$204,MATCH(A548&amp;"",'隊員マスタ'!$F$5:$F$204,0)),"番号なし"))</f>
        <v/>
      </c>
      <c r="C548" s="47" t="n"/>
      <c r="D548" s="47" t="n"/>
      <c r="E548" s="48" t="n"/>
      <c r="F548" s="48" t="n"/>
      <c r="G548" s="47" t="n"/>
      <c r="H548" s="47" t="n"/>
    </row>
    <row r="549">
      <c r="A549" s="52" t="n"/>
      <c r="B549" s="47">
        <f>IF(A549="","",IFERROR(INDEX('隊員マスタ'!$B$5:$B$204,MATCH(A549&amp;"",'隊員マスタ'!$F$5:$F$204,0)),"番号なし"))</f>
        <v/>
      </c>
      <c r="C549" s="47" t="n"/>
      <c r="D549" s="47" t="n"/>
      <c r="E549" s="48" t="n"/>
      <c r="F549" s="48" t="n"/>
      <c r="G549" s="47" t="n"/>
      <c r="H549" s="47" t="n"/>
    </row>
    <row r="550">
      <c r="A550" s="52" t="n"/>
      <c r="B550" s="47">
        <f>IF(A550="","",IFERROR(INDEX('隊員マスタ'!$B$5:$B$204,MATCH(A550&amp;"",'隊員マスタ'!$F$5:$F$204,0)),"番号なし"))</f>
        <v/>
      </c>
      <c r="C550" s="47" t="n"/>
      <c r="D550" s="47" t="n"/>
      <c r="E550" s="48" t="n"/>
      <c r="F550" s="48" t="n"/>
      <c r="G550" s="47" t="n"/>
      <c r="H550" s="47" t="n"/>
    </row>
    <row r="551">
      <c r="A551" s="52" t="n"/>
      <c r="B551" s="47">
        <f>IF(A551="","",IFERROR(INDEX('隊員マスタ'!$B$5:$B$204,MATCH(A551&amp;"",'隊員マスタ'!$F$5:$F$204,0)),"番号なし"))</f>
        <v/>
      </c>
      <c r="C551" s="47" t="n"/>
      <c r="D551" s="47" t="n"/>
      <c r="E551" s="48" t="n"/>
      <c r="F551" s="48" t="n"/>
      <c r="G551" s="47" t="n"/>
      <c r="H551" s="47" t="n"/>
    </row>
    <row r="552">
      <c r="A552" s="52" t="n"/>
      <c r="B552" s="47">
        <f>IF(A552="","",IFERROR(INDEX('隊員マスタ'!$B$5:$B$204,MATCH(A552&amp;"",'隊員マスタ'!$F$5:$F$204,0)),"番号なし"))</f>
        <v/>
      </c>
      <c r="C552" s="47" t="n"/>
      <c r="D552" s="47" t="n"/>
      <c r="E552" s="48" t="n"/>
      <c r="F552" s="48" t="n"/>
      <c r="G552" s="47" t="n"/>
      <c r="H552" s="47" t="n"/>
    </row>
    <row r="553">
      <c r="A553" s="52" t="n"/>
      <c r="B553" s="47">
        <f>IF(A553="","",IFERROR(INDEX('隊員マスタ'!$B$5:$B$204,MATCH(A553&amp;"",'隊員マスタ'!$F$5:$F$204,0)),"番号なし"))</f>
        <v/>
      </c>
      <c r="C553" s="47" t="n"/>
      <c r="D553" s="47" t="n"/>
      <c r="E553" s="48" t="n"/>
      <c r="F553" s="48" t="n"/>
      <c r="G553" s="47" t="n"/>
      <c r="H553" s="47" t="n"/>
    </row>
    <row r="554">
      <c r="A554" s="52" t="n"/>
      <c r="B554" s="47">
        <f>IF(A554="","",IFERROR(INDEX('隊員マスタ'!$B$5:$B$204,MATCH(A554&amp;"",'隊員マスタ'!$F$5:$F$204,0)),"番号なし"))</f>
        <v/>
      </c>
      <c r="C554" s="47" t="n"/>
      <c r="D554" s="47" t="n"/>
      <c r="E554" s="48" t="n"/>
      <c r="F554" s="48" t="n"/>
      <c r="G554" s="47" t="n"/>
      <c r="H554" s="47" t="n"/>
    </row>
    <row r="555">
      <c r="A555" s="52" t="n"/>
      <c r="B555" s="47">
        <f>IF(A555="","",IFERROR(INDEX('隊員マスタ'!$B$5:$B$204,MATCH(A555&amp;"",'隊員マスタ'!$F$5:$F$204,0)),"番号なし"))</f>
        <v/>
      </c>
      <c r="C555" s="47" t="n"/>
      <c r="D555" s="47" t="n"/>
      <c r="E555" s="48" t="n"/>
      <c r="F555" s="48" t="n"/>
      <c r="G555" s="47" t="n"/>
      <c r="H555" s="47" t="n"/>
    </row>
    <row r="556">
      <c r="A556" s="52" t="n"/>
      <c r="B556" s="47">
        <f>IF(A556="","",IFERROR(INDEX('隊員マスタ'!$B$5:$B$204,MATCH(A556&amp;"",'隊員マスタ'!$F$5:$F$204,0)),"番号なし"))</f>
        <v/>
      </c>
      <c r="C556" s="47" t="n"/>
      <c r="D556" s="47" t="n"/>
      <c r="E556" s="48" t="n"/>
      <c r="F556" s="48" t="n"/>
      <c r="G556" s="47" t="n"/>
      <c r="H556" s="47" t="n"/>
    </row>
    <row r="557">
      <c r="A557" s="52" t="n"/>
      <c r="B557" s="47">
        <f>IF(A557="","",IFERROR(INDEX('隊員マスタ'!$B$5:$B$204,MATCH(A557&amp;"",'隊員マスタ'!$F$5:$F$204,0)),"番号なし"))</f>
        <v/>
      </c>
      <c r="C557" s="47" t="n"/>
      <c r="D557" s="47" t="n"/>
      <c r="E557" s="48" t="n"/>
      <c r="F557" s="48" t="n"/>
      <c r="G557" s="47" t="n"/>
      <c r="H557" s="47" t="n"/>
    </row>
    <row r="558">
      <c r="A558" s="52" t="n"/>
      <c r="B558" s="47">
        <f>IF(A558="","",IFERROR(INDEX('隊員マスタ'!$B$5:$B$204,MATCH(A558&amp;"",'隊員マスタ'!$F$5:$F$204,0)),"番号なし"))</f>
        <v/>
      </c>
      <c r="C558" s="47" t="n"/>
      <c r="D558" s="47" t="n"/>
      <c r="E558" s="48" t="n"/>
      <c r="F558" s="48" t="n"/>
      <c r="G558" s="47" t="n"/>
      <c r="H558" s="47" t="n"/>
    </row>
    <row r="559">
      <c r="A559" s="52" t="n"/>
      <c r="B559" s="47">
        <f>IF(A559="","",IFERROR(INDEX('隊員マスタ'!$B$5:$B$204,MATCH(A559&amp;"",'隊員マスタ'!$F$5:$F$204,0)),"番号なし"))</f>
        <v/>
      </c>
      <c r="C559" s="47" t="n"/>
      <c r="D559" s="47" t="n"/>
      <c r="E559" s="48" t="n"/>
      <c r="F559" s="48" t="n"/>
      <c r="G559" s="47" t="n"/>
      <c r="H559" s="47" t="n"/>
    </row>
    <row r="560">
      <c r="A560" s="52" t="n"/>
      <c r="B560" s="47">
        <f>IF(A560="","",IFERROR(INDEX('隊員マスタ'!$B$5:$B$204,MATCH(A560&amp;"",'隊員マスタ'!$F$5:$F$204,0)),"番号なし"))</f>
        <v/>
      </c>
      <c r="C560" s="47" t="n"/>
      <c r="D560" s="47" t="n"/>
      <c r="E560" s="48" t="n"/>
      <c r="F560" s="48" t="n"/>
      <c r="G560" s="47" t="n"/>
      <c r="H560" s="47" t="n"/>
    </row>
    <row r="561">
      <c r="A561" s="52" t="n"/>
      <c r="B561" s="47">
        <f>IF(A561="","",IFERROR(INDEX('隊員マスタ'!$B$5:$B$204,MATCH(A561&amp;"",'隊員マスタ'!$F$5:$F$204,0)),"番号なし"))</f>
        <v/>
      </c>
      <c r="C561" s="47" t="n"/>
      <c r="D561" s="47" t="n"/>
      <c r="E561" s="48" t="n"/>
      <c r="F561" s="48" t="n"/>
      <c r="G561" s="47" t="n"/>
      <c r="H561" s="47" t="n"/>
    </row>
    <row r="562">
      <c r="A562" s="52" t="n"/>
      <c r="B562" s="47">
        <f>IF(A562="","",IFERROR(INDEX('隊員マスタ'!$B$5:$B$204,MATCH(A562&amp;"",'隊員マスタ'!$F$5:$F$204,0)),"番号なし"))</f>
        <v/>
      </c>
      <c r="C562" s="47" t="n"/>
      <c r="D562" s="47" t="n"/>
      <c r="E562" s="48" t="n"/>
      <c r="F562" s="48" t="n"/>
      <c r="G562" s="47" t="n"/>
      <c r="H562" s="47" t="n"/>
    </row>
    <row r="563">
      <c r="A563" s="52" t="n"/>
      <c r="B563" s="47">
        <f>IF(A563="","",IFERROR(INDEX('隊員マスタ'!$B$5:$B$204,MATCH(A563&amp;"",'隊員マスタ'!$F$5:$F$204,0)),"番号なし"))</f>
        <v/>
      </c>
      <c r="C563" s="47" t="n"/>
      <c r="D563" s="47" t="n"/>
      <c r="E563" s="48" t="n"/>
      <c r="F563" s="48" t="n"/>
      <c r="G563" s="47" t="n"/>
      <c r="H563" s="47" t="n"/>
    </row>
    <row r="564">
      <c r="A564" s="52" t="n"/>
      <c r="B564" s="47">
        <f>IF(A564="","",IFERROR(INDEX('隊員マスタ'!$B$5:$B$204,MATCH(A564&amp;"",'隊員マスタ'!$F$5:$F$204,0)),"番号なし"))</f>
        <v/>
      </c>
      <c r="C564" s="47" t="n"/>
      <c r="D564" s="47" t="n"/>
      <c r="E564" s="48" t="n"/>
      <c r="F564" s="48" t="n"/>
      <c r="G564" s="47" t="n"/>
      <c r="H564" s="47" t="n"/>
    </row>
    <row r="565">
      <c r="A565" s="52" t="n"/>
      <c r="B565" s="47">
        <f>IF(A565="","",IFERROR(INDEX('隊員マスタ'!$B$5:$B$204,MATCH(A565&amp;"",'隊員マスタ'!$F$5:$F$204,0)),"番号なし"))</f>
        <v/>
      </c>
      <c r="C565" s="47" t="n"/>
      <c r="D565" s="47" t="n"/>
      <c r="E565" s="48" t="n"/>
      <c r="F565" s="48" t="n"/>
      <c r="G565" s="47" t="n"/>
      <c r="H565" s="47" t="n"/>
    </row>
    <row r="566">
      <c r="A566" s="52" t="n"/>
      <c r="B566" s="47">
        <f>IF(A566="","",IFERROR(INDEX('隊員マスタ'!$B$5:$B$204,MATCH(A566&amp;"",'隊員マスタ'!$F$5:$F$204,0)),"番号なし"))</f>
        <v/>
      </c>
      <c r="C566" s="47" t="n"/>
      <c r="D566" s="47" t="n"/>
      <c r="E566" s="48" t="n"/>
      <c r="F566" s="48" t="n"/>
      <c r="G566" s="47" t="n"/>
      <c r="H566" s="47" t="n"/>
    </row>
    <row r="567">
      <c r="A567" s="52" t="n"/>
      <c r="B567" s="47">
        <f>IF(A567="","",IFERROR(INDEX('隊員マスタ'!$B$5:$B$204,MATCH(A567&amp;"",'隊員マスタ'!$F$5:$F$204,0)),"番号なし"))</f>
        <v/>
      </c>
      <c r="C567" s="47" t="n"/>
      <c r="D567" s="47" t="n"/>
      <c r="E567" s="48" t="n"/>
      <c r="F567" s="48" t="n"/>
      <c r="G567" s="47" t="n"/>
      <c r="H567" s="47" t="n"/>
    </row>
    <row r="568">
      <c r="A568" s="52" t="n"/>
      <c r="B568" s="47">
        <f>IF(A568="","",IFERROR(INDEX('隊員マスタ'!$B$5:$B$204,MATCH(A568&amp;"",'隊員マスタ'!$F$5:$F$204,0)),"番号なし"))</f>
        <v/>
      </c>
      <c r="C568" s="47" t="n"/>
      <c r="D568" s="47" t="n"/>
      <c r="E568" s="48" t="n"/>
      <c r="F568" s="48" t="n"/>
      <c r="G568" s="47" t="n"/>
      <c r="H568" s="47" t="n"/>
    </row>
    <row r="569">
      <c r="A569" s="52" t="n"/>
      <c r="B569" s="47">
        <f>IF(A569="","",IFERROR(INDEX('隊員マスタ'!$B$5:$B$204,MATCH(A569&amp;"",'隊員マスタ'!$F$5:$F$204,0)),"番号なし"))</f>
        <v/>
      </c>
      <c r="C569" s="47" t="n"/>
      <c r="D569" s="47" t="n"/>
      <c r="E569" s="48" t="n"/>
      <c r="F569" s="48" t="n"/>
      <c r="G569" s="47" t="n"/>
      <c r="H569" s="47" t="n"/>
    </row>
    <row r="570">
      <c r="A570" s="52" t="n"/>
      <c r="B570" s="47">
        <f>IF(A570="","",IFERROR(INDEX('隊員マスタ'!$B$5:$B$204,MATCH(A570&amp;"",'隊員マスタ'!$F$5:$F$204,0)),"番号なし"))</f>
        <v/>
      </c>
      <c r="C570" s="47" t="n"/>
      <c r="D570" s="47" t="n"/>
      <c r="E570" s="48" t="n"/>
      <c r="F570" s="48" t="n"/>
      <c r="G570" s="47" t="n"/>
      <c r="H570" s="47" t="n"/>
    </row>
    <row r="571">
      <c r="A571" s="52" t="n"/>
      <c r="B571" s="47">
        <f>IF(A571="","",IFERROR(INDEX('隊員マスタ'!$B$5:$B$204,MATCH(A571&amp;"",'隊員マスタ'!$F$5:$F$204,0)),"番号なし"))</f>
        <v/>
      </c>
      <c r="C571" s="47" t="n"/>
      <c r="D571" s="47" t="n"/>
      <c r="E571" s="48" t="n"/>
      <c r="F571" s="48" t="n"/>
      <c r="G571" s="47" t="n"/>
      <c r="H571" s="47" t="n"/>
    </row>
    <row r="572">
      <c r="A572" s="52" t="n"/>
      <c r="B572" s="47">
        <f>IF(A572="","",IFERROR(INDEX('隊員マスタ'!$B$5:$B$204,MATCH(A572&amp;"",'隊員マスタ'!$F$5:$F$204,0)),"番号なし"))</f>
        <v/>
      </c>
      <c r="C572" s="47" t="n"/>
      <c r="D572" s="47" t="n"/>
      <c r="E572" s="48" t="n"/>
      <c r="F572" s="48" t="n"/>
      <c r="G572" s="47" t="n"/>
      <c r="H572" s="47" t="n"/>
    </row>
    <row r="573">
      <c r="A573" s="52" t="n"/>
      <c r="B573" s="47">
        <f>IF(A573="","",IFERROR(INDEX('隊員マスタ'!$B$5:$B$204,MATCH(A573&amp;"",'隊員マスタ'!$F$5:$F$204,0)),"番号なし"))</f>
        <v/>
      </c>
      <c r="C573" s="47" t="n"/>
      <c r="D573" s="47" t="n"/>
      <c r="E573" s="48" t="n"/>
      <c r="F573" s="48" t="n"/>
      <c r="G573" s="47" t="n"/>
      <c r="H573" s="47" t="n"/>
    </row>
    <row r="574">
      <c r="A574" s="52" t="n"/>
      <c r="B574" s="47">
        <f>IF(A574="","",IFERROR(INDEX('隊員マスタ'!$B$5:$B$204,MATCH(A574&amp;"",'隊員マスタ'!$F$5:$F$204,0)),"番号なし"))</f>
        <v/>
      </c>
      <c r="C574" s="47" t="n"/>
      <c r="D574" s="47" t="n"/>
      <c r="E574" s="48" t="n"/>
      <c r="F574" s="48" t="n"/>
      <c r="G574" s="47" t="n"/>
      <c r="H574" s="47" t="n"/>
    </row>
    <row r="575">
      <c r="A575" s="52" t="n"/>
      <c r="B575" s="47">
        <f>IF(A575="","",IFERROR(INDEX('隊員マスタ'!$B$5:$B$204,MATCH(A575&amp;"",'隊員マスタ'!$F$5:$F$204,0)),"番号なし"))</f>
        <v/>
      </c>
      <c r="C575" s="47" t="n"/>
      <c r="D575" s="47" t="n"/>
      <c r="E575" s="48" t="n"/>
      <c r="F575" s="48" t="n"/>
      <c r="G575" s="47" t="n"/>
      <c r="H575" s="47" t="n"/>
    </row>
    <row r="576">
      <c r="A576" s="52" t="n"/>
      <c r="B576" s="47">
        <f>IF(A576="","",IFERROR(INDEX('隊員マスタ'!$B$5:$B$204,MATCH(A576&amp;"",'隊員マスタ'!$F$5:$F$204,0)),"番号なし"))</f>
        <v/>
      </c>
      <c r="C576" s="47" t="n"/>
      <c r="D576" s="47" t="n"/>
      <c r="E576" s="48" t="n"/>
      <c r="F576" s="48" t="n"/>
      <c r="G576" s="47" t="n"/>
      <c r="H576" s="47" t="n"/>
    </row>
    <row r="577">
      <c r="A577" s="52" t="n"/>
      <c r="B577" s="47">
        <f>IF(A577="","",IFERROR(INDEX('隊員マスタ'!$B$5:$B$204,MATCH(A577&amp;"",'隊員マスタ'!$F$5:$F$204,0)),"番号なし"))</f>
        <v/>
      </c>
      <c r="C577" s="47" t="n"/>
      <c r="D577" s="47" t="n"/>
      <c r="E577" s="48" t="n"/>
      <c r="F577" s="48" t="n"/>
      <c r="G577" s="47" t="n"/>
      <c r="H577" s="47" t="n"/>
    </row>
    <row r="578">
      <c r="A578" s="52" t="n"/>
      <c r="B578" s="47">
        <f>IF(A578="","",IFERROR(INDEX('隊員マスタ'!$B$5:$B$204,MATCH(A578&amp;"",'隊員マスタ'!$F$5:$F$204,0)),"番号なし"))</f>
        <v/>
      </c>
      <c r="C578" s="47" t="n"/>
      <c r="D578" s="47" t="n"/>
      <c r="E578" s="48" t="n"/>
      <c r="F578" s="48" t="n"/>
      <c r="G578" s="47" t="n"/>
      <c r="H578" s="47" t="n"/>
    </row>
    <row r="579">
      <c r="A579" s="52" t="n"/>
      <c r="B579" s="47">
        <f>IF(A579="","",IFERROR(INDEX('隊員マスタ'!$B$5:$B$204,MATCH(A579&amp;"",'隊員マスタ'!$F$5:$F$204,0)),"番号なし"))</f>
        <v/>
      </c>
      <c r="C579" s="47" t="n"/>
      <c r="D579" s="47" t="n"/>
      <c r="E579" s="48" t="n"/>
      <c r="F579" s="48" t="n"/>
      <c r="G579" s="47" t="n"/>
      <c r="H579" s="47" t="n"/>
    </row>
    <row r="580">
      <c r="A580" s="52" t="n"/>
      <c r="B580" s="47">
        <f>IF(A580="","",IFERROR(INDEX('隊員マスタ'!$B$5:$B$204,MATCH(A580&amp;"",'隊員マスタ'!$F$5:$F$204,0)),"番号なし"))</f>
        <v/>
      </c>
      <c r="C580" s="47" t="n"/>
      <c r="D580" s="47" t="n"/>
      <c r="E580" s="48" t="n"/>
      <c r="F580" s="48" t="n"/>
      <c r="G580" s="47" t="n"/>
      <c r="H580" s="47" t="n"/>
    </row>
    <row r="581">
      <c r="A581" s="52" t="n"/>
      <c r="B581" s="47">
        <f>IF(A581="","",IFERROR(INDEX('隊員マスタ'!$B$5:$B$204,MATCH(A581&amp;"",'隊員マスタ'!$F$5:$F$204,0)),"番号なし"))</f>
        <v/>
      </c>
      <c r="C581" s="47" t="n"/>
      <c r="D581" s="47" t="n"/>
      <c r="E581" s="48" t="n"/>
      <c r="F581" s="48" t="n"/>
      <c r="G581" s="47" t="n"/>
      <c r="H581" s="47" t="n"/>
    </row>
    <row r="582">
      <c r="A582" s="52" t="n"/>
      <c r="B582" s="47">
        <f>IF(A582="","",IFERROR(INDEX('隊員マスタ'!$B$5:$B$204,MATCH(A582&amp;"",'隊員マスタ'!$F$5:$F$204,0)),"番号なし"))</f>
        <v/>
      </c>
      <c r="C582" s="47" t="n"/>
      <c r="D582" s="47" t="n"/>
      <c r="E582" s="48" t="n"/>
      <c r="F582" s="48" t="n"/>
      <c r="G582" s="47" t="n"/>
      <c r="H582" s="47" t="n"/>
    </row>
    <row r="583">
      <c r="A583" s="52" t="n"/>
      <c r="B583" s="47">
        <f>IF(A583="","",IFERROR(INDEX('隊員マスタ'!$B$5:$B$204,MATCH(A583&amp;"",'隊員マスタ'!$F$5:$F$204,0)),"番号なし"))</f>
        <v/>
      </c>
      <c r="C583" s="47" t="n"/>
      <c r="D583" s="47" t="n"/>
      <c r="E583" s="48" t="n"/>
      <c r="F583" s="48" t="n"/>
      <c r="G583" s="47" t="n"/>
      <c r="H583" s="47" t="n"/>
    </row>
    <row r="584">
      <c r="A584" s="52" t="n"/>
      <c r="B584" s="47">
        <f>IF(A584="","",IFERROR(INDEX('隊員マスタ'!$B$5:$B$204,MATCH(A584&amp;"",'隊員マスタ'!$F$5:$F$204,0)),"番号なし"))</f>
        <v/>
      </c>
      <c r="C584" s="47" t="n"/>
      <c r="D584" s="47" t="n"/>
      <c r="E584" s="48" t="n"/>
      <c r="F584" s="48" t="n"/>
      <c r="G584" s="47" t="n"/>
      <c r="H584" s="47" t="n"/>
    </row>
    <row r="585">
      <c r="A585" s="52" t="n"/>
      <c r="B585" s="47">
        <f>IF(A585="","",IFERROR(INDEX('隊員マスタ'!$B$5:$B$204,MATCH(A585&amp;"",'隊員マスタ'!$F$5:$F$204,0)),"番号なし"))</f>
        <v/>
      </c>
      <c r="C585" s="47" t="n"/>
      <c r="D585" s="47" t="n"/>
      <c r="E585" s="48" t="n"/>
      <c r="F585" s="48" t="n"/>
      <c r="G585" s="47" t="n"/>
      <c r="H585" s="47" t="n"/>
    </row>
    <row r="586">
      <c r="A586" s="52" t="n"/>
      <c r="B586" s="47">
        <f>IF(A586="","",IFERROR(INDEX('隊員マスタ'!$B$5:$B$204,MATCH(A586&amp;"",'隊員マスタ'!$F$5:$F$204,0)),"番号なし"))</f>
        <v/>
      </c>
      <c r="C586" s="47" t="n"/>
      <c r="D586" s="47" t="n"/>
      <c r="E586" s="48" t="n"/>
      <c r="F586" s="48" t="n"/>
      <c r="G586" s="47" t="n"/>
      <c r="H586" s="47" t="n"/>
    </row>
    <row r="587">
      <c r="A587" s="52" t="n"/>
      <c r="B587" s="47">
        <f>IF(A587="","",IFERROR(INDEX('隊員マスタ'!$B$5:$B$204,MATCH(A587&amp;"",'隊員マスタ'!$F$5:$F$204,0)),"番号なし"))</f>
        <v/>
      </c>
      <c r="C587" s="47" t="n"/>
      <c r="D587" s="47" t="n"/>
      <c r="E587" s="48" t="n"/>
      <c r="F587" s="48" t="n"/>
      <c r="G587" s="47" t="n"/>
      <c r="H587" s="47" t="n"/>
    </row>
    <row r="588">
      <c r="A588" s="52" t="n"/>
      <c r="B588" s="47">
        <f>IF(A588="","",IFERROR(INDEX('隊員マスタ'!$B$5:$B$204,MATCH(A588&amp;"",'隊員マスタ'!$F$5:$F$204,0)),"番号なし"))</f>
        <v/>
      </c>
      <c r="C588" s="47" t="n"/>
      <c r="D588" s="47" t="n"/>
      <c r="E588" s="48" t="n"/>
      <c r="F588" s="48" t="n"/>
      <c r="G588" s="47" t="n"/>
      <c r="H588" s="47" t="n"/>
    </row>
    <row r="589">
      <c r="A589" s="52" t="n"/>
      <c r="B589" s="47">
        <f>IF(A589="","",IFERROR(INDEX('隊員マスタ'!$B$5:$B$204,MATCH(A589&amp;"",'隊員マスタ'!$F$5:$F$204,0)),"番号なし"))</f>
        <v/>
      </c>
      <c r="C589" s="47" t="n"/>
      <c r="D589" s="47" t="n"/>
      <c r="E589" s="48" t="n"/>
      <c r="F589" s="48" t="n"/>
      <c r="G589" s="47" t="n"/>
      <c r="H589" s="47" t="n"/>
    </row>
    <row r="590">
      <c r="A590" s="52" t="n"/>
      <c r="B590" s="47">
        <f>IF(A590="","",IFERROR(INDEX('隊員マスタ'!$B$5:$B$204,MATCH(A590&amp;"",'隊員マスタ'!$F$5:$F$204,0)),"番号なし"))</f>
        <v/>
      </c>
      <c r="C590" s="47" t="n"/>
      <c r="D590" s="47" t="n"/>
      <c r="E590" s="48" t="n"/>
      <c r="F590" s="48" t="n"/>
      <c r="G590" s="47" t="n"/>
      <c r="H590" s="47" t="n"/>
    </row>
    <row r="591">
      <c r="A591" s="52" t="n"/>
      <c r="B591" s="47">
        <f>IF(A591="","",IFERROR(INDEX('隊員マスタ'!$B$5:$B$204,MATCH(A591&amp;"",'隊員マスタ'!$F$5:$F$204,0)),"番号なし"))</f>
        <v/>
      </c>
      <c r="C591" s="47" t="n"/>
      <c r="D591" s="47" t="n"/>
      <c r="E591" s="48" t="n"/>
      <c r="F591" s="48" t="n"/>
      <c r="G591" s="47" t="n"/>
      <c r="H591" s="47" t="n"/>
    </row>
    <row r="592">
      <c r="A592" s="52" t="n"/>
      <c r="B592" s="47">
        <f>IF(A592="","",IFERROR(INDEX('隊員マスタ'!$B$5:$B$204,MATCH(A592&amp;"",'隊員マスタ'!$F$5:$F$204,0)),"番号なし"))</f>
        <v/>
      </c>
      <c r="C592" s="47" t="n"/>
      <c r="D592" s="47" t="n"/>
      <c r="E592" s="48" t="n"/>
      <c r="F592" s="48" t="n"/>
      <c r="G592" s="47" t="n"/>
      <c r="H592" s="47" t="n"/>
    </row>
    <row r="593">
      <c r="A593" s="52" t="n"/>
      <c r="B593" s="47">
        <f>IF(A593="","",IFERROR(INDEX('隊員マスタ'!$B$5:$B$204,MATCH(A593&amp;"",'隊員マスタ'!$F$5:$F$204,0)),"番号なし"))</f>
        <v/>
      </c>
      <c r="C593" s="47" t="n"/>
      <c r="D593" s="47" t="n"/>
      <c r="E593" s="48" t="n"/>
      <c r="F593" s="48" t="n"/>
      <c r="G593" s="47" t="n"/>
      <c r="H593" s="47" t="n"/>
    </row>
    <row r="594">
      <c r="A594" s="52" t="n"/>
      <c r="B594" s="47">
        <f>IF(A594="","",IFERROR(INDEX('隊員マスタ'!$B$5:$B$204,MATCH(A594&amp;"",'隊員マスタ'!$F$5:$F$204,0)),"番号なし"))</f>
        <v/>
      </c>
      <c r="C594" s="47" t="n"/>
      <c r="D594" s="47" t="n"/>
      <c r="E594" s="48" t="n"/>
      <c r="F594" s="48" t="n"/>
      <c r="G594" s="47" t="n"/>
      <c r="H594" s="47" t="n"/>
    </row>
    <row r="595">
      <c r="A595" s="52" t="n"/>
      <c r="B595" s="47">
        <f>IF(A595="","",IFERROR(INDEX('隊員マスタ'!$B$5:$B$204,MATCH(A595&amp;"",'隊員マスタ'!$F$5:$F$204,0)),"番号なし"))</f>
        <v/>
      </c>
      <c r="C595" s="47" t="n"/>
      <c r="D595" s="47" t="n"/>
      <c r="E595" s="48" t="n"/>
      <c r="F595" s="48" t="n"/>
      <c r="G595" s="47" t="n"/>
      <c r="H595" s="47" t="n"/>
    </row>
    <row r="596">
      <c r="A596" s="52" t="n"/>
      <c r="B596" s="47">
        <f>IF(A596="","",IFERROR(INDEX('隊員マスタ'!$B$5:$B$204,MATCH(A596&amp;"",'隊員マスタ'!$F$5:$F$204,0)),"番号なし"))</f>
        <v/>
      </c>
      <c r="C596" s="47" t="n"/>
      <c r="D596" s="47" t="n"/>
      <c r="E596" s="48" t="n"/>
      <c r="F596" s="48" t="n"/>
      <c r="G596" s="47" t="n"/>
      <c r="H596" s="47" t="n"/>
    </row>
    <row r="597">
      <c r="A597" s="52" t="n"/>
      <c r="B597" s="47">
        <f>IF(A597="","",IFERROR(INDEX('隊員マスタ'!$B$5:$B$204,MATCH(A597&amp;"",'隊員マスタ'!$F$5:$F$204,0)),"番号なし"))</f>
        <v/>
      </c>
      <c r="C597" s="47" t="n"/>
      <c r="D597" s="47" t="n"/>
      <c r="E597" s="48" t="n"/>
      <c r="F597" s="48" t="n"/>
      <c r="G597" s="47" t="n"/>
      <c r="H597" s="47" t="n"/>
    </row>
    <row r="598">
      <c r="A598" s="52" t="n"/>
      <c r="B598" s="47">
        <f>IF(A598="","",IFERROR(INDEX('隊員マスタ'!$B$5:$B$204,MATCH(A598&amp;"",'隊員マスタ'!$F$5:$F$204,0)),"番号なし"))</f>
        <v/>
      </c>
      <c r="C598" s="47" t="n"/>
      <c r="D598" s="47" t="n"/>
      <c r="E598" s="48" t="n"/>
      <c r="F598" s="48" t="n"/>
      <c r="G598" s="47" t="n"/>
      <c r="H598" s="47" t="n"/>
    </row>
    <row r="599">
      <c r="A599" s="52" t="n"/>
      <c r="B599" s="47">
        <f>IF(A599="","",IFERROR(INDEX('隊員マスタ'!$B$5:$B$204,MATCH(A599&amp;"",'隊員マスタ'!$F$5:$F$204,0)),"番号なし"))</f>
        <v/>
      </c>
      <c r="C599" s="47" t="n"/>
      <c r="D599" s="47" t="n"/>
      <c r="E599" s="48" t="n"/>
      <c r="F599" s="48" t="n"/>
      <c r="G599" s="47" t="n"/>
      <c r="H599" s="47" t="n"/>
    </row>
    <row r="600">
      <c r="A600" s="52" t="n"/>
      <c r="B600" s="47">
        <f>IF(A600="","",IFERROR(INDEX('隊員マスタ'!$B$5:$B$204,MATCH(A600&amp;"",'隊員マスタ'!$F$5:$F$204,0)),"番号なし"))</f>
        <v/>
      </c>
      <c r="C600" s="47" t="n"/>
      <c r="D600" s="47" t="n"/>
      <c r="E600" s="48" t="n"/>
      <c r="F600" s="48" t="n"/>
      <c r="G600" s="47" t="n"/>
      <c r="H600" s="47" t="n"/>
    </row>
    <row r="601">
      <c r="A601" s="52" t="n"/>
      <c r="B601" s="47">
        <f>IF(A601="","",IFERROR(INDEX('隊員マスタ'!$B$5:$B$204,MATCH(A601&amp;"",'隊員マスタ'!$F$5:$F$204,0)),"番号なし"))</f>
        <v/>
      </c>
      <c r="C601" s="47" t="n"/>
      <c r="D601" s="47" t="n"/>
      <c r="E601" s="48" t="n"/>
      <c r="F601" s="48" t="n"/>
      <c r="G601" s="47" t="n"/>
      <c r="H601" s="47" t="n"/>
    </row>
    <row r="602">
      <c r="A602" s="52" t="n"/>
      <c r="B602" s="47">
        <f>IF(A602="","",IFERROR(INDEX('隊員マスタ'!$B$5:$B$204,MATCH(A602&amp;"",'隊員マスタ'!$F$5:$F$204,0)),"番号なし"))</f>
        <v/>
      </c>
      <c r="C602" s="47" t="n"/>
      <c r="D602" s="47" t="n"/>
      <c r="E602" s="48" t="n"/>
      <c r="F602" s="48" t="n"/>
      <c r="G602" s="47" t="n"/>
      <c r="H602" s="47" t="n"/>
    </row>
    <row r="603">
      <c r="A603" s="52" t="n"/>
      <c r="B603" s="47">
        <f>IF(A603="","",IFERROR(INDEX('隊員マスタ'!$B$5:$B$204,MATCH(A603&amp;"",'隊員マスタ'!$F$5:$F$204,0)),"番号なし"))</f>
        <v/>
      </c>
      <c r="C603" s="47" t="n"/>
      <c r="D603" s="47" t="n"/>
      <c r="E603" s="48" t="n"/>
      <c r="F603" s="48" t="n"/>
      <c r="G603" s="47" t="n"/>
      <c r="H603" s="47" t="n"/>
    </row>
    <row r="604">
      <c r="A604" s="52" t="n"/>
      <c r="B604" s="47">
        <f>IF(A604="","",IFERROR(INDEX('隊員マスタ'!$B$5:$B$204,MATCH(A604&amp;"",'隊員マスタ'!$F$5:$F$204,0)),"番号なし"))</f>
        <v/>
      </c>
      <c r="C604" s="47" t="n"/>
      <c r="D604" s="47" t="n"/>
      <c r="E604" s="48" t="n"/>
      <c r="F604" s="48" t="n"/>
      <c r="G604" s="47" t="n"/>
      <c r="H604" s="47" t="n"/>
    </row>
    <row r="605">
      <c r="A605" s="52" t="n"/>
      <c r="B605" s="47">
        <f>IF(A605="","",IFERROR(INDEX('隊員マスタ'!$B$5:$B$204,MATCH(A605&amp;"",'隊員マスタ'!$F$5:$F$204,0)),"番号なし"))</f>
        <v/>
      </c>
      <c r="C605" s="47" t="n"/>
      <c r="D605" s="47" t="n"/>
      <c r="E605" s="48" t="n"/>
      <c r="F605" s="48" t="n"/>
      <c r="G605" s="47" t="n"/>
      <c r="H605" s="47" t="n"/>
    </row>
    <row r="606">
      <c r="A606" s="52" t="n"/>
      <c r="B606" s="47">
        <f>IF(A606="","",IFERROR(INDEX('隊員マスタ'!$B$5:$B$204,MATCH(A606&amp;"",'隊員マスタ'!$F$5:$F$204,0)),"番号なし"))</f>
        <v/>
      </c>
      <c r="C606" s="47" t="n"/>
      <c r="D606" s="47" t="n"/>
      <c r="E606" s="48" t="n"/>
      <c r="F606" s="48" t="n"/>
      <c r="G606" s="47" t="n"/>
      <c r="H606" s="47" t="n"/>
    </row>
    <row r="607">
      <c r="A607" s="52" t="n"/>
      <c r="B607" s="47">
        <f>IF(A607="","",IFERROR(INDEX('隊員マスタ'!$B$5:$B$204,MATCH(A607&amp;"",'隊員マスタ'!$F$5:$F$204,0)),"番号なし"))</f>
        <v/>
      </c>
      <c r="C607" s="47" t="n"/>
      <c r="D607" s="47" t="n"/>
      <c r="E607" s="48" t="n"/>
      <c r="F607" s="48" t="n"/>
      <c r="G607" s="47" t="n"/>
      <c r="H607" s="47" t="n"/>
    </row>
    <row r="608">
      <c r="A608" s="52" t="n"/>
      <c r="B608" s="47">
        <f>IF(A608="","",IFERROR(INDEX('隊員マスタ'!$B$5:$B$204,MATCH(A608&amp;"",'隊員マスタ'!$F$5:$F$204,0)),"番号なし"))</f>
        <v/>
      </c>
      <c r="C608" s="47" t="n"/>
      <c r="D608" s="47" t="n"/>
      <c r="E608" s="48" t="n"/>
      <c r="F608" s="48" t="n"/>
      <c r="G608" s="47" t="n"/>
      <c r="H608" s="47" t="n"/>
    </row>
    <row r="609">
      <c r="A609" s="52" t="n"/>
      <c r="B609" s="47">
        <f>IF(A609="","",IFERROR(INDEX('隊員マスタ'!$B$5:$B$204,MATCH(A609&amp;"",'隊員マスタ'!$F$5:$F$204,0)),"番号なし"))</f>
        <v/>
      </c>
      <c r="C609" s="47" t="n"/>
      <c r="D609" s="47" t="n"/>
      <c r="E609" s="48" t="n"/>
      <c r="F609" s="48" t="n"/>
      <c r="G609" s="47" t="n"/>
      <c r="H609" s="47" t="n"/>
    </row>
    <row r="610">
      <c r="A610" s="52" t="n"/>
      <c r="B610" s="47">
        <f>IF(A610="","",IFERROR(INDEX('隊員マスタ'!$B$5:$B$204,MATCH(A610&amp;"",'隊員マスタ'!$F$5:$F$204,0)),"番号なし"))</f>
        <v/>
      </c>
      <c r="C610" s="47" t="n"/>
      <c r="D610" s="47" t="n"/>
      <c r="E610" s="48" t="n"/>
      <c r="F610" s="48" t="n"/>
      <c r="G610" s="47" t="n"/>
      <c r="H610" s="47" t="n"/>
    </row>
    <row r="611">
      <c r="A611" s="52" t="n"/>
      <c r="B611" s="47">
        <f>IF(A611="","",IFERROR(INDEX('隊員マスタ'!$B$5:$B$204,MATCH(A611&amp;"",'隊員マスタ'!$F$5:$F$204,0)),"番号なし"))</f>
        <v/>
      </c>
      <c r="C611" s="47" t="n"/>
      <c r="D611" s="47" t="n"/>
      <c r="E611" s="48" t="n"/>
      <c r="F611" s="48" t="n"/>
      <c r="G611" s="47" t="n"/>
      <c r="H611" s="47" t="n"/>
    </row>
    <row r="612">
      <c r="A612" s="52" t="n"/>
      <c r="B612" s="47">
        <f>IF(A612="","",IFERROR(INDEX('隊員マスタ'!$B$5:$B$204,MATCH(A612&amp;"",'隊員マスタ'!$F$5:$F$204,0)),"番号なし"))</f>
        <v/>
      </c>
      <c r="C612" s="47" t="n"/>
      <c r="D612" s="47" t="n"/>
      <c r="E612" s="48" t="n"/>
      <c r="F612" s="48" t="n"/>
      <c r="G612" s="47" t="n"/>
      <c r="H612" s="47" t="n"/>
    </row>
    <row r="613">
      <c r="A613" s="52" t="n"/>
      <c r="B613" s="47">
        <f>IF(A613="","",IFERROR(INDEX('隊員マスタ'!$B$5:$B$204,MATCH(A613&amp;"",'隊員マスタ'!$F$5:$F$204,0)),"番号なし"))</f>
        <v/>
      </c>
      <c r="C613" s="47" t="n"/>
      <c r="D613" s="47" t="n"/>
      <c r="E613" s="48" t="n"/>
      <c r="F613" s="48" t="n"/>
      <c r="G613" s="47" t="n"/>
      <c r="H613" s="47" t="n"/>
    </row>
    <row r="614">
      <c r="A614" s="52" t="n"/>
      <c r="B614" s="47">
        <f>IF(A614="","",IFERROR(INDEX('隊員マスタ'!$B$5:$B$204,MATCH(A614&amp;"",'隊員マスタ'!$F$5:$F$204,0)),"番号なし"))</f>
        <v/>
      </c>
      <c r="C614" s="47" t="n"/>
      <c r="D614" s="47" t="n"/>
      <c r="E614" s="48" t="n"/>
      <c r="F614" s="48" t="n"/>
      <c r="G614" s="47" t="n"/>
      <c r="H614" s="47" t="n"/>
    </row>
    <row r="615">
      <c r="A615" s="52" t="n"/>
      <c r="B615" s="47">
        <f>IF(A615="","",IFERROR(INDEX('隊員マスタ'!$B$5:$B$204,MATCH(A615&amp;"",'隊員マスタ'!$F$5:$F$204,0)),"番号なし"))</f>
        <v/>
      </c>
      <c r="C615" s="47" t="n"/>
      <c r="D615" s="47" t="n"/>
      <c r="E615" s="48" t="n"/>
      <c r="F615" s="48" t="n"/>
      <c r="G615" s="47" t="n"/>
      <c r="H615" s="47" t="n"/>
    </row>
    <row r="616">
      <c r="A616" s="52" t="n"/>
      <c r="B616" s="47">
        <f>IF(A616="","",IFERROR(INDEX('隊員マスタ'!$B$5:$B$204,MATCH(A616&amp;"",'隊員マスタ'!$F$5:$F$204,0)),"番号なし"))</f>
        <v/>
      </c>
      <c r="C616" s="47" t="n"/>
      <c r="D616" s="47" t="n"/>
      <c r="E616" s="48" t="n"/>
      <c r="F616" s="48" t="n"/>
      <c r="G616" s="47" t="n"/>
      <c r="H616" s="47" t="n"/>
    </row>
    <row r="617">
      <c r="A617" s="52" t="n"/>
      <c r="B617" s="47">
        <f>IF(A617="","",IFERROR(INDEX('隊員マスタ'!$B$5:$B$204,MATCH(A617&amp;"",'隊員マスタ'!$F$5:$F$204,0)),"番号なし"))</f>
        <v/>
      </c>
      <c r="C617" s="47" t="n"/>
      <c r="D617" s="47" t="n"/>
      <c r="E617" s="48" t="n"/>
      <c r="F617" s="48" t="n"/>
      <c r="G617" s="47" t="n"/>
      <c r="H617" s="47" t="n"/>
    </row>
    <row r="618">
      <c r="A618" s="52" t="n"/>
      <c r="B618" s="47">
        <f>IF(A618="","",IFERROR(INDEX('隊員マスタ'!$B$5:$B$204,MATCH(A618&amp;"",'隊員マスタ'!$F$5:$F$204,0)),"番号なし"))</f>
        <v/>
      </c>
      <c r="C618" s="47" t="n"/>
      <c r="D618" s="47" t="n"/>
      <c r="E618" s="48" t="n"/>
      <c r="F618" s="48" t="n"/>
      <c r="G618" s="47" t="n"/>
      <c r="H618" s="47" t="n"/>
    </row>
    <row r="619">
      <c r="A619" s="52" t="n"/>
      <c r="B619" s="47">
        <f>IF(A619="","",IFERROR(INDEX('隊員マスタ'!$B$5:$B$204,MATCH(A619&amp;"",'隊員マスタ'!$F$5:$F$204,0)),"番号なし"))</f>
        <v/>
      </c>
      <c r="C619" s="47" t="n"/>
      <c r="D619" s="47" t="n"/>
      <c r="E619" s="48" t="n"/>
      <c r="F619" s="48" t="n"/>
      <c r="G619" s="47" t="n"/>
      <c r="H619" s="47" t="n"/>
    </row>
    <row r="620">
      <c r="A620" s="52" t="n"/>
      <c r="B620" s="47">
        <f>IF(A620="","",IFERROR(INDEX('隊員マスタ'!$B$5:$B$204,MATCH(A620&amp;"",'隊員マスタ'!$F$5:$F$204,0)),"番号なし"))</f>
        <v/>
      </c>
      <c r="C620" s="47" t="n"/>
      <c r="D620" s="47" t="n"/>
      <c r="E620" s="48" t="n"/>
      <c r="F620" s="48" t="n"/>
      <c r="G620" s="47" t="n"/>
      <c r="H620" s="47" t="n"/>
    </row>
    <row r="621">
      <c r="A621" s="52" t="n"/>
      <c r="B621" s="47">
        <f>IF(A621="","",IFERROR(INDEX('隊員マスタ'!$B$5:$B$204,MATCH(A621&amp;"",'隊員マスタ'!$F$5:$F$204,0)),"番号なし"))</f>
        <v/>
      </c>
      <c r="C621" s="47" t="n"/>
      <c r="D621" s="47" t="n"/>
      <c r="E621" s="48" t="n"/>
      <c r="F621" s="48" t="n"/>
      <c r="G621" s="47" t="n"/>
      <c r="H621" s="47" t="n"/>
    </row>
    <row r="622">
      <c r="A622" s="52" t="n"/>
      <c r="B622" s="47">
        <f>IF(A622="","",IFERROR(INDEX('隊員マスタ'!$B$5:$B$204,MATCH(A622&amp;"",'隊員マスタ'!$F$5:$F$204,0)),"番号なし"))</f>
        <v/>
      </c>
      <c r="C622" s="47" t="n"/>
      <c r="D622" s="47" t="n"/>
      <c r="E622" s="48" t="n"/>
      <c r="F622" s="48" t="n"/>
      <c r="G622" s="47" t="n"/>
      <c r="H622" s="47" t="n"/>
    </row>
    <row r="623">
      <c r="A623" s="52" t="n"/>
      <c r="B623" s="47">
        <f>IF(A623="","",IFERROR(INDEX('隊員マスタ'!$B$5:$B$204,MATCH(A623&amp;"",'隊員マスタ'!$F$5:$F$204,0)),"番号なし"))</f>
        <v/>
      </c>
      <c r="C623" s="47" t="n"/>
      <c r="D623" s="47" t="n"/>
      <c r="E623" s="48" t="n"/>
      <c r="F623" s="48" t="n"/>
      <c r="G623" s="47" t="n"/>
      <c r="H623" s="47" t="n"/>
    </row>
    <row r="624">
      <c r="A624" s="52" t="n"/>
      <c r="B624" s="47">
        <f>IF(A624="","",IFERROR(INDEX('隊員マスタ'!$B$5:$B$204,MATCH(A624&amp;"",'隊員マスタ'!$F$5:$F$204,0)),"番号なし"))</f>
        <v/>
      </c>
      <c r="C624" s="47" t="n"/>
      <c r="D624" s="47" t="n"/>
      <c r="E624" s="48" t="n"/>
      <c r="F624" s="48" t="n"/>
      <c r="G624" s="47" t="n"/>
      <c r="H624" s="47" t="n"/>
    </row>
    <row r="625">
      <c r="A625" s="52" t="n"/>
      <c r="B625" s="47">
        <f>IF(A625="","",IFERROR(INDEX('隊員マスタ'!$B$5:$B$204,MATCH(A625&amp;"",'隊員マスタ'!$F$5:$F$204,0)),"番号なし"))</f>
        <v/>
      </c>
      <c r="C625" s="47" t="n"/>
      <c r="D625" s="47" t="n"/>
      <c r="E625" s="48" t="n"/>
      <c r="F625" s="48" t="n"/>
      <c r="G625" s="47" t="n"/>
      <c r="H625" s="47" t="n"/>
    </row>
    <row r="626">
      <c r="A626" s="52" t="n"/>
      <c r="B626" s="47">
        <f>IF(A626="","",IFERROR(INDEX('隊員マスタ'!$B$5:$B$204,MATCH(A626&amp;"",'隊員マスタ'!$F$5:$F$204,0)),"番号なし"))</f>
        <v/>
      </c>
      <c r="C626" s="47" t="n"/>
      <c r="D626" s="47" t="n"/>
      <c r="E626" s="48" t="n"/>
      <c r="F626" s="48" t="n"/>
      <c r="G626" s="47" t="n"/>
      <c r="H626" s="47" t="n"/>
    </row>
    <row r="627">
      <c r="A627" s="52" t="n"/>
      <c r="B627" s="47">
        <f>IF(A627="","",IFERROR(INDEX('隊員マスタ'!$B$5:$B$204,MATCH(A627&amp;"",'隊員マスタ'!$F$5:$F$204,0)),"番号なし"))</f>
        <v/>
      </c>
      <c r="C627" s="47" t="n"/>
      <c r="D627" s="47" t="n"/>
      <c r="E627" s="48" t="n"/>
      <c r="F627" s="48" t="n"/>
      <c r="G627" s="47" t="n"/>
      <c r="H627" s="47" t="n"/>
    </row>
    <row r="628">
      <c r="A628" s="52" t="n"/>
      <c r="B628" s="47">
        <f>IF(A628="","",IFERROR(INDEX('隊員マスタ'!$B$5:$B$204,MATCH(A628&amp;"",'隊員マスタ'!$F$5:$F$204,0)),"番号なし"))</f>
        <v/>
      </c>
      <c r="C628" s="47" t="n"/>
      <c r="D628" s="47" t="n"/>
      <c r="E628" s="48" t="n"/>
      <c r="F628" s="48" t="n"/>
      <c r="G628" s="47" t="n"/>
      <c r="H628" s="47" t="n"/>
    </row>
    <row r="629">
      <c r="A629" s="52" t="n"/>
      <c r="B629" s="47">
        <f>IF(A629="","",IFERROR(INDEX('隊員マスタ'!$B$5:$B$204,MATCH(A629&amp;"",'隊員マスタ'!$F$5:$F$204,0)),"番号なし"))</f>
        <v/>
      </c>
      <c r="C629" s="47" t="n"/>
      <c r="D629" s="47" t="n"/>
      <c r="E629" s="48" t="n"/>
      <c r="F629" s="48" t="n"/>
      <c r="G629" s="47" t="n"/>
      <c r="H629" s="47" t="n"/>
    </row>
    <row r="630">
      <c r="A630" s="52" t="n"/>
      <c r="B630" s="47">
        <f>IF(A630="","",IFERROR(INDEX('隊員マスタ'!$B$5:$B$204,MATCH(A630&amp;"",'隊員マスタ'!$F$5:$F$204,0)),"番号なし"))</f>
        <v/>
      </c>
      <c r="C630" s="47" t="n"/>
      <c r="D630" s="47" t="n"/>
      <c r="E630" s="48" t="n"/>
      <c r="F630" s="48" t="n"/>
      <c r="G630" s="47" t="n"/>
      <c r="H630" s="47" t="n"/>
    </row>
    <row r="631">
      <c r="A631" s="52" t="n"/>
      <c r="B631" s="47">
        <f>IF(A631="","",IFERROR(INDEX('隊員マスタ'!$B$5:$B$204,MATCH(A631&amp;"",'隊員マスタ'!$F$5:$F$204,0)),"番号なし"))</f>
        <v/>
      </c>
      <c r="C631" s="47" t="n"/>
      <c r="D631" s="47" t="n"/>
      <c r="E631" s="48" t="n"/>
      <c r="F631" s="48" t="n"/>
      <c r="G631" s="47" t="n"/>
      <c r="H631" s="47" t="n"/>
    </row>
    <row r="632">
      <c r="A632" s="52" t="n"/>
      <c r="B632" s="47">
        <f>IF(A632="","",IFERROR(INDEX('隊員マスタ'!$B$5:$B$204,MATCH(A632&amp;"",'隊員マスタ'!$F$5:$F$204,0)),"番号なし"))</f>
        <v/>
      </c>
      <c r="C632" s="47" t="n"/>
      <c r="D632" s="47" t="n"/>
      <c r="E632" s="48" t="n"/>
      <c r="F632" s="48" t="n"/>
      <c r="G632" s="47" t="n"/>
      <c r="H632" s="47" t="n"/>
    </row>
    <row r="633">
      <c r="A633" s="52" t="n"/>
      <c r="B633" s="47">
        <f>IF(A633="","",IFERROR(INDEX('隊員マスタ'!$B$5:$B$204,MATCH(A633&amp;"",'隊員マスタ'!$F$5:$F$204,0)),"番号なし"))</f>
        <v/>
      </c>
      <c r="C633" s="47" t="n"/>
      <c r="D633" s="47" t="n"/>
      <c r="E633" s="48" t="n"/>
      <c r="F633" s="48" t="n"/>
      <c r="G633" s="47" t="n"/>
      <c r="H633" s="47" t="n"/>
    </row>
    <row r="634">
      <c r="A634" s="52" t="n"/>
      <c r="B634" s="47">
        <f>IF(A634="","",IFERROR(INDEX('隊員マスタ'!$B$5:$B$204,MATCH(A634&amp;"",'隊員マスタ'!$F$5:$F$204,0)),"番号なし"))</f>
        <v/>
      </c>
      <c r="C634" s="47" t="n"/>
      <c r="D634" s="47" t="n"/>
      <c r="E634" s="48" t="n"/>
      <c r="F634" s="48" t="n"/>
      <c r="G634" s="47" t="n"/>
      <c r="H634" s="47" t="n"/>
    </row>
    <row r="635">
      <c r="A635" s="52" t="n"/>
      <c r="B635" s="47">
        <f>IF(A635="","",IFERROR(INDEX('隊員マスタ'!$B$5:$B$204,MATCH(A635&amp;"",'隊員マスタ'!$F$5:$F$204,0)),"番号なし"))</f>
        <v/>
      </c>
      <c r="C635" s="47" t="n"/>
      <c r="D635" s="47" t="n"/>
      <c r="E635" s="48" t="n"/>
      <c r="F635" s="48" t="n"/>
      <c r="G635" s="47" t="n"/>
      <c r="H635" s="47" t="n"/>
    </row>
    <row r="636">
      <c r="A636" s="52" t="n"/>
      <c r="B636" s="47">
        <f>IF(A636="","",IFERROR(INDEX('隊員マスタ'!$B$5:$B$204,MATCH(A636&amp;"",'隊員マスタ'!$F$5:$F$204,0)),"番号なし"))</f>
        <v/>
      </c>
      <c r="C636" s="47" t="n"/>
      <c r="D636" s="47" t="n"/>
      <c r="E636" s="48" t="n"/>
      <c r="F636" s="48" t="n"/>
      <c r="G636" s="47" t="n"/>
      <c r="H636" s="47" t="n"/>
    </row>
    <row r="637">
      <c r="A637" s="52" t="n"/>
      <c r="B637" s="47">
        <f>IF(A637="","",IFERROR(INDEX('隊員マスタ'!$B$5:$B$204,MATCH(A637&amp;"",'隊員マスタ'!$F$5:$F$204,0)),"番号なし"))</f>
        <v/>
      </c>
      <c r="C637" s="47" t="n"/>
      <c r="D637" s="47" t="n"/>
      <c r="E637" s="48" t="n"/>
      <c r="F637" s="48" t="n"/>
      <c r="G637" s="47" t="n"/>
      <c r="H637" s="47" t="n"/>
    </row>
    <row r="638">
      <c r="A638" s="52" t="n"/>
      <c r="B638" s="47">
        <f>IF(A638="","",IFERROR(INDEX('隊員マスタ'!$B$5:$B$204,MATCH(A638&amp;"",'隊員マスタ'!$F$5:$F$204,0)),"番号なし"))</f>
        <v/>
      </c>
      <c r="C638" s="47" t="n"/>
      <c r="D638" s="47" t="n"/>
      <c r="E638" s="48" t="n"/>
      <c r="F638" s="48" t="n"/>
      <c r="G638" s="47" t="n"/>
      <c r="H638" s="47" t="n"/>
    </row>
    <row r="639">
      <c r="A639" s="52" t="n"/>
      <c r="B639" s="47">
        <f>IF(A639="","",IFERROR(INDEX('隊員マスタ'!$B$5:$B$204,MATCH(A639&amp;"",'隊員マスタ'!$F$5:$F$204,0)),"番号なし"))</f>
        <v/>
      </c>
      <c r="C639" s="47" t="n"/>
      <c r="D639" s="47" t="n"/>
      <c r="E639" s="48" t="n"/>
      <c r="F639" s="48" t="n"/>
      <c r="G639" s="47" t="n"/>
      <c r="H639" s="47" t="n"/>
    </row>
    <row r="640">
      <c r="A640" s="52" t="n"/>
      <c r="B640" s="47">
        <f>IF(A640="","",IFERROR(INDEX('隊員マスタ'!$B$5:$B$204,MATCH(A640&amp;"",'隊員マスタ'!$F$5:$F$204,0)),"番号なし"))</f>
        <v/>
      </c>
      <c r="C640" s="47" t="n"/>
      <c r="D640" s="47" t="n"/>
      <c r="E640" s="48" t="n"/>
      <c r="F640" s="48" t="n"/>
      <c r="G640" s="47" t="n"/>
      <c r="H640" s="47" t="n"/>
    </row>
    <row r="641">
      <c r="A641" s="52" t="n"/>
      <c r="B641" s="47">
        <f>IF(A641="","",IFERROR(INDEX('隊員マスタ'!$B$5:$B$204,MATCH(A641&amp;"",'隊員マスタ'!$F$5:$F$204,0)),"番号なし"))</f>
        <v/>
      </c>
      <c r="C641" s="47" t="n"/>
      <c r="D641" s="47" t="n"/>
      <c r="E641" s="48" t="n"/>
      <c r="F641" s="48" t="n"/>
      <c r="G641" s="47" t="n"/>
      <c r="H641" s="47" t="n"/>
    </row>
    <row r="642">
      <c r="A642" s="52" t="n"/>
      <c r="B642" s="47">
        <f>IF(A642="","",IFERROR(INDEX('隊員マスタ'!$B$5:$B$204,MATCH(A642&amp;"",'隊員マスタ'!$F$5:$F$204,0)),"番号なし"))</f>
        <v/>
      </c>
      <c r="C642" s="47" t="n"/>
      <c r="D642" s="47" t="n"/>
      <c r="E642" s="48" t="n"/>
      <c r="F642" s="48" t="n"/>
      <c r="G642" s="47" t="n"/>
      <c r="H642" s="47" t="n"/>
    </row>
    <row r="643">
      <c r="A643" s="52" t="n"/>
      <c r="B643" s="47">
        <f>IF(A643="","",IFERROR(INDEX('隊員マスタ'!$B$5:$B$204,MATCH(A643&amp;"",'隊員マスタ'!$F$5:$F$204,0)),"番号なし"))</f>
        <v/>
      </c>
      <c r="C643" s="47" t="n"/>
      <c r="D643" s="47" t="n"/>
      <c r="E643" s="48" t="n"/>
      <c r="F643" s="48" t="n"/>
      <c r="G643" s="47" t="n"/>
      <c r="H643" s="47" t="n"/>
    </row>
    <row r="644">
      <c r="A644" s="52" t="n"/>
      <c r="B644" s="47">
        <f>IF(A644="","",IFERROR(INDEX('隊員マスタ'!$B$5:$B$204,MATCH(A644&amp;"",'隊員マスタ'!$F$5:$F$204,0)),"番号なし"))</f>
        <v/>
      </c>
      <c r="C644" s="47" t="n"/>
      <c r="D644" s="47" t="n"/>
      <c r="E644" s="48" t="n"/>
      <c r="F644" s="48" t="n"/>
      <c r="G644" s="47" t="n"/>
      <c r="H644" s="47" t="n"/>
    </row>
    <row r="645">
      <c r="A645" s="52" t="n"/>
      <c r="B645" s="47">
        <f>IF(A645="","",IFERROR(INDEX('隊員マスタ'!$B$5:$B$204,MATCH(A645&amp;"",'隊員マスタ'!$F$5:$F$204,0)),"番号なし"))</f>
        <v/>
      </c>
      <c r="C645" s="47" t="n"/>
      <c r="D645" s="47" t="n"/>
      <c r="E645" s="48" t="n"/>
      <c r="F645" s="48" t="n"/>
      <c r="G645" s="47" t="n"/>
      <c r="H645" s="47" t="n"/>
    </row>
    <row r="646">
      <c r="A646" s="52" t="n"/>
      <c r="B646" s="47">
        <f>IF(A646="","",IFERROR(INDEX('隊員マスタ'!$B$5:$B$204,MATCH(A646&amp;"",'隊員マスタ'!$F$5:$F$204,0)),"番号なし"))</f>
        <v/>
      </c>
      <c r="C646" s="47" t="n"/>
      <c r="D646" s="47" t="n"/>
      <c r="E646" s="48" t="n"/>
      <c r="F646" s="48" t="n"/>
      <c r="G646" s="47" t="n"/>
      <c r="H646" s="47" t="n"/>
    </row>
    <row r="647">
      <c r="A647" s="52" t="n"/>
      <c r="B647" s="47">
        <f>IF(A647="","",IFERROR(INDEX('隊員マスタ'!$B$5:$B$204,MATCH(A647&amp;"",'隊員マスタ'!$F$5:$F$204,0)),"番号なし"))</f>
        <v/>
      </c>
      <c r="C647" s="47" t="n"/>
      <c r="D647" s="47" t="n"/>
      <c r="E647" s="48" t="n"/>
      <c r="F647" s="48" t="n"/>
      <c r="G647" s="47" t="n"/>
      <c r="H647" s="47" t="n"/>
    </row>
    <row r="648">
      <c r="A648" s="52" t="n"/>
      <c r="B648" s="47">
        <f>IF(A648="","",IFERROR(INDEX('隊員マスタ'!$B$5:$B$204,MATCH(A648&amp;"",'隊員マスタ'!$F$5:$F$204,0)),"番号なし"))</f>
        <v/>
      </c>
      <c r="C648" s="47" t="n"/>
      <c r="D648" s="47" t="n"/>
      <c r="E648" s="48" t="n"/>
      <c r="F648" s="48" t="n"/>
      <c r="G648" s="47" t="n"/>
      <c r="H648" s="47" t="n"/>
    </row>
    <row r="649">
      <c r="A649" s="52" t="n"/>
      <c r="B649" s="47">
        <f>IF(A649="","",IFERROR(INDEX('隊員マスタ'!$B$5:$B$204,MATCH(A649&amp;"",'隊員マスタ'!$F$5:$F$204,0)),"番号なし"))</f>
        <v/>
      </c>
      <c r="C649" s="47" t="n"/>
      <c r="D649" s="47" t="n"/>
      <c r="E649" s="48" t="n"/>
      <c r="F649" s="48" t="n"/>
      <c r="G649" s="47" t="n"/>
      <c r="H649" s="47" t="n"/>
    </row>
    <row r="650">
      <c r="A650" s="52" t="n"/>
      <c r="B650" s="47">
        <f>IF(A650="","",IFERROR(INDEX('隊員マスタ'!$B$5:$B$204,MATCH(A650&amp;"",'隊員マスタ'!$F$5:$F$204,0)),"番号なし"))</f>
        <v/>
      </c>
      <c r="C650" s="47" t="n"/>
      <c r="D650" s="47" t="n"/>
      <c r="E650" s="48" t="n"/>
      <c r="F650" s="48" t="n"/>
      <c r="G650" s="47" t="n"/>
      <c r="H650" s="47" t="n"/>
    </row>
    <row r="651">
      <c r="A651" s="52" t="n"/>
      <c r="B651" s="47">
        <f>IF(A651="","",IFERROR(INDEX('隊員マスタ'!$B$5:$B$204,MATCH(A651&amp;"",'隊員マスタ'!$F$5:$F$204,0)),"番号なし"))</f>
        <v/>
      </c>
      <c r="C651" s="47" t="n"/>
      <c r="D651" s="47" t="n"/>
      <c r="E651" s="48" t="n"/>
      <c r="F651" s="48" t="n"/>
      <c r="G651" s="47" t="n"/>
      <c r="H651" s="47" t="n"/>
    </row>
    <row r="652">
      <c r="A652" s="52" t="n"/>
      <c r="B652" s="47">
        <f>IF(A652="","",IFERROR(INDEX('隊員マスタ'!$B$5:$B$204,MATCH(A652&amp;"",'隊員マスタ'!$F$5:$F$204,0)),"番号なし"))</f>
        <v/>
      </c>
      <c r="C652" s="47" t="n"/>
      <c r="D652" s="47" t="n"/>
      <c r="E652" s="48" t="n"/>
      <c r="F652" s="48" t="n"/>
      <c r="G652" s="47" t="n"/>
      <c r="H652" s="47" t="n"/>
    </row>
    <row r="653">
      <c r="A653" s="52" t="n"/>
      <c r="B653" s="47">
        <f>IF(A653="","",IFERROR(INDEX('隊員マスタ'!$B$5:$B$204,MATCH(A653&amp;"",'隊員マスタ'!$F$5:$F$204,0)),"番号なし"))</f>
        <v/>
      </c>
      <c r="C653" s="47" t="n"/>
      <c r="D653" s="47" t="n"/>
      <c r="E653" s="48" t="n"/>
      <c r="F653" s="48" t="n"/>
      <c r="G653" s="47" t="n"/>
      <c r="H653" s="47" t="n"/>
    </row>
    <row r="654">
      <c r="A654" s="52" t="n"/>
      <c r="B654" s="47">
        <f>IF(A654="","",IFERROR(INDEX('隊員マスタ'!$B$5:$B$204,MATCH(A654&amp;"",'隊員マスタ'!$F$5:$F$204,0)),"番号なし"))</f>
        <v/>
      </c>
      <c r="C654" s="47" t="n"/>
      <c r="D654" s="47" t="n"/>
      <c r="E654" s="48" t="n"/>
      <c r="F654" s="48" t="n"/>
      <c r="G654" s="47" t="n"/>
      <c r="H654" s="47" t="n"/>
    </row>
    <row r="655">
      <c r="A655" s="52" t="n"/>
      <c r="B655" s="47">
        <f>IF(A655="","",IFERROR(INDEX('隊員マスタ'!$B$5:$B$204,MATCH(A655&amp;"",'隊員マスタ'!$F$5:$F$204,0)),"番号なし"))</f>
        <v/>
      </c>
      <c r="C655" s="47" t="n"/>
      <c r="D655" s="47" t="n"/>
      <c r="E655" s="48" t="n"/>
      <c r="F655" s="48" t="n"/>
      <c r="G655" s="47" t="n"/>
      <c r="H655" s="47" t="n"/>
    </row>
    <row r="656">
      <c r="A656" s="52" t="n"/>
      <c r="B656" s="47">
        <f>IF(A656="","",IFERROR(INDEX('隊員マスタ'!$B$5:$B$204,MATCH(A656&amp;"",'隊員マスタ'!$F$5:$F$204,0)),"番号なし"))</f>
        <v/>
      </c>
      <c r="C656" s="47" t="n"/>
      <c r="D656" s="47" t="n"/>
      <c r="E656" s="48" t="n"/>
      <c r="F656" s="48" t="n"/>
      <c r="G656" s="47" t="n"/>
      <c r="H656" s="47" t="n"/>
    </row>
    <row r="657">
      <c r="A657" s="52" t="n"/>
      <c r="B657" s="47">
        <f>IF(A657="","",IFERROR(INDEX('隊員マスタ'!$B$5:$B$204,MATCH(A657&amp;"",'隊員マスタ'!$F$5:$F$204,0)),"番号なし"))</f>
        <v/>
      </c>
      <c r="C657" s="47" t="n"/>
      <c r="D657" s="47" t="n"/>
      <c r="E657" s="48" t="n"/>
      <c r="F657" s="48" t="n"/>
      <c r="G657" s="47" t="n"/>
      <c r="H657" s="47" t="n"/>
    </row>
    <row r="658">
      <c r="A658" s="52" t="n"/>
      <c r="B658" s="47">
        <f>IF(A658="","",IFERROR(INDEX('隊員マスタ'!$B$5:$B$204,MATCH(A658&amp;"",'隊員マスタ'!$F$5:$F$204,0)),"番号なし"))</f>
        <v/>
      </c>
      <c r="C658" s="47" t="n"/>
      <c r="D658" s="47" t="n"/>
      <c r="E658" s="48" t="n"/>
      <c r="F658" s="48" t="n"/>
      <c r="G658" s="47" t="n"/>
      <c r="H658" s="47" t="n"/>
    </row>
    <row r="659">
      <c r="A659" s="52" t="n"/>
      <c r="B659" s="47">
        <f>IF(A659="","",IFERROR(INDEX('隊員マスタ'!$B$5:$B$204,MATCH(A659&amp;"",'隊員マスタ'!$F$5:$F$204,0)),"番号なし"))</f>
        <v/>
      </c>
      <c r="C659" s="47" t="n"/>
      <c r="D659" s="47" t="n"/>
      <c r="E659" s="48" t="n"/>
      <c r="F659" s="48" t="n"/>
      <c r="G659" s="47" t="n"/>
      <c r="H659" s="47" t="n"/>
    </row>
    <row r="660">
      <c r="A660" s="52" t="n"/>
      <c r="B660" s="47">
        <f>IF(A660="","",IFERROR(INDEX('隊員マスタ'!$B$5:$B$204,MATCH(A660&amp;"",'隊員マスタ'!$F$5:$F$204,0)),"番号なし"))</f>
        <v/>
      </c>
      <c r="C660" s="47" t="n"/>
      <c r="D660" s="47" t="n"/>
      <c r="E660" s="48" t="n"/>
      <c r="F660" s="48" t="n"/>
      <c r="G660" s="47" t="n"/>
      <c r="H660" s="47" t="n"/>
    </row>
    <row r="661">
      <c r="A661" s="52" t="n"/>
      <c r="B661" s="47">
        <f>IF(A661="","",IFERROR(INDEX('隊員マスタ'!$B$5:$B$204,MATCH(A661&amp;"",'隊員マスタ'!$F$5:$F$204,0)),"番号なし"))</f>
        <v/>
      </c>
      <c r="C661" s="47" t="n"/>
      <c r="D661" s="47" t="n"/>
      <c r="E661" s="48" t="n"/>
      <c r="F661" s="48" t="n"/>
      <c r="G661" s="47" t="n"/>
      <c r="H661" s="47" t="n"/>
    </row>
    <row r="662">
      <c r="A662" s="52" t="n"/>
      <c r="B662" s="47">
        <f>IF(A662="","",IFERROR(INDEX('隊員マスタ'!$B$5:$B$204,MATCH(A662&amp;"",'隊員マスタ'!$F$5:$F$204,0)),"番号なし"))</f>
        <v/>
      </c>
      <c r="C662" s="47" t="n"/>
      <c r="D662" s="47" t="n"/>
      <c r="E662" s="48" t="n"/>
      <c r="F662" s="48" t="n"/>
      <c r="G662" s="47" t="n"/>
      <c r="H662" s="47" t="n"/>
    </row>
    <row r="663">
      <c r="A663" s="52" t="n"/>
      <c r="B663" s="47">
        <f>IF(A663="","",IFERROR(INDEX('隊員マスタ'!$B$5:$B$204,MATCH(A663&amp;"",'隊員マスタ'!$F$5:$F$204,0)),"番号なし"))</f>
        <v/>
      </c>
      <c r="C663" s="47" t="n"/>
      <c r="D663" s="47" t="n"/>
      <c r="E663" s="48" t="n"/>
      <c r="F663" s="48" t="n"/>
      <c r="G663" s="47" t="n"/>
      <c r="H663" s="47" t="n"/>
    </row>
    <row r="664">
      <c r="A664" s="52" t="n"/>
      <c r="B664" s="47">
        <f>IF(A664="","",IFERROR(INDEX('隊員マスタ'!$B$5:$B$204,MATCH(A664&amp;"",'隊員マスタ'!$F$5:$F$204,0)),"番号なし"))</f>
        <v/>
      </c>
      <c r="C664" s="47" t="n"/>
      <c r="D664" s="47" t="n"/>
      <c r="E664" s="48" t="n"/>
      <c r="F664" s="48" t="n"/>
      <c r="G664" s="47" t="n"/>
      <c r="H664" s="47" t="n"/>
    </row>
    <row r="665">
      <c r="A665" s="52" t="n"/>
      <c r="B665" s="47">
        <f>IF(A665="","",IFERROR(INDEX('隊員マスタ'!$B$5:$B$204,MATCH(A665&amp;"",'隊員マスタ'!$F$5:$F$204,0)),"番号なし"))</f>
        <v/>
      </c>
      <c r="C665" s="47" t="n"/>
      <c r="D665" s="47" t="n"/>
      <c r="E665" s="48" t="n"/>
      <c r="F665" s="48" t="n"/>
      <c r="G665" s="47" t="n"/>
      <c r="H665" s="47" t="n"/>
    </row>
    <row r="666">
      <c r="A666" s="52" t="n"/>
      <c r="B666" s="47">
        <f>IF(A666="","",IFERROR(INDEX('隊員マスタ'!$B$5:$B$204,MATCH(A666&amp;"",'隊員マスタ'!$F$5:$F$204,0)),"番号なし"))</f>
        <v/>
      </c>
      <c r="C666" s="47" t="n"/>
      <c r="D666" s="47" t="n"/>
      <c r="E666" s="48" t="n"/>
      <c r="F666" s="48" t="n"/>
      <c r="G666" s="47" t="n"/>
      <c r="H666" s="47" t="n"/>
    </row>
    <row r="667">
      <c r="A667" s="52" t="n"/>
      <c r="B667" s="47">
        <f>IF(A667="","",IFERROR(INDEX('隊員マスタ'!$B$5:$B$204,MATCH(A667&amp;"",'隊員マスタ'!$F$5:$F$204,0)),"番号なし"))</f>
        <v/>
      </c>
      <c r="C667" s="47" t="n"/>
      <c r="D667" s="47" t="n"/>
      <c r="E667" s="48" t="n"/>
      <c r="F667" s="48" t="n"/>
      <c r="G667" s="47" t="n"/>
      <c r="H667" s="47" t="n"/>
    </row>
    <row r="668">
      <c r="A668" s="52" t="n"/>
      <c r="B668" s="47">
        <f>IF(A668="","",IFERROR(INDEX('隊員マスタ'!$B$5:$B$204,MATCH(A668&amp;"",'隊員マスタ'!$F$5:$F$204,0)),"番号なし"))</f>
        <v/>
      </c>
      <c r="C668" s="47" t="n"/>
      <c r="D668" s="47" t="n"/>
      <c r="E668" s="48" t="n"/>
      <c r="F668" s="48" t="n"/>
      <c r="G668" s="47" t="n"/>
      <c r="H668" s="47" t="n"/>
    </row>
    <row r="669">
      <c r="A669" s="52" t="n"/>
      <c r="B669" s="47">
        <f>IF(A669="","",IFERROR(INDEX('隊員マスタ'!$B$5:$B$204,MATCH(A669&amp;"",'隊員マスタ'!$F$5:$F$204,0)),"番号なし"))</f>
        <v/>
      </c>
      <c r="C669" s="47" t="n"/>
      <c r="D669" s="47" t="n"/>
      <c r="E669" s="48" t="n"/>
      <c r="F669" s="48" t="n"/>
      <c r="G669" s="47" t="n"/>
      <c r="H669" s="47" t="n"/>
    </row>
    <row r="670">
      <c r="A670" s="52" t="n"/>
      <c r="B670" s="47">
        <f>IF(A670="","",IFERROR(INDEX('隊員マスタ'!$B$5:$B$204,MATCH(A670&amp;"",'隊員マスタ'!$F$5:$F$204,0)),"番号なし"))</f>
        <v/>
      </c>
      <c r="C670" s="47" t="n"/>
      <c r="D670" s="47" t="n"/>
      <c r="E670" s="48" t="n"/>
      <c r="F670" s="48" t="n"/>
      <c r="G670" s="47" t="n"/>
      <c r="H670" s="47" t="n"/>
    </row>
    <row r="671">
      <c r="A671" s="52" t="n"/>
      <c r="B671" s="47">
        <f>IF(A671="","",IFERROR(INDEX('隊員マスタ'!$B$5:$B$204,MATCH(A671&amp;"",'隊員マスタ'!$F$5:$F$204,0)),"番号なし"))</f>
        <v/>
      </c>
      <c r="C671" s="47" t="n"/>
      <c r="D671" s="47" t="n"/>
      <c r="E671" s="48" t="n"/>
      <c r="F671" s="48" t="n"/>
      <c r="G671" s="47" t="n"/>
      <c r="H671" s="47" t="n"/>
    </row>
    <row r="672">
      <c r="A672" s="52" t="n"/>
      <c r="B672" s="47">
        <f>IF(A672="","",IFERROR(INDEX('隊員マスタ'!$B$5:$B$204,MATCH(A672&amp;"",'隊員マスタ'!$F$5:$F$204,0)),"番号なし"))</f>
        <v/>
      </c>
      <c r="C672" s="47" t="n"/>
      <c r="D672" s="47" t="n"/>
      <c r="E672" s="48" t="n"/>
      <c r="F672" s="48" t="n"/>
      <c r="G672" s="47" t="n"/>
      <c r="H672" s="47" t="n"/>
    </row>
    <row r="673">
      <c r="A673" s="52" t="n"/>
      <c r="B673" s="47">
        <f>IF(A673="","",IFERROR(INDEX('隊員マスタ'!$B$5:$B$204,MATCH(A673&amp;"",'隊員マスタ'!$F$5:$F$204,0)),"番号なし"))</f>
        <v/>
      </c>
      <c r="C673" s="47" t="n"/>
      <c r="D673" s="47" t="n"/>
      <c r="E673" s="48" t="n"/>
      <c r="F673" s="48" t="n"/>
      <c r="G673" s="47" t="n"/>
      <c r="H673" s="47" t="n"/>
    </row>
    <row r="674">
      <c r="A674" s="52" t="n"/>
      <c r="B674" s="47">
        <f>IF(A674="","",IFERROR(INDEX('隊員マスタ'!$B$5:$B$204,MATCH(A674&amp;"",'隊員マスタ'!$F$5:$F$204,0)),"番号なし"))</f>
        <v/>
      </c>
      <c r="C674" s="47" t="n"/>
      <c r="D674" s="47" t="n"/>
      <c r="E674" s="48" t="n"/>
      <c r="F674" s="48" t="n"/>
      <c r="G674" s="47" t="n"/>
      <c r="H674" s="47" t="n"/>
    </row>
    <row r="675">
      <c r="A675" s="52" t="n"/>
      <c r="B675" s="47">
        <f>IF(A675="","",IFERROR(INDEX('隊員マスタ'!$B$5:$B$204,MATCH(A675&amp;"",'隊員マスタ'!$F$5:$F$204,0)),"番号なし"))</f>
        <v/>
      </c>
      <c r="C675" s="47" t="n"/>
      <c r="D675" s="47" t="n"/>
      <c r="E675" s="48" t="n"/>
      <c r="F675" s="48" t="n"/>
      <c r="G675" s="47" t="n"/>
      <c r="H675" s="47" t="n"/>
    </row>
    <row r="676">
      <c r="A676" s="52" t="n"/>
      <c r="B676" s="47">
        <f>IF(A676="","",IFERROR(INDEX('隊員マスタ'!$B$5:$B$204,MATCH(A676&amp;"",'隊員マスタ'!$F$5:$F$204,0)),"番号なし"))</f>
        <v/>
      </c>
      <c r="C676" s="47" t="n"/>
      <c r="D676" s="47" t="n"/>
      <c r="E676" s="48" t="n"/>
      <c r="F676" s="48" t="n"/>
      <c r="G676" s="47" t="n"/>
      <c r="H676" s="47" t="n"/>
    </row>
    <row r="677">
      <c r="A677" s="52" t="n"/>
      <c r="B677" s="47">
        <f>IF(A677="","",IFERROR(INDEX('隊員マスタ'!$B$5:$B$204,MATCH(A677&amp;"",'隊員マスタ'!$F$5:$F$204,0)),"番号なし"))</f>
        <v/>
      </c>
      <c r="C677" s="47" t="n"/>
      <c r="D677" s="47" t="n"/>
      <c r="E677" s="48" t="n"/>
      <c r="F677" s="48" t="n"/>
      <c r="G677" s="47" t="n"/>
      <c r="H677" s="47" t="n"/>
    </row>
    <row r="678">
      <c r="A678" s="52" t="n"/>
      <c r="B678" s="47">
        <f>IF(A678="","",IFERROR(INDEX('隊員マスタ'!$B$5:$B$204,MATCH(A678&amp;"",'隊員マスタ'!$F$5:$F$204,0)),"番号なし"))</f>
        <v/>
      </c>
      <c r="C678" s="47" t="n"/>
      <c r="D678" s="47" t="n"/>
      <c r="E678" s="48" t="n"/>
      <c r="F678" s="48" t="n"/>
      <c r="G678" s="47" t="n"/>
      <c r="H678" s="47" t="n"/>
    </row>
    <row r="679">
      <c r="A679" s="52" t="n"/>
      <c r="B679" s="47">
        <f>IF(A679="","",IFERROR(INDEX('隊員マスタ'!$B$5:$B$204,MATCH(A679&amp;"",'隊員マスタ'!$F$5:$F$204,0)),"番号なし"))</f>
        <v/>
      </c>
      <c r="C679" s="47" t="n"/>
      <c r="D679" s="47" t="n"/>
      <c r="E679" s="48" t="n"/>
      <c r="F679" s="48" t="n"/>
      <c r="G679" s="47" t="n"/>
      <c r="H679" s="47" t="n"/>
    </row>
    <row r="680">
      <c r="A680" s="52" t="n"/>
      <c r="B680" s="47">
        <f>IF(A680="","",IFERROR(INDEX('隊員マスタ'!$B$5:$B$204,MATCH(A680&amp;"",'隊員マスタ'!$F$5:$F$204,0)),"番号なし"))</f>
        <v/>
      </c>
      <c r="C680" s="47" t="n"/>
      <c r="D680" s="47" t="n"/>
      <c r="E680" s="48" t="n"/>
      <c r="F680" s="48" t="n"/>
      <c r="G680" s="47" t="n"/>
      <c r="H680" s="47" t="n"/>
    </row>
    <row r="681">
      <c r="A681" s="52" t="n"/>
      <c r="B681" s="47">
        <f>IF(A681="","",IFERROR(INDEX('隊員マスタ'!$B$5:$B$204,MATCH(A681&amp;"",'隊員マスタ'!$F$5:$F$204,0)),"番号なし"))</f>
        <v/>
      </c>
      <c r="C681" s="47" t="n"/>
      <c r="D681" s="47" t="n"/>
      <c r="E681" s="48" t="n"/>
      <c r="F681" s="48" t="n"/>
      <c r="G681" s="47" t="n"/>
      <c r="H681" s="47" t="n"/>
    </row>
    <row r="682">
      <c r="A682" s="52" t="n"/>
      <c r="B682" s="47">
        <f>IF(A682="","",IFERROR(INDEX('隊員マスタ'!$B$5:$B$204,MATCH(A682&amp;"",'隊員マスタ'!$F$5:$F$204,0)),"番号なし"))</f>
        <v/>
      </c>
      <c r="C682" s="47" t="n"/>
      <c r="D682" s="47" t="n"/>
      <c r="E682" s="48" t="n"/>
      <c r="F682" s="48" t="n"/>
      <c r="G682" s="47" t="n"/>
      <c r="H682" s="47" t="n"/>
    </row>
    <row r="683">
      <c r="A683" s="52" t="n"/>
      <c r="B683" s="47">
        <f>IF(A683="","",IFERROR(INDEX('隊員マスタ'!$B$5:$B$204,MATCH(A683&amp;"",'隊員マスタ'!$F$5:$F$204,0)),"番号なし"))</f>
        <v/>
      </c>
      <c r="C683" s="47" t="n"/>
      <c r="D683" s="47" t="n"/>
      <c r="E683" s="48" t="n"/>
      <c r="F683" s="48" t="n"/>
      <c r="G683" s="47" t="n"/>
      <c r="H683" s="47" t="n"/>
    </row>
    <row r="684">
      <c r="A684" s="52" t="n"/>
      <c r="B684" s="47">
        <f>IF(A684="","",IFERROR(INDEX('隊員マスタ'!$B$5:$B$204,MATCH(A684&amp;"",'隊員マスタ'!$F$5:$F$204,0)),"番号なし"))</f>
        <v/>
      </c>
      <c r="C684" s="47" t="n"/>
      <c r="D684" s="47" t="n"/>
      <c r="E684" s="48" t="n"/>
      <c r="F684" s="48" t="n"/>
      <c r="G684" s="47" t="n"/>
      <c r="H684" s="47" t="n"/>
    </row>
    <row r="685">
      <c r="A685" s="52" t="n"/>
      <c r="B685" s="47">
        <f>IF(A685="","",IFERROR(INDEX('隊員マスタ'!$B$5:$B$204,MATCH(A685&amp;"",'隊員マスタ'!$F$5:$F$204,0)),"番号なし"))</f>
        <v/>
      </c>
      <c r="C685" s="47" t="n"/>
      <c r="D685" s="47" t="n"/>
      <c r="E685" s="48" t="n"/>
      <c r="F685" s="48" t="n"/>
      <c r="G685" s="47" t="n"/>
      <c r="H685" s="47" t="n"/>
    </row>
    <row r="686">
      <c r="A686" s="52" t="n"/>
      <c r="B686" s="47">
        <f>IF(A686="","",IFERROR(INDEX('隊員マスタ'!$B$5:$B$204,MATCH(A686&amp;"",'隊員マスタ'!$F$5:$F$204,0)),"番号なし"))</f>
        <v/>
      </c>
      <c r="C686" s="47" t="n"/>
      <c r="D686" s="47" t="n"/>
      <c r="E686" s="48" t="n"/>
      <c r="F686" s="48" t="n"/>
      <c r="G686" s="47" t="n"/>
      <c r="H686" s="47" t="n"/>
    </row>
    <row r="687">
      <c r="A687" s="52" t="n"/>
      <c r="B687" s="47">
        <f>IF(A687="","",IFERROR(INDEX('隊員マスタ'!$B$5:$B$204,MATCH(A687&amp;"",'隊員マスタ'!$F$5:$F$204,0)),"番号なし"))</f>
        <v/>
      </c>
      <c r="C687" s="47" t="n"/>
      <c r="D687" s="47" t="n"/>
      <c r="E687" s="48" t="n"/>
      <c r="F687" s="48" t="n"/>
      <c r="G687" s="47" t="n"/>
      <c r="H687" s="47" t="n"/>
    </row>
    <row r="688">
      <c r="A688" s="52" t="n"/>
      <c r="B688" s="47">
        <f>IF(A688="","",IFERROR(INDEX('隊員マスタ'!$B$5:$B$204,MATCH(A688&amp;"",'隊員マスタ'!$F$5:$F$204,0)),"番号なし"))</f>
        <v/>
      </c>
      <c r="C688" s="47" t="n"/>
      <c r="D688" s="47" t="n"/>
      <c r="E688" s="48" t="n"/>
      <c r="F688" s="48" t="n"/>
      <c r="G688" s="47" t="n"/>
      <c r="H688" s="47" t="n"/>
    </row>
    <row r="689">
      <c r="A689" s="52" t="n"/>
      <c r="B689" s="47">
        <f>IF(A689="","",IFERROR(INDEX('隊員マスタ'!$B$5:$B$204,MATCH(A689&amp;"",'隊員マスタ'!$F$5:$F$204,0)),"番号なし"))</f>
        <v/>
      </c>
      <c r="C689" s="47" t="n"/>
      <c r="D689" s="47" t="n"/>
      <c r="E689" s="48" t="n"/>
      <c r="F689" s="48" t="n"/>
      <c r="G689" s="47" t="n"/>
      <c r="H689" s="47" t="n"/>
    </row>
    <row r="690">
      <c r="A690" s="52" t="n"/>
      <c r="B690" s="47">
        <f>IF(A690="","",IFERROR(INDEX('隊員マスタ'!$B$5:$B$204,MATCH(A690&amp;"",'隊員マスタ'!$F$5:$F$204,0)),"番号なし"))</f>
        <v/>
      </c>
      <c r="C690" s="47" t="n"/>
      <c r="D690" s="47" t="n"/>
      <c r="E690" s="48" t="n"/>
      <c r="F690" s="48" t="n"/>
      <c r="G690" s="47" t="n"/>
      <c r="H690" s="47" t="n"/>
    </row>
    <row r="691">
      <c r="A691" s="52" t="n"/>
      <c r="B691" s="47">
        <f>IF(A691="","",IFERROR(INDEX('隊員マスタ'!$B$5:$B$204,MATCH(A691&amp;"",'隊員マスタ'!$F$5:$F$204,0)),"番号なし"))</f>
        <v/>
      </c>
      <c r="C691" s="47" t="n"/>
      <c r="D691" s="47" t="n"/>
      <c r="E691" s="48" t="n"/>
      <c r="F691" s="48" t="n"/>
      <c r="G691" s="47" t="n"/>
      <c r="H691" s="47" t="n"/>
    </row>
    <row r="692">
      <c r="A692" s="52" t="n"/>
      <c r="B692" s="47">
        <f>IF(A692="","",IFERROR(INDEX('隊員マスタ'!$B$5:$B$204,MATCH(A692&amp;"",'隊員マスタ'!$F$5:$F$204,0)),"番号なし"))</f>
        <v/>
      </c>
      <c r="C692" s="47" t="n"/>
      <c r="D692" s="47" t="n"/>
      <c r="E692" s="48" t="n"/>
      <c r="F692" s="48" t="n"/>
      <c r="G692" s="47" t="n"/>
      <c r="H692" s="47" t="n"/>
    </row>
    <row r="693">
      <c r="A693" s="52" t="n"/>
      <c r="B693" s="47">
        <f>IF(A693="","",IFERROR(INDEX('隊員マスタ'!$B$5:$B$204,MATCH(A693&amp;"",'隊員マスタ'!$F$5:$F$204,0)),"番号なし"))</f>
        <v/>
      </c>
      <c r="C693" s="47" t="n"/>
      <c r="D693" s="47" t="n"/>
      <c r="E693" s="48" t="n"/>
      <c r="F693" s="48" t="n"/>
      <c r="G693" s="47" t="n"/>
      <c r="H693" s="47" t="n"/>
    </row>
    <row r="694">
      <c r="A694" s="52" t="n"/>
      <c r="B694" s="47">
        <f>IF(A694="","",IFERROR(INDEX('隊員マスタ'!$B$5:$B$204,MATCH(A694&amp;"",'隊員マスタ'!$F$5:$F$204,0)),"番号なし"))</f>
        <v/>
      </c>
      <c r="C694" s="47" t="n"/>
      <c r="D694" s="47" t="n"/>
      <c r="E694" s="48" t="n"/>
      <c r="F694" s="48" t="n"/>
      <c r="G694" s="47" t="n"/>
      <c r="H694" s="47" t="n"/>
    </row>
    <row r="695">
      <c r="A695" s="52" t="n"/>
      <c r="B695" s="47">
        <f>IF(A695="","",IFERROR(INDEX('隊員マスタ'!$B$5:$B$204,MATCH(A695&amp;"",'隊員マスタ'!$F$5:$F$204,0)),"番号なし"))</f>
        <v/>
      </c>
      <c r="C695" s="47" t="n"/>
      <c r="D695" s="47" t="n"/>
      <c r="E695" s="48" t="n"/>
      <c r="F695" s="48" t="n"/>
      <c r="G695" s="47" t="n"/>
      <c r="H695" s="47" t="n"/>
    </row>
    <row r="696">
      <c r="A696" s="52" t="n"/>
      <c r="B696" s="47">
        <f>IF(A696="","",IFERROR(INDEX('隊員マスタ'!$B$5:$B$204,MATCH(A696&amp;"",'隊員マスタ'!$F$5:$F$204,0)),"番号なし"))</f>
        <v/>
      </c>
      <c r="C696" s="47" t="n"/>
      <c r="D696" s="47" t="n"/>
      <c r="E696" s="48" t="n"/>
      <c r="F696" s="48" t="n"/>
      <c r="G696" s="47" t="n"/>
      <c r="H696" s="47" t="n"/>
    </row>
    <row r="697">
      <c r="A697" s="52" t="n"/>
      <c r="B697" s="47">
        <f>IF(A697="","",IFERROR(INDEX('隊員マスタ'!$B$5:$B$204,MATCH(A697&amp;"",'隊員マスタ'!$F$5:$F$204,0)),"番号なし"))</f>
        <v/>
      </c>
      <c r="C697" s="47" t="n"/>
      <c r="D697" s="47" t="n"/>
      <c r="E697" s="48" t="n"/>
      <c r="F697" s="48" t="n"/>
      <c r="G697" s="47" t="n"/>
      <c r="H697" s="47" t="n"/>
    </row>
    <row r="698">
      <c r="A698" s="52" t="n"/>
      <c r="B698" s="47">
        <f>IF(A698="","",IFERROR(INDEX('隊員マスタ'!$B$5:$B$204,MATCH(A698&amp;"",'隊員マスタ'!$F$5:$F$204,0)),"番号なし"))</f>
        <v/>
      </c>
      <c r="C698" s="47" t="n"/>
      <c r="D698" s="47" t="n"/>
      <c r="E698" s="48" t="n"/>
      <c r="F698" s="48" t="n"/>
      <c r="G698" s="47" t="n"/>
      <c r="H698" s="47" t="n"/>
    </row>
    <row r="699">
      <c r="A699" s="52" t="n"/>
      <c r="B699" s="47">
        <f>IF(A699="","",IFERROR(INDEX('隊員マスタ'!$B$5:$B$204,MATCH(A699&amp;"",'隊員マスタ'!$F$5:$F$204,0)),"番号なし"))</f>
        <v/>
      </c>
      <c r="C699" s="47" t="n"/>
      <c r="D699" s="47" t="n"/>
      <c r="E699" s="48" t="n"/>
      <c r="F699" s="48" t="n"/>
      <c r="G699" s="47" t="n"/>
      <c r="H699" s="47" t="n"/>
    </row>
    <row r="700">
      <c r="A700" s="52" t="n"/>
      <c r="B700" s="47">
        <f>IF(A700="","",IFERROR(INDEX('隊員マスタ'!$B$5:$B$204,MATCH(A700&amp;"",'隊員マスタ'!$F$5:$F$204,0)),"番号なし"))</f>
        <v/>
      </c>
      <c r="C700" s="47" t="n"/>
      <c r="D700" s="47" t="n"/>
      <c r="E700" s="48" t="n"/>
      <c r="F700" s="48" t="n"/>
      <c r="G700" s="47" t="n"/>
      <c r="H700" s="47" t="n"/>
    </row>
    <row r="701">
      <c r="A701" s="52" t="n"/>
      <c r="B701" s="47">
        <f>IF(A701="","",IFERROR(INDEX('隊員マスタ'!$B$5:$B$204,MATCH(A701&amp;"",'隊員マスタ'!$F$5:$F$204,0)),"番号なし"))</f>
        <v/>
      </c>
      <c r="C701" s="47" t="n"/>
      <c r="D701" s="47" t="n"/>
      <c r="E701" s="48" t="n"/>
      <c r="F701" s="48" t="n"/>
      <c r="G701" s="47" t="n"/>
      <c r="H701" s="47" t="n"/>
    </row>
    <row r="702">
      <c r="A702" s="52" t="n"/>
      <c r="B702" s="47">
        <f>IF(A702="","",IFERROR(INDEX('隊員マスタ'!$B$5:$B$204,MATCH(A702&amp;"",'隊員マスタ'!$F$5:$F$204,0)),"番号なし"))</f>
        <v/>
      </c>
      <c r="C702" s="47" t="n"/>
      <c r="D702" s="47" t="n"/>
      <c r="E702" s="48" t="n"/>
      <c r="F702" s="48" t="n"/>
      <c r="G702" s="47" t="n"/>
      <c r="H702" s="47" t="n"/>
    </row>
    <row r="703">
      <c r="A703" s="52" t="n"/>
      <c r="B703" s="47">
        <f>IF(A703="","",IFERROR(INDEX('隊員マスタ'!$B$5:$B$204,MATCH(A703&amp;"",'隊員マスタ'!$F$5:$F$204,0)),"番号なし"))</f>
        <v/>
      </c>
      <c r="C703" s="47" t="n"/>
      <c r="D703" s="47" t="n"/>
      <c r="E703" s="48" t="n"/>
      <c r="F703" s="48" t="n"/>
      <c r="G703" s="47" t="n"/>
      <c r="H703" s="47" t="n"/>
    </row>
    <row r="704">
      <c r="A704" s="52" t="n"/>
      <c r="B704" s="47">
        <f>IF(A704="","",IFERROR(INDEX('隊員マスタ'!$B$5:$B$204,MATCH(A704&amp;"",'隊員マスタ'!$F$5:$F$204,0)),"番号なし"))</f>
        <v/>
      </c>
      <c r="C704" s="47" t="n"/>
      <c r="D704" s="47" t="n"/>
      <c r="E704" s="48" t="n"/>
      <c r="F704" s="48" t="n"/>
      <c r="G704" s="47" t="n"/>
      <c r="H704" s="47" t="n"/>
    </row>
    <row r="705">
      <c r="A705" s="52" t="n"/>
      <c r="B705" s="47">
        <f>IF(A705="","",IFERROR(INDEX('隊員マスタ'!$B$5:$B$204,MATCH(A705&amp;"",'隊員マスタ'!$F$5:$F$204,0)),"番号なし"))</f>
        <v/>
      </c>
      <c r="C705" s="47" t="n"/>
      <c r="D705" s="47" t="n"/>
      <c r="E705" s="48" t="n"/>
      <c r="F705" s="48" t="n"/>
      <c r="G705" s="47" t="n"/>
      <c r="H705" s="47" t="n"/>
    </row>
    <row r="706">
      <c r="A706" s="52" t="n"/>
      <c r="B706" s="47">
        <f>IF(A706="","",IFERROR(INDEX('隊員マスタ'!$B$5:$B$204,MATCH(A706&amp;"",'隊員マスタ'!$F$5:$F$204,0)),"番号なし"))</f>
        <v/>
      </c>
      <c r="C706" s="47" t="n"/>
      <c r="D706" s="47" t="n"/>
      <c r="E706" s="48" t="n"/>
      <c r="F706" s="48" t="n"/>
      <c r="G706" s="47" t="n"/>
      <c r="H706" s="47" t="n"/>
    </row>
    <row r="707">
      <c r="A707" s="52" t="n"/>
      <c r="B707" s="47">
        <f>IF(A707="","",IFERROR(INDEX('隊員マスタ'!$B$5:$B$204,MATCH(A707&amp;"",'隊員マスタ'!$F$5:$F$204,0)),"番号なし"))</f>
        <v/>
      </c>
      <c r="C707" s="47" t="n"/>
      <c r="D707" s="47" t="n"/>
      <c r="E707" s="48" t="n"/>
      <c r="F707" s="48" t="n"/>
      <c r="G707" s="47" t="n"/>
      <c r="H707" s="47" t="n"/>
    </row>
    <row r="708">
      <c r="A708" s="52" t="n"/>
      <c r="B708" s="47">
        <f>IF(A708="","",IFERROR(INDEX('隊員マスタ'!$B$5:$B$204,MATCH(A708&amp;"",'隊員マスタ'!$F$5:$F$204,0)),"番号なし"))</f>
        <v/>
      </c>
      <c r="C708" s="47" t="n"/>
      <c r="D708" s="47" t="n"/>
      <c r="E708" s="48" t="n"/>
      <c r="F708" s="48" t="n"/>
      <c r="G708" s="47" t="n"/>
      <c r="H708" s="47" t="n"/>
    </row>
    <row r="709">
      <c r="A709" s="52" t="n"/>
      <c r="B709" s="47">
        <f>IF(A709="","",IFERROR(INDEX('隊員マスタ'!$B$5:$B$204,MATCH(A709&amp;"",'隊員マスタ'!$F$5:$F$204,0)),"番号なし"))</f>
        <v/>
      </c>
      <c r="C709" s="47" t="n"/>
      <c r="D709" s="47" t="n"/>
      <c r="E709" s="48" t="n"/>
      <c r="F709" s="48" t="n"/>
      <c r="G709" s="47" t="n"/>
      <c r="H709" s="47" t="n"/>
    </row>
    <row r="710">
      <c r="A710" s="52" t="n"/>
      <c r="B710" s="47">
        <f>IF(A710="","",IFERROR(INDEX('隊員マスタ'!$B$5:$B$204,MATCH(A710&amp;"",'隊員マスタ'!$F$5:$F$204,0)),"番号なし"))</f>
        <v/>
      </c>
      <c r="C710" s="47" t="n"/>
      <c r="D710" s="47" t="n"/>
      <c r="E710" s="48" t="n"/>
      <c r="F710" s="48" t="n"/>
      <c r="G710" s="47" t="n"/>
      <c r="H710" s="47" t="n"/>
    </row>
    <row r="711">
      <c r="A711" s="52" t="n"/>
      <c r="B711" s="47">
        <f>IF(A711="","",IFERROR(INDEX('隊員マスタ'!$B$5:$B$204,MATCH(A711&amp;"",'隊員マスタ'!$F$5:$F$204,0)),"番号なし"))</f>
        <v/>
      </c>
      <c r="C711" s="47" t="n"/>
      <c r="D711" s="47" t="n"/>
      <c r="E711" s="48" t="n"/>
      <c r="F711" s="48" t="n"/>
      <c r="G711" s="47" t="n"/>
      <c r="H711" s="47" t="n"/>
    </row>
    <row r="712">
      <c r="A712" s="52" t="n"/>
      <c r="B712" s="47">
        <f>IF(A712="","",IFERROR(INDEX('隊員マスタ'!$B$5:$B$204,MATCH(A712&amp;"",'隊員マスタ'!$F$5:$F$204,0)),"番号なし"))</f>
        <v/>
      </c>
      <c r="C712" s="47" t="n"/>
      <c r="D712" s="47" t="n"/>
      <c r="E712" s="48" t="n"/>
      <c r="F712" s="48" t="n"/>
      <c r="G712" s="47" t="n"/>
      <c r="H712" s="47" t="n"/>
    </row>
    <row r="713">
      <c r="A713" s="52" t="n"/>
      <c r="B713" s="47">
        <f>IF(A713="","",IFERROR(INDEX('隊員マスタ'!$B$5:$B$204,MATCH(A713&amp;"",'隊員マスタ'!$F$5:$F$204,0)),"番号なし"))</f>
        <v/>
      </c>
      <c r="C713" s="47" t="n"/>
      <c r="D713" s="47" t="n"/>
      <c r="E713" s="48" t="n"/>
      <c r="F713" s="48" t="n"/>
      <c r="G713" s="47" t="n"/>
      <c r="H713" s="47" t="n"/>
    </row>
    <row r="714">
      <c r="A714" s="52" t="n"/>
      <c r="B714" s="47">
        <f>IF(A714="","",IFERROR(INDEX('隊員マスタ'!$B$5:$B$204,MATCH(A714&amp;"",'隊員マスタ'!$F$5:$F$204,0)),"番号なし"))</f>
        <v/>
      </c>
      <c r="C714" s="47" t="n"/>
      <c r="D714" s="47" t="n"/>
      <c r="E714" s="48" t="n"/>
      <c r="F714" s="48" t="n"/>
      <c r="G714" s="47" t="n"/>
      <c r="H714" s="47" t="n"/>
    </row>
    <row r="715">
      <c r="A715" s="52" t="n"/>
      <c r="B715" s="47">
        <f>IF(A715="","",IFERROR(INDEX('隊員マスタ'!$B$5:$B$204,MATCH(A715&amp;"",'隊員マスタ'!$F$5:$F$204,0)),"番号なし"))</f>
        <v/>
      </c>
      <c r="C715" s="47" t="n"/>
      <c r="D715" s="47" t="n"/>
      <c r="E715" s="48" t="n"/>
      <c r="F715" s="48" t="n"/>
      <c r="G715" s="47" t="n"/>
      <c r="H715" s="47" t="n"/>
    </row>
    <row r="716">
      <c r="A716" s="52" t="n"/>
      <c r="B716" s="47">
        <f>IF(A716="","",IFERROR(INDEX('隊員マスタ'!$B$5:$B$204,MATCH(A716&amp;"",'隊員マスタ'!$F$5:$F$204,0)),"番号なし"))</f>
        <v/>
      </c>
      <c r="C716" s="47" t="n"/>
      <c r="D716" s="47" t="n"/>
      <c r="E716" s="48" t="n"/>
      <c r="F716" s="48" t="n"/>
      <c r="G716" s="47" t="n"/>
      <c r="H716" s="47" t="n"/>
    </row>
    <row r="717">
      <c r="A717" s="52" t="n"/>
      <c r="B717" s="47">
        <f>IF(A717="","",IFERROR(INDEX('隊員マスタ'!$B$5:$B$204,MATCH(A717&amp;"",'隊員マスタ'!$F$5:$F$204,0)),"番号なし"))</f>
        <v/>
      </c>
      <c r="C717" s="47" t="n"/>
      <c r="D717" s="47" t="n"/>
      <c r="E717" s="48" t="n"/>
      <c r="F717" s="48" t="n"/>
      <c r="G717" s="47" t="n"/>
      <c r="H717" s="47" t="n"/>
    </row>
    <row r="718">
      <c r="A718" s="52" t="n"/>
      <c r="B718" s="47">
        <f>IF(A718="","",IFERROR(INDEX('隊員マスタ'!$B$5:$B$204,MATCH(A718&amp;"",'隊員マスタ'!$F$5:$F$204,0)),"番号なし"))</f>
        <v/>
      </c>
      <c r="C718" s="47" t="n"/>
      <c r="D718" s="47" t="n"/>
      <c r="E718" s="48" t="n"/>
      <c r="F718" s="48" t="n"/>
      <c r="G718" s="47" t="n"/>
      <c r="H718" s="47" t="n"/>
    </row>
    <row r="719">
      <c r="A719" s="52" t="n"/>
      <c r="B719" s="47">
        <f>IF(A719="","",IFERROR(INDEX('隊員マスタ'!$B$5:$B$204,MATCH(A719&amp;"",'隊員マスタ'!$F$5:$F$204,0)),"番号なし"))</f>
        <v/>
      </c>
      <c r="C719" s="47" t="n"/>
      <c r="D719" s="47" t="n"/>
      <c r="E719" s="48" t="n"/>
      <c r="F719" s="48" t="n"/>
      <c r="G719" s="47" t="n"/>
      <c r="H719" s="47" t="n"/>
    </row>
    <row r="720">
      <c r="A720" s="52" t="n"/>
      <c r="B720" s="47">
        <f>IF(A720="","",IFERROR(INDEX('隊員マスタ'!$B$5:$B$204,MATCH(A720&amp;"",'隊員マスタ'!$F$5:$F$204,0)),"番号なし"))</f>
        <v/>
      </c>
      <c r="C720" s="47" t="n"/>
      <c r="D720" s="47" t="n"/>
      <c r="E720" s="48" t="n"/>
      <c r="F720" s="48" t="n"/>
      <c r="G720" s="47" t="n"/>
      <c r="H720" s="47" t="n"/>
    </row>
    <row r="721">
      <c r="A721" s="52" t="n"/>
      <c r="B721" s="47">
        <f>IF(A721="","",IFERROR(INDEX('隊員マスタ'!$B$5:$B$204,MATCH(A721&amp;"",'隊員マスタ'!$F$5:$F$204,0)),"番号なし"))</f>
        <v/>
      </c>
      <c r="C721" s="47" t="n"/>
      <c r="D721" s="47" t="n"/>
      <c r="E721" s="48" t="n"/>
      <c r="F721" s="48" t="n"/>
      <c r="G721" s="47" t="n"/>
      <c r="H721" s="47" t="n"/>
    </row>
    <row r="722">
      <c r="A722" s="52" t="n"/>
      <c r="B722" s="47">
        <f>IF(A722="","",IFERROR(INDEX('隊員マスタ'!$B$5:$B$204,MATCH(A722&amp;"",'隊員マスタ'!$F$5:$F$204,0)),"番号なし"))</f>
        <v/>
      </c>
      <c r="C722" s="47" t="n"/>
      <c r="D722" s="47" t="n"/>
      <c r="E722" s="48" t="n"/>
      <c r="F722" s="48" t="n"/>
      <c r="G722" s="47" t="n"/>
      <c r="H722" s="47" t="n"/>
    </row>
    <row r="723">
      <c r="A723" s="52" t="n"/>
      <c r="B723" s="47">
        <f>IF(A723="","",IFERROR(INDEX('隊員マスタ'!$B$5:$B$204,MATCH(A723&amp;"",'隊員マスタ'!$F$5:$F$204,0)),"番号なし"))</f>
        <v/>
      </c>
      <c r="C723" s="47" t="n"/>
      <c r="D723" s="47" t="n"/>
      <c r="E723" s="48" t="n"/>
      <c r="F723" s="48" t="n"/>
      <c r="G723" s="47" t="n"/>
      <c r="H723" s="47" t="n"/>
    </row>
    <row r="724">
      <c r="A724" s="52" t="n"/>
      <c r="B724" s="47">
        <f>IF(A724="","",IFERROR(INDEX('隊員マスタ'!$B$5:$B$204,MATCH(A724&amp;"",'隊員マスタ'!$F$5:$F$204,0)),"番号なし"))</f>
        <v/>
      </c>
      <c r="C724" s="47" t="n"/>
      <c r="D724" s="47" t="n"/>
      <c r="E724" s="48" t="n"/>
      <c r="F724" s="48" t="n"/>
      <c r="G724" s="47" t="n"/>
      <c r="H724" s="47" t="n"/>
    </row>
    <row r="725">
      <c r="A725" s="52" t="n"/>
      <c r="B725" s="47">
        <f>IF(A725="","",IFERROR(INDEX('隊員マスタ'!$B$5:$B$204,MATCH(A725&amp;"",'隊員マスタ'!$F$5:$F$204,0)),"番号なし"))</f>
        <v/>
      </c>
      <c r="C725" s="47" t="n"/>
      <c r="D725" s="47" t="n"/>
      <c r="E725" s="48" t="n"/>
      <c r="F725" s="48" t="n"/>
      <c r="G725" s="47" t="n"/>
      <c r="H725" s="47" t="n"/>
    </row>
    <row r="726">
      <c r="A726" s="52" t="n"/>
      <c r="B726" s="47">
        <f>IF(A726="","",IFERROR(INDEX('隊員マスタ'!$B$5:$B$204,MATCH(A726&amp;"",'隊員マスタ'!$F$5:$F$204,0)),"番号なし"))</f>
        <v/>
      </c>
      <c r="C726" s="47" t="n"/>
      <c r="D726" s="47" t="n"/>
      <c r="E726" s="48" t="n"/>
      <c r="F726" s="48" t="n"/>
      <c r="G726" s="47" t="n"/>
      <c r="H726" s="47" t="n"/>
    </row>
    <row r="727">
      <c r="A727" s="52" t="n"/>
      <c r="B727" s="47">
        <f>IF(A727="","",IFERROR(INDEX('隊員マスタ'!$B$5:$B$204,MATCH(A727&amp;"",'隊員マスタ'!$F$5:$F$204,0)),"番号なし"))</f>
        <v/>
      </c>
      <c r="C727" s="47" t="n"/>
      <c r="D727" s="47" t="n"/>
      <c r="E727" s="48" t="n"/>
      <c r="F727" s="48" t="n"/>
      <c r="G727" s="47" t="n"/>
      <c r="H727" s="47" t="n"/>
    </row>
    <row r="728">
      <c r="A728" s="52" t="n"/>
      <c r="B728" s="47">
        <f>IF(A728="","",IFERROR(INDEX('隊員マスタ'!$B$5:$B$204,MATCH(A728&amp;"",'隊員マスタ'!$F$5:$F$204,0)),"番号なし"))</f>
        <v/>
      </c>
      <c r="C728" s="47" t="n"/>
      <c r="D728" s="47" t="n"/>
      <c r="E728" s="48" t="n"/>
      <c r="F728" s="48" t="n"/>
      <c r="G728" s="47" t="n"/>
      <c r="H728" s="47" t="n"/>
    </row>
    <row r="729">
      <c r="A729" s="52" t="n"/>
      <c r="B729" s="47">
        <f>IF(A729="","",IFERROR(INDEX('隊員マスタ'!$B$5:$B$204,MATCH(A729&amp;"",'隊員マスタ'!$F$5:$F$204,0)),"番号なし"))</f>
        <v/>
      </c>
      <c r="C729" s="47" t="n"/>
      <c r="D729" s="47" t="n"/>
      <c r="E729" s="48" t="n"/>
      <c r="F729" s="48" t="n"/>
      <c r="G729" s="47" t="n"/>
      <c r="H729" s="47" t="n"/>
    </row>
    <row r="730">
      <c r="A730" s="52" t="n"/>
      <c r="B730" s="47">
        <f>IF(A730="","",IFERROR(INDEX('隊員マスタ'!$B$5:$B$204,MATCH(A730&amp;"",'隊員マスタ'!$F$5:$F$204,0)),"番号なし"))</f>
        <v/>
      </c>
      <c r="C730" s="47" t="n"/>
      <c r="D730" s="47" t="n"/>
      <c r="E730" s="48" t="n"/>
      <c r="F730" s="48" t="n"/>
      <c r="G730" s="47" t="n"/>
      <c r="H730" s="47" t="n"/>
    </row>
    <row r="731">
      <c r="A731" s="52" t="n"/>
      <c r="B731" s="47">
        <f>IF(A731="","",IFERROR(INDEX('隊員マスタ'!$B$5:$B$204,MATCH(A731&amp;"",'隊員マスタ'!$F$5:$F$204,0)),"番号なし"))</f>
        <v/>
      </c>
      <c r="C731" s="47" t="n"/>
      <c r="D731" s="47" t="n"/>
      <c r="E731" s="48" t="n"/>
      <c r="F731" s="48" t="n"/>
      <c r="G731" s="47" t="n"/>
      <c r="H731" s="47" t="n"/>
    </row>
    <row r="732">
      <c r="A732" s="52" t="n"/>
      <c r="B732" s="47">
        <f>IF(A732="","",IFERROR(INDEX('隊員マスタ'!$B$5:$B$204,MATCH(A732&amp;"",'隊員マスタ'!$F$5:$F$204,0)),"番号なし"))</f>
        <v/>
      </c>
      <c r="C732" s="47" t="n"/>
      <c r="D732" s="47" t="n"/>
      <c r="E732" s="48" t="n"/>
      <c r="F732" s="48" t="n"/>
      <c r="G732" s="47" t="n"/>
      <c r="H732" s="47" t="n"/>
    </row>
    <row r="733">
      <c r="A733" s="52" t="n"/>
      <c r="B733" s="47">
        <f>IF(A733="","",IFERROR(INDEX('隊員マスタ'!$B$5:$B$204,MATCH(A733&amp;"",'隊員マスタ'!$F$5:$F$204,0)),"番号なし"))</f>
        <v/>
      </c>
      <c r="C733" s="47" t="n"/>
      <c r="D733" s="47" t="n"/>
      <c r="E733" s="48" t="n"/>
      <c r="F733" s="48" t="n"/>
      <c r="G733" s="47" t="n"/>
      <c r="H733" s="47" t="n"/>
    </row>
    <row r="734">
      <c r="A734" s="52" t="n"/>
      <c r="B734" s="47">
        <f>IF(A734="","",IFERROR(INDEX('隊員マスタ'!$B$5:$B$204,MATCH(A734&amp;"",'隊員マスタ'!$F$5:$F$204,0)),"番号なし"))</f>
        <v/>
      </c>
      <c r="C734" s="47" t="n"/>
      <c r="D734" s="47" t="n"/>
      <c r="E734" s="48" t="n"/>
      <c r="F734" s="48" t="n"/>
      <c r="G734" s="47" t="n"/>
      <c r="H734" s="47" t="n"/>
    </row>
    <row r="735">
      <c r="A735" s="52" t="n"/>
      <c r="B735" s="47">
        <f>IF(A735="","",IFERROR(INDEX('隊員マスタ'!$B$5:$B$204,MATCH(A735&amp;"",'隊員マスタ'!$F$5:$F$204,0)),"番号なし"))</f>
        <v/>
      </c>
      <c r="C735" s="47" t="n"/>
      <c r="D735" s="47" t="n"/>
      <c r="E735" s="48" t="n"/>
      <c r="F735" s="48" t="n"/>
      <c r="G735" s="47" t="n"/>
      <c r="H735" s="47" t="n"/>
    </row>
    <row r="736">
      <c r="A736" s="52" t="n"/>
      <c r="B736" s="47">
        <f>IF(A736="","",IFERROR(INDEX('隊員マスタ'!$B$5:$B$204,MATCH(A736&amp;"",'隊員マスタ'!$F$5:$F$204,0)),"番号なし"))</f>
        <v/>
      </c>
      <c r="C736" s="47" t="n"/>
      <c r="D736" s="47" t="n"/>
      <c r="E736" s="48" t="n"/>
      <c r="F736" s="48" t="n"/>
      <c r="G736" s="47" t="n"/>
      <c r="H736" s="47" t="n"/>
    </row>
    <row r="737">
      <c r="A737" s="52" t="n"/>
      <c r="B737" s="47">
        <f>IF(A737="","",IFERROR(INDEX('隊員マスタ'!$B$5:$B$204,MATCH(A737&amp;"",'隊員マスタ'!$F$5:$F$204,0)),"番号なし"))</f>
        <v/>
      </c>
      <c r="C737" s="47" t="n"/>
      <c r="D737" s="47" t="n"/>
      <c r="E737" s="48" t="n"/>
      <c r="F737" s="48" t="n"/>
      <c r="G737" s="47" t="n"/>
      <c r="H737" s="47" t="n"/>
    </row>
    <row r="738">
      <c r="A738" s="52" t="n"/>
      <c r="B738" s="47">
        <f>IF(A738="","",IFERROR(INDEX('隊員マスタ'!$B$5:$B$204,MATCH(A738&amp;"",'隊員マスタ'!$F$5:$F$204,0)),"番号なし"))</f>
        <v/>
      </c>
      <c r="C738" s="47" t="n"/>
      <c r="D738" s="47" t="n"/>
      <c r="E738" s="48" t="n"/>
      <c r="F738" s="48" t="n"/>
      <c r="G738" s="47" t="n"/>
      <c r="H738" s="47" t="n"/>
    </row>
    <row r="739">
      <c r="A739" s="52" t="n"/>
      <c r="B739" s="47">
        <f>IF(A739="","",IFERROR(INDEX('隊員マスタ'!$B$5:$B$204,MATCH(A739&amp;"",'隊員マスタ'!$F$5:$F$204,0)),"番号なし"))</f>
        <v/>
      </c>
      <c r="C739" s="47" t="n"/>
      <c r="D739" s="47" t="n"/>
      <c r="E739" s="48" t="n"/>
      <c r="F739" s="48" t="n"/>
      <c r="G739" s="47" t="n"/>
      <c r="H739" s="47" t="n"/>
    </row>
    <row r="740">
      <c r="A740" s="52" t="n"/>
      <c r="B740" s="47">
        <f>IF(A740="","",IFERROR(INDEX('隊員マスタ'!$B$5:$B$204,MATCH(A740&amp;"",'隊員マスタ'!$F$5:$F$204,0)),"番号なし"))</f>
        <v/>
      </c>
      <c r="C740" s="47" t="n"/>
      <c r="D740" s="47" t="n"/>
      <c r="E740" s="48" t="n"/>
      <c r="F740" s="48" t="n"/>
      <c r="G740" s="47" t="n"/>
      <c r="H740" s="47" t="n"/>
    </row>
    <row r="741">
      <c r="A741" s="52" t="n"/>
      <c r="B741" s="47">
        <f>IF(A741="","",IFERROR(INDEX('隊員マスタ'!$B$5:$B$204,MATCH(A741&amp;"",'隊員マスタ'!$F$5:$F$204,0)),"番号なし"))</f>
        <v/>
      </c>
      <c r="C741" s="47" t="n"/>
      <c r="D741" s="47" t="n"/>
      <c r="E741" s="48" t="n"/>
      <c r="F741" s="48" t="n"/>
      <c r="G741" s="47" t="n"/>
      <c r="H741" s="47" t="n"/>
    </row>
    <row r="742">
      <c r="A742" s="52" t="n"/>
      <c r="B742" s="47">
        <f>IF(A742="","",IFERROR(INDEX('隊員マスタ'!$B$5:$B$204,MATCH(A742&amp;"",'隊員マスタ'!$F$5:$F$204,0)),"番号なし"))</f>
        <v/>
      </c>
      <c r="C742" s="47" t="n"/>
      <c r="D742" s="47" t="n"/>
      <c r="E742" s="48" t="n"/>
      <c r="F742" s="48" t="n"/>
      <c r="G742" s="47" t="n"/>
      <c r="H742" s="47" t="n"/>
    </row>
    <row r="743">
      <c r="A743" s="52" t="n"/>
      <c r="B743" s="47">
        <f>IF(A743="","",IFERROR(INDEX('隊員マスタ'!$B$5:$B$204,MATCH(A743&amp;"",'隊員マスタ'!$F$5:$F$204,0)),"番号なし"))</f>
        <v/>
      </c>
      <c r="C743" s="47" t="n"/>
      <c r="D743" s="47" t="n"/>
      <c r="E743" s="48" t="n"/>
      <c r="F743" s="48" t="n"/>
      <c r="G743" s="47" t="n"/>
      <c r="H743" s="47" t="n"/>
    </row>
    <row r="744">
      <c r="A744" s="52" t="n"/>
      <c r="B744" s="47">
        <f>IF(A744="","",IFERROR(INDEX('隊員マスタ'!$B$5:$B$204,MATCH(A744&amp;"",'隊員マスタ'!$F$5:$F$204,0)),"番号なし"))</f>
        <v/>
      </c>
      <c r="C744" s="47" t="n"/>
      <c r="D744" s="47" t="n"/>
      <c r="E744" s="48" t="n"/>
      <c r="F744" s="48" t="n"/>
      <c r="G744" s="47" t="n"/>
      <c r="H744" s="47" t="n"/>
    </row>
    <row r="745">
      <c r="A745" s="52" t="n"/>
      <c r="B745" s="47">
        <f>IF(A745="","",IFERROR(INDEX('隊員マスタ'!$B$5:$B$204,MATCH(A745&amp;"",'隊員マスタ'!$F$5:$F$204,0)),"番号なし"))</f>
        <v/>
      </c>
      <c r="C745" s="47" t="n"/>
      <c r="D745" s="47" t="n"/>
      <c r="E745" s="48" t="n"/>
      <c r="F745" s="48" t="n"/>
      <c r="G745" s="47" t="n"/>
      <c r="H745" s="47" t="n"/>
    </row>
    <row r="746">
      <c r="A746" s="52" t="n"/>
      <c r="B746" s="47">
        <f>IF(A746="","",IFERROR(INDEX('隊員マスタ'!$B$5:$B$204,MATCH(A746&amp;"",'隊員マスタ'!$F$5:$F$204,0)),"番号なし"))</f>
        <v/>
      </c>
      <c r="C746" s="47" t="n"/>
      <c r="D746" s="47" t="n"/>
      <c r="E746" s="48" t="n"/>
      <c r="F746" s="48" t="n"/>
      <c r="G746" s="47" t="n"/>
      <c r="H746" s="47" t="n"/>
    </row>
    <row r="747">
      <c r="A747" s="52" t="n"/>
      <c r="B747" s="47">
        <f>IF(A747="","",IFERROR(INDEX('隊員マスタ'!$B$5:$B$204,MATCH(A747&amp;"",'隊員マスタ'!$F$5:$F$204,0)),"番号なし"))</f>
        <v/>
      </c>
      <c r="C747" s="47" t="n"/>
      <c r="D747" s="47" t="n"/>
      <c r="E747" s="48" t="n"/>
      <c r="F747" s="48" t="n"/>
      <c r="G747" s="47" t="n"/>
      <c r="H747" s="47" t="n"/>
    </row>
    <row r="748">
      <c r="A748" s="52" t="n"/>
      <c r="B748" s="47">
        <f>IF(A748="","",IFERROR(INDEX('隊員マスタ'!$B$5:$B$204,MATCH(A748&amp;"",'隊員マスタ'!$F$5:$F$204,0)),"番号なし"))</f>
        <v/>
      </c>
      <c r="C748" s="47" t="n"/>
      <c r="D748" s="47" t="n"/>
      <c r="E748" s="48" t="n"/>
      <c r="F748" s="48" t="n"/>
      <c r="G748" s="47" t="n"/>
      <c r="H748" s="47" t="n"/>
    </row>
    <row r="749">
      <c r="A749" s="52" t="n"/>
      <c r="B749" s="47">
        <f>IF(A749="","",IFERROR(INDEX('隊員マスタ'!$B$5:$B$204,MATCH(A749&amp;"",'隊員マスタ'!$F$5:$F$204,0)),"番号なし"))</f>
        <v/>
      </c>
      <c r="C749" s="47" t="n"/>
      <c r="D749" s="47" t="n"/>
      <c r="E749" s="48" t="n"/>
      <c r="F749" s="48" t="n"/>
      <c r="G749" s="47" t="n"/>
      <c r="H749" s="47" t="n"/>
    </row>
    <row r="750">
      <c r="A750" s="52" t="n"/>
      <c r="B750" s="47">
        <f>IF(A750="","",IFERROR(INDEX('隊員マスタ'!$B$5:$B$204,MATCH(A750&amp;"",'隊員マスタ'!$F$5:$F$204,0)),"番号なし"))</f>
        <v/>
      </c>
      <c r="C750" s="47" t="n"/>
      <c r="D750" s="47" t="n"/>
      <c r="E750" s="48" t="n"/>
      <c r="F750" s="48" t="n"/>
      <c r="G750" s="47" t="n"/>
      <c r="H750" s="47" t="n"/>
    </row>
    <row r="751">
      <c r="A751" s="52" t="n"/>
      <c r="B751" s="47">
        <f>IF(A751="","",IFERROR(INDEX('隊員マスタ'!$B$5:$B$204,MATCH(A751&amp;"",'隊員マスタ'!$F$5:$F$204,0)),"番号なし"))</f>
        <v/>
      </c>
      <c r="C751" s="47" t="n"/>
      <c r="D751" s="47" t="n"/>
      <c r="E751" s="48" t="n"/>
      <c r="F751" s="48" t="n"/>
      <c r="G751" s="47" t="n"/>
      <c r="H751" s="47" t="n"/>
    </row>
    <row r="752">
      <c r="A752" s="52" t="n"/>
      <c r="B752" s="47">
        <f>IF(A752="","",IFERROR(INDEX('隊員マスタ'!$B$5:$B$204,MATCH(A752&amp;"",'隊員マスタ'!$F$5:$F$204,0)),"番号なし"))</f>
        <v/>
      </c>
      <c r="C752" s="47" t="n"/>
      <c r="D752" s="47" t="n"/>
      <c r="E752" s="48" t="n"/>
      <c r="F752" s="48" t="n"/>
      <c r="G752" s="47" t="n"/>
      <c r="H752" s="47" t="n"/>
    </row>
    <row r="753">
      <c r="A753" s="52" t="n"/>
      <c r="B753" s="47">
        <f>IF(A753="","",IFERROR(INDEX('隊員マスタ'!$B$5:$B$204,MATCH(A753&amp;"",'隊員マスタ'!$F$5:$F$204,0)),"番号なし"))</f>
        <v/>
      </c>
      <c r="C753" s="47" t="n"/>
      <c r="D753" s="47" t="n"/>
      <c r="E753" s="48" t="n"/>
      <c r="F753" s="48" t="n"/>
      <c r="G753" s="47" t="n"/>
      <c r="H753" s="47" t="n"/>
    </row>
    <row r="754">
      <c r="A754" s="52" t="n"/>
      <c r="B754" s="47">
        <f>IF(A754="","",IFERROR(INDEX('隊員マスタ'!$B$5:$B$204,MATCH(A754&amp;"",'隊員マスタ'!$F$5:$F$204,0)),"番号なし"))</f>
        <v/>
      </c>
      <c r="C754" s="47" t="n"/>
      <c r="D754" s="47" t="n"/>
      <c r="E754" s="48" t="n"/>
      <c r="F754" s="48" t="n"/>
      <c r="G754" s="47" t="n"/>
      <c r="H754" s="47" t="n"/>
    </row>
    <row r="755">
      <c r="A755" s="52" t="n"/>
      <c r="B755" s="47">
        <f>IF(A755="","",IFERROR(INDEX('隊員マスタ'!$B$5:$B$204,MATCH(A755&amp;"",'隊員マスタ'!$F$5:$F$204,0)),"番号なし"))</f>
        <v/>
      </c>
      <c r="C755" s="47" t="n"/>
      <c r="D755" s="47" t="n"/>
      <c r="E755" s="48" t="n"/>
      <c r="F755" s="48" t="n"/>
      <c r="G755" s="47" t="n"/>
      <c r="H755" s="47" t="n"/>
    </row>
    <row r="756">
      <c r="A756" s="52" t="n"/>
      <c r="B756" s="47">
        <f>IF(A756="","",IFERROR(INDEX('隊員マスタ'!$B$5:$B$204,MATCH(A756&amp;"",'隊員マスタ'!$F$5:$F$204,0)),"番号なし"))</f>
        <v/>
      </c>
      <c r="C756" s="47" t="n"/>
      <c r="D756" s="47" t="n"/>
      <c r="E756" s="48" t="n"/>
      <c r="F756" s="48" t="n"/>
      <c r="G756" s="47" t="n"/>
      <c r="H756" s="47" t="n"/>
    </row>
    <row r="757">
      <c r="A757" s="52" t="n"/>
      <c r="B757" s="47">
        <f>IF(A757="","",IFERROR(INDEX('隊員マスタ'!$B$5:$B$204,MATCH(A757&amp;"",'隊員マスタ'!$F$5:$F$204,0)),"番号なし"))</f>
        <v/>
      </c>
      <c r="C757" s="47" t="n"/>
      <c r="D757" s="47" t="n"/>
      <c r="E757" s="48" t="n"/>
      <c r="F757" s="48" t="n"/>
      <c r="G757" s="47" t="n"/>
      <c r="H757" s="47" t="n"/>
    </row>
    <row r="758">
      <c r="A758" s="52" t="n"/>
      <c r="B758" s="47">
        <f>IF(A758="","",IFERROR(INDEX('隊員マスタ'!$B$5:$B$204,MATCH(A758&amp;"",'隊員マスタ'!$F$5:$F$204,0)),"番号なし"))</f>
        <v/>
      </c>
      <c r="C758" s="47" t="n"/>
      <c r="D758" s="47" t="n"/>
      <c r="E758" s="48" t="n"/>
      <c r="F758" s="48" t="n"/>
      <c r="G758" s="47" t="n"/>
      <c r="H758" s="47" t="n"/>
    </row>
    <row r="759">
      <c r="A759" s="52" t="n"/>
      <c r="B759" s="47">
        <f>IF(A759="","",IFERROR(INDEX('隊員マスタ'!$B$5:$B$204,MATCH(A759&amp;"",'隊員マスタ'!$F$5:$F$204,0)),"番号なし"))</f>
        <v/>
      </c>
      <c r="C759" s="47" t="n"/>
      <c r="D759" s="47" t="n"/>
      <c r="E759" s="48" t="n"/>
      <c r="F759" s="48" t="n"/>
      <c r="G759" s="47" t="n"/>
      <c r="H759" s="47" t="n"/>
    </row>
    <row r="760">
      <c r="A760" s="52" t="n"/>
      <c r="B760" s="47">
        <f>IF(A760="","",IFERROR(INDEX('隊員マスタ'!$B$5:$B$204,MATCH(A760&amp;"",'隊員マスタ'!$F$5:$F$204,0)),"番号なし"))</f>
        <v/>
      </c>
      <c r="C760" s="47" t="n"/>
      <c r="D760" s="47" t="n"/>
      <c r="E760" s="48" t="n"/>
      <c r="F760" s="48" t="n"/>
      <c r="G760" s="47" t="n"/>
      <c r="H760" s="47" t="n"/>
    </row>
    <row r="761">
      <c r="A761" s="52" t="n"/>
      <c r="B761" s="47">
        <f>IF(A761="","",IFERROR(INDEX('隊員マスタ'!$B$5:$B$204,MATCH(A761&amp;"",'隊員マスタ'!$F$5:$F$204,0)),"番号なし"))</f>
        <v/>
      </c>
      <c r="C761" s="47" t="n"/>
      <c r="D761" s="47" t="n"/>
      <c r="E761" s="48" t="n"/>
      <c r="F761" s="48" t="n"/>
      <c r="G761" s="47" t="n"/>
      <c r="H761" s="47" t="n"/>
    </row>
    <row r="762">
      <c r="A762" s="52" t="n"/>
      <c r="B762" s="47">
        <f>IF(A762="","",IFERROR(INDEX('隊員マスタ'!$B$5:$B$204,MATCH(A762&amp;"",'隊員マスタ'!$F$5:$F$204,0)),"番号なし"))</f>
        <v/>
      </c>
      <c r="C762" s="47" t="n"/>
      <c r="D762" s="47" t="n"/>
      <c r="E762" s="48" t="n"/>
      <c r="F762" s="48" t="n"/>
      <c r="G762" s="47" t="n"/>
      <c r="H762" s="47" t="n"/>
    </row>
    <row r="763">
      <c r="A763" s="52" t="n"/>
      <c r="B763" s="47">
        <f>IF(A763="","",IFERROR(INDEX('隊員マスタ'!$B$5:$B$204,MATCH(A763&amp;"",'隊員マスタ'!$F$5:$F$204,0)),"番号なし"))</f>
        <v/>
      </c>
      <c r="C763" s="47" t="n"/>
      <c r="D763" s="47" t="n"/>
      <c r="E763" s="48" t="n"/>
      <c r="F763" s="48" t="n"/>
      <c r="G763" s="47" t="n"/>
      <c r="H763" s="47" t="n"/>
    </row>
    <row r="764">
      <c r="A764" s="52" t="n"/>
      <c r="B764" s="47">
        <f>IF(A764="","",IFERROR(INDEX('隊員マスタ'!$B$5:$B$204,MATCH(A764&amp;"",'隊員マスタ'!$F$5:$F$204,0)),"番号なし"))</f>
        <v/>
      </c>
      <c r="C764" s="47" t="n"/>
      <c r="D764" s="47" t="n"/>
      <c r="E764" s="48" t="n"/>
      <c r="F764" s="48" t="n"/>
      <c r="G764" s="47" t="n"/>
      <c r="H764" s="47" t="n"/>
    </row>
    <row r="765">
      <c r="A765" s="52" t="n"/>
      <c r="B765" s="47">
        <f>IF(A765="","",IFERROR(INDEX('隊員マスタ'!$B$5:$B$204,MATCH(A765&amp;"",'隊員マスタ'!$F$5:$F$204,0)),"番号なし"))</f>
        <v/>
      </c>
      <c r="C765" s="47" t="n"/>
      <c r="D765" s="47" t="n"/>
      <c r="E765" s="48" t="n"/>
      <c r="F765" s="48" t="n"/>
      <c r="G765" s="47" t="n"/>
      <c r="H765" s="47" t="n"/>
    </row>
    <row r="766">
      <c r="A766" s="52" t="n"/>
      <c r="B766" s="47">
        <f>IF(A766="","",IFERROR(INDEX('隊員マスタ'!$B$5:$B$204,MATCH(A766&amp;"",'隊員マスタ'!$F$5:$F$204,0)),"番号なし"))</f>
        <v/>
      </c>
      <c r="C766" s="47" t="n"/>
      <c r="D766" s="47" t="n"/>
      <c r="E766" s="48" t="n"/>
      <c r="F766" s="48" t="n"/>
      <c r="G766" s="47" t="n"/>
      <c r="H766" s="47" t="n"/>
    </row>
    <row r="767">
      <c r="A767" s="52" t="n"/>
      <c r="B767" s="47">
        <f>IF(A767="","",IFERROR(INDEX('隊員マスタ'!$B$5:$B$204,MATCH(A767&amp;"",'隊員マスタ'!$F$5:$F$204,0)),"番号なし"))</f>
        <v/>
      </c>
      <c r="C767" s="47" t="n"/>
      <c r="D767" s="47" t="n"/>
      <c r="E767" s="48" t="n"/>
      <c r="F767" s="48" t="n"/>
      <c r="G767" s="47" t="n"/>
      <c r="H767" s="47" t="n"/>
    </row>
    <row r="768">
      <c r="A768" s="52" t="n"/>
      <c r="B768" s="47">
        <f>IF(A768="","",IFERROR(INDEX('隊員マスタ'!$B$5:$B$204,MATCH(A768&amp;"",'隊員マスタ'!$F$5:$F$204,0)),"番号なし"))</f>
        <v/>
      </c>
      <c r="C768" s="47" t="n"/>
      <c r="D768" s="47" t="n"/>
      <c r="E768" s="48" t="n"/>
      <c r="F768" s="48" t="n"/>
      <c r="G768" s="47" t="n"/>
      <c r="H768" s="47" t="n"/>
    </row>
    <row r="769">
      <c r="A769" s="52" t="n"/>
      <c r="B769" s="47">
        <f>IF(A769="","",IFERROR(INDEX('隊員マスタ'!$B$5:$B$204,MATCH(A769&amp;"",'隊員マスタ'!$F$5:$F$204,0)),"番号なし"))</f>
        <v/>
      </c>
      <c r="C769" s="47" t="n"/>
      <c r="D769" s="47" t="n"/>
      <c r="E769" s="48" t="n"/>
      <c r="F769" s="48" t="n"/>
      <c r="G769" s="47" t="n"/>
      <c r="H769" s="47" t="n"/>
    </row>
    <row r="770">
      <c r="A770" s="52" t="n"/>
      <c r="B770" s="47">
        <f>IF(A770="","",IFERROR(INDEX('隊員マスタ'!$B$5:$B$204,MATCH(A770&amp;"",'隊員マスタ'!$F$5:$F$204,0)),"番号なし"))</f>
        <v/>
      </c>
      <c r="C770" s="47" t="n"/>
      <c r="D770" s="47" t="n"/>
      <c r="E770" s="48" t="n"/>
      <c r="F770" s="48" t="n"/>
      <c r="G770" s="47" t="n"/>
      <c r="H770" s="47" t="n"/>
    </row>
    <row r="771">
      <c r="A771" s="52" t="n"/>
      <c r="B771" s="47">
        <f>IF(A771="","",IFERROR(INDEX('隊員マスタ'!$B$5:$B$204,MATCH(A771&amp;"",'隊員マスタ'!$F$5:$F$204,0)),"番号なし"))</f>
        <v/>
      </c>
      <c r="C771" s="47" t="n"/>
      <c r="D771" s="47" t="n"/>
      <c r="E771" s="48" t="n"/>
      <c r="F771" s="48" t="n"/>
      <c r="G771" s="47" t="n"/>
      <c r="H771" s="47" t="n"/>
    </row>
    <row r="772">
      <c r="A772" s="52" t="n"/>
      <c r="B772" s="47">
        <f>IF(A772="","",IFERROR(INDEX('隊員マスタ'!$B$5:$B$204,MATCH(A772&amp;"",'隊員マスタ'!$F$5:$F$204,0)),"番号なし"))</f>
        <v/>
      </c>
      <c r="C772" s="47" t="n"/>
      <c r="D772" s="47" t="n"/>
      <c r="E772" s="48" t="n"/>
      <c r="F772" s="48" t="n"/>
      <c r="G772" s="47" t="n"/>
      <c r="H772" s="47" t="n"/>
    </row>
    <row r="773">
      <c r="A773" s="52" t="n"/>
      <c r="B773" s="47">
        <f>IF(A773="","",IFERROR(INDEX('隊員マスタ'!$B$5:$B$204,MATCH(A773&amp;"",'隊員マスタ'!$F$5:$F$204,0)),"番号なし"))</f>
        <v/>
      </c>
      <c r="C773" s="47" t="n"/>
      <c r="D773" s="47" t="n"/>
      <c r="E773" s="48" t="n"/>
      <c r="F773" s="48" t="n"/>
      <c r="G773" s="47" t="n"/>
      <c r="H773" s="47" t="n"/>
    </row>
    <row r="774">
      <c r="A774" s="52" t="n"/>
      <c r="B774" s="47">
        <f>IF(A774="","",IFERROR(INDEX('隊員マスタ'!$B$5:$B$204,MATCH(A774&amp;"",'隊員マスタ'!$F$5:$F$204,0)),"番号なし"))</f>
        <v/>
      </c>
      <c r="C774" s="47" t="n"/>
      <c r="D774" s="47" t="n"/>
      <c r="E774" s="48" t="n"/>
      <c r="F774" s="48" t="n"/>
      <c r="G774" s="47" t="n"/>
      <c r="H774" s="47" t="n"/>
    </row>
    <row r="775">
      <c r="A775" s="52" t="n"/>
      <c r="B775" s="47">
        <f>IF(A775="","",IFERROR(INDEX('隊員マスタ'!$B$5:$B$204,MATCH(A775&amp;"",'隊員マスタ'!$F$5:$F$204,0)),"番号なし"))</f>
        <v/>
      </c>
      <c r="C775" s="47" t="n"/>
      <c r="D775" s="47" t="n"/>
      <c r="E775" s="48" t="n"/>
      <c r="F775" s="48" t="n"/>
      <c r="G775" s="47" t="n"/>
      <c r="H775" s="47" t="n"/>
    </row>
    <row r="776">
      <c r="A776" s="52" t="n"/>
      <c r="B776" s="47">
        <f>IF(A776="","",IFERROR(INDEX('隊員マスタ'!$B$5:$B$204,MATCH(A776&amp;"",'隊員マスタ'!$F$5:$F$204,0)),"番号なし"))</f>
        <v/>
      </c>
      <c r="C776" s="47" t="n"/>
      <c r="D776" s="47" t="n"/>
      <c r="E776" s="48" t="n"/>
      <c r="F776" s="48" t="n"/>
      <c r="G776" s="47" t="n"/>
      <c r="H776" s="47" t="n"/>
    </row>
    <row r="777">
      <c r="A777" s="52" t="n"/>
      <c r="B777" s="47">
        <f>IF(A777="","",IFERROR(INDEX('隊員マスタ'!$B$5:$B$204,MATCH(A777&amp;"",'隊員マスタ'!$F$5:$F$204,0)),"番号なし"))</f>
        <v/>
      </c>
      <c r="C777" s="47" t="n"/>
      <c r="D777" s="47" t="n"/>
      <c r="E777" s="48" t="n"/>
      <c r="F777" s="48" t="n"/>
      <c r="G777" s="47" t="n"/>
      <c r="H777" s="47" t="n"/>
    </row>
    <row r="778">
      <c r="A778" s="52" t="n"/>
      <c r="B778" s="47">
        <f>IF(A778="","",IFERROR(INDEX('隊員マスタ'!$B$5:$B$204,MATCH(A778&amp;"",'隊員マスタ'!$F$5:$F$204,0)),"番号なし"))</f>
        <v/>
      </c>
      <c r="C778" s="47" t="n"/>
      <c r="D778" s="47" t="n"/>
      <c r="E778" s="48" t="n"/>
      <c r="F778" s="48" t="n"/>
      <c r="G778" s="47" t="n"/>
      <c r="H778" s="47" t="n"/>
    </row>
    <row r="779">
      <c r="A779" s="52" t="n"/>
      <c r="B779" s="47">
        <f>IF(A779="","",IFERROR(INDEX('隊員マスタ'!$B$5:$B$204,MATCH(A779&amp;"",'隊員マスタ'!$F$5:$F$204,0)),"番号なし"))</f>
        <v/>
      </c>
      <c r="C779" s="47" t="n"/>
      <c r="D779" s="47" t="n"/>
      <c r="E779" s="48" t="n"/>
      <c r="F779" s="48" t="n"/>
      <c r="G779" s="47" t="n"/>
      <c r="H779" s="47" t="n"/>
    </row>
    <row r="780">
      <c r="A780" s="52" t="n"/>
      <c r="B780" s="47">
        <f>IF(A780="","",IFERROR(INDEX('隊員マスタ'!$B$5:$B$204,MATCH(A780&amp;"",'隊員マスタ'!$F$5:$F$204,0)),"番号なし"))</f>
        <v/>
      </c>
      <c r="C780" s="47" t="n"/>
      <c r="D780" s="47" t="n"/>
      <c r="E780" s="48" t="n"/>
      <c r="F780" s="48" t="n"/>
      <c r="G780" s="47" t="n"/>
      <c r="H780" s="47" t="n"/>
    </row>
    <row r="781">
      <c r="A781" s="52" t="n"/>
      <c r="B781" s="47">
        <f>IF(A781="","",IFERROR(INDEX('隊員マスタ'!$B$5:$B$204,MATCH(A781&amp;"",'隊員マスタ'!$F$5:$F$204,0)),"番号なし"))</f>
        <v/>
      </c>
      <c r="C781" s="47" t="n"/>
      <c r="D781" s="47" t="n"/>
      <c r="E781" s="48" t="n"/>
      <c r="F781" s="48" t="n"/>
      <c r="G781" s="47" t="n"/>
      <c r="H781" s="47" t="n"/>
    </row>
    <row r="782">
      <c r="A782" s="52" t="n"/>
      <c r="B782" s="47">
        <f>IF(A782="","",IFERROR(INDEX('隊員マスタ'!$B$5:$B$204,MATCH(A782&amp;"",'隊員マスタ'!$F$5:$F$204,0)),"番号なし"))</f>
        <v/>
      </c>
      <c r="C782" s="47" t="n"/>
      <c r="D782" s="47" t="n"/>
      <c r="E782" s="48" t="n"/>
      <c r="F782" s="48" t="n"/>
      <c r="G782" s="47" t="n"/>
      <c r="H782" s="47" t="n"/>
    </row>
    <row r="783">
      <c r="A783" s="52" t="n"/>
      <c r="B783" s="47">
        <f>IF(A783="","",IFERROR(INDEX('隊員マスタ'!$B$5:$B$204,MATCH(A783&amp;"",'隊員マスタ'!$F$5:$F$204,0)),"番号なし"))</f>
        <v/>
      </c>
      <c r="C783" s="47" t="n"/>
      <c r="D783" s="47" t="n"/>
      <c r="E783" s="48" t="n"/>
      <c r="F783" s="48" t="n"/>
      <c r="G783" s="47" t="n"/>
      <c r="H783" s="47" t="n"/>
    </row>
    <row r="784">
      <c r="A784" s="52" t="n"/>
      <c r="B784" s="47">
        <f>IF(A784="","",IFERROR(INDEX('隊員マスタ'!$B$5:$B$204,MATCH(A784&amp;"",'隊員マスタ'!$F$5:$F$204,0)),"番号なし"))</f>
        <v/>
      </c>
      <c r="C784" s="47" t="n"/>
      <c r="D784" s="47" t="n"/>
      <c r="E784" s="48" t="n"/>
      <c r="F784" s="48" t="n"/>
      <c r="G784" s="47" t="n"/>
      <c r="H784" s="47" t="n"/>
    </row>
    <row r="785">
      <c r="A785" s="52" t="n"/>
      <c r="B785" s="47">
        <f>IF(A785="","",IFERROR(INDEX('隊員マスタ'!$B$5:$B$204,MATCH(A785&amp;"",'隊員マスタ'!$F$5:$F$204,0)),"番号なし"))</f>
        <v/>
      </c>
      <c r="C785" s="47" t="n"/>
      <c r="D785" s="47" t="n"/>
      <c r="E785" s="48" t="n"/>
      <c r="F785" s="48" t="n"/>
      <c r="G785" s="47" t="n"/>
      <c r="H785" s="47" t="n"/>
    </row>
    <row r="786">
      <c r="A786" s="52" t="n"/>
      <c r="B786" s="47">
        <f>IF(A786="","",IFERROR(INDEX('隊員マスタ'!$B$5:$B$204,MATCH(A786&amp;"",'隊員マスタ'!$F$5:$F$204,0)),"番号なし"))</f>
        <v/>
      </c>
      <c r="C786" s="47" t="n"/>
      <c r="D786" s="47" t="n"/>
      <c r="E786" s="48" t="n"/>
      <c r="F786" s="48" t="n"/>
      <c r="G786" s="47" t="n"/>
      <c r="H786" s="47" t="n"/>
    </row>
    <row r="787">
      <c r="A787" s="52" t="n"/>
      <c r="B787" s="47">
        <f>IF(A787="","",IFERROR(INDEX('隊員マスタ'!$B$5:$B$204,MATCH(A787&amp;"",'隊員マスタ'!$F$5:$F$204,0)),"番号なし"))</f>
        <v/>
      </c>
      <c r="C787" s="47" t="n"/>
      <c r="D787" s="47" t="n"/>
      <c r="E787" s="48" t="n"/>
      <c r="F787" s="48" t="n"/>
      <c r="G787" s="47" t="n"/>
      <c r="H787" s="47" t="n"/>
    </row>
    <row r="788">
      <c r="A788" s="52" t="n"/>
      <c r="B788" s="47">
        <f>IF(A788="","",IFERROR(INDEX('隊員マスタ'!$B$5:$B$204,MATCH(A788&amp;"",'隊員マスタ'!$F$5:$F$204,0)),"番号なし"))</f>
        <v/>
      </c>
      <c r="C788" s="47" t="n"/>
      <c r="D788" s="47" t="n"/>
      <c r="E788" s="48" t="n"/>
      <c r="F788" s="48" t="n"/>
      <c r="G788" s="47" t="n"/>
      <c r="H788" s="47" t="n"/>
    </row>
    <row r="789">
      <c r="A789" s="52" t="n"/>
      <c r="B789" s="47">
        <f>IF(A789="","",IFERROR(INDEX('隊員マスタ'!$B$5:$B$204,MATCH(A789&amp;"",'隊員マスタ'!$F$5:$F$204,0)),"番号なし"))</f>
        <v/>
      </c>
      <c r="C789" s="47" t="n"/>
      <c r="D789" s="47" t="n"/>
      <c r="E789" s="48" t="n"/>
      <c r="F789" s="48" t="n"/>
      <c r="G789" s="47" t="n"/>
      <c r="H789" s="47" t="n"/>
    </row>
    <row r="790">
      <c r="A790" s="52" t="n"/>
      <c r="B790" s="47">
        <f>IF(A790="","",IFERROR(INDEX('隊員マスタ'!$B$5:$B$204,MATCH(A790&amp;"",'隊員マスタ'!$F$5:$F$204,0)),"番号なし"))</f>
        <v/>
      </c>
      <c r="C790" s="47" t="n"/>
      <c r="D790" s="47" t="n"/>
      <c r="E790" s="48" t="n"/>
      <c r="F790" s="48" t="n"/>
      <c r="G790" s="47" t="n"/>
      <c r="H790" s="47" t="n"/>
    </row>
    <row r="791">
      <c r="A791" s="52" t="n"/>
      <c r="B791" s="47">
        <f>IF(A791="","",IFERROR(INDEX('隊員マスタ'!$B$5:$B$204,MATCH(A791&amp;"",'隊員マスタ'!$F$5:$F$204,0)),"番号なし"))</f>
        <v/>
      </c>
      <c r="C791" s="47" t="n"/>
      <c r="D791" s="47" t="n"/>
      <c r="E791" s="48" t="n"/>
      <c r="F791" s="48" t="n"/>
      <c r="G791" s="47" t="n"/>
      <c r="H791" s="47" t="n"/>
    </row>
    <row r="792">
      <c r="A792" s="52" t="n"/>
      <c r="B792" s="47">
        <f>IF(A792="","",IFERROR(INDEX('隊員マスタ'!$B$5:$B$204,MATCH(A792&amp;"",'隊員マスタ'!$F$5:$F$204,0)),"番号なし"))</f>
        <v/>
      </c>
      <c r="C792" s="47" t="n"/>
      <c r="D792" s="47" t="n"/>
      <c r="E792" s="48" t="n"/>
      <c r="F792" s="48" t="n"/>
      <c r="G792" s="47" t="n"/>
      <c r="H792" s="47" t="n"/>
    </row>
    <row r="793">
      <c r="A793" s="52" t="n"/>
      <c r="B793" s="47">
        <f>IF(A793="","",IFERROR(INDEX('隊員マスタ'!$B$5:$B$204,MATCH(A793&amp;"",'隊員マスタ'!$F$5:$F$204,0)),"番号なし"))</f>
        <v/>
      </c>
      <c r="C793" s="47" t="n"/>
      <c r="D793" s="47" t="n"/>
      <c r="E793" s="48" t="n"/>
      <c r="F793" s="48" t="n"/>
      <c r="G793" s="47" t="n"/>
      <c r="H793" s="47" t="n"/>
    </row>
    <row r="794">
      <c r="A794" s="52" t="n"/>
      <c r="B794" s="47">
        <f>IF(A794="","",IFERROR(INDEX('隊員マスタ'!$B$5:$B$204,MATCH(A794&amp;"",'隊員マスタ'!$F$5:$F$204,0)),"番号なし"))</f>
        <v/>
      </c>
      <c r="C794" s="47" t="n"/>
      <c r="D794" s="47" t="n"/>
      <c r="E794" s="48" t="n"/>
      <c r="F794" s="48" t="n"/>
      <c r="G794" s="47" t="n"/>
      <c r="H794" s="47" t="n"/>
    </row>
    <row r="795">
      <c r="A795" s="52" t="n"/>
      <c r="B795" s="47">
        <f>IF(A795="","",IFERROR(INDEX('隊員マスタ'!$B$5:$B$204,MATCH(A795&amp;"",'隊員マスタ'!$F$5:$F$204,0)),"番号なし"))</f>
        <v/>
      </c>
      <c r="C795" s="47" t="n"/>
      <c r="D795" s="47" t="n"/>
      <c r="E795" s="48" t="n"/>
      <c r="F795" s="48" t="n"/>
      <c r="G795" s="47" t="n"/>
      <c r="H795" s="47" t="n"/>
    </row>
    <row r="796">
      <c r="A796" s="52" t="n"/>
      <c r="B796" s="47">
        <f>IF(A796="","",IFERROR(INDEX('隊員マスタ'!$B$5:$B$204,MATCH(A796&amp;"",'隊員マスタ'!$F$5:$F$204,0)),"番号なし"))</f>
        <v/>
      </c>
      <c r="C796" s="47" t="n"/>
      <c r="D796" s="47" t="n"/>
      <c r="E796" s="48" t="n"/>
      <c r="F796" s="48" t="n"/>
      <c r="G796" s="47" t="n"/>
      <c r="H796" s="47" t="n"/>
    </row>
    <row r="797">
      <c r="A797" s="52" t="n"/>
      <c r="B797" s="47">
        <f>IF(A797="","",IFERROR(INDEX('隊員マスタ'!$B$5:$B$204,MATCH(A797&amp;"",'隊員マスタ'!$F$5:$F$204,0)),"番号なし"))</f>
        <v/>
      </c>
      <c r="C797" s="47" t="n"/>
      <c r="D797" s="47" t="n"/>
      <c r="E797" s="48" t="n"/>
      <c r="F797" s="48" t="n"/>
      <c r="G797" s="47" t="n"/>
      <c r="H797" s="47" t="n"/>
    </row>
    <row r="798">
      <c r="A798" s="52" t="n"/>
      <c r="B798" s="47">
        <f>IF(A798="","",IFERROR(INDEX('隊員マスタ'!$B$5:$B$204,MATCH(A798&amp;"",'隊員マスタ'!$F$5:$F$204,0)),"番号なし"))</f>
        <v/>
      </c>
      <c r="C798" s="47" t="n"/>
      <c r="D798" s="47" t="n"/>
      <c r="E798" s="48" t="n"/>
      <c r="F798" s="48" t="n"/>
      <c r="G798" s="47" t="n"/>
      <c r="H798" s="47" t="n"/>
    </row>
    <row r="799">
      <c r="A799" s="52" t="n"/>
      <c r="B799" s="47">
        <f>IF(A799="","",IFERROR(INDEX('隊員マスタ'!$B$5:$B$204,MATCH(A799&amp;"",'隊員マスタ'!$F$5:$F$204,0)),"番号なし"))</f>
        <v/>
      </c>
      <c r="C799" s="47" t="n"/>
      <c r="D799" s="47" t="n"/>
      <c r="E799" s="48" t="n"/>
      <c r="F799" s="48" t="n"/>
      <c r="G799" s="47" t="n"/>
      <c r="H799" s="47" t="n"/>
    </row>
    <row r="800">
      <c r="A800" s="52" t="n"/>
      <c r="B800" s="47">
        <f>IF(A800="","",IFERROR(INDEX('隊員マスタ'!$B$5:$B$204,MATCH(A800&amp;"",'隊員マスタ'!$F$5:$F$204,0)),"番号なし"))</f>
        <v/>
      </c>
      <c r="C800" s="47" t="n"/>
      <c r="D800" s="47" t="n"/>
      <c r="E800" s="48" t="n"/>
      <c r="F800" s="48" t="n"/>
      <c r="G800" s="47" t="n"/>
      <c r="H800" s="47" t="n"/>
    </row>
    <row r="801">
      <c r="A801" s="52" t="n"/>
      <c r="B801" s="47">
        <f>IF(A801="","",IFERROR(INDEX('隊員マスタ'!$B$5:$B$204,MATCH(A801&amp;"",'隊員マスタ'!$F$5:$F$204,0)),"番号なし"))</f>
        <v/>
      </c>
      <c r="C801" s="47" t="n"/>
      <c r="D801" s="47" t="n"/>
      <c r="E801" s="48" t="n"/>
      <c r="F801" s="48" t="n"/>
      <c r="G801" s="47" t="n"/>
      <c r="H801" s="47" t="n"/>
    </row>
    <row r="802">
      <c r="A802" s="52" t="n"/>
      <c r="B802" s="47">
        <f>IF(A802="","",IFERROR(INDEX('隊員マスタ'!$B$5:$B$204,MATCH(A802&amp;"",'隊員マスタ'!$F$5:$F$204,0)),"番号なし"))</f>
        <v/>
      </c>
      <c r="C802" s="47" t="n"/>
      <c r="D802" s="47" t="n"/>
      <c r="E802" s="48" t="n"/>
      <c r="F802" s="48" t="n"/>
      <c r="G802" s="47" t="n"/>
      <c r="H802" s="47" t="n"/>
    </row>
    <row r="803">
      <c r="A803" s="52" t="n"/>
      <c r="B803" s="47">
        <f>IF(A803="","",IFERROR(INDEX('隊員マスタ'!$B$5:$B$204,MATCH(A803&amp;"",'隊員マスタ'!$F$5:$F$204,0)),"番号なし"))</f>
        <v/>
      </c>
      <c r="C803" s="47" t="n"/>
      <c r="D803" s="47" t="n"/>
      <c r="E803" s="48" t="n"/>
      <c r="F803" s="48" t="n"/>
      <c r="G803" s="47" t="n"/>
      <c r="H803" s="47" t="n"/>
    </row>
    <row r="804">
      <c r="A804" s="52" t="n"/>
      <c r="B804" s="47">
        <f>IF(A804="","",IFERROR(INDEX('隊員マスタ'!$B$5:$B$204,MATCH(A804&amp;"",'隊員マスタ'!$F$5:$F$204,0)),"番号なし"))</f>
        <v/>
      </c>
      <c r="C804" s="47" t="n"/>
      <c r="D804" s="47" t="n"/>
      <c r="E804" s="48" t="n"/>
      <c r="F804" s="48" t="n"/>
      <c r="G804" s="47" t="n"/>
      <c r="H804" s="47" t="n"/>
    </row>
    <row r="805">
      <c r="A805" s="52" t="n"/>
      <c r="B805" s="47">
        <f>IF(A805="","",IFERROR(INDEX('隊員マスタ'!$B$5:$B$204,MATCH(A805&amp;"",'隊員マスタ'!$F$5:$F$204,0)),"番号なし"))</f>
        <v/>
      </c>
      <c r="C805" s="47" t="n"/>
      <c r="D805" s="47" t="n"/>
      <c r="E805" s="48" t="n"/>
      <c r="F805" s="48" t="n"/>
      <c r="G805" s="47" t="n"/>
      <c r="H805" s="47" t="n"/>
    </row>
    <row r="806">
      <c r="A806" s="52" t="n"/>
      <c r="B806" s="47">
        <f>IF(A806="","",IFERROR(INDEX('隊員マスタ'!$B$5:$B$204,MATCH(A806&amp;"",'隊員マスタ'!$F$5:$F$204,0)),"番号なし"))</f>
        <v/>
      </c>
      <c r="C806" s="47" t="n"/>
      <c r="D806" s="47" t="n"/>
      <c r="E806" s="48" t="n"/>
      <c r="F806" s="48" t="n"/>
      <c r="G806" s="47" t="n"/>
      <c r="H806" s="47" t="n"/>
    </row>
    <row r="807">
      <c r="A807" s="52" t="n"/>
      <c r="B807" s="47">
        <f>IF(A807="","",IFERROR(INDEX('隊員マスタ'!$B$5:$B$204,MATCH(A807&amp;"",'隊員マスタ'!$F$5:$F$204,0)),"番号なし"))</f>
        <v/>
      </c>
      <c r="C807" s="47" t="n"/>
      <c r="D807" s="47" t="n"/>
      <c r="E807" s="48" t="n"/>
      <c r="F807" s="48" t="n"/>
      <c r="G807" s="47" t="n"/>
      <c r="H807" s="47" t="n"/>
    </row>
    <row r="808">
      <c r="A808" s="52" t="n"/>
      <c r="B808" s="47">
        <f>IF(A808="","",IFERROR(INDEX('隊員マスタ'!$B$5:$B$204,MATCH(A808&amp;"",'隊員マスタ'!$F$5:$F$204,0)),"番号なし"))</f>
        <v/>
      </c>
      <c r="C808" s="47" t="n"/>
      <c r="D808" s="47" t="n"/>
      <c r="E808" s="48" t="n"/>
      <c r="F808" s="48" t="n"/>
      <c r="G808" s="47" t="n"/>
      <c r="H808" s="47" t="n"/>
    </row>
    <row r="809">
      <c r="A809" s="52" t="n"/>
      <c r="B809" s="47">
        <f>IF(A809="","",IFERROR(INDEX('隊員マスタ'!$B$5:$B$204,MATCH(A809&amp;"",'隊員マスタ'!$F$5:$F$204,0)),"番号なし"))</f>
        <v/>
      </c>
      <c r="C809" s="47" t="n"/>
      <c r="D809" s="47" t="n"/>
      <c r="E809" s="48" t="n"/>
      <c r="F809" s="48" t="n"/>
      <c r="G809" s="47" t="n"/>
      <c r="H809" s="47" t="n"/>
    </row>
    <row r="810">
      <c r="A810" s="52" t="n"/>
      <c r="B810" s="47">
        <f>IF(A810="","",IFERROR(INDEX('隊員マスタ'!$B$5:$B$204,MATCH(A810&amp;"",'隊員マスタ'!$F$5:$F$204,0)),"番号なし"))</f>
        <v/>
      </c>
      <c r="C810" s="47" t="n"/>
      <c r="D810" s="47" t="n"/>
      <c r="E810" s="48" t="n"/>
      <c r="F810" s="48" t="n"/>
      <c r="G810" s="47" t="n"/>
      <c r="H810" s="47" t="n"/>
    </row>
    <row r="811">
      <c r="A811" s="52" t="n"/>
      <c r="B811" s="47">
        <f>IF(A811="","",IFERROR(INDEX('隊員マスタ'!$B$5:$B$204,MATCH(A811&amp;"",'隊員マスタ'!$F$5:$F$204,0)),"番号なし"))</f>
        <v/>
      </c>
      <c r="C811" s="47" t="n"/>
      <c r="D811" s="47" t="n"/>
      <c r="E811" s="48" t="n"/>
      <c r="F811" s="48" t="n"/>
      <c r="G811" s="47" t="n"/>
      <c r="H811" s="47" t="n"/>
    </row>
    <row r="812">
      <c r="A812" s="52" t="n"/>
      <c r="B812" s="47">
        <f>IF(A812="","",IFERROR(INDEX('隊員マスタ'!$B$5:$B$204,MATCH(A812&amp;"",'隊員マスタ'!$F$5:$F$204,0)),"番号なし"))</f>
        <v/>
      </c>
      <c r="C812" s="47" t="n"/>
      <c r="D812" s="47" t="n"/>
      <c r="E812" s="48" t="n"/>
      <c r="F812" s="48" t="n"/>
      <c r="G812" s="47" t="n"/>
      <c r="H812" s="47" t="n"/>
    </row>
    <row r="813">
      <c r="A813" s="52" t="n"/>
      <c r="B813" s="47">
        <f>IF(A813="","",IFERROR(INDEX('隊員マスタ'!$B$5:$B$204,MATCH(A813&amp;"",'隊員マスタ'!$F$5:$F$204,0)),"番号なし"))</f>
        <v/>
      </c>
      <c r="C813" s="47" t="n"/>
      <c r="D813" s="47" t="n"/>
      <c r="E813" s="48" t="n"/>
      <c r="F813" s="48" t="n"/>
      <c r="G813" s="47" t="n"/>
      <c r="H813" s="47" t="n"/>
    </row>
    <row r="814">
      <c r="A814" s="52" t="n"/>
      <c r="B814" s="47">
        <f>IF(A814="","",IFERROR(INDEX('隊員マスタ'!$B$5:$B$204,MATCH(A814&amp;"",'隊員マスタ'!$F$5:$F$204,0)),"番号なし"))</f>
        <v/>
      </c>
      <c r="C814" s="47" t="n"/>
      <c r="D814" s="47" t="n"/>
      <c r="E814" s="48" t="n"/>
      <c r="F814" s="48" t="n"/>
      <c r="G814" s="47" t="n"/>
      <c r="H814" s="47" t="n"/>
    </row>
    <row r="815">
      <c r="A815" s="52" t="n"/>
      <c r="B815" s="47">
        <f>IF(A815="","",IFERROR(INDEX('隊員マスタ'!$B$5:$B$204,MATCH(A815&amp;"",'隊員マスタ'!$F$5:$F$204,0)),"番号なし"))</f>
        <v/>
      </c>
      <c r="C815" s="47" t="n"/>
      <c r="D815" s="47" t="n"/>
      <c r="E815" s="48" t="n"/>
      <c r="F815" s="48" t="n"/>
      <c r="G815" s="47" t="n"/>
      <c r="H815" s="47" t="n"/>
    </row>
    <row r="816">
      <c r="A816" s="52" t="n"/>
      <c r="B816" s="47">
        <f>IF(A816="","",IFERROR(INDEX('隊員マスタ'!$B$5:$B$204,MATCH(A816&amp;"",'隊員マスタ'!$F$5:$F$204,0)),"番号なし"))</f>
        <v/>
      </c>
      <c r="C816" s="47" t="n"/>
      <c r="D816" s="47" t="n"/>
      <c r="E816" s="48" t="n"/>
      <c r="F816" s="48" t="n"/>
      <c r="G816" s="47" t="n"/>
      <c r="H816" s="47" t="n"/>
    </row>
    <row r="817">
      <c r="A817" s="52" t="n"/>
      <c r="B817" s="47">
        <f>IF(A817="","",IFERROR(INDEX('隊員マスタ'!$B$5:$B$204,MATCH(A817&amp;"",'隊員マスタ'!$F$5:$F$204,0)),"番号なし"))</f>
        <v/>
      </c>
      <c r="C817" s="47" t="n"/>
      <c r="D817" s="47" t="n"/>
      <c r="E817" s="48" t="n"/>
      <c r="F817" s="48" t="n"/>
      <c r="G817" s="47" t="n"/>
      <c r="H817" s="47" t="n"/>
    </row>
    <row r="818">
      <c r="A818" s="52" t="n"/>
      <c r="B818" s="47">
        <f>IF(A818="","",IFERROR(INDEX('隊員マスタ'!$B$5:$B$204,MATCH(A818&amp;"",'隊員マスタ'!$F$5:$F$204,0)),"番号なし"))</f>
        <v/>
      </c>
      <c r="C818" s="47" t="n"/>
      <c r="D818" s="47" t="n"/>
      <c r="E818" s="48" t="n"/>
      <c r="F818" s="48" t="n"/>
      <c r="G818" s="47" t="n"/>
      <c r="H818" s="47" t="n"/>
    </row>
    <row r="819">
      <c r="A819" s="52" t="n"/>
      <c r="B819" s="47">
        <f>IF(A819="","",IFERROR(INDEX('隊員マスタ'!$B$5:$B$204,MATCH(A819&amp;"",'隊員マスタ'!$F$5:$F$204,0)),"番号なし"))</f>
        <v/>
      </c>
      <c r="C819" s="47" t="n"/>
      <c r="D819" s="47" t="n"/>
      <c r="E819" s="48" t="n"/>
      <c r="F819" s="48" t="n"/>
      <c r="G819" s="47" t="n"/>
      <c r="H819" s="47" t="n"/>
    </row>
    <row r="820">
      <c r="A820" s="52" t="n"/>
      <c r="B820" s="47">
        <f>IF(A820="","",IFERROR(INDEX('隊員マスタ'!$B$5:$B$204,MATCH(A820&amp;"",'隊員マスタ'!$F$5:$F$204,0)),"番号なし"))</f>
        <v/>
      </c>
      <c r="C820" s="47" t="n"/>
      <c r="D820" s="47" t="n"/>
      <c r="E820" s="48" t="n"/>
      <c r="F820" s="48" t="n"/>
      <c r="G820" s="47" t="n"/>
      <c r="H820" s="47" t="n"/>
    </row>
    <row r="821">
      <c r="A821" s="52" t="n"/>
      <c r="B821" s="47">
        <f>IF(A821="","",IFERROR(INDEX('隊員マスタ'!$B$5:$B$204,MATCH(A821&amp;"",'隊員マスタ'!$F$5:$F$204,0)),"番号なし"))</f>
        <v/>
      </c>
      <c r="C821" s="47" t="n"/>
      <c r="D821" s="47" t="n"/>
      <c r="E821" s="48" t="n"/>
      <c r="F821" s="48" t="n"/>
      <c r="G821" s="47" t="n"/>
      <c r="H821" s="47" t="n"/>
    </row>
    <row r="822">
      <c r="A822" s="52" t="n"/>
      <c r="B822" s="47">
        <f>IF(A822="","",IFERROR(INDEX('隊員マスタ'!$B$5:$B$204,MATCH(A822&amp;"",'隊員マスタ'!$F$5:$F$204,0)),"番号なし"))</f>
        <v/>
      </c>
      <c r="C822" s="47" t="n"/>
      <c r="D822" s="47" t="n"/>
      <c r="E822" s="48" t="n"/>
      <c r="F822" s="48" t="n"/>
      <c r="G822" s="47" t="n"/>
      <c r="H822" s="47" t="n"/>
    </row>
    <row r="823">
      <c r="A823" s="52" t="n"/>
      <c r="B823" s="47">
        <f>IF(A823="","",IFERROR(INDEX('隊員マスタ'!$B$5:$B$204,MATCH(A823&amp;"",'隊員マスタ'!$F$5:$F$204,0)),"番号なし"))</f>
        <v/>
      </c>
      <c r="C823" s="47" t="n"/>
      <c r="D823" s="47" t="n"/>
      <c r="E823" s="48" t="n"/>
      <c r="F823" s="48" t="n"/>
      <c r="G823" s="47" t="n"/>
      <c r="H823" s="47" t="n"/>
    </row>
    <row r="824">
      <c r="A824" s="52" t="n"/>
      <c r="B824" s="47">
        <f>IF(A824="","",IFERROR(INDEX('隊員マスタ'!$B$5:$B$204,MATCH(A824&amp;"",'隊員マスタ'!$F$5:$F$204,0)),"番号なし"))</f>
        <v/>
      </c>
      <c r="C824" s="47" t="n"/>
      <c r="D824" s="47" t="n"/>
      <c r="E824" s="48" t="n"/>
      <c r="F824" s="48" t="n"/>
      <c r="G824" s="47" t="n"/>
      <c r="H824" s="47" t="n"/>
    </row>
    <row r="825">
      <c r="A825" s="52" t="n"/>
      <c r="B825" s="47">
        <f>IF(A825="","",IFERROR(INDEX('隊員マスタ'!$B$5:$B$204,MATCH(A825&amp;"",'隊員マスタ'!$F$5:$F$204,0)),"番号なし"))</f>
        <v/>
      </c>
      <c r="C825" s="47" t="n"/>
      <c r="D825" s="47" t="n"/>
      <c r="E825" s="48" t="n"/>
      <c r="F825" s="48" t="n"/>
      <c r="G825" s="47" t="n"/>
      <c r="H825" s="47" t="n"/>
    </row>
    <row r="826">
      <c r="A826" s="52" t="n"/>
      <c r="B826" s="47">
        <f>IF(A826="","",IFERROR(INDEX('隊員マスタ'!$B$5:$B$204,MATCH(A826&amp;"",'隊員マスタ'!$F$5:$F$204,0)),"番号なし"))</f>
        <v/>
      </c>
      <c r="C826" s="47" t="n"/>
      <c r="D826" s="47" t="n"/>
      <c r="E826" s="48" t="n"/>
      <c r="F826" s="48" t="n"/>
      <c r="G826" s="47" t="n"/>
      <c r="H826" s="47" t="n"/>
    </row>
    <row r="827">
      <c r="A827" s="52" t="n"/>
      <c r="B827" s="47">
        <f>IF(A827="","",IFERROR(INDEX('隊員マスタ'!$B$5:$B$204,MATCH(A827&amp;"",'隊員マスタ'!$F$5:$F$204,0)),"番号なし"))</f>
        <v/>
      </c>
      <c r="C827" s="47" t="n"/>
      <c r="D827" s="47" t="n"/>
      <c r="E827" s="48" t="n"/>
      <c r="F827" s="48" t="n"/>
      <c r="G827" s="47" t="n"/>
      <c r="H827" s="47" t="n"/>
    </row>
    <row r="828">
      <c r="A828" s="52" t="n"/>
      <c r="B828" s="47">
        <f>IF(A828="","",IFERROR(INDEX('隊員マスタ'!$B$5:$B$204,MATCH(A828&amp;"",'隊員マスタ'!$F$5:$F$204,0)),"番号なし"))</f>
        <v/>
      </c>
      <c r="C828" s="47" t="n"/>
      <c r="D828" s="47" t="n"/>
      <c r="E828" s="48" t="n"/>
      <c r="F828" s="48" t="n"/>
      <c r="G828" s="47" t="n"/>
      <c r="H828" s="47" t="n"/>
    </row>
    <row r="829">
      <c r="A829" s="52" t="n"/>
      <c r="B829" s="47">
        <f>IF(A829="","",IFERROR(INDEX('隊員マスタ'!$B$5:$B$204,MATCH(A829&amp;"",'隊員マスタ'!$F$5:$F$204,0)),"番号なし"))</f>
        <v/>
      </c>
      <c r="C829" s="47" t="n"/>
      <c r="D829" s="47" t="n"/>
      <c r="E829" s="48" t="n"/>
      <c r="F829" s="48" t="n"/>
      <c r="G829" s="47" t="n"/>
      <c r="H829" s="47" t="n"/>
    </row>
    <row r="830">
      <c r="A830" s="52" t="n"/>
      <c r="B830" s="47">
        <f>IF(A830="","",IFERROR(INDEX('隊員マスタ'!$B$5:$B$204,MATCH(A830&amp;"",'隊員マスタ'!$F$5:$F$204,0)),"番号なし"))</f>
        <v/>
      </c>
      <c r="C830" s="47" t="n"/>
      <c r="D830" s="47" t="n"/>
      <c r="E830" s="48" t="n"/>
      <c r="F830" s="48" t="n"/>
      <c r="G830" s="47" t="n"/>
      <c r="H830" s="47" t="n"/>
    </row>
    <row r="831">
      <c r="A831" s="52" t="n"/>
      <c r="B831" s="47">
        <f>IF(A831="","",IFERROR(INDEX('隊員マスタ'!$B$5:$B$204,MATCH(A831&amp;"",'隊員マスタ'!$F$5:$F$204,0)),"番号なし"))</f>
        <v/>
      </c>
      <c r="C831" s="47" t="n"/>
      <c r="D831" s="47" t="n"/>
      <c r="E831" s="48" t="n"/>
      <c r="F831" s="48" t="n"/>
      <c r="G831" s="47" t="n"/>
      <c r="H831" s="47" t="n"/>
    </row>
    <row r="832">
      <c r="A832" s="52" t="n"/>
      <c r="B832" s="47">
        <f>IF(A832="","",IFERROR(INDEX('隊員マスタ'!$B$5:$B$204,MATCH(A832&amp;"",'隊員マスタ'!$F$5:$F$204,0)),"番号なし"))</f>
        <v/>
      </c>
      <c r="C832" s="47" t="n"/>
      <c r="D832" s="47" t="n"/>
      <c r="E832" s="48" t="n"/>
      <c r="F832" s="48" t="n"/>
      <c r="G832" s="47" t="n"/>
      <c r="H832" s="47" t="n"/>
    </row>
    <row r="833">
      <c r="A833" s="52" t="n"/>
      <c r="B833" s="47">
        <f>IF(A833="","",IFERROR(INDEX('隊員マスタ'!$B$5:$B$204,MATCH(A833&amp;"",'隊員マスタ'!$F$5:$F$204,0)),"番号なし"))</f>
        <v/>
      </c>
      <c r="C833" s="47" t="n"/>
      <c r="D833" s="47" t="n"/>
      <c r="E833" s="48" t="n"/>
      <c r="F833" s="48" t="n"/>
      <c r="G833" s="47" t="n"/>
      <c r="H833" s="47" t="n"/>
    </row>
    <row r="834">
      <c r="A834" s="52" t="n"/>
      <c r="B834" s="47">
        <f>IF(A834="","",IFERROR(INDEX('隊員マスタ'!$B$5:$B$204,MATCH(A834&amp;"",'隊員マスタ'!$F$5:$F$204,0)),"番号なし"))</f>
        <v/>
      </c>
      <c r="C834" s="47" t="n"/>
      <c r="D834" s="47" t="n"/>
      <c r="E834" s="48" t="n"/>
      <c r="F834" s="48" t="n"/>
      <c r="G834" s="47" t="n"/>
      <c r="H834" s="47" t="n"/>
    </row>
    <row r="835">
      <c r="A835" s="52" t="n"/>
      <c r="B835" s="47">
        <f>IF(A835="","",IFERROR(INDEX('隊員マスタ'!$B$5:$B$204,MATCH(A835&amp;"",'隊員マスタ'!$F$5:$F$204,0)),"番号なし"))</f>
        <v/>
      </c>
      <c r="C835" s="47" t="n"/>
      <c r="D835" s="47" t="n"/>
      <c r="E835" s="48" t="n"/>
      <c r="F835" s="48" t="n"/>
      <c r="G835" s="47" t="n"/>
      <c r="H835" s="47" t="n"/>
    </row>
    <row r="836">
      <c r="A836" s="52" t="n"/>
      <c r="B836" s="47">
        <f>IF(A836="","",IFERROR(INDEX('隊員マスタ'!$B$5:$B$204,MATCH(A836&amp;"",'隊員マスタ'!$F$5:$F$204,0)),"番号なし"))</f>
        <v/>
      </c>
      <c r="C836" s="47" t="n"/>
      <c r="D836" s="47" t="n"/>
      <c r="E836" s="48" t="n"/>
      <c r="F836" s="48" t="n"/>
      <c r="G836" s="47" t="n"/>
      <c r="H836" s="47" t="n"/>
    </row>
    <row r="837">
      <c r="A837" s="52" t="n"/>
      <c r="B837" s="47">
        <f>IF(A837="","",IFERROR(INDEX('隊員マスタ'!$B$5:$B$204,MATCH(A837&amp;"",'隊員マスタ'!$F$5:$F$204,0)),"番号なし"))</f>
        <v/>
      </c>
      <c r="C837" s="47" t="n"/>
      <c r="D837" s="47" t="n"/>
      <c r="E837" s="48" t="n"/>
      <c r="F837" s="48" t="n"/>
      <c r="G837" s="47" t="n"/>
      <c r="H837" s="47" t="n"/>
    </row>
    <row r="838">
      <c r="A838" s="52" t="n"/>
      <c r="B838" s="47">
        <f>IF(A838="","",IFERROR(INDEX('隊員マスタ'!$B$5:$B$204,MATCH(A838&amp;"",'隊員マスタ'!$F$5:$F$204,0)),"番号なし"))</f>
        <v/>
      </c>
      <c r="C838" s="47" t="n"/>
      <c r="D838" s="47" t="n"/>
      <c r="E838" s="48" t="n"/>
      <c r="F838" s="48" t="n"/>
      <c r="G838" s="47" t="n"/>
      <c r="H838" s="47" t="n"/>
    </row>
    <row r="839">
      <c r="A839" s="52" t="n"/>
      <c r="B839" s="47">
        <f>IF(A839="","",IFERROR(INDEX('隊員マスタ'!$B$5:$B$204,MATCH(A839&amp;"",'隊員マスタ'!$F$5:$F$204,0)),"番号なし"))</f>
        <v/>
      </c>
      <c r="C839" s="47" t="n"/>
      <c r="D839" s="47" t="n"/>
      <c r="E839" s="48" t="n"/>
      <c r="F839" s="48" t="n"/>
      <c r="G839" s="47" t="n"/>
      <c r="H839" s="47" t="n"/>
    </row>
    <row r="840">
      <c r="A840" s="52" t="n"/>
      <c r="B840" s="47">
        <f>IF(A840="","",IFERROR(INDEX('隊員マスタ'!$B$5:$B$204,MATCH(A840&amp;"",'隊員マスタ'!$F$5:$F$204,0)),"番号なし"))</f>
        <v/>
      </c>
      <c r="C840" s="47" t="n"/>
      <c r="D840" s="47" t="n"/>
      <c r="E840" s="48" t="n"/>
      <c r="F840" s="48" t="n"/>
      <c r="G840" s="47" t="n"/>
      <c r="H840" s="47" t="n"/>
    </row>
    <row r="841">
      <c r="A841" s="52" t="n"/>
      <c r="B841" s="47">
        <f>IF(A841="","",IFERROR(INDEX('隊員マスタ'!$B$5:$B$204,MATCH(A841&amp;"",'隊員マスタ'!$F$5:$F$204,0)),"番号なし"))</f>
        <v/>
      </c>
      <c r="C841" s="47" t="n"/>
      <c r="D841" s="47" t="n"/>
      <c r="E841" s="48" t="n"/>
      <c r="F841" s="48" t="n"/>
      <c r="G841" s="47" t="n"/>
      <c r="H841" s="47" t="n"/>
    </row>
    <row r="842">
      <c r="A842" s="52" t="n"/>
      <c r="B842" s="47">
        <f>IF(A842="","",IFERROR(INDEX('隊員マスタ'!$B$5:$B$204,MATCH(A842&amp;"",'隊員マスタ'!$F$5:$F$204,0)),"番号なし"))</f>
        <v/>
      </c>
      <c r="C842" s="47" t="n"/>
      <c r="D842" s="47" t="n"/>
      <c r="E842" s="48" t="n"/>
      <c r="F842" s="48" t="n"/>
      <c r="G842" s="47" t="n"/>
      <c r="H842" s="47" t="n"/>
    </row>
    <row r="843">
      <c r="A843" s="52" t="n"/>
      <c r="B843" s="47">
        <f>IF(A843="","",IFERROR(INDEX('隊員マスタ'!$B$5:$B$204,MATCH(A843&amp;"",'隊員マスタ'!$F$5:$F$204,0)),"番号なし"))</f>
        <v/>
      </c>
      <c r="C843" s="47" t="n"/>
      <c r="D843" s="47" t="n"/>
      <c r="E843" s="48" t="n"/>
      <c r="F843" s="48" t="n"/>
      <c r="G843" s="47" t="n"/>
      <c r="H843" s="47" t="n"/>
    </row>
    <row r="844">
      <c r="A844" s="52" t="n"/>
      <c r="B844" s="47">
        <f>IF(A844="","",IFERROR(INDEX('隊員マスタ'!$B$5:$B$204,MATCH(A844&amp;"",'隊員マスタ'!$F$5:$F$204,0)),"番号なし"))</f>
        <v/>
      </c>
      <c r="C844" s="47" t="n"/>
      <c r="D844" s="47" t="n"/>
      <c r="E844" s="48" t="n"/>
      <c r="F844" s="48" t="n"/>
      <c r="G844" s="47" t="n"/>
      <c r="H844" s="47" t="n"/>
    </row>
    <row r="845">
      <c r="A845" s="52" t="n"/>
      <c r="B845" s="47">
        <f>IF(A845="","",IFERROR(INDEX('隊員マスタ'!$B$5:$B$204,MATCH(A845&amp;"",'隊員マスタ'!$F$5:$F$204,0)),"番号なし"))</f>
        <v/>
      </c>
      <c r="C845" s="47" t="n"/>
      <c r="D845" s="47" t="n"/>
      <c r="E845" s="48" t="n"/>
      <c r="F845" s="48" t="n"/>
      <c r="G845" s="47" t="n"/>
      <c r="H845" s="47" t="n"/>
    </row>
    <row r="846">
      <c r="A846" s="52" t="n"/>
      <c r="B846" s="47">
        <f>IF(A846="","",IFERROR(INDEX('隊員マスタ'!$B$5:$B$204,MATCH(A846&amp;"",'隊員マスタ'!$F$5:$F$204,0)),"番号なし"))</f>
        <v/>
      </c>
      <c r="C846" s="47" t="n"/>
      <c r="D846" s="47" t="n"/>
      <c r="E846" s="48" t="n"/>
      <c r="F846" s="48" t="n"/>
      <c r="G846" s="47" t="n"/>
      <c r="H846" s="47" t="n"/>
    </row>
    <row r="847">
      <c r="A847" s="52" t="n"/>
      <c r="B847" s="47">
        <f>IF(A847="","",IFERROR(INDEX('隊員マスタ'!$B$5:$B$204,MATCH(A847&amp;"",'隊員マスタ'!$F$5:$F$204,0)),"番号なし"))</f>
        <v/>
      </c>
      <c r="C847" s="47" t="n"/>
      <c r="D847" s="47" t="n"/>
      <c r="E847" s="48" t="n"/>
      <c r="F847" s="48" t="n"/>
      <c r="G847" s="47" t="n"/>
      <c r="H847" s="47" t="n"/>
    </row>
    <row r="848">
      <c r="A848" s="52" t="n"/>
      <c r="B848" s="47">
        <f>IF(A848="","",IFERROR(INDEX('隊員マスタ'!$B$5:$B$204,MATCH(A848&amp;"",'隊員マスタ'!$F$5:$F$204,0)),"番号なし"))</f>
        <v/>
      </c>
      <c r="C848" s="47" t="n"/>
      <c r="D848" s="47" t="n"/>
      <c r="E848" s="48" t="n"/>
      <c r="F848" s="48" t="n"/>
      <c r="G848" s="47" t="n"/>
      <c r="H848" s="47" t="n"/>
    </row>
    <row r="849">
      <c r="A849" s="52" t="n"/>
      <c r="B849" s="47">
        <f>IF(A849="","",IFERROR(INDEX('隊員マスタ'!$B$5:$B$204,MATCH(A849&amp;"",'隊員マスタ'!$F$5:$F$204,0)),"番号なし"))</f>
        <v/>
      </c>
      <c r="C849" s="47" t="n"/>
      <c r="D849" s="47" t="n"/>
      <c r="E849" s="48" t="n"/>
      <c r="F849" s="48" t="n"/>
      <c r="G849" s="47" t="n"/>
      <c r="H849" s="47" t="n"/>
    </row>
    <row r="850">
      <c r="A850" s="52" t="n"/>
      <c r="B850" s="47">
        <f>IF(A850="","",IFERROR(INDEX('隊員マスタ'!$B$5:$B$204,MATCH(A850&amp;"",'隊員マスタ'!$F$5:$F$204,0)),"番号なし"))</f>
        <v/>
      </c>
      <c r="C850" s="47" t="n"/>
      <c r="D850" s="47" t="n"/>
      <c r="E850" s="48" t="n"/>
      <c r="F850" s="48" t="n"/>
      <c r="G850" s="47" t="n"/>
      <c r="H850" s="47" t="n"/>
    </row>
    <row r="851">
      <c r="A851" s="52" t="n"/>
      <c r="B851" s="47">
        <f>IF(A851="","",IFERROR(INDEX('隊員マスタ'!$B$5:$B$204,MATCH(A851&amp;"",'隊員マスタ'!$F$5:$F$204,0)),"番号なし"))</f>
        <v/>
      </c>
      <c r="C851" s="47" t="n"/>
      <c r="D851" s="47" t="n"/>
      <c r="E851" s="48" t="n"/>
      <c r="F851" s="48" t="n"/>
      <c r="G851" s="47" t="n"/>
      <c r="H851" s="47" t="n"/>
    </row>
    <row r="852">
      <c r="A852" s="52" t="n"/>
      <c r="B852" s="47">
        <f>IF(A852="","",IFERROR(INDEX('隊員マスタ'!$B$5:$B$204,MATCH(A852&amp;"",'隊員マスタ'!$F$5:$F$204,0)),"番号なし"))</f>
        <v/>
      </c>
      <c r="C852" s="47" t="n"/>
      <c r="D852" s="47" t="n"/>
      <c r="E852" s="48" t="n"/>
      <c r="F852" s="48" t="n"/>
      <c r="G852" s="47" t="n"/>
      <c r="H852" s="47" t="n"/>
    </row>
    <row r="853">
      <c r="A853" s="52" t="n"/>
      <c r="B853" s="47">
        <f>IF(A853="","",IFERROR(INDEX('隊員マスタ'!$B$5:$B$204,MATCH(A853&amp;"",'隊員マスタ'!$F$5:$F$204,0)),"番号なし"))</f>
        <v/>
      </c>
      <c r="C853" s="47" t="n"/>
      <c r="D853" s="47" t="n"/>
      <c r="E853" s="48" t="n"/>
      <c r="F853" s="48" t="n"/>
      <c r="G853" s="47" t="n"/>
      <c r="H853" s="47" t="n"/>
    </row>
    <row r="854">
      <c r="A854" s="52" t="n"/>
      <c r="B854" s="47">
        <f>IF(A854="","",IFERROR(INDEX('隊員マスタ'!$B$5:$B$204,MATCH(A854&amp;"",'隊員マスタ'!$F$5:$F$204,0)),"番号なし"))</f>
        <v/>
      </c>
      <c r="C854" s="47" t="n"/>
      <c r="D854" s="47" t="n"/>
      <c r="E854" s="48" t="n"/>
      <c r="F854" s="48" t="n"/>
      <c r="G854" s="47" t="n"/>
      <c r="H854" s="47" t="n"/>
    </row>
    <row r="855">
      <c r="A855" s="52" t="n"/>
      <c r="B855" s="47">
        <f>IF(A855="","",IFERROR(INDEX('隊員マスタ'!$B$5:$B$204,MATCH(A855&amp;"",'隊員マスタ'!$F$5:$F$204,0)),"番号なし"))</f>
        <v/>
      </c>
      <c r="C855" s="47" t="n"/>
      <c r="D855" s="47" t="n"/>
      <c r="E855" s="48" t="n"/>
      <c r="F855" s="48" t="n"/>
      <c r="G855" s="47" t="n"/>
      <c r="H855" s="47" t="n"/>
    </row>
    <row r="856">
      <c r="A856" s="52" t="n"/>
      <c r="B856" s="47">
        <f>IF(A856="","",IFERROR(INDEX('隊員マスタ'!$B$5:$B$204,MATCH(A856&amp;"",'隊員マスタ'!$F$5:$F$204,0)),"番号なし"))</f>
        <v/>
      </c>
      <c r="C856" s="47" t="n"/>
      <c r="D856" s="47" t="n"/>
      <c r="E856" s="48" t="n"/>
      <c r="F856" s="48" t="n"/>
      <c r="G856" s="47" t="n"/>
      <c r="H856" s="47" t="n"/>
    </row>
    <row r="857">
      <c r="A857" s="52" t="n"/>
      <c r="B857" s="47">
        <f>IF(A857="","",IFERROR(INDEX('隊員マスタ'!$B$5:$B$204,MATCH(A857&amp;"",'隊員マスタ'!$F$5:$F$204,0)),"番号なし"))</f>
        <v/>
      </c>
      <c r="C857" s="47" t="n"/>
      <c r="D857" s="47" t="n"/>
      <c r="E857" s="48" t="n"/>
      <c r="F857" s="48" t="n"/>
      <c r="G857" s="47" t="n"/>
      <c r="H857" s="47" t="n"/>
    </row>
    <row r="858">
      <c r="A858" s="52" t="n"/>
      <c r="B858" s="47">
        <f>IF(A858="","",IFERROR(INDEX('隊員マスタ'!$B$5:$B$204,MATCH(A858&amp;"",'隊員マスタ'!$F$5:$F$204,0)),"番号なし"))</f>
        <v/>
      </c>
      <c r="C858" s="47" t="n"/>
      <c r="D858" s="47" t="n"/>
      <c r="E858" s="48" t="n"/>
      <c r="F858" s="48" t="n"/>
      <c r="G858" s="47" t="n"/>
      <c r="H858" s="47" t="n"/>
    </row>
    <row r="859">
      <c r="A859" s="52" t="n"/>
      <c r="B859" s="47">
        <f>IF(A859="","",IFERROR(INDEX('隊員マスタ'!$B$5:$B$204,MATCH(A859&amp;"",'隊員マスタ'!$F$5:$F$204,0)),"番号なし"))</f>
        <v/>
      </c>
      <c r="C859" s="47" t="n"/>
      <c r="D859" s="47" t="n"/>
      <c r="E859" s="48" t="n"/>
      <c r="F859" s="48" t="n"/>
      <c r="G859" s="47" t="n"/>
      <c r="H859" s="47" t="n"/>
    </row>
    <row r="860">
      <c r="A860" s="52" t="n"/>
      <c r="B860" s="47">
        <f>IF(A860="","",IFERROR(INDEX('隊員マスタ'!$B$5:$B$204,MATCH(A860&amp;"",'隊員マスタ'!$F$5:$F$204,0)),"番号なし"))</f>
        <v/>
      </c>
      <c r="C860" s="47" t="n"/>
      <c r="D860" s="47" t="n"/>
      <c r="E860" s="48" t="n"/>
      <c r="F860" s="48" t="n"/>
      <c r="G860" s="47" t="n"/>
      <c r="H860" s="47" t="n"/>
    </row>
    <row r="861">
      <c r="A861" s="52" t="n"/>
      <c r="B861" s="47">
        <f>IF(A861="","",IFERROR(INDEX('隊員マスタ'!$B$5:$B$204,MATCH(A861&amp;"",'隊員マスタ'!$F$5:$F$204,0)),"番号なし"))</f>
        <v/>
      </c>
      <c r="C861" s="47" t="n"/>
      <c r="D861" s="47" t="n"/>
      <c r="E861" s="48" t="n"/>
      <c r="F861" s="48" t="n"/>
      <c r="G861" s="47" t="n"/>
      <c r="H861" s="47" t="n"/>
    </row>
    <row r="862">
      <c r="A862" s="52" t="n"/>
      <c r="B862" s="47">
        <f>IF(A862="","",IFERROR(INDEX('隊員マスタ'!$B$5:$B$204,MATCH(A862&amp;"",'隊員マスタ'!$F$5:$F$204,0)),"番号なし"))</f>
        <v/>
      </c>
      <c r="C862" s="47" t="n"/>
      <c r="D862" s="47" t="n"/>
      <c r="E862" s="48" t="n"/>
      <c r="F862" s="48" t="n"/>
      <c r="G862" s="47" t="n"/>
      <c r="H862" s="47" t="n"/>
    </row>
    <row r="863">
      <c r="A863" s="52" t="n"/>
      <c r="B863" s="47">
        <f>IF(A863="","",IFERROR(INDEX('隊員マスタ'!$B$5:$B$204,MATCH(A863&amp;"",'隊員マスタ'!$F$5:$F$204,0)),"番号なし"))</f>
        <v/>
      </c>
      <c r="C863" s="47" t="n"/>
      <c r="D863" s="47" t="n"/>
      <c r="E863" s="48" t="n"/>
      <c r="F863" s="48" t="n"/>
      <c r="G863" s="47" t="n"/>
      <c r="H863" s="47" t="n"/>
    </row>
    <row r="864">
      <c r="A864" s="52" t="n"/>
      <c r="B864" s="47">
        <f>IF(A864="","",IFERROR(INDEX('隊員マスタ'!$B$5:$B$204,MATCH(A864&amp;"",'隊員マスタ'!$F$5:$F$204,0)),"番号なし"))</f>
        <v/>
      </c>
      <c r="C864" s="47" t="n"/>
      <c r="D864" s="47" t="n"/>
      <c r="E864" s="48" t="n"/>
      <c r="F864" s="48" t="n"/>
      <c r="G864" s="47" t="n"/>
      <c r="H864" s="47" t="n"/>
    </row>
    <row r="865">
      <c r="A865" s="52" t="n"/>
      <c r="B865" s="47">
        <f>IF(A865="","",IFERROR(INDEX('隊員マスタ'!$B$5:$B$204,MATCH(A865&amp;"",'隊員マスタ'!$F$5:$F$204,0)),"番号なし"))</f>
        <v/>
      </c>
      <c r="C865" s="47" t="n"/>
      <c r="D865" s="47" t="n"/>
      <c r="E865" s="48" t="n"/>
      <c r="F865" s="48" t="n"/>
      <c r="G865" s="47" t="n"/>
      <c r="H865" s="47" t="n"/>
    </row>
    <row r="866">
      <c r="A866" s="52" t="n"/>
      <c r="B866" s="47">
        <f>IF(A866="","",IFERROR(INDEX('隊員マスタ'!$B$5:$B$204,MATCH(A866&amp;"",'隊員マスタ'!$F$5:$F$204,0)),"番号なし"))</f>
        <v/>
      </c>
      <c r="C866" s="47" t="n"/>
      <c r="D866" s="47" t="n"/>
      <c r="E866" s="48" t="n"/>
      <c r="F866" s="48" t="n"/>
      <c r="G866" s="47" t="n"/>
      <c r="H866" s="47" t="n"/>
    </row>
    <row r="867">
      <c r="A867" s="52" t="n"/>
      <c r="B867" s="47">
        <f>IF(A867="","",IFERROR(INDEX('隊員マスタ'!$B$5:$B$204,MATCH(A867&amp;"",'隊員マスタ'!$F$5:$F$204,0)),"番号なし"))</f>
        <v/>
      </c>
      <c r="C867" s="47" t="n"/>
      <c r="D867" s="47" t="n"/>
      <c r="E867" s="48" t="n"/>
      <c r="F867" s="48" t="n"/>
      <c r="G867" s="47" t="n"/>
      <c r="H867" s="47" t="n"/>
    </row>
    <row r="868">
      <c r="A868" s="52" t="n"/>
      <c r="B868" s="47">
        <f>IF(A868="","",IFERROR(INDEX('隊員マスタ'!$B$5:$B$204,MATCH(A868&amp;"",'隊員マスタ'!$F$5:$F$204,0)),"番号なし"))</f>
        <v/>
      </c>
      <c r="C868" s="47" t="n"/>
      <c r="D868" s="47" t="n"/>
      <c r="E868" s="48" t="n"/>
      <c r="F868" s="48" t="n"/>
      <c r="G868" s="47" t="n"/>
      <c r="H868" s="47" t="n"/>
    </row>
    <row r="869">
      <c r="A869" s="52" t="n"/>
      <c r="B869" s="47">
        <f>IF(A869="","",IFERROR(INDEX('隊員マスタ'!$B$5:$B$204,MATCH(A869&amp;"",'隊員マスタ'!$F$5:$F$204,0)),"番号なし"))</f>
        <v/>
      </c>
      <c r="C869" s="47" t="n"/>
      <c r="D869" s="47" t="n"/>
      <c r="E869" s="48" t="n"/>
      <c r="F869" s="48" t="n"/>
      <c r="G869" s="47" t="n"/>
      <c r="H869" s="47" t="n"/>
    </row>
    <row r="870">
      <c r="A870" s="52" t="n"/>
      <c r="B870" s="47">
        <f>IF(A870="","",IFERROR(INDEX('隊員マスタ'!$B$5:$B$204,MATCH(A870&amp;"",'隊員マスタ'!$F$5:$F$204,0)),"番号なし"))</f>
        <v/>
      </c>
      <c r="C870" s="47" t="n"/>
      <c r="D870" s="47" t="n"/>
      <c r="E870" s="48" t="n"/>
      <c r="F870" s="48" t="n"/>
      <c r="G870" s="47" t="n"/>
      <c r="H870" s="47" t="n"/>
    </row>
    <row r="871">
      <c r="A871" s="52" t="n"/>
      <c r="B871" s="47">
        <f>IF(A871="","",IFERROR(INDEX('隊員マスタ'!$B$5:$B$204,MATCH(A871&amp;"",'隊員マスタ'!$F$5:$F$204,0)),"番号なし"))</f>
        <v/>
      </c>
      <c r="C871" s="47" t="n"/>
      <c r="D871" s="47" t="n"/>
      <c r="E871" s="48" t="n"/>
      <c r="F871" s="48" t="n"/>
      <c r="G871" s="47" t="n"/>
      <c r="H871" s="47" t="n"/>
    </row>
    <row r="872">
      <c r="A872" s="52" t="n"/>
      <c r="B872" s="47">
        <f>IF(A872="","",IFERROR(INDEX('隊員マスタ'!$B$5:$B$204,MATCH(A872&amp;"",'隊員マスタ'!$F$5:$F$204,0)),"番号なし"))</f>
        <v/>
      </c>
      <c r="C872" s="47" t="n"/>
      <c r="D872" s="47" t="n"/>
      <c r="E872" s="48" t="n"/>
      <c r="F872" s="48" t="n"/>
      <c r="G872" s="47" t="n"/>
      <c r="H872" s="47" t="n"/>
    </row>
    <row r="873">
      <c r="A873" s="52" t="n"/>
      <c r="B873" s="47">
        <f>IF(A873="","",IFERROR(INDEX('隊員マスタ'!$B$5:$B$204,MATCH(A873&amp;"",'隊員マスタ'!$F$5:$F$204,0)),"番号なし"))</f>
        <v/>
      </c>
      <c r="C873" s="47" t="n"/>
      <c r="D873" s="47" t="n"/>
      <c r="E873" s="48" t="n"/>
      <c r="F873" s="48" t="n"/>
      <c r="G873" s="47" t="n"/>
      <c r="H873" s="47" t="n"/>
    </row>
    <row r="874">
      <c r="A874" s="52" t="n"/>
      <c r="B874" s="47">
        <f>IF(A874="","",IFERROR(INDEX('隊員マスタ'!$B$5:$B$204,MATCH(A874&amp;"",'隊員マスタ'!$F$5:$F$204,0)),"番号なし"))</f>
        <v/>
      </c>
      <c r="C874" s="47" t="n"/>
      <c r="D874" s="47" t="n"/>
      <c r="E874" s="48" t="n"/>
      <c r="F874" s="48" t="n"/>
      <c r="G874" s="47" t="n"/>
      <c r="H874" s="47" t="n"/>
    </row>
    <row r="875">
      <c r="A875" s="52" t="n"/>
      <c r="B875" s="47">
        <f>IF(A875="","",IFERROR(INDEX('隊員マスタ'!$B$5:$B$204,MATCH(A875&amp;"",'隊員マスタ'!$F$5:$F$204,0)),"番号なし"))</f>
        <v/>
      </c>
      <c r="C875" s="47" t="n"/>
      <c r="D875" s="47" t="n"/>
      <c r="E875" s="48" t="n"/>
      <c r="F875" s="48" t="n"/>
      <c r="G875" s="47" t="n"/>
      <c r="H875" s="47" t="n"/>
    </row>
    <row r="876">
      <c r="A876" s="52" t="n"/>
      <c r="B876" s="47">
        <f>IF(A876="","",IFERROR(INDEX('隊員マスタ'!$B$5:$B$204,MATCH(A876&amp;"",'隊員マスタ'!$F$5:$F$204,0)),"番号なし"))</f>
        <v/>
      </c>
      <c r="C876" s="47" t="n"/>
      <c r="D876" s="47" t="n"/>
      <c r="E876" s="48" t="n"/>
      <c r="F876" s="48" t="n"/>
      <c r="G876" s="47" t="n"/>
      <c r="H876" s="47" t="n"/>
    </row>
    <row r="877">
      <c r="A877" s="52" t="n"/>
      <c r="B877" s="47">
        <f>IF(A877="","",IFERROR(INDEX('隊員マスタ'!$B$5:$B$204,MATCH(A877&amp;"",'隊員マスタ'!$F$5:$F$204,0)),"番号なし"))</f>
        <v/>
      </c>
      <c r="C877" s="47" t="n"/>
      <c r="D877" s="47" t="n"/>
      <c r="E877" s="48" t="n"/>
      <c r="F877" s="48" t="n"/>
      <c r="G877" s="47" t="n"/>
      <c r="H877" s="47" t="n"/>
    </row>
    <row r="878">
      <c r="A878" s="52" t="n"/>
      <c r="B878" s="47">
        <f>IF(A878="","",IFERROR(INDEX('隊員マスタ'!$B$5:$B$204,MATCH(A878&amp;"",'隊員マスタ'!$F$5:$F$204,0)),"番号なし"))</f>
        <v/>
      </c>
      <c r="C878" s="47" t="n"/>
      <c r="D878" s="47" t="n"/>
      <c r="E878" s="48" t="n"/>
      <c r="F878" s="48" t="n"/>
      <c r="G878" s="47" t="n"/>
      <c r="H878" s="47" t="n"/>
    </row>
    <row r="879">
      <c r="A879" s="52" t="n"/>
      <c r="B879" s="47">
        <f>IF(A879="","",IFERROR(INDEX('隊員マスタ'!$B$5:$B$204,MATCH(A879&amp;"",'隊員マスタ'!$F$5:$F$204,0)),"番号なし"))</f>
        <v/>
      </c>
      <c r="C879" s="47" t="n"/>
      <c r="D879" s="47" t="n"/>
      <c r="E879" s="48" t="n"/>
      <c r="F879" s="48" t="n"/>
      <c r="G879" s="47" t="n"/>
      <c r="H879" s="47" t="n"/>
    </row>
    <row r="880">
      <c r="A880" s="52" t="n"/>
      <c r="B880" s="47">
        <f>IF(A880="","",IFERROR(INDEX('隊員マスタ'!$B$5:$B$204,MATCH(A880&amp;"",'隊員マスタ'!$F$5:$F$204,0)),"番号なし"))</f>
        <v/>
      </c>
      <c r="C880" s="47" t="n"/>
      <c r="D880" s="47" t="n"/>
      <c r="E880" s="48" t="n"/>
      <c r="F880" s="48" t="n"/>
      <c r="G880" s="47" t="n"/>
      <c r="H880" s="47" t="n"/>
    </row>
    <row r="881">
      <c r="A881" s="52" t="n"/>
      <c r="B881" s="47">
        <f>IF(A881="","",IFERROR(INDEX('隊員マスタ'!$B$5:$B$204,MATCH(A881&amp;"",'隊員マスタ'!$F$5:$F$204,0)),"番号なし"))</f>
        <v/>
      </c>
      <c r="C881" s="47" t="n"/>
      <c r="D881" s="47" t="n"/>
      <c r="E881" s="48" t="n"/>
      <c r="F881" s="48" t="n"/>
      <c r="G881" s="47" t="n"/>
      <c r="H881" s="47" t="n"/>
    </row>
    <row r="882">
      <c r="A882" s="52" t="n"/>
      <c r="B882" s="47">
        <f>IF(A882="","",IFERROR(INDEX('隊員マスタ'!$B$5:$B$204,MATCH(A882&amp;"",'隊員マスタ'!$F$5:$F$204,0)),"番号なし"))</f>
        <v/>
      </c>
      <c r="C882" s="47" t="n"/>
      <c r="D882" s="47" t="n"/>
      <c r="E882" s="48" t="n"/>
      <c r="F882" s="48" t="n"/>
      <c r="G882" s="47" t="n"/>
      <c r="H882" s="47" t="n"/>
    </row>
    <row r="883">
      <c r="A883" s="52" t="n"/>
      <c r="B883" s="47">
        <f>IF(A883="","",IFERROR(INDEX('隊員マスタ'!$B$5:$B$204,MATCH(A883&amp;"",'隊員マスタ'!$F$5:$F$204,0)),"番号なし"))</f>
        <v/>
      </c>
      <c r="C883" s="47" t="n"/>
      <c r="D883" s="47" t="n"/>
      <c r="E883" s="48" t="n"/>
      <c r="F883" s="48" t="n"/>
      <c r="G883" s="47" t="n"/>
      <c r="H883" s="47" t="n"/>
    </row>
    <row r="884">
      <c r="A884" s="52" t="n"/>
      <c r="B884" s="47">
        <f>IF(A884="","",IFERROR(INDEX('隊員マスタ'!$B$5:$B$204,MATCH(A884&amp;"",'隊員マスタ'!$F$5:$F$204,0)),"番号なし"))</f>
        <v/>
      </c>
      <c r="C884" s="47" t="n"/>
      <c r="D884" s="47" t="n"/>
      <c r="E884" s="48" t="n"/>
      <c r="F884" s="48" t="n"/>
      <c r="G884" s="47" t="n"/>
      <c r="H884" s="47" t="n"/>
    </row>
    <row r="885">
      <c r="A885" s="52" t="n"/>
      <c r="B885" s="47">
        <f>IF(A885="","",IFERROR(INDEX('隊員マスタ'!$B$5:$B$204,MATCH(A885&amp;"",'隊員マスタ'!$F$5:$F$204,0)),"番号なし"))</f>
        <v/>
      </c>
      <c r="C885" s="47" t="n"/>
      <c r="D885" s="47" t="n"/>
      <c r="E885" s="48" t="n"/>
      <c r="F885" s="48" t="n"/>
      <c r="G885" s="47" t="n"/>
      <c r="H885" s="47" t="n"/>
    </row>
    <row r="886">
      <c r="A886" s="52" t="n"/>
      <c r="B886" s="47">
        <f>IF(A886="","",IFERROR(INDEX('隊員マスタ'!$B$5:$B$204,MATCH(A886&amp;"",'隊員マスタ'!$F$5:$F$204,0)),"番号なし"))</f>
        <v/>
      </c>
      <c r="C886" s="47" t="n"/>
      <c r="D886" s="47" t="n"/>
      <c r="E886" s="48" t="n"/>
      <c r="F886" s="48" t="n"/>
      <c r="G886" s="47" t="n"/>
      <c r="H886" s="47" t="n"/>
    </row>
    <row r="887">
      <c r="A887" s="52" t="n"/>
      <c r="B887" s="47">
        <f>IF(A887="","",IFERROR(INDEX('隊員マスタ'!$B$5:$B$204,MATCH(A887&amp;"",'隊員マスタ'!$F$5:$F$204,0)),"番号なし"))</f>
        <v/>
      </c>
      <c r="C887" s="47" t="n"/>
      <c r="D887" s="47" t="n"/>
      <c r="E887" s="48" t="n"/>
      <c r="F887" s="48" t="n"/>
      <c r="G887" s="47" t="n"/>
      <c r="H887" s="47" t="n"/>
    </row>
    <row r="888">
      <c r="A888" s="52" t="n"/>
      <c r="B888" s="47">
        <f>IF(A888="","",IFERROR(INDEX('隊員マスタ'!$B$5:$B$204,MATCH(A888&amp;"",'隊員マスタ'!$F$5:$F$204,0)),"番号なし"))</f>
        <v/>
      </c>
      <c r="C888" s="47" t="n"/>
      <c r="D888" s="47" t="n"/>
      <c r="E888" s="48" t="n"/>
      <c r="F888" s="48" t="n"/>
      <c r="G888" s="47" t="n"/>
      <c r="H888" s="47" t="n"/>
    </row>
    <row r="889">
      <c r="A889" s="52" t="n"/>
      <c r="B889" s="47">
        <f>IF(A889="","",IFERROR(INDEX('隊員マスタ'!$B$5:$B$204,MATCH(A889&amp;"",'隊員マスタ'!$F$5:$F$204,0)),"番号なし"))</f>
        <v/>
      </c>
      <c r="C889" s="47" t="n"/>
      <c r="D889" s="47" t="n"/>
      <c r="E889" s="48" t="n"/>
      <c r="F889" s="48" t="n"/>
      <c r="G889" s="47" t="n"/>
      <c r="H889" s="47" t="n"/>
    </row>
    <row r="890">
      <c r="A890" s="52" t="n"/>
      <c r="B890" s="47">
        <f>IF(A890="","",IFERROR(INDEX('隊員マスタ'!$B$5:$B$204,MATCH(A890&amp;"",'隊員マスタ'!$F$5:$F$204,0)),"番号なし"))</f>
        <v/>
      </c>
      <c r="C890" s="47" t="n"/>
      <c r="D890" s="47" t="n"/>
      <c r="E890" s="48" t="n"/>
      <c r="F890" s="48" t="n"/>
      <c r="G890" s="47" t="n"/>
      <c r="H890" s="47" t="n"/>
    </row>
    <row r="891">
      <c r="A891" s="52" t="n"/>
      <c r="B891" s="47">
        <f>IF(A891="","",IFERROR(INDEX('隊員マスタ'!$B$5:$B$204,MATCH(A891&amp;"",'隊員マスタ'!$F$5:$F$204,0)),"番号なし"))</f>
        <v/>
      </c>
      <c r="C891" s="47" t="n"/>
      <c r="D891" s="47" t="n"/>
      <c r="E891" s="48" t="n"/>
      <c r="F891" s="48" t="n"/>
      <c r="G891" s="47" t="n"/>
      <c r="H891" s="47" t="n"/>
    </row>
    <row r="892">
      <c r="A892" s="52" t="n"/>
      <c r="B892" s="47">
        <f>IF(A892="","",IFERROR(INDEX('隊員マスタ'!$B$5:$B$204,MATCH(A892&amp;"",'隊員マスタ'!$F$5:$F$204,0)),"番号なし"))</f>
        <v/>
      </c>
      <c r="C892" s="47" t="n"/>
      <c r="D892" s="47" t="n"/>
      <c r="E892" s="48" t="n"/>
      <c r="F892" s="48" t="n"/>
      <c r="G892" s="47" t="n"/>
      <c r="H892" s="47" t="n"/>
    </row>
    <row r="893">
      <c r="A893" s="52" t="n"/>
      <c r="B893" s="47">
        <f>IF(A893="","",IFERROR(INDEX('隊員マスタ'!$B$5:$B$204,MATCH(A893&amp;"",'隊員マスタ'!$F$5:$F$204,0)),"番号なし"))</f>
        <v/>
      </c>
      <c r="C893" s="47" t="n"/>
      <c r="D893" s="47" t="n"/>
      <c r="E893" s="48" t="n"/>
      <c r="F893" s="48" t="n"/>
      <c r="G893" s="47" t="n"/>
      <c r="H893" s="47" t="n"/>
    </row>
    <row r="894">
      <c r="A894" s="52" t="n"/>
      <c r="B894" s="47">
        <f>IF(A894="","",IFERROR(INDEX('隊員マスタ'!$B$5:$B$204,MATCH(A894&amp;"",'隊員マスタ'!$F$5:$F$204,0)),"番号なし"))</f>
        <v/>
      </c>
      <c r="C894" s="47" t="n"/>
      <c r="D894" s="47" t="n"/>
      <c r="E894" s="48" t="n"/>
      <c r="F894" s="48" t="n"/>
      <c r="G894" s="47" t="n"/>
      <c r="H894" s="47" t="n"/>
    </row>
    <row r="895">
      <c r="A895" s="52" t="n"/>
      <c r="B895" s="47">
        <f>IF(A895="","",IFERROR(INDEX('隊員マスタ'!$B$5:$B$204,MATCH(A895&amp;"",'隊員マスタ'!$F$5:$F$204,0)),"番号なし"))</f>
        <v/>
      </c>
      <c r="C895" s="47" t="n"/>
      <c r="D895" s="47" t="n"/>
      <c r="E895" s="48" t="n"/>
      <c r="F895" s="48" t="n"/>
      <c r="G895" s="47" t="n"/>
      <c r="H895" s="47" t="n"/>
    </row>
    <row r="896">
      <c r="A896" s="52" t="n"/>
      <c r="B896" s="47">
        <f>IF(A896="","",IFERROR(INDEX('隊員マスタ'!$B$5:$B$204,MATCH(A896&amp;"",'隊員マスタ'!$F$5:$F$204,0)),"番号なし"))</f>
        <v/>
      </c>
      <c r="C896" s="47" t="n"/>
      <c r="D896" s="47" t="n"/>
      <c r="E896" s="48" t="n"/>
      <c r="F896" s="48" t="n"/>
      <c r="G896" s="47" t="n"/>
      <c r="H896" s="47" t="n"/>
    </row>
    <row r="897">
      <c r="A897" s="52" t="n"/>
      <c r="B897" s="47">
        <f>IF(A897="","",IFERROR(INDEX('隊員マスタ'!$B$5:$B$204,MATCH(A897&amp;"",'隊員マスタ'!$F$5:$F$204,0)),"番号なし"))</f>
        <v/>
      </c>
      <c r="C897" s="47" t="n"/>
      <c r="D897" s="47" t="n"/>
      <c r="E897" s="48" t="n"/>
      <c r="F897" s="48" t="n"/>
      <c r="G897" s="47" t="n"/>
      <c r="H897" s="47" t="n"/>
    </row>
    <row r="898">
      <c r="A898" s="52" t="n"/>
      <c r="B898" s="47">
        <f>IF(A898="","",IFERROR(INDEX('隊員マスタ'!$B$5:$B$204,MATCH(A898&amp;"",'隊員マスタ'!$F$5:$F$204,0)),"番号なし"))</f>
        <v/>
      </c>
      <c r="C898" s="47" t="n"/>
      <c r="D898" s="47" t="n"/>
      <c r="E898" s="48" t="n"/>
      <c r="F898" s="48" t="n"/>
      <c r="G898" s="47" t="n"/>
      <c r="H898" s="47" t="n"/>
    </row>
    <row r="899">
      <c r="A899" s="52" t="n"/>
      <c r="B899" s="47">
        <f>IF(A899="","",IFERROR(INDEX('隊員マスタ'!$B$5:$B$204,MATCH(A899&amp;"",'隊員マスタ'!$F$5:$F$204,0)),"番号なし"))</f>
        <v/>
      </c>
      <c r="C899" s="47" t="n"/>
      <c r="D899" s="47" t="n"/>
      <c r="E899" s="48" t="n"/>
      <c r="F899" s="48" t="n"/>
      <c r="G899" s="47" t="n"/>
      <c r="H899" s="47" t="n"/>
    </row>
    <row r="900">
      <c r="A900" s="52" t="n"/>
      <c r="B900" s="47">
        <f>IF(A900="","",IFERROR(INDEX('隊員マスタ'!$B$5:$B$204,MATCH(A900&amp;"",'隊員マスタ'!$F$5:$F$204,0)),"番号なし"))</f>
        <v/>
      </c>
      <c r="C900" s="47" t="n"/>
      <c r="D900" s="47" t="n"/>
      <c r="E900" s="48" t="n"/>
      <c r="F900" s="48" t="n"/>
      <c r="G900" s="47" t="n"/>
      <c r="H900" s="47" t="n"/>
    </row>
    <row r="901">
      <c r="A901" s="52" t="n"/>
      <c r="B901" s="47">
        <f>IF(A901="","",IFERROR(INDEX('隊員マスタ'!$B$5:$B$204,MATCH(A901&amp;"",'隊員マスタ'!$F$5:$F$204,0)),"番号なし"))</f>
        <v/>
      </c>
      <c r="C901" s="47" t="n"/>
      <c r="D901" s="47" t="n"/>
      <c r="E901" s="48" t="n"/>
      <c r="F901" s="48" t="n"/>
      <c r="G901" s="47" t="n"/>
      <c r="H901" s="47" t="n"/>
    </row>
    <row r="902">
      <c r="A902" s="52" t="n"/>
      <c r="B902" s="47">
        <f>IF(A902="","",IFERROR(INDEX('隊員マスタ'!$B$5:$B$204,MATCH(A902&amp;"",'隊員マスタ'!$F$5:$F$204,0)),"番号なし"))</f>
        <v/>
      </c>
      <c r="C902" s="47" t="n"/>
      <c r="D902" s="47" t="n"/>
      <c r="E902" s="48" t="n"/>
      <c r="F902" s="48" t="n"/>
      <c r="G902" s="47" t="n"/>
      <c r="H902" s="47" t="n"/>
    </row>
    <row r="903">
      <c r="A903" s="52" t="n"/>
      <c r="B903" s="47">
        <f>IF(A903="","",IFERROR(INDEX('隊員マスタ'!$B$5:$B$204,MATCH(A903&amp;"",'隊員マスタ'!$F$5:$F$204,0)),"番号なし"))</f>
        <v/>
      </c>
      <c r="C903" s="47" t="n"/>
      <c r="D903" s="47" t="n"/>
      <c r="E903" s="48" t="n"/>
      <c r="F903" s="48" t="n"/>
      <c r="G903" s="47" t="n"/>
      <c r="H903" s="47" t="n"/>
    </row>
    <row r="904">
      <c r="A904" s="52" t="n"/>
      <c r="B904" s="47">
        <f>IF(A904="","",IFERROR(INDEX('隊員マスタ'!$B$5:$B$204,MATCH(A904&amp;"",'隊員マスタ'!$F$5:$F$204,0)),"番号なし"))</f>
        <v/>
      </c>
      <c r="C904" s="47" t="n"/>
      <c r="D904" s="47" t="n"/>
      <c r="E904" s="48" t="n"/>
      <c r="F904" s="48" t="n"/>
      <c r="G904" s="47" t="n"/>
      <c r="H904" s="47" t="n"/>
    </row>
    <row r="905">
      <c r="A905" s="52" t="n"/>
      <c r="B905" s="47">
        <f>IF(A905="","",IFERROR(INDEX('隊員マスタ'!$B$5:$B$204,MATCH(A905&amp;"",'隊員マスタ'!$F$5:$F$204,0)),"番号なし"))</f>
        <v/>
      </c>
      <c r="C905" s="47" t="n"/>
      <c r="D905" s="47" t="n"/>
      <c r="E905" s="48" t="n"/>
      <c r="F905" s="48" t="n"/>
      <c r="G905" s="47" t="n"/>
      <c r="H905" s="47" t="n"/>
    </row>
    <row r="906">
      <c r="A906" s="52" t="n"/>
      <c r="B906" s="47">
        <f>IF(A906="","",IFERROR(INDEX('隊員マスタ'!$B$5:$B$204,MATCH(A906&amp;"",'隊員マスタ'!$F$5:$F$204,0)),"番号なし"))</f>
        <v/>
      </c>
      <c r="C906" s="47" t="n"/>
      <c r="D906" s="47" t="n"/>
      <c r="E906" s="48" t="n"/>
      <c r="F906" s="48" t="n"/>
      <c r="G906" s="47" t="n"/>
      <c r="H906" s="47" t="n"/>
    </row>
    <row r="907">
      <c r="A907" s="52" t="n"/>
      <c r="B907" s="47">
        <f>IF(A907="","",IFERROR(INDEX('隊員マスタ'!$B$5:$B$204,MATCH(A907&amp;"",'隊員マスタ'!$F$5:$F$204,0)),"番号なし"))</f>
        <v/>
      </c>
      <c r="C907" s="47" t="n"/>
      <c r="D907" s="47" t="n"/>
      <c r="E907" s="48" t="n"/>
      <c r="F907" s="48" t="n"/>
      <c r="G907" s="47" t="n"/>
      <c r="H907" s="47" t="n"/>
    </row>
    <row r="908">
      <c r="A908" s="52" t="n"/>
      <c r="B908" s="47">
        <f>IF(A908="","",IFERROR(INDEX('隊員マスタ'!$B$5:$B$204,MATCH(A908&amp;"",'隊員マスタ'!$F$5:$F$204,0)),"番号なし"))</f>
        <v/>
      </c>
      <c r="C908" s="47" t="n"/>
      <c r="D908" s="47" t="n"/>
      <c r="E908" s="48" t="n"/>
      <c r="F908" s="48" t="n"/>
      <c r="G908" s="47" t="n"/>
      <c r="H908" s="47" t="n"/>
    </row>
    <row r="909">
      <c r="A909" s="52" t="n"/>
      <c r="B909" s="47">
        <f>IF(A909="","",IFERROR(INDEX('隊員マスタ'!$B$5:$B$204,MATCH(A909&amp;"",'隊員マスタ'!$F$5:$F$204,0)),"番号なし"))</f>
        <v/>
      </c>
      <c r="C909" s="47" t="n"/>
      <c r="D909" s="47" t="n"/>
      <c r="E909" s="48" t="n"/>
      <c r="F909" s="48" t="n"/>
      <c r="G909" s="47" t="n"/>
      <c r="H909" s="47" t="n"/>
    </row>
    <row r="910">
      <c r="A910" s="52" t="n"/>
      <c r="B910" s="47">
        <f>IF(A910="","",IFERROR(INDEX('隊員マスタ'!$B$5:$B$204,MATCH(A910&amp;"",'隊員マスタ'!$F$5:$F$204,0)),"番号なし"))</f>
        <v/>
      </c>
      <c r="C910" s="47" t="n"/>
      <c r="D910" s="47" t="n"/>
      <c r="E910" s="48" t="n"/>
      <c r="F910" s="48" t="n"/>
      <c r="G910" s="47" t="n"/>
      <c r="H910" s="47" t="n"/>
    </row>
    <row r="911">
      <c r="A911" s="52" t="n"/>
      <c r="B911" s="47">
        <f>IF(A911="","",IFERROR(INDEX('隊員マスタ'!$B$5:$B$204,MATCH(A911&amp;"",'隊員マスタ'!$F$5:$F$204,0)),"番号なし"))</f>
        <v/>
      </c>
      <c r="C911" s="47" t="n"/>
      <c r="D911" s="47" t="n"/>
      <c r="E911" s="48" t="n"/>
      <c r="F911" s="48" t="n"/>
      <c r="G911" s="47" t="n"/>
      <c r="H911" s="47" t="n"/>
    </row>
    <row r="912">
      <c r="A912" s="52" t="n"/>
      <c r="B912" s="47">
        <f>IF(A912="","",IFERROR(INDEX('隊員マスタ'!$B$5:$B$204,MATCH(A912&amp;"",'隊員マスタ'!$F$5:$F$204,0)),"番号なし"))</f>
        <v/>
      </c>
      <c r="C912" s="47" t="n"/>
      <c r="D912" s="47" t="n"/>
      <c r="E912" s="48" t="n"/>
      <c r="F912" s="48" t="n"/>
      <c r="G912" s="47" t="n"/>
      <c r="H912" s="47" t="n"/>
    </row>
    <row r="913">
      <c r="A913" s="52" t="n"/>
      <c r="B913" s="47">
        <f>IF(A913="","",IFERROR(INDEX('隊員マスタ'!$B$5:$B$204,MATCH(A913&amp;"",'隊員マスタ'!$F$5:$F$204,0)),"番号なし"))</f>
        <v/>
      </c>
      <c r="C913" s="47" t="n"/>
      <c r="D913" s="47" t="n"/>
      <c r="E913" s="48" t="n"/>
      <c r="F913" s="48" t="n"/>
      <c r="G913" s="47" t="n"/>
      <c r="H913" s="47" t="n"/>
    </row>
    <row r="914">
      <c r="A914" s="52" t="n"/>
      <c r="B914" s="47">
        <f>IF(A914="","",IFERROR(INDEX('隊員マスタ'!$B$5:$B$204,MATCH(A914&amp;"",'隊員マスタ'!$F$5:$F$204,0)),"番号なし"))</f>
        <v/>
      </c>
      <c r="C914" s="47" t="n"/>
      <c r="D914" s="47" t="n"/>
      <c r="E914" s="48" t="n"/>
      <c r="F914" s="48" t="n"/>
      <c r="G914" s="47" t="n"/>
      <c r="H914" s="47" t="n"/>
    </row>
    <row r="915">
      <c r="A915" s="52" t="n"/>
      <c r="B915" s="47">
        <f>IF(A915="","",IFERROR(INDEX('隊員マスタ'!$B$5:$B$204,MATCH(A915&amp;"",'隊員マスタ'!$F$5:$F$204,0)),"番号なし"))</f>
        <v/>
      </c>
      <c r="C915" s="47" t="n"/>
      <c r="D915" s="47" t="n"/>
      <c r="E915" s="48" t="n"/>
      <c r="F915" s="48" t="n"/>
      <c r="G915" s="47" t="n"/>
      <c r="H915" s="47" t="n"/>
    </row>
    <row r="916">
      <c r="A916" s="52" t="n"/>
      <c r="B916" s="47">
        <f>IF(A916="","",IFERROR(INDEX('隊員マスタ'!$B$5:$B$204,MATCH(A916&amp;"",'隊員マスタ'!$F$5:$F$204,0)),"番号なし"))</f>
        <v/>
      </c>
      <c r="C916" s="47" t="n"/>
      <c r="D916" s="47" t="n"/>
      <c r="E916" s="48" t="n"/>
      <c r="F916" s="48" t="n"/>
      <c r="G916" s="47" t="n"/>
      <c r="H916" s="47" t="n"/>
    </row>
    <row r="917">
      <c r="A917" s="52" t="n"/>
      <c r="B917" s="47">
        <f>IF(A917="","",IFERROR(INDEX('隊員マスタ'!$B$5:$B$204,MATCH(A917&amp;"",'隊員マスタ'!$F$5:$F$204,0)),"番号なし"))</f>
        <v/>
      </c>
      <c r="C917" s="47" t="n"/>
      <c r="D917" s="47" t="n"/>
      <c r="E917" s="48" t="n"/>
      <c r="F917" s="48" t="n"/>
      <c r="G917" s="47" t="n"/>
      <c r="H917" s="47" t="n"/>
    </row>
    <row r="918">
      <c r="A918" s="52" t="n"/>
      <c r="B918" s="47">
        <f>IF(A918="","",IFERROR(INDEX('隊員マスタ'!$B$5:$B$204,MATCH(A918&amp;"",'隊員マスタ'!$F$5:$F$204,0)),"番号なし"))</f>
        <v/>
      </c>
      <c r="C918" s="47" t="n"/>
      <c r="D918" s="47" t="n"/>
      <c r="E918" s="48" t="n"/>
      <c r="F918" s="48" t="n"/>
      <c r="G918" s="47" t="n"/>
      <c r="H918" s="47" t="n"/>
    </row>
    <row r="919">
      <c r="A919" s="52" t="n"/>
      <c r="B919" s="47">
        <f>IF(A919="","",IFERROR(INDEX('隊員マスタ'!$B$5:$B$204,MATCH(A919&amp;"",'隊員マスタ'!$F$5:$F$204,0)),"番号なし"))</f>
        <v/>
      </c>
      <c r="C919" s="47" t="n"/>
      <c r="D919" s="47" t="n"/>
      <c r="E919" s="48" t="n"/>
      <c r="F919" s="48" t="n"/>
      <c r="G919" s="47" t="n"/>
      <c r="H919" s="47" t="n"/>
    </row>
    <row r="920">
      <c r="A920" s="52" t="n"/>
      <c r="B920" s="47">
        <f>IF(A920="","",IFERROR(INDEX('隊員マスタ'!$B$5:$B$204,MATCH(A920&amp;"",'隊員マスタ'!$F$5:$F$204,0)),"番号なし"))</f>
        <v/>
      </c>
      <c r="C920" s="47" t="n"/>
      <c r="D920" s="47" t="n"/>
      <c r="E920" s="48" t="n"/>
      <c r="F920" s="48" t="n"/>
      <c r="G920" s="47" t="n"/>
      <c r="H920" s="47" t="n"/>
    </row>
    <row r="921">
      <c r="A921" s="52" t="n"/>
      <c r="B921" s="47">
        <f>IF(A921="","",IFERROR(INDEX('隊員マスタ'!$B$5:$B$204,MATCH(A921&amp;"",'隊員マスタ'!$F$5:$F$204,0)),"番号なし"))</f>
        <v/>
      </c>
      <c r="C921" s="47" t="n"/>
      <c r="D921" s="47" t="n"/>
      <c r="E921" s="48" t="n"/>
      <c r="F921" s="48" t="n"/>
      <c r="G921" s="47" t="n"/>
      <c r="H921" s="47" t="n"/>
    </row>
    <row r="922">
      <c r="A922" s="52" t="n"/>
      <c r="B922" s="47">
        <f>IF(A922="","",IFERROR(INDEX('隊員マスタ'!$B$5:$B$204,MATCH(A922&amp;"",'隊員マスタ'!$F$5:$F$204,0)),"番号なし"))</f>
        <v/>
      </c>
      <c r="C922" s="47" t="n"/>
      <c r="D922" s="47" t="n"/>
      <c r="E922" s="48" t="n"/>
      <c r="F922" s="48" t="n"/>
      <c r="G922" s="47" t="n"/>
      <c r="H922" s="47" t="n"/>
    </row>
    <row r="923">
      <c r="A923" s="52" t="n"/>
      <c r="B923" s="47">
        <f>IF(A923="","",IFERROR(INDEX('隊員マスタ'!$B$5:$B$204,MATCH(A923&amp;"",'隊員マスタ'!$F$5:$F$204,0)),"番号なし"))</f>
        <v/>
      </c>
      <c r="C923" s="47" t="n"/>
      <c r="D923" s="47" t="n"/>
      <c r="E923" s="48" t="n"/>
      <c r="F923" s="48" t="n"/>
      <c r="G923" s="47" t="n"/>
      <c r="H923" s="47" t="n"/>
    </row>
    <row r="924">
      <c r="A924" s="52" t="n"/>
      <c r="B924" s="47">
        <f>IF(A924="","",IFERROR(INDEX('隊員マスタ'!$B$5:$B$204,MATCH(A924&amp;"",'隊員マスタ'!$F$5:$F$204,0)),"番号なし"))</f>
        <v/>
      </c>
      <c r="C924" s="47" t="n"/>
      <c r="D924" s="47" t="n"/>
      <c r="E924" s="48" t="n"/>
      <c r="F924" s="48" t="n"/>
      <c r="G924" s="47" t="n"/>
      <c r="H924" s="47" t="n"/>
    </row>
    <row r="925">
      <c r="A925" s="52" t="n"/>
      <c r="B925" s="47">
        <f>IF(A925="","",IFERROR(INDEX('隊員マスタ'!$B$5:$B$204,MATCH(A925&amp;"",'隊員マスタ'!$F$5:$F$204,0)),"番号なし"))</f>
        <v/>
      </c>
      <c r="C925" s="47" t="n"/>
      <c r="D925" s="47" t="n"/>
      <c r="E925" s="48" t="n"/>
      <c r="F925" s="48" t="n"/>
      <c r="G925" s="47" t="n"/>
      <c r="H925" s="47" t="n"/>
    </row>
    <row r="926">
      <c r="A926" s="52" t="n"/>
      <c r="B926" s="47">
        <f>IF(A926="","",IFERROR(INDEX('隊員マスタ'!$B$5:$B$204,MATCH(A926&amp;"",'隊員マスタ'!$F$5:$F$204,0)),"番号なし"))</f>
        <v/>
      </c>
      <c r="C926" s="47" t="n"/>
      <c r="D926" s="47" t="n"/>
      <c r="E926" s="48" t="n"/>
      <c r="F926" s="48" t="n"/>
      <c r="G926" s="47" t="n"/>
      <c r="H926" s="47" t="n"/>
    </row>
    <row r="927">
      <c r="A927" s="52" t="n"/>
      <c r="B927" s="47">
        <f>IF(A927="","",IFERROR(INDEX('隊員マスタ'!$B$5:$B$204,MATCH(A927&amp;"",'隊員マスタ'!$F$5:$F$204,0)),"番号なし"))</f>
        <v/>
      </c>
      <c r="C927" s="47" t="n"/>
      <c r="D927" s="47" t="n"/>
      <c r="E927" s="48" t="n"/>
      <c r="F927" s="48" t="n"/>
      <c r="G927" s="47" t="n"/>
      <c r="H927" s="47" t="n"/>
    </row>
    <row r="928">
      <c r="A928" s="52" t="n"/>
      <c r="B928" s="47">
        <f>IF(A928="","",IFERROR(INDEX('隊員マスタ'!$B$5:$B$204,MATCH(A928&amp;"",'隊員マスタ'!$F$5:$F$204,0)),"番号なし"))</f>
        <v/>
      </c>
      <c r="C928" s="47" t="n"/>
      <c r="D928" s="47" t="n"/>
      <c r="E928" s="48" t="n"/>
      <c r="F928" s="48" t="n"/>
      <c r="G928" s="47" t="n"/>
      <c r="H928" s="47" t="n"/>
    </row>
    <row r="929">
      <c r="A929" s="52" t="n"/>
      <c r="B929" s="47">
        <f>IF(A929="","",IFERROR(INDEX('隊員マスタ'!$B$5:$B$204,MATCH(A929&amp;"",'隊員マスタ'!$F$5:$F$204,0)),"番号なし"))</f>
        <v/>
      </c>
      <c r="C929" s="47" t="n"/>
      <c r="D929" s="47" t="n"/>
      <c r="E929" s="48" t="n"/>
      <c r="F929" s="48" t="n"/>
      <c r="G929" s="47" t="n"/>
      <c r="H929" s="47" t="n"/>
    </row>
    <row r="930">
      <c r="A930" s="52" t="n"/>
      <c r="B930" s="47">
        <f>IF(A930="","",IFERROR(INDEX('隊員マスタ'!$B$5:$B$204,MATCH(A930&amp;"",'隊員マスタ'!$F$5:$F$204,0)),"番号なし"))</f>
        <v/>
      </c>
      <c r="C930" s="47" t="n"/>
      <c r="D930" s="47" t="n"/>
      <c r="E930" s="48" t="n"/>
      <c r="F930" s="48" t="n"/>
      <c r="G930" s="47" t="n"/>
      <c r="H930" s="47" t="n"/>
    </row>
    <row r="931">
      <c r="A931" s="52" t="n"/>
      <c r="B931" s="47">
        <f>IF(A931="","",IFERROR(INDEX('隊員マスタ'!$B$5:$B$204,MATCH(A931&amp;"",'隊員マスタ'!$F$5:$F$204,0)),"番号なし"))</f>
        <v/>
      </c>
      <c r="C931" s="47" t="n"/>
      <c r="D931" s="47" t="n"/>
      <c r="E931" s="48" t="n"/>
      <c r="F931" s="48" t="n"/>
      <c r="G931" s="47" t="n"/>
      <c r="H931" s="47" t="n"/>
    </row>
    <row r="932">
      <c r="A932" s="52" t="n"/>
      <c r="B932" s="47">
        <f>IF(A932="","",IFERROR(INDEX('隊員マスタ'!$B$5:$B$204,MATCH(A932&amp;"",'隊員マスタ'!$F$5:$F$204,0)),"番号なし"))</f>
        <v/>
      </c>
      <c r="C932" s="47" t="n"/>
      <c r="D932" s="47" t="n"/>
      <c r="E932" s="48" t="n"/>
      <c r="F932" s="48" t="n"/>
      <c r="G932" s="47" t="n"/>
      <c r="H932" s="47" t="n"/>
    </row>
    <row r="933">
      <c r="A933" s="52" t="n"/>
      <c r="B933" s="47">
        <f>IF(A933="","",IFERROR(INDEX('隊員マスタ'!$B$5:$B$204,MATCH(A933&amp;"",'隊員マスタ'!$F$5:$F$204,0)),"番号なし"))</f>
        <v/>
      </c>
      <c r="C933" s="47" t="n"/>
      <c r="D933" s="47" t="n"/>
      <c r="E933" s="48" t="n"/>
      <c r="F933" s="48" t="n"/>
      <c r="G933" s="47" t="n"/>
      <c r="H933" s="47" t="n"/>
    </row>
    <row r="934">
      <c r="A934" s="52" t="n"/>
      <c r="B934" s="47">
        <f>IF(A934="","",IFERROR(INDEX('隊員マスタ'!$B$5:$B$204,MATCH(A934&amp;"",'隊員マスタ'!$F$5:$F$204,0)),"番号なし"))</f>
        <v/>
      </c>
      <c r="C934" s="47" t="n"/>
      <c r="D934" s="47" t="n"/>
      <c r="E934" s="48" t="n"/>
      <c r="F934" s="48" t="n"/>
      <c r="G934" s="47" t="n"/>
      <c r="H934" s="47" t="n"/>
    </row>
    <row r="935">
      <c r="A935" s="52" t="n"/>
      <c r="B935" s="47">
        <f>IF(A935="","",IFERROR(INDEX('隊員マスタ'!$B$5:$B$204,MATCH(A935&amp;"",'隊員マスタ'!$F$5:$F$204,0)),"番号なし"))</f>
        <v/>
      </c>
      <c r="C935" s="47" t="n"/>
      <c r="D935" s="47" t="n"/>
      <c r="E935" s="48" t="n"/>
      <c r="F935" s="48" t="n"/>
      <c r="G935" s="47" t="n"/>
      <c r="H935" s="47" t="n"/>
    </row>
    <row r="936">
      <c r="A936" s="52" t="n"/>
      <c r="B936" s="47">
        <f>IF(A936="","",IFERROR(INDEX('隊員マスタ'!$B$5:$B$204,MATCH(A936&amp;"",'隊員マスタ'!$F$5:$F$204,0)),"番号なし"))</f>
        <v/>
      </c>
      <c r="C936" s="47" t="n"/>
      <c r="D936" s="47" t="n"/>
      <c r="E936" s="48" t="n"/>
      <c r="F936" s="48" t="n"/>
      <c r="G936" s="47" t="n"/>
      <c r="H936" s="47" t="n"/>
    </row>
    <row r="937">
      <c r="A937" s="52" t="n"/>
      <c r="B937" s="47">
        <f>IF(A937="","",IFERROR(INDEX('隊員マスタ'!$B$5:$B$204,MATCH(A937&amp;"",'隊員マスタ'!$F$5:$F$204,0)),"番号なし"))</f>
        <v/>
      </c>
      <c r="C937" s="47" t="n"/>
      <c r="D937" s="47" t="n"/>
      <c r="E937" s="48" t="n"/>
      <c r="F937" s="48" t="n"/>
      <c r="G937" s="47" t="n"/>
      <c r="H937" s="47" t="n"/>
    </row>
    <row r="938">
      <c r="A938" s="52" t="n"/>
      <c r="B938" s="47">
        <f>IF(A938="","",IFERROR(INDEX('隊員マスタ'!$B$5:$B$204,MATCH(A938&amp;"",'隊員マスタ'!$F$5:$F$204,0)),"番号なし"))</f>
        <v/>
      </c>
      <c r="C938" s="47" t="n"/>
      <c r="D938" s="47" t="n"/>
      <c r="E938" s="48" t="n"/>
      <c r="F938" s="48" t="n"/>
      <c r="G938" s="47" t="n"/>
      <c r="H938" s="47" t="n"/>
    </row>
    <row r="939">
      <c r="A939" s="52" t="n"/>
      <c r="B939" s="47">
        <f>IF(A939="","",IFERROR(INDEX('隊員マスタ'!$B$5:$B$204,MATCH(A939&amp;"",'隊員マスタ'!$F$5:$F$204,0)),"番号なし"))</f>
        <v/>
      </c>
      <c r="C939" s="47" t="n"/>
      <c r="D939" s="47" t="n"/>
      <c r="E939" s="48" t="n"/>
      <c r="F939" s="48" t="n"/>
      <c r="G939" s="47" t="n"/>
      <c r="H939" s="47" t="n"/>
    </row>
    <row r="940">
      <c r="A940" s="52" t="n"/>
      <c r="B940" s="47">
        <f>IF(A940="","",IFERROR(INDEX('隊員マスタ'!$B$5:$B$204,MATCH(A940&amp;"",'隊員マスタ'!$F$5:$F$204,0)),"番号なし"))</f>
        <v/>
      </c>
      <c r="C940" s="47" t="n"/>
      <c r="D940" s="47" t="n"/>
      <c r="E940" s="48" t="n"/>
      <c r="F940" s="48" t="n"/>
      <c r="G940" s="47" t="n"/>
      <c r="H940" s="47" t="n"/>
    </row>
    <row r="941">
      <c r="A941" s="52" t="n"/>
      <c r="B941" s="47">
        <f>IF(A941="","",IFERROR(INDEX('隊員マスタ'!$B$5:$B$204,MATCH(A941&amp;"",'隊員マスタ'!$F$5:$F$204,0)),"番号なし"))</f>
        <v/>
      </c>
      <c r="C941" s="47" t="n"/>
      <c r="D941" s="47" t="n"/>
      <c r="E941" s="48" t="n"/>
      <c r="F941" s="48" t="n"/>
      <c r="G941" s="47" t="n"/>
      <c r="H941" s="47" t="n"/>
    </row>
    <row r="942">
      <c r="A942" s="52" t="n"/>
      <c r="B942" s="47">
        <f>IF(A942="","",IFERROR(INDEX('隊員マスタ'!$B$5:$B$204,MATCH(A942&amp;"",'隊員マスタ'!$F$5:$F$204,0)),"番号なし"))</f>
        <v/>
      </c>
      <c r="C942" s="47" t="n"/>
      <c r="D942" s="47" t="n"/>
      <c r="E942" s="48" t="n"/>
      <c r="F942" s="48" t="n"/>
      <c r="G942" s="47" t="n"/>
      <c r="H942" s="47" t="n"/>
    </row>
    <row r="943">
      <c r="A943" s="52" t="n"/>
      <c r="B943" s="47">
        <f>IF(A943="","",IFERROR(INDEX('隊員マスタ'!$B$5:$B$204,MATCH(A943&amp;"",'隊員マスタ'!$F$5:$F$204,0)),"番号なし"))</f>
        <v/>
      </c>
      <c r="C943" s="47" t="n"/>
      <c r="D943" s="47" t="n"/>
      <c r="E943" s="48" t="n"/>
      <c r="F943" s="48" t="n"/>
      <c r="G943" s="47" t="n"/>
      <c r="H943" s="47" t="n"/>
    </row>
    <row r="944">
      <c r="A944" s="52" t="n"/>
      <c r="B944" s="47">
        <f>IF(A944="","",IFERROR(INDEX('隊員マスタ'!$B$5:$B$204,MATCH(A944&amp;"",'隊員マスタ'!$F$5:$F$204,0)),"番号なし"))</f>
        <v/>
      </c>
      <c r="C944" s="47" t="n"/>
      <c r="D944" s="47" t="n"/>
      <c r="E944" s="48" t="n"/>
      <c r="F944" s="48" t="n"/>
      <c r="G944" s="47" t="n"/>
      <c r="H944" s="47" t="n"/>
    </row>
    <row r="945">
      <c r="A945" s="52" t="n"/>
      <c r="B945" s="47">
        <f>IF(A945="","",IFERROR(INDEX('隊員マスタ'!$B$5:$B$204,MATCH(A945&amp;"",'隊員マスタ'!$F$5:$F$204,0)),"番号なし"))</f>
        <v/>
      </c>
      <c r="C945" s="47" t="n"/>
      <c r="D945" s="47" t="n"/>
      <c r="E945" s="48" t="n"/>
      <c r="F945" s="48" t="n"/>
      <c r="G945" s="47" t="n"/>
      <c r="H945" s="47" t="n"/>
    </row>
    <row r="946">
      <c r="A946" s="52" t="n"/>
      <c r="B946" s="47">
        <f>IF(A946="","",IFERROR(INDEX('隊員マスタ'!$B$5:$B$204,MATCH(A946&amp;"",'隊員マスタ'!$F$5:$F$204,0)),"番号なし"))</f>
        <v/>
      </c>
      <c r="C946" s="47" t="n"/>
      <c r="D946" s="47" t="n"/>
      <c r="E946" s="48" t="n"/>
      <c r="F946" s="48" t="n"/>
      <c r="G946" s="47" t="n"/>
      <c r="H946" s="47" t="n"/>
    </row>
    <row r="947">
      <c r="A947" s="52" t="n"/>
      <c r="B947" s="47">
        <f>IF(A947="","",IFERROR(INDEX('隊員マスタ'!$B$5:$B$204,MATCH(A947&amp;"",'隊員マスタ'!$F$5:$F$204,0)),"番号なし"))</f>
        <v/>
      </c>
      <c r="C947" s="47" t="n"/>
      <c r="D947" s="47" t="n"/>
      <c r="E947" s="48" t="n"/>
      <c r="F947" s="48" t="n"/>
      <c r="G947" s="47" t="n"/>
      <c r="H947" s="47" t="n"/>
    </row>
    <row r="948">
      <c r="A948" s="52" t="n"/>
      <c r="B948" s="47">
        <f>IF(A948="","",IFERROR(INDEX('隊員マスタ'!$B$5:$B$204,MATCH(A948&amp;"",'隊員マスタ'!$F$5:$F$204,0)),"番号なし"))</f>
        <v/>
      </c>
      <c r="C948" s="47" t="n"/>
      <c r="D948" s="47" t="n"/>
      <c r="E948" s="48" t="n"/>
      <c r="F948" s="48" t="n"/>
      <c r="G948" s="47" t="n"/>
      <c r="H948" s="47" t="n"/>
    </row>
    <row r="949">
      <c r="A949" s="52" t="n"/>
      <c r="B949" s="47">
        <f>IF(A949="","",IFERROR(INDEX('隊員マスタ'!$B$5:$B$204,MATCH(A949&amp;"",'隊員マスタ'!$F$5:$F$204,0)),"番号なし"))</f>
        <v/>
      </c>
      <c r="C949" s="47" t="n"/>
      <c r="D949" s="47" t="n"/>
      <c r="E949" s="48" t="n"/>
      <c r="F949" s="48" t="n"/>
      <c r="G949" s="47" t="n"/>
      <c r="H949" s="47" t="n"/>
    </row>
    <row r="950">
      <c r="A950" s="52" t="n"/>
      <c r="B950" s="47">
        <f>IF(A950="","",IFERROR(INDEX('隊員マスタ'!$B$5:$B$204,MATCH(A950&amp;"",'隊員マスタ'!$F$5:$F$204,0)),"番号なし"))</f>
        <v/>
      </c>
      <c r="C950" s="47" t="n"/>
      <c r="D950" s="47" t="n"/>
      <c r="E950" s="48" t="n"/>
      <c r="F950" s="48" t="n"/>
      <c r="G950" s="47" t="n"/>
      <c r="H950" s="47" t="n"/>
    </row>
    <row r="951">
      <c r="A951" s="52" t="n"/>
      <c r="B951" s="47">
        <f>IF(A951="","",IFERROR(INDEX('隊員マスタ'!$B$5:$B$204,MATCH(A951&amp;"",'隊員マスタ'!$F$5:$F$204,0)),"番号なし"))</f>
        <v/>
      </c>
      <c r="C951" s="47" t="n"/>
      <c r="D951" s="47" t="n"/>
      <c r="E951" s="48" t="n"/>
      <c r="F951" s="48" t="n"/>
      <c r="G951" s="47" t="n"/>
      <c r="H951" s="47" t="n"/>
    </row>
    <row r="952">
      <c r="A952" s="52" t="n"/>
      <c r="B952" s="47">
        <f>IF(A952="","",IFERROR(INDEX('隊員マスタ'!$B$5:$B$204,MATCH(A952&amp;"",'隊員マスタ'!$F$5:$F$204,0)),"番号なし"))</f>
        <v/>
      </c>
      <c r="C952" s="47" t="n"/>
      <c r="D952" s="47" t="n"/>
      <c r="E952" s="48" t="n"/>
      <c r="F952" s="48" t="n"/>
      <c r="G952" s="47" t="n"/>
      <c r="H952" s="47" t="n"/>
    </row>
    <row r="953">
      <c r="A953" s="52" t="n"/>
      <c r="B953" s="47">
        <f>IF(A953="","",IFERROR(INDEX('隊員マスタ'!$B$5:$B$204,MATCH(A953&amp;"",'隊員マスタ'!$F$5:$F$204,0)),"番号なし"))</f>
        <v/>
      </c>
      <c r="C953" s="47" t="n"/>
      <c r="D953" s="47" t="n"/>
      <c r="E953" s="48" t="n"/>
      <c r="F953" s="48" t="n"/>
      <c r="G953" s="47" t="n"/>
      <c r="H953" s="47" t="n"/>
    </row>
    <row r="954">
      <c r="A954" s="52" t="n"/>
      <c r="B954" s="47">
        <f>IF(A954="","",IFERROR(INDEX('隊員マスタ'!$B$5:$B$204,MATCH(A954&amp;"",'隊員マスタ'!$F$5:$F$204,0)),"番号なし"))</f>
        <v/>
      </c>
      <c r="C954" s="47" t="n"/>
      <c r="D954" s="47" t="n"/>
      <c r="E954" s="48" t="n"/>
      <c r="F954" s="48" t="n"/>
      <c r="G954" s="47" t="n"/>
      <c r="H954" s="47" t="n"/>
    </row>
    <row r="955">
      <c r="A955" s="52" t="n"/>
      <c r="B955" s="47">
        <f>IF(A955="","",IFERROR(INDEX('隊員マスタ'!$B$5:$B$204,MATCH(A955&amp;"",'隊員マスタ'!$F$5:$F$204,0)),"番号なし"))</f>
        <v/>
      </c>
      <c r="C955" s="47" t="n"/>
      <c r="D955" s="47" t="n"/>
      <c r="E955" s="48" t="n"/>
      <c r="F955" s="48" t="n"/>
      <c r="G955" s="47" t="n"/>
      <c r="H955" s="47" t="n"/>
    </row>
    <row r="956">
      <c r="A956" s="52" t="n"/>
      <c r="B956" s="47">
        <f>IF(A956="","",IFERROR(INDEX('隊員マスタ'!$B$5:$B$204,MATCH(A956&amp;"",'隊員マスタ'!$F$5:$F$204,0)),"番号なし"))</f>
        <v/>
      </c>
      <c r="C956" s="47" t="n"/>
      <c r="D956" s="47" t="n"/>
      <c r="E956" s="48" t="n"/>
      <c r="F956" s="48" t="n"/>
      <c r="G956" s="47" t="n"/>
      <c r="H956" s="47" t="n"/>
    </row>
    <row r="957">
      <c r="A957" s="52" t="n"/>
      <c r="B957" s="47">
        <f>IF(A957="","",IFERROR(INDEX('隊員マスタ'!$B$5:$B$204,MATCH(A957&amp;"",'隊員マスタ'!$F$5:$F$204,0)),"番号なし"))</f>
        <v/>
      </c>
      <c r="C957" s="47" t="n"/>
      <c r="D957" s="47" t="n"/>
      <c r="E957" s="48" t="n"/>
      <c r="F957" s="48" t="n"/>
      <c r="G957" s="47" t="n"/>
      <c r="H957" s="47" t="n"/>
    </row>
    <row r="958">
      <c r="A958" s="52" t="n"/>
      <c r="B958" s="47">
        <f>IF(A958="","",IFERROR(INDEX('隊員マスタ'!$B$5:$B$204,MATCH(A958&amp;"",'隊員マスタ'!$F$5:$F$204,0)),"番号なし"))</f>
        <v/>
      </c>
      <c r="C958" s="47" t="n"/>
      <c r="D958" s="47" t="n"/>
      <c r="E958" s="48" t="n"/>
      <c r="F958" s="48" t="n"/>
      <c r="G958" s="47" t="n"/>
      <c r="H958" s="47" t="n"/>
    </row>
    <row r="959">
      <c r="A959" s="52" t="n"/>
      <c r="B959" s="47">
        <f>IF(A959="","",IFERROR(INDEX('隊員マスタ'!$B$5:$B$204,MATCH(A959&amp;"",'隊員マスタ'!$F$5:$F$204,0)),"番号なし"))</f>
        <v/>
      </c>
      <c r="C959" s="47" t="n"/>
      <c r="D959" s="47" t="n"/>
      <c r="E959" s="48" t="n"/>
      <c r="F959" s="48" t="n"/>
      <c r="G959" s="47" t="n"/>
      <c r="H959" s="47" t="n"/>
    </row>
    <row r="960">
      <c r="A960" s="52" t="n"/>
      <c r="B960" s="47">
        <f>IF(A960="","",IFERROR(INDEX('隊員マスタ'!$B$5:$B$204,MATCH(A960&amp;"",'隊員マスタ'!$F$5:$F$204,0)),"番号なし"))</f>
        <v/>
      </c>
      <c r="C960" s="47" t="n"/>
      <c r="D960" s="47" t="n"/>
      <c r="E960" s="48" t="n"/>
      <c r="F960" s="48" t="n"/>
      <c r="G960" s="47" t="n"/>
      <c r="H960" s="47" t="n"/>
    </row>
    <row r="961">
      <c r="A961" s="52" t="n"/>
      <c r="B961" s="47">
        <f>IF(A961="","",IFERROR(INDEX('隊員マスタ'!$B$5:$B$204,MATCH(A961&amp;"",'隊員マスタ'!$F$5:$F$204,0)),"番号なし"))</f>
        <v/>
      </c>
      <c r="C961" s="47" t="n"/>
      <c r="D961" s="47" t="n"/>
      <c r="E961" s="48" t="n"/>
      <c r="F961" s="48" t="n"/>
      <c r="G961" s="47" t="n"/>
      <c r="H961" s="47" t="n"/>
    </row>
    <row r="962">
      <c r="A962" s="52" t="n"/>
      <c r="B962" s="47">
        <f>IF(A962="","",IFERROR(INDEX('隊員マスタ'!$B$5:$B$204,MATCH(A962&amp;"",'隊員マスタ'!$F$5:$F$204,0)),"番号なし"))</f>
        <v/>
      </c>
      <c r="C962" s="47" t="n"/>
      <c r="D962" s="47" t="n"/>
      <c r="E962" s="48" t="n"/>
      <c r="F962" s="48" t="n"/>
      <c r="G962" s="47" t="n"/>
      <c r="H962" s="47" t="n"/>
    </row>
    <row r="963">
      <c r="A963" s="52" t="n"/>
      <c r="B963" s="47">
        <f>IF(A963="","",IFERROR(INDEX('隊員マスタ'!$B$5:$B$204,MATCH(A963&amp;"",'隊員マスタ'!$F$5:$F$204,0)),"番号なし"))</f>
        <v/>
      </c>
      <c r="C963" s="47" t="n"/>
      <c r="D963" s="47" t="n"/>
      <c r="E963" s="48" t="n"/>
      <c r="F963" s="48" t="n"/>
      <c r="G963" s="47" t="n"/>
      <c r="H963" s="47" t="n"/>
    </row>
    <row r="964">
      <c r="A964" s="52" t="n"/>
      <c r="B964" s="47">
        <f>IF(A964="","",IFERROR(INDEX('隊員マスタ'!$B$5:$B$204,MATCH(A964&amp;"",'隊員マスタ'!$F$5:$F$204,0)),"番号なし"))</f>
        <v/>
      </c>
      <c r="C964" s="47" t="n"/>
      <c r="D964" s="47" t="n"/>
      <c r="E964" s="48" t="n"/>
      <c r="F964" s="48" t="n"/>
      <c r="G964" s="47" t="n"/>
      <c r="H964" s="47" t="n"/>
    </row>
    <row r="965">
      <c r="A965" s="52" t="n"/>
      <c r="B965" s="47">
        <f>IF(A965="","",IFERROR(INDEX('隊員マスタ'!$B$5:$B$204,MATCH(A965&amp;"",'隊員マスタ'!$F$5:$F$204,0)),"番号なし"))</f>
        <v/>
      </c>
      <c r="C965" s="47" t="n"/>
      <c r="D965" s="47" t="n"/>
      <c r="E965" s="48" t="n"/>
      <c r="F965" s="48" t="n"/>
      <c r="G965" s="47" t="n"/>
      <c r="H965" s="47" t="n"/>
    </row>
    <row r="966">
      <c r="A966" s="52" t="n"/>
      <c r="B966" s="47">
        <f>IF(A966="","",IFERROR(INDEX('隊員マスタ'!$B$5:$B$204,MATCH(A966&amp;"",'隊員マスタ'!$F$5:$F$204,0)),"番号なし"))</f>
        <v/>
      </c>
      <c r="C966" s="47" t="n"/>
      <c r="D966" s="47" t="n"/>
      <c r="E966" s="48" t="n"/>
      <c r="F966" s="48" t="n"/>
      <c r="G966" s="47" t="n"/>
      <c r="H966" s="47" t="n"/>
    </row>
    <row r="967">
      <c r="A967" s="52" t="n"/>
      <c r="B967" s="47">
        <f>IF(A967="","",IFERROR(INDEX('隊員マスタ'!$B$5:$B$204,MATCH(A967&amp;"",'隊員マスタ'!$F$5:$F$204,0)),"番号なし"))</f>
        <v/>
      </c>
      <c r="C967" s="47" t="n"/>
      <c r="D967" s="47" t="n"/>
      <c r="E967" s="48" t="n"/>
      <c r="F967" s="48" t="n"/>
      <c r="G967" s="47" t="n"/>
      <c r="H967" s="47" t="n"/>
    </row>
    <row r="968">
      <c r="A968" s="52" t="n"/>
      <c r="B968" s="47">
        <f>IF(A968="","",IFERROR(INDEX('隊員マスタ'!$B$5:$B$204,MATCH(A968&amp;"",'隊員マスタ'!$F$5:$F$204,0)),"番号なし"))</f>
        <v/>
      </c>
      <c r="C968" s="47" t="n"/>
      <c r="D968" s="47" t="n"/>
      <c r="E968" s="48" t="n"/>
      <c r="F968" s="48" t="n"/>
      <c r="G968" s="47" t="n"/>
      <c r="H968" s="47" t="n"/>
    </row>
    <row r="969">
      <c r="A969" s="52" t="n"/>
      <c r="B969" s="47">
        <f>IF(A969="","",IFERROR(INDEX('隊員マスタ'!$B$5:$B$204,MATCH(A969&amp;"",'隊員マスタ'!$F$5:$F$204,0)),"番号なし"))</f>
        <v/>
      </c>
      <c r="C969" s="47" t="n"/>
      <c r="D969" s="47" t="n"/>
      <c r="E969" s="48" t="n"/>
      <c r="F969" s="48" t="n"/>
      <c r="G969" s="47" t="n"/>
      <c r="H969" s="47" t="n"/>
    </row>
    <row r="970">
      <c r="A970" s="52" t="n"/>
      <c r="B970" s="47">
        <f>IF(A970="","",IFERROR(INDEX('隊員マスタ'!$B$5:$B$204,MATCH(A970&amp;"",'隊員マスタ'!$F$5:$F$204,0)),"番号なし"))</f>
        <v/>
      </c>
      <c r="C970" s="47" t="n"/>
      <c r="D970" s="47" t="n"/>
      <c r="E970" s="48" t="n"/>
      <c r="F970" s="48" t="n"/>
      <c r="G970" s="47" t="n"/>
      <c r="H970" s="47" t="n"/>
    </row>
    <row r="971">
      <c r="A971" s="52" t="n"/>
      <c r="B971" s="47">
        <f>IF(A971="","",IFERROR(INDEX('隊員マスタ'!$B$5:$B$204,MATCH(A971&amp;"",'隊員マスタ'!$F$5:$F$204,0)),"番号なし"))</f>
        <v/>
      </c>
      <c r="C971" s="47" t="n"/>
      <c r="D971" s="47" t="n"/>
      <c r="E971" s="48" t="n"/>
      <c r="F971" s="48" t="n"/>
      <c r="G971" s="47" t="n"/>
      <c r="H971" s="47" t="n"/>
    </row>
    <row r="972">
      <c r="A972" s="52" t="n"/>
      <c r="B972" s="47">
        <f>IF(A972="","",IFERROR(INDEX('隊員マスタ'!$B$5:$B$204,MATCH(A972&amp;"",'隊員マスタ'!$F$5:$F$204,0)),"番号なし"))</f>
        <v/>
      </c>
      <c r="C972" s="47" t="n"/>
      <c r="D972" s="47" t="n"/>
      <c r="E972" s="48" t="n"/>
      <c r="F972" s="48" t="n"/>
      <c r="G972" s="47" t="n"/>
      <c r="H972" s="47" t="n"/>
    </row>
    <row r="973">
      <c r="A973" s="52" t="n"/>
      <c r="B973" s="47">
        <f>IF(A973="","",IFERROR(INDEX('隊員マスタ'!$B$5:$B$204,MATCH(A973&amp;"",'隊員マスタ'!$F$5:$F$204,0)),"番号なし"))</f>
        <v/>
      </c>
      <c r="C973" s="47" t="n"/>
      <c r="D973" s="47" t="n"/>
      <c r="E973" s="48" t="n"/>
      <c r="F973" s="48" t="n"/>
      <c r="G973" s="47" t="n"/>
      <c r="H973" s="47" t="n"/>
    </row>
    <row r="974">
      <c r="A974" s="52" t="n"/>
      <c r="B974" s="47">
        <f>IF(A974="","",IFERROR(INDEX('隊員マスタ'!$B$5:$B$204,MATCH(A974&amp;"",'隊員マスタ'!$F$5:$F$204,0)),"番号なし"))</f>
        <v/>
      </c>
      <c r="C974" s="47" t="n"/>
      <c r="D974" s="47" t="n"/>
      <c r="E974" s="48" t="n"/>
      <c r="F974" s="48" t="n"/>
      <c r="G974" s="47" t="n"/>
      <c r="H974" s="47" t="n"/>
    </row>
    <row r="975">
      <c r="A975" s="52" t="n"/>
      <c r="B975" s="47">
        <f>IF(A975="","",IFERROR(INDEX('隊員マスタ'!$B$5:$B$204,MATCH(A975&amp;"",'隊員マスタ'!$F$5:$F$204,0)),"番号なし"))</f>
        <v/>
      </c>
      <c r="C975" s="47" t="n"/>
      <c r="D975" s="47" t="n"/>
      <c r="E975" s="48" t="n"/>
      <c r="F975" s="48" t="n"/>
      <c r="G975" s="47" t="n"/>
      <c r="H975" s="47" t="n"/>
    </row>
    <row r="976">
      <c r="A976" s="52" t="n"/>
      <c r="B976" s="47">
        <f>IF(A976="","",IFERROR(INDEX('隊員マスタ'!$B$5:$B$204,MATCH(A976&amp;"",'隊員マスタ'!$F$5:$F$204,0)),"番号なし"))</f>
        <v/>
      </c>
      <c r="C976" s="47" t="n"/>
      <c r="D976" s="47" t="n"/>
      <c r="E976" s="48" t="n"/>
      <c r="F976" s="48" t="n"/>
      <c r="G976" s="47" t="n"/>
      <c r="H976" s="47" t="n"/>
    </row>
    <row r="977">
      <c r="A977" s="52" t="n"/>
      <c r="B977" s="47">
        <f>IF(A977="","",IFERROR(INDEX('隊員マスタ'!$B$5:$B$204,MATCH(A977&amp;"",'隊員マスタ'!$F$5:$F$204,0)),"番号なし"))</f>
        <v/>
      </c>
      <c r="C977" s="47" t="n"/>
      <c r="D977" s="47" t="n"/>
      <c r="E977" s="48" t="n"/>
      <c r="F977" s="48" t="n"/>
      <c r="G977" s="47" t="n"/>
      <c r="H977" s="47" t="n"/>
    </row>
    <row r="978">
      <c r="A978" s="52" t="n"/>
      <c r="B978" s="47">
        <f>IF(A978="","",IFERROR(INDEX('隊員マスタ'!$B$5:$B$204,MATCH(A978&amp;"",'隊員マスタ'!$F$5:$F$204,0)),"番号なし"))</f>
        <v/>
      </c>
      <c r="C978" s="47" t="n"/>
      <c r="D978" s="47" t="n"/>
      <c r="E978" s="48" t="n"/>
      <c r="F978" s="48" t="n"/>
      <c r="G978" s="47" t="n"/>
      <c r="H978" s="47" t="n"/>
    </row>
    <row r="979">
      <c r="A979" s="52" t="n"/>
      <c r="B979" s="47">
        <f>IF(A979="","",IFERROR(INDEX('隊員マスタ'!$B$5:$B$204,MATCH(A979&amp;"",'隊員マスタ'!$F$5:$F$204,0)),"番号なし"))</f>
        <v/>
      </c>
      <c r="C979" s="47" t="n"/>
      <c r="D979" s="47" t="n"/>
      <c r="E979" s="48" t="n"/>
      <c r="F979" s="48" t="n"/>
      <c r="G979" s="47" t="n"/>
      <c r="H979" s="47" t="n"/>
    </row>
    <row r="980">
      <c r="A980" s="52" t="n"/>
      <c r="B980" s="47">
        <f>IF(A980="","",IFERROR(INDEX('隊員マスタ'!$B$5:$B$204,MATCH(A980&amp;"",'隊員マスタ'!$F$5:$F$204,0)),"番号なし"))</f>
        <v/>
      </c>
      <c r="C980" s="47" t="n"/>
      <c r="D980" s="47" t="n"/>
      <c r="E980" s="48" t="n"/>
      <c r="F980" s="48" t="n"/>
      <c r="G980" s="47" t="n"/>
      <c r="H980" s="47" t="n"/>
    </row>
    <row r="981">
      <c r="A981" s="52" t="n"/>
      <c r="B981" s="47">
        <f>IF(A981="","",IFERROR(INDEX('隊員マスタ'!$B$5:$B$204,MATCH(A981&amp;"",'隊員マスタ'!$F$5:$F$204,0)),"番号なし"))</f>
        <v/>
      </c>
      <c r="C981" s="47" t="n"/>
      <c r="D981" s="47" t="n"/>
      <c r="E981" s="48" t="n"/>
      <c r="F981" s="48" t="n"/>
      <c r="G981" s="47" t="n"/>
      <c r="H981" s="47" t="n"/>
    </row>
    <row r="982">
      <c r="A982" s="52" t="n"/>
      <c r="B982" s="47">
        <f>IF(A982="","",IFERROR(INDEX('隊員マスタ'!$B$5:$B$204,MATCH(A982&amp;"",'隊員マスタ'!$F$5:$F$204,0)),"番号なし"))</f>
        <v/>
      </c>
      <c r="C982" s="47" t="n"/>
      <c r="D982" s="47" t="n"/>
      <c r="E982" s="48" t="n"/>
      <c r="F982" s="48" t="n"/>
      <c r="G982" s="47" t="n"/>
      <c r="H982" s="47" t="n"/>
    </row>
    <row r="983">
      <c r="A983" s="52" t="n"/>
      <c r="B983" s="47">
        <f>IF(A983="","",IFERROR(INDEX('隊員マスタ'!$B$5:$B$204,MATCH(A983&amp;"",'隊員マスタ'!$F$5:$F$204,0)),"番号なし"))</f>
        <v/>
      </c>
      <c r="C983" s="47" t="n"/>
      <c r="D983" s="47" t="n"/>
      <c r="E983" s="48" t="n"/>
      <c r="F983" s="48" t="n"/>
      <c r="G983" s="47" t="n"/>
      <c r="H983" s="47" t="n"/>
    </row>
    <row r="984">
      <c r="A984" s="52" t="n"/>
      <c r="B984" s="47">
        <f>IF(A984="","",IFERROR(INDEX('隊員マスタ'!$B$5:$B$204,MATCH(A984&amp;"",'隊員マスタ'!$F$5:$F$204,0)),"番号なし"))</f>
        <v/>
      </c>
      <c r="C984" s="47" t="n"/>
      <c r="D984" s="47" t="n"/>
      <c r="E984" s="48" t="n"/>
      <c r="F984" s="48" t="n"/>
      <c r="G984" s="47" t="n"/>
      <c r="H984" s="47" t="n"/>
    </row>
    <row r="985">
      <c r="A985" s="52" t="n"/>
      <c r="B985" s="47">
        <f>IF(A985="","",IFERROR(INDEX('隊員マスタ'!$B$5:$B$204,MATCH(A985&amp;"",'隊員マスタ'!$F$5:$F$204,0)),"番号なし"))</f>
        <v/>
      </c>
      <c r="C985" s="47" t="n"/>
      <c r="D985" s="47" t="n"/>
      <c r="E985" s="48" t="n"/>
      <c r="F985" s="48" t="n"/>
      <c r="G985" s="47" t="n"/>
      <c r="H985" s="47" t="n"/>
    </row>
    <row r="986">
      <c r="A986" s="52" t="n"/>
      <c r="B986" s="47">
        <f>IF(A986="","",IFERROR(INDEX('隊員マスタ'!$B$5:$B$204,MATCH(A986&amp;"",'隊員マスタ'!$F$5:$F$204,0)),"番号なし"))</f>
        <v/>
      </c>
      <c r="C986" s="47" t="n"/>
      <c r="D986" s="47" t="n"/>
      <c r="E986" s="48" t="n"/>
      <c r="F986" s="48" t="n"/>
      <c r="G986" s="47" t="n"/>
      <c r="H986" s="47" t="n"/>
    </row>
    <row r="987">
      <c r="A987" s="52" t="n"/>
      <c r="B987" s="47">
        <f>IF(A987="","",IFERROR(INDEX('隊員マスタ'!$B$5:$B$204,MATCH(A987&amp;"",'隊員マスタ'!$F$5:$F$204,0)),"番号なし"))</f>
        <v/>
      </c>
      <c r="C987" s="47" t="n"/>
      <c r="D987" s="47" t="n"/>
      <c r="E987" s="48" t="n"/>
      <c r="F987" s="48" t="n"/>
      <c r="G987" s="47" t="n"/>
      <c r="H987" s="47" t="n"/>
    </row>
    <row r="988">
      <c r="A988" s="52" t="n"/>
      <c r="B988" s="47">
        <f>IF(A988="","",IFERROR(INDEX('隊員マスタ'!$B$5:$B$204,MATCH(A988&amp;"",'隊員マスタ'!$F$5:$F$204,0)),"番号なし"))</f>
        <v/>
      </c>
      <c r="C988" s="47" t="n"/>
      <c r="D988" s="47" t="n"/>
      <c r="E988" s="48" t="n"/>
      <c r="F988" s="48" t="n"/>
      <c r="G988" s="47" t="n"/>
      <c r="H988" s="47" t="n"/>
    </row>
    <row r="989">
      <c r="A989" s="52" t="n"/>
      <c r="B989" s="47">
        <f>IF(A989="","",IFERROR(INDEX('隊員マスタ'!$B$5:$B$204,MATCH(A989&amp;"",'隊員マスタ'!$F$5:$F$204,0)),"番号なし"))</f>
        <v/>
      </c>
      <c r="C989" s="47" t="n"/>
      <c r="D989" s="47" t="n"/>
      <c r="E989" s="48" t="n"/>
      <c r="F989" s="48" t="n"/>
      <c r="G989" s="47" t="n"/>
      <c r="H989" s="47" t="n"/>
    </row>
    <row r="990">
      <c r="A990" s="52" t="n"/>
      <c r="B990" s="47">
        <f>IF(A990="","",IFERROR(INDEX('隊員マスタ'!$B$5:$B$204,MATCH(A990&amp;"",'隊員マスタ'!$F$5:$F$204,0)),"番号なし"))</f>
        <v/>
      </c>
      <c r="C990" s="47" t="n"/>
      <c r="D990" s="47" t="n"/>
      <c r="E990" s="48" t="n"/>
      <c r="F990" s="48" t="n"/>
      <c r="G990" s="47" t="n"/>
      <c r="H990" s="47" t="n"/>
    </row>
    <row r="991">
      <c r="A991" s="52" t="n"/>
      <c r="B991" s="47">
        <f>IF(A991="","",IFERROR(INDEX('隊員マスタ'!$B$5:$B$204,MATCH(A991&amp;"",'隊員マスタ'!$F$5:$F$204,0)),"番号なし"))</f>
        <v/>
      </c>
      <c r="C991" s="47" t="n"/>
      <c r="D991" s="47" t="n"/>
      <c r="E991" s="48" t="n"/>
      <c r="F991" s="48" t="n"/>
      <c r="G991" s="47" t="n"/>
      <c r="H991" s="47" t="n"/>
    </row>
    <row r="992">
      <c r="A992" s="52" t="n"/>
      <c r="B992" s="47">
        <f>IF(A992="","",IFERROR(INDEX('隊員マスタ'!$B$5:$B$204,MATCH(A992&amp;"",'隊員マスタ'!$F$5:$F$204,0)),"番号なし"))</f>
        <v/>
      </c>
      <c r="C992" s="47" t="n"/>
      <c r="D992" s="47" t="n"/>
      <c r="E992" s="48" t="n"/>
      <c r="F992" s="48" t="n"/>
      <c r="G992" s="47" t="n"/>
      <c r="H992" s="47" t="n"/>
    </row>
    <row r="993">
      <c r="A993" s="52" t="n"/>
      <c r="B993" s="47">
        <f>IF(A993="","",IFERROR(INDEX('隊員マスタ'!$B$5:$B$204,MATCH(A993&amp;"",'隊員マスタ'!$F$5:$F$204,0)),"番号なし"))</f>
        <v/>
      </c>
      <c r="C993" s="47" t="n"/>
      <c r="D993" s="47" t="n"/>
      <c r="E993" s="48" t="n"/>
      <c r="F993" s="48" t="n"/>
      <c r="G993" s="47" t="n"/>
      <c r="H993" s="47" t="n"/>
    </row>
    <row r="994">
      <c r="A994" s="52" t="n"/>
      <c r="B994" s="47">
        <f>IF(A994="","",IFERROR(INDEX('隊員マスタ'!$B$5:$B$204,MATCH(A994&amp;"",'隊員マスタ'!$F$5:$F$204,0)),"番号なし"))</f>
        <v/>
      </c>
      <c r="C994" s="47" t="n"/>
      <c r="D994" s="47" t="n"/>
      <c r="E994" s="48" t="n"/>
      <c r="F994" s="48" t="n"/>
      <c r="G994" s="47" t="n"/>
      <c r="H994" s="47" t="n"/>
    </row>
    <row r="995">
      <c r="A995" s="52" t="n"/>
      <c r="B995" s="47">
        <f>IF(A995="","",IFERROR(INDEX('隊員マスタ'!$B$5:$B$204,MATCH(A995&amp;"",'隊員マスタ'!$F$5:$F$204,0)),"番号なし"))</f>
        <v/>
      </c>
      <c r="C995" s="47" t="n"/>
      <c r="D995" s="47" t="n"/>
      <c r="E995" s="48" t="n"/>
      <c r="F995" s="48" t="n"/>
      <c r="G995" s="47" t="n"/>
      <c r="H995" s="47" t="n"/>
    </row>
    <row r="996">
      <c r="A996" s="52" t="n"/>
      <c r="B996" s="47">
        <f>IF(A996="","",IFERROR(INDEX('隊員マスタ'!$B$5:$B$204,MATCH(A996&amp;"",'隊員マスタ'!$F$5:$F$204,0)),"番号なし"))</f>
        <v/>
      </c>
      <c r="C996" s="47" t="n"/>
      <c r="D996" s="47" t="n"/>
      <c r="E996" s="48" t="n"/>
      <c r="F996" s="48" t="n"/>
      <c r="G996" s="47" t="n"/>
      <c r="H996" s="47" t="n"/>
    </row>
    <row r="997">
      <c r="A997" s="52" t="n"/>
      <c r="B997" s="47">
        <f>IF(A997="","",IFERROR(INDEX('隊員マスタ'!$B$5:$B$204,MATCH(A997&amp;"",'隊員マスタ'!$F$5:$F$204,0)),"番号なし"))</f>
        <v/>
      </c>
      <c r="C997" s="47" t="n"/>
      <c r="D997" s="47" t="n"/>
      <c r="E997" s="48" t="n"/>
      <c r="F997" s="48" t="n"/>
      <c r="G997" s="47" t="n"/>
      <c r="H997" s="47" t="n"/>
    </row>
    <row r="998">
      <c r="A998" s="52" t="n"/>
      <c r="B998" s="47">
        <f>IF(A998="","",IFERROR(INDEX('隊員マスタ'!$B$5:$B$204,MATCH(A998&amp;"",'隊員マスタ'!$F$5:$F$204,0)),"番号なし"))</f>
        <v/>
      </c>
      <c r="C998" s="47" t="n"/>
      <c r="D998" s="47" t="n"/>
      <c r="E998" s="48" t="n"/>
      <c r="F998" s="48" t="n"/>
      <c r="G998" s="47" t="n"/>
      <c r="H998" s="47" t="n"/>
    </row>
    <row r="999">
      <c r="A999" s="52" t="n"/>
      <c r="B999" s="47">
        <f>IF(A999="","",IFERROR(INDEX('隊員マスタ'!$B$5:$B$204,MATCH(A999&amp;"",'隊員マスタ'!$F$5:$F$204,0)),"番号なし"))</f>
        <v/>
      </c>
      <c r="C999" s="47" t="n"/>
      <c r="D999" s="47" t="n"/>
      <c r="E999" s="48" t="n"/>
      <c r="F999" s="48" t="n"/>
      <c r="G999" s="47" t="n"/>
      <c r="H999" s="47" t="n"/>
    </row>
    <row r="1000">
      <c r="A1000" s="52" t="n"/>
      <c r="B1000" s="47">
        <f>IF(A1000="","",IFERROR(INDEX('隊員マスタ'!$B$5:$B$204,MATCH(A1000&amp;"",'隊員マスタ'!$F$5:$F$204,0)),"番号なし"))</f>
        <v/>
      </c>
      <c r="C1000" s="47" t="n"/>
      <c r="D1000" s="47" t="n"/>
      <c r="E1000" s="48" t="n"/>
      <c r="F1000" s="48" t="n"/>
      <c r="G1000" s="47" t="n"/>
      <c r="H1000" s="47" t="n"/>
    </row>
    <row r="1001">
      <c r="A1001" s="52" t="n"/>
      <c r="B1001" s="47">
        <f>IF(A1001="","",IFERROR(INDEX('隊員マスタ'!$B$5:$B$204,MATCH(A1001&amp;"",'隊員マスタ'!$F$5:$F$204,0)),"番号なし"))</f>
        <v/>
      </c>
      <c r="C1001" s="47" t="n"/>
      <c r="D1001" s="47" t="n"/>
      <c r="E1001" s="48" t="n"/>
      <c r="F1001" s="48" t="n"/>
      <c r="G1001" s="47" t="n"/>
      <c r="H1001" s="47" t="n"/>
    </row>
    <row r="1002">
      <c r="A1002" s="52" t="n"/>
      <c r="B1002" s="47">
        <f>IF(A1002="","",IFERROR(INDEX('隊員マスタ'!$B$5:$B$204,MATCH(A1002&amp;"",'隊員マスタ'!$F$5:$F$204,0)),"番号なし"))</f>
        <v/>
      </c>
      <c r="C1002" s="47" t="n"/>
      <c r="D1002" s="47" t="n"/>
      <c r="E1002" s="48" t="n"/>
      <c r="F1002" s="48" t="n"/>
      <c r="G1002" s="47" t="n"/>
      <c r="H1002" s="47" t="n"/>
    </row>
    <row r="1003">
      <c r="A1003" s="52" t="n"/>
      <c r="B1003" s="47">
        <f>IF(A1003="","",IFERROR(INDEX('隊員マスタ'!$B$5:$B$204,MATCH(A1003&amp;"",'隊員マスタ'!$F$5:$F$204,0)),"番号なし"))</f>
        <v/>
      </c>
      <c r="C1003" s="47" t="n"/>
      <c r="D1003" s="47" t="n"/>
      <c r="E1003" s="48" t="n"/>
      <c r="F1003" s="48" t="n"/>
      <c r="G1003" s="47" t="n"/>
      <c r="H1003" s="47" t="n"/>
    </row>
    <row r="1004">
      <c r="A1004" s="52" t="n"/>
      <c r="B1004" s="47">
        <f>IF(A1004="","",IFERROR(INDEX('隊員マスタ'!$B$5:$B$204,MATCH(A1004&amp;"",'隊員マスタ'!$F$5:$F$204,0)),"番号なし"))</f>
        <v/>
      </c>
      <c r="C1004" s="47" t="n"/>
      <c r="D1004" s="47" t="n"/>
      <c r="E1004" s="48" t="n"/>
      <c r="F1004" s="48" t="n"/>
      <c r="G1004" s="47" t="n"/>
      <c r="H1004" s="47" t="n"/>
    </row>
  </sheetData>
  <autoFilter ref="A4:H1004"/>
  <mergeCells count="1">
    <mergeCell ref="A1:D1"/>
  </mergeCells>
  <dataValidations count="3">
    <dataValidation sqref="A5:A1004" showDropDown="0" showInputMessage="0" showErrorMessage="0" allowBlank="1" errorTitle="入力できない値です" error="プルダウンから選んでください（選択肢シートで追加できます）" type="list">
      <formula1>=L_職員番号</formula1>
    </dataValidation>
    <dataValidation sqref="C5:C1004" showDropDown="0" showInputMessage="0" showErrorMessage="0" allowBlank="1" errorTitle="入力できない値です" error="プルダウンから選んでください（選択肢シートで追加できます）" type="list">
      <formula1>=L_種別</formula1>
    </dataValidation>
    <dataValidation sqref="D5:D1004" showDropDown="0" showInputMessage="0" showErrorMessage="0" allowBlank="1" errorTitle="入力できない値です" error="プルダウンから選んでください（選択肢シートで追加できます）" type="list">
      <formula1>=L_資格名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</cols>
  <sheetData>
    <row r="1" ht="34" customHeight="1">
      <c r="A1" s="1" t="inlineStr">
        <is>
          <t>潜水表</t>
        </is>
      </c>
      <c r="B1" s="2" t="n"/>
      <c r="C1" s="2" t="n"/>
      <c r="D1" s="2" t="n"/>
      <c r="E1" s="2" t="n"/>
      <c r="F1" s="2" t="n"/>
    </row>
    <row r="2">
      <c r="A2" s="3" t="inlineStr">
        <is>
          <t>アプリに入れる潜水表の正本です。数値を直したら、2人で照合してから［アプリ用に書き出す］を押し、できたファイルを現場用スマホへメールで送ります。</t>
        </is>
      </c>
    </row>
    <row r="3">
      <c r="A3" s="54" t="inlineStr">
        <is>
          <t>表の名前</t>
        </is>
      </c>
      <c r="B3" s="55" t="inlineStr">
        <is>
          <t>NAUI ダイブテーブル</t>
        </is>
      </c>
      <c r="J3" s="54" t="inlineStr">
        <is>
          <t>最短の水面休息（分）</t>
        </is>
      </c>
      <c r="M3" s="55" t="n">
        <v>10</v>
      </c>
    </row>
    <row r="4">
      <c r="A4" s="54" t="inlineStr">
        <is>
          <t>版</t>
        </is>
      </c>
      <c r="B4" s="55" t="inlineStr">
        <is>
          <t>2022年版</t>
        </is>
      </c>
      <c r="J4" s="54" t="inlineStr">
        <is>
          <t>1本目に戻る休息（分）</t>
        </is>
      </c>
      <c r="M4" s="55" t="n">
        <v>1440</v>
      </c>
    </row>
    <row r="5">
      <c r="A5" s="54" t="inlineStr">
        <is>
          <t>出典</t>
        </is>
      </c>
      <c r="B5" s="55" t="inlineStr">
        <is>
          <t>NAUI ダイブテーブル（日本語版カード、©2022 NAUI）の写真から書き起こし。</t>
        </is>
      </c>
      <c r="J5" s="54" t="inlineStr">
        <is>
          <t>反復を避ける水深（m超）</t>
        </is>
      </c>
      <c r="M5" s="55" t="n">
        <v>30</v>
      </c>
    </row>
    <row r="6">
      <c r="A6" s="54" t="inlineStr">
        <is>
          <t>照合</t>
        </is>
      </c>
      <c r="B6" s="55" t="inlineStr">
        <is>
          <t>照合済み</t>
        </is>
      </c>
      <c r="J6" s="54" t="inlineStr">
        <is>
          <t>安全停止の時間（分）</t>
        </is>
      </c>
      <c r="M6" s="55" t="n">
        <v>3</v>
      </c>
    </row>
    <row r="7">
      <c r="A7" s="54" t="inlineStr">
        <is>
          <t>照合者</t>
        </is>
      </c>
      <c r="B7" s="55" t="inlineStr">
        <is>
          <t>潜水隊（2名で現物と照合）</t>
        </is>
      </c>
      <c r="J7" s="54" t="inlineStr">
        <is>
          <t>安全停止の水深（m）</t>
        </is>
      </c>
      <c r="M7" s="55" t="n">
        <v>5</v>
      </c>
    </row>
    <row r="8">
      <c r="A8" s="54" t="inlineStr">
        <is>
          <t>照合日</t>
        </is>
      </c>
      <c r="B8" s="55" t="inlineStr">
        <is>
          <t>2026-10-24</t>
        </is>
      </c>
      <c r="J8" s="54" t="inlineStr">
        <is>
          <t>浮上速度の上限（m/分）</t>
        </is>
      </c>
      <c r="M8" s="55" t="n">
        <v>9</v>
      </c>
    </row>
    <row r="9">
      <c r="A9" s="54" t="inlineStr">
        <is>
          <t>備考</t>
        </is>
      </c>
      <c r="B9" s="55" t="inlineStr">
        <is>
          <t>2026年10月24日、隊内2名で現物カードと1マスずつ照合済み。／6mより浅い潜水は6mとして計算します。／30mを超える反復潜水は避けるよう表に記載があります。</t>
        </is>
      </c>
    </row>
    <row r="11">
      <c r="A11" s="56" t="inlineStr">
        <is>
          <t>最大潜水時間（分）</t>
        </is>
      </c>
    </row>
    <row r="12">
      <c r="A12" s="57" t="inlineStr">
        <is>
          <t>水深(m)</t>
        </is>
      </c>
      <c r="B12" s="58" t="n">
        <v>6</v>
      </c>
      <c r="C12" s="58" t="n">
        <v>9</v>
      </c>
      <c r="D12" s="58" t="n">
        <v>12</v>
      </c>
      <c r="E12" s="58" t="n">
        <v>15</v>
      </c>
      <c r="F12" s="58" t="n">
        <v>18</v>
      </c>
      <c r="G12" s="58" t="n">
        <v>21</v>
      </c>
      <c r="H12" s="58" t="n">
        <v>24</v>
      </c>
      <c r="I12" s="58" t="n">
        <v>27</v>
      </c>
      <c r="J12" s="58" t="n">
        <v>30</v>
      </c>
      <c r="K12" s="58" t="n">
        <v>33</v>
      </c>
      <c r="L12" s="58" t="n">
        <v>36</v>
      </c>
      <c r="M12" s="58" t="n">
        <v>40</v>
      </c>
    </row>
    <row r="13">
      <c r="A13" s="59" t="inlineStr">
        <is>
          <t>MDT</t>
        </is>
      </c>
      <c r="B13" s="60" t="n">
        <v>461</v>
      </c>
      <c r="C13" s="60" t="n">
        <v>223</v>
      </c>
      <c r="D13" s="60" t="n">
        <v>130</v>
      </c>
      <c r="E13" s="60" t="n">
        <v>75</v>
      </c>
      <c r="F13" s="60" t="n">
        <v>50</v>
      </c>
      <c r="G13" s="60" t="n">
        <v>40</v>
      </c>
      <c r="H13" s="60" t="n">
        <v>30</v>
      </c>
      <c r="I13" s="60" t="n">
        <v>25</v>
      </c>
      <c r="J13" s="60" t="n">
        <v>20</v>
      </c>
      <c r="K13" s="60" t="n">
        <v>15</v>
      </c>
      <c r="L13" s="60" t="n">
        <v>12</v>
      </c>
      <c r="M13" s="60" t="n">
        <v>8</v>
      </c>
    </row>
    <row r="16">
      <c r="A16" s="56" t="inlineStr">
        <is>
          <t>表1 グループの時間（分）</t>
        </is>
      </c>
      <c r="D16" s="20" t="inlineStr">
        <is>
          <t>その時間までの潜水で、列のグループになります。</t>
        </is>
      </c>
    </row>
    <row r="17">
      <c r="A17" s="57" t="inlineStr">
        <is>
          <t>水深(m)</t>
        </is>
      </c>
      <c r="B17" s="58" t="inlineStr">
        <is>
          <t>A</t>
        </is>
      </c>
      <c r="C17" s="58" t="inlineStr">
        <is>
          <t>B</t>
        </is>
      </c>
      <c r="D17" s="58" t="inlineStr">
        <is>
          <t>C</t>
        </is>
      </c>
      <c r="E17" s="58" t="inlineStr">
        <is>
          <t>D</t>
        </is>
      </c>
      <c r="F17" s="58" t="inlineStr">
        <is>
          <t>E</t>
        </is>
      </c>
      <c r="G17" s="58" t="inlineStr">
        <is>
          <t>F</t>
        </is>
      </c>
      <c r="H17" s="58" t="inlineStr">
        <is>
          <t>G</t>
        </is>
      </c>
      <c r="I17" s="58" t="inlineStr">
        <is>
          <t>H</t>
        </is>
      </c>
      <c r="J17" s="58" t="inlineStr">
        <is>
          <t>I</t>
        </is>
      </c>
      <c r="K17" s="58" t="inlineStr">
        <is>
          <t>J</t>
        </is>
      </c>
      <c r="L17" s="58" t="inlineStr">
        <is>
          <t>K</t>
        </is>
      </c>
      <c r="M17" s="58" t="inlineStr">
        <is>
          <t>L</t>
        </is>
      </c>
      <c r="N17" s="58" t="inlineStr">
        <is>
          <t>M</t>
        </is>
      </c>
      <c r="O17" s="58" t="inlineStr">
        <is>
          <t>N</t>
        </is>
      </c>
    </row>
    <row r="18">
      <c r="A18" s="61" t="n">
        <v>6</v>
      </c>
      <c r="B18" s="60" t="n">
        <v>26</v>
      </c>
      <c r="C18" s="60" t="n">
        <v>43</v>
      </c>
      <c r="D18" s="60" t="n">
        <v>61</v>
      </c>
      <c r="E18" s="60" t="n">
        <v>82</v>
      </c>
      <c r="F18" s="60" t="n">
        <v>106</v>
      </c>
      <c r="G18" s="60" t="n">
        <v>133</v>
      </c>
      <c r="H18" s="60" t="n">
        <v>165</v>
      </c>
      <c r="I18" s="60" t="n">
        <v>205</v>
      </c>
      <c r="J18" s="60" t="n">
        <v>256</v>
      </c>
      <c r="K18" s="60" t="n">
        <v>330</v>
      </c>
      <c r="L18" s="60" t="n">
        <v>461</v>
      </c>
      <c r="M18" s="60" t="n"/>
      <c r="N18" s="60" t="n"/>
      <c r="O18" s="60" t="n"/>
    </row>
    <row r="19">
      <c r="A19" s="61" t="n">
        <v>9</v>
      </c>
      <c r="B19" s="60" t="n">
        <v>17</v>
      </c>
      <c r="C19" s="60" t="n">
        <v>27</v>
      </c>
      <c r="D19" s="60" t="n">
        <v>38</v>
      </c>
      <c r="E19" s="60" t="n">
        <v>50</v>
      </c>
      <c r="F19" s="60" t="n">
        <v>62</v>
      </c>
      <c r="G19" s="60" t="n">
        <v>76</v>
      </c>
      <c r="H19" s="60" t="n">
        <v>91</v>
      </c>
      <c r="I19" s="60" t="n">
        <v>107</v>
      </c>
      <c r="J19" s="60" t="n">
        <v>125</v>
      </c>
      <c r="K19" s="60" t="n">
        <v>145</v>
      </c>
      <c r="L19" s="60" t="n">
        <v>167</v>
      </c>
      <c r="M19" s="60" t="n">
        <v>193</v>
      </c>
      <c r="N19" s="60" t="n">
        <v>223</v>
      </c>
      <c r="O19" s="60" t="n">
        <v>260</v>
      </c>
    </row>
    <row r="20">
      <c r="A20" s="61" t="n">
        <v>12</v>
      </c>
      <c r="B20" s="60" t="n">
        <v>12</v>
      </c>
      <c r="C20" s="60" t="n">
        <v>20</v>
      </c>
      <c r="D20" s="60" t="n">
        <v>27</v>
      </c>
      <c r="E20" s="60" t="n">
        <v>36</v>
      </c>
      <c r="F20" s="60" t="n">
        <v>44</v>
      </c>
      <c r="G20" s="60" t="n">
        <v>53</v>
      </c>
      <c r="H20" s="60" t="n">
        <v>63</v>
      </c>
      <c r="I20" s="60" t="n">
        <v>73</v>
      </c>
      <c r="J20" s="60" t="n">
        <v>84</v>
      </c>
      <c r="K20" s="60" t="n">
        <v>95</v>
      </c>
      <c r="L20" s="60" t="n">
        <v>108</v>
      </c>
      <c r="M20" s="60" t="n">
        <v>121</v>
      </c>
      <c r="N20" s="60" t="n">
        <v>130</v>
      </c>
      <c r="O20" s="60" t="n">
        <v>140</v>
      </c>
    </row>
    <row r="21">
      <c r="A21" s="61" t="n">
        <v>15</v>
      </c>
      <c r="B21" s="60" t="n">
        <v>9</v>
      </c>
      <c r="C21" s="60" t="n">
        <v>15</v>
      </c>
      <c r="D21" s="60" t="n">
        <v>21</v>
      </c>
      <c r="E21" s="60" t="n">
        <v>28</v>
      </c>
      <c r="F21" s="60" t="n">
        <v>34</v>
      </c>
      <c r="G21" s="60" t="n">
        <v>41</v>
      </c>
      <c r="H21" s="60" t="n">
        <v>48</v>
      </c>
      <c r="I21" s="60" t="n">
        <v>56</v>
      </c>
      <c r="J21" s="60" t="n">
        <v>63</v>
      </c>
      <c r="K21" s="60" t="n">
        <v>71</v>
      </c>
      <c r="L21" s="60" t="n">
        <v>75</v>
      </c>
      <c r="M21" s="60" t="n"/>
      <c r="N21" s="60" t="n">
        <v>80</v>
      </c>
      <c r="O21" s="60" t="n"/>
    </row>
    <row r="22">
      <c r="A22" s="61" t="n">
        <v>18</v>
      </c>
      <c r="B22" s="60" t="n">
        <v>7</v>
      </c>
      <c r="C22" s="60" t="n">
        <v>12</v>
      </c>
      <c r="D22" s="60" t="n">
        <v>17</v>
      </c>
      <c r="E22" s="60" t="n">
        <v>22</v>
      </c>
      <c r="F22" s="60" t="n">
        <v>28</v>
      </c>
      <c r="G22" s="60" t="n">
        <v>33</v>
      </c>
      <c r="H22" s="60" t="n">
        <v>39</v>
      </c>
      <c r="I22" s="60" t="n">
        <v>45</v>
      </c>
      <c r="J22" s="60" t="n">
        <v>50</v>
      </c>
      <c r="K22" s="60" t="n"/>
      <c r="L22" s="60" t="n"/>
      <c r="M22" s="60" t="n">
        <v>55</v>
      </c>
      <c r="N22" s="60" t="n"/>
      <c r="O22" s="60" t="n"/>
    </row>
    <row r="23">
      <c r="A23" s="61" t="n">
        <v>21</v>
      </c>
      <c r="B23" s="60" t="n">
        <v>6</v>
      </c>
      <c r="C23" s="60" t="n">
        <v>10</v>
      </c>
      <c r="D23" s="60" t="n">
        <v>14</v>
      </c>
      <c r="E23" s="60" t="n">
        <v>19</v>
      </c>
      <c r="F23" s="60" t="n">
        <v>23</v>
      </c>
      <c r="G23" s="60" t="n">
        <v>28</v>
      </c>
      <c r="H23" s="60" t="n">
        <v>32</v>
      </c>
      <c r="I23" s="60" t="n">
        <v>37</v>
      </c>
      <c r="J23" s="60" t="n">
        <v>40</v>
      </c>
      <c r="K23" s="60" t="n"/>
      <c r="L23" s="60" t="n">
        <v>48</v>
      </c>
      <c r="M23" s="60" t="n"/>
      <c r="N23" s="60" t="n"/>
      <c r="O23" s="60" t="n"/>
    </row>
    <row r="24">
      <c r="A24" s="61" t="n">
        <v>24</v>
      </c>
      <c r="B24" s="60" t="n">
        <v>5</v>
      </c>
      <c r="C24" s="60" t="n">
        <v>9</v>
      </c>
      <c r="D24" s="60" t="n">
        <v>12</v>
      </c>
      <c r="E24" s="60" t="n">
        <v>16</v>
      </c>
      <c r="F24" s="60" t="n">
        <v>20</v>
      </c>
      <c r="G24" s="60" t="n">
        <v>24</v>
      </c>
      <c r="H24" s="60" t="n">
        <v>28</v>
      </c>
      <c r="I24" s="60" t="n">
        <v>30</v>
      </c>
      <c r="J24" s="60" t="n"/>
      <c r="K24" s="60" t="n">
        <v>35</v>
      </c>
      <c r="L24" s="60" t="n"/>
      <c r="M24" s="60" t="n"/>
      <c r="N24" s="60" t="n"/>
      <c r="O24" s="60" t="n"/>
    </row>
    <row r="25">
      <c r="A25" s="61" t="n">
        <v>27</v>
      </c>
      <c r="B25" s="60" t="n">
        <v>4</v>
      </c>
      <c r="C25" s="60" t="n">
        <v>7</v>
      </c>
      <c r="D25" s="60" t="n">
        <v>11</v>
      </c>
      <c r="E25" s="60" t="n">
        <v>14</v>
      </c>
      <c r="F25" s="60" t="n">
        <v>17</v>
      </c>
      <c r="G25" s="60" t="n">
        <v>21</v>
      </c>
      <c r="H25" s="60" t="n">
        <v>24</v>
      </c>
      <c r="I25" s="60" t="n">
        <v>25</v>
      </c>
      <c r="J25" s="60" t="n"/>
      <c r="K25" s="60" t="n">
        <v>30</v>
      </c>
      <c r="L25" s="60" t="n"/>
      <c r="M25" s="60" t="n"/>
      <c r="N25" s="60" t="n"/>
      <c r="O25" s="60" t="n"/>
    </row>
    <row r="26">
      <c r="A26" s="61" t="n">
        <v>30</v>
      </c>
      <c r="B26" s="60" t="n">
        <v>4</v>
      </c>
      <c r="C26" s="60" t="n">
        <v>6</v>
      </c>
      <c r="D26" s="60" t="n">
        <v>9</v>
      </c>
      <c r="E26" s="60" t="n">
        <v>12</v>
      </c>
      <c r="F26" s="60" t="n">
        <v>15</v>
      </c>
      <c r="G26" s="60" t="n">
        <v>18</v>
      </c>
      <c r="H26" s="60" t="n">
        <v>20</v>
      </c>
      <c r="I26" s="60" t="n"/>
      <c r="J26" s="60" t="n"/>
      <c r="K26" s="60" t="n">
        <v>25</v>
      </c>
      <c r="L26" s="60" t="n"/>
      <c r="M26" s="60" t="n"/>
      <c r="N26" s="60" t="n"/>
      <c r="O26" s="60" t="n"/>
    </row>
    <row r="27">
      <c r="A27" s="61" t="n">
        <v>33</v>
      </c>
      <c r="B27" s="60" t="n">
        <v>3</v>
      </c>
      <c r="C27" s="60" t="n">
        <v>6</v>
      </c>
      <c r="D27" s="60" t="n">
        <v>8</v>
      </c>
      <c r="E27" s="60" t="n">
        <v>11</v>
      </c>
      <c r="F27" s="60" t="n">
        <v>14</v>
      </c>
      <c r="G27" s="60" t="n">
        <v>15</v>
      </c>
      <c r="H27" s="60" t="n"/>
      <c r="I27" s="60" t="n"/>
      <c r="J27" s="60" t="n">
        <v>20</v>
      </c>
      <c r="K27" s="60" t="n"/>
      <c r="L27" s="60" t="n"/>
      <c r="M27" s="60" t="n"/>
      <c r="N27" s="60" t="n"/>
      <c r="O27" s="60" t="n"/>
    </row>
    <row r="28">
      <c r="A28" s="61" t="n">
        <v>36</v>
      </c>
      <c r="B28" s="60" t="n">
        <v>3</v>
      </c>
      <c r="C28" s="60" t="n">
        <v>5</v>
      </c>
      <c r="D28" s="60" t="n">
        <v>7</v>
      </c>
      <c r="E28" s="60" t="n">
        <v>10</v>
      </c>
      <c r="F28" s="60" t="n">
        <v>12</v>
      </c>
      <c r="G28" s="60" t="n"/>
      <c r="H28" s="60" t="n"/>
      <c r="I28" s="60" t="n">
        <v>15</v>
      </c>
      <c r="J28" s="60" t="n"/>
      <c r="K28" s="60" t="n"/>
      <c r="L28" s="60" t="n"/>
      <c r="M28" s="60" t="n"/>
      <c r="N28" s="60" t="n"/>
      <c r="O28" s="60" t="n"/>
    </row>
    <row r="29">
      <c r="A29" s="61" t="n">
        <v>40</v>
      </c>
      <c r="B29" s="60" t="n">
        <v>2</v>
      </c>
      <c r="C29" s="60" t="n">
        <v>4</v>
      </c>
      <c r="D29" s="60" t="n">
        <v>6</v>
      </c>
      <c r="E29" s="60" t="n">
        <v>8</v>
      </c>
      <c r="F29" s="60" t="n"/>
      <c r="G29" s="60" t="n"/>
      <c r="H29" s="60" t="n">
        <v>10</v>
      </c>
      <c r="I29" s="60" t="n"/>
      <c r="J29" s="60" t="n"/>
      <c r="K29" s="60" t="n"/>
      <c r="L29" s="60" t="n"/>
      <c r="M29" s="60" t="n"/>
      <c r="N29" s="60" t="n"/>
      <c r="O29" s="60" t="n"/>
    </row>
    <row r="32">
      <c r="A32" s="56" t="inlineStr">
        <is>
          <t>表1 減圧停止（分）</t>
        </is>
      </c>
      <c r="D32" s="20" t="inlineStr">
        <is>
          <t>上の表で減圧が必要な欄に、5mでの停止時間を入れます。</t>
        </is>
      </c>
    </row>
    <row r="33">
      <c r="A33" s="57" t="inlineStr">
        <is>
          <t>水深(m)</t>
        </is>
      </c>
      <c r="B33" s="58" t="inlineStr">
        <is>
          <t>A</t>
        </is>
      </c>
      <c r="C33" s="58" t="inlineStr">
        <is>
          <t>B</t>
        </is>
      </c>
      <c r="D33" s="58" t="inlineStr">
        <is>
          <t>C</t>
        </is>
      </c>
      <c r="E33" s="58" t="inlineStr">
        <is>
          <t>D</t>
        </is>
      </c>
      <c r="F33" s="58" t="inlineStr">
        <is>
          <t>E</t>
        </is>
      </c>
      <c r="G33" s="58" t="inlineStr">
        <is>
          <t>F</t>
        </is>
      </c>
      <c r="H33" s="58" t="inlineStr">
        <is>
          <t>G</t>
        </is>
      </c>
      <c r="I33" s="58" t="inlineStr">
        <is>
          <t>H</t>
        </is>
      </c>
      <c r="J33" s="58" t="inlineStr">
        <is>
          <t>I</t>
        </is>
      </c>
      <c r="K33" s="58" t="inlineStr">
        <is>
          <t>J</t>
        </is>
      </c>
      <c r="L33" s="58" t="inlineStr">
        <is>
          <t>K</t>
        </is>
      </c>
      <c r="M33" s="58" t="inlineStr">
        <is>
          <t>L</t>
        </is>
      </c>
      <c r="N33" s="58" t="inlineStr">
        <is>
          <t>M</t>
        </is>
      </c>
      <c r="O33" s="58" t="inlineStr">
        <is>
          <t>N</t>
        </is>
      </c>
    </row>
    <row r="34">
      <c r="A34" s="61" t="n">
        <v>6</v>
      </c>
      <c r="B34" s="60" t="n"/>
      <c r="C34" s="60" t="n"/>
      <c r="D34" s="60" t="n"/>
      <c r="E34" s="60" t="n"/>
      <c r="F34" s="60" t="n"/>
      <c r="G34" s="60" t="n"/>
      <c r="H34" s="60" t="n"/>
      <c r="I34" s="60" t="n"/>
      <c r="J34" s="60" t="n"/>
      <c r="K34" s="60" t="n"/>
      <c r="L34" s="60" t="n"/>
      <c r="M34" s="60" t="n"/>
      <c r="N34" s="60" t="n"/>
      <c r="O34" s="60" t="n"/>
    </row>
    <row r="35">
      <c r="A35" s="61" t="n">
        <v>9</v>
      </c>
      <c r="B35" s="60" t="n"/>
      <c r="C35" s="60" t="n"/>
      <c r="D35" s="60" t="n"/>
      <c r="E35" s="60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60" t="n"/>
      <c r="O35" s="60" t="n">
        <v>5</v>
      </c>
    </row>
    <row r="36">
      <c r="A36" s="61" t="n">
        <v>12</v>
      </c>
      <c r="B36" s="60" t="n"/>
      <c r="C36" s="60" t="n"/>
      <c r="D36" s="60" t="n"/>
      <c r="E36" s="60" t="n"/>
      <c r="F36" s="60" t="n"/>
      <c r="G36" s="60" t="n"/>
      <c r="H36" s="60" t="n"/>
      <c r="I36" s="60" t="n"/>
      <c r="J36" s="60" t="n"/>
      <c r="K36" s="60" t="n"/>
      <c r="L36" s="60" t="n"/>
      <c r="M36" s="60" t="n"/>
      <c r="N36" s="60" t="n"/>
      <c r="O36" s="60" t="n">
        <v>6</v>
      </c>
    </row>
    <row r="37">
      <c r="A37" s="61" t="n">
        <v>15</v>
      </c>
      <c r="B37" s="60" t="n"/>
      <c r="C37" s="60" t="n"/>
      <c r="D37" s="60" t="n"/>
      <c r="E37" s="60" t="n"/>
      <c r="F37" s="60" t="n"/>
      <c r="G37" s="60" t="n"/>
      <c r="H37" s="60" t="n"/>
      <c r="I37" s="60" t="n"/>
      <c r="J37" s="60" t="n"/>
      <c r="K37" s="60" t="n"/>
      <c r="L37" s="60" t="n"/>
      <c r="M37" s="60" t="n"/>
      <c r="N37" s="60" t="n">
        <v>2</v>
      </c>
      <c r="O37" s="60" t="n"/>
    </row>
    <row r="38">
      <c r="A38" s="61" t="n">
        <v>18</v>
      </c>
      <c r="B38" s="60" t="n"/>
      <c r="C38" s="60" t="n"/>
      <c r="D38" s="60" t="n"/>
      <c r="E38" s="60" t="n"/>
      <c r="F38" s="60" t="n"/>
      <c r="G38" s="60" t="n"/>
      <c r="H38" s="60" t="n"/>
      <c r="I38" s="60" t="n"/>
      <c r="J38" s="60" t="n"/>
      <c r="K38" s="60" t="n"/>
      <c r="L38" s="60" t="n"/>
      <c r="M38" s="60" t="n">
        <v>2</v>
      </c>
      <c r="N38" s="60" t="n"/>
      <c r="O38" s="60" t="n"/>
    </row>
    <row r="39">
      <c r="A39" s="61" t="n">
        <v>21</v>
      </c>
      <c r="B39" s="60" t="n"/>
      <c r="C39" s="60" t="n"/>
      <c r="D39" s="60" t="n"/>
      <c r="E39" s="60" t="n"/>
      <c r="F39" s="60" t="n"/>
      <c r="G39" s="60" t="n"/>
      <c r="H39" s="60" t="n"/>
      <c r="I39" s="60" t="n"/>
      <c r="J39" s="60" t="n"/>
      <c r="K39" s="60" t="n"/>
      <c r="L39" s="60" t="n">
        <v>2</v>
      </c>
      <c r="M39" s="60" t="n"/>
      <c r="N39" s="60" t="n"/>
      <c r="O39" s="60" t="n"/>
    </row>
    <row r="40">
      <c r="A40" s="61" t="n">
        <v>24</v>
      </c>
      <c r="B40" s="60" t="n"/>
      <c r="C40" s="60" t="n"/>
      <c r="D40" s="60" t="n"/>
      <c r="E40" s="60" t="n"/>
      <c r="F40" s="60" t="n"/>
      <c r="G40" s="60" t="n"/>
      <c r="H40" s="60" t="n"/>
      <c r="I40" s="60" t="n"/>
      <c r="J40" s="60" t="n"/>
      <c r="K40" s="60" t="n">
        <v>1</v>
      </c>
      <c r="L40" s="60" t="n"/>
      <c r="M40" s="60" t="n"/>
      <c r="N40" s="60" t="n"/>
      <c r="O40" s="60" t="n"/>
    </row>
    <row r="41">
      <c r="A41" s="61" t="n">
        <v>27</v>
      </c>
      <c r="B41" s="60" t="n"/>
      <c r="C41" s="60" t="n"/>
      <c r="D41" s="60" t="n"/>
      <c r="E41" s="60" t="n"/>
      <c r="F41" s="60" t="n"/>
      <c r="G41" s="60" t="n"/>
      <c r="H41" s="60" t="n"/>
      <c r="I41" s="60" t="n"/>
      <c r="J41" s="60" t="n"/>
      <c r="K41" s="60" t="n">
        <v>5</v>
      </c>
      <c r="L41" s="60" t="n"/>
      <c r="M41" s="60" t="n"/>
      <c r="N41" s="60" t="n"/>
      <c r="O41" s="60" t="n"/>
    </row>
    <row r="42">
      <c r="A42" s="61" t="n">
        <v>30</v>
      </c>
      <c r="B42" s="60" t="n"/>
      <c r="C42" s="60" t="n"/>
      <c r="D42" s="60" t="n"/>
      <c r="E42" s="60" t="n"/>
      <c r="F42" s="60" t="n"/>
      <c r="G42" s="60" t="n"/>
      <c r="H42" s="60" t="n"/>
      <c r="I42" s="60" t="n"/>
      <c r="J42" s="60" t="n"/>
      <c r="K42" s="60" t="n">
        <v>5</v>
      </c>
      <c r="L42" s="60" t="n"/>
      <c r="M42" s="60" t="n"/>
      <c r="N42" s="60" t="n"/>
      <c r="O42" s="60" t="n"/>
    </row>
    <row r="43">
      <c r="A43" s="61" t="n">
        <v>33</v>
      </c>
      <c r="B43" s="60" t="n"/>
      <c r="C43" s="60" t="n"/>
      <c r="D43" s="60" t="n"/>
      <c r="E43" s="60" t="n"/>
      <c r="F43" s="60" t="n"/>
      <c r="G43" s="60" t="n"/>
      <c r="H43" s="60" t="n"/>
      <c r="I43" s="60" t="n"/>
      <c r="J43" s="60" t="n">
        <v>5</v>
      </c>
      <c r="K43" s="60" t="n"/>
      <c r="L43" s="60" t="n"/>
      <c r="M43" s="60" t="n"/>
      <c r="N43" s="60" t="n"/>
      <c r="O43" s="60" t="n"/>
    </row>
    <row r="44">
      <c r="A44" s="61" t="n">
        <v>36</v>
      </c>
      <c r="B44" s="60" t="n"/>
      <c r="C44" s="60" t="n"/>
      <c r="D44" s="60" t="n"/>
      <c r="E44" s="60" t="n"/>
      <c r="F44" s="60" t="n"/>
      <c r="G44" s="60" t="n"/>
      <c r="H44" s="60" t="n"/>
      <c r="I44" s="60" t="n">
        <v>5</v>
      </c>
      <c r="J44" s="60" t="n"/>
      <c r="K44" s="60" t="n"/>
      <c r="L44" s="60" t="n"/>
      <c r="M44" s="60" t="n"/>
      <c r="N44" s="60" t="n"/>
      <c r="O44" s="60" t="n"/>
    </row>
    <row r="45">
      <c r="A45" s="61" t="n">
        <v>40</v>
      </c>
      <c r="B45" s="60" t="n"/>
      <c r="C45" s="60" t="n"/>
      <c r="D45" s="60" t="n"/>
      <c r="E45" s="60" t="n"/>
      <c r="F45" s="60" t="n"/>
      <c r="G45" s="60" t="n"/>
      <c r="H45" s="60" t="n">
        <v>5</v>
      </c>
      <c r="I45" s="60" t="n"/>
      <c r="J45" s="60" t="n"/>
      <c r="K45" s="60" t="n"/>
      <c r="L45" s="60" t="n"/>
      <c r="M45" s="60" t="n"/>
      <c r="N45" s="60" t="n"/>
      <c r="O45" s="60" t="n"/>
    </row>
    <row r="48">
      <c r="A48" s="56" t="inlineStr">
        <is>
          <t>表3 残留窒素時間（RNT・分）</t>
        </is>
      </c>
      <c r="D48" s="20" t="inlineStr"/>
    </row>
    <row r="49">
      <c r="A49" s="57" t="inlineStr">
        <is>
          <t>グループ</t>
        </is>
      </c>
      <c r="B49" s="58" t="inlineStr">
        <is>
          <t>6m</t>
        </is>
      </c>
      <c r="C49" s="58" t="inlineStr">
        <is>
          <t>9m</t>
        </is>
      </c>
      <c r="D49" s="58" t="inlineStr">
        <is>
          <t>12m</t>
        </is>
      </c>
      <c r="E49" s="58" t="inlineStr">
        <is>
          <t>15m</t>
        </is>
      </c>
      <c r="F49" s="58" t="inlineStr">
        <is>
          <t>18m</t>
        </is>
      </c>
      <c r="G49" s="58" t="inlineStr">
        <is>
          <t>21m</t>
        </is>
      </c>
      <c r="H49" s="58" t="inlineStr">
        <is>
          <t>24m</t>
        </is>
      </c>
      <c r="I49" s="58" t="inlineStr">
        <is>
          <t>27m</t>
        </is>
      </c>
      <c r="J49" s="58" t="inlineStr">
        <is>
          <t>30m</t>
        </is>
      </c>
      <c r="K49" s="58" t="inlineStr">
        <is>
          <t>33m</t>
        </is>
      </c>
      <c r="L49" s="58" t="inlineStr">
        <is>
          <t>36m</t>
        </is>
      </c>
      <c r="M49" s="58" t="inlineStr">
        <is>
          <t>40m</t>
        </is>
      </c>
    </row>
    <row r="50">
      <c r="A50" s="61" t="inlineStr">
        <is>
          <t>A</t>
        </is>
      </c>
      <c r="B50" s="60" t="n">
        <v>27</v>
      </c>
      <c r="C50" s="60" t="n">
        <v>18</v>
      </c>
      <c r="D50" s="60" t="n">
        <v>13</v>
      </c>
      <c r="E50" s="60" t="n">
        <v>11</v>
      </c>
      <c r="F50" s="60" t="n">
        <v>9</v>
      </c>
      <c r="G50" s="60" t="n">
        <v>8</v>
      </c>
      <c r="H50" s="60" t="n">
        <v>7</v>
      </c>
      <c r="I50" s="60" t="n">
        <v>6</v>
      </c>
      <c r="J50" s="60" t="n">
        <v>5</v>
      </c>
      <c r="K50" s="60" t="n">
        <v>5</v>
      </c>
      <c r="L50" s="60" t="n">
        <v>5</v>
      </c>
      <c r="M50" s="60" t="n">
        <v>4</v>
      </c>
    </row>
    <row r="51">
      <c r="A51" s="61" t="inlineStr">
        <is>
          <t>B</t>
        </is>
      </c>
      <c r="B51" s="60" t="n">
        <v>44</v>
      </c>
      <c r="C51" s="60" t="n">
        <v>28</v>
      </c>
      <c r="D51" s="60" t="n">
        <v>21</v>
      </c>
      <c r="E51" s="60" t="n">
        <v>17</v>
      </c>
      <c r="F51" s="60" t="n">
        <v>14</v>
      </c>
      <c r="G51" s="60" t="n">
        <v>12</v>
      </c>
      <c r="H51" s="60" t="n">
        <v>10</v>
      </c>
      <c r="I51" s="60" t="n">
        <v>9</v>
      </c>
      <c r="J51" s="60" t="n">
        <v>8</v>
      </c>
      <c r="K51" s="60" t="n">
        <v>8</v>
      </c>
      <c r="L51" s="60" t="n">
        <v>7</v>
      </c>
      <c r="M51" s="60" t="n">
        <v>6</v>
      </c>
    </row>
    <row r="52">
      <c r="A52" s="61" t="inlineStr">
        <is>
          <t>C</t>
        </is>
      </c>
      <c r="B52" s="60" t="n">
        <v>62</v>
      </c>
      <c r="C52" s="60" t="n">
        <v>39</v>
      </c>
      <c r="D52" s="60" t="n">
        <v>29</v>
      </c>
      <c r="E52" s="60" t="n">
        <v>23</v>
      </c>
      <c r="F52" s="60" t="n">
        <v>19</v>
      </c>
      <c r="G52" s="60" t="n">
        <v>16</v>
      </c>
      <c r="H52" s="60" t="n">
        <v>14</v>
      </c>
      <c r="I52" s="60" t="n">
        <v>12</v>
      </c>
      <c r="J52" s="60" t="n">
        <v>11</v>
      </c>
      <c r="K52" s="60" t="n">
        <v>10</v>
      </c>
      <c r="L52" s="60" t="n">
        <v>9</v>
      </c>
      <c r="M52" s="60" t="n">
        <v>8</v>
      </c>
    </row>
    <row r="53">
      <c r="A53" s="61" t="inlineStr">
        <is>
          <t>D</t>
        </is>
      </c>
      <c r="B53" s="60" t="n">
        <v>83</v>
      </c>
      <c r="C53" s="60" t="n">
        <v>51</v>
      </c>
      <c r="D53" s="60" t="n">
        <v>37</v>
      </c>
      <c r="E53" s="60" t="n">
        <v>29</v>
      </c>
      <c r="F53" s="60" t="n">
        <v>24</v>
      </c>
      <c r="G53" s="60" t="n">
        <v>20</v>
      </c>
      <c r="H53" s="60" t="n">
        <v>18</v>
      </c>
      <c r="I53" s="60" t="n">
        <v>16</v>
      </c>
      <c r="J53" s="60" t="n">
        <v>14</v>
      </c>
      <c r="K53" s="60" t="n">
        <v>13</v>
      </c>
      <c r="L53" s="60" t="n">
        <v>12</v>
      </c>
      <c r="M53" s="60" t="n"/>
    </row>
    <row r="54">
      <c r="A54" s="61" t="inlineStr">
        <is>
          <t>E</t>
        </is>
      </c>
      <c r="B54" s="60" t="n">
        <v>106</v>
      </c>
      <c r="C54" s="60" t="n">
        <v>63</v>
      </c>
      <c r="D54" s="60" t="n">
        <v>45</v>
      </c>
      <c r="E54" s="60" t="n">
        <v>35</v>
      </c>
      <c r="F54" s="60" t="n">
        <v>29</v>
      </c>
      <c r="G54" s="60" t="n">
        <v>25</v>
      </c>
      <c r="H54" s="60" t="n">
        <v>22</v>
      </c>
      <c r="I54" s="60" t="n">
        <v>19</v>
      </c>
      <c r="J54" s="60" t="n">
        <v>17</v>
      </c>
      <c r="K54" s="60" t="n">
        <v>15</v>
      </c>
      <c r="L54" s="60" t="n"/>
      <c r="M54" s="60" t="n"/>
    </row>
    <row r="55">
      <c r="A55" s="61" t="inlineStr">
        <is>
          <t>F</t>
        </is>
      </c>
      <c r="B55" s="60" t="n">
        <v>134</v>
      </c>
      <c r="C55" s="60" t="n">
        <v>77</v>
      </c>
      <c r="D55" s="60" t="n">
        <v>55</v>
      </c>
      <c r="E55" s="60" t="n">
        <v>42</v>
      </c>
      <c r="F55" s="60" t="n">
        <v>35</v>
      </c>
      <c r="G55" s="60" t="n">
        <v>29</v>
      </c>
      <c r="H55" s="60" t="n">
        <v>25</v>
      </c>
      <c r="I55" s="60" t="n">
        <v>22</v>
      </c>
      <c r="J55" s="60" t="n">
        <v>20</v>
      </c>
      <c r="K55" s="60" t="n"/>
      <c r="L55" s="60" t="n"/>
      <c r="M55" s="60" t="n"/>
    </row>
    <row r="56">
      <c r="A56" s="61" t="inlineStr">
        <is>
          <t>G</t>
        </is>
      </c>
      <c r="B56" s="60" t="n">
        <v>166</v>
      </c>
      <c r="C56" s="60" t="n">
        <v>92</v>
      </c>
      <c r="D56" s="60" t="n">
        <v>64</v>
      </c>
      <c r="E56" s="60" t="n">
        <v>49</v>
      </c>
      <c r="F56" s="60" t="n">
        <v>40</v>
      </c>
      <c r="G56" s="60" t="n">
        <v>34</v>
      </c>
      <c r="H56" s="60" t="n">
        <v>29</v>
      </c>
      <c r="I56" s="60" t="n">
        <v>25</v>
      </c>
      <c r="J56" s="60" t="n"/>
      <c r="K56" s="60" t="n"/>
      <c r="L56" s="60" t="n"/>
      <c r="M56" s="60" t="n"/>
    </row>
    <row r="57">
      <c r="A57" s="61" t="inlineStr">
        <is>
          <t>H</t>
        </is>
      </c>
      <c r="B57" s="60" t="n">
        <v>206</v>
      </c>
      <c r="C57" s="60" t="n">
        <v>108</v>
      </c>
      <c r="D57" s="60" t="n">
        <v>74</v>
      </c>
      <c r="E57" s="60" t="n">
        <v>57</v>
      </c>
      <c r="F57" s="60" t="n">
        <v>46</v>
      </c>
      <c r="G57" s="60" t="n">
        <v>39</v>
      </c>
      <c r="H57" s="60" t="n">
        <v>30</v>
      </c>
      <c r="I57" s="60" t="n"/>
      <c r="J57" s="60" t="n"/>
      <c r="K57" s="60" t="n"/>
      <c r="L57" s="60" t="n"/>
      <c r="M57" s="60" t="n"/>
    </row>
    <row r="58">
      <c r="A58" s="61" t="inlineStr">
        <is>
          <t>I</t>
        </is>
      </c>
      <c r="B58" s="60" t="n">
        <v>257</v>
      </c>
      <c r="C58" s="60" t="n">
        <v>126</v>
      </c>
      <c r="D58" s="60" t="n">
        <v>85</v>
      </c>
      <c r="E58" s="60" t="n">
        <v>65</v>
      </c>
      <c r="F58" s="60" t="n">
        <v>50</v>
      </c>
      <c r="G58" s="60" t="n">
        <v>40</v>
      </c>
      <c r="H58" s="60" t="n"/>
      <c r="I58" s="60" t="n"/>
      <c r="J58" s="60" t="n"/>
      <c r="K58" s="60" t="n"/>
      <c r="L58" s="60" t="n"/>
      <c r="M58" s="60" t="n"/>
    </row>
    <row r="59">
      <c r="A59" s="61" t="inlineStr">
        <is>
          <t>J</t>
        </is>
      </c>
      <c r="B59" s="60" t="n">
        <v>331</v>
      </c>
      <c r="C59" s="60" t="n">
        <v>146</v>
      </c>
      <c r="D59" s="60" t="n">
        <v>97</v>
      </c>
      <c r="E59" s="60" t="n">
        <v>73</v>
      </c>
      <c r="F59" s="60" t="n"/>
      <c r="G59" s="60" t="n"/>
      <c r="H59" s="60" t="n"/>
      <c r="I59" s="60" t="n"/>
      <c r="J59" s="60" t="n"/>
      <c r="K59" s="60" t="n"/>
      <c r="L59" s="60" t="n"/>
      <c r="M59" s="60" t="n"/>
    </row>
    <row r="60">
      <c r="A60" s="61" t="inlineStr">
        <is>
          <t>K</t>
        </is>
      </c>
      <c r="B60" s="60" t="n">
        <v>461</v>
      </c>
      <c r="C60" s="60" t="n">
        <v>168</v>
      </c>
      <c r="D60" s="60" t="n">
        <v>109</v>
      </c>
      <c r="E60" s="60" t="n">
        <v>75</v>
      </c>
      <c r="F60" s="60" t="n"/>
      <c r="G60" s="60" t="n"/>
      <c r="H60" s="60" t="n"/>
      <c r="I60" s="60" t="n"/>
      <c r="J60" s="60" t="n"/>
      <c r="K60" s="60" t="n"/>
      <c r="L60" s="60" t="n"/>
      <c r="M60" s="60" t="n"/>
    </row>
    <row r="61">
      <c r="A61" s="61" t="inlineStr">
        <is>
          <t>L</t>
        </is>
      </c>
      <c r="B61" s="60" t="n"/>
      <c r="C61" s="60" t="n">
        <v>194</v>
      </c>
      <c r="D61" s="60" t="n">
        <v>122</v>
      </c>
      <c r="E61" s="60" t="n"/>
      <c r="F61" s="60" t="n"/>
      <c r="G61" s="60" t="n"/>
      <c r="H61" s="60" t="n"/>
      <c r="I61" s="60" t="n"/>
      <c r="J61" s="60" t="n"/>
      <c r="K61" s="60" t="n"/>
      <c r="L61" s="60" t="n"/>
      <c r="M61" s="60" t="n"/>
    </row>
    <row r="62">
      <c r="A62" s="61" t="inlineStr">
        <is>
          <t>M</t>
        </is>
      </c>
      <c r="B62" s="60" t="n"/>
      <c r="C62" s="60" t="n">
        <v>223</v>
      </c>
      <c r="D62" s="60" t="n">
        <v>130</v>
      </c>
      <c r="E62" s="60" t="n"/>
      <c r="F62" s="60" t="n"/>
      <c r="G62" s="60" t="n"/>
      <c r="H62" s="60" t="n"/>
      <c r="I62" s="60" t="n"/>
      <c r="J62" s="60" t="n"/>
      <c r="K62" s="60" t="n"/>
      <c r="L62" s="60" t="n"/>
      <c r="M62" s="60" t="n"/>
    </row>
    <row r="63">
      <c r="A63" s="61" t="inlineStr">
        <is>
          <t>N</t>
        </is>
      </c>
      <c r="B63" s="60" t="n"/>
      <c r="C63" s="60" t="n"/>
      <c r="D63" s="60" t="n"/>
      <c r="E63" s="60" t="n"/>
      <c r="F63" s="60" t="n"/>
      <c r="G63" s="60" t="n"/>
      <c r="H63" s="60" t="n"/>
      <c r="I63" s="60" t="n"/>
      <c r="J63" s="60" t="n"/>
      <c r="K63" s="60" t="n"/>
      <c r="L63" s="60" t="n"/>
      <c r="M63" s="60" t="n"/>
    </row>
    <row r="66">
      <c r="A66" s="56" t="inlineStr">
        <is>
          <t>表3 修正最大潜水時間（AMDT・分）</t>
        </is>
      </c>
      <c r="D66" s="20" t="inlineStr">
        <is>
          <t>空欄は「表に記載なし」（潜らない扱い）。</t>
        </is>
      </c>
    </row>
    <row r="67">
      <c r="A67" s="57" t="inlineStr">
        <is>
          <t>グループ</t>
        </is>
      </c>
      <c r="B67" s="58" t="inlineStr">
        <is>
          <t>6m</t>
        </is>
      </c>
      <c r="C67" s="58" t="inlineStr">
        <is>
          <t>9m</t>
        </is>
      </c>
      <c r="D67" s="58" t="inlineStr">
        <is>
          <t>12m</t>
        </is>
      </c>
      <c r="E67" s="58" t="inlineStr">
        <is>
          <t>15m</t>
        </is>
      </c>
      <c r="F67" s="58" t="inlineStr">
        <is>
          <t>18m</t>
        </is>
      </c>
      <c r="G67" s="58" t="inlineStr">
        <is>
          <t>21m</t>
        </is>
      </c>
      <c r="H67" s="58" t="inlineStr">
        <is>
          <t>24m</t>
        </is>
      </c>
      <c r="I67" s="58" t="inlineStr">
        <is>
          <t>27m</t>
        </is>
      </c>
      <c r="J67" s="58" t="inlineStr">
        <is>
          <t>30m</t>
        </is>
      </c>
      <c r="K67" s="58" t="inlineStr">
        <is>
          <t>33m</t>
        </is>
      </c>
      <c r="L67" s="58" t="inlineStr">
        <is>
          <t>36m</t>
        </is>
      </c>
      <c r="M67" s="58" t="inlineStr">
        <is>
          <t>40m</t>
        </is>
      </c>
    </row>
    <row r="68">
      <c r="A68" s="61" t="inlineStr">
        <is>
          <t>A</t>
        </is>
      </c>
      <c r="B68" s="60" t="n">
        <v>434</v>
      </c>
      <c r="C68" s="60" t="n">
        <v>205</v>
      </c>
      <c r="D68" s="60" t="n">
        <v>117</v>
      </c>
      <c r="E68" s="60" t="n">
        <v>64</v>
      </c>
      <c r="F68" s="60" t="n">
        <v>41</v>
      </c>
      <c r="G68" s="60" t="n">
        <v>32</v>
      </c>
      <c r="H68" s="60" t="n">
        <v>23</v>
      </c>
      <c r="I68" s="60" t="n">
        <v>19</v>
      </c>
      <c r="J68" s="60" t="n">
        <v>15</v>
      </c>
      <c r="K68" s="60" t="n">
        <v>10</v>
      </c>
      <c r="L68" s="60" t="n">
        <v>7</v>
      </c>
      <c r="M68" s="60" t="n">
        <v>4</v>
      </c>
    </row>
    <row r="69">
      <c r="A69" s="61" t="inlineStr">
        <is>
          <t>B</t>
        </is>
      </c>
      <c r="B69" s="60" t="n">
        <v>417</v>
      </c>
      <c r="C69" s="60" t="n">
        <v>195</v>
      </c>
      <c r="D69" s="60" t="n">
        <v>109</v>
      </c>
      <c r="E69" s="60" t="n">
        <v>58</v>
      </c>
      <c r="F69" s="60" t="n">
        <v>36</v>
      </c>
      <c r="G69" s="60" t="n">
        <v>28</v>
      </c>
      <c r="H69" s="60" t="n">
        <v>20</v>
      </c>
      <c r="I69" s="60" t="n">
        <v>16</v>
      </c>
      <c r="J69" s="60" t="n">
        <v>12</v>
      </c>
      <c r="K69" s="60" t="n">
        <v>7</v>
      </c>
      <c r="L69" s="60" t="n">
        <v>5</v>
      </c>
      <c r="M69" s="60" t="n">
        <v>2</v>
      </c>
    </row>
    <row r="70">
      <c r="A70" s="61" t="inlineStr">
        <is>
          <t>C</t>
        </is>
      </c>
      <c r="B70" s="60" t="n">
        <v>399</v>
      </c>
      <c r="C70" s="60" t="n">
        <v>184</v>
      </c>
      <c r="D70" s="60" t="n">
        <v>101</v>
      </c>
      <c r="E70" s="60" t="n">
        <v>52</v>
      </c>
      <c r="F70" s="60" t="n">
        <v>31</v>
      </c>
      <c r="G70" s="60" t="n">
        <v>24</v>
      </c>
      <c r="H70" s="60" t="n">
        <v>16</v>
      </c>
      <c r="I70" s="60" t="n">
        <v>13</v>
      </c>
      <c r="J70" s="60" t="n">
        <v>9</v>
      </c>
      <c r="K70" s="60" t="n">
        <v>5</v>
      </c>
      <c r="L70" s="60" t="n">
        <v>3</v>
      </c>
      <c r="M70" s="60" t="n">
        <v>0</v>
      </c>
    </row>
    <row r="71">
      <c r="A71" s="61" t="inlineStr">
        <is>
          <t>D</t>
        </is>
      </c>
      <c r="B71" s="60" t="n">
        <v>378</v>
      </c>
      <c r="C71" s="60" t="n">
        <v>172</v>
      </c>
      <c r="D71" s="60" t="n">
        <v>93</v>
      </c>
      <c r="E71" s="60" t="n">
        <v>46</v>
      </c>
      <c r="F71" s="60" t="n">
        <v>26</v>
      </c>
      <c r="G71" s="60" t="n">
        <v>20</v>
      </c>
      <c r="H71" s="60" t="n">
        <v>12</v>
      </c>
      <c r="I71" s="60" t="n">
        <v>9</v>
      </c>
      <c r="J71" s="60" t="n">
        <v>6</v>
      </c>
      <c r="K71" s="60" t="n">
        <v>2</v>
      </c>
      <c r="L71" s="60" t="n">
        <v>0</v>
      </c>
      <c r="M71" s="60" t="n"/>
    </row>
    <row r="72">
      <c r="A72" s="61" t="inlineStr">
        <is>
          <t>E</t>
        </is>
      </c>
      <c r="B72" s="60" t="n">
        <v>355</v>
      </c>
      <c r="C72" s="60" t="n">
        <v>160</v>
      </c>
      <c r="D72" s="60" t="n">
        <v>85</v>
      </c>
      <c r="E72" s="60" t="n">
        <v>40</v>
      </c>
      <c r="F72" s="60" t="n">
        <v>21</v>
      </c>
      <c r="G72" s="60" t="n">
        <v>15</v>
      </c>
      <c r="H72" s="60" t="n">
        <v>8</v>
      </c>
      <c r="I72" s="60" t="n">
        <v>6</v>
      </c>
      <c r="J72" s="60" t="n">
        <v>3</v>
      </c>
      <c r="K72" s="60" t="n">
        <v>0</v>
      </c>
      <c r="L72" s="60" t="n"/>
      <c r="M72" s="60" t="n"/>
    </row>
    <row r="73">
      <c r="A73" s="61" t="inlineStr">
        <is>
          <t>F</t>
        </is>
      </c>
      <c r="B73" s="60" t="n">
        <v>327</v>
      </c>
      <c r="C73" s="60" t="n">
        <v>146</v>
      </c>
      <c r="D73" s="60" t="n">
        <v>75</v>
      </c>
      <c r="E73" s="60" t="n">
        <v>33</v>
      </c>
      <c r="F73" s="60" t="n">
        <v>15</v>
      </c>
      <c r="G73" s="60" t="n">
        <v>11</v>
      </c>
      <c r="H73" s="60" t="n">
        <v>5</v>
      </c>
      <c r="I73" s="60" t="n">
        <v>3</v>
      </c>
      <c r="J73" s="60" t="n">
        <v>0</v>
      </c>
      <c r="K73" s="60" t="n"/>
      <c r="L73" s="60" t="n"/>
      <c r="M73" s="60" t="n"/>
    </row>
    <row r="74">
      <c r="A74" s="61" t="inlineStr">
        <is>
          <t>G</t>
        </is>
      </c>
      <c r="B74" s="60" t="n">
        <v>295</v>
      </c>
      <c r="C74" s="60" t="n">
        <v>131</v>
      </c>
      <c r="D74" s="60" t="n">
        <v>66</v>
      </c>
      <c r="E74" s="60" t="n">
        <v>26</v>
      </c>
      <c r="F74" s="60" t="n">
        <v>10</v>
      </c>
      <c r="G74" s="60" t="n">
        <v>6</v>
      </c>
      <c r="H74" s="60" t="n">
        <v>1</v>
      </c>
      <c r="I74" s="60" t="n">
        <v>0</v>
      </c>
      <c r="J74" s="60" t="n"/>
      <c r="K74" s="60" t="n"/>
      <c r="L74" s="60" t="n"/>
      <c r="M74" s="60" t="n"/>
    </row>
    <row r="75">
      <c r="A75" s="61" t="inlineStr">
        <is>
          <t>H</t>
        </is>
      </c>
      <c r="B75" s="60" t="n">
        <v>255</v>
      </c>
      <c r="C75" s="60" t="n">
        <v>115</v>
      </c>
      <c r="D75" s="60" t="n">
        <v>56</v>
      </c>
      <c r="E75" s="60" t="n">
        <v>18</v>
      </c>
      <c r="F75" s="60" t="n">
        <v>4</v>
      </c>
      <c r="G75" s="60" t="n">
        <v>1</v>
      </c>
      <c r="H75" s="60" t="n">
        <v>0</v>
      </c>
      <c r="I75" s="60" t="n"/>
      <c r="J75" s="60" t="n"/>
      <c r="K75" s="60" t="n"/>
      <c r="L75" s="60" t="n"/>
      <c r="M75" s="60" t="n"/>
    </row>
    <row r="76">
      <c r="A76" s="61" t="inlineStr">
        <is>
          <t>I</t>
        </is>
      </c>
      <c r="B76" s="60" t="n">
        <v>204</v>
      </c>
      <c r="C76" s="60" t="n">
        <v>97</v>
      </c>
      <c r="D76" s="60" t="n">
        <v>45</v>
      </c>
      <c r="E76" s="60" t="n">
        <v>10</v>
      </c>
      <c r="F76" s="60" t="n">
        <v>0</v>
      </c>
      <c r="G76" s="60" t="n">
        <v>0</v>
      </c>
      <c r="H76" s="60" t="n"/>
      <c r="I76" s="60" t="n"/>
      <c r="J76" s="60" t="n"/>
      <c r="K76" s="60" t="n"/>
      <c r="L76" s="60" t="n"/>
      <c r="M76" s="60" t="n"/>
    </row>
    <row r="77">
      <c r="A77" s="61" t="inlineStr">
        <is>
          <t>J</t>
        </is>
      </c>
      <c r="B77" s="60" t="n">
        <v>130</v>
      </c>
      <c r="C77" s="60" t="n">
        <v>77</v>
      </c>
      <c r="D77" s="60" t="n">
        <v>33</v>
      </c>
      <c r="E77" s="60" t="n">
        <v>2</v>
      </c>
      <c r="F77" s="60" t="n"/>
      <c r="G77" s="60" t="n"/>
      <c r="H77" s="60" t="n"/>
      <c r="I77" s="60" t="n"/>
      <c r="J77" s="60" t="n"/>
      <c r="K77" s="60" t="n"/>
      <c r="L77" s="60" t="n"/>
      <c r="M77" s="60" t="n"/>
    </row>
    <row r="78">
      <c r="A78" s="61" t="inlineStr">
        <is>
          <t>K</t>
        </is>
      </c>
      <c r="B78" s="60" t="n">
        <v>0</v>
      </c>
      <c r="C78" s="60" t="n">
        <v>55</v>
      </c>
      <c r="D78" s="60" t="n">
        <v>21</v>
      </c>
      <c r="E78" s="60" t="n">
        <v>0</v>
      </c>
      <c r="F78" s="60" t="n"/>
      <c r="G78" s="60" t="n"/>
      <c r="H78" s="60" t="n"/>
      <c r="I78" s="60" t="n"/>
      <c r="J78" s="60" t="n"/>
      <c r="K78" s="60" t="n"/>
      <c r="L78" s="60" t="n"/>
      <c r="M78" s="60" t="n"/>
    </row>
    <row r="79">
      <c r="A79" s="61" t="inlineStr">
        <is>
          <t>L</t>
        </is>
      </c>
      <c r="B79" s="60" t="n"/>
      <c r="C79" s="60" t="n">
        <v>29</v>
      </c>
      <c r="D79" s="60" t="n">
        <v>8</v>
      </c>
      <c r="E79" s="60" t="n"/>
      <c r="F79" s="60" t="n"/>
      <c r="G79" s="60" t="n"/>
      <c r="H79" s="60" t="n"/>
      <c r="I79" s="60" t="n"/>
      <c r="J79" s="60" t="n"/>
      <c r="K79" s="60" t="n"/>
      <c r="L79" s="60" t="n"/>
      <c r="M79" s="60" t="n"/>
    </row>
    <row r="80">
      <c r="A80" s="61" t="inlineStr">
        <is>
          <t>M</t>
        </is>
      </c>
      <c r="B80" s="60" t="n"/>
      <c r="C80" s="60" t="n">
        <v>0</v>
      </c>
      <c r="D80" s="60" t="n">
        <v>0</v>
      </c>
      <c r="E80" s="60" t="n"/>
      <c r="F80" s="60" t="n"/>
      <c r="G80" s="60" t="n"/>
      <c r="H80" s="60" t="n"/>
      <c r="I80" s="60" t="n"/>
      <c r="J80" s="60" t="n"/>
      <c r="K80" s="60" t="n"/>
      <c r="L80" s="60" t="n"/>
      <c r="M80" s="60" t="n"/>
    </row>
    <row r="81">
      <c r="A81" s="61" t="inlineStr">
        <is>
          <t>N</t>
        </is>
      </c>
      <c r="B81" s="60" t="n"/>
      <c r="C81" s="60" t="n"/>
      <c r="D81" s="60" t="n"/>
      <c r="E81" s="60" t="n"/>
      <c r="F81" s="60" t="n"/>
      <c r="G81" s="60" t="n"/>
      <c r="H81" s="60" t="n"/>
      <c r="I81" s="60" t="n"/>
      <c r="J81" s="60" t="n"/>
      <c r="K81" s="60" t="n"/>
      <c r="L81" s="60" t="n"/>
      <c r="M81" s="60" t="n"/>
    </row>
    <row r="84">
      <c r="A84" s="56" t="inlineStr">
        <is>
          <t>表2 水面休息 下限（時:分）</t>
        </is>
      </c>
      <c r="D84" s="20" t="inlineStr">
        <is>
          <t>行＝新しいグループ、列＝潜水終了時のグループ。</t>
        </is>
      </c>
    </row>
    <row r="85">
      <c r="A85" s="57" t="inlineStr">
        <is>
          <t>新グループ</t>
        </is>
      </c>
      <c r="B85" s="58" t="inlineStr">
        <is>
          <t>終了A</t>
        </is>
      </c>
      <c r="C85" s="58" t="inlineStr">
        <is>
          <t>終了B</t>
        </is>
      </c>
      <c r="D85" s="58" t="inlineStr">
        <is>
          <t>終了C</t>
        </is>
      </c>
      <c r="E85" s="58" t="inlineStr">
        <is>
          <t>終了D</t>
        </is>
      </c>
      <c r="F85" s="58" t="inlineStr">
        <is>
          <t>終了E</t>
        </is>
      </c>
      <c r="G85" s="58" t="inlineStr">
        <is>
          <t>終了F</t>
        </is>
      </c>
      <c r="H85" s="58" t="inlineStr">
        <is>
          <t>終了G</t>
        </is>
      </c>
      <c r="I85" s="58" t="inlineStr">
        <is>
          <t>終了H</t>
        </is>
      </c>
      <c r="J85" s="58" t="inlineStr">
        <is>
          <t>終了I</t>
        </is>
      </c>
      <c r="K85" s="58" t="inlineStr">
        <is>
          <t>終了J</t>
        </is>
      </c>
      <c r="L85" s="58" t="inlineStr">
        <is>
          <t>終了K</t>
        </is>
      </c>
      <c r="M85" s="58" t="inlineStr">
        <is>
          <t>終了L</t>
        </is>
      </c>
      <c r="N85" s="58" t="inlineStr">
        <is>
          <t>終了M</t>
        </is>
      </c>
      <c r="O85" s="58" t="inlineStr">
        <is>
          <t>終了N</t>
        </is>
      </c>
    </row>
    <row r="86">
      <c r="A86" s="61" t="inlineStr">
        <is>
          <t>A</t>
        </is>
      </c>
      <c r="B86" s="62" t="inlineStr">
        <is>
          <t>0:10</t>
        </is>
      </c>
      <c r="C86" s="62" t="inlineStr">
        <is>
          <t>1:17</t>
        </is>
      </c>
      <c r="D86" s="62" t="inlineStr">
        <is>
          <t>2:12</t>
        </is>
      </c>
      <c r="E86" s="62" t="inlineStr">
        <is>
          <t>3:04</t>
        </is>
      </c>
      <c r="F86" s="62" t="inlineStr">
        <is>
          <t>3:56</t>
        </is>
      </c>
      <c r="G86" s="62" t="inlineStr">
        <is>
          <t>4:49</t>
        </is>
      </c>
      <c r="H86" s="62" t="inlineStr">
        <is>
          <t>5:41</t>
        </is>
      </c>
      <c r="I86" s="62" t="inlineStr">
        <is>
          <t>6:33</t>
        </is>
      </c>
      <c r="J86" s="62" t="inlineStr">
        <is>
          <t>7:25</t>
        </is>
      </c>
      <c r="K86" s="62" t="inlineStr">
        <is>
          <t>8:17</t>
        </is>
      </c>
      <c r="L86" s="62" t="inlineStr">
        <is>
          <t>9:10</t>
        </is>
      </c>
      <c r="M86" s="62" t="inlineStr">
        <is>
          <t>10:02</t>
        </is>
      </c>
      <c r="N86" s="62" t="inlineStr">
        <is>
          <t>10:54</t>
        </is>
      </c>
      <c r="O86" s="62" t="inlineStr">
        <is>
          <t>11:46</t>
        </is>
      </c>
    </row>
    <row r="87">
      <c r="A87" s="61" t="inlineStr">
        <is>
          <t>B</t>
        </is>
      </c>
      <c r="B87" s="62" t="n"/>
      <c r="C87" s="62" t="inlineStr">
        <is>
          <t>0:10</t>
        </is>
      </c>
      <c r="D87" s="62" t="inlineStr">
        <is>
          <t>0:56</t>
        </is>
      </c>
      <c r="E87" s="62" t="inlineStr">
        <is>
          <t>1:48</t>
        </is>
      </c>
      <c r="F87" s="62" t="inlineStr">
        <is>
          <t>2:40</t>
        </is>
      </c>
      <c r="G87" s="62" t="inlineStr">
        <is>
          <t>3:32</t>
        </is>
      </c>
      <c r="H87" s="62" t="inlineStr">
        <is>
          <t>4:24</t>
        </is>
      </c>
      <c r="I87" s="62" t="inlineStr">
        <is>
          <t>5:17</t>
        </is>
      </c>
      <c r="J87" s="62" t="inlineStr">
        <is>
          <t>6:09</t>
        </is>
      </c>
      <c r="K87" s="62" t="inlineStr">
        <is>
          <t>7:01</t>
        </is>
      </c>
      <c r="L87" s="62" t="inlineStr">
        <is>
          <t>7:53</t>
        </is>
      </c>
      <c r="M87" s="62" t="inlineStr">
        <is>
          <t>8:45</t>
        </is>
      </c>
      <c r="N87" s="62" t="inlineStr">
        <is>
          <t>9:38</t>
        </is>
      </c>
      <c r="O87" s="62" t="inlineStr">
        <is>
          <t>10:30</t>
        </is>
      </c>
    </row>
    <row r="88">
      <c r="A88" s="61" t="inlineStr">
        <is>
          <t>C</t>
        </is>
      </c>
      <c r="B88" s="62" t="n"/>
      <c r="C88" s="62" t="n"/>
      <c r="D88" s="62" t="inlineStr">
        <is>
          <t>0:10</t>
        </is>
      </c>
      <c r="E88" s="62" t="inlineStr">
        <is>
          <t>0:53</t>
        </is>
      </c>
      <c r="F88" s="62" t="inlineStr">
        <is>
          <t>1:45</t>
        </is>
      </c>
      <c r="G88" s="62" t="inlineStr">
        <is>
          <t>2:38</t>
        </is>
      </c>
      <c r="H88" s="62" t="inlineStr">
        <is>
          <t>3:30</t>
        </is>
      </c>
      <c r="I88" s="62" t="inlineStr">
        <is>
          <t>4:22</t>
        </is>
      </c>
      <c r="J88" s="62" t="inlineStr">
        <is>
          <t>5:14</t>
        </is>
      </c>
      <c r="K88" s="62" t="inlineStr">
        <is>
          <t>6:07</t>
        </is>
      </c>
      <c r="L88" s="62" t="inlineStr">
        <is>
          <t>6:59</t>
        </is>
      </c>
      <c r="M88" s="62" t="inlineStr">
        <is>
          <t>7:51</t>
        </is>
      </c>
      <c r="N88" s="62" t="inlineStr">
        <is>
          <t>8:43</t>
        </is>
      </c>
      <c r="O88" s="62" t="inlineStr">
        <is>
          <t>9:35</t>
        </is>
      </c>
    </row>
    <row r="89">
      <c r="A89" s="61" t="inlineStr">
        <is>
          <t>D</t>
        </is>
      </c>
      <c r="B89" s="62" t="n"/>
      <c r="C89" s="62" t="n"/>
      <c r="D89" s="62" t="n"/>
      <c r="E89" s="62" t="inlineStr">
        <is>
          <t>0:10</t>
        </is>
      </c>
      <c r="F89" s="62" t="inlineStr">
        <is>
          <t>0:53</t>
        </is>
      </c>
      <c r="G89" s="62" t="inlineStr">
        <is>
          <t>1:45</t>
        </is>
      </c>
      <c r="H89" s="62" t="inlineStr">
        <is>
          <t>2:38</t>
        </is>
      </c>
      <c r="I89" s="62" t="inlineStr">
        <is>
          <t>3:30</t>
        </is>
      </c>
      <c r="J89" s="62" t="inlineStr">
        <is>
          <t>4:22</t>
        </is>
      </c>
      <c r="K89" s="62" t="inlineStr">
        <is>
          <t>5:14</t>
        </is>
      </c>
      <c r="L89" s="62" t="inlineStr">
        <is>
          <t>6:07</t>
        </is>
      </c>
      <c r="M89" s="62" t="inlineStr">
        <is>
          <t>6:59</t>
        </is>
      </c>
      <c r="N89" s="62" t="inlineStr">
        <is>
          <t>7:51</t>
        </is>
      </c>
      <c r="O89" s="62" t="inlineStr">
        <is>
          <t>8:43</t>
        </is>
      </c>
    </row>
    <row r="90">
      <c r="A90" s="61" t="inlineStr">
        <is>
          <t>E</t>
        </is>
      </c>
      <c r="B90" s="62" t="n"/>
      <c r="C90" s="62" t="n"/>
      <c r="D90" s="62" t="n"/>
      <c r="E90" s="62" t="n"/>
      <c r="F90" s="62" t="inlineStr">
        <is>
          <t>0:10</t>
        </is>
      </c>
      <c r="G90" s="62" t="inlineStr">
        <is>
          <t>0:53</t>
        </is>
      </c>
      <c r="H90" s="62" t="inlineStr">
        <is>
          <t>1:45</t>
        </is>
      </c>
      <c r="I90" s="62" t="inlineStr">
        <is>
          <t>2:38</t>
        </is>
      </c>
      <c r="J90" s="62" t="inlineStr">
        <is>
          <t>3:30</t>
        </is>
      </c>
      <c r="K90" s="62" t="inlineStr">
        <is>
          <t>4:22</t>
        </is>
      </c>
      <c r="L90" s="62" t="inlineStr">
        <is>
          <t>5:14</t>
        </is>
      </c>
      <c r="M90" s="62" t="inlineStr">
        <is>
          <t>6:07</t>
        </is>
      </c>
      <c r="N90" s="62" t="inlineStr">
        <is>
          <t>6:59</t>
        </is>
      </c>
      <c r="O90" s="62" t="inlineStr">
        <is>
          <t>7:51</t>
        </is>
      </c>
    </row>
    <row r="91">
      <c r="A91" s="61" t="inlineStr">
        <is>
          <t>F</t>
        </is>
      </c>
      <c r="B91" s="62" t="n"/>
      <c r="C91" s="62" t="n"/>
      <c r="D91" s="62" t="n"/>
      <c r="E91" s="62" t="n"/>
      <c r="F91" s="62" t="n"/>
      <c r="G91" s="62" t="inlineStr">
        <is>
          <t>0:10</t>
        </is>
      </c>
      <c r="H91" s="62" t="inlineStr">
        <is>
          <t>0:53</t>
        </is>
      </c>
      <c r="I91" s="62" t="inlineStr">
        <is>
          <t>1:45</t>
        </is>
      </c>
      <c r="J91" s="62" t="inlineStr">
        <is>
          <t>2:38</t>
        </is>
      </c>
      <c r="K91" s="62" t="inlineStr">
        <is>
          <t>3:30</t>
        </is>
      </c>
      <c r="L91" s="62" t="inlineStr">
        <is>
          <t>4:22</t>
        </is>
      </c>
      <c r="M91" s="62" t="inlineStr">
        <is>
          <t>5:14</t>
        </is>
      </c>
      <c r="N91" s="62" t="inlineStr">
        <is>
          <t>6:07</t>
        </is>
      </c>
      <c r="O91" s="62" t="inlineStr">
        <is>
          <t>6:59</t>
        </is>
      </c>
    </row>
    <row r="92">
      <c r="A92" s="61" t="inlineStr">
        <is>
          <t>G</t>
        </is>
      </c>
      <c r="B92" s="62" t="n"/>
      <c r="C92" s="62" t="n"/>
      <c r="D92" s="62" t="n"/>
      <c r="E92" s="62" t="n"/>
      <c r="F92" s="62" t="n"/>
      <c r="G92" s="62" t="n"/>
      <c r="H92" s="62" t="inlineStr">
        <is>
          <t>0:10</t>
        </is>
      </c>
      <c r="I92" s="62" t="inlineStr">
        <is>
          <t>0:53</t>
        </is>
      </c>
      <c r="J92" s="62" t="inlineStr">
        <is>
          <t>1:45</t>
        </is>
      </c>
      <c r="K92" s="62" t="inlineStr">
        <is>
          <t>2:38</t>
        </is>
      </c>
      <c r="L92" s="62" t="inlineStr">
        <is>
          <t>3:30</t>
        </is>
      </c>
      <c r="M92" s="62" t="inlineStr">
        <is>
          <t>4:22</t>
        </is>
      </c>
      <c r="N92" s="62" t="inlineStr">
        <is>
          <t>5:14</t>
        </is>
      </c>
      <c r="O92" s="62" t="inlineStr">
        <is>
          <t>6:07</t>
        </is>
      </c>
    </row>
    <row r="93">
      <c r="A93" s="61" t="inlineStr">
        <is>
          <t>H</t>
        </is>
      </c>
      <c r="B93" s="62" t="n"/>
      <c r="C93" s="62" t="n"/>
      <c r="D93" s="62" t="n"/>
      <c r="E93" s="62" t="n"/>
      <c r="F93" s="62" t="n"/>
      <c r="G93" s="62" t="n"/>
      <c r="H93" s="62" t="n"/>
      <c r="I93" s="62" t="inlineStr">
        <is>
          <t>0:10</t>
        </is>
      </c>
      <c r="J93" s="62" t="inlineStr">
        <is>
          <t>0:53</t>
        </is>
      </c>
      <c r="K93" s="62" t="inlineStr">
        <is>
          <t>1:45</t>
        </is>
      </c>
      <c r="L93" s="62" t="inlineStr">
        <is>
          <t>2:38</t>
        </is>
      </c>
      <c r="M93" s="62" t="inlineStr">
        <is>
          <t>3:30</t>
        </is>
      </c>
      <c r="N93" s="62" t="inlineStr">
        <is>
          <t>4:22</t>
        </is>
      </c>
      <c r="O93" s="62" t="inlineStr">
        <is>
          <t>5:14</t>
        </is>
      </c>
    </row>
    <row r="94">
      <c r="A94" s="61" t="inlineStr">
        <is>
          <t>I</t>
        </is>
      </c>
      <c r="B94" s="62" t="n"/>
      <c r="C94" s="62" t="n"/>
      <c r="D94" s="62" t="n"/>
      <c r="E94" s="62" t="n"/>
      <c r="F94" s="62" t="n"/>
      <c r="G94" s="62" t="n"/>
      <c r="H94" s="62" t="n"/>
      <c r="I94" s="62" t="n"/>
      <c r="J94" s="62" t="inlineStr">
        <is>
          <t>0:10</t>
        </is>
      </c>
      <c r="K94" s="62" t="inlineStr">
        <is>
          <t>0:53</t>
        </is>
      </c>
      <c r="L94" s="62" t="inlineStr">
        <is>
          <t>1:45</t>
        </is>
      </c>
      <c r="M94" s="62" t="inlineStr">
        <is>
          <t>2:38</t>
        </is>
      </c>
      <c r="N94" s="62" t="inlineStr">
        <is>
          <t>3:30</t>
        </is>
      </c>
      <c r="O94" s="62" t="inlineStr">
        <is>
          <t>4:22</t>
        </is>
      </c>
    </row>
    <row r="95">
      <c r="A95" s="61" t="inlineStr">
        <is>
          <t>J</t>
        </is>
      </c>
      <c r="B95" s="62" t="n"/>
      <c r="C95" s="62" t="n"/>
      <c r="D95" s="62" t="n"/>
      <c r="E95" s="62" t="n"/>
      <c r="F95" s="62" t="n"/>
      <c r="G95" s="62" t="n"/>
      <c r="H95" s="62" t="n"/>
      <c r="I95" s="62" t="n"/>
      <c r="J95" s="62" t="n"/>
      <c r="K95" s="62" t="inlineStr">
        <is>
          <t>0:10</t>
        </is>
      </c>
      <c r="L95" s="62" t="inlineStr">
        <is>
          <t>0:53</t>
        </is>
      </c>
      <c r="M95" s="62" t="inlineStr">
        <is>
          <t>1:45</t>
        </is>
      </c>
      <c r="N95" s="62" t="inlineStr">
        <is>
          <t>2:38</t>
        </is>
      </c>
      <c r="O95" s="62" t="inlineStr">
        <is>
          <t>3:30</t>
        </is>
      </c>
    </row>
    <row r="96">
      <c r="A96" s="61" t="inlineStr">
        <is>
          <t>K</t>
        </is>
      </c>
      <c r="B96" s="62" t="n"/>
      <c r="C96" s="62" t="n"/>
      <c r="D96" s="62" t="n"/>
      <c r="E96" s="62" t="n"/>
      <c r="F96" s="62" t="n"/>
      <c r="G96" s="62" t="n"/>
      <c r="H96" s="62" t="n"/>
      <c r="I96" s="62" t="n"/>
      <c r="J96" s="62" t="n"/>
      <c r="K96" s="62" t="n"/>
      <c r="L96" s="62" t="inlineStr">
        <is>
          <t>0:10</t>
        </is>
      </c>
      <c r="M96" s="62" t="inlineStr">
        <is>
          <t>0:53</t>
        </is>
      </c>
      <c r="N96" s="62" t="inlineStr">
        <is>
          <t>1:45</t>
        </is>
      </c>
      <c r="O96" s="62" t="inlineStr">
        <is>
          <t>2:38</t>
        </is>
      </c>
    </row>
    <row r="97">
      <c r="A97" s="61" t="inlineStr">
        <is>
          <t>L</t>
        </is>
      </c>
      <c r="B97" s="62" t="n"/>
      <c r="C97" s="62" t="n"/>
      <c r="D97" s="62" t="n"/>
      <c r="E97" s="62" t="n"/>
      <c r="F97" s="62" t="n"/>
      <c r="G97" s="62" t="n"/>
      <c r="H97" s="62" t="n"/>
      <c r="I97" s="62" t="n"/>
      <c r="J97" s="62" t="n"/>
      <c r="K97" s="62" t="n"/>
      <c r="L97" s="62" t="n"/>
      <c r="M97" s="62" t="inlineStr">
        <is>
          <t>0:10</t>
        </is>
      </c>
      <c r="N97" s="62" t="inlineStr">
        <is>
          <t>0:53</t>
        </is>
      </c>
      <c r="O97" s="62" t="inlineStr">
        <is>
          <t>1:45</t>
        </is>
      </c>
    </row>
    <row r="98">
      <c r="A98" s="61" t="inlineStr">
        <is>
          <t>M</t>
        </is>
      </c>
      <c r="B98" s="62" t="n"/>
      <c r="C98" s="62" t="n"/>
      <c r="D98" s="62" t="n"/>
      <c r="E98" s="62" t="n"/>
      <c r="F98" s="62" t="n"/>
      <c r="G98" s="62" t="n"/>
      <c r="H98" s="62" t="n"/>
      <c r="I98" s="62" t="n"/>
      <c r="J98" s="62" t="n"/>
      <c r="K98" s="62" t="n"/>
      <c r="L98" s="62" t="n"/>
      <c r="M98" s="62" t="n"/>
      <c r="N98" s="62" t="inlineStr">
        <is>
          <t>0:10</t>
        </is>
      </c>
      <c r="O98" s="62" t="inlineStr">
        <is>
          <t>0:53</t>
        </is>
      </c>
    </row>
    <row r="99">
      <c r="A99" s="61" t="inlineStr">
        <is>
          <t>N</t>
        </is>
      </c>
      <c r="B99" s="62" t="n"/>
      <c r="C99" s="62" t="n"/>
      <c r="D99" s="62" t="n"/>
      <c r="E99" s="62" t="n"/>
      <c r="F99" s="62" t="n"/>
      <c r="G99" s="62" t="n"/>
      <c r="H99" s="62" t="n"/>
      <c r="I99" s="62" t="n"/>
      <c r="J99" s="62" t="n"/>
      <c r="K99" s="62" t="n"/>
      <c r="L99" s="62" t="n"/>
      <c r="M99" s="62" t="n"/>
      <c r="N99" s="62" t="n"/>
      <c r="O99" s="62" t="inlineStr">
        <is>
          <t>0:10</t>
        </is>
      </c>
    </row>
    <row r="102">
      <c r="A102" s="56" t="inlineStr">
        <is>
          <t>表2 水面休息 上限（時:分）</t>
        </is>
      </c>
      <c r="D102" s="20" t="inlineStr"/>
    </row>
    <row r="103">
      <c r="A103" s="57" t="inlineStr">
        <is>
          <t>新グループ</t>
        </is>
      </c>
      <c r="B103" s="58" t="inlineStr">
        <is>
          <t>終了A</t>
        </is>
      </c>
      <c r="C103" s="58" t="inlineStr">
        <is>
          <t>終了B</t>
        </is>
      </c>
      <c r="D103" s="58" t="inlineStr">
        <is>
          <t>終了C</t>
        </is>
      </c>
      <c r="E103" s="58" t="inlineStr">
        <is>
          <t>終了D</t>
        </is>
      </c>
      <c r="F103" s="58" t="inlineStr">
        <is>
          <t>終了E</t>
        </is>
      </c>
      <c r="G103" s="58" t="inlineStr">
        <is>
          <t>終了F</t>
        </is>
      </c>
      <c r="H103" s="58" t="inlineStr">
        <is>
          <t>終了G</t>
        </is>
      </c>
      <c r="I103" s="58" t="inlineStr">
        <is>
          <t>終了H</t>
        </is>
      </c>
      <c r="J103" s="58" t="inlineStr">
        <is>
          <t>終了I</t>
        </is>
      </c>
      <c r="K103" s="58" t="inlineStr">
        <is>
          <t>終了J</t>
        </is>
      </c>
      <c r="L103" s="58" t="inlineStr">
        <is>
          <t>終了K</t>
        </is>
      </c>
      <c r="M103" s="58" t="inlineStr">
        <is>
          <t>終了L</t>
        </is>
      </c>
      <c r="N103" s="58" t="inlineStr">
        <is>
          <t>終了M</t>
        </is>
      </c>
      <c r="O103" s="58" t="inlineStr">
        <is>
          <t>終了N</t>
        </is>
      </c>
    </row>
    <row r="104">
      <c r="A104" s="61" t="inlineStr">
        <is>
          <t>A</t>
        </is>
      </c>
      <c r="B104" s="62" t="inlineStr">
        <is>
          <t>24:00</t>
        </is>
      </c>
      <c r="C104" s="62" t="inlineStr">
        <is>
          <t>24:00</t>
        </is>
      </c>
      <c r="D104" s="62" t="inlineStr">
        <is>
          <t>24:00</t>
        </is>
      </c>
      <c r="E104" s="62" t="inlineStr">
        <is>
          <t>24:00</t>
        </is>
      </c>
      <c r="F104" s="62" t="inlineStr">
        <is>
          <t>24:00</t>
        </is>
      </c>
      <c r="G104" s="62" t="inlineStr">
        <is>
          <t>24:00</t>
        </is>
      </c>
      <c r="H104" s="62" t="inlineStr">
        <is>
          <t>24:00</t>
        </is>
      </c>
      <c r="I104" s="62" t="inlineStr">
        <is>
          <t>24:00</t>
        </is>
      </c>
      <c r="J104" s="62" t="inlineStr">
        <is>
          <t>24:00</t>
        </is>
      </c>
      <c r="K104" s="62" t="inlineStr">
        <is>
          <t>24:00</t>
        </is>
      </c>
      <c r="L104" s="62" t="inlineStr">
        <is>
          <t>24:00</t>
        </is>
      </c>
      <c r="M104" s="62" t="inlineStr">
        <is>
          <t>24:00</t>
        </is>
      </c>
      <c r="N104" s="62" t="inlineStr">
        <is>
          <t>24:00</t>
        </is>
      </c>
      <c r="O104" s="62" t="inlineStr">
        <is>
          <t>24:00</t>
        </is>
      </c>
    </row>
    <row r="105">
      <c r="A105" s="61" t="inlineStr">
        <is>
          <t>B</t>
        </is>
      </c>
      <c r="B105" s="62" t="n"/>
      <c r="C105" s="62" t="inlineStr">
        <is>
          <t>1:16</t>
        </is>
      </c>
      <c r="D105" s="62" t="inlineStr">
        <is>
          <t>2:11</t>
        </is>
      </c>
      <c r="E105" s="62" t="inlineStr">
        <is>
          <t>3:03</t>
        </is>
      </c>
      <c r="F105" s="62" t="inlineStr">
        <is>
          <t>3:55</t>
        </is>
      </c>
      <c r="G105" s="62" t="inlineStr">
        <is>
          <t>4:48</t>
        </is>
      </c>
      <c r="H105" s="62" t="inlineStr">
        <is>
          <t>5:40</t>
        </is>
      </c>
      <c r="I105" s="62" t="inlineStr">
        <is>
          <t>6:32</t>
        </is>
      </c>
      <c r="J105" s="62" t="inlineStr">
        <is>
          <t>7:24</t>
        </is>
      </c>
      <c r="K105" s="62" t="inlineStr">
        <is>
          <t>8:16</t>
        </is>
      </c>
      <c r="L105" s="62" t="inlineStr">
        <is>
          <t>9:09</t>
        </is>
      </c>
      <c r="M105" s="62" t="inlineStr">
        <is>
          <t>10:01</t>
        </is>
      </c>
      <c r="N105" s="62" t="inlineStr">
        <is>
          <t>10:53</t>
        </is>
      </c>
      <c r="O105" s="62" t="inlineStr">
        <is>
          <t>11:45</t>
        </is>
      </c>
    </row>
    <row r="106">
      <c r="A106" s="61" t="inlineStr">
        <is>
          <t>C</t>
        </is>
      </c>
      <c r="B106" s="62" t="n"/>
      <c r="C106" s="62" t="n"/>
      <c r="D106" s="62" t="inlineStr">
        <is>
          <t>0:55</t>
        </is>
      </c>
      <c r="E106" s="62" t="inlineStr">
        <is>
          <t>1:47</t>
        </is>
      </c>
      <c r="F106" s="62" t="inlineStr">
        <is>
          <t>2:39</t>
        </is>
      </c>
      <c r="G106" s="62" t="inlineStr">
        <is>
          <t>3:31</t>
        </is>
      </c>
      <c r="H106" s="62" t="inlineStr">
        <is>
          <t>4:23</t>
        </is>
      </c>
      <c r="I106" s="62" t="inlineStr">
        <is>
          <t>5:16</t>
        </is>
      </c>
      <c r="J106" s="62" t="inlineStr">
        <is>
          <t>6:08</t>
        </is>
      </c>
      <c r="K106" s="62" t="inlineStr">
        <is>
          <t>7:00</t>
        </is>
      </c>
      <c r="L106" s="62" t="inlineStr">
        <is>
          <t>7:52</t>
        </is>
      </c>
      <c r="M106" s="62" t="inlineStr">
        <is>
          <t>8:44</t>
        </is>
      </c>
      <c r="N106" s="62" t="inlineStr">
        <is>
          <t>9:37</t>
        </is>
      </c>
      <c r="O106" s="62" t="inlineStr">
        <is>
          <t>10:29</t>
        </is>
      </c>
    </row>
    <row r="107">
      <c r="A107" s="61" t="inlineStr">
        <is>
          <t>D</t>
        </is>
      </c>
      <c r="B107" s="62" t="n"/>
      <c r="C107" s="62" t="n"/>
      <c r="D107" s="62" t="n"/>
      <c r="E107" s="62" t="inlineStr">
        <is>
          <t>0:52</t>
        </is>
      </c>
      <c r="F107" s="62" t="inlineStr">
        <is>
          <t>1:44</t>
        </is>
      </c>
      <c r="G107" s="62" t="inlineStr">
        <is>
          <t>2:37</t>
        </is>
      </c>
      <c r="H107" s="62" t="inlineStr">
        <is>
          <t>3:29</t>
        </is>
      </c>
      <c r="I107" s="62" t="inlineStr">
        <is>
          <t>4:21</t>
        </is>
      </c>
      <c r="J107" s="62" t="inlineStr">
        <is>
          <t>5:13</t>
        </is>
      </c>
      <c r="K107" s="62" t="inlineStr">
        <is>
          <t>6:06</t>
        </is>
      </c>
      <c r="L107" s="62" t="inlineStr">
        <is>
          <t>6:58</t>
        </is>
      </c>
      <c r="M107" s="62" t="inlineStr">
        <is>
          <t>7:50</t>
        </is>
      </c>
      <c r="N107" s="62" t="inlineStr">
        <is>
          <t>8:42</t>
        </is>
      </c>
      <c r="O107" s="62" t="inlineStr">
        <is>
          <t>9:34</t>
        </is>
      </c>
    </row>
    <row r="108">
      <c r="A108" s="61" t="inlineStr">
        <is>
          <t>E</t>
        </is>
      </c>
      <c r="B108" s="62" t="n"/>
      <c r="C108" s="62" t="n"/>
      <c r="D108" s="62" t="n"/>
      <c r="E108" s="62" t="n"/>
      <c r="F108" s="62" t="inlineStr">
        <is>
          <t>0:52</t>
        </is>
      </c>
      <c r="G108" s="62" t="inlineStr">
        <is>
          <t>1:44</t>
        </is>
      </c>
      <c r="H108" s="62" t="inlineStr">
        <is>
          <t>2:37</t>
        </is>
      </c>
      <c r="I108" s="62" t="inlineStr">
        <is>
          <t>3:29</t>
        </is>
      </c>
      <c r="J108" s="62" t="inlineStr">
        <is>
          <t>4:21</t>
        </is>
      </c>
      <c r="K108" s="62" t="inlineStr">
        <is>
          <t>5:13</t>
        </is>
      </c>
      <c r="L108" s="62" t="inlineStr">
        <is>
          <t>6:06</t>
        </is>
      </c>
      <c r="M108" s="62" t="inlineStr">
        <is>
          <t>6:58</t>
        </is>
      </c>
      <c r="N108" s="62" t="inlineStr">
        <is>
          <t>7:50</t>
        </is>
      </c>
      <c r="O108" s="62" t="inlineStr">
        <is>
          <t>8:42</t>
        </is>
      </c>
    </row>
    <row r="109">
      <c r="A109" s="61" t="inlineStr">
        <is>
          <t>F</t>
        </is>
      </c>
      <c r="B109" s="62" t="n"/>
      <c r="C109" s="62" t="n"/>
      <c r="D109" s="62" t="n"/>
      <c r="E109" s="62" t="n"/>
      <c r="F109" s="62" t="n"/>
      <c r="G109" s="62" t="inlineStr">
        <is>
          <t>0:52</t>
        </is>
      </c>
      <c r="H109" s="62" t="inlineStr">
        <is>
          <t>1:44</t>
        </is>
      </c>
      <c r="I109" s="62" t="inlineStr">
        <is>
          <t>2:37</t>
        </is>
      </c>
      <c r="J109" s="62" t="inlineStr">
        <is>
          <t>3:29</t>
        </is>
      </c>
      <c r="K109" s="62" t="inlineStr">
        <is>
          <t>4:21</t>
        </is>
      </c>
      <c r="L109" s="62" t="inlineStr">
        <is>
          <t>5:13</t>
        </is>
      </c>
      <c r="M109" s="62" t="inlineStr">
        <is>
          <t>6:06</t>
        </is>
      </c>
      <c r="N109" s="62" t="inlineStr">
        <is>
          <t>6:58</t>
        </is>
      </c>
      <c r="O109" s="62" t="inlineStr">
        <is>
          <t>7:50</t>
        </is>
      </c>
    </row>
    <row r="110">
      <c r="A110" s="61" t="inlineStr">
        <is>
          <t>G</t>
        </is>
      </c>
      <c r="B110" s="62" t="n"/>
      <c r="C110" s="62" t="n"/>
      <c r="D110" s="62" t="n"/>
      <c r="E110" s="62" t="n"/>
      <c r="F110" s="62" t="n"/>
      <c r="G110" s="62" t="n"/>
      <c r="H110" s="62" t="inlineStr">
        <is>
          <t>0:52</t>
        </is>
      </c>
      <c r="I110" s="62" t="inlineStr">
        <is>
          <t>1:44</t>
        </is>
      </c>
      <c r="J110" s="62" t="inlineStr">
        <is>
          <t>2:37</t>
        </is>
      </c>
      <c r="K110" s="62" t="inlineStr">
        <is>
          <t>3:29</t>
        </is>
      </c>
      <c r="L110" s="62" t="inlineStr">
        <is>
          <t>4:21</t>
        </is>
      </c>
      <c r="M110" s="62" t="inlineStr">
        <is>
          <t>5:13</t>
        </is>
      </c>
      <c r="N110" s="62" t="inlineStr">
        <is>
          <t>6:06</t>
        </is>
      </c>
      <c r="O110" s="62" t="inlineStr">
        <is>
          <t>6:58</t>
        </is>
      </c>
    </row>
    <row r="111">
      <c r="A111" s="61" t="inlineStr">
        <is>
          <t>H</t>
        </is>
      </c>
      <c r="B111" s="62" t="n"/>
      <c r="C111" s="62" t="n"/>
      <c r="D111" s="62" t="n"/>
      <c r="E111" s="62" t="n"/>
      <c r="F111" s="62" t="n"/>
      <c r="G111" s="62" t="n"/>
      <c r="H111" s="62" t="n"/>
      <c r="I111" s="62" t="inlineStr">
        <is>
          <t>0:52</t>
        </is>
      </c>
      <c r="J111" s="62" t="inlineStr">
        <is>
          <t>1:44</t>
        </is>
      </c>
      <c r="K111" s="62" t="inlineStr">
        <is>
          <t>2:37</t>
        </is>
      </c>
      <c r="L111" s="62" t="inlineStr">
        <is>
          <t>3:29</t>
        </is>
      </c>
      <c r="M111" s="62" t="inlineStr">
        <is>
          <t>4:21</t>
        </is>
      </c>
      <c r="N111" s="62" t="inlineStr">
        <is>
          <t>5:13</t>
        </is>
      </c>
      <c r="O111" s="62" t="inlineStr">
        <is>
          <t>6:06</t>
        </is>
      </c>
    </row>
    <row r="112">
      <c r="A112" s="61" t="inlineStr">
        <is>
          <t>I</t>
        </is>
      </c>
      <c r="B112" s="62" t="n"/>
      <c r="C112" s="62" t="n"/>
      <c r="D112" s="62" t="n"/>
      <c r="E112" s="62" t="n"/>
      <c r="F112" s="62" t="n"/>
      <c r="G112" s="62" t="n"/>
      <c r="H112" s="62" t="n"/>
      <c r="I112" s="62" t="n"/>
      <c r="J112" s="62" t="inlineStr">
        <is>
          <t>0:52</t>
        </is>
      </c>
      <c r="K112" s="62" t="inlineStr">
        <is>
          <t>1:44</t>
        </is>
      </c>
      <c r="L112" s="62" t="inlineStr">
        <is>
          <t>2:37</t>
        </is>
      </c>
      <c r="M112" s="62" t="inlineStr">
        <is>
          <t>3:29</t>
        </is>
      </c>
      <c r="N112" s="62" t="inlineStr">
        <is>
          <t>4:21</t>
        </is>
      </c>
      <c r="O112" s="62" t="inlineStr">
        <is>
          <t>5:13</t>
        </is>
      </c>
    </row>
    <row r="113">
      <c r="A113" s="61" t="inlineStr">
        <is>
          <t>J</t>
        </is>
      </c>
      <c r="B113" s="62" t="n"/>
      <c r="C113" s="62" t="n"/>
      <c r="D113" s="62" t="n"/>
      <c r="E113" s="62" t="n"/>
      <c r="F113" s="62" t="n"/>
      <c r="G113" s="62" t="n"/>
      <c r="H113" s="62" t="n"/>
      <c r="I113" s="62" t="n"/>
      <c r="J113" s="62" t="n"/>
      <c r="K113" s="62" t="inlineStr">
        <is>
          <t>0:52</t>
        </is>
      </c>
      <c r="L113" s="62" t="inlineStr">
        <is>
          <t>1:44</t>
        </is>
      </c>
      <c r="M113" s="62" t="inlineStr">
        <is>
          <t>2:37</t>
        </is>
      </c>
      <c r="N113" s="62" t="inlineStr">
        <is>
          <t>3:29</t>
        </is>
      </c>
      <c r="O113" s="62" t="inlineStr">
        <is>
          <t>4:21</t>
        </is>
      </c>
    </row>
    <row r="114">
      <c r="A114" s="61" t="inlineStr">
        <is>
          <t>K</t>
        </is>
      </c>
      <c r="B114" s="62" t="n"/>
      <c r="C114" s="62" t="n"/>
      <c r="D114" s="62" t="n"/>
      <c r="E114" s="62" t="n"/>
      <c r="F114" s="62" t="n"/>
      <c r="G114" s="62" t="n"/>
      <c r="H114" s="62" t="n"/>
      <c r="I114" s="62" t="n"/>
      <c r="J114" s="62" t="n"/>
      <c r="K114" s="62" t="n"/>
      <c r="L114" s="62" t="inlineStr">
        <is>
          <t>0:52</t>
        </is>
      </c>
      <c r="M114" s="62" t="inlineStr">
        <is>
          <t>1:44</t>
        </is>
      </c>
      <c r="N114" s="62" t="inlineStr">
        <is>
          <t>2:37</t>
        </is>
      </c>
      <c r="O114" s="62" t="inlineStr">
        <is>
          <t>3:29</t>
        </is>
      </c>
    </row>
    <row r="115">
      <c r="A115" s="61" t="inlineStr">
        <is>
          <t>L</t>
        </is>
      </c>
      <c r="B115" s="62" t="n"/>
      <c r="C115" s="62" t="n"/>
      <c r="D115" s="62" t="n"/>
      <c r="E115" s="62" t="n"/>
      <c r="F115" s="62" t="n"/>
      <c r="G115" s="62" t="n"/>
      <c r="H115" s="62" t="n"/>
      <c r="I115" s="62" t="n"/>
      <c r="J115" s="62" t="n"/>
      <c r="K115" s="62" t="n"/>
      <c r="L115" s="62" t="n"/>
      <c r="M115" s="62" t="inlineStr">
        <is>
          <t>0:52</t>
        </is>
      </c>
      <c r="N115" s="62" t="inlineStr">
        <is>
          <t>1:44</t>
        </is>
      </c>
      <c r="O115" s="62" t="inlineStr">
        <is>
          <t>2:37</t>
        </is>
      </c>
    </row>
    <row r="116">
      <c r="A116" s="61" t="inlineStr">
        <is>
          <t>M</t>
        </is>
      </c>
      <c r="B116" s="62" t="n"/>
      <c r="C116" s="62" t="n"/>
      <c r="D116" s="62" t="n"/>
      <c r="E116" s="62" t="n"/>
      <c r="F116" s="62" t="n"/>
      <c r="G116" s="62" t="n"/>
      <c r="H116" s="62" t="n"/>
      <c r="I116" s="62" t="n"/>
      <c r="J116" s="62" t="n"/>
      <c r="K116" s="62" t="n"/>
      <c r="L116" s="62" t="n"/>
      <c r="M116" s="62" t="n"/>
      <c r="N116" s="62" t="inlineStr">
        <is>
          <t>0:52</t>
        </is>
      </c>
      <c r="O116" s="62" t="inlineStr">
        <is>
          <t>1:44</t>
        </is>
      </c>
    </row>
    <row r="117">
      <c r="A117" s="61" t="inlineStr">
        <is>
          <t>N</t>
        </is>
      </c>
      <c r="B117" s="62" t="n"/>
      <c r="C117" s="62" t="n"/>
      <c r="D117" s="62" t="n"/>
      <c r="E117" s="62" t="n"/>
      <c r="F117" s="62" t="n"/>
      <c r="G117" s="62" t="n"/>
      <c r="H117" s="62" t="n"/>
      <c r="I117" s="62" t="n"/>
      <c r="J117" s="62" t="n"/>
      <c r="K117" s="62" t="n"/>
      <c r="L117" s="62" t="n"/>
      <c r="M117" s="62" t="n"/>
      <c r="N117" s="62" t="n"/>
      <c r="O117" s="62" t="inlineStr">
        <is>
          <t>0:52</t>
        </is>
      </c>
    </row>
  </sheetData>
  <mergeCells count="14">
    <mergeCell ref="J7:L7"/>
    <mergeCell ref="J5:L5"/>
    <mergeCell ref="B8:H8"/>
    <mergeCell ref="J6:L6"/>
    <mergeCell ref="B9:H9"/>
    <mergeCell ref="B4:H4"/>
    <mergeCell ref="A1:F1"/>
    <mergeCell ref="B6:H6"/>
    <mergeCell ref="J8:L8"/>
    <mergeCell ref="J4:L4"/>
    <mergeCell ref="B7:H7"/>
    <mergeCell ref="B3:H3"/>
    <mergeCell ref="B5:H5"/>
    <mergeCell ref="J3:L3"/>
  </mergeCells>
  <dataValidations count="1">
    <dataValidation sqref="B6" showDropDown="0" showInputMessage="0" showErrorMessage="0" allowBlank="0" type="list">
      <formula1>"照合済み,照合前"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8" customWidth="1" min="7" max="7"/>
    <col width="14" customWidth="1" min="8" max="8"/>
  </cols>
  <sheetData>
    <row r="1" ht="34" customHeight="1">
      <c r="A1" s="1" t="inlineStr">
        <is>
          <t>選択肢</t>
        </is>
      </c>
      <c r="B1" s="2" t="n"/>
      <c r="C1" s="2" t="n"/>
      <c r="D1" s="2" t="n"/>
    </row>
    <row r="2">
      <c r="A2" s="3" t="inlineStr">
        <is>
          <t>ここを書き換えると、各シートのプルダウンに反映されます。</t>
        </is>
      </c>
    </row>
    <row r="4" ht="32" customHeight="1">
      <c r="A4" s="13" t="inlineStr">
        <is>
          <t>所属</t>
        </is>
      </c>
      <c r="B4" s="13" t="inlineStr">
        <is>
          <t>在籍状態</t>
        </is>
      </c>
      <c r="C4" s="13" t="inlineStr">
        <is>
          <t>潜水区分</t>
        </is>
      </c>
      <c r="D4" s="13" t="inlineStr">
        <is>
          <t>資格・研修名</t>
        </is>
      </c>
      <c r="E4" s="13" t="inlineStr">
        <is>
          <t>資格種別</t>
        </is>
      </c>
      <c r="F4" s="13" t="inlineStr">
        <is>
          <t>潜水地点</t>
        </is>
      </c>
      <c r="G4" s="13" t="inlineStr">
        <is>
          <t>有無</t>
        </is>
      </c>
      <c r="H4" s="13" t="inlineStr">
        <is>
          <t>抽出用の区分</t>
        </is>
      </c>
    </row>
    <row r="5">
      <c r="A5" s="47" t="inlineStr">
        <is>
          <t>本署</t>
        </is>
      </c>
      <c r="B5" s="47" t="inlineStr">
        <is>
          <t>在籍</t>
        </is>
      </c>
      <c r="C5" s="47" t="inlineStr">
        <is>
          <t>災害</t>
        </is>
      </c>
      <c r="D5" s="47" t="inlineStr">
        <is>
          <t>潜水士免許</t>
        </is>
      </c>
      <c r="E5" s="47" t="inlineStr">
        <is>
          <t>資格</t>
        </is>
      </c>
      <c r="F5" s="47" t="inlineStr">
        <is>
          <t>平良港</t>
        </is>
      </c>
      <c r="G5" s="47" t="inlineStr">
        <is>
          <t>有</t>
        </is>
      </c>
      <c r="H5" s="63" t="inlineStr">
        <is>
          <t>すべて</t>
        </is>
      </c>
    </row>
    <row r="6">
      <c r="A6" s="47" t="inlineStr">
        <is>
          <t>伊良部分署</t>
        </is>
      </c>
      <c r="B6" s="47" t="inlineStr">
        <is>
          <t>異動</t>
        </is>
      </c>
      <c r="C6" s="47" t="inlineStr">
        <is>
          <t>訓練</t>
        </is>
      </c>
      <c r="D6" s="47" t="inlineStr">
        <is>
          <t>水難救助研修</t>
        </is>
      </c>
      <c r="E6" s="47" t="inlineStr">
        <is>
          <t>研修</t>
        </is>
      </c>
      <c r="F6" s="47" t="inlineStr">
        <is>
          <t>佐良浜漁港</t>
        </is>
      </c>
      <c r="G6" s="47" t="inlineStr">
        <is>
          <t>無</t>
        </is>
      </c>
      <c r="H6" s="63">
        <f>IF(C5="","",C5)</f>
        <v/>
      </c>
    </row>
    <row r="7">
      <c r="A7" s="47" t="inlineStr">
        <is>
          <t>（分署名を入力）</t>
        </is>
      </c>
      <c r="B7" s="47" t="inlineStr">
        <is>
          <t>退職</t>
        </is>
      </c>
      <c r="C7" s="47" t="inlineStr">
        <is>
          <t>研修</t>
        </is>
      </c>
      <c r="D7" s="47" t="inlineStr">
        <is>
          <t>小型船舶1級</t>
        </is>
      </c>
      <c r="E7" s="47" t="n"/>
      <c r="F7" s="47" t="inlineStr">
        <is>
          <t>渡口の浜</t>
        </is>
      </c>
      <c r="G7" s="47" t="n"/>
      <c r="H7" s="63">
        <f>IF(C6="","",C6)</f>
        <v/>
      </c>
    </row>
    <row r="8">
      <c r="A8" s="47" t="n"/>
      <c r="B8" s="47" t="n"/>
      <c r="C8" s="47" t="inlineStr">
        <is>
          <t>その他</t>
        </is>
      </c>
      <c r="D8" s="47" t="inlineStr">
        <is>
          <t>小型船舶2級</t>
        </is>
      </c>
      <c r="E8" s="47" t="n"/>
      <c r="F8" s="47" t="inlineStr">
        <is>
          <t>訓練プール</t>
        </is>
      </c>
      <c r="G8" s="47" t="n"/>
      <c r="H8" s="63">
        <f>IF(C7="","",C7)</f>
        <v/>
      </c>
    </row>
    <row r="9">
      <c r="A9" s="47" t="n"/>
      <c r="B9" s="47" t="n"/>
      <c r="C9" s="47" t="n"/>
      <c r="D9" s="47" t="inlineStr">
        <is>
          <t>小型船舶特殊</t>
        </is>
      </c>
      <c r="E9" s="47" t="n"/>
      <c r="F9" s="47" t="inlineStr">
        <is>
          <t>その他</t>
        </is>
      </c>
      <c r="G9" s="47" t="n"/>
      <c r="H9" s="63">
        <f>IF(C8="","",C8)</f>
        <v/>
      </c>
    </row>
    <row r="10">
      <c r="A10" s="47" t="n"/>
      <c r="B10" s="47" t="n"/>
      <c r="C10" s="47" t="n"/>
      <c r="D10" s="47" t="inlineStr">
        <is>
          <t>救助技術研修</t>
        </is>
      </c>
      <c r="E10" s="47" t="n"/>
      <c r="F10" s="47" t="n"/>
      <c r="G10" s="47" t="n"/>
      <c r="H10" s="63">
        <f>IF(C9="","",C9)</f>
        <v/>
      </c>
    </row>
    <row r="11">
      <c r="A11" s="47" t="n"/>
      <c r="B11" s="47" t="n"/>
      <c r="C11" s="47" t="n"/>
      <c r="D11" s="47" t="n"/>
      <c r="E11" s="47" t="n"/>
      <c r="F11" s="47" t="n"/>
      <c r="G11" s="47" t="n"/>
      <c r="H11" s="63">
        <f>IF(C10="","",C10)</f>
        <v/>
      </c>
    </row>
    <row r="12">
      <c r="A12" s="47" t="n"/>
      <c r="B12" s="47" t="n"/>
      <c r="C12" s="47" t="n"/>
      <c r="D12" s="47" t="n"/>
      <c r="E12" s="47" t="n"/>
      <c r="F12" s="47" t="n"/>
      <c r="G12" s="47" t="n"/>
      <c r="H12" s="63">
        <f>IF(C11="","",C11)</f>
        <v/>
      </c>
    </row>
    <row r="13">
      <c r="A13" s="47" t="n"/>
      <c r="B13" s="47" t="n"/>
      <c r="C13" s="47" t="n"/>
      <c r="D13" s="47" t="n"/>
      <c r="E13" s="47" t="n"/>
      <c r="F13" s="47" t="n"/>
      <c r="G13" s="47" t="n"/>
      <c r="H13" s="63">
        <f>IF(C12="","",C12)</f>
        <v/>
      </c>
    </row>
    <row r="14">
      <c r="A14" s="47" t="n"/>
      <c r="B14" s="47" t="n"/>
      <c r="C14" s="47" t="n"/>
      <c r="D14" s="47" t="n"/>
      <c r="E14" s="47" t="n"/>
      <c r="F14" s="47" t="n"/>
      <c r="G14" s="47" t="n"/>
      <c r="H14" s="63">
        <f>IF(C13="","",C13)</f>
        <v/>
      </c>
    </row>
    <row r="15">
      <c r="A15" s="47" t="n"/>
      <c r="B15" s="47" t="n"/>
      <c r="C15" s="47" t="n"/>
      <c r="D15" s="47" t="n"/>
      <c r="E15" s="47" t="n"/>
      <c r="F15" s="47" t="n"/>
      <c r="G15" s="47" t="n"/>
      <c r="H15" s="63">
        <f>IF(C14="","",C14)</f>
        <v/>
      </c>
    </row>
    <row r="16">
      <c r="A16" s="47" t="n"/>
      <c r="B16" s="47" t="n"/>
      <c r="C16" s="47" t="n"/>
      <c r="D16" s="47" t="n"/>
      <c r="E16" s="47" t="n"/>
      <c r="F16" s="47" t="n"/>
      <c r="G16" s="47" t="n"/>
    </row>
    <row r="17">
      <c r="A17" s="47" t="n"/>
      <c r="B17" s="47" t="n"/>
      <c r="C17" s="47" t="n"/>
      <c r="D17" s="47" t="n"/>
      <c r="E17" s="47" t="n"/>
      <c r="F17" s="47" t="n"/>
      <c r="G17" s="47" t="n"/>
    </row>
    <row r="18">
      <c r="A18" s="47" t="n"/>
      <c r="B18" s="47" t="n"/>
      <c r="C18" s="47" t="n"/>
      <c r="D18" s="47" t="n"/>
      <c r="E18" s="47" t="n"/>
      <c r="F18" s="47" t="n"/>
      <c r="G18" s="47" t="n"/>
    </row>
    <row r="19">
      <c r="A19" s="47" t="n"/>
      <c r="B19" s="47" t="n"/>
      <c r="C19" s="47" t="n"/>
      <c r="D19" s="47" t="n"/>
      <c r="E19" s="47" t="n"/>
      <c r="F19" s="47" t="n"/>
      <c r="G19" s="47" t="n"/>
    </row>
    <row r="20">
      <c r="A20" s="47" t="n"/>
      <c r="B20" s="47" t="n"/>
      <c r="C20" s="47" t="n"/>
      <c r="D20" s="47" t="n"/>
      <c r="E20" s="47" t="n"/>
      <c r="F20" s="47" t="n"/>
      <c r="G20" s="47" t="n"/>
    </row>
    <row r="22">
      <c r="A22" s="10" t="inlineStr">
        <is>
          <t>資格・研修名は先頭8件が「資格一覧」の列見出しになります。「潜水士免許」「水難救助研修」「小型船舶1級／2級／特殊」は判定に使うので名前を変えないでください。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2026-10-24T10:39:18Z</dcterms:created>
  <dcterms:modified xmlns:dcterms="http://purl.org/dc/terms/" xmlns:xsi="http://www.w3.org/2001/XMLSchema-instance" xsi:type="dcterms:W3CDTF">2026-10-24T10:39:34Z</dcterms:modified>
</cp:coreProperties>
</file>